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historical_data" sheetId="2" r:id="rId5"/>
    <sheet state="visible" name="Sheet10" sheetId="3" r:id="rId6"/>
    <sheet state="visible" name="Sheet11" sheetId="4" r:id="rId7"/>
    <sheet state="visible" name="quad" sheetId="5" r:id="rId8"/>
    <sheet state="visible" name="upto18" sheetId="6" r:id="rId9"/>
    <sheet state="visible" name="Infosys_main" sheetId="7" r:id="rId10"/>
    <sheet state="visible" name="TCS main" sheetId="8" r:id="rId11"/>
    <sheet state="visible" name="TCS" sheetId="9" r:id="rId12"/>
    <sheet state="visible" name="Metrics" sheetId="10" r:id="rId13"/>
    <sheet state="visible" name="TCS Metrics" sheetId="11" r:id="rId14"/>
  </sheets>
  <definedNames/>
  <calcPr/>
</workbook>
</file>

<file path=xl/sharedStrings.xml><?xml version="1.0" encoding="utf-8"?>
<sst xmlns="http://schemas.openxmlformats.org/spreadsheetml/2006/main" count="319" uniqueCount="121">
  <si>
    <t>Total Revenue Or Top Line/Sales</t>
  </si>
  <si>
    <t>Net Income = Total Revenues – Total Expenses Or Bottom Line/Profit CAGR</t>
  </si>
  <si>
    <t>Total Expenses</t>
  </si>
  <si>
    <t>Profit/Loss Before Exceptional, ExtraOrdinary Items And Tax</t>
  </si>
  <si>
    <t>Profit/Loss For The Period</t>
  </si>
  <si>
    <t>Basic EPS (Rs.)</t>
  </si>
  <si>
    <t>Diluted EPS (Rs.)</t>
  </si>
  <si>
    <t>Equity Share Dividend</t>
  </si>
  <si>
    <t>Equity Dividend Rate (%)</t>
  </si>
  <si>
    <t>Total Share Capital</t>
  </si>
  <si>
    <t>Total Shareholders Funds</t>
  </si>
  <si>
    <t>Total Non-Current Liabilities</t>
  </si>
  <si>
    <t>Total Current Liabilities</t>
  </si>
  <si>
    <t>Total Capital And Liabilities</t>
  </si>
  <si>
    <t>Fixed Assets</t>
  </si>
  <si>
    <t>Fixed Assets(Current - Prior)</t>
  </si>
  <si>
    <t>-</t>
  </si>
  <si>
    <t>Total Non-Current Assets</t>
  </si>
  <si>
    <t>Total Current Assets</t>
  </si>
  <si>
    <t>Total Assets</t>
  </si>
  <si>
    <t>Mar '03</t>
  </si>
  <si>
    <t>Net Profit/Loss Before Extraordinary Items And Tax</t>
  </si>
  <si>
    <t>Net CashFlow From Operating Activities</t>
  </si>
  <si>
    <t>Net Cash Used In Investing Activities</t>
  </si>
  <si>
    <t>Net Cash Used From Financing Activities</t>
  </si>
  <si>
    <t>Depreciation</t>
  </si>
  <si>
    <t>capital expenditures = PP&amp;E (current period) - PP&amp;E (prior period) + depreciation (current period)</t>
  </si>
  <si>
    <t>Free Cash Flow = Operating Cash Flow - Capital Expenditure</t>
  </si>
  <si>
    <t>Mar '22</t>
  </si>
  <si>
    <t>Mar '21</t>
  </si>
  <si>
    <t>Mar '20</t>
  </si>
  <si>
    <t>Mar '19</t>
  </si>
  <si>
    <t>Mar '18</t>
  </si>
  <si>
    <t>Mar '17</t>
  </si>
  <si>
    <t>Mar '16</t>
  </si>
  <si>
    <t>Mar '15</t>
  </si>
  <si>
    <t>Mar '14</t>
  </si>
  <si>
    <t>Mar '13</t>
  </si>
  <si>
    <t>Dividend Per Share</t>
  </si>
  <si>
    <t>Operating Profit Per Share (Rs)</t>
  </si>
  <si>
    <t>Net Operating Profit Per Share (Rs)</t>
  </si>
  <si>
    <t>Operating Profit Margin(%)</t>
  </si>
  <si>
    <t>Profit Before Interest And Tax Margin(%)</t>
  </si>
  <si>
    <t>Gross Profit Margin(%)</t>
  </si>
  <si>
    <t>Cash Profit Margin(%)</t>
  </si>
  <si>
    <t>Adjusted Cash Margin(%)</t>
  </si>
  <si>
    <t>Net Profit Margin(%)</t>
  </si>
  <si>
    <t>Adjusted Net Profit Margin(%)</t>
  </si>
  <si>
    <t>Return On Capital Employed(%)</t>
  </si>
  <si>
    <t>Return On Net Worth(%)</t>
  </si>
  <si>
    <t>Adjusted Return on Net Worth(%)</t>
  </si>
  <si>
    <t>Return on Assets Excluding Revaluations</t>
  </si>
  <si>
    <t>Return on Assets Including Revaluations</t>
  </si>
  <si>
    <t>Return on Long Term Funds(%)</t>
  </si>
  <si>
    <t>Current Ratio</t>
  </si>
  <si>
    <t>Quick Ratio</t>
  </si>
  <si>
    <t>Debt Equity Ratio</t>
  </si>
  <si>
    <t>--</t>
  </si>
  <si>
    <t>Total Assets Turnover Ratio</t>
  </si>
  <si>
    <t>Asset Turnover Ratio</t>
  </si>
  <si>
    <t>Dividend Payout Ratio Net Profit</t>
  </si>
  <si>
    <t>Dividend Payout Ratio Cash Profit</t>
  </si>
  <si>
    <t>Earning Retention Ratio</t>
  </si>
  <si>
    <t>Cash Earning Retention Ratio</t>
  </si>
  <si>
    <t>Earnings Per Share</t>
  </si>
  <si>
    <t>Book Value</t>
  </si>
  <si>
    <t>DE Ratio= Total Liabilities / Shareholder's Equity.</t>
  </si>
  <si>
    <t>Sep '22</t>
  </si>
  <si>
    <t>Jun '22</t>
  </si>
  <si>
    <t>Dec '21</t>
  </si>
  <si>
    <t>Sep '21</t>
  </si>
  <si>
    <t>Jun '21</t>
  </si>
  <si>
    <t>Dec '20</t>
  </si>
  <si>
    <t>Sep '20</t>
  </si>
  <si>
    <t>Jun '20</t>
  </si>
  <si>
    <t>Dec '19</t>
  </si>
  <si>
    <t>Sep '19</t>
  </si>
  <si>
    <t>Jun '19</t>
  </si>
  <si>
    <t>Dec '18</t>
  </si>
  <si>
    <t>Sep '18</t>
  </si>
  <si>
    <t>Jun '18</t>
  </si>
  <si>
    <t>Dec '17</t>
  </si>
  <si>
    <t>Sep '17</t>
  </si>
  <si>
    <t>Jun '17</t>
  </si>
  <si>
    <t>Dec '16</t>
  </si>
  <si>
    <t>Sep '16</t>
  </si>
  <si>
    <t>Jun '16</t>
  </si>
  <si>
    <t>Dec '15</t>
  </si>
  <si>
    <t>Sep '15</t>
  </si>
  <si>
    <t>Jun '15</t>
  </si>
  <si>
    <t>Dec '14</t>
  </si>
  <si>
    <t>Sep '14</t>
  </si>
  <si>
    <t>Jun '14</t>
  </si>
  <si>
    <t>Dec '13</t>
  </si>
  <si>
    <t>Sep '13</t>
  </si>
  <si>
    <t>Jun '13</t>
  </si>
  <si>
    <t>Dec '12</t>
  </si>
  <si>
    <t>Sep '12</t>
  </si>
  <si>
    <t>Jun '12</t>
  </si>
  <si>
    <t>Mar '12</t>
  </si>
  <si>
    <t>Dec '11</t>
  </si>
  <si>
    <t>Sep '11</t>
  </si>
  <si>
    <t>Net Sales/Income from operations</t>
  </si>
  <si>
    <t>Total Income From Operations</t>
  </si>
  <si>
    <t>EPS Before Extra Ordinary</t>
  </si>
  <si>
    <t>Net Profit/(Loss) For the Period</t>
  </si>
  <si>
    <t>Historical Data</t>
  </si>
  <si>
    <t>Date</t>
  </si>
  <si>
    <t>Open</t>
  </si>
  <si>
    <t>High</t>
  </si>
  <si>
    <t>Low</t>
  </si>
  <si>
    <t>Close</t>
  </si>
  <si>
    <t>Volume</t>
  </si>
  <si>
    <t>Year</t>
  </si>
  <si>
    <t>Total Revenue</t>
  </si>
  <si>
    <t>Net Income = Total Revenues – Total Expenses</t>
  </si>
  <si>
    <t>Debt to Equity</t>
  </si>
  <si>
    <t>Capital Expenditures = PP&amp;E (current period) - PP&amp;E (prior period) + depreciation (current period)</t>
  </si>
  <si>
    <t>ROE</t>
  </si>
  <si>
    <t>PE Ratio</t>
  </si>
  <si>
    <t>EBITDA (Rs. Cr)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</si>
</sst>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 d"/>
    <numFmt numFmtId="165" formatCode="mmm dd"/>
    <numFmt numFmtId="166" formatCode="m/d/yyyy h:mm:ss"/>
    <numFmt numFmtId="167" formatCode="M/d/yyyy"/>
    <numFmt numFmtId="168" formatCode="mmm&quot; &quot;yy"/>
  </numFmts>
  <fonts count="13">
    <font>
      <sz val="10.0"/>
      <color rgb="FF000000"/>
      <name val="Arial"/>
      <scheme val="minor"/>
    </font>
    <font>
      <b/>
      <color theme="1"/>
      <name val="Comfortaa"/>
    </font>
    <font>
      <color theme="1"/>
      <name val="Comfortaa"/>
    </font>
    <font>
      <b/>
      <sz val="9.0"/>
      <color rgb="FF000000"/>
      <name val="Comfortaa"/>
    </font>
    <font>
      <b/>
      <sz val="11.0"/>
      <color rgb="FF282829"/>
      <name val="Comfortaa"/>
    </font>
    <font>
      <b/>
      <sz val="10.0"/>
      <color rgb="FF000000"/>
      <name val="Comfortaa"/>
    </font>
    <font>
      <sz val="11.0"/>
      <color rgb="FF000000"/>
      <name val="Inconsolata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  <font>
      <sz val="9.0"/>
      <color rgb="FF000000"/>
      <name val="Arial"/>
    </font>
    <font>
      <b/>
      <sz val="11.0"/>
      <color rgb="FF282829"/>
      <name val="Arial"/>
      <scheme val="minor"/>
    </font>
    <font>
      <sz val="11.0"/>
      <color rgb="FF535B62"/>
      <name val="Graphik-regula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8EBEF"/>
        <bgColor rgb="FFE8EBEF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EEEEEE"/>
      </left>
      <right style="thin">
        <color rgb="FFEEEEEE"/>
      </right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wrapText="1"/>
    </xf>
    <xf borderId="1" fillId="2" fontId="1" numFmtId="164" xfId="0" applyAlignment="1" applyBorder="1" applyFont="1" applyNumberFormat="1">
      <alignment horizontal="right" readingOrder="0" shrinkToFit="0" wrapText="1"/>
    </xf>
    <xf borderId="0" fillId="2" fontId="1" numFmtId="164" xfId="0" applyAlignment="1" applyFont="1" applyNumberFormat="1">
      <alignment readingOrder="0" shrinkToFit="0" wrapText="1"/>
    </xf>
    <xf borderId="1" fillId="2" fontId="1" numFmtId="165" xfId="0" applyAlignment="1" applyBorder="1" applyFont="1" applyNumberFormat="1">
      <alignment horizontal="right" readingOrder="0" shrinkToFit="0" wrapText="1"/>
    </xf>
    <xf borderId="0" fillId="2" fontId="1" numFmtId="165" xfId="0" applyAlignment="1" applyFont="1" applyNumberFormat="1">
      <alignment readingOrder="0" shrinkToFit="0" wrapText="1"/>
    </xf>
    <xf borderId="0" fillId="2" fontId="1" numFmtId="0" xfId="0" applyAlignment="1" applyFont="1">
      <alignment readingOrder="0" shrinkToFit="0" wrapText="1"/>
    </xf>
    <xf borderId="0" fillId="2" fontId="2" numFmtId="4" xfId="0" applyAlignment="1" applyFont="1" applyNumberFormat="1">
      <alignment readingOrder="0" shrinkToFit="0" wrapText="1"/>
    </xf>
    <xf borderId="1" fillId="2" fontId="2" numFmtId="4" xfId="0" applyAlignment="1" applyBorder="1" applyFont="1" applyNumberFormat="1">
      <alignment horizontal="right" readingOrder="0" shrinkToFit="0" wrapText="1"/>
    </xf>
    <xf borderId="0" fillId="2" fontId="2" numFmtId="0" xfId="0" applyAlignment="1" applyFont="1">
      <alignment shrinkToFit="0" wrapText="1"/>
    </xf>
    <xf borderId="0" fillId="2" fontId="2" numFmtId="0" xfId="0" applyAlignment="1" applyFont="1">
      <alignment readingOrder="0" shrinkToFit="0" wrapText="1"/>
    </xf>
    <xf borderId="1" fillId="2" fontId="2" numFmtId="0" xfId="0" applyAlignment="1" applyBorder="1" applyFont="1">
      <alignment horizontal="right" readingOrder="0" shrinkToFit="0" wrapText="1"/>
    </xf>
    <xf borderId="1" fillId="2" fontId="1" numFmtId="0" xfId="0" applyAlignment="1" applyBorder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1" fillId="2" fontId="2" numFmtId="4" xfId="0" applyAlignment="1" applyBorder="1" applyFont="1" applyNumberFormat="1">
      <alignment horizontal="right" shrinkToFit="0" wrapText="1"/>
    </xf>
    <xf borderId="0" fillId="2" fontId="4" numFmtId="0" xfId="0" applyAlignment="1" applyFont="1">
      <alignment readingOrder="0" shrinkToFit="0" wrapText="1"/>
    </xf>
    <xf borderId="0" fillId="2" fontId="2" numFmtId="4" xfId="0" applyAlignment="1" applyFont="1" applyNumberFormat="1">
      <alignment horizontal="right" readingOrder="0" shrinkToFit="0" wrapText="1"/>
    </xf>
    <xf borderId="0" fillId="2" fontId="2" numFmtId="0" xfId="0" applyAlignment="1" applyFont="1">
      <alignment horizontal="right" readingOrder="0" shrinkToFit="0" wrapText="1"/>
    </xf>
    <xf borderId="1" fillId="2" fontId="1" numFmtId="0" xfId="0" applyAlignment="1" applyBorder="1" applyFont="1">
      <alignment horizontal="right" readingOrder="0" shrinkToFit="0" wrapText="1"/>
    </xf>
    <xf borderId="0" fillId="2" fontId="1" numFmtId="0" xfId="0" applyAlignment="1" applyFont="1">
      <alignment horizontal="right" readingOrder="0" shrinkToFit="0" wrapText="1"/>
    </xf>
    <xf borderId="0" fillId="2" fontId="5" numFmtId="0" xfId="0" applyAlignment="1" applyFont="1">
      <alignment readingOrder="0" shrinkToFit="0" wrapText="1"/>
    </xf>
    <xf borderId="0" fillId="2" fontId="2" numFmtId="166" xfId="0" applyAlignment="1" applyFont="1" applyNumberFormat="1">
      <alignment shrinkToFit="0" wrapText="1"/>
    </xf>
    <xf borderId="0" fillId="2" fontId="1" numFmtId="167" xfId="0" applyAlignment="1" applyFont="1" applyNumberFormat="1">
      <alignment shrinkToFit="0" wrapText="1"/>
    </xf>
    <xf borderId="0" fillId="2" fontId="6" numFmtId="167" xfId="0" applyFont="1" applyNumberFormat="1"/>
    <xf borderId="0" fillId="0" fontId="7" numFmtId="0" xfId="0" applyFont="1"/>
    <xf borderId="0" fillId="2" fontId="2" numFmtId="167" xfId="0" applyAlignment="1" applyFont="1" applyNumberFormat="1">
      <alignment shrinkToFit="0" wrapText="1"/>
    </xf>
    <xf borderId="0" fillId="0" fontId="7" numFmtId="167" xfId="0" applyFont="1" applyNumberFormat="1"/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1" fillId="2" fontId="1" numFmtId="168" xfId="0" applyAlignment="1" applyBorder="1" applyFont="1" applyNumberFormat="1">
      <alignment horizontal="right" readingOrder="0" shrinkToFit="0" wrapText="1"/>
    </xf>
    <xf borderId="1" fillId="2" fontId="2" numFmtId="168" xfId="0" applyAlignment="1" applyBorder="1" applyFont="1" applyNumberFormat="1">
      <alignment horizontal="right" readingOrder="0" shrinkToFit="0" wrapText="1"/>
    </xf>
    <xf borderId="1" fillId="3" fontId="9" numFmtId="4" xfId="0" applyAlignment="1" applyBorder="1" applyFill="1" applyFont="1" applyNumberFormat="1">
      <alignment horizontal="right" readingOrder="0"/>
    </xf>
    <xf borderId="1" fillId="2" fontId="9" numFmtId="0" xfId="0" applyAlignment="1" applyBorder="1" applyFont="1">
      <alignment horizontal="right" readingOrder="0"/>
    </xf>
    <xf borderId="1" fillId="2" fontId="2" numFmtId="0" xfId="0" applyAlignment="1" applyBorder="1" applyFont="1">
      <alignment readingOrder="0" shrinkToFit="0" wrapText="1"/>
    </xf>
    <xf borderId="1" fillId="3" fontId="9" numFmtId="0" xfId="0" applyAlignment="1" applyBorder="1" applyFont="1">
      <alignment horizontal="right" readingOrder="0"/>
    </xf>
    <xf borderId="0" fillId="3" fontId="10" numFmtId="4" xfId="0" applyAlignment="1" applyFont="1" applyNumberFormat="1">
      <alignment readingOrder="0"/>
    </xf>
    <xf borderId="0" fillId="2" fontId="10" numFmtId="4" xfId="0" applyAlignment="1" applyFont="1" applyNumberFormat="1">
      <alignment readingOrder="0"/>
    </xf>
    <xf borderId="1" fillId="2" fontId="9" numFmtId="4" xfId="0" applyAlignment="1" applyBorder="1" applyFont="1" applyNumberFormat="1">
      <alignment horizontal="right" readingOrder="0"/>
    </xf>
    <xf borderId="0" fillId="2" fontId="7" numFmtId="4" xfId="0" applyAlignment="1" applyFont="1" applyNumberFormat="1">
      <alignment horizontal="right" readingOrder="0"/>
    </xf>
    <xf borderId="0" fillId="2" fontId="7" numFmtId="0" xfId="0" applyAlignment="1" applyFont="1">
      <alignment horizontal="right" readingOrder="0"/>
    </xf>
    <xf borderId="0" fillId="2" fontId="7" numFmtId="0" xfId="0" applyAlignment="1" applyFont="1">
      <alignment horizontal="right"/>
    </xf>
    <xf borderId="0" fillId="4" fontId="2" numFmtId="0" xfId="0" applyAlignment="1" applyFill="1" applyFont="1">
      <alignment readingOrder="0" shrinkToFit="0" wrapText="1"/>
    </xf>
    <xf borderId="0" fillId="2" fontId="11" numFmtId="0" xfId="0" applyAlignment="1" applyFont="1">
      <alignment readingOrder="0" shrinkToFit="0" wrapText="1"/>
    </xf>
    <xf borderId="0" fillId="2" fontId="8" numFmtId="0" xfId="0" applyAlignment="1" applyFont="1">
      <alignment readingOrder="0" shrinkToFit="0" wrapText="1"/>
    </xf>
    <xf borderId="0" fillId="0" fontId="8" numFmtId="168" xfId="0" applyAlignment="1" applyFont="1" applyNumberFormat="1">
      <alignment readingOrder="0"/>
    </xf>
    <xf borderId="0" fillId="0" fontId="7" numFmtId="4" xfId="0" applyFont="1" applyNumberFormat="1"/>
    <xf borderId="0" fillId="0" fontId="12" numFmtId="4" xfId="0" applyAlignment="1" applyFont="1" applyNumberFormat="1">
      <alignment horizontal="right" shrinkToFit="0" vertical="bottom" wrapText="1"/>
    </xf>
    <xf borderId="0" fillId="0" fontId="9" numFmtId="0" xfId="0" applyAlignment="1" applyFont="1">
      <alignment vertical="bottom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2.25"/>
    <col customWidth="1" min="2" max="2" width="9.63"/>
    <col customWidth="1" min="3" max="8" width="8.38"/>
  </cols>
  <sheetData>
    <row r="1">
      <c r="A1" s="1"/>
      <c r="B1" s="2">
        <v>44642.0</v>
      </c>
      <c r="C1" s="2">
        <v>44641.0</v>
      </c>
      <c r="D1" s="2">
        <v>44640.0</v>
      </c>
      <c r="E1" s="2">
        <v>44639.0</v>
      </c>
      <c r="F1" s="2">
        <v>44638.0</v>
      </c>
      <c r="G1" s="3">
        <v>44637.0</v>
      </c>
      <c r="H1" s="3">
        <v>44636.0</v>
      </c>
      <c r="I1" s="3">
        <v>44635.0</v>
      </c>
      <c r="J1" s="3">
        <v>44634.0</v>
      </c>
      <c r="K1" s="3">
        <v>44633.0</v>
      </c>
      <c r="L1" s="2">
        <v>44632.0</v>
      </c>
      <c r="M1" s="2">
        <v>44631.0</v>
      </c>
      <c r="N1" s="2">
        <v>44630.0</v>
      </c>
      <c r="O1" s="4">
        <v>44629.0</v>
      </c>
      <c r="P1" s="4">
        <v>44628.0</v>
      </c>
      <c r="Q1" s="5">
        <v>44627.0</v>
      </c>
      <c r="R1" s="5">
        <v>44626.0</v>
      </c>
      <c r="S1" s="5">
        <v>44625.0</v>
      </c>
      <c r="T1" s="5">
        <v>44624.0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>
      <c r="A2" s="6" t="s">
        <v>0</v>
      </c>
      <c r="B2" s="7">
        <v>107164.0</v>
      </c>
      <c r="C2" s="7">
        <v>88379.0</v>
      </c>
      <c r="D2" s="7">
        <v>81747.0</v>
      </c>
      <c r="E2" s="7">
        <v>75959.0</v>
      </c>
      <c r="F2" s="7">
        <v>65960.0</v>
      </c>
      <c r="G2" s="8">
        <v>62351.0</v>
      </c>
      <c r="H2" s="8">
        <v>56989.0</v>
      </c>
      <c r="I2" s="8">
        <v>50637.0</v>
      </c>
      <c r="J2" s="8">
        <v>46917.0</v>
      </c>
      <c r="K2" s="8">
        <v>38980.0</v>
      </c>
      <c r="L2" s="7">
        <v>33083.0</v>
      </c>
      <c r="M2" s="7">
        <v>26532.0</v>
      </c>
      <c r="N2" s="7">
        <v>22107.0</v>
      </c>
      <c r="O2" s="7">
        <v>20766.0</v>
      </c>
      <c r="P2" s="7">
        <v>16331.0</v>
      </c>
      <c r="Q2" s="7">
        <v>13528.0</v>
      </c>
      <c r="R2" s="7">
        <v>9172.0</v>
      </c>
      <c r="S2" s="7">
        <v>6987.26</v>
      </c>
      <c r="T2" s="7">
        <v>4878.61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</row>
    <row r="3">
      <c r="A3" s="6" t="s">
        <v>1</v>
      </c>
      <c r="B3" s="7">
        <f t="shared" ref="B3:T3" si="1">B$2-B$4</f>
        <v>28495</v>
      </c>
      <c r="C3" s="7">
        <f t="shared" si="1"/>
        <v>24477</v>
      </c>
      <c r="D3" s="7">
        <f t="shared" si="1"/>
        <v>20477</v>
      </c>
      <c r="E3" s="7">
        <f t="shared" si="1"/>
        <v>19927</v>
      </c>
      <c r="F3" s="7">
        <f t="shared" si="1"/>
        <v>19908</v>
      </c>
      <c r="G3" s="7">
        <f t="shared" si="1"/>
        <v>0</v>
      </c>
      <c r="H3" s="7">
        <f t="shared" si="1"/>
        <v>0</v>
      </c>
      <c r="I3" s="7">
        <f t="shared" si="1"/>
        <v>0</v>
      </c>
      <c r="J3" s="7">
        <f t="shared" si="1"/>
        <v>0</v>
      </c>
      <c r="K3" s="7">
        <f t="shared" si="1"/>
        <v>0</v>
      </c>
      <c r="L3" s="7">
        <f t="shared" si="1"/>
        <v>11096</v>
      </c>
      <c r="M3" s="7">
        <f t="shared" si="1"/>
        <v>8821</v>
      </c>
      <c r="N3" s="7">
        <f t="shared" si="1"/>
        <v>7520</v>
      </c>
      <c r="O3" s="7">
        <f t="shared" si="1"/>
        <v>6714</v>
      </c>
      <c r="P3" s="7">
        <f t="shared" si="1"/>
        <v>5100</v>
      </c>
      <c r="Q3" s="7">
        <f t="shared" si="1"/>
        <v>4135</v>
      </c>
      <c r="R3" s="7">
        <f t="shared" si="1"/>
        <v>2724</v>
      </c>
      <c r="S3" s="7">
        <f t="shared" si="1"/>
        <v>2184.49</v>
      </c>
      <c r="T3" s="7">
        <f t="shared" si="1"/>
        <v>1470.47</v>
      </c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</row>
    <row r="4">
      <c r="A4" s="6" t="s">
        <v>2</v>
      </c>
      <c r="B4" s="7">
        <v>78669.0</v>
      </c>
      <c r="C4" s="7">
        <v>63902.0</v>
      </c>
      <c r="D4" s="7">
        <v>61270.0</v>
      </c>
      <c r="E4" s="7">
        <v>56032.0</v>
      </c>
      <c r="F4" s="7">
        <v>46052.0</v>
      </c>
      <c r="G4" s="8">
        <v>62351.0</v>
      </c>
      <c r="H4" s="8">
        <v>56989.0</v>
      </c>
      <c r="I4" s="8">
        <v>50637.0</v>
      </c>
      <c r="J4" s="8">
        <v>46917.0</v>
      </c>
      <c r="K4" s="8">
        <v>38980.0</v>
      </c>
      <c r="L4" s="7">
        <v>21987.0</v>
      </c>
      <c r="M4" s="7">
        <v>17711.0</v>
      </c>
      <c r="N4" s="7">
        <v>14587.0</v>
      </c>
      <c r="O4" s="7">
        <v>14052.0</v>
      </c>
      <c r="P4" s="7">
        <v>11231.0</v>
      </c>
      <c r="Q4" s="7">
        <v>9393.0</v>
      </c>
      <c r="R4" s="7">
        <v>6448.0</v>
      </c>
      <c r="S4" s="7">
        <v>4802.77</v>
      </c>
      <c r="T4" s="7">
        <v>3408.14</v>
      </c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</row>
    <row r="5">
      <c r="A5" s="6" t="s">
        <v>3</v>
      </c>
      <c r="B5" s="7">
        <v>28495.0</v>
      </c>
      <c r="C5" s="7">
        <v>24477.0</v>
      </c>
      <c r="D5" s="7">
        <v>20477.0</v>
      </c>
      <c r="E5" s="7">
        <v>19927.0</v>
      </c>
      <c r="F5" s="7">
        <v>19908.0</v>
      </c>
      <c r="G5" s="7">
        <v>18938.0</v>
      </c>
      <c r="H5" s="7">
        <v>17600.0</v>
      </c>
      <c r="I5" s="7">
        <v>16386.0</v>
      </c>
      <c r="J5" s="7">
        <v>14002.0</v>
      </c>
      <c r="K5" s="7">
        <v>12274.0</v>
      </c>
      <c r="L5" s="7">
        <v>11096.0</v>
      </c>
      <c r="M5" s="7">
        <v>8821.0</v>
      </c>
      <c r="N5" s="7">
        <v>7520.0</v>
      </c>
      <c r="O5" s="7">
        <v>6714.0</v>
      </c>
      <c r="P5" s="7">
        <v>5100.0</v>
      </c>
      <c r="Q5" s="7">
        <v>4135.0</v>
      </c>
      <c r="R5" s="7">
        <v>2724.0</v>
      </c>
      <c r="S5" s="7">
        <v>2184.49</v>
      </c>
      <c r="T5" s="7">
        <v>1470.47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</row>
    <row r="6">
      <c r="A6" s="6" t="s">
        <v>4</v>
      </c>
      <c r="B6" s="7">
        <v>21235.0</v>
      </c>
      <c r="C6" s="7">
        <v>18048.0</v>
      </c>
      <c r="D6" s="7">
        <v>15543.0</v>
      </c>
      <c r="E6" s="7">
        <v>14702.0</v>
      </c>
      <c r="F6" s="7">
        <v>16155.0</v>
      </c>
      <c r="G6" s="7">
        <v>13818.0</v>
      </c>
      <c r="H6" s="7">
        <v>12693.0</v>
      </c>
      <c r="I6" s="7">
        <v>12164.0</v>
      </c>
      <c r="J6" s="7">
        <v>10194.0</v>
      </c>
      <c r="K6" s="7">
        <v>9116.0</v>
      </c>
      <c r="L6" s="7">
        <v>8470.0</v>
      </c>
      <c r="M6" s="7">
        <v>6443.0</v>
      </c>
      <c r="N6" s="7">
        <v>5803.0</v>
      </c>
      <c r="O6" s="7">
        <v>5818.0</v>
      </c>
      <c r="P6" s="7">
        <v>4470.0</v>
      </c>
      <c r="Q6" s="7">
        <v>3778.0</v>
      </c>
      <c r="R6" s="7">
        <v>2421.0</v>
      </c>
      <c r="S6" s="7">
        <v>1899.79</v>
      </c>
      <c r="T6" s="7">
        <v>1243.47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</row>
    <row r="7">
      <c r="A7" s="6" t="s">
        <v>5</v>
      </c>
      <c r="B7" s="10">
        <v>50.27</v>
      </c>
      <c r="C7" s="10">
        <v>42.37</v>
      </c>
      <c r="D7" s="10">
        <v>36.34</v>
      </c>
      <c r="E7" s="10">
        <v>33.66</v>
      </c>
      <c r="F7" s="10">
        <v>71.28</v>
      </c>
      <c r="G7" s="10">
        <v>60.16</v>
      </c>
      <c r="H7" s="10">
        <v>55.26</v>
      </c>
      <c r="I7" s="10">
        <v>105.91</v>
      </c>
      <c r="J7" s="10">
        <v>178.39</v>
      </c>
      <c r="K7" s="10">
        <v>158.76</v>
      </c>
      <c r="L7" s="10">
        <v>147.51</v>
      </c>
      <c r="M7" s="10">
        <v>112.26</v>
      </c>
      <c r="N7" s="10">
        <v>101.1</v>
      </c>
      <c r="O7" s="10">
        <v>101.71</v>
      </c>
      <c r="P7" s="10">
        <v>78.15</v>
      </c>
      <c r="Q7" s="11">
        <v>66.05</v>
      </c>
      <c r="R7" s="11">
        <v>87.72</v>
      </c>
      <c r="S7" s="11">
        <v>70.21</v>
      </c>
      <c r="T7" s="11">
        <v>186.6</v>
      </c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</row>
    <row r="8">
      <c r="A8" s="6" t="s">
        <v>6</v>
      </c>
      <c r="B8" s="10">
        <v>50.21</v>
      </c>
      <c r="C8" s="10">
        <v>42.33</v>
      </c>
      <c r="D8" s="10">
        <v>36.32</v>
      </c>
      <c r="E8" s="10">
        <v>33.64</v>
      </c>
      <c r="F8" s="10">
        <v>71.25</v>
      </c>
      <c r="G8" s="10">
        <v>60.15</v>
      </c>
      <c r="H8" s="10">
        <v>55.26</v>
      </c>
      <c r="I8" s="10">
        <v>105.91</v>
      </c>
      <c r="J8" s="10">
        <v>178.39</v>
      </c>
      <c r="K8" s="10">
        <v>158.76</v>
      </c>
      <c r="L8" s="10">
        <v>147.5</v>
      </c>
      <c r="M8" s="10">
        <v>122.22</v>
      </c>
      <c r="N8" s="10">
        <v>101.1</v>
      </c>
      <c r="O8" s="10">
        <v>101.71</v>
      </c>
      <c r="P8" s="10">
        <v>78.15</v>
      </c>
      <c r="Q8" s="11">
        <v>66.05</v>
      </c>
      <c r="R8" s="11">
        <v>87.72</v>
      </c>
      <c r="S8" s="11">
        <v>70.21</v>
      </c>
      <c r="T8" s="11">
        <v>186.6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</row>
    <row r="9">
      <c r="A9" s="12" t="s">
        <v>7</v>
      </c>
      <c r="B9" s="8">
        <v>12700.0</v>
      </c>
      <c r="C9" s="8">
        <v>9158.0</v>
      </c>
      <c r="D9" s="8">
        <v>9553.0</v>
      </c>
      <c r="E9" s="8">
        <v>13768.0</v>
      </c>
      <c r="F9" s="8">
        <v>5623.0</v>
      </c>
      <c r="G9" s="7">
        <v>6980.0</v>
      </c>
      <c r="H9" s="7">
        <v>5570.0</v>
      </c>
      <c r="I9" s="7">
        <v>5111.0</v>
      </c>
      <c r="J9" s="7">
        <v>3618.0</v>
      </c>
      <c r="K9" s="7">
        <v>2412.0</v>
      </c>
      <c r="L9" s="7">
        <v>2699.0</v>
      </c>
      <c r="M9" s="7">
        <v>3445.0</v>
      </c>
      <c r="N9" s="7">
        <v>1434.0</v>
      </c>
      <c r="O9" s="7">
        <v>1345.0</v>
      </c>
      <c r="P9" s="7">
        <v>1902.0</v>
      </c>
      <c r="Q9" s="10">
        <v>649.0</v>
      </c>
      <c r="R9" s="7">
        <v>1238.0</v>
      </c>
      <c r="S9" s="10">
        <v>309.8</v>
      </c>
      <c r="T9" s="10">
        <v>862.46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</row>
    <row r="10">
      <c r="A10" s="12" t="s">
        <v>8</v>
      </c>
      <c r="B10" s="11">
        <v>620.0</v>
      </c>
      <c r="C10" s="8">
        <v>9158.0</v>
      </c>
      <c r="D10" s="11">
        <v>350.0</v>
      </c>
      <c r="E10" s="11">
        <v>430.0</v>
      </c>
      <c r="F10" s="11">
        <v>870.0</v>
      </c>
      <c r="G10" s="10">
        <v>515.0</v>
      </c>
      <c r="H10" s="10">
        <v>485.0</v>
      </c>
      <c r="I10" s="7">
        <v>1190.0</v>
      </c>
      <c r="J10" s="7">
        <v>1260.0</v>
      </c>
      <c r="K10" s="10">
        <v>840.0</v>
      </c>
      <c r="L10" s="10">
        <v>940.0</v>
      </c>
      <c r="M10" s="7">
        <v>1200.0</v>
      </c>
      <c r="N10" s="10">
        <v>500.0</v>
      </c>
      <c r="O10" s="10">
        <v>470.0</v>
      </c>
      <c r="P10" s="10">
        <v>665.0</v>
      </c>
      <c r="Q10" s="10">
        <v>230.0</v>
      </c>
      <c r="R10" s="10">
        <v>900.0</v>
      </c>
      <c r="S10" s="10">
        <v>230.0</v>
      </c>
      <c r="T10" s="7">
        <v>2590.0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</row>
    <row r="11">
      <c r="A11" s="12" t="s">
        <v>9</v>
      </c>
      <c r="B11" s="8">
        <v>2103.0</v>
      </c>
      <c r="C11" s="8">
        <v>2130.0</v>
      </c>
      <c r="D11" s="8">
        <v>2129.0</v>
      </c>
      <c r="E11" s="8">
        <v>2178.0</v>
      </c>
      <c r="F11" s="8">
        <v>1092.0</v>
      </c>
      <c r="G11" s="7">
        <v>1148.0</v>
      </c>
      <c r="H11" s="7">
        <v>1148.0</v>
      </c>
      <c r="I11" s="10">
        <v>574.0</v>
      </c>
      <c r="J11" s="10">
        <v>286.0</v>
      </c>
      <c r="K11" s="10">
        <v>287.0</v>
      </c>
      <c r="L11" s="11">
        <v>287.0</v>
      </c>
      <c r="M11" s="11">
        <v>287.0</v>
      </c>
      <c r="N11" s="11">
        <v>287.0</v>
      </c>
      <c r="O11" s="11">
        <v>286.0</v>
      </c>
      <c r="P11" s="11">
        <v>286.0</v>
      </c>
      <c r="Q11" s="11">
        <v>286.0</v>
      </c>
      <c r="R11" s="11">
        <v>138.0</v>
      </c>
      <c r="S11" s="11">
        <v>135.29</v>
      </c>
      <c r="T11" s="11">
        <v>33.32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>
      <c r="A12" s="12" t="s">
        <v>10</v>
      </c>
      <c r="B12" s="8">
        <v>69306.0</v>
      </c>
      <c r="C12" s="8">
        <v>71531.0</v>
      </c>
      <c r="D12" s="8">
        <v>62234.0</v>
      </c>
      <c r="E12" s="8">
        <v>62711.0</v>
      </c>
      <c r="F12" s="8">
        <v>63502.0</v>
      </c>
      <c r="G12" s="7">
        <v>68017.0</v>
      </c>
      <c r="H12" s="7">
        <v>61082.0</v>
      </c>
      <c r="I12" s="7">
        <v>48068.0</v>
      </c>
      <c r="J12" s="7">
        <v>42092.0</v>
      </c>
      <c r="K12" s="7">
        <v>36059.0</v>
      </c>
      <c r="L12" s="8">
        <v>29757.0</v>
      </c>
      <c r="M12" s="8">
        <v>24501.0</v>
      </c>
      <c r="N12" s="8">
        <v>22036.0</v>
      </c>
      <c r="O12" s="8">
        <v>17809.0</v>
      </c>
      <c r="P12" s="8">
        <v>13490.0</v>
      </c>
      <c r="Q12" s="8">
        <v>11162.0</v>
      </c>
      <c r="R12" s="8">
        <v>6897.0</v>
      </c>
      <c r="S12" s="8">
        <v>5241.73</v>
      </c>
      <c r="T12" s="8">
        <v>3253.43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>
      <c r="A13" s="6" t="s">
        <v>11</v>
      </c>
      <c r="B13" s="7">
        <v>5105.0</v>
      </c>
      <c r="C13" s="7">
        <v>4786.0</v>
      </c>
      <c r="D13" s="7">
        <v>3587.0</v>
      </c>
      <c r="E13" s="10">
        <v>789.0</v>
      </c>
      <c r="F13" s="10">
        <v>713.0</v>
      </c>
      <c r="G13" s="10">
        <v>82.0</v>
      </c>
      <c r="H13" s="10">
        <v>62.0</v>
      </c>
      <c r="I13" s="10">
        <v>30.0</v>
      </c>
      <c r="J13" s="10">
        <v>364.0</v>
      </c>
      <c r="K13" s="10">
        <v>176.0</v>
      </c>
      <c r="L13" s="11">
        <v>0.0</v>
      </c>
      <c r="M13" s="11">
        <v>0.0</v>
      </c>
      <c r="N13" s="11">
        <v>232.0</v>
      </c>
      <c r="O13" s="11">
        <v>37.0</v>
      </c>
      <c r="P13" s="11">
        <v>0.0</v>
      </c>
      <c r="Q13" s="11">
        <v>0.0</v>
      </c>
      <c r="R13" s="11">
        <v>0.0</v>
      </c>
      <c r="S13" s="11">
        <v>0.0</v>
      </c>
      <c r="T13" s="11">
        <v>0.0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</row>
    <row r="14">
      <c r="A14" s="6" t="s">
        <v>12</v>
      </c>
      <c r="B14" s="7">
        <v>24976.0</v>
      </c>
      <c r="C14" s="7">
        <v>17622.0</v>
      </c>
      <c r="D14" s="7">
        <v>15220.0</v>
      </c>
      <c r="E14" s="7">
        <v>15430.0</v>
      </c>
      <c r="F14" s="7">
        <v>11662.0</v>
      </c>
      <c r="G14" s="8">
        <v>11786.0</v>
      </c>
      <c r="H14" s="8">
        <v>11588.0</v>
      </c>
      <c r="I14" s="8">
        <v>13715.0</v>
      </c>
      <c r="J14" s="8">
        <v>10256.0</v>
      </c>
      <c r="K14" s="8">
        <v>6793.0</v>
      </c>
      <c r="L14" s="8">
        <v>6058.0</v>
      </c>
      <c r="M14" s="8">
        <v>4353.0</v>
      </c>
      <c r="N14" s="8">
        <v>3798.0</v>
      </c>
      <c r="O14" s="8">
        <v>3305.0</v>
      </c>
      <c r="P14" s="8">
        <v>3731.0</v>
      </c>
      <c r="Q14" s="8">
        <v>1824.0</v>
      </c>
      <c r="R14" s="8">
        <v>2217.0</v>
      </c>
      <c r="S14" s="8">
        <v>1346.04</v>
      </c>
      <c r="T14" s="8">
        <v>1883.52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</row>
    <row r="15">
      <c r="A15" s="6" t="s">
        <v>13</v>
      </c>
      <c r="B15" s="7">
        <v>99387.0</v>
      </c>
      <c r="C15" s="7">
        <v>93939.0</v>
      </c>
      <c r="D15" s="7">
        <v>81041.0</v>
      </c>
      <c r="E15" s="7">
        <v>78930.0</v>
      </c>
      <c r="F15" s="7">
        <v>75877.0</v>
      </c>
      <c r="G15" s="8">
        <v>79885.0</v>
      </c>
      <c r="H15" s="8">
        <v>72732.0</v>
      </c>
      <c r="I15" s="8">
        <v>61813.0</v>
      </c>
      <c r="J15" s="8">
        <v>52712.0</v>
      </c>
      <c r="K15" s="8">
        <v>43028.0</v>
      </c>
      <c r="L15" s="8">
        <v>35815.0</v>
      </c>
      <c r="M15" s="8">
        <v>28854.0</v>
      </c>
      <c r="N15" s="8">
        <v>26066.0</v>
      </c>
      <c r="O15" s="8">
        <v>21151.0</v>
      </c>
      <c r="P15" s="8">
        <v>17221.0</v>
      </c>
      <c r="Q15" s="8">
        <v>12986.0</v>
      </c>
      <c r="R15" s="8">
        <v>9114.0</v>
      </c>
      <c r="S15" s="8">
        <v>6587.77</v>
      </c>
      <c r="T15" s="8">
        <v>5136.95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</row>
    <row r="16">
      <c r="A16" s="6" t="s">
        <v>14</v>
      </c>
      <c r="B16" s="7">
        <v>15349.0</v>
      </c>
      <c r="C16" s="7">
        <v>15505.0</v>
      </c>
      <c r="D16" s="7">
        <v>14919.0</v>
      </c>
      <c r="E16" s="7">
        <v>11709.0</v>
      </c>
      <c r="F16" s="7">
        <v>10599.0</v>
      </c>
      <c r="G16" s="8">
        <v>9852.0</v>
      </c>
      <c r="H16" s="8">
        <v>9182.0</v>
      </c>
      <c r="I16" s="8">
        <v>8116.0</v>
      </c>
      <c r="J16" s="8">
        <v>6686.0</v>
      </c>
      <c r="K16" s="8">
        <v>5588.0</v>
      </c>
      <c r="L16" s="8">
        <v>4649.0</v>
      </c>
      <c r="M16" s="8">
        <v>4305.0</v>
      </c>
      <c r="N16" s="8">
        <v>4188.0</v>
      </c>
      <c r="O16" s="8">
        <v>4414.0</v>
      </c>
      <c r="P16" s="8">
        <v>3931.0</v>
      </c>
      <c r="Q16" s="8">
        <v>3107.0</v>
      </c>
      <c r="R16" s="8">
        <v>2133.0</v>
      </c>
      <c r="S16" s="8">
        <v>1494.42</v>
      </c>
      <c r="T16" s="11">
        <v>970.3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</row>
    <row r="17">
      <c r="A17" s="6" t="s">
        <v>15</v>
      </c>
      <c r="B17" s="7">
        <f t="shared" ref="B17:S17" si="2">B$16-C$16</f>
        <v>-156</v>
      </c>
      <c r="C17" s="7">
        <f t="shared" si="2"/>
        <v>586</v>
      </c>
      <c r="D17" s="7">
        <f t="shared" si="2"/>
        <v>3210</v>
      </c>
      <c r="E17" s="7">
        <f t="shared" si="2"/>
        <v>1110</v>
      </c>
      <c r="F17" s="7">
        <f t="shared" si="2"/>
        <v>747</v>
      </c>
      <c r="G17" s="7">
        <f t="shared" si="2"/>
        <v>670</v>
      </c>
      <c r="H17" s="7">
        <f t="shared" si="2"/>
        <v>1066</v>
      </c>
      <c r="I17" s="7">
        <f t="shared" si="2"/>
        <v>1430</v>
      </c>
      <c r="J17" s="7">
        <f t="shared" si="2"/>
        <v>1098</v>
      </c>
      <c r="K17" s="7">
        <f t="shared" si="2"/>
        <v>939</v>
      </c>
      <c r="L17" s="7">
        <f t="shared" si="2"/>
        <v>344</v>
      </c>
      <c r="M17" s="7">
        <f t="shared" si="2"/>
        <v>117</v>
      </c>
      <c r="N17" s="7">
        <f t="shared" si="2"/>
        <v>-226</v>
      </c>
      <c r="O17" s="7">
        <f t="shared" si="2"/>
        <v>483</v>
      </c>
      <c r="P17" s="7">
        <f t="shared" si="2"/>
        <v>824</v>
      </c>
      <c r="Q17" s="7">
        <f t="shared" si="2"/>
        <v>974</v>
      </c>
      <c r="R17" s="7">
        <f t="shared" si="2"/>
        <v>638.58</v>
      </c>
      <c r="S17" s="7">
        <f t="shared" si="2"/>
        <v>524.12</v>
      </c>
      <c r="T17" s="7" t="s">
        <v>16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</row>
    <row r="18">
      <c r="A18" s="6" t="s">
        <v>17</v>
      </c>
      <c r="B18" s="7">
        <v>46950.0</v>
      </c>
      <c r="C18" s="7">
        <v>45657.0</v>
      </c>
      <c r="D18" s="7">
        <v>37221.0</v>
      </c>
      <c r="E18" s="7">
        <v>32707.0</v>
      </c>
      <c r="F18" s="7">
        <v>31787.0</v>
      </c>
      <c r="G18" s="8">
        <v>32203.0</v>
      </c>
      <c r="H18" s="8">
        <v>26635.0</v>
      </c>
      <c r="I18" s="8">
        <v>19061.0</v>
      </c>
      <c r="J18" s="8">
        <v>13475.0</v>
      </c>
      <c r="K18" s="8">
        <v>10290.0</v>
      </c>
      <c r="L18" s="8">
        <v>6247.0</v>
      </c>
      <c r="M18" s="8">
        <v>5860.0</v>
      </c>
      <c r="N18" s="8">
        <v>9137.0</v>
      </c>
      <c r="O18" s="8">
        <v>5558.0</v>
      </c>
      <c r="P18" s="8">
        <v>4994.0</v>
      </c>
      <c r="Q18" s="8">
        <v>4025.0</v>
      </c>
      <c r="R18" s="8">
        <v>3065.0</v>
      </c>
      <c r="S18" s="8">
        <v>2857.15</v>
      </c>
      <c r="T18" s="8">
        <v>2033.31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</row>
    <row r="19">
      <c r="A19" s="6" t="s">
        <v>18</v>
      </c>
      <c r="B19" s="7">
        <v>52437.0</v>
      </c>
      <c r="C19" s="7">
        <v>48282.0</v>
      </c>
      <c r="D19" s="7">
        <v>43820.0</v>
      </c>
      <c r="E19" s="7">
        <v>46223.0</v>
      </c>
      <c r="F19" s="7">
        <v>44090.0</v>
      </c>
      <c r="G19" s="8">
        <v>47682.0</v>
      </c>
      <c r="H19" s="8">
        <v>46097.0</v>
      </c>
      <c r="I19" s="8">
        <v>42752.0</v>
      </c>
      <c r="J19" s="8">
        <v>39237.0</v>
      </c>
      <c r="K19" s="8">
        <v>32738.0</v>
      </c>
      <c r="L19" s="8">
        <v>29568.0</v>
      </c>
      <c r="M19" s="8">
        <v>22994.0</v>
      </c>
      <c r="N19" s="8">
        <v>16929.0</v>
      </c>
      <c r="O19" s="8">
        <v>15593.0</v>
      </c>
      <c r="P19" s="8">
        <v>12227.0</v>
      </c>
      <c r="Q19" s="8">
        <v>8961.0</v>
      </c>
      <c r="R19" s="8">
        <v>6049.0</v>
      </c>
      <c r="S19" s="8">
        <v>3730.62</v>
      </c>
      <c r="T19" s="8">
        <v>3103.64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</row>
    <row r="20">
      <c r="A20" s="6" t="s">
        <v>19</v>
      </c>
      <c r="B20" s="7">
        <v>99387.0</v>
      </c>
      <c r="C20" s="7">
        <v>93939.0</v>
      </c>
      <c r="D20" s="7">
        <v>81041.0</v>
      </c>
      <c r="E20" s="7">
        <v>78930.0</v>
      </c>
      <c r="F20" s="7">
        <v>75877.0</v>
      </c>
      <c r="G20" s="8">
        <v>79885.0</v>
      </c>
      <c r="H20" s="8">
        <v>72732.0</v>
      </c>
      <c r="I20" s="8">
        <v>61813.0</v>
      </c>
      <c r="J20" s="8">
        <v>52712.0</v>
      </c>
      <c r="K20" s="8">
        <v>43028.0</v>
      </c>
      <c r="L20" s="8">
        <v>35815.0</v>
      </c>
      <c r="M20" s="8">
        <v>28854.0</v>
      </c>
      <c r="N20" s="8">
        <v>26066.0</v>
      </c>
      <c r="O20" s="8">
        <v>21151.0</v>
      </c>
      <c r="P20" s="8">
        <v>17221.0</v>
      </c>
      <c r="Q20" s="8">
        <v>12986.0</v>
      </c>
      <c r="R20" s="8">
        <v>9114.0</v>
      </c>
      <c r="S20" s="8">
        <v>6587.77</v>
      </c>
      <c r="T20" s="8">
        <v>5136.95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>
      <c r="A21" s="1"/>
      <c r="B21" s="9"/>
      <c r="C21" s="7"/>
      <c r="D21" s="7"/>
      <c r="E21" s="9"/>
      <c r="F21" s="9"/>
      <c r="G21" s="8"/>
      <c r="H21" s="11"/>
      <c r="I21" s="8"/>
      <c r="J21" s="8"/>
      <c r="K21" s="8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</row>
    <row r="22">
      <c r="A22" s="13"/>
      <c r="B22" s="11"/>
      <c r="C22" s="8"/>
      <c r="D22" s="8"/>
      <c r="E22" s="11"/>
      <c r="F22" s="11"/>
      <c r="G22" s="8"/>
      <c r="H22" s="11"/>
      <c r="I22" s="8"/>
      <c r="J22" s="8"/>
      <c r="K22" s="8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</row>
    <row r="23">
      <c r="A23" s="13"/>
      <c r="B23" s="2">
        <v>44642.0</v>
      </c>
      <c r="C23" s="2">
        <v>44641.0</v>
      </c>
      <c r="D23" s="2">
        <v>44639.0</v>
      </c>
      <c r="E23" s="2">
        <v>44638.0</v>
      </c>
      <c r="F23" s="2">
        <v>44638.0</v>
      </c>
      <c r="G23" s="2">
        <v>44637.0</v>
      </c>
      <c r="H23" s="2">
        <v>44636.0</v>
      </c>
      <c r="I23" s="2">
        <v>44635.0</v>
      </c>
      <c r="J23" s="2">
        <v>44634.0</v>
      </c>
      <c r="K23" s="2">
        <v>44633.0</v>
      </c>
      <c r="L23" s="2">
        <v>44632.0</v>
      </c>
      <c r="M23" s="3">
        <v>44631.0</v>
      </c>
      <c r="N23" s="3">
        <v>44630.0</v>
      </c>
      <c r="O23" s="5">
        <v>44629.0</v>
      </c>
      <c r="P23" s="5">
        <v>44628.0</v>
      </c>
      <c r="Q23" s="5">
        <v>44627.0</v>
      </c>
      <c r="R23" s="5">
        <v>44626.0</v>
      </c>
      <c r="S23" s="5">
        <v>44625.0</v>
      </c>
      <c r="T23" s="5">
        <v>44624.0</v>
      </c>
      <c r="U23" s="13" t="s">
        <v>20</v>
      </c>
      <c r="V23" s="14"/>
      <c r="W23" s="14"/>
      <c r="X23" s="14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>
      <c r="A24" s="12" t="s">
        <v>21</v>
      </c>
      <c r="B24" s="8">
        <v>21235.0</v>
      </c>
      <c r="C24" s="8">
        <v>18048.0</v>
      </c>
      <c r="D24" s="15">
        <v>14702.0</v>
      </c>
      <c r="E24" s="15">
        <v>16155.0</v>
      </c>
      <c r="F24" s="15">
        <v>16155.0</v>
      </c>
      <c r="G24" s="15">
        <v>13818.0</v>
      </c>
      <c r="H24" s="8">
        <v>12693.0</v>
      </c>
      <c r="I24" s="8">
        <v>16798.0</v>
      </c>
      <c r="J24" s="8">
        <v>14002.0</v>
      </c>
      <c r="K24" s="8">
        <v>12274.0</v>
      </c>
      <c r="L24" s="8">
        <v>11096.0</v>
      </c>
      <c r="M24" s="7">
        <v>8821.0</v>
      </c>
      <c r="N24" s="7">
        <v>7472.0</v>
      </c>
      <c r="O24" s="7">
        <v>6714.0</v>
      </c>
      <c r="P24" s="7">
        <v>5100.0</v>
      </c>
      <c r="Q24" s="7">
        <v>4129.0</v>
      </c>
      <c r="R24" s="8">
        <v>2724.0</v>
      </c>
      <c r="S24" s="8">
        <v>2184.49</v>
      </c>
      <c r="T24" s="8">
        <v>1470.47</v>
      </c>
      <c r="U24" s="14"/>
      <c r="V24" s="14"/>
      <c r="W24" s="14"/>
      <c r="X24" s="14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</row>
    <row r="25">
      <c r="A25" s="6" t="s">
        <v>22</v>
      </c>
      <c r="B25" s="7">
        <v>22096.0</v>
      </c>
      <c r="C25" s="7">
        <v>19902.0</v>
      </c>
      <c r="D25" s="9">
        <v>13989.0</v>
      </c>
      <c r="E25" s="9">
        <v>12475.0</v>
      </c>
      <c r="F25" s="9">
        <v>12475.0</v>
      </c>
      <c r="G25" s="9">
        <v>10478.0</v>
      </c>
      <c r="H25" s="8">
        <v>9578.0</v>
      </c>
      <c r="I25" s="8">
        <v>7955.0</v>
      </c>
      <c r="J25" s="8">
        <v>9148.0</v>
      </c>
      <c r="K25" s="8">
        <v>6942.0</v>
      </c>
      <c r="L25" s="8">
        <v>5955.0</v>
      </c>
      <c r="M25" s="8">
        <v>4270.0</v>
      </c>
      <c r="N25" s="8">
        <v>5876.0</v>
      </c>
      <c r="O25" s="8">
        <v>5152.0</v>
      </c>
      <c r="P25" s="8">
        <v>3816.0</v>
      </c>
      <c r="Q25" s="8">
        <v>3256.0</v>
      </c>
      <c r="R25" s="8">
        <v>2237.0</v>
      </c>
      <c r="S25" s="8">
        <v>1359.7</v>
      </c>
      <c r="T25" s="8">
        <v>1633.97</v>
      </c>
      <c r="U25" s="14"/>
      <c r="V25" s="14"/>
      <c r="W25" s="14"/>
      <c r="X25" s="14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</row>
    <row r="26">
      <c r="A26" s="6" t="s">
        <v>23</v>
      </c>
      <c r="B26" s="7">
        <v>-3150.0</v>
      </c>
      <c r="C26" s="7">
        <v>-6309.0</v>
      </c>
      <c r="D26" s="9">
        <v>-587.0</v>
      </c>
      <c r="E26" s="9">
        <v>5684.0</v>
      </c>
      <c r="F26" s="9">
        <v>5684.0</v>
      </c>
      <c r="G26" s="9">
        <v>-13494.0</v>
      </c>
      <c r="H26" s="8">
        <v>-1207.0</v>
      </c>
      <c r="I26" s="11">
        <v>665.0</v>
      </c>
      <c r="J26" s="8">
        <v>-2307.0</v>
      </c>
      <c r="K26" s="8">
        <v>-2824.0</v>
      </c>
      <c r="L26" s="11">
        <v>565.0</v>
      </c>
      <c r="M26" s="8">
        <v>3235.0</v>
      </c>
      <c r="N26" s="8">
        <v>-3314.0</v>
      </c>
      <c r="O26" s="11">
        <v>-195.0</v>
      </c>
      <c r="P26" s="11">
        <v>-978.0</v>
      </c>
      <c r="Q26" s="8">
        <v>-1065.0</v>
      </c>
      <c r="R26" s="11">
        <v>-392.0</v>
      </c>
      <c r="S26" s="11">
        <v>-939.88</v>
      </c>
      <c r="T26" s="8">
        <v>-1332.01</v>
      </c>
      <c r="U26" s="14"/>
      <c r="V26" s="14"/>
      <c r="W26" s="14"/>
      <c r="X26" s="14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</row>
    <row r="27">
      <c r="A27" s="6" t="s">
        <v>24</v>
      </c>
      <c r="B27" s="7">
        <v>-24275.0</v>
      </c>
      <c r="C27" s="7">
        <v>-9566.0</v>
      </c>
      <c r="D27" s="9">
        <v>-14571.0</v>
      </c>
      <c r="E27" s="9">
        <v>-20536.0</v>
      </c>
      <c r="F27" s="9">
        <v>-20536.0</v>
      </c>
      <c r="G27" s="9">
        <v>-6968.0</v>
      </c>
      <c r="H27" s="8">
        <v>-6908.0</v>
      </c>
      <c r="I27" s="8">
        <v>-4961.0</v>
      </c>
      <c r="J27" s="8">
        <v>-3177.0</v>
      </c>
      <c r="K27" s="8">
        <v>-3319.0</v>
      </c>
      <c r="L27" s="8">
        <v>-2298.0</v>
      </c>
      <c r="M27" s="8">
        <v>-3642.0</v>
      </c>
      <c r="N27" s="8">
        <v>-1486.0</v>
      </c>
      <c r="O27" s="8">
        <v>-2430.0</v>
      </c>
      <c r="P27" s="11">
        <v>-777.0</v>
      </c>
      <c r="Q27" s="11">
        <v>-316.0</v>
      </c>
      <c r="R27" s="10">
        <v>244.0</v>
      </c>
      <c r="S27" s="10">
        <v>-580.1</v>
      </c>
      <c r="T27" s="10">
        <v>-94.48</v>
      </c>
      <c r="U27" s="14"/>
      <c r="V27" s="14"/>
      <c r="W27" s="14"/>
      <c r="X27" s="14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</row>
    <row r="28">
      <c r="A28" s="6" t="s">
        <v>25</v>
      </c>
      <c r="B28" s="8">
        <v>2429.0</v>
      </c>
      <c r="C28" s="8">
        <v>2321.0</v>
      </c>
      <c r="D28" s="8">
        <v>2144.0</v>
      </c>
      <c r="E28" s="8">
        <v>1599.0</v>
      </c>
      <c r="F28" s="8">
        <v>1408.0</v>
      </c>
      <c r="G28" s="8">
        <v>1331.0</v>
      </c>
      <c r="H28" s="8">
        <v>1115.0</v>
      </c>
      <c r="I28" s="8">
        <v>913.0</v>
      </c>
      <c r="J28" s="8">
        <v>1101.0</v>
      </c>
      <c r="K28" s="8">
        <v>956.0</v>
      </c>
      <c r="L28" s="8">
        <v>794.0</v>
      </c>
      <c r="M28" s="8">
        <v>740.0</v>
      </c>
      <c r="N28" s="8">
        <v>807.0</v>
      </c>
      <c r="O28" s="8">
        <v>694.0</v>
      </c>
      <c r="P28" s="11">
        <v>546.0</v>
      </c>
      <c r="Q28" s="11">
        <v>469.0</v>
      </c>
      <c r="R28" s="11">
        <v>409.0</v>
      </c>
      <c r="S28" s="11">
        <v>268.22</v>
      </c>
      <c r="T28" s="11">
        <v>230.9</v>
      </c>
      <c r="U28" s="11">
        <v>188.95</v>
      </c>
      <c r="V28" s="14"/>
      <c r="W28" s="14"/>
      <c r="X28" s="14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</row>
    <row r="29">
      <c r="A29" s="16" t="s">
        <v>26</v>
      </c>
      <c r="B29" s="7"/>
      <c r="C29" s="7"/>
      <c r="D29" s="9"/>
      <c r="E29" s="9"/>
      <c r="F29" s="9"/>
      <c r="G29" s="9"/>
      <c r="H29" s="17"/>
      <c r="I29" s="17"/>
      <c r="J29" s="17"/>
      <c r="K29" s="17"/>
      <c r="L29" s="17"/>
      <c r="M29" s="17"/>
      <c r="N29" s="17"/>
      <c r="O29" s="17"/>
      <c r="P29" s="18"/>
      <c r="Q29" s="18"/>
      <c r="R29" s="10"/>
      <c r="S29" s="10"/>
      <c r="T29" s="10"/>
      <c r="U29" s="14"/>
      <c r="V29" s="14"/>
      <c r="W29" s="14"/>
      <c r="X29" s="14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</row>
    <row r="30">
      <c r="A30" s="6" t="s">
        <v>27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</row>
    <row r="31">
      <c r="A31" s="1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</row>
    <row r="32">
      <c r="A32" s="1"/>
      <c r="B32" s="19" t="s">
        <v>28</v>
      </c>
      <c r="C32" s="19" t="s">
        <v>29</v>
      </c>
      <c r="D32" s="19" t="s">
        <v>30</v>
      </c>
      <c r="E32" s="19" t="s">
        <v>31</v>
      </c>
      <c r="F32" s="19" t="s">
        <v>32</v>
      </c>
      <c r="G32" s="19" t="s">
        <v>33</v>
      </c>
      <c r="H32" s="19" t="s">
        <v>34</v>
      </c>
      <c r="I32" s="19" t="s">
        <v>35</v>
      </c>
      <c r="J32" s="19" t="s">
        <v>36</v>
      </c>
      <c r="K32" s="19" t="s">
        <v>37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>
      <c r="A33" s="12" t="s">
        <v>38</v>
      </c>
      <c r="B33" s="11">
        <v>31.0</v>
      </c>
      <c r="C33" s="11">
        <v>27.0</v>
      </c>
      <c r="D33" s="11">
        <v>17.5</v>
      </c>
      <c r="E33" s="11">
        <v>21.5</v>
      </c>
      <c r="F33" s="11">
        <v>43.5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</row>
    <row r="34">
      <c r="A34" s="12" t="s">
        <v>39</v>
      </c>
      <c r="B34" s="11">
        <v>66.15</v>
      </c>
      <c r="C34" s="11">
        <v>57.4</v>
      </c>
      <c r="D34" s="11">
        <v>45.99</v>
      </c>
      <c r="E34" s="11">
        <v>42.87</v>
      </c>
      <c r="F34" s="11">
        <v>79.19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</row>
    <row r="35">
      <c r="A35" s="12" t="s">
        <v>40</v>
      </c>
      <c r="B35" s="11">
        <v>247.08</v>
      </c>
      <c r="C35" s="11">
        <v>201.64</v>
      </c>
      <c r="D35" s="11">
        <v>181.46</v>
      </c>
      <c r="E35" s="11">
        <v>167.82</v>
      </c>
      <c r="F35" s="11">
        <v>283.6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</row>
    <row r="36">
      <c r="A36" s="12" t="s">
        <v>41</v>
      </c>
      <c r="B36" s="11">
        <v>26.77</v>
      </c>
      <c r="C36" s="11">
        <v>28.46</v>
      </c>
      <c r="D36" s="11">
        <v>25.34</v>
      </c>
      <c r="E36" s="11">
        <v>25.54</v>
      </c>
      <c r="F36" s="11">
        <v>27.92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</row>
    <row r="37">
      <c r="A37" s="12" t="s">
        <v>42</v>
      </c>
      <c r="B37" s="11">
        <v>23.7</v>
      </c>
      <c r="C37" s="11">
        <v>25.04</v>
      </c>
      <c r="D37" s="11">
        <v>21.88</v>
      </c>
      <c r="E37" s="11">
        <v>22.47</v>
      </c>
      <c r="F37" s="11">
        <v>24.08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</row>
    <row r="38">
      <c r="A38" s="12" t="s">
        <v>43</v>
      </c>
      <c r="B38" s="11">
        <v>24.43</v>
      </c>
      <c r="C38" s="11">
        <v>25.76</v>
      </c>
      <c r="D38" s="11">
        <v>22.63</v>
      </c>
      <c r="E38" s="11">
        <v>23.35</v>
      </c>
      <c r="F38" s="11">
        <v>25.65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</row>
    <row r="39">
      <c r="A39" s="12" t="s">
        <v>44</v>
      </c>
      <c r="B39" s="11">
        <v>22.08</v>
      </c>
      <c r="C39" s="11">
        <v>23.04</v>
      </c>
      <c r="D39" s="11">
        <v>21.63</v>
      </c>
      <c r="E39" s="11">
        <v>21.46</v>
      </c>
      <c r="F39" s="11">
        <v>26.62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</row>
    <row r="40">
      <c r="A40" s="12" t="s">
        <v>45</v>
      </c>
      <c r="B40" s="11">
        <v>22.08</v>
      </c>
      <c r="C40" s="11">
        <v>23.04</v>
      </c>
      <c r="D40" s="11">
        <v>21.63</v>
      </c>
      <c r="E40" s="11">
        <v>21.46</v>
      </c>
      <c r="F40" s="11">
        <v>26.62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</row>
    <row r="41">
      <c r="A41" s="12" t="s">
        <v>46</v>
      </c>
      <c r="B41" s="11">
        <v>20.43</v>
      </c>
      <c r="C41" s="11">
        <v>21.0</v>
      </c>
      <c r="D41" s="11">
        <v>19.66</v>
      </c>
      <c r="E41" s="11">
        <v>20.11</v>
      </c>
      <c r="F41" s="11">
        <v>26.08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</row>
    <row r="42">
      <c r="A42" s="12" t="s">
        <v>47</v>
      </c>
      <c r="B42" s="11">
        <v>19.81</v>
      </c>
      <c r="C42" s="11">
        <v>20.42</v>
      </c>
      <c r="D42" s="11">
        <v>19.01</v>
      </c>
      <c r="E42" s="11">
        <v>19.35</v>
      </c>
      <c r="F42" s="11">
        <v>24.49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</row>
    <row r="43">
      <c r="A43" s="12" t="s">
        <v>48</v>
      </c>
      <c r="B43" s="11">
        <v>41.29</v>
      </c>
      <c r="C43" s="11">
        <v>34.39</v>
      </c>
      <c r="D43" s="11">
        <v>33.08</v>
      </c>
      <c r="E43" s="11">
        <v>31.77</v>
      </c>
      <c r="F43" s="11">
        <v>31.35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</row>
    <row r="44">
      <c r="A44" s="12" t="s">
        <v>49</v>
      </c>
      <c r="B44" s="11">
        <v>30.9</v>
      </c>
      <c r="C44" s="11">
        <v>25.36</v>
      </c>
      <c r="D44" s="11">
        <v>25.09</v>
      </c>
      <c r="E44" s="11">
        <v>23.44</v>
      </c>
      <c r="F44" s="11">
        <v>25.44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</row>
    <row r="45">
      <c r="A45" s="12" t="s">
        <v>50</v>
      </c>
      <c r="B45" s="11">
        <v>30.9</v>
      </c>
      <c r="C45" s="11">
        <v>25.36</v>
      </c>
      <c r="D45" s="11">
        <v>25.09</v>
      </c>
      <c r="E45" s="11">
        <v>23.44</v>
      </c>
      <c r="F45" s="11">
        <v>25.44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</row>
    <row r="46">
      <c r="A46" s="12" t="s">
        <v>51</v>
      </c>
      <c r="B46" s="11">
        <v>163.31</v>
      </c>
      <c r="C46" s="11">
        <v>167.01</v>
      </c>
      <c r="D46" s="11">
        <v>142.18</v>
      </c>
      <c r="E46" s="11">
        <v>143.96</v>
      </c>
      <c r="F46" s="11">
        <v>290.74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</row>
    <row r="47">
      <c r="A47" s="12" t="s">
        <v>52</v>
      </c>
      <c r="B47" s="11">
        <v>163.31</v>
      </c>
      <c r="C47" s="11">
        <v>167.01</v>
      </c>
      <c r="D47" s="11">
        <v>142.18</v>
      </c>
      <c r="E47" s="11">
        <v>143.96</v>
      </c>
      <c r="F47" s="11">
        <v>290.74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</row>
    <row r="48">
      <c r="A48" s="12" t="s">
        <v>53</v>
      </c>
      <c r="B48" s="11">
        <v>41.66</v>
      </c>
      <c r="C48" s="11">
        <v>34.57</v>
      </c>
      <c r="D48" s="11">
        <v>33.24</v>
      </c>
      <c r="E48" s="11">
        <v>31.77</v>
      </c>
      <c r="F48" s="11">
        <v>31.35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</row>
    <row r="49">
      <c r="A49" s="12" t="s">
        <v>54</v>
      </c>
      <c r="B49" s="11">
        <v>1.85</v>
      </c>
      <c r="C49" s="11">
        <v>2.42</v>
      </c>
      <c r="D49" s="11">
        <v>2.56</v>
      </c>
      <c r="E49" s="11">
        <v>3.03</v>
      </c>
      <c r="F49" s="11">
        <v>3.83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</row>
    <row r="50">
      <c r="A50" s="12" t="s">
        <v>55</v>
      </c>
      <c r="B50" s="11">
        <v>1.82</v>
      </c>
      <c r="C50" s="11">
        <v>2.38</v>
      </c>
      <c r="D50" s="11">
        <v>2.49</v>
      </c>
      <c r="E50" s="11">
        <v>2.96</v>
      </c>
      <c r="F50" s="11">
        <v>3.74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</row>
    <row r="51">
      <c r="A51" s="12" t="s">
        <v>56</v>
      </c>
      <c r="B51" s="11" t="s">
        <v>57</v>
      </c>
      <c r="C51" s="11" t="s">
        <v>57</v>
      </c>
      <c r="D51" s="11" t="s">
        <v>57</v>
      </c>
      <c r="E51" s="11" t="s">
        <v>57</v>
      </c>
      <c r="F51" s="11" t="s">
        <v>57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</row>
    <row r="52">
      <c r="A52" s="12" t="s">
        <v>58</v>
      </c>
      <c r="B52" s="11">
        <v>1.51</v>
      </c>
      <c r="C52" s="11">
        <v>1.21</v>
      </c>
      <c r="D52" s="11">
        <v>1.27</v>
      </c>
      <c r="E52" s="11">
        <v>1.17</v>
      </c>
      <c r="F52" s="11">
        <v>0.98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</row>
    <row r="53">
      <c r="A53" s="12" t="s">
        <v>59</v>
      </c>
      <c r="B53" s="11">
        <v>1.48</v>
      </c>
      <c r="C53" s="11">
        <v>1.28</v>
      </c>
      <c r="D53" s="11">
        <v>1.27</v>
      </c>
      <c r="E53" s="11">
        <v>1.16</v>
      </c>
      <c r="F53" s="11">
        <v>0.94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</row>
    <row r="54">
      <c r="A54" s="12" t="s">
        <v>60</v>
      </c>
      <c r="B54" s="11">
        <v>59.8</v>
      </c>
      <c r="C54" s="11">
        <v>50.74</v>
      </c>
      <c r="D54" s="11">
        <v>61.46</v>
      </c>
      <c r="E54" s="11">
        <v>93.64</v>
      </c>
      <c r="F54" s="11">
        <v>46.42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</row>
    <row r="55">
      <c r="A55" s="12" t="s">
        <v>61</v>
      </c>
      <c r="B55" s="11">
        <v>53.66</v>
      </c>
      <c r="C55" s="11">
        <v>44.96</v>
      </c>
      <c r="D55" s="11">
        <v>54.01</v>
      </c>
      <c r="E55" s="11">
        <v>84.46</v>
      </c>
      <c r="F55" s="11">
        <v>42.7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</row>
    <row r="56">
      <c r="A56" s="12" t="s">
        <v>62</v>
      </c>
      <c r="B56" s="11">
        <v>40.2</v>
      </c>
      <c r="C56" s="11">
        <v>49.26</v>
      </c>
      <c r="D56" s="11">
        <v>38.54</v>
      </c>
      <c r="E56" s="11">
        <v>6.36</v>
      </c>
      <c r="F56" s="11">
        <v>53.58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</row>
    <row r="57">
      <c r="A57" s="12" t="s">
        <v>63</v>
      </c>
      <c r="B57" s="11">
        <v>46.34</v>
      </c>
      <c r="C57" s="11">
        <v>55.04</v>
      </c>
      <c r="D57" s="11">
        <v>45.99</v>
      </c>
      <c r="E57" s="11">
        <v>15.54</v>
      </c>
      <c r="F57" s="11">
        <v>57.3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</row>
    <row r="58">
      <c r="A58" s="12" t="s">
        <v>64</v>
      </c>
      <c r="B58" s="11">
        <v>50.48</v>
      </c>
      <c r="C58" s="11">
        <v>42.36</v>
      </c>
      <c r="D58" s="11">
        <v>35.68</v>
      </c>
      <c r="E58" s="11">
        <v>33.75</v>
      </c>
      <c r="F58" s="11">
        <v>73.97</v>
      </c>
      <c r="G58" s="11">
        <v>60.16</v>
      </c>
      <c r="H58" s="11">
        <v>55.26</v>
      </c>
      <c r="I58" s="11">
        <v>105.91</v>
      </c>
      <c r="J58" s="11">
        <v>178.4</v>
      </c>
      <c r="K58" s="11">
        <v>158.75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</row>
    <row r="59">
      <c r="A59" s="12" t="s">
        <v>65</v>
      </c>
      <c r="B59" s="11">
        <v>163.31</v>
      </c>
      <c r="C59" s="11">
        <v>167.01</v>
      </c>
      <c r="D59" s="11">
        <v>142.18</v>
      </c>
      <c r="E59" s="11">
        <v>143.96</v>
      </c>
      <c r="F59" s="11">
        <v>290.74</v>
      </c>
      <c r="G59" s="11">
        <v>296.12</v>
      </c>
      <c r="H59" s="11">
        <v>265.93</v>
      </c>
      <c r="I59" s="11">
        <v>418.54</v>
      </c>
      <c r="J59" s="11">
        <v>736.64</v>
      </c>
      <c r="K59" s="11">
        <v>627.95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</row>
    <row r="60">
      <c r="A60" s="1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</row>
    <row r="61">
      <c r="A61" s="6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</row>
    <row r="62">
      <c r="A62" s="6" t="s">
        <v>66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</row>
    <row r="63">
      <c r="A63" s="1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</row>
    <row r="64">
      <c r="A64" s="1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</row>
    <row r="65">
      <c r="A65" s="1"/>
      <c r="B65" s="19" t="s">
        <v>67</v>
      </c>
      <c r="C65" s="19" t="s">
        <v>68</v>
      </c>
      <c r="D65" s="19" t="s">
        <v>28</v>
      </c>
      <c r="E65" s="19" t="s">
        <v>69</v>
      </c>
      <c r="F65" s="19" t="s">
        <v>70</v>
      </c>
      <c r="G65" s="19" t="s">
        <v>71</v>
      </c>
      <c r="H65" s="19" t="s">
        <v>29</v>
      </c>
      <c r="I65" s="19" t="s">
        <v>72</v>
      </c>
      <c r="J65" s="19" t="s">
        <v>73</v>
      </c>
      <c r="K65" s="19" t="s">
        <v>74</v>
      </c>
      <c r="L65" s="19" t="s">
        <v>30</v>
      </c>
      <c r="M65" s="19" t="s">
        <v>75</v>
      </c>
      <c r="N65" s="19" t="s">
        <v>76</v>
      </c>
      <c r="O65" s="19" t="s">
        <v>77</v>
      </c>
      <c r="P65" s="19" t="s">
        <v>31</v>
      </c>
      <c r="Q65" s="19" t="s">
        <v>78</v>
      </c>
      <c r="R65" s="19" t="s">
        <v>79</v>
      </c>
      <c r="S65" s="19" t="s">
        <v>80</v>
      </c>
      <c r="T65" s="19" t="s">
        <v>32</v>
      </c>
      <c r="U65" s="19" t="s">
        <v>81</v>
      </c>
      <c r="V65" s="19" t="s">
        <v>82</v>
      </c>
      <c r="W65" s="19" t="s">
        <v>83</v>
      </c>
      <c r="X65" s="19" t="s">
        <v>33</v>
      </c>
      <c r="Y65" s="19" t="s">
        <v>84</v>
      </c>
      <c r="Z65" s="19" t="s">
        <v>85</v>
      </c>
      <c r="AA65" s="19" t="s">
        <v>86</v>
      </c>
      <c r="AB65" s="19" t="s">
        <v>34</v>
      </c>
      <c r="AC65" s="19" t="s">
        <v>87</v>
      </c>
      <c r="AD65" s="19" t="s">
        <v>88</v>
      </c>
      <c r="AE65" s="19" t="s">
        <v>89</v>
      </c>
      <c r="AF65" s="19" t="s">
        <v>35</v>
      </c>
      <c r="AG65" s="19" t="s">
        <v>90</v>
      </c>
      <c r="AH65" s="19" t="s">
        <v>91</v>
      </c>
      <c r="AI65" s="19" t="s">
        <v>92</v>
      </c>
      <c r="AJ65" s="19" t="s">
        <v>36</v>
      </c>
      <c r="AK65" s="19" t="s">
        <v>93</v>
      </c>
      <c r="AL65" s="19" t="s">
        <v>94</v>
      </c>
      <c r="AM65" s="19" t="s">
        <v>95</v>
      </c>
      <c r="AN65" s="19" t="s">
        <v>37</v>
      </c>
      <c r="AO65" s="19" t="s">
        <v>96</v>
      </c>
      <c r="AP65" s="19" t="s">
        <v>97</v>
      </c>
      <c r="AQ65" s="19" t="s">
        <v>98</v>
      </c>
      <c r="AR65" s="19" t="s">
        <v>99</v>
      </c>
      <c r="AS65" s="19" t="s">
        <v>100</v>
      </c>
      <c r="AT65" s="19" t="s">
        <v>101</v>
      </c>
    </row>
    <row r="66">
      <c r="A66" s="12" t="s">
        <v>102</v>
      </c>
      <c r="B66" s="8">
        <v>31567.0</v>
      </c>
      <c r="C66" s="8">
        <v>29527.0</v>
      </c>
      <c r="D66" s="8">
        <v>27426.0</v>
      </c>
      <c r="E66" s="8">
        <v>27337.0</v>
      </c>
      <c r="F66" s="8">
        <v>25462.0</v>
      </c>
      <c r="G66" s="8">
        <v>23714.0</v>
      </c>
      <c r="H66" s="8">
        <v>22497.0</v>
      </c>
      <c r="I66" s="8">
        <v>22043.0</v>
      </c>
      <c r="J66" s="8">
        <v>21046.0</v>
      </c>
      <c r="K66" s="8">
        <v>20325.0</v>
      </c>
      <c r="L66" s="8">
        <v>20187.0</v>
      </c>
      <c r="M66" s="8">
        <v>20064.0</v>
      </c>
      <c r="N66" s="8">
        <v>19666.0</v>
      </c>
      <c r="O66" s="8">
        <v>19131.0</v>
      </c>
      <c r="P66" s="8">
        <v>18935.0</v>
      </c>
      <c r="Q66" s="8">
        <v>18819.0</v>
      </c>
      <c r="R66" s="8">
        <v>18297.0</v>
      </c>
      <c r="S66" s="8">
        <v>17056.0</v>
      </c>
      <c r="T66" s="8">
        <v>15984.0</v>
      </c>
      <c r="U66" s="8">
        <v>15631.0</v>
      </c>
      <c r="V66" s="8">
        <v>15356.0</v>
      </c>
      <c r="W66" s="8">
        <v>14971.0</v>
      </c>
      <c r="X66" s="8">
        <v>14920.0</v>
      </c>
      <c r="Y66" s="8">
        <v>14949.0</v>
      </c>
      <c r="Z66" s="8">
        <v>15000.0</v>
      </c>
      <c r="AA66" s="8">
        <v>14420.0</v>
      </c>
      <c r="AB66" s="8">
        <v>14158.0</v>
      </c>
      <c r="AC66" s="8">
        <v>13562.0</v>
      </c>
      <c r="AD66" s="8">
        <v>13525.0</v>
      </c>
      <c r="AE66" s="8">
        <v>12738.0</v>
      </c>
      <c r="AF66" s="8">
        <v>11926.0</v>
      </c>
      <c r="AG66" s="8">
        <v>12192.0</v>
      </c>
      <c r="AH66" s="8">
        <v>11863.0</v>
      </c>
      <c r="AI66" s="8">
        <v>11319.0</v>
      </c>
      <c r="AJ66" s="8">
        <v>11366.0</v>
      </c>
      <c r="AK66" s="8">
        <v>11534.0</v>
      </c>
      <c r="AL66" s="8">
        <v>11482.0</v>
      </c>
      <c r="AM66" s="8">
        <v>9959.0</v>
      </c>
      <c r="AN66" s="8">
        <v>9329.0</v>
      </c>
      <c r="AO66" s="8">
        <v>9398.0</v>
      </c>
      <c r="AP66" s="8">
        <v>9129.0</v>
      </c>
      <c r="AQ66" s="8">
        <v>8909.0</v>
      </c>
      <c r="AR66" s="8">
        <v>8183.0</v>
      </c>
      <c r="AS66" s="8">
        <v>8696.0</v>
      </c>
      <c r="AT66" s="8">
        <v>7470.0</v>
      </c>
    </row>
    <row r="67">
      <c r="A67" s="12" t="s">
        <v>103</v>
      </c>
      <c r="B67" s="8">
        <v>31567.0</v>
      </c>
      <c r="C67" s="8">
        <v>29527.0</v>
      </c>
      <c r="D67" s="8">
        <v>27426.0</v>
      </c>
      <c r="E67" s="8">
        <v>27337.0</v>
      </c>
      <c r="F67" s="8">
        <v>25462.0</v>
      </c>
      <c r="G67" s="8">
        <v>23714.0</v>
      </c>
      <c r="H67" s="8">
        <v>22497.0</v>
      </c>
      <c r="I67" s="8">
        <v>22043.0</v>
      </c>
      <c r="J67" s="8">
        <v>21046.0</v>
      </c>
      <c r="K67" s="8">
        <v>20325.0</v>
      </c>
      <c r="L67" s="8">
        <v>20187.0</v>
      </c>
      <c r="M67" s="8">
        <v>20064.0</v>
      </c>
      <c r="N67" s="8">
        <v>19666.0</v>
      </c>
      <c r="O67" s="8">
        <v>19131.0</v>
      </c>
      <c r="P67" s="8">
        <v>18935.0</v>
      </c>
      <c r="Q67" s="8">
        <v>18819.0</v>
      </c>
      <c r="R67" s="8">
        <v>18297.0</v>
      </c>
      <c r="S67" s="8">
        <v>17056.0</v>
      </c>
      <c r="T67" s="8">
        <v>15984.0</v>
      </c>
      <c r="U67" s="8">
        <v>15631.0</v>
      </c>
      <c r="V67" s="8">
        <v>15356.0</v>
      </c>
      <c r="W67" s="8">
        <v>14971.0</v>
      </c>
      <c r="X67" s="8">
        <v>14920.0</v>
      </c>
      <c r="Y67" s="8">
        <v>14949.0</v>
      </c>
      <c r="Z67" s="8">
        <v>15000.0</v>
      </c>
      <c r="AA67" s="8">
        <v>14420.0</v>
      </c>
      <c r="AB67" s="8">
        <v>14158.0</v>
      </c>
      <c r="AC67" s="8">
        <v>13562.0</v>
      </c>
      <c r="AD67" s="8">
        <v>13525.0</v>
      </c>
      <c r="AE67" s="8">
        <v>12738.0</v>
      </c>
      <c r="AF67" s="8">
        <v>11926.0</v>
      </c>
      <c r="AG67" s="8">
        <v>12192.0</v>
      </c>
      <c r="AH67" s="8">
        <v>11863.0</v>
      </c>
      <c r="AI67" s="8">
        <v>11319.0</v>
      </c>
      <c r="AJ67" s="8">
        <v>11366.0</v>
      </c>
      <c r="AK67" s="8">
        <v>11534.0</v>
      </c>
      <c r="AL67" s="8">
        <v>11482.0</v>
      </c>
      <c r="AM67" s="8">
        <v>9959.0</v>
      </c>
      <c r="AN67" s="8">
        <v>9329.0</v>
      </c>
      <c r="AO67" s="8">
        <v>9398.0</v>
      </c>
      <c r="AP67" s="8">
        <v>9129.0</v>
      </c>
      <c r="AQ67" s="8">
        <v>8909.0</v>
      </c>
      <c r="AR67" s="8">
        <v>8183.0</v>
      </c>
      <c r="AS67" s="8">
        <v>8696.0</v>
      </c>
      <c r="AT67" s="8">
        <v>7470.0</v>
      </c>
    </row>
    <row r="68">
      <c r="A68" s="6" t="s">
        <v>104</v>
      </c>
      <c r="B68" s="11">
        <v>14.86</v>
      </c>
      <c r="C68" s="11">
        <v>11.65</v>
      </c>
      <c r="D68" s="11">
        <v>12.31</v>
      </c>
      <c r="E68" s="11">
        <v>13.96</v>
      </c>
      <c r="F68" s="11">
        <v>12.93</v>
      </c>
      <c r="G68" s="11">
        <v>11.08</v>
      </c>
      <c r="H68" s="11">
        <v>10.47</v>
      </c>
      <c r="I68" s="11">
        <v>11.93</v>
      </c>
      <c r="J68" s="11">
        <v>10.56</v>
      </c>
      <c r="K68" s="11">
        <v>9.41</v>
      </c>
      <c r="L68" s="11">
        <v>9.55</v>
      </c>
      <c r="M68" s="11">
        <v>9.57</v>
      </c>
      <c r="N68" s="11">
        <v>8.97</v>
      </c>
      <c r="O68" s="11">
        <v>8.26</v>
      </c>
      <c r="P68" s="11">
        <v>8.75</v>
      </c>
      <c r="Q68" s="11">
        <v>8.01</v>
      </c>
      <c r="R68" s="11">
        <v>8.88</v>
      </c>
      <c r="S68" s="11">
        <v>16.04</v>
      </c>
      <c r="T68" s="11">
        <v>14.45</v>
      </c>
      <c r="U68" s="11">
        <v>26.27</v>
      </c>
      <c r="V68" s="8">
        <v>3579.0</v>
      </c>
      <c r="W68" s="8">
        <v>3415.0</v>
      </c>
      <c r="X68" s="8">
        <v>3562.0</v>
      </c>
      <c r="Y68" s="8">
        <v>3599.0</v>
      </c>
      <c r="Z68" s="8">
        <v>3476.0</v>
      </c>
      <c r="AA68" s="8">
        <v>3180.0</v>
      </c>
      <c r="AB68" s="8">
        <v>3391.0</v>
      </c>
      <c r="AC68" s="8">
        <v>3163.0</v>
      </c>
      <c r="AD68" s="8">
        <v>3248.0</v>
      </c>
      <c r="AE68" s="8">
        <v>2891.0</v>
      </c>
      <c r="AF68" s="11">
        <v>26.33</v>
      </c>
      <c r="AG68" s="11">
        <v>26.73</v>
      </c>
      <c r="AH68" s="11">
        <v>51.68</v>
      </c>
      <c r="AI68" s="11">
        <v>47.6</v>
      </c>
      <c r="AJ68" s="11">
        <v>50.44</v>
      </c>
      <c r="AK68" s="8">
        <v>2735.0</v>
      </c>
      <c r="AL68" s="8">
        <v>2326.0</v>
      </c>
      <c r="AM68" s="8">
        <v>2250.0</v>
      </c>
      <c r="AN68" s="8">
        <v>2305.0</v>
      </c>
      <c r="AO68" s="8">
        <v>2265.0</v>
      </c>
      <c r="AP68" s="8">
        <v>2342.0</v>
      </c>
      <c r="AQ68" s="8">
        <v>2204.0</v>
      </c>
      <c r="AR68" s="8">
        <v>2759.0</v>
      </c>
      <c r="AS68" s="8">
        <v>2235.0</v>
      </c>
      <c r="AT68" s="8">
        <v>1822.0</v>
      </c>
    </row>
    <row r="69">
      <c r="A69" s="21" t="s">
        <v>105</v>
      </c>
      <c r="B69" s="8">
        <v>6253.0</v>
      </c>
      <c r="C69" s="8">
        <v>4901.0</v>
      </c>
      <c r="D69" s="8">
        <v>5177.0</v>
      </c>
      <c r="E69" s="8">
        <v>5870.0</v>
      </c>
      <c r="F69" s="8">
        <v>5463.0</v>
      </c>
      <c r="G69" s="8">
        <v>4723.0</v>
      </c>
      <c r="H69" s="8">
        <v>4459.0</v>
      </c>
      <c r="I69" s="8">
        <v>5083.0</v>
      </c>
      <c r="J69" s="8">
        <v>4497.0</v>
      </c>
      <c r="K69" s="8">
        <v>4008.0</v>
      </c>
      <c r="L69" s="8">
        <v>4069.0</v>
      </c>
      <c r="M69" s="8">
        <v>4076.0</v>
      </c>
      <c r="N69" s="8">
        <v>3829.0</v>
      </c>
      <c r="O69" s="8">
        <v>3569.0</v>
      </c>
      <c r="P69" s="8">
        <v>3820.0</v>
      </c>
      <c r="Q69" s="8">
        <v>3501.0</v>
      </c>
      <c r="R69" s="8">
        <v>3879.0</v>
      </c>
      <c r="S69" s="8">
        <v>3503.0</v>
      </c>
      <c r="T69" s="8">
        <v>3157.0</v>
      </c>
      <c r="U69" s="8">
        <v>6004.0</v>
      </c>
      <c r="V69" s="11">
        <v>15.58</v>
      </c>
      <c r="W69" s="11">
        <v>14.87</v>
      </c>
      <c r="X69" s="11">
        <v>15.51</v>
      </c>
      <c r="Y69" s="11">
        <v>15.67</v>
      </c>
      <c r="Z69" s="11">
        <v>15.13</v>
      </c>
      <c r="AA69" s="11">
        <v>13.85</v>
      </c>
      <c r="AB69" s="11">
        <v>14.76</v>
      </c>
      <c r="AC69" s="11">
        <v>13.77</v>
      </c>
      <c r="AD69" s="11">
        <v>14.14</v>
      </c>
      <c r="AE69" s="11">
        <v>12.59</v>
      </c>
      <c r="AF69" s="8">
        <v>3024.0</v>
      </c>
      <c r="AG69" s="8">
        <v>3055.0</v>
      </c>
      <c r="AH69" s="8">
        <v>3365.0</v>
      </c>
      <c r="AI69" s="8">
        <v>2720.0</v>
      </c>
      <c r="AJ69" s="8">
        <v>2883.0</v>
      </c>
      <c r="AK69" s="8">
        <v>47.87</v>
      </c>
      <c r="AL69" s="8">
        <v>40.5</v>
      </c>
      <c r="AM69" s="8">
        <v>39.19</v>
      </c>
      <c r="AN69" s="8">
        <v>40.14</v>
      </c>
      <c r="AO69" s="8">
        <v>39.46</v>
      </c>
      <c r="AP69" s="8">
        <v>39.57</v>
      </c>
      <c r="AQ69" s="8">
        <v>38.38</v>
      </c>
      <c r="AR69" s="8">
        <v>39.61</v>
      </c>
      <c r="AS69" s="8">
        <v>38.92</v>
      </c>
      <c r="AT69" s="8">
        <v>31.73</v>
      </c>
    </row>
    <row r="70">
      <c r="A70" s="1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</row>
    <row r="71">
      <c r="A71" s="1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</row>
    <row r="72">
      <c r="A72" s="6" t="s">
        <v>106</v>
      </c>
      <c r="B72" s="1" t="str">
        <f>IFERROR(__xludf.DUMMYFUNCTION("GOOGLEFINANCE(""NSE:INFY"",""all"",DATE(2014,1,1), TODAY(), ""DAILY"")"),"Date")</f>
        <v>Date</v>
      </c>
      <c r="C72" s="1" t="str">
        <f>IFERROR(__xludf.DUMMYFUNCTION("""COMPUTED_VALUE"""),"Open")</f>
        <v>Open</v>
      </c>
      <c r="D72" s="1" t="str">
        <f>IFERROR(__xludf.DUMMYFUNCTION("""COMPUTED_VALUE"""),"High")</f>
        <v>High</v>
      </c>
      <c r="E72" s="1" t="str">
        <f>IFERROR(__xludf.DUMMYFUNCTION("""COMPUTED_VALUE"""),"Low")</f>
        <v>Low</v>
      </c>
      <c r="F72" s="1" t="str">
        <f>IFERROR(__xludf.DUMMYFUNCTION("""COMPUTED_VALUE"""),"Close")</f>
        <v>Close</v>
      </c>
      <c r="G72" s="1" t="str">
        <f>IFERROR(__xludf.DUMMYFUNCTION("""COMPUTED_VALUE"""),"Volume")</f>
        <v>Volume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</row>
    <row r="73">
      <c r="A73" s="1"/>
      <c r="B73" s="22">
        <f>IFERROR(__xludf.DUMMYFUNCTION("""COMPUTED_VALUE"""),41641.645833333336)</f>
        <v>41641.64583</v>
      </c>
      <c r="C73" s="9">
        <f>IFERROR(__xludf.DUMMYFUNCTION("""COMPUTED_VALUE"""),432.91)</f>
        <v>432.91</v>
      </c>
      <c r="D73" s="9">
        <f>IFERROR(__xludf.DUMMYFUNCTION("""COMPUTED_VALUE"""),438.5)</f>
        <v>438.5</v>
      </c>
      <c r="E73" s="9">
        <f>IFERROR(__xludf.DUMMYFUNCTION("""COMPUTED_VALUE"""),432.91)</f>
        <v>432.91</v>
      </c>
      <c r="F73" s="9">
        <f>IFERROR(__xludf.DUMMYFUNCTION("""COMPUTED_VALUE"""),435.07)</f>
        <v>435.07</v>
      </c>
      <c r="G73" s="9">
        <f>IFERROR(__xludf.DUMMYFUNCTION("""COMPUTED_VALUE"""),550593.0)</f>
        <v>550593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</row>
    <row r="74">
      <c r="A74" s="1"/>
      <c r="B74" s="22">
        <f>IFERROR(__xludf.DUMMYFUNCTION("""COMPUTED_VALUE"""),41642.645833333336)</f>
        <v>41642.64583</v>
      </c>
      <c r="C74" s="9">
        <f>IFERROR(__xludf.DUMMYFUNCTION("""COMPUTED_VALUE"""),434.38)</f>
        <v>434.38</v>
      </c>
      <c r="D74" s="9">
        <f>IFERROR(__xludf.DUMMYFUNCTION("""COMPUTED_VALUE"""),446.88)</f>
        <v>446.88</v>
      </c>
      <c r="E74" s="9">
        <f>IFERROR(__xludf.DUMMYFUNCTION("""COMPUTED_VALUE"""),431.78)</f>
        <v>431.78</v>
      </c>
      <c r="F74" s="9">
        <f>IFERROR(__xludf.DUMMYFUNCTION("""COMPUTED_VALUE"""),445.64)</f>
        <v>445.64</v>
      </c>
      <c r="G74" s="9">
        <f>IFERROR(__xludf.DUMMYFUNCTION("""COMPUTED_VALUE"""),1255793.0)</f>
        <v>1255793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</row>
    <row r="75">
      <c r="A75" s="1"/>
      <c r="B75" s="22">
        <f>IFERROR(__xludf.DUMMYFUNCTION("""COMPUTED_VALUE"""),41645.645833333336)</f>
        <v>41645.64583</v>
      </c>
      <c r="C75" s="9">
        <f>IFERROR(__xludf.DUMMYFUNCTION("""COMPUTED_VALUE"""),446.89)</f>
        <v>446.89</v>
      </c>
      <c r="D75" s="9">
        <f>IFERROR(__xludf.DUMMYFUNCTION("""COMPUTED_VALUE"""),447.56)</f>
        <v>447.56</v>
      </c>
      <c r="E75" s="9">
        <f>IFERROR(__xludf.DUMMYFUNCTION("""COMPUTED_VALUE"""),433.58)</f>
        <v>433.58</v>
      </c>
      <c r="F75" s="9">
        <f>IFERROR(__xludf.DUMMYFUNCTION("""COMPUTED_VALUE"""),439.74)</f>
        <v>439.74</v>
      </c>
      <c r="G75" s="9">
        <f>IFERROR(__xludf.DUMMYFUNCTION("""COMPUTED_VALUE"""),1387291.0)</f>
        <v>1387291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</row>
    <row r="76">
      <c r="A76" s="1"/>
      <c r="B76" s="22">
        <f>IFERROR(__xludf.DUMMYFUNCTION("""COMPUTED_VALUE"""),41646.645833333336)</f>
        <v>41646.64583</v>
      </c>
      <c r="C76" s="9">
        <f>IFERROR(__xludf.DUMMYFUNCTION("""COMPUTED_VALUE"""),439.88)</f>
        <v>439.88</v>
      </c>
      <c r="D76" s="9">
        <f>IFERROR(__xludf.DUMMYFUNCTION("""COMPUTED_VALUE"""),440.74)</f>
        <v>440.74</v>
      </c>
      <c r="E76" s="9">
        <f>IFERROR(__xludf.DUMMYFUNCTION("""COMPUTED_VALUE"""),430.84)</f>
        <v>430.84</v>
      </c>
      <c r="F76" s="9">
        <f>IFERROR(__xludf.DUMMYFUNCTION("""COMPUTED_VALUE"""),432.14)</f>
        <v>432.14</v>
      </c>
      <c r="G76" s="9">
        <f>IFERROR(__xludf.DUMMYFUNCTION("""COMPUTED_VALUE"""),964211.0)</f>
        <v>964211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</row>
    <row r="77">
      <c r="A77" s="1"/>
      <c r="B77" s="22">
        <f>IFERROR(__xludf.DUMMYFUNCTION("""COMPUTED_VALUE"""),41647.645833333336)</f>
        <v>41647.64583</v>
      </c>
      <c r="C77" s="9">
        <f>IFERROR(__xludf.DUMMYFUNCTION("""COMPUTED_VALUE"""),432.63)</f>
        <v>432.63</v>
      </c>
      <c r="D77" s="9">
        <f>IFERROR(__xludf.DUMMYFUNCTION("""COMPUTED_VALUE"""),434.38)</f>
        <v>434.38</v>
      </c>
      <c r="E77" s="9">
        <f>IFERROR(__xludf.DUMMYFUNCTION("""COMPUTED_VALUE"""),427.63)</f>
        <v>427.63</v>
      </c>
      <c r="F77" s="9">
        <f>IFERROR(__xludf.DUMMYFUNCTION("""COMPUTED_VALUE"""),428.51)</f>
        <v>428.51</v>
      </c>
      <c r="G77" s="9">
        <f>IFERROR(__xludf.DUMMYFUNCTION("""COMPUTED_VALUE"""),1123799.0)</f>
        <v>1123799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</row>
    <row r="78">
      <c r="A78" s="1"/>
      <c r="B78" s="22">
        <f>IFERROR(__xludf.DUMMYFUNCTION("""COMPUTED_VALUE"""),41648.645833333336)</f>
        <v>41648.64583</v>
      </c>
      <c r="C78" s="9">
        <f>IFERROR(__xludf.DUMMYFUNCTION("""COMPUTED_VALUE"""),430.0)</f>
        <v>430</v>
      </c>
      <c r="D78" s="9">
        <f>IFERROR(__xludf.DUMMYFUNCTION("""COMPUTED_VALUE"""),435.25)</f>
        <v>435.25</v>
      </c>
      <c r="E78" s="9">
        <f>IFERROR(__xludf.DUMMYFUNCTION("""COMPUTED_VALUE"""),427.23)</f>
        <v>427.23</v>
      </c>
      <c r="F78" s="9">
        <f>IFERROR(__xludf.DUMMYFUNCTION("""COMPUTED_VALUE"""),431.35)</f>
        <v>431.35</v>
      </c>
      <c r="G78" s="9">
        <f>IFERROR(__xludf.DUMMYFUNCTION("""COMPUTED_VALUE"""),1573851.0)</f>
        <v>1573851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</row>
    <row r="79">
      <c r="A79" s="1"/>
      <c r="B79" s="22">
        <f>IFERROR(__xludf.DUMMYFUNCTION("""COMPUTED_VALUE"""),41649.645833333336)</f>
        <v>41649.64583</v>
      </c>
      <c r="C79" s="9">
        <f>IFERROR(__xludf.DUMMYFUNCTION("""COMPUTED_VALUE"""),436.25)</f>
        <v>436.25</v>
      </c>
      <c r="D79" s="9">
        <f>IFERROR(__xludf.DUMMYFUNCTION("""COMPUTED_VALUE"""),446.88)</f>
        <v>446.88</v>
      </c>
      <c r="E79" s="9">
        <f>IFERROR(__xludf.DUMMYFUNCTION("""COMPUTED_VALUE"""),431.0)</f>
        <v>431</v>
      </c>
      <c r="F79" s="9">
        <f>IFERROR(__xludf.DUMMYFUNCTION("""COMPUTED_VALUE"""),443.91)</f>
        <v>443.91</v>
      </c>
      <c r="G79" s="9">
        <f>IFERROR(__xludf.DUMMYFUNCTION("""COMPUTED_VALUE"""),3782272.0)</f>
        <v>3782272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</row>
    <row r="80">
      <c r="A80" s="1"/>
      <c r="B80" s="22">
        <f>IFERROR(__xludf.DUMMYFUNCTION("""COMPUTED_VALUE"""),41652.645833333336)</f>
        <v>41652.64583</v>
      </c>
      <c r="C80" s="9">
        <f>IFERROR(__xludf.DUMMYFUNCTION("""COMPUTED_VALUE"""),447.75)</f>
        <v>447.75</v>
      </c>
      <c r="D80" s="9">
        <f>IFERROR(__xludf.DUMMYFUNCTION("""COMPUTED_VALUE"""),459.38)</f>
        <v>459.38</v>
      </c>
      <c r="E80" s="9">
        <f>IFERROR(__xludf.DUMMYFUNCTION("""COMPUTED_VALUE"""),447.75)</f>
        <v>447.75</v>
      </c>
      <c r="F80" s="9">
        <f>IFERROR(__xludf.DUMMYFUNCTION("""COMPUTED_VALUE"""),458.13)</f>
        <v>458.13</v>
      </c>
      <c r="G80" s="9">
        <f>IFERROR(__xludf.DUMMYFUNCTION("""COMPUTED_VALUE"""),2139989.0)</f>
        <v>2139989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</row>
    <row r="81">
      <c r="A81" s="1"/>
      <c r="B81" s="22">
        <f>IFERROR(__xludf.DUMMYFUNCTION("""COMPUTED_VALUE"""),41653.645833333336)</f>
        <v>41653.64583</v>
      </c>
      <c r="C81" s="9">
        <f>IFERROR(__xludf.DUMMYFUNCTION("""COMPUTED_VALUE"""),455.63)</f>
        <v>455.63</v>
      </c>
      <c r="D81" s="9">
        <f>IFERROR(__xludf.DUMMYFUNCTION("""COMPUTED_VALUE"""),461.88)</f>
        <v>461.88</v>
      </c>
      <c r="E81" s="9">
        <f>IFERROR(__xludf.DUMMYFUNCTION("""COMPUTED_VALUE"""),455.06)</f>
        <v>455.06</v>
      </c>
      <c r="F81" s="9">
        <f>IFERROR(__xludf.DUMMYFUNCTION("""COMPUTED_VALUE"""),460.84)</f>
        <v>460.84</v>
      </c>
      <c r="G81" s="9">
        <f>IFERROR(__xludf.DUMMYFUNCTION("""COMPUTED_VALUE"""),928229.0)</f>
        <v>928229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</row>
    <row r="82">
      <c r="A82" s="1"/>
      <c r="B82" s="22">
        <f>IFERROR(__xludf.DUMMYFUNCTION("""COMPUTED_VALUE"""),41654.645833333336)</f>
        <v>41654.64583</v>
      </c>
      <c r="C82" s="9">
        <f>IFERROR(__xludf.DUMMYFUNCTION("""COMPUTED_VALUE"""),461.91)</f>
        <v>461.91</v>
      </c>
      <c r="D82" s="9">
        <f>IFERROR(__xludf.DUMMYFUNCTION("""COMPUTED_VALUE"""),465.54)</f>
        <v>465.54</v>
      </c>
      <c r="E82" s="9">
        <f>IFERROR(__xludf.DUMMYFUNCTION("""COMPUTED_VALUE"""),460.13)</f>
        <v>460.13</v>
      </c>
      <c r="F82" s="9">
        <f>IFERROR(__xludf.DUMMYFUNCTION("""COMPUTED_VALUE"""),464.01)</f>
        <v>464.01</v>
      </c>
      <c r="G82" s="9">
        <f>IFERROR(__xludf.DUMMYFUNCTION("""COMPUTED_VALUE"""),2141268.0)</f>
        <v>2141268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</row>
    <row r="83">
      <c r="A83" s="1"/>
      <c r="B83" s="22">
        <f>IFERROR(__xludf.DUMMYFUNCTION("""COMPUTED_VALUE"""),41655.645833333336)</f>
        <v>41655.64583</v>
      </c>
      <c r="C83" s="9">
        <f>IFERROR(__xludf.DUMMYFUNCTION("""COMPUTED_VALUE"""),462.38)</f>
        <v>462.38</v>
      </c>
      <c r="D83" s="9">
        <f>IFERROR(__xludf.DUMMYFUNCTION("""COMPUTED_VALUE"""),467.18)</f>
        <v>467.18</v>
      </c>
      <c r="E83" s="9">
        <f>IFERROR(__xludf.DUMMYFUNCTION("""COMPUTED_VALUE"""),461.71)</f>
        <v>461.71</v>
      </c>
      <c r="F83" s="9">
        <f>IFERROR(__xludf.DUMMYFUNCTION("""COMPUTED_VALUE"""),465.63)</f>
        <v>465.63</v>
      </c>
      <c r="G83" s="9">
        <f>IFERROR(__xludf.DUMMYFUNCTION("""COMPUTED_VALUE"""),2201029.0)</f>
        <v>2201029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</row>
    <row r="84">
      <c r="A84" s="1"/>
      <c r="B84" s="22">
        <f>IFERROR(__xludf.DUMMYFUNCTION("""COMPUTED_VALUE"""),41656.645833333336)</f>
        <v>41656.64583</v>
      </c>
      <c r="C84" s="9">
        <f>IFERROR(__xludf.DUMMYFUNCTION("""COMPUTED_VALUE"""),466.13)</f>
        <v>466.13</v>
      </c>
      <c r="D84" s="9">
        <f>IFERROR(__xludf.DUMMYFUNCTION("""COMPUTED_VALUE"""),470.58)</f>
        <v>470.58</v>
      </c>
      <c r="E84" s="9">
        <f>IFERROR(__xludf.DUMMYFUNCTION("""COMPUTED_VALUE"""),465.0)</f>
        <v>465</v>
      </c>
      <c r="F84" s="9">
        <f>IFERROR(__xludf.DUMMYFUNCTION("""COMPUTED_VALUE"""),466.22)</f>
        <v>466.22</v>
      </c>
      <c r="G84" s="9">
        <f>IFERROR(__xludf.DUMMYFUNCTION("""COMPUTED_VALUE"""),3208487.0)</f>
        <v>3208487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</row>
    <row r="85">
      <c r="A85" s="1"/>
      <c r="B85" s="22">
        <f>IFERROR(__xludf.DUMMYFUNCTION("""COMPUTED_VALUE"""),41659.645833333336)</f>
        <v>41659.64583</v>
      </c>
      <c r="C85" s="9">
        <f>IFERROR(__xludf.DUMMYFUNCTION("""COMPUTED_VALUE"""),464.0)</f>
        <v>464</v>
      </c>
      <c r="D85" s="9">
        <f>IFERROR(__xludf.DUMMYFUNCTION("""COMPUTED_VALUE"""),469.99)</f>
        <v>469.99</v>
      </c>
      <c r="E85" s="9">
        <f>IFERROR(__xludf.DUMMYFUNCTION("""COMPUTED_VALUE"""),463.06)</f>
        <v>463.06</v>
      </c>
      <c r="F85" s="9">
        <f>IFERROR(__xludf.DUMMYFUNCTION("""COMPUTED_VALUE"""),468.66)</f>
        <v>468.66</v>
      </c>
      <c r="G85" s="9">
        <f>IFERROR(__xludf.DUMMYFUNCTION("""COMPUTED_VALUE"""),1220243.0)</f>
        <v>1220243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</row>
    <row r="86">
      <c r="A86" s="1"/>
      <c r="B86" s="22">
        <f>IFERROR(__xludf.DUMMYFUNCTION("""COMPUTED_VALUE"""),41660.645833333336)</f>
        <v>41660.64583</v>
      </c>
      <c r="C86" s="9">
        <f>IFERROR(__xludf.DUMMYFUNCTION("""COMPUTED_VALUE"""),468.75)</f>
        <v>468.75</v>
      </c>
      <c r="D86" s="9">
        <f>IFERROR(__xludf.DUMMYFUNCTION("""COMPUTED_VALUE"""),471.25)</f>
        <v>471.25</v>
      </c>
      <c r="E86" s="9">
        <f>IFERROR(__xludf.DUMMYFUNCTION("""COMPUTED_VALUE"""),464.79)</f>
        <v>464.79</v>
      </c>
      <c r="F86" s="9">
        <f>IFERROR(__xludf.DUMMYFUNCTION("""COMPUTED_VALUE"""),469.79)</f>
        <v>469.79</v>
      </c>
      <c r="G86" s="9">
        <f>IFERROR(__xludf.DUMMYFUNCTION("""COMPUTED_VALUE"""),1512808.0)</f>
        <v>1512808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</row>
    <row r="87">
      <c r="A87" s="1"/>
      <c r="B87" s="22">
        <f>IFERROR(__xludf.DUMMYFUNCTION("""COMPUTED_VALUE"""),41661.645833333336)</f>
        <v>41661.64583</v>
      </c>
      <c r="C87" s="9">
        <f>IFERROR(__xludf.DUMMYFUNCTION("""COMPUTED_VALUE"""),467.65)</f>
        <v>467.65</v>
      </c>
      <c r="D87" s="9">
        <f>IFERROR(__xludf.DUMMYFUNCTION("""COMPUTED_VALUE"""),472.25)</f>
        <v>472.25</v>
      </c>
      <c r="E87" s="9">
        <f>IFERROR(__xludf.DUMMYFUNCTION("""COMPUTED_VALUE"""),467.51)</f>
        <v>467.51</v>
      </c>
      <c r="F87" s="9">
        <f>IFERROR(__xludf.DUMMYFUNCTION("""COMPUTED_VALUE"""),470.74)</f>
        <v>470.74</v>
      </c>
      <c r="G87" s="9">
        <f>IFERROR(__xludf.DUMMYFUNCTION("""COMPUTED_VALUE"""),846220.0)</f>
        <v>846220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</row>
    <row r="88">
      <c r="A88" s="1"/>
      <c r="B88" s="22">
        <f>IFERROR(__xludf.DUMMYFUNCTION("""COMPUTED_VALUE"""),41662.645833333336)</f>
        <v>41662.64583</v>
      </c>
      <c r="C88" s="9">
        <f>IFERROR(__xludf.DUMMYFUNCTION("""COMPUTED_VALUE"""),473.01)</f>
        <v>473.01</v>
      </c>
      <c r="D88" s="9">
        <f>IFERROR(__xludf.DUMMYFUNCTION("""COMPUTED_VALUE"""),474.88)</f>
        <v>474.88</v>
      </c>
      <c r="E88" s="9">
        <f>IFERROR(__xludf.DUMMYFUNCTION("""COMPUTED_VALUE"""),470.11)</f>
        <v>470.11</v>
      </c>
      <c r="F88" s="9">
        <f>IFERROR(__xludf.DUMMYFUNCTION("""COMPUTED_VALUE"""),474.06)</f>
        <v>474.06</v>
      </c>
      <c r="G88" s="9">
        <f>IFERROR(__xludf.DUMMYFUNCTION("""COMPUTED_VALUE"""),988418.0)</f>
        <v>988418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</row>
    <row r="89">
      <c r="A89" s="1"/>
      <c r="B89" s="22">
        <f>IFERROR(__xludf.DUMMYFUNCTION("""COMPUTED_VALUE"""),41663.645833333336)</f>
        <v>41663.64583</v>
      </c>
      <c r="C89" s="9">
        <f>IFERROR(__xludf.DUMMYFUNCTION("""COMPUTED_VALUE"""),470.63)</f>
        <v>470.63</v>
      </c>
      <c r="D89" s="9">
        <f>IFERROR(__xludf.DUMMYFUNCTION("""COMPUTED_VALUE"""),474.62)</f>
        <v>474.62</v>
      </c>
      <c r="E89" s="9">
        <f>IFERROR(__xludf.DUMMYFUNCTION("""COMPUTED_VALUE"""),469.34)</f>
        <v>469.34</v>
      </c>
      <c r="F89" s="9">
        <f>IFERROR(__xludf.DUMMYFUNCTION("""COMPUTED_VALUE"""),469.77)</f>
        <v>469.77</v>
      </c>
      <c r="G89" s="9">
        <f>IFERROR(__xludf.DUMMYFUNCTION("""COMPUTED_VALUE"""),859573.0)</f>
        <v>859573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</row>
    <row r="90">
      <c r="A90" s="1"/>
      <c r="B90" s="22">
        <f>IFERROR(__xludf.DUMMYFUNCTION("""COMPUTED_VALUE"""),41666.645833333336)</f>
        <v>41666.64583</v>
      </c>
      <c r="C90" s="9">
        <f>IFERROR(__xludf.DUMMYFUNCTION("""COMPUTED_VALUE"""),465.0)</f>
        <v>465</v>
      </c>
      <c r="D90" s="9">
        <f>IFERROR(__xludf.DUMMYFUNCTION("""COMPUTED_VALUE"""),470.49)</f>
        <v>470.49</v>
      </c>
      <c r="E90" s="9">
        <f>IFERROR(__xludf.DUMMYFUNCTION("""COMPUTED_VALUE"""),463.9)</f>
        <v>463.9</v>
      </c>
      <c r="F90" s="9">
        <f>IFERROR(__xludf.DUMMYFUNCTION("""COMPUTED_VALUE"""),466.53)</f>
        <v>466.53</v>
      </c>
      <c r="G90" s="9">
        <f>IFERROR(__xludf.DUMMYFUNCTION("""COMPUTED_VALUE"""),1012381.0)</f>
        <v>1012381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</row>
    <row r="91">
      <c r="A91" s="1"/>
      <c r="B91" s="22">
        <f>IFERROR(__xludf.DUMMYFUNCTION("""COMPUTED_VALUE"""),41667.645833333336)</f>
        <v>41667.64583</v>
      </c>
      <c r="C91" s="9">
        <f>IFERROR(__xludf.DUMMYFUNCTION("""COMPUTED_VALUE"""),463.38)</f>
        <v>463.38</v>
      </c>
      <c r="D91" s="9">
        <f>IFERROR(__xludf.DUMMYFUNCTION("""COMPUTED_VALUE"""),463.59)</f>
        <v>463.59</v>
      </c>
      <c r="E91" s="9">
        <f>IFERROR(__xludf.DUMMYFUNCTION("""COMPUTED_VALUE"""),458.36)</f>
        <v>458.36</v>
      </c>
      <c r="F91" s="9">
        <f>IFERROR(__xludf.DUMMYFUNCTION("""COMPUTED_VALUE"""),459.39)</f>
        <v>459.39</v>
      </c>
      <c r="G91" s="9">
        <f>IFERROR(__xludf.DUMMYFUNCTION("""COMPUTED_VALUE"""),1763568.0)</f>
        <v>1763568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</row>
    <row r="92">
      <c r="A92" s="1"/>
      <c r="B92" s="22">
        <f>IFERROR(__xludf.DUMMYFUNCTION("""COMPUTED_VALUE"""),41668.645833333336)</f>
        <v>41668.64583</v>
      </c>
      <c r="C92" s="9">
        <f>IFERROR(__xludf.DUMMYFUNCTION("""COMPUTED_VALUE"""),458.25)</f>
        <v>458.25</v>
      </c>
      <c r="D92" s="9">
        <f>IFERROR(__xludf.DUMMYFUNCTION("""COMPUTED_VALUE"""),467.96)</f>
        <v>467.96</v>
      </c>
      <c r="E92" s="9">
        <f>IFERROR(__xludf.DUMMYFUNCTION("""COMPUTED_VALUE"""),456.71)</f>
        <v>456.71</v>
      </c>
      <c r="F92" s="9">
        <f>IFERROR(__xludf.DUMMYFUNCTION("""COMPUTED_VALUE"""),464.73)</f>
        <v>464.73</v>
      </c>
      <c r="G92" s="9">
        <f>IFERROR(__xludf.DUMMYFUNCTION("""COMPUTED_VALUE"""),1012760.0)</f>
        <v>1012760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</row>
    <row r="93">
      <c r="A93" s="1"/>
      <c r="B93" s="22">
        <f>IFERROR(__xludf.DUMMYFUNCTION("""COMPUTED_VALUE"""),41669.645833333336)</f>
        <v>41669.64583</v>
      </c>
      <c r="C93" s="9">
        <f>IFERROR(__xludf.DUMMYFUNCTION("""COMPUTED_VALUE"""),462.96)</f>
        <v>462.96</v>
      </c>
      <c r="D93" s="9">
        <f>IFERROR(__xludf.DUMMYFUNCTION("""COMPUTED_VALUE"""),464.59)</f>
        <v>464.59</v>
      </c>
      <c r="E93" s="9">
        <f>IFERROR(__xludf.DUMMYFUNCTION("""COMPUTED_VALUE"""),457.5)</f>
        <v>457.5</v>
      </c>
      <c r="F93" s="9">
        <f>IFERROR(__xludf.DUMMYFUNCTION("""COMPUTED_VALUE"""),463.03)</f>
        <v>463.03</v>
      </c>
      <c r="G93" s="9">
        <f>IFERROR(__xludf.DUMMYFUNCTION("""COMPUTED_VALUE"""),897954.0)</f>
        <v>897954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</row>
    <row r="94">
      <c r="A94" s="1"/>
      <c r="B94" s="22">
        <f>IFERROR(__xludf.DUMMYFUNCTION("""COMPUTED_VALUE"""),41670.645833333336)</f>
        <v>41670.64583</v>
      </c>
      <c r="C94" s="9">
        <f>IFERROR(__xludf.DUMMYFUNCTION("""COMPUTED_VALUE"""),462.5)</f>
        <v>462.5</v>
      </c>
      <c r="D94" s="9">
        <f>IFERROR(__xludf.DUMMYFUNCTION("""COMPUTED_VALUE"""),467.47)</f>
        <v>467.47</v>
      </c>
      <c r="E94" s="9">
        <f>IFERROR(__xludf.DUMMYFUNCTION("""COMPUTED_VALUE"""),460.82)</f>
        <v>460.82</v>
      </c>
      <c r="F94" s="9">
        <f>IFERROR(__xludf.DUMMYFUNCTION("""COMPUTED_VALUE"""),462.64)</f>
        <v>462.64</v>
      </c>
      <c r="G94" s="9">
        <f>IFERROR(__xludf.DUMMYFUNCTION("""COMPUTED_VALUE"""),671241.0)</f>
        <v>671241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</row>
    <row r="95">
      <c r="A95" s="1"/>
      <c r="B95" s="22">
        <f>IFERROR(__xludf.DUMMYFUNCTION("""COMPUTED_VALUE"""),41673.645833333336)</f>
        <v>41673.64583</v>
      </c>
      <c r="C95" s="9">
        <f>IFERROR(__xludf.DUMMYFUNCTION("""COMPUTED_VALUE"""),460.63)</f>
        <v>460.63</v>
      </c>
      <c r="D95" s="9">
        <f>IFERROR(__xludf.DUMMYFUNCTION("""COMPUTED_VALUE"""),461.5)</f>
        <v>461.5</v>
      </c>
      <c r="E95" s="9">
        <f>IFERROR(__xludf.DUMMYFUNCTION("""COMPUTED_VALUE"""),453.1)</f>
        <v>453.1</v>
      </c>
      <c r="F95" s="9">
        <f>IFERROR(__xludf.DUMMYFUNCTION("""COMPUTED_VALUE"""),453.64)</f>
        <v>453.64</v>
      </c>
      <c r="G95" s="9">
        <f>IFERROR(__xludf.DUMMYFUNCTION("""COMPUTED_VALUE"""),548014.0)</f>
        <v>548014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</row>
    <row r="96">
      <c r="A96" s="1"/>
      <c r="B96" s="22">
        <f>IFERROR(__xludf.DUMMYFUNCTION("""COMPUTED_VALUE"""),41674.645833333336)</f>
        <v>41674.64583</v>
      </c>
      <c r="C96" s="9">
        <f>IFERROR(__xludf.DUMMYFUNCTION("""COMPUTED_VALUE"""),447.63)</f>
        <v>447.63</v>
      </c>
      <c r="D96" s="9">
        <f>IFERROR(__xludf.DUMMYFUNCTION("""COMPUTED_VALUE"""),448.99)</f>
        <v>448.99</v>
      </c>
      <c r="E96" s="9">
        <f>IFERROR(__xludf.DUMMYFUNCTION("""COMPUTED_VALUE"""),443.32)</f>
        <v>443.32</v>
      </c>
      <c r="F96" s="9">
        <f>IFERROR(__xludf.DUMMYFUNCTION("""COMPUTED_VALUE"""),445.14)</f>
        <v>445.14</v>
      </c>
      <c r="G96" s="9">
        <f>IFERROR(__xludf.DUMMYFUNCTION("""COMPUTED_VALUE"""),566889.0)</f>
        <v>566889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</row>
    <row r="97">
      <c r="A97" s="1"/>
      <c r="B97" s="22">
        <f>IFERROR(__xludf.DUMMYFUNCTION("""COMPUTED_VALUE"""),41675.645833333336)</f>
        <v>41675.64583</v>
      </c>
      <c r="C97" s="9">
        <f>IFERROR(__xludf.DUMMYFUNCTION("""COMPUTED_VALUE"""),447.5)</f>
        <v>447.5</v>
      </c>
      <c r="D97" s="9">
        <f>IFERROR(__xludf.DUMMYFUNCTION("""COMPUTED_VALUE"""),448.63)</f>
        <v>448.63</v>
      </c>
      <c r="E97" s="9">
        <f>IFERROR(__xludf.DUMMYFUNCTION("""COMPUTED_VALUE"""),442.84)</f>
        <v>442.84</v>
      </c>
      <c r="F97" s="9">
        <f>IFERROR(__xludf.DUMMYFUNCTION("""COMPUTED_VALUE"""),447.66)</f>
        <v>447.66</v>
      </c>
      <c r="G97" s="9">
        <f>IFERROR(__xludf.DUMMYFUNCTION("""COMPUTED_VALUE"""),540874.0)</f>
        <v>540874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</row>
    <row r="98">
      <c r="A98" s="1"/>
      <c r="B98" s="22">
        <f>IFERROR(__xludf.DUMMYFUNCTION("""COMPUTED_VALUE"""),41676.645833333336)</f>
        <v>41676.64583</v>
      </c>
      <c r="C98" s="9">
        <f>IFERROR(__xludf.DUMMYFUNCTION("""COMPUTED_VALUE"""),446.5)</f>
        <v>446.5</v>
      </c>
      <c r="D98" s="9">
        <f>IFERROR(__xludf.DUMMYFUNCTION("""COMPUTED_VALUE"""),447.88)</f>
        <v>447.88</v>
      </c>
      <c r="E98" s="9">
        <f>IFERROR(__xludf.DUMMYFUNCTION("""COMPUTED_VALUE"""),442.63)</f>
        <v>442.63</v>
      </c>
      <c r="F98" s="9">
        <f>IFERROR(__xludf.DUMMYFUNCTION("""COMPUTED_VALUE"""),445.46)</f>
        <v>445.46</v>
      </c>
      <c r="G98" s="9">
        <f>IFERROR(__xludf.DUMMYFUNCTION("""COMPUTED_VALUE"""),718738.0)</f>
        <v>718738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</row>
    <row r="99">
      <c r="A99" s="1"/>
      <c r="B99" s="22">
        <f>IFERROR(__xludf.DUMMYFUNCTION("""COMPUTED_VALUE"""),41677.645833333336)</f>
        <v>41677.64583</v>
      </c>
      <c r="C99" s="9">
        <f>IFERROR(__xludf.DUMMYFUNCTION("""COMPUTED_VALUE"""),448.38)</f>
        <v>448.38</v>
      </c>
      <c r="D99" s="9">
        <f>IFERROR(__xludf.DUMMYFUNCTION("""COMPUTED_VALUE"""),450.23)</f>
        <v>450.23</v>
      </c>
      <c r="E99" s="9">
        <f>IFERROR(__xludf.DUMMYFUNCTION("""COMPUTED_VALUE"""),443.61)</f>
        <v>443.61</v>
      </c>
      <c r="F99" s="9">
        <f>IFERROR(__xludf.DUMMYFUNCTION("""COMPUTED_VALUE"""),445.82)</f>
        <v>445.82</v>
      </c>
      <c r="G99" s="9">
        <f>IFERROR(__xludf.DUMMYFUNCTION("""COMPUTED_VALUE"""),943932.0)</f>
        <v>943932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</row>
    <row r="100">
      <c r="A100" s="1"/>
      <c r="B100" s="22">
        <f>IFERROR(__xludf.DUMMYFUNCTION("""COMPUTED_VALUE"""),41680.645833333336)</f>
        <v>41680.64583</v>
      </c>
      <c r="C100" s="9">
        <f>IFERROR(__xludf.DUMMYFUNCTION("""COMPUTED_VALUE"""),447.49)</f>
        <v>447.49</v>
      </c>
      <c r="D100" s="9">
        <f>IFERROR(__xludf.DUMMYFUNCTION("""COMPUTED_VALUE"""),448.25)</f>
        <v>448.25</v>
      </c>
      <c r="E100" s="9">
        <f>IFERROR(__xludf.DUMMYFUNCTION("""COMPUTED_VALUE"""),444.69)</f>
        <v>444.69</v>
      </c>
      <c r="F100" s="9">
        <f>IFERROR(__xludf.DUMMYFUNCTION("""COMPUTED_VALUE"""),446.73)</f>
        <v>446.73</v>
      </c>
      <c r="G100" s="9">
        <f>IFERROR(__xludf.DUMMYFUNCTION("""COMPUTED_VALUE"""),756178.0)</f>
        <v>756178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</row>
    <row r="101">
      <c r="A101" s="1"/>
      <c r="B101" s="22">
        <f>IFERROR(__xludf.DUMMYFUNCTION("""COMPUTED_VALUE"""),41681.645833333336)</f>
        <v>41681.64583</v>
      </c>
      <c r="C101" s="9">
        <f>IFERROR(__xludf.DUMMYFUNCTION("""COMPUTED_VALUE"""),448.0)</f>
        <v>448</v>
      </c>
      <c r="D101" s="9">
        <f>IFERROR(__xludf.DUMMYFUNCTION("""COMPUTED_VALUE"""),452.75)</f>
        <v>452.75</v>
      </c>
      <c r="E101" s="9">
        <f>IFERROR(__xludf.DUMMYFUNCTION("""COMPUTED_VALUE"""),446.69)</f>
        <v>446.69</v>
      </c>
      <c r="F101" s="9">
        <f>IFERROR(__xludf.DUMMYFUNCTION("""COMPUTED_VALUE"""),449.53)</f>
        <v>449.53</v>
      </c>
      <c r="G101" s="9">
        <f>IFERROR(__xludf.DUMMYFUNCTION("""COMPUTED_VALUE"""),729199.0)</f>
        <v>729199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</row>
    <row r="102">
      <c r="A102" s="1"/>
      <c r="B102" s="22">
        <f>IFERROR(__xludf.DUMMYFUNCTION("""COMPUTED_VALUE"""),41682.645833333336)</f>
        <v>41682.64583</v>
      </c>
      <c r="C102" s="9">
        <f>IFERROR(__xludf.DUMMYFUNCTION("""COMPUTED_VALUE"""),450.06)</f>
        <v>450.06</v>
      </c>
      <c r="D102" s="9">
        <f>IFERROR(__xludf.DUMMYFUNCTION("""COMPUTED_VALUE"""),453.43)</f>
        <v>453.43</v>
      </c>
      <c r="E102" s="9">
        <f>IFERROR(__xludf.DUMMYFUNCTION("""COMPUTED_VALUE"""),449.15)</f>
        <v>449.15</v>
      </c>
      <c r="F102" s="9">
        <f>IFERROR(__xludf.DUMMYFUNCTION("""COMPUTED_VALUE"""),450.01)</f>
        <v>450.01</v>
      </c>
      <c r="G102" s="9">
        <f>IFERROR(__xludf.DUMMYFUNCTION("""COMPUTED_VALUE"""),526089.0)</f>
        <v>526089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</row>
    <row r="103">
      <c r="A103" s="1"/>
      <c r="B103" s="22">
        <f>IFERROR(__xludf.DUMMYFUNCTION("""COMPUTED_VALUE"""),41683.645833333336)</f>
        <v>41683.64583</v>
      </c>
      <c r="C103" s="9">
        <f>IFERROR(__xludf.DUMMYFUNCTION("""COMPUTED_VALUE"""),450.6)</f>
        <v>450.6</v>
      </c>
      <c r="D103" s="9">
        <f>IFERROR(__xludf.DUMMYFUNCTION("""COMPUTED_VALUE"""),452.24)</f>
        <v>452.24</v>
      </c>
      <c r="E103" s="9">
        <f>IFERROR(__xludf.DUMMYFUNCTION("""COMPUTED_VALUE"""),447.51)</f>
        <v>447.51</v>
      </c>
      <c r="F103" s="9">
        <f>IFERROR(__xludf.DUMMYFUNCTION("""COMPUTED_VALUE"""),448.23)</f>
        <v>448.23</v>
      </c>
      <c r="G103" s="9">
        <f>IFERROR(__xludf.DUMMYFUNCTION("""COMPUTED_VALUE"""),448540.0)</f>
        <v>448540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</row>
    <row r="104">
      <c r="A104" s="1"/>
      <c r="B104" s="22">
        <f>IFERROR(__xludf.DUMMYFUNCTION("""COMPUTED_VALUE"""),41684.645833333336)</f>
        <v>41684.64583</v>
      </c>
      <c r="C104" s="9">
        <f>IFERROR(__xludf.DUMMYFUNCTION("""COMPUTED_VALUE"""),451.94)</f>
        <v>451.94</v>
      </c>
      <c r="D104" s="9">
        <f>IFERROR(__xludf.DUMMYFUNCTION("""COMPUTED_VALUE"""),458.0)</f>
        <v>458</v>
      </c>
      <c r="E104" s="9">
        <f>IFERROR(__xludf.DUMMYFUNCTION("""COMPUTED_VALUE"""),450.41)</f>
        <v>450.41</v>
      </c>
      <c r="F104" s="9">
        <f>IFERROR(__xludf.DUMMYFUNCTION("""COMPUTED_VALUE"""),455.54)</f>
        <v>455.54</v>
      </c>
      <c r="G104" s="9">
        <f>IFERROR(__xludf.DUMMYFUNCTION("""COMPUTED_VALUE"""),745271.0)</f>
        <v>745271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</row>
    <row r="105">
      <c r="A105" s="1"/>
      <c r="B105" s="22">
        <f>IFERROR(__xludf.DUMMYFUNCTION("""COMPUTED_VALUE"""),41687.645833333336)</f>
        <v>41687.64583</v>
      </c>
      <c r="C105" s="9">
        <f>IFERROR(__xludf.DUMMYFUNCTION("""COMPUTED_VALUE"""),460.63)</f>
        <v>460.63</v>
      </c>
      <c r="D105" s="9">
        <f>IFERROR(__xludf.DUMMYFUNCTION("""COMPUTED_VALUE"""),460.63)</f>
        <v>460.63</v>
      </c>
      <c r="E105" s="9">
        <f>IFERROR(__xludf.DUMMYFUNCTION("""COMPUTED_VALUE"""),456.11)</f>
        <v>456.11</v>
      </c>
      <c r="F105" s="9">
        <f>IFERROR(__xludf.DUMMYFUNCTION("""COMPUTED_VALUE"""),457.27)</f>
        <v>457.27</v>
      </c>
      <c r="G105" s="9">
        <f>IFERROR(__xludf.DUMMYFUNCTION("""COMPUTED_VALUE"""),1696240.0)</f>
        <v>1696240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</row>
    <row r="106">
      <c r="A106" s="1"/>
      <c r="B106" s="22">
        <f>IFERROR(__xludf.DUMMYFUNCTION("""COMPUTED_VALUE"""),41688.645833333336)</f>
        <v>41688.64583</v>
      </c>
      <c r="C106" s="9">
        <f>IFERROR(__xludf.DUMMYFUNCTION("""COMPUTED_VALUE"""),455.88)</f>
        <v>455.88</v>
      </c>
      <c r="D106" s="9">
        <f>IFERROR(__xludf.DUMMYFUNCTION("""COMPUTED_VALUE"""),461.83)</f>
        <v>461.83</v>
      </c>
      <c r="E106" s="9">
        <f>IFERROR(__xludf.DUMMYFUNCTION("""COMPUTED_VALUE"""),455.88)</f>
        <v>455.88</v>
      </c>
      <c r="F106" s="9">
        <f>IFERROR(__xludf.DUMMYFUNCTION("""COMPUTED_VALUE"""),460.25)</f>
        <v>460.25</v>
      </c>
      <c r="G106" s="9">
        <f>IFERROR(__xludf.DUMMYFUNCTION("""COMPUTED_VALUE"""),622280.0)</f>
        <v>622280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</row>
    <row r="107">
      <c r="A107" s="1"/>
      <c r="B107" s="22">
        <f>IFERROR(__xludf.DUMMYFUNCTION("""COMPUTED_VALUE"""),41690.645833333336)</f>
        <v>41690.64583</v>
      </c>
      <c r="C107" s="9">
        <f>IFERROR(__xludf.DUMMYFUNCTION("""COMPUTED_VALUE"""),468.11)</f>
        <v>468.11</v>
      </c>
      <c r="D107" s="9">
        <f>IFERROR(__xludf.DUMMYFUNCTION("""COMPUTED_VALUE"""),468.11)</f>
        <v>468.11</v>
      </c>
      <c r="E107" s="9">
        <f>IFERROR(__xludf.DUMMYFUNCTION("""COMPUTED_VALUE"""),463.25)</f>
        <v>463.25</v>
      </c>
      <c r="F107" s="9">
        <f>IFERROR(__xludf.DUMMYFUNCTION("""COMPUTED_VALUE"""),463.91)</f>
        <v>463.91</v>
      </c>
      <c r="G107" s="9">
        <f>IFERROR(__xludf.DUMMYFUNCTION("""COMPUTED_VALUE"""),1102106.0)</f>
        <v>1102106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</row>
    <row r="108">
      <c r="A108" s="1"/>
      <c r="B108" s="22">
        <f>IFERROR(__xludf.DUMMYFUNCTION("""COMPUTED_VALUE"""),41691.645833333336)</f>
        <v>41691.64583</v>
      </c>
      <c r="C108" s="9">
        <f>IFERROR(__xludf.DUMMYFUNCTION("""COMPUTED_VALUE"""),467.0)</f>
        <v>467</v>
      </c>
      <c r="D108" s="9">
        <f>IFERROR(__xludf.DUMMYFUNCTION("""COMPUTED_VALUE"""),469.43)</f>
        <v>469.43</v>
      </c>
      <c r="E108" s="9">
        <f>IFERROR(__xludf.DUMMYFUNCTION("""COMPUTED_VALUE"""),465.91)</f>
        <v>465.91</v>
      </c>
      <c r="F108" s="9">
        <f>IFERROR(__xludf.DUMMYFUNCTION("""COMPUTED_VALUE"""),468.84)</f>
        <v>468.84</v>
      </c>
      <c r="G108" s="9">
        <f>IFERROR(__xludf.DUMMYFUNCTION("""COMPUTED_VALUE"""),689748.0)</f>
        <v>689748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</row>
    <row r="109">
      <c r="A109" s="1"/>
      <c r="B109" s="22">
        <f>IFERROR(__xludf.DUMMYFUNCTION("""COMPUTED_VALUE"""),41694.645833333336)</f>
        <v>41694.64583</v>
      </c>
      <c r="C109" s="9">
        <f>IFERROR(__xludf.DUMMYFUNCTION("""COMPUTED_VALUE"""),468.25)</f>
        <v>468.25</v>
      </c>
      <c r="D109" s="9">
        <f>IFERROR(__xludf.DUMMYFUNCTION("""COMPUTED_VALUE"""),469.21)</f>
        <v>469.21</v>
      </c>
      <c r="E109" s="9">
        <f>IFERROR(__xludf.DUMMYFUNCTION("""COMPUTED_VALUE"""),466.25)</f>
        <v>466.25</v>
      </c>
      <c r="F109" s="9">
        <f>IFERROR(__xludf.DUMMYFUNCTION("""COMPUTED_VALUE"""),468.74)</f>
        <v>468.74</v>
      </c>
      <c r="G109" s="9">
        <f>IFERROR(__xludf.DUMMYFUNCTION("""COMPUTED_VALUE"""),544701.0)</f>
        <v>544701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</row>
    <row r="110">
      <c r="A110" s="1"/>
      <c r="B110" s="22">
        <f>IFERROR(__xludf.DUMMYFUNCTION("""COMPUTED_VALUE"""),41695.645833333336)</f>
        <v>41695.64583</v>
      </c>
      <c r="C110" s="9">
        <f>IFERROR(__xludf.DUMMYFUNCTION("""COMPUTED_VALUE"""),469.38)</f>
        <v>469.38</v>
      </c>
      <c r="D110" s="9">
        <f>IFERROR(__xludf.DUMMYFUNCTION("""COMPUTED_VALUE"""),474.01)</f>
        <v>474.01</v>
      </c>
      <c r="E110" s="9">
        <f>IFERROR(__xludf.DUMMYFUNCTION("""COMPUTED_VALUE"""),469.38)</f>
        <v>469.38</v>
      </c>
      <c r="F110" s="9">
        <f>IFERROR(__xludf.DUMMYFUNCTION("""COMPUTED_VALUE"""),472.86)</f>
        <v>472.86</v>
      </c>
      <c r="G110" s="9">
        <f>IFERROR(__xludf.DUMMYFUNCTION("""COMPUTED_VALUE"""),1012439.0)</f>
        <v>1012439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</row>
    <row r="111">
      <c r="A111" s="1"/>
      <c r="B111" s="22">
        <f>IFERROR(__xludf.DUMMYFUNCTION("""COMPUTED_VALUE"""),41696.645833333336)</f>
        <v>41696.64583</v>
      </c>
      <c r="C111" s="9">
        <f>IFERROR(__xludf.DUMMYFUNCTION("""COMPUTED_VALUE"""),472.5)</f>
        <v>472.5</v>
      </c>
      <c r="D111" s="9">
        <f>IFERROR(__xludf.DUMMYFUNCTION("""COMPUTED_VALUE"""),477.23)</f>
        <v>477.23</v>
      </c>
      <c r="E111" s="9">
        <f>IFERROR(__xludf.DUMMYFUNCTION("""COMPUTED_VALUE"""),471.51)</f>
        <v>471.51</v>
      </c>
      <c r="F111" s="9">
        <f>IFERROR(__xludf.DUMMYFUNCTION("""COMPUTED_VALUE"""),475.94)</f>
        <v>475.94</v>
      </c>
      <c r="G111" s="9">
        <f>IFERROR(__xludf.DUMMYFUNCTION("""COMPUTED_VALUE"""),919021.0)</f>
        <v>919021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</row>
    <row r="112">
      <c r="A112" s="1"/>
      <c r="B112" s="22">
        <f>IFERROR(__xludf.DUMMYFUNCTION("""COMPUTED_VALUE"""),41698.645833333336)</f>
        <v>41698.64583</v>
      </c>
      <c r="C112" s="9">
        <f>IFERROR(__xludf.DUMMYFUNCTION("""COMPUTED_VALUE"""),470.14)</f>
        <v>470.14</v>
      </c>
      <c r="D112" s="9">
        <f>IFERROR(__xludf.DUMMYFUNCTION("""COMPUTED_VALUE"""),479.64)</f>
        <v>479.64</v>
      </c>
      <c r="E112" s="9">
        <f>IFERROR(__xludf.DUMMYFUNCTION("""COMPUTED_VALUE"""),470.14)</f>
        <v>470.14</v>
      </c>
      <c r="F112" s="9">
        <f>IFERROR(__xludf.DUMMYFUNCTION("""COMPUTED_VALUE"""),478.11)</f>
        <v>478.11</v>
      </c>
      <c r="G112" s="9">
        <f>IFERROR(__xludf.DUMMYFUNCTION("""COMPUTED_VALUE"""),1229937.0)</f>
        <v>1229937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</row>
    <row r="113">
      <c r="A113" s="1"/>
      <c r="B113" s="22">
        <f>IFERROR(__xludf.DUMMYFUNCTION("""COMPUTED_VALUE"""),41701.645833333336)</f>
        <v>41701.64583</v>
      </c>
      <c r="C113" s="9">
        <f>IFERROR(__xludf.DUMMYFUNCTION("""COMPUTED_VALUE"""),478.13)</f>
        <v>478.13</v>
      </c>
      <c r="D113" s="9">
        <f>IFERROR(__xludf.DUMMYFUNCTION("""COMPUTED_VALUE"""),481.24)</f>
        <v>481.24</v>
      </c>
      <c r="E113" s="9">
        <f>IFERROR(__xludf.DUMMYFUNCTION("""COMPUTED_VALUE"""),473.99)</f>
        <v>473.99</v>
      </c>
      <c r="F113" s="9">
        <f>IFERROR(__xludf.DUMMYFUNCTION("""COMPUTED_VALUE"""),474.78)</f>
        <v>474.78</v>
      </c>
      <c r="G113" s="9">
        <f>IFERROR(__xludf.DUMMYFUNCTION("""COMPUTED_VALUE"""),900522.0)</f>
        <v>900522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</row>
    <row r="114">
      <c r="A114" s="1"/>
      <c r="B114" s="22">
        <f>IFERROR(__xludf.DUMMYFUNCTION("""COMPUTED_VALUE"""),41702.645833333336)</f>
        <v>41702.64583</v>
      </c>
      <c r="C114" s="9">
        <f>IFERROR(__xludf.DUMMYFUNCTION("""COMPUTED_VALUE"""),471.25)</f>
        <v>471.25</v>
      </c>
      <c r="D114" s="9">
        <f>IFERROR(__xludf.DUMMYFUNCTION("""COMPUTED_VALUE"""),478.06)</f>
        <v>478.06</v>
      </c>
      <c r="E114" s="9">
        <f>IFERROR(__xludf.DUMMYFUNCTION("""COMPUTED_VALUE"""),470.24)</f>
        <v>470.24</v>
      </c>
      <c r="F114" s="9">
        <f>IFERROR(__xludf.DUMMYFUNCTION("""COMPUTED_VALUE"""),474.94)</f>
        <v>474.94</v>
      </c>
      <c r="G114" s="9">
        <f>IFERROR(__xludf.DUMMYFUNCTION("""COMPUTED_VALUE"""),867239.0)</f>
        <v>867239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</row>
    <row r="115">
      <c r="A115" s="1"/>
      <c r="B115" s="22">
        <f>IFERROR(__xludf.DUMMYFUNCTION("""COMPUTED_VALUE"""),41703.645833333336)</f>
        <v>41703.64583</v>
      </c>
      <c r="C115" s="9">
        <f>IFERROR(__xludf.DUMMYFUNCTION("""COMPUTED_VALUE"""),478.49)</f>
        <v>478.49</v>
      </c>
      <c r="D115" s="9">
        <f>IFERROR(__xludf.DUMMYFUNCTION("""COMPUTED_VALUE"""),480.55)</f>
        <v>480.55</v>
      </c>
      <c r="E115" s="9">
        <f>IFERROR(__xludf.DUMMYFUNCTION("""COMPUTED_VALUE"""),476.24)</f>
        <v>476.24</v>
      </c>
      <c r="F115" s="9">
        <f>IFERROR(__xludf.DUMMYFUNCTION("""COMPUTED_VALUE"""),477.71)</f>
        <v>477.71</v>
      </c>
      <c r="G115" s="9">
        <f>IFERROR(__xludf.DUMMYFUNCTION("""COMPUTED_VALUE"""),617938.0)</f>
        <v>617938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</row>
    <row r="116">
      <c r="A116" s="1"/>
      <c r="B116" s="22">
        <f>IFERROR(__xludf.DUMMYFUNCTION("""COMPUTED_VALUE"""),41704.645833333336)</f>
        <v>41704.64583</v>
      </c>
      <c r="C116" s="9">
        <f>IFERROR(__xludf.DUMMYFUNCTION("""COMPUTED_VALUE"""),479.75)</f>
        <v>479.75</v>
      </c>
      <c r="D116" s="9">
        <f>IFERROR(__xludf.DUMMYFUNCTION("""COMPUTED_VALUE"""),481.24)</f>
        <v>481.24</v>
      </c>
      <c r="E116" s="9">
        <f>IFERROR(__xludf.DUMMYFUNCTION("""COMPUTED_VALUE"""),477.17)</f>
        <v>477.17</v>
      </c>
      <c r="F116" s="9">
        <f>IFERROR(__xludf.DUMMYFUNCTION("""COMPUTED_VALUE"""),478.99)</f>
        <v>478.99</v>
      </c>
      <c r="G116" s="9">
        <f>IFERROR(__xludf.DUMMYFUNCTION("""COMPUTED_VALUE"""),778289.0)</f>
        <v>778289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</row>
    <row r="117">
      <c r="A117" s="1"/>
      <c r="B117" s="22">
        <f>IFERROR(__xludf.DUMMYFUNCTION("""COMPUTED_VALUE"""),41705.645833333336)</f>
        <v>41705.64583</v>
      </c>
      <c r="C117" s="9">
        <f>IFERROR(__xludf.DUMMYFUNCTION("""COMPUTED_VALUE"""),478.38)</f>
        <v>478.38</v>
      </c>
      <c r="D117" s="9">
        <f>IFERROR(__xludf.DUMMYFUNCTION("""COMPUTED_VALUE"""),479.25)</f>
        <v>479.25</v>
      </c>
      <c r="E117" s="9">
        <f>IFERROR(__xludf.DUMMYFUNCTION("""COMPUTED_VALUE"""),463.54)</f>
        <v>463.54</v>
      </c>
      <c r="F117" s="9">
        <f>IFERROR(__xludf.DUMMYFUNCTION("""COMPUTED_VALUE"""),467.54)</f>
        <v>467.54</v>
      </c>
      <c r="G117" s="9">
        <f>IFERROR(__xludf.DUMMYFUNCTION("""COMPUTED_VALUE"""),1884093.0)</f>
        <v>1884093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</row>
    <row r="118">
      <c r="A118" s="1"/>
      <c r="B118" s="22">
        <f>IFERROR(__xludf.DUMMYFUNCTION("""COMPUTED_VALUE"""),41708.645833333336)</f>
        <v>41708.64583</v>
      </c>
      <c r="C118" s="9">
        <f>IFERROR(__xludf.DUMMYFUNCTION("""COMPUTED_VALUE"""),466.21)</f>
        <v>466.21</v>
      </c>
      <c r="D118" s="9">
        <f>IFERROR(__xludf.DUMMYFUNCTION("""COMPUTED_VALUE"""),466.21)</f>
        <v>466.21</v>
      </c>
      <c r="E118" s="9">
        <f>IFERROR(__xludf.DUMMYFUNCTION("""COMPUTED_VALUE"""),455.66)</f>
        <v>455.66</v>
      </c>
      <c r="F118" s="9">
        <f>IFERROR(__xludf.DUMMYFUNCTION("""COMPUTED_VALUE"""),458.95)</f>
        <v>458.95</v>
      </c>
      <c r="G118" s="9">
        <f>IFERROR(__xludf.DUMMYFUNCTION("""COMPUTED_VALUE"""),929059.0)</f>
        <v>929059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</row>
    <row r="119">
      <c r="A119" s="1"/>
      <c r="B119" s="22">
        <f>IFERROR(__xludf.DUMMYFUNCTION("""COMPUTED_VALUE"""),41709.645833333336)</f>
        <v>41709.64583</v>
      </c>
      <c r="C119" s="9">
        <f>IFERROR(__xludf.DUMMYFUNCTION("""COMPUTED_VALUE"""),456.63)</f>
        <v>456.63</v>
      </c>
      <c r="D119" s="9">
        <f>IFERROR(__xludf.DUMMYFUNCTION("""COMPUTED_VALUE"""),463.61)</f>
        <v>463.61</v>
      </c>
      <c r="E119" s="9">
        <f>IFERROR(__xludf.DUMMYFUNCTION("""COMPUTED_VALUE"""),453.88)</f>
        <v>453.88</v>
      </c>
      <c r="F119" s="9">
        <f>IFERROR(__xludf.DUMMYFUNCTION("""COMPUTED_VALUE"""),459.42)</f>
        <v>459.42</v>
      </c>
      <c r="G119" s="9">
        <f>IFERROR(__xludf.DUMMYFUNCTION("""COMPUTED_VALUE"""),515534.0)</f>
        <v>515534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</row>
    <row r="120">
      <c r="A120" s="1"/>
      <c r="B120" s="22">
        <f>IFERROR(__xludf.DUMMYFUNCTION("""COMPUTED_VALUE"""),41710.645833333336)</f>
        <v>41710.64583</v>
      </c>
      <c r="C120" s="9">
        <f>IFERROR(__xludf.DUMMYFUNCTION("""COMPUTED_VALUE"""),459.18)</f>
        <v>459.18</v>
      </c>
      <c r="D120" s="9">
        <f>IFERROR(__xludf.DUMMYFUNCTION("""COMPUTED_VALUE"""),462.92)</f>
        <v>462.92</v>
      </c>
      <c r="E120" s="9">
        <f>IFERROR(__xludf.DUMMYFUNCTION("""COMPUTED_VALUE"""),456.5)</f>
        <v>456.5</v>
      </c>
      <c r="F120" s="9">
        <f>IFERROR(__xludf.DUMMYFUNCTION("""COMPUTED_VALUE"""),458.91)</f>
        <v>458.91</v>
      </c>
      <c r="G120" s="9">
        <f>IFERROR(__xludf.DUMMYFUNCTION("""COMPUTED_VALUE"""),492513.0)</f>
        <v>492513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</row>
    <row r="121">
      <c r="A121" s="1"/>
      <c r="B121" s="22">
        <f>IFERROR(__xludf.DUMMYFUNCTION("""COMPUTED_VALUE"""),41711.645833333336)</f>
        <v>41711.64583</v>
      </c>
      <c r="C121" s="9">
        <f>IFERROR(__xludf.DUMMYFUNCTION("""COMPUTED_VALUE"""),427.5)</f>
        <v>427.5</v>
      </c>
      <c r="D121" s="9">
        <f>IFERROR(__xludf.DUMMYFUNCTION("""COMPUTED_VALUE"""),429.99)</f>
        <v>429.99</v>
      </c>
      <c r="E121" s="9">
        <f>IFERROR(__xludf.DUMMYFUNCTION("""COMPUTED_VALUE"""),417.5)</f>
        <v>417.5</v>
      </c>
      <c r="F121" s="9">
        <f>IFERROR(__xludf.DUMMYFUNCTION("""COMPUTED_VALUE"""),419.7)</f>
        <v>419.7</v>
      </c>
      <c r="G121" s="9">
        <f>IFERROR(__xludf.DUMMYFUNCTION("""COMPUTED_VALUE"""),5098860.0)</f>
        <v>5098860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</row>
    <row r="122">
      <c r="A122" s="1"/>
      <c r="B122" s="22">
        <f>IFERROR(__xludf.DUMMYFUNCTION("""COMPUTED_VALUE"""),41712.645833333336)</f>
        <v>41712.64583</v>
      </c>
      <c r="C122" s="9">
        <f>IFERROR(__xludf.DUMMYFUNCTION("""COMPUTED_VALUE"""),417.5)</f>
        <v>417.5</v>
      </c>
      <c r="D122" s="9">
        <f>IFERROR(__xludf.DUMMYFUNCTION("""COMPUTED_VALUE"""),425.49)</f>
        <v>425.49</v>
      </c>
      <c r="E122" s="9">
        <f>IFERROR(__xludf.DUMMYFUNCTION("""COMPUTED_VALUE"""),416.88)</f>
        <v>416.88</v>
      </c>
      <c r="F122" s="9">
        <f>IFERROR(__xludf.DUMMYFUNCTION("""COMPUTED_VALUE"""),424.27)</f>
        <v>424.27</v>
      </c>
      <c r="G122" s="9">
        <f>IFERROR(__xludf.DUMMYFUNCTION("""COMPUTED_VALUE"""),1395943.0)</f>
        <v>1395943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</row>
    <row r="123">
      <c r="A123" s="1"/>
      <c r="B123" s="22">
        <f>IFERROR(__xludf.DUMMYFUNCTION("""COMPUTED_VALUE"""),41716.645833333336)</f>
        <v>41716.64583</v>
      </c>
      <c r="C123" s="9">
        <f>IFERROR(__xludf.DUMMYFUNCTION("""COMPUTED_VALUE"""),425.0)</f>
        <v>425</v>
      </c>
      <c r="D123" s="9">
        <f>IFERROR(__xludf.DUMMYFUNCTION("""COMPUTED_VALUE"""),426.49)</f>
        <v>426.49</v>
      </c>
      <c r="E123" s="9">
        <f>IFERROR(__xludf.DUMMYFUNCTION("""COMPUTED_VALUE"""),417.5)</f>
        <v>417.5</v>
      </c>
      <c r="F123" s="9">
        <f>IFERROR(__xludf.DUMMYFUNCTION("""COMPUTED_VALUE"""),418.82)</f>
        <v>418.82</v>
      </c>
      <c r="G123" s="9">
        <f>IFERROR(__xludf.DUMMYFUNCTION("""COMPUTED_VALUE"""),1475539.0)</f>
        <v>1475539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</row>
    <row r="124">
      <c r="A124" s="1"/>
      <c r="B124" s="22">
        <f>IFERROR(__xludf.DUMMYFUNCTION("""COMPUTED_VALUE"""),41717.645833333336)</f>
        <v>41717.64583</v>
      </c>
      <c r="C124" s="9">
        <f>IFERROR(__xludf.DUMMYFUNCTION("""COMPUTED_VALUE"""),418.75)</f>
        <v>418.75</v>
      </c>
      <c r="D124" s="9">
        <f>IFERROR(__xludf.DUMMYFUNCTION("""COMPUTED_VALUE"""),419.73)</f>
        <v>419.73</v>
      </c>
      <c r="E124" s="9">
        <f>IFERROR(__xludf.DUMMYFUNCTION("""COMPUTED_VALUE"""),404.84)</f>
        <v>404.84</v>
      </c>
      <c r="F124" s="9">
        <f>IFERROR(__xludf.DUMMYFUNCTION("""COMPUTED_VALUE"""),408.97)</f>
        <v>408.97</v>
      </c>
      <c r="G124" s="9">
        <f>IFERROR(__xludf.DUMMYFUNCTION("""COMPUTED_VALUE"""),1972231.0)</f>
        <v>1972231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</row>
    <row r="125">
      <c r="A125" s="1"/>
      <c r="B125" s="22">
        <f>IFERROR(__xludf.DUMMYFUNCTION("""COMPUTED_VALUE"""),41718.645833333336)</f>
        <v>41718.64583</v>
      </c>
      <c r="C125" s="9">
        <f>IFERROR(__xludf.DUMMYFUNCTION("""COMPUTED_VALUE"""),408.75)</f>
        <v>408.75</v>
      </c>
      <c r="D125" s="9">
        <f>IFERROR(__xludf.DUMMYFUNCTION("""COMPUTED_VALUE"""),418.69)</f>
        <v>418.69</v>
      </c>
      <c r="E125" s="9">
        <f>IFERROR(__xludf.DUMMYFUNCTION("""COMPUTED_VALUE"""),408.75)</f>
        <v>408.75</v>
      </c>
      <c r="F125" s="9">
        <f>IFERROR(__xludf.DUMMYFUNCTION("""COMPUTED_VALUE"""),412.88)</f>
        <v>412.88</v>
      </c>
      <c r="G125" s="9">
        <f>IFERROR(__xludf.DUMMYFUNCTION("""COMPUTED_VALUE"""),1002879.0)</f>
        <v>1002879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</row>
    <row r="126">
      <c r="A126" s="1"/>
      <c r="B126" s="22">
        <f>IFERROR(__xludf.DUMMYFUNCTION("""COMPUTED_VALUE"""),41719.645833333336)</f>
        <v>41719.64583</v>
      </c>
      <c r="C126" s="9">
        <f>IFERROR(__xludf.DUMMYFUNCTION("""COMPUTED_VALUE"""),416.25)</f>
        <v>416.25</v>
      </c>
      <c r="D126" s="9">
        <f>IFERROR(__xludf.DUMMYFUNCTION("""COMPUTED_VALUE"""),417.25)</f>
        <v>417.25</v>
      </c>
      <c r="E126" s="9">
        <f>IFERROR(__xludf.DUMMYFUNCTION("""COMPUTED_VALUE"""),408.81)</f>
        <v>408.81</v>
      </c>
      <c r="F126" s="9">
        <f>IFERROR(__xludf.DUMMYFUNCTION("""COMPUTED_VALUE"""),413.21)</f>
        <v>413.21</v>
      </c>
      <c r="G126" s="9">
        <f>IFERROR(__xludf.DUMMYFUNCTION("""COMPUTED_VALUE"""),1547540.0)</f>
        <v>1547540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</row>
    <row r="127">
      <c r="A127" s="1"/>
      <c r="B127" s="22">
        <f>IFERROR(__xludf.DUMMYFUNCTION("""COMPUTED_VALUE"""),41722.645833333336)</f>
        <v>41722.64583</v>
      </c>
      <c r="C127" s="9">
        <f>IFERROR(__xludf.DUMMYFUNCTION("""COMPUTED_VALUE"""),409.03)</f>
        <v>409.03</v>
      </c>
      <c r="D127" s="9">
        <f>IFERROR(__xludf.DUMMYFUNCTION("""COMPUTED_VALUE"""),414.81)</f>
        <v>414.81</v>
      </c>
      <c r="E127" s="9">
        <f>IFERROR(__xludf.DUMMYFUNCTION("""COMPUTED_VALUE"""),408.75)</f>
        <v>408.75</v>
      </c>
      <c r="F127" s="9">
        <f>IFERROR(__xludf.DUMMYFUNCTION("""COMPUTED_VALUE"""),409.48)</f>
        <v>409.48</v>
      </c>
      <c r="G127" s="9">
        <f>IFERROR(__xludf.DUMMYFUNCTION("""COMPUTED_VALUE"""),1020043.0)</f>
        <v>1020043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</row>
    <row r="128">
      <c r="A128" s="1"/>
      <c r="B128" s="22">
        <f>IFERROR(__xludf.DUMMYFUNCTION("""COMPUTED_VALUE"""),41723.645833333336)</f>
        <v>41723.64583</v>
      </c>
      <c r="C128" s="9">
        <f>IFERROR(__xludf.DUMMYFUNCTION("""COMPUTED_VALUE"""),406.0)</f>
        <v>406</v>
      </c>
      <c r="D128" s="9">
        <f>IFERROR(__xludf.DUMMYFUNCTION("""COMPUTED_VALUE"""),409.96)</f>
        <v>409.96</v>
      </c>
      <c r="E128" s="9">
        <f>IFERROR(__xludf.DUMMYFUNCTION("""COMPUTED_VALUE"""),405.75)</f>
        <v>405.75</v>
      </c>
      <c r="F128" s="9">
        <f>IFERROR(__xludf.DUMMYFUNCTION("""COMPUTED_VALUE"""),406.8)</f>
        <v>406.8</v>
      </c>
      <c r="G128" s="9">
        <f>IFERROR(__xludf.DUMMYFUNCTION("""COMPUTED_VALUE"""),943508.0)</f>
        <v>943508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</row>
    <row r="129">
      <c r="A129" s="1"/>
      <c r="B129" s="22">
        <f>IFERROR(__xludf.DUMMYFUNCTION("""COMPUTED_VALUE"""),41724.645833333336)</f>
        <v>41724.64583</v>
      </c>
      <c r="C129" s="9">
        <f>IFERROR(__xludf.DUMMYFUNCTION("""COMPUTED_VALUE"""),407.5)</f>
        <v>407.5</v>
      </c>
      <c r="D129" s="9">
        <f>IFERROR(__xludf.DUMMYFUNCTION("""COMPUTED_VALUE"""),408.62)</f>
        <v>408.62</v>
      </c>
      <c r="E129" s="9">
        <f>IFERROR(__xludf.DUMMYFUNCTION("""COMPUTED_VALUE"""),403.83)</f>
        <v>403.83</v>
      </c>
      <c r="F129" s="9">
        <f>IFERROR(__xludf.DUMMYFUNCTION("""COMPUTED_VALUE"""),406.11)</f>
        <v>406.11</v>
      </c>
      <c r="G129" s="9">
        <f>IFERROR(__xludf.DUMMYFUNCTION("""COMPUTED_VALUE"""),1057321.0)</f>
        <v>1057321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</row>
    <row r="130">
      <c r="A130" s="1"/>
      <c r="B130" s="22">
        <f>IFERROR(__xludf.DUMMYFUNCTION("""COMPUTED_VALUE"""),41725.645833333336)</f>
        <v>41725.64583</v>
      </c>
      <c r="C130" s="9">
        <f>IFERROR(__xludf.DUMMYFUNCTION("""COMPUTED_VALUE"""),406.0)</f>
        <v>406</v>
      </c>
      <c r="D130" s="9">
        <f>IFERROR(__xludf.DUMMYFUNCTION("""COMPUTED_VALUE"""),407.86)</f>
        <v>407.86</v>
      </c>
      <c r="E130" s="9">
        <f>IFERROR(__xludf.DUMMYFUNCTION("""COMPUTED_VALUE"""),401.99)</f>
        <v>401.99</v>
      </c>
      <c r="F130" s="9">
        <f>IFERROR(__xludf.DUMMYFUNCTION("""COMPUTED_VALUE"""),403.88)</f>
        <v>403.88</v>
      </c>
      <c r="G130" s="9">
        <f>IFERROR(__xludf.DUMMYFUNCTION("""COMPUTED_VALUE"""),1699921.0)</f>
        <v>1699921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</row>
    <row r="131">
      <c r="A131" s="1"/>
      <c r="B131" s="22">
        <f>IFERROR(__xludf.DUMMYFUNCTION("""COMPUTED_VALUE"""),41726.645833333336)</f>
        <v>41726.64583</v>
      </c>
      <c r="C131" s="9">
        <f>IFERROR(__xludf.DUMMYFUNCTION("""COMPUTED_VALUE"""),405.01)</f>
        <v>405.01</v>
      </c>
      <c r="D131" s="9">
        <f>IFERROR(__xludf.DUMMYFUNCTION("""COMPUTED_VALUE"""),409.88)</f>
        <v>409.88</v>
      </c>
      <c r="E131" s="9">
        <f>IFERROR(__xludf.DUMMYFUNCTION("""COMPUTED_VALUE"""),403.41)</f>
        <v>403.41</v>
      </c>
      <c r="F131" s="9">
        <f>IFERROR(__xludf.DUMMYFUNCTION("""COMPUTED_VALUE"""),407.83)</f>
        <v>407.83</v>
      </c>
      <c r="G131" s="9">
        <f>IFERROR(__xludf.DUMMYFUNCTION("""COMPUTED_VALUE"""),893353.0)</f>
        <v>893353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</row>
    <row r="132">
      <c r="A132" s="1"/>
      <c r="B132" s="22">
        <f>IFERROR(__xludf.DUMMYFUNCTION("""COMPUTED_VALUE"""),41729.645833333336)</f>
        <v>41729.64583</v>
      </c>
      <c r="C132" s="9">
        <f>IFERROR(__xludf.DUMMYFUNCTION("""COMPUTED_VALUE"""),410.66)</f>
        <v>410.66</v>
      </c>
      <c r="D132" s="9">
        <f>IFERROR(__xludf.DUMMYFUNCTION("""COMPUTED_VALUE"""),413.12)</f>
        <v>413.12</v>
      </c>
      <c r="E132" s="9">
        <f>IFERROR(__xludf.DUMMYFUNCTION("""COMPUTED_VALUE"""),403.76)</f>
        <v>403.76</v>
      </c>
      <c r="F132" s="9">
        <f>IFERROR(__xludf.DUMMYFUNCTION("""COMPUTED_VALUE"""),410.35)</f>
        <v>410.35</v>
      </c>
      <c r="G132" s="9">
        <f>IFERROR(__xludf.DUMMYFUNCTION("""COMPUTED_VALUE"""),1147116.0)</f>
        <v>1147116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</row>
    <row r="133">
      <c r="A133" s="1"/>
      <c r="B133" s="22">
        <f>IFERROR(__xludf.DUMMYFUNCTION("""COMPUTED_VALUE"""),41730.645833333336)</f>
        <v>41730.64583</v>
      </c>
      <c r="C133" s="9">
        <f>IFERROR(__xludf.DUMMYFUNCTION("""COMPUTED_VALUE"""),410.38)</f>
        <v>410.38</v>
      </c>
      <c r="D133" s="9">
        <f>IFERROR(__xludf.DUMMYFUNCTION("""COMPUTED_VALUE"""),415.63)</f>
        <v>415.63</v>
      </c>
      <c r="E133" s="9">
        <f>IFERROR(__xludf.DUMMYFUNCTION("""COMPUTED_VALUE"""),409.38)</f>
        <v>409.38</v>
      </c>
      <c r="F133" s="9">
        <f>IFERROR(__xludf.DUMMYFUNCTION("""COMPUTED_VALUE"""),414.24)</f>
        <v>414.24</v>
      </c>
      <c r="G133" s="9">
        <f>IFERROR(__xludf.DUMMYFUNCTION("""COMPUTED_VALUE"""),1078544.0)</f>
        <v>1078544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</row>
    <row r="134">
      <c r="A134" s="1"/>
      <c r="B134" s="22">
        <f>IFERROR(__xludf.DUMMYFUNCTION("""COMPUTED_VALUE"""),41731.645833333336)</f>
        <v>41731.64583</v>
      </c>
      <c r="C134" s="9">
        <f>IFERROR(__xludf.DUMMYFUNCTION("""COMPUTED_VALUE"""),418.6)</f>
        <v>418.6</v>
      </c>
      <c r="D134" s="9">
        <f>IFERROR(__xludf.DUMMYFUNCTION("""COMPUTED_VALUE"""),418.75)</f>
        <v>418.75</v>
      </c>
      <c r="E134" s="9">
        <f>IFERROR(__xludf.DUMMYFUNCTION("""COMPUTED_VALUE"""),413.81)</f>
        <v>413.81</v>
      </c>
      <c r="F134" s="9">
        <f>IFERROR(__xludf.DUMMYFUNCTION("""COMPUTED_VALUE"""),415.26)</f>
        <v>415.26</v>
      </c>
      <c r="G134" s="9">
        <f>IFERROR(__xludf.DUMMYFUNCTION("""COMPUTED_VALUE"""),705550.0)</f>
        <v>705550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</row>
    <row r="135">
      <c r="A135" s="1"/>
      <c r="B135" s="22">
        <f>IFERROR(__xludf.DUMMYFUNCTION("""COMPUTED_VALUE"""),41732.645833333336)</f>
        <v>41732.64583</v>
      </c>
      <c r="C135" s="9">
        <f>IFERROR(__xludf.DUMMYFUNCTION("""COMPUTED_VALUE"""),417.44)</f>
        <v>417.44</v>
      </c>
      <c r="D135" s="9">
        <f>IFERROR(__xludf.DUMMYFUNCTION("""COMPUTED_VALUE"""),418.5)</f>
        <v>418.5</v>
      </c>
      <c r="E135" s="9">
        <f>IFERROR(__xludf.DUMMYFUNCTION("""COMPUTED_VALUE"""),414.88)</f>
        <v>414.88</v>
      </c>
      <c r="F135" s="9">
        <f>IFERROR(__xludf.DUMMYFUNCTION("""COMPUTED_VALUE"""),417.27)</f>
        <v>417.27</v>
      </c>
      <c r="G135" s="9">
        <f>IFERROR(__xludf.DUMMYFUNCTION("""COMPUTED_VALUE"""),587527.0)</f>
        <v>587527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</row>
    <row r="136">
      <c r="A136" s="1"/>
      <c r="B136" s="22">
        <f>IFERROR(__xludf.DUMMYFUNCTION("""COMPUTED_VALUE"""),41733.645833333336)</f>
        <v>41733.64583</v>
      </c>
      <c r="C136" s="9">
        <f>IFERROR(__xludf.DUMMYFUNCTION("""COMPUTED_VALUE"""),418.88)</f>
        <v>418.88</v>
      </c>
      <c r="D136" s="9">
        <f>IFERROR(__xludf.DUMMYFUNCTION("""COMPUTED_VALUE"""),419.5)</f>
        <v>419.5</v>
      </c>
      <c r="E136" s="9">
        <f>IFERROR(__xludf.DUMMYFUNCTION("""COMPUTED_VALUE"""),413.26)</f>
        <v>413.26</v>
      </c>
      <c r="F136" s="9">
        <f>IFERROR(__xludf.DUMMYFUNCTION("""COMPUTED_VALUE"""),414.51)</f>
        <v>414.51</v>
      </c>
      <c r="G136" s="9">
        <f>IFERROR(__xludf.DUMMYFUNCTION("""COMPUTED_VALUE"""),490698.0)</f>
        <v>490698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</row>
    <row r="137">
      <c r="A137" s="1"/>
      <c r="B137" s="22">
        <f>IFERROR(__xludf.DUMMYFUNCTION("""COMPUTED_VALUE"""),41736.645833333336)</f>
        <v>41736.64583</v>
      </c>
      <c r="C137" s="9">
        <f>IFERROR(__xludf.DUMMYFUNCTION("""COMPUTED_VALUE"""),412.25)</f>
        <v>412.25</v>
      </c>
      <c r="D137" s="9">
        <f>IFERROR(__xludf.DUMMYFUNCTION("""COMPUTED_VALUE"""),414.31)</f>
        <v>414.31</v>
      </c>
      <c r="E137" s="9">
        <f>IFERROR(__xludf.DUMMYFUNCTION("""COMPUTED_VALUE"""),407.0)</f>
        <v>407</v>
      </c>
      <c r="F137" s="9">
        <f>IFERROR(__xludf.DUMMYFUNCTION("""COMPUTED_VALUE"""),411.68)</f>
        <v>411.68</v>
      </c>
      <c r="G137" s="9">
        <f>IFERROR(__xludf.DUMMYFUNCTION("""COMPUTED_VALUE"""),887193.0)</f>
        <v>887193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</row>
    <row r="138">
      <c r="A138" s="1"/>
      <c r="B138" s="22">
        <f>IFERROR(__xludf.DUMMYFUNCTION("""COMPUTED_VALUE"""),41738.645833333336)</f>
        <v>41738.64583</v>
      </c>
      <c r="C138" s="9">
        <f>IFERROR(__xludf.DUMMYFUNCTION("""COMPUTED_VALUE"""),410.13)</f>
        <v>410.13</v>
      </c>
      <c r="D138" s="9">
        <f>IFERROR(__xludf.DUMMYFUNCTION("""COMPUTED_VALUE"""),413.73)</f>
        <v>413.73</v>
      </c>
      <c r="E138" s="9">
        <f>IFERROR(__xludf.DUMMYFUNCTION("""COMPUTED_VALUE"""),403.81)</f>
        <v>403.81</v>
      </c>
      <c r="F138" s="9">
        <f>IFERROR(__xludf.DUMMYFUNCTION("""COMPUTED_VALUE"""),406.82)</f>
        <v>406.82</v>
      </c>
      <c r="G138" s="9">
        <f>IFERROR(__xludf.DUMMYFUNCTION("""COMPUTED_VALUE"""),1333085.0)</f>
        <v>1333085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</row>
    <row r="139">
      <c r="A139" s="1"/>
      <c r="B139" s="22">
        <f>IFERROR(__xludf.DUMMYFUNCTION("""COMPUTED_VALUE"""),41739.645833333336)</f>
        <v>41739.64583</v>
      </c>
      <c r="C139" s="9">
        <f>IFERROR(__xludf.DUMMYFUNCTION("""COMPUTED_VALUE"""),406.81)</f>
        <v>406.81</v>
      </c>
      <c r="D139" s="9">
        <f>IFERROR(__xludf.DUMMYFUNCTION("""COMPUTED_VALUE"""),407.22)</f>
        <v>407.22</v>
      </c>
      <c r="E139" s="9">
        <f>IFERROR(__xludf.DUMMYFUNCTION("""COMPUTED_VALUE"""),398.27)</f>
        <v>398.27</v>
      </c>
      <c r="F139" s="9">
        <f>IFERROR(__xludf.DUMMYFUNCTION("""COMPUTED_VALUE"""),400.15)</f>
        <v>400.15</v>
      </c>
      <c r="G139" s="9">
        <f>IFERROR(__xludf.DUMMYFUNCTION("""COMPUTED_VALUE"""),2657905.0)</f>
        <v>2657905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</row>
    <row r="140">
      <c r="A140" s="1"/>
      <c r="B140" s="22">
        <f>IFERROR(__xludf.DUMMYFUNCTION("""COMPUTED_VALUE"""),41740.645833333336)</f>
        <v>41740.64583</v>
      </c>
      <c r="C140" s="9">
        <f>IFERROR(__xludf.DUMMYFUNCTION("""COMPUTED_VALUE"""),401.25)</f>
        <v>401.25</v>
      </c>
      <c r="D140" s="9">
        <f>IFERROR(__xludf.DUMMYFUNCTION("""COMPUTED_VALUE"""),406.95)</f>
        <v>406.95</v>
      </c>
      <c r="E140" s="9">
        <f>IFERROR(__xludf.DUMMYFUNCTION("""COMPUTED_VALUE"""),395.63)</f>
        <v>395.63</v>
      </c>
      <c r="F140" s="9">
        <f>IFERROR(__xludf.DUMMYFUNCTION("""COMPUTED_VALUE"""),404.39)</f>
        <v>404.39</v>
      </c>
      <c r="G140" s="9">
        <f>IFERROR(__xludf.DUMMYFUNCTION("""COMPUTED_VALUE"""),2334792.0)</f>
        <v>2334792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</row>
    <row r="141">
      <c r="A141" s="1"/>
      <c r="B141" s="22">
        <f>IFERROR(__xludf.DUMMYFUNCTION("""COMPUTED_VALUE"""),41744.645833333336)</f>
        <v>41744.64583</v>
      </c>
      <c r="C141" s="9">
        <f>IFERROR(__xludf.DUMMYFUNCTION("""COMPUTED_VALUE"""),416.53)</f>
        <v>416.53</v>
      </c>
      <c r="D141" s="9">
        <f>IFERROR(__xludf.DUMMYFUNCTION("""COMPUTED_VALUE"""),423.5)</f>
        <v>423.5</v>
      </c>
      <c r="E141" s="9">
        <f>IFERROR(__xludf.DUMMYFUNCTION("""COMPUTED_VALUE"""),405.94)</f>
        <v>405.94</v>
      </c>
      <c r="F141" s="9">
        <f>IFERROR(__xludf.DUMMYFUNCTION("""COMPUTED_VALUE"""),407.48)</f>
        <v>407.48</v>
      </c>
      <c r="G141" s="9">
        <f>IFERROR(__xludf.DUMMYFUNCTION("""COMPUTED_VALUE"""),2597798.0)</f>
        <v>2597798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</row>
    <row r="142">
      <c r="A142" s="1"/>
      <c r="B142" s="22">
        <f>IFERROR(__xludf.DUMMYFUNCTION("""COMPUTED_VALUE"""),41745.645833333336)</f>
        <v>41745.64583</v>
      </c>
      <c r="C142" s="9">
        <f>IFERROR(__xludf.DUMMYFUNCTION("""COMPUTED_VALUE"""),405.24)</f>
        <v>405.24</v>
      </c>
      <c r="D142" s="9">
        <f>IFERROR(__xludf.DUMMYFUNCTION("""COMPUTED_VALUE"""),405.24)</f>
        <v>405.24</v>
      </c>
      <c r="E142" s="9">
        <f>IFERROR(__xludf.DUMMYFUNCTION("""COMPUTED_VALUE"""),393.44)</f>
        <v>393.44</v>
      </c>
      <c r="F142" s="9">
        <f>IFERROR(__xludf.DUMMYFUNCTION("""COMPUTED_VALUE"""),394.66)</f>
        <v>394.66</v>
      </c>
      <c r="G142" s="9">
        <f>IFERROR(__xludf.DUMMYFUNCTION("""COMPUTED_VALUE"""),1649788.0)</f>
        <v>1649788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</row>
    <row r="143">
      <c r="A143" s="1"/>
      <c r="B143" s="22">
        <f>IFERROR(__xludf.DUMMYFUNCTION("""COMPUTED_VALUE"""),41746.645833333336)</f>
        <v>41746.64583</v>
      </c>
      <c r="C143" s="9">
        <f>IFERROR(__xludf.DUMMYFUNCTION("""COMPUTED_VALUE"""),397.5)</f>
        <v>397.5</v>
      </c>
      <c r="D143" s="9">
        <f>IFERROR(__xludf.DUMMYFUNCTION("""COMPUTED_VALUE"""),401.26)</f>
        <v>401.26</v>
      </c>
      <c r="E143" s="9">
        <f>IFERROR(__xludf.DUMMYFUNCTION("""COMPUTED_VALUE"""),394.79)</f>
        <v>394.79</v>
      </c>
      <c r="F143" s="9">
        <f>IFERROR(__xludf.DUMMYFUNCTION("""COMPUTED_VALUE"""),399.01)</f>
        <v>399.01</v>
      </c>
      <c r="G143" s="9">
        <f>IFERROR(__xludf.DUMMYFUNCTION("""COMPUTED_VALUE"""),1048989.0)</f>
        <v>1048989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</row>
    <row r="144">
      <c r="A144" s="1"/>
      <c r="B144" s="22">
        <f>IFERROR(__xludf.DUMMYFUNCTION("""COMPUTED_VALUE"""),41750.645833333336)</f>
        <v>41750.64583</v>
      </c>
      <c r="C144" s="9">
        <f>IFERROR(__xludf.DUMMYFUNCTION("""COMPUTED_VALUE"""),401.25)</f>
        <v>401.25</v>
      </c>
      <c r="D144" s="9">
        <f>IFERROR(__xludf.DUMMYFUNCTION("""COMPUTED_VALUE"""),402.5)</f>
        <v>402.5</v>
      </c>
      <c r="E144" s="9">
        <f>IFERROR(__xludf.DUMMYFUNCTION("""COMPUTED_VALUE"""),396.25)</f>
        <v>396.25</v>
      </c>
      <c r="F144" s="9">
        <f>IFERROR(__xludf.DUMMYFUNCTION("""COMPUTED_VALUE"""),397.87)</f>
        <v>397.87</v>
      </c>
      <c r="G144" s="9">
        <f>IFERROR(__xludf.DUMMYFUNCTION("""COMPUTED_VALUE"""),764953.0)</f>
        <v>764953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</row>
    <row r="145">
      <c r="A145" s="1"/>
      <c r="B145" s="22">
        <f>IFERROR(__xludf.DUMMYFUNCTION("""COMPUTED_VALUE"""),41751.645833333336)</f>
        <v>41751.64583</v>
      </c>
      <c r="C145" s="9">
        <f>IFERROR(__xludf.DUMMYFUNCTION("""COMPUTED_VALUE"""),396.51)</f>
        <v>396.51</v>
      </c>
      <c r="D145" s="9">
        <f>IFERROR(__xludf.DUMMYFUNCTION("""COMPUTED_VALUE"""),400.0)</f>
        <v>400</v>
      </c>
      <c r="E145" s="9">
        <f>IFERROR(__xludf.DUMMYFUNCTION("""COMPUTED_VALUE"""),392.8)</f>
        <v>392.8</v>
      </c>
      <c r="F145" s="9">
        <f>IFERROR(__xludf.DUMMYFUNCTION("""COMPUTED_VALUE"""),393.83)</f>
        <v>393.83</v>
      </c>
      <c r="G145" s="9">
        <f>IFERROR(__xludf.DUMMYFUNCTION("""COMPUTED_VALUE"""),828362.0)</f>
        <v>828362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</row>
    <row r="146">
      <c r="A146" s="1"/>
      <c r="B146" s="22">
        <f>IFERROR(__xludf.DUMMYFUNCTION("""COMPUTED_VALUE"""),41752.645833333336)</f>
        <v>41752.64583</v>
      </c>
      <c r="C146" s="9">
        <f>IFERROR(__xludf.DUMMYFUNCTION("""COMPUTED_VALUE"""),396.76)</f>
        <v>396.76</v>
      </c>
      <c r="D146" s="9">
        <f>IFERROR(__xludf.DUMMYFUNCTION("""COMPUTED_VALUE"""),398.98)</f>
        <v>398.98</v>
      </c>
      <c r="E146" s="9">
        <f>IFERROR(__xludf.DUMMYFUNCTION("""COMPUTED_VALUE"""),395.5)</f>
        <v>395.5</v>
      </c>
      <c r="F146" s="9">
        <f>IFERROR(__xludf.DUMMYFUNCTION("""COMPUTED_VALUE"""),396.58)</f>
        <v>396.58</v>
      </c>
      <c r="G146" s="9">
        <f>IFERROR(__xludf.DUMMYFUNCTION("""COMPUTED_VALUE"""),1502090.0)</f>
        <v>1502090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</row>
    <row r="147">
      <c r="A147" s="1"/>
      <c r="B147" s="22">
        <f>IFERROR(__xludf.DUMMYFUNCTION("""COMPUTED_VALUE"""),41754.645833333336)</f>
        <v>41754.64583</v>
      </c>
      <c r="C147" s="9">
        <f>IFERROR(__xludf.DUMMYFUNCTION("""COMPUTED_VALUE"""),398.5)</f>
        <v>398.5</v>
      </c>
      <c r="D147" s="9">
        <f>IFERROR(__xludf.DUMMYFUNCTION("""COMPUTED_VALUE"""),400.0)</f>
        <v>400</v>
      </c>
      <c r="E147" s="9">
        <f>IFERROR(__xludf.DUMMYFUNCTION("""COMPUTED_VALUE"""),395.42)</f>
        <v>395.42</v>
      </c>
      <c r="F147" s="9">
        <f>IFERROR(__xludf.DUMMYFUNCTION("""COMPUTED_VALUE"""),396.95)</f>
        <v>396.95</v>
      </c>
      <c r="G147" s="9">
        <f>IFERROR(__xludf.DUMMYFUNCTION("""COMPUTED_VALUE"""),745363.0)</f>
        <v>745363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</row>
    <row r="148">
      <c r="A148" s="1"/>
      <c r="B148" s="22">
        <f>IFERROR(__xludf.DUMMYFUNCTION("""COMPUTED_VALUE"""),41757.645833333336)</f>
        <v>41757.64583</v>
      </c>
      <c r="C148" s="9">
        <f>IFERROR(__xludf.DUMMYFUNCTION("""COMPUTED_VALUE"""),396.13)</f>
        <v>396.13</v>
      </c>
      <c r="D148" s="9">
        <f>IFERROR(__xludf.DUMMYFUNCTION("""COMPUTED_VALUE"""),399.13)</f>
        <v>399.13</v>
      </c>
      <c r="E148" s="9">
        <f>IFERROR(__xludf.DUMMYFUNCTION("""COMPUTED_VALUE"""),395.63)</f>
        <v>395.63</v>
      </c>
      <c r="F148" s="9">
        <f>IFERROR(__xludf.DUMMYFUNCTION("""COMPUTED_VALUE"""),397.26)</f>
        <v>397.26</v>
      </c>
      <c r="G148" s="9">
        <f>IFERROR(__xludf.DUMMYFUNCTION("""COMPUTED_VALUE"""),755310.0)</f>
        <v>755310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</row>
    <row r="149">
      <c r="A149" s="1"/>
      <c r="B149" s="22">
        <f>IFERROR(__xludf.DUMMYFUNCTION("""COMPUTED_VALUE"""),41758.645833333336)</f>
        <v>41758.64583</v>
      </c>
      <c r="C149" s="9">
        <f>IFERROR(__xludf.DUMMYFUNCTION("""COMPUTED_VALUE"""),397.88)</f>
        <v>397.88</v>
      </c>
      <c r="D149" s="9">
        <f>IFERROR(__xludf.DUMMYFUNCTION("""COMPUTED_VALUE"""),399.38)</f>
        <v>399.38</v>
      </c>
      <c r="E149" s="9">
        <f>IFERROR(__xludf.DUMMYFUNCTION("""COMPUTED_VALUE"""),396.38)</f>
        <v>396.38</v>
      </c>
      <c r="F149" s="9">
        <f>IFERROR(__xludf.DUMMYFUNCTION("""COMPUTED_VALUE"""),397.22)</f>
        <v>397.22</v>
      </c>
      <c r="G149" s="9">
        <f>IFERROR(__xludf.DUMMYFUNCTION("""COMPUTED_VALUE"""),604433.0)</f>
        <v>604433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</row>
    <row r="150">
      <c r="A150" s="1"/>
      <c r="B150" s="22">
        <f>IFERROR(__xludf.DUMMYFUNCTION("""COMPUTED_VALUE"""),41759.645833333336)</f>
        <v>41759.64583</v>
      </c>
      <c r="C150" s="9">
        <f>IFERROR(__xludf.DUMMYFUNCTION("""COMPUTED_VALUE"""),397.21)</f>
        <v>397.21</v>
      </c>
      <c r="D150" s="9">
        <f>IFERROR(__xludf.DUMMYFUNCTION("""COMPUTED_VALUE"""),398.75)</f>
        <v>398.75</v>
      </c>
      <c r="E150" s="9">
        <f>IFERROR(__xludf.DUMMYFUNCTION("""COMPUTED_VALUE"""),396.38)</f>
        <v>396.38</v>
      </c>
      <c r="F150" s="9">
        <f>IFERROR(__xludf.DUMMYFUNCTION("""COMPUTED_VALUE"""),397.6)</f>
        <v>397.6</v>
      </c>
      <c r="G150" s="9">
        <f>IFERROR(__xludf.DUMMYFUNCTION("""COMPUTED_VALUE"""),967742.0)</f>
        <v>967742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</row>
    <row r="151">
      <c r="A151" s="1"/>
      <c r="B151" s="22">
        <f>IFERROR(__xludf.DUMMYFUNCTION("""COMPUTED_VALUE"""),41761.645833333336)</f>
        <v>41761.64583</v>
      </c>
      <c r="C151" s="9">
        <f>IFERROR(__xludf.DUMMYFUNCTION("""COMPUTED_VALUE"""),398.13)</f>
        <v>398.13</v>
      </c>
      <c r="D151" s="9">
        <f>IFERROR(__xludf.DUMMYFUNCTION("""COMPUTED_VALUE"""),405.88)</f>
        <v>405.88</v>
      </c>
      <c r="E151" s="9">
        <f>IFERROR(__xludf.DUMMYFUNCTION("""COMPUTED_VALUE"""),398.13)</f>
        <v>398.13</v>
      </c>
      <c r="F151" s="9">
        <f>IFERROR(__xludf.DUMMYFUNCTION("""COMPUTED_VALUE"""),402.46)</f>
        <v>402.46</v>
      </c>
      <c r="G151" s="9">
        <f>IFERROR(__xludf.DUMMYFUNCTION("""COMPUTED_VALUE"""),595549.0)</f>
        <v>595549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</row>
    <row r="152">
      <c r="A152" s="1"/>
      <c r="B152" s="22">
        <f>IFERROR(__xludf.DUMMYFUNCTION("""COMPUTED_VALUE"""),41764.645833333336)</f>
        <v>41764.64583</v>
      </c>
      <c r="C152" s="9">
        <f>IFERROR(__xludf.DUMMYFUNCTION("""COMPUTED_VALUE"""),399.0)</f>
        <v>399</v>
      </c>
      <c r="D152" s="9">
        <f>IFERROR(__xludf.DUMMYFUNCTION("""COMPUTED_VALUE"""),404.13)</f>
        <v>404.13</v>
      </c>
      <c r="E152" s="9">
        <f>IFERROR(__xludf.DUMMYFUNCTION("""COMPUTED_VALUE"""),396.82)</f>
        <v>396.82</v>
      </c>
      <c r="F152" s="9">
        <f>IFERROR(__xludf.DUMMYFUNCTION("""COMPUTED_VALUE"""),397.11)</f>
        <v>397.11</v>
      </c>
      <c r="G152" s="9">
        <f>IFERROR(__xludf.DUMMYFUNCTION("""COMPUTED_VALUE"""),524586.0)</f>
        <v>524586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</row>
    <row r="153">
      <c r="A153" s="1"/>
      <c r="B153" s="22">
        <f>IFERROR(__xludf.DUMMYFUNCTION("""COMPUTED_VALUE"""),41765.645833333336)</f>
        <v>41765.64583</v>
      </c>
      <c r="C153" s="9">
        <f>IFERROR(__xludf.DUMMYFUNCTION("""COMPUTED_VALUE"""),397.11)</f>
        <v>397.11</v>
      </c>
      <c r="D153" s="9">
        <f>IFERROR(__xludf.DUMMYFUNCTION("""COMPUTED_VALUE"""),398.06)</f>
        <v>398.06</v>
      </c>
      <c r="E153" s="9">
        <f>IFERROR(__xludf.DUMMYFUNCTION("""COMPUTED_VALUE"""),394.38)</f>
        <v>394.38</v>
      </c>
      <c r="F153" s="9">
        <f>IFERROR(__xludf.DUMMYFUNCTION("""COMPUTED_VALUE"""),395.64)</f>
        <v>395.64</v>
      </c>
      <c r="G153" s="9">
        <f>IFERROR(__xludf.DUMMYFUNCTION("""COMPUTED_VALUE"""),570753.0)</f>
        <v>570753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</row>
    <row r="154">
      <c r="A154" s="1"/>
      <c r="B154" s="22">
        <f>IFERROR(__xludf.DUMMYFUNCTION("""COMPUTED_VALUE"""),41766.645833333336)</f>
        <v>41766.64583</v>
      </c>
      <c r="C154" s="9">
        <f>IFERROR(__xludf.DUMMYFUNCTION("""COMPUTED_VALUE"""),393.88)</f>
        <v>393.88</v>
      </c>
      <c r="D154" s="9">
        <f>IFERROR(__xludf.DUMMYFUNCTION("""COMPUTED_VALUE"""),396.25)</f>
        <v>396.25</v>
      </c>
      <c r="E154" s="9">
        <f>IFERROR(__xludf.DUMMYFUNCTION("""COMPUTED_VALUE"""),381.25)</f>
        <v>381.25</v>
      </c>
      <c r="F154" s="9">
        <f>IFERROR(__xludf.DUMMYFUNCTION("""COMPUTED_VALUE"""),383.42)</f>
        <v>383.42</v>
      </c>
      <c r="G154" s="9">
        <f>IFERROR(__xludf.DUMMYFUNCTION("""COMPUTED_VALUE"""),1949509.0)</f>
        <v>1949509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</row>
    <row r="155">
      <c r="A155" s="1"/>
      <c r="B155" s="22">
        <f>IFERROR(__xludf.DUMMYFUNCTION("""COMPUTED_VALUE"""),41767.645833333336)</f>
        <v>41767.64583</v>
      </c>
      <c r="C155" s="9">
        <f>IFERROR(__xludf.DUMMYFUNCTION("""COMPUTED_VALUE"""),383.75)</f>
        <v>383.75</v>
      </c>
      <c r="D155" s="9">
        <f>IFERROR(__xludf.DUMMYFUNCTION("""COMPUTED_VALUE"""),386.05)</f>
        <v>386.05</v>
      </c>
      <c r="E155" s="9">
        <f>IFERROR(__xludf.DUMMYFUNCTION("""COMPUTED_VALUE"""),380.81)</f>
        <v>380.81</v>
      </c>
      <c r="F155" s="9">
        <f>IFERROR(__xludf.DUMMYFUNCTION("""COMPUTED_VALUE"""),383.16)</f>
        <v>383.16</v>
      </c>
      <c r="G155" s="9">
        <f>IFERROR(__xludf.DUMMYFUNCTION("""COMPUTED_VALUE"""),1145249.0)</f>
        <v>1145249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</row>
    <row r="156">
      <c r="A156" s="1"/>
      <c r="B156" s="22">
        <f>IFERROR(__xludf.DUMMYFUNCTION("""COMPUTED_VALUE"""),41768.645833333336)</f>
        <v>41768.64583</v>
      </c>
      <c r="C156" s="9">
        <f>IFERROR(__xludf.DUMMYFUNCTION("""COMPUTED_VALUE"""),383.13)</f>
        <v>383.13</v>
      </c>
      <c r="D156" s="9">
        <f>IFERROR(__xludf.DUMMYFUNCTION("""COMPUTED_VALUE"""),390.63)</f>
        <v>390.63</v>
      </c>
      <c r="E156" s="9">
        <f>IFERROR(__xludf.DUMMYFUNCTION("""COMPUTED_VALUE"""),381.61)</f>
        <v>381.61</v>
      </c>
      <c r="F156" s="9">
        <f>IFERROR(__xludf.DUMMYFUNCTION("""COMPUTED_VALUE"""),388.93)</f>
        <v>388.93</v>
      </c>
      <c r="G156" s="9">
        <f>IFERROR(__xludf.DUMMYFUNCTION("""COMPUTED_VALUE"""),772425.0)</f>
        <v>772425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</row>
    <row r="157">
      <c r="A157" s="1"/>
      <c r="B157" s="22">
        <f>IFERROR(__xludf.DUMMYFUNCTION("""COMPUTED_VALUE"""),41771.645833333336)</f>
        <v>41771.64583</v>
      </c>
      <c r="C157" s="9">
        <f>IFERROR(__xludf.DUMMYFUNCTION("""COMPUTED_VALUE"""),389.78)</f>
        <v>389.78</v>
      </c>
      <c r="D157" s="9">
        <f>IFERROR(__xludf.DUMMYFUNCTION("""COMPUTED_VALUE"""),398.31)</f>
        <v>398.31</v>
      </c>
      <c r="E157" s="9">
        <f>IFERROR(__xludf.DUMMYFUNCTION("""COMPUTED_VALUE"""),388.13)</f>
        <v>388.13</v>
      </c>
      <c r="F157" s="9">
        <f>IFERROR(__xludf.DUMMYFUNCTION("""COMPUTED_VALUE"""),396.89)</f>
        <v>396.89</v>
      </c>
      <c r="G157" s="9">
        <f>IFERROR(__xludf.DUMMYFUNCTION("""COMPUTED_VALUE"""),880525.0)</f>
        <v>880525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</row>
    <row r="158">
      <c r="A158" s="1"/>
      <c r="B158" s="22">
        <f>IFERROR(__xludf.DUMMYFUNCTION("""COMPUTED_VALUE"""),41772.645833333336)</f>
        <v>41772.64583</v>
      </c>
      <c r="C158" s="9">
        <f>IFERROR(__xludf.DUMMYFUNCTION("""COMPUTED_VALUE"""),397.88)</f>
        <v>397.88</v>
      </c>
      <c r="D158" s="9">
        <f>IFERROR(__xludf.DUMMYFUNCTION("""COMPUTED_VALUE"""),409.38)</f>
        <v>409.38</v>
      </c>
      <c r="E158" s="9">
        <f>IFERROR(__xludf.DUMMYFUNCTION("""COMPUTED_VALUE"""),397.88)</f>
        <v>397.88</v>
      </c>
      <c r="F158" s="9">
        <f>IFERROR(__xludf.DUMMYFUNCTION("""COMPUTED_VALUE"""),408.16)</f>
        <v>408.16</v>
      </c>
      <c r="G158" s="9">
        <f>IFERROR(__xludf.DUMMYFUNCTION("""COMPUTED_VALUE"""),912496.0)</f>
        <v>912496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</row>
    <row r="159">
      <c r="A159" s="1"/>
      <c r="B159" s="22">
        <f>IFERROR(__xludf.DUMMYFUNCTION("""COMPUTED_VALUE"""),41773.645833333336)</f>
        <v>41773.64583</v>
      </c>
      <c r="C159" s="9">
        <f>IFERROR(__xludf.DUMMYFUNCTION("""COMPUTED_VALUE"""),406.28)</f>
        <v>406.28</v>
      </c>
      <c r="D159" s="9">
        <f>IFERROR(__xludf.DUMMYFUNCTION("""COMPUTED_VALUE"""),408.13)</f>
        <v>408.13</v>
      </c>
      <c r="E159" s="9">
        <f>IFERROR(__xludf.DUMMYFUNCTION("""COMPUTED_VALUE"""),402.14)</f>
        <v>402.14</v>
      </c>
      <c r="F159" s="9">
        <f>IFERROR(__xludf.DUMMYFUNCTION("""COMPUTED_VALUE"""),406.76)</f>
        <v>406.76</v>
      </c>
      <c r="G159" s="9">
        <f>IFERROR(__xludf.DUMMYFUNCTION("""COMPUTED_VALUE"""),648086.0)</f>
        <v>648086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</row>
    <row r="160">
      <c r="A160" s="1"/>
      <c r="B160" s="22">
        <f>IFERROR(__xludf.DUMMYFUNCTION("""COMPUTED_VALUE"""),41774.645833333336)</f>
        <v>41774.64583</v>
      </c>
      <c r="C160" s="9">
        <f>IFERROR(__xludf.DUMMYFUNCTION("""COMPUTED_VALUE"""),406.76)</f>
        <v>406.76</v>
      </c>
      <c r="D160" s="9">
        <f>IFERROR(__xludf.DUMMYFUNCTION("""COMPUTED_VALUE"""),411.86)</f>
        <v>411.86</v>
      </c>
      <c r="E160" s="9">
        <f>IFERROR(__xludf.DUMMYFUNCTION("""COMPUTED_VALUE"""),400.66)</f>
        <v>400.66</v>
      </c>
      <c r="F160" s="9">
        <f>IFERROR(__xludf.DUMMYFUNCTION("""COMPUTED_VALUE"""),409.06)</f>
        <v>409.06</v>
      </c>
      <c r="G160" s="9">
        <f>IFERROR(__xludf.DUMMYFUNCTION("""COMPUTED_VALUE"""),1051149.0)</f>
        <v>1051149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</row>
    <row r="161">
      <c r="A161" s="1"/>
      <c r="B161" s="22">
        <f>IFERROR(__xludf.DUMMYFUNCTION("""COMPUTED_VALUE"""),41775.645833333336)</f>
        <v>41775.64583</v>
      </c>
      <c r="C161" s="9">
        <f>IFERROR(__xludf.DUMMYFUNCTION("""COMPUTED_VALUE"""),412.38)</f>
        <v>412.38</v>
      </c>
      <c r="D161" s="9">
        <f>IFERROR(__xludf.DUMMYFUNCTION("""COMPUTED_VALUE"""),417.5)</f>
        <v>417.5</v>
      </c>
      <c r="E161" s="9">
        <f>IFERROR(__xludf.DUMMYFUNCTION("""COMPUTED_VALUE"""),382.38)</f>
        <v>382.38</v>
      </c>
      <c r="F161" s="9">
        <f>IFERROR(__xludf.DUMMYFUNCTION("""COMPUTED_VALUE"""),397.19)</f>
        <v>397.19</v>
      </c>
      <c r="G161" s="9">
        <f>IFERROR(__xludf.DUMMYFUNCTION("""COMPUTED_VALUE"""),1773599.0)</f>
        <v>1773599</v>
      </c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</row>
    <row r="162">
      <c r="A162" s="1"/>
      <c r="B162" s="22">
        <f>IFERROR(__xludf.DUMMYFUNCTION("""COMPUTED_VALUE"""),41778.645833333336)</f>
        <v>41778.64583</v>
      </c>
      <c r="C162" s="9">
        <f>IFERROR(__xludf.DUMMYFUNCTION("""COMPUTED_VALUE"""),399.75)</f>
        <v>399.75</v>
      </c>
      <c r="D162" s="9">
        <f>IFERROR(__xludf.DUMMYFUNCTION("""COMPUTED_VALUE"""),399.75)</f>
        <v>399.75</v>
      </c>
      <c r="E162" s="9">
        <f>IFERROR(__xludf.DUMMYFUNCTION("""COMPUTED_VALUE"""),375.01)</f>
        <v>375.01</v>
      </c>
      <c r="F162" s="9">
        <f>IFERROR(__xludf.DUMMYFUNCTION("""COMPUTED_VALUE"""),376.88)</f>
        <v>376.88</v>
      </c>
      <c r="G162" s="9">
        <f>IFERROR(__xludf.DUMMYFUNCTION("""COMPUTED_VALUE"""),2155814.0)</f>
        <v>2155814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</row>
    <row r="163">
      <c r="A163" s="1"/>
      <c r="B163" s="22">
        <f>IFERROR(__xludf.DUMMYFUNCTION("""COMPUTED_VALUE"""),41779.645833333336)</f>
        <v>41779.64583</v>
      </c>
      <c r="C163" s="9">
        <f>IFERROR(__xludf.DUMMYFUNCTION("""COMPUTED_VALUE"""),381.13)</f>
        <v>381.13</v>
      </c>
      <c r="D163" s="9">
        <f>IFERROR(__xludf.DUMMYFUNCTION("""COMPUTED_VALUE"""),392.36)</f>
        <v>392.36</v>
      </c>
      <c r="E163" s="9">
        <f>IFERROR(__xludf.DUMMYFUNCTION("""COMPUTED_VALUE"""),380.28)</f>
        <v>380.28</v>
      </c>
      <c r="F163" s="9">
        <f>IFERROR(__xludf.DUMMYFUNCTION("""COMPUTED_VALUE"""),390.28)</f>
        <v>390.28</v>
      </c>
      <c r="G163" s="9">
        <f>IFERROR(__xludf.DUMMYFUNCTION("""COMPUTED_VALUE"""),1098418.0)</f>
        <v>1098418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</row>
    <row r="164">
      <c r="A164" s="1"/>
      <c r="B164" s="22">
        <f>IFERROR(__xludf.DUMMYFUNCTION("""COMPUTED_VALUE"""),41780.645833333336)</f>
        <v>41780.64583</v>
      </c>
      <c r="C164" s="9">
        <f>IFERROR(__xludf.DUMMYFUNCTION("""COMPUTED_VALUE"""),389.75)</f>
        <v>389.75</v>
      </c>
      <c r="D164" s="9">
        <f>IFERROR(__xludf.DUMMYFUNCTION("""COMPUTED_VALUE"""),395.54)</f>
        <v>395.54</v>
      </c>
      <c r="E164" s="9">
        <f>IFERROR(__xludf.DUMMYFUNCTION("""COMPUTED_VALUE"""),387.38)</f>
        <v>387.38</v>
      </c>
      <c r="F164" s="9">
        <f>IFERROR(__xludf.DUMMYFUNCTION("""COMPUTED_VALUE"""),394.64)</f>
        <v>394.64</v>
      </c>
      <c r="G164" s="9">
        <f>IFERROR(__xludf.DUMMYFUNCTION("""COMPUTED_VALUE"""),848538.0)</f>
        <v>848538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</row>
    <row r="165">
      <c r="A165" s="1"/>
      <c r="B165" s="22">
        <f>IFERROR(__xludf.DUMMYFUNCTION("""COMPUTED_VALUE"""),41781.645833333336)</f>
        <v>41781.64583</v>
      </c>
      <c r="C165" s="9">
        <f>IFERROR(__xludf.DUMMYFUNCTION("""COMPUTED_VALUE"""),395.0)</f>
        <v>395</v>
      </c>
      <c r="D165" s="9">
        <f>IFERROR(__xludf.DUMMYFUNCTION("""COMPUTED_VALUE"""),397.5)</f>
        <v>397.5</v>
      </c>
      <c r="E165" s="9">
        <f>IFERROR(__xludf.DUMMYFUNCTION("""COMPUTED_VALUE"""),385.14)</f>
        <v>385.14</v>
      </c>
      <c r="F165" s="9">
        <f>IFERROR(__xludf.DUMMYFUNCTION("""COMPUTED_VALUE"""),389.24)</f>
        <v>389.24</v>
      </c>
      <c r="G165" s="9">
        <f>IFERROR(__xludf.DUMMYFUNCTION("""COMPUTED_VALUE"""),1229093.0)</f>
        <v>1229093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</row>
    <row r="166">
      <c r="A166" s="1"/>
      <c r="B166" s="22">
        <f>IFERROR(__xludf.DUMMYFUNCTION("""COMPUTED_VALUE"""),41782.645833333336)</f>
        <v>41782.64583</v>
      </c>
      <c r="C166" s="9">
        <f>IFERROR(__xludf.DUMMYFUNCTION("""COMPUTED_VALUE"""),390.63)</f>
        <v>390.63</v>
      </c>
      <c r="D166" s="9">
        <f>IFERROR(__xludf.DUMMYFUNCTION("""COMPUTED_VALUE"""),396.38)</f>
        <v>396.38</v>
      </c>
      <c r="E166" s="9">
        <f>IFERROR(__xludf.DUMMYFUNCTION("""COMPUTED_VALUE"""),376.52)</f>
        <v>376.52</v>
      </c>
      <c r="F166" s="9">
        <f>IFERROR(__xludf.DUMMYFUNCTION("""COMPUTED_VALUE"""),383.69)</f>
        <v>383.69</v>
      </c>
      <c r="G166" s="9">
        <f>IFERROR(__xludf.DUMMYFUNCTION("""COMPUTED_VALUE"""),1135222.0)</f>
        <v>1135222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</row>
    <row r="167">
      <c r="A167" s="1"/>
      <c r="B167" s="22">
        <f>IFERROR(__xludf.DUMMYFUNCTION("""COMPUTED_VALUE"""),41785.645833333336)</f>
        <v>41785.64583</v>
      </c>
      <c r="C167" s="9">
        <f>IFERROR(__xludf.DUMMYFUNCTION("""COMPUTED_VALUE"""),383.88)</f>
        <v>383.88</v>
      </c>
      <c r="D167" s="9">
        <f>IFERROR(__xludf.DUMMYFUNCTION("""COMPUTED_VALUE"""),388.87)</f>
        <v>388.87</v>
      </c>
      <c r="E167" s="9">
        <f>IFERROR(__xludf.DUMMYFUNCTION("""COMPUTED_VALUE"""),381.27)</f>
        <v>381.27</v>
      </c>
      <c r="F167" s="9">
        <f>IFERROR(__xludf.DUMMYFUNCTION("""COMPUTED_VALUE"""),386.86)</f>
        <v>386.86</v>
      </c>
      <c r="G167" s="9">
        <f>IFERROR(__xludf.DUMMYFUNCTION("""COMPUTED_VALUE"""),718818.0)</f>
        <v>718818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</row>
    <row r="168">
      <c r="A168" s="1"/>
      <c r="B168" s="22">
        <f>IFERROR(__xludf.DUMMYFUNCTION("""COMPUTED_VALUE"""),41786.645833333336)</f>
        <v>41786.64583</v>
      </c>
      <c r="C168" s="9">
        <f>IFERROR(__xludf.DUMMYFUNCTION("""COMPUTED_VALUE"""),387.5)</f>
        <v>387.5</v>
      </c>
      <c r="D168" s="9">
        <f>IFERROR(__xludf.DUMMYFUNCTION("""COMPUTED_VALUE"""),394.38)</f>
        <v>394.38</v>
      </c>
      <c r="E168" s="9">
        <f>IFERROR(__xludf.DUMMYFUNCTION("""COMPUTED_VALUE"""),387.44)</f>
        <v>387.44</v>
      </c>
      <c r="F168" s="9">
        <f>IFERROR(__xludf.DUMMYFUNCTION("""COMPUTED_VALUE"""),391.76)</f>
        <v>391.76</v>
      </c>
      <c r="G168" s="9">
        <f>IFERROR(__xludf.DUMMYFUNCTION("""COMPUTED_VALUE"""),623016.0)</f>
        <v>623016</v>
      </c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</row>
    <row r="169">
      <c r="A169" s="1"/>
      <c r="B169" s="22">
        <f>IFERROR(__xludf.DUMMYFUNCTION("""COMPUTED_VALUE"""),41787.645833333336)</f>
        <v>41787.64583</v>
      </c>
      <c r="C169" s="9">
        <f>IFERROR(__xludf.DUMMYFUNCTION("""COMPUTED_VALUE"""),390.44)</f>
        <v>390.44</v>
      </c>
      <c r="D169" s="9">
        <f>IFERROR(__xludf.DUMMYFUNCTION("""COMPUTED_VALUE"""),398.5)</f>
        <v>398.5</v>
      </c>
      <c r="E169" s="9">
        <f>IFERROR(__xludf.DUMMYFUNCTION("""COMPUTED_VALUE"""),389.75)</f>
        <v>389.75</v>
      </c>
      <c r="F169" s="9">
        <f>IFERROR(__xludf.DUMMYFUNCTION("""COMPUTED_VALUE"""),396.66)</f>
        <v>396.66</v>
      </c>
      <c r="G169" s="9">
        <f>IFERROR(__xludf.DUMMYFUNCTION("""COMPUTED_VALUE"""),673665.0)</f>
        <v>673665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</row>
    <row r="170">
      <c r="A170" s="1"/>
      <c r="B170" s="22">
        <f>IFERROR(__xludf.DUMMYFUNCTION("""COMPUTED_VALUE"""),41788.645833333336)</f>
        <v>41788.64583</v>
      </c>
      <c r="C170" s="9">
        <f>IFERROR(__xludf.DUMMYFUNCTION("""COMPUTED_VALUE"""),378.13)</f>
        <v>378.13</v>
      </c>
      <c r="D170" s="9">
        <f>IFERROR(__xludf.DUMMYFUNCTION("""COMPUTED_VALUE"""),378.13)</f>
        <v>378.13</v>
      </c>
      <c r="E170" s="9">
        <f>IFERROR(__xludf.DUMMYFUNCTION("""COMPUTED_VALUE"""),364.38)</f>
        <v>364.38</v>
      </c>
      <c r="F170" s="9">
        <f>IFERROR(__xludf.DUMMYFUNCTION("""COMPUTED_VALUE"""),365.56)</f>
        <v>365.56</v>
      </c>
      <c r="G170" s="9">
        <f>IFERROR(__xludf.DUMMYFUNCTION("""COMPUTED_VALUE"""),5167666.0)</f>
        <v>5167666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</row>
    <row r="171">
      <c r="A171" s="1"/>
      <c r="B171" s="22">
        <f>IFERROR(__xludf.DUMMYFUNCTION("""COMPUTED_VALUE"""),41789.645833333336)</f>
        <v>41789.64583</v>
      </c>
      <c r="C171" s="9">
        <f>IFERROR(__xludf.DUMMYFUNCTION("""COMPUTED_VALUE"""),367.5)</f>
        <v>367.5</v>
      </c>
      <c r="D171" s="9">
        <f>IFERROR(__xludf.DUMMYFUNCTION("""COMPUTED_VALUE"""),369.93)</f>
        <v>369.93</v>
      </c>
      <c r="E171" s="9">
        <f>IFERROR(__xludf.DUMMYFUNCTION("""COMPUTED_VALUE"""),360.0)</f>
        <v>360</v>
      </c>
      <c r="F171" s="9">
        <f>IFERROR(__xludf.DUMMYFUNCTION("""COMPUTED_VALUE"""),367.43)</f>
        <v>367.43</v>
      </c>
      <c r="G171" s="9">
        <f>IFERROR(__xludf.DUMMYFUNCTION("""COMPUTED_VALUE"""),3504452.0)</f>
        <v>3504452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</row>
    <row r="172">
      <c r="A172" s="1"/>
      <c r="B172" s="22">
        <f>IFERROR(__xludf.DUMMYFUNCTION("""COMPUTED_VALUE"""),41792.645833333336)</f>
        <v>41792.64583</v>
      </c>
      <c r="C172" s="9">
        <f>IFERROR(__xludf.DUMMYFUNCTION("""COMPUTED_VALUE"""),370.06)</f>
        <v>370.06</v>
      </c>
      <c r="D172" s="9">
        <f>IFERROR(__xludf.DUMMYFUNCTION("""COMPUTED_VALUE"""),374.71)</f>
        <v>374.71</v>
      </c>
      <c r="E172" s="9">
        <f>IFERROR(__xludf.DUMMYFUNCTION("""COMPUTED_VALUE"""),370.06)</f>
        <v>370.06</v>
      </c>
      <c r="F172" s="9">
        <f>IFERROR(__xludf.DUMMYFUNCTION("""COMPUTED_VALUE"""),374.14)</f>
        <v>374.14</v>
      </c>
      <c r="G172" s="9">
        <f>IFERROR(__xludf.DUMMYFUNCTION("""COMPUTED_VALUE"""),778732.0)</f>
        <v>778732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</row>
    <row r="173">
      <c r="A173" s="1"/>
      <c r="B173" s="22">
        <f>IFERROR(__xludf.DUMMYFUNCTION("""COMPUTED_VALUE"""),41793.645833333336)</f>
        <v>41793.64583</v>
      </c>
      <c r="C173" s="9">
        <f>IFERROR(__xludf.DUMMYFUNCTION("""COMPUTED_VALUE"""),376.0)</f>
        <v>376</v>
      </c>
      <c r="D173" s="9">
        <f>IFERROR(__xludf.DUMMYFUNCTION("""COMPUTED_VALUE"""),379.62)</f>
        <v>379.62</v>
      </c>
      <c r="E173" s="9">
        <f>IFERROR(__xludf.DUMMYFUNCTION("""COMPUTED_VALUE"""),371.84)</f>
        <v>371.84</v>
      </c>
      <c r="F173" s="9">
        <f>IFERROR(__xludf.DUMMYFUNCTION("""COMPUTED_VALUE"""),377.15)</f>
        <v>377.15</v>
      </c>
      <c r="G173" s="9">
        <f>IFERROR(__xludf.DUMMYFUNCTION("""COMPUTED_VALUE"""),853117.0)</f>
        <v>853117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</row>
    <row r="174">
      <c r="A174" s="1"/>
      <c r="B174" s="22">
        <f>IFERROR(__xludf.DUMMYFUNCTION("""COMPUTED_VALUE"""),41794.645833333336)</f>
        <v>41794.64583</v>
      </c>
      <c r="C174" s="9">
        <f>IFERROR(__xludf.DUMMYFUNCTION("""COMPUTED_VALUE"""),376.88)</f>
        <v>376.88</v>
      </c>
      <c r="D174" s="9">
        <f>IFERROR(__xludf.DUMMYFUNCTION("""COMPUTED_VALUE"""),378.42)</f>
        <v>378.42</v>
      </c>
      <c r="E174" s="9">
        <f>IFERROR(__xludf.DUMMYFUNCTION("""COMPUTED_VALUE"""),369.19)</f>
        <v>369.19</v>
      </c>
      <c r="F174" s="9">
        <f>IFERROR(__xludf.DUMMYFUNCTION("""COMPUTED_VALUE"""),373.06)</f>
        <v>373.06</v>
      </c>
      <c r="G174" s="9">
        <f>IFERROR(__xludf.DUMMYFUNCTION("""COMPUTED_VALUE"""),688501.0)</f>
        <v>688501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</row>
    <row r="175">
      <c r="A175" s="1"/>
      <c r="B175" s="22">
        <f>IFERROR(__xludf.DUMMYFUNCTION("""COMPUTED_VALUE"""),41795.645833333336)</f>
        <v>41795.64583</v>
      </c>
      <c r="C175" s="9">
        <f>IFERROR(__xludf.DUMMYFUNCTION("""COMPUTED_VALUE"""),375.0)</f>
        <v>375</v>
      </c>
      <c r="D175" s="9">
        <f>IFERROR(__xludf.DUMMYFUNCTION("""COMPUTED_VALUE"""),383.55)</f>
        <v>383.55</v>
      </c>
      <c r="E175" s="9">
        <f>IFERROR(__xludf.DUMMYFUNCTION("""COMPUTED_VALUE"""),370.25)</f>
        <v>370.25</v>
      </c>
      <c r="F175" s="9">
        <f>IFERROR(__xludf.DUMMYFUNCTION("""COMPUTED_VALUE"""),380.14)</f>
        <v>380.14</v>
      </c>
      <c r="G175" s="9">
        <f>IFERROR(__xludf.DUMMYFUNCTION("""COMPUTED_VALUE"""),1519215.0)</f>
        <v>1519215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</row>
    <row r="176">
      <c r="A176" s="1"/>
      <c r="B176" s="22">
        <f>IFERROR(__xludf.DUMMYFUNCTION("""COMPUTED_VALUE"""),41796.645833333336)</f>
        <v>41796.64583</v>
      </c>
      <c r="C176" s="9">
        <f>IFERROR(__xludf.DUMMYFUNCTION("""COMPUTED_VALUE"""),375.02)</f>
        <v>375.02</v>
      </c>
      <c r="D176" s="9">
        <f>IFERROR(__xludf.DUMMYFUNCTION("""COMPUTED_VALUE"""),376.25)</f>
        <v>376.25</v>
      </c>
      <c r="E176" s="9">
        <f>IFERROR(__xludf.DUMMYFUNCTION("""COMPUTED_VALUE"""),368.75)</f>
        <v>368.75</v>
      </c>
      <c r="F176" s="9">
        <f>IFERROR(__xludf.DUMMYFUNCTION("""COMPUTED_VALUE"""),375.38)</f>
        <v>375.38</v>
      </c>
      <c r="G176" s="9">
        <f>IFERROR(__xludf.DUMMYFUNCTION("""COMPUTED_VALUE"""),2110303.0)</f>
        <v>2110303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</row>
    <row r="177">
      <c r="A177" s="1"/>
      <c r="B177" s="22">
        <f>IFERROR(__xludf.DUMMYFUNCTION("""COMPUTED_VALUE"""),41799.645833333336)</f>
        <v>41799.64583</v>
      </c>
      <c r="C177" s="9">
        <f>IFERROR(__xludf.DUMMYFUNCTION("""COMPUTED_VALUE"""),375.75)</f>
        <v>375.75</v>
      </c>
      <c r="D177" s="9">
        <f>IFERROR(__xludf.DUMMYFUNCTION("""COMPUTED_VALUE"""),376.88)</f>
        <v>376.88</v>
      </c>
      <c r="E177" s="9">
        <f>IFERROR(__xludf.DUMMYFUNCTION("""COMPUTED_VALUE"""),372.01)</f>
        <v>372.01</v>
      </c>
      <c r="F177" s="9">
        <f>IFERROR(__xludf.DUMMYFUNCTION("""COMPUTED_VALUE"""),373.31)</f>
        <v>373.31</v>
      </c>
      <c r="G177" s="9">
        <f>IFERROR(__xludf.DUMMYFUNCTION("""COMPUTED_VALUE"""),1357293.0)</f>
        <v>1357293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</row>
    <row r="178">
      <c r="A178" s="1"/>
      <c r="B178" s="22">
        <f>IFERROR(__xludf.DUMMYFUNCTION("""COMPUTED_VALUE"""),41800.645833333336)</f>
        <v>41800.64583</v>
      </c>
      <c r="C178" s="9">
        <f>IFERROR(__xludf.DUMMYFUNCTION("""COMPUTED_VALUE"""),375.0)</f>
        <v>375</v>
      </c>
      <c r="D178" s="9">
        <f>IFERROR(__xludf.DUMMYFUNCTION("""COMPUTED_VALUE"""),386.15)</f>
        <v>386.15</v>
      </c>
      <c r="E178" s="9">
        <f>IFERROR(__xludf.DUMMYFUNCTION("""COMPUTED_VALUE"""),374.54)</f>
        <v>374.54</v>
      </c>
      <c r="F178" s="9">
        <f>IFERROR(__xludf.DUMMYFUNCTION("""COMPUTED_VALUE"""),384.39)</f>
        <v>384.39</v>
      </c>
      <c r="G178" s="9">
        <f>IFERROR(__xludf.DUMMYFUNCTION("""COMPUTED_VALUE"""),1309897.0)</f>
        <v>1309897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</row>
    <row r="179">
      <c r="A179" s="1"/>
      <c r="B179" s="22">
        <f>IFERROR(__xludf.DUMMYFUNCTION("""COMPUTED_VALUE"""),41801.645833333336)</f>
        <v>41801.64583</v>
      </c>
      <c r="C179" s="9">
        <f>IFERROR(__xludf.DUMMYFUNCTION("""COMPUTED_VALUE"""),388.13)</f>
        <v>388.13</v>
      </c>
      <c r="D179" s="9">
        <f>IFERROR(__xludf.DUMMYFUNCTION("""COMPUTED_VALUE"""),407.16)</f>
        <v>407.16</v>
      </c>
      <c r="E179" s="9">
        <f>IFERROR(__xludf.DUMMYFUNCTION("""COMPUTED_VALUE"""),386.29)</f>
        <v>386.29</v>
      </c>
      <c r="F179" s="9">
        <f>IFERROR(__xludf.DUMMYFUNCTION("""COMPUTED_VALUE"""),399.17)</f>
        <v>399.17</v>
      </c>
      <c r="G179" s="9">
        <f>IFERROR(__xludf.DUMMYFUNCTION("""COMPUTED_VALUE"""),2546963.0)</f>
        <v>2546963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</row>
    <row r="180">
      <c r="A180" s="1"/>
      <c r="B180" s="22">
        <f>IFERROR(__xludf.DUMMYFUNCTION("""COMPUTED_VALUE"""),41802.645833333336)</f>
        <v>41802.64583</v>
      </c>
      <c r="C180" s="9">
        <f>IFERROR(__xludf.DUMMYFUNCTION("""COMPUTED_VALUE"""),410.0)</f>
        <v>410</v>
      </c>
      <c r="D180" s="9">
        <f>IFERROR(__xludf.DUMMYFUNCTION("""COMPUTED_VALUE"""),412.13)</f>
        <v>412.13</v>
      </c>
      <c r="E180" s="9">
        <f>IFERROR(__xludf.DUMMYFUNCTION("""COMPUTED_VALUE"""),390.09)</f>
        <v>390.09</v>
      </c>
      <c r="F180" s="9">
        <f>IFERROR(__xludf.DUMMYFUNCTION("""COMPUTED_VALUE"""),396.88)</f>
        <v>396.88</v>
      </c>
      <c r="G180" s="9">
        <f>IFERROR(__xludf.DUMMYFUNCTION("""COMPUTED_VALUE"""),2641107.0)</f>
        <v>2641107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</row>
    <row r="181">
      <c r="A181" s="1"/>
      <c r="B181" s="22">
        <f>IFERROR(__xludf.DUMMYFUNCTION("""COMPUTED_VALUE"""),41803.645833333336)</f>
        <v>41803.64583</v>
      </c>
      <c r="C181" s="9">
        <f>IFERROR(__xludf.DUMMYFUNCTION("""COMPUTED_VALUE"""),398.56)</f>
        <v>398.56</v>
      </c>
      <c r="D181" s="9">
        <f>IFERROR(__xludf.DUMMYFUNCTION("""COMPUTED_VALUE"""),400.88)</f>
        <v>400.88</v>
      </c>
      <c r="E181" s="9">
        <f>IFERROR(__xludf.DUMMYFUNCTION("""COMPUTED_VALUE"""),391.38)</f>
        <v>391.38</v>
      </c>
      <c r="F181" s="9">
        <f>IFERROR(__xludf.DUMMYFUNCTION("""COMPUTED_VALUE"""),398.38)</f>
        <v>398.38</v>
      </c>
      <c r="G181" s="9">
        <f>IFERROR(__xludf.DUMMYFUNCTION("""COMPUTED_VALUE"""),1268968.0)</f>
        <v>1268968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</row>
    <row r="182">
      <c r="A182" s="1"/>
      <c r="B182" s="22">
        <f>IFERROR(__xludf.DUMMYFUNCTION("""COMPUTED_VALUE"""),41806.645833333336)</f>
        <v>41806.64583</v>
      </c>
      <c r="C182" s="9">
        <f>IFERROR(__xludf.DUMMYFUNCTION("""COMPUTED_VALUE"""),398.25)</f>
        <v>398.25</v>
      </c>
      <c r="D182" s="9">
        <f>IFERROR(__xludf.DUMMYFUNCTION("""COMPUTED_VALUE"""),407.46)</f>
        <v>407.46</v>
      </c>
      <c r="E182" s="9">
        <f>IFERROR(__xludf.DUMMYFUNCTION("""COMPUTED_VALUE"""),397.5)</f>
        <v>397.5</v>
      </c>
      <c r="F182" s="9">
        <f>IFERROR(__xludf.DUMMYFUNCTION("""COMPUTED_VALUE"""),405.52)</f>
        <v>405.52</v>
      </c>
      <c r="G182" s="9">
        <f>IFERROR(__xludf.DUMMYFUNCTION("""COMPUTED_VALUE"""),1171916.0)</f>
        <v>1171916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</row>
    <row r="183">
      <c r="A183" s="1"/>
      <c r="B183" s="22">
        <f>IFERROR(__xludf.DUMMYFUNCTION("""COMPUTED_VALUE"""),41807.645833333336)</f>
        <v>41807.64583</v>
      </c>
      <c r="C183" s="9">
        <f>IFERROR(__xludf.DUMMYFUNCTION("""COMPUTED_VALUE"""),406.13)</f>
        <v>406.13</v>
      </c>
      <c r="D183" s="9">
        <f>IFERROR(__xludf.DUMMYFUNCTION("""COMPUTED_VALUE"""),408.38)</f>
        <v>408.38</v>
      </c>
      <c r="E183" s="9">
        <f>IFERROR(__xludf.DUMMYFUNCTION("""COMPUTED_VALUE"""),402.32)</f>
        <v>402.32</v>
      </c>
      <c r="F183" s="9">
        <f>IFERROR(__xludf.DUMMYFUNCTION("""COMPUTED_VALUE"""),405.86)</f>
        <v>405.86</v>
      </c>
      <c r="G183" s="9">
        <f>IFERROR(__xludf.DUMMYFUNCTION("""COMPUTED_VALUE"""),1259924.0)</f>
        <v>1259924</v>
      </c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</row>
    <row r="184">
      <c r="A184" s="1"/>
      <c r="B184" s="22">
        <f>IFERROR(__xludf.DUMMYFUNCTION("""COMPUTED_VALUE"""),41808.645833333336)</f>
        <v>41808.64583</v>
      </c>
      <c r="C184" s="9">
        <f>IFERROR(__xludf.DUMMYFUNCTION("""COMPUTED_VALUE"""),405.63)</f>
        <v>405.63</v>
      </c>
      <c r="D184" s="9">
        <f>IFERROR(__xludf.DUMMYFUNCTION("""COMPUTED_VALUE"""),409.38)</f>
        <v>409.38</v>
      </c>
      <c r="E184" s="9">
        <f>IFERROR(__xludf.DUMMYFUNCTION("""COMPUTED_VALUE"""),401.59)</f>
        <v>401.59</v>
      </c>
      <c r="F184" s="9">
        <f>IFERROR(__xludf.DUMMYFUNCTION("""COMPUTED_VALUE"""),405.06)</f>
        <v>405.06</v>
      </c>
      <c r="G184" s="9">
        <f>IFERROR(__xludf.DUMMYFUNCTION("""COMPUTED_VALUE"""),1223910.0)</f>
        <v>1223910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</row>
    <row r="185">
      <c r="A185" s="1"/>
      <c r="B185" s="22">
        <f>IFERROR(__xludf.DUMMYFUNCTION("""COMPUTED_VALUE"""),41809.645833333336)</f>
        <v>41809.64583</v>
      </c>
      <c r="C185" s="9">
        <f>IFERROR(__xludf.DUMMYFUNCTION("""COMPUTED_VALUE"""),405.73)</f>
        <v>405.73</v>
      </c>
      <c r="D185" s="9">
        <f>IFERROR(__xludf.DUMMYFUNCTION("""COMPUTED_VALUE"""),415.38)</f>
        <v>415.38</v>
      </c>
      <c r="E185" s="9">
        <f>IFERROR(__xludf.DUMMYFUNCTION("""COMPUTED_VALUE"""),405.64)</f>
        <v>405.64</v>
      </c>
      <c r="F185" s="9">
        <f>IFERROR(__xludf.DUMMYFUNCTION("""COMPUTED_VALUE"""),413.99)</f>
        <v>413.99</v>
      </c>
      <c r="G185" s="9">
        <f>IFERROR(__xludf.DUMMYFUNCTION("""COMPUTED_VALUE"""),1414213.0)</f>
        <v>1414213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</row>
    <row r="186">
      <c r="A186" s="1"/>
      <c r="B186" s="22">
        <f>IFERROR(__xludf.DUMMYFUNCTION("""COMPUTED_VALUE"""),41810.645833333336)</f>
        <v>41810.64583</v>
      </c>
      <c r="C186" s="9">
        <f>IFERROR(__xludf.DUMMYFUNCTION("""COMPUTED_VALUE"""),415.0)</f>
        <v>415</v>
      </c>
      <c r="D186" s="9">
        <f>IFERROR(__xludf.DUMMYFUNCTION("""COMPUTED_VALUE"""),417.43)</f>
        <v>417.43</v>
      </c>
      <c r="E186" s="9">
        <f>IFERROR(__xludf.DUMMYFUNCTION("""COMPUTED_VALUE"""),411.61)</f>
        <v>411.61</v>
      </c>
      <c r="F186" s="9">
        <f>IFERROR(__xludf.DUMMYFUNCTION("""COMPUTED_VALUE"""),414.58)</f>
        <v>414.58</v>
      </c>
      <c r="G186" s="9">
        <f>IFERROR(__xludf.DUMMYFUNCTION("""COMPUTED_VALUE"""),1106625.0)</f>
        <v>1106625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</row>
    <row r="187">
      <c r="A187" s="1"/>
      <c r="B187" s="22">
        <f>IFERROR(__xludf.DUMMYFUNCTION("""COMPUTED_VALUE"""),41813.645833333336)</f>
        <v>41813.64583</v>
      </c>
      <c r="C187" s="9">
        <f>IFERROR(__xludf.DUMMYFUNCTION("""COMPUTED_VALUE"""),412.5)</f>
        <v>412.5</v>
      </c>
      <c r="D187" s="9">
        <f>IFERROR(__xludf.DUMMYFUNCTION("""COMPUTED_VALUE"""),413.62)</f>
        <v>413.62</v>
      </c>
      <c r="E187" s="9">
        <f>IFERROR(__xludf.DUMMYFUNCTION("""COMPUTED_VALUE"""),402.68)</f>
        <v>402.68</v>
      </c>
      <c r="F187" s="9">
        <f>IFERROR(__xludf.DUMMYFUNCTION("""COMPUTED_VALUE"""),404.07)</f>
        <v>404.07</v>
      </c>
      <c r="G187" s="9">
        <f>IFERROR(__xludf.DUMMYFUNCTION("""COMPUTED_VALUE"""),791014.0)</f>
        <v>791014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</row>
    <row r="188">
      <c r="A188" s="1"/>
      <c r="B188" s="22">
        <f>IFERROR(__xludf.DUMMYFUNCTION("""COMPUTED_VALUE"""),41814.645833333336)</f>
        <v>41814.64583</v>
      </c>
      <c r="C188" s="9">
        <f>IFERROR(__xludf.DUMMYFUNCTION("""COMPUTED_VALUE"""),403.75)</f>
        <v>403.75</v>
      </c>
      <c r="D188" s="9">
        <f>IFERROR(__xludf.DUMMYFUNCTION("""COMPUTED_VALUE"""),404.36)</f>
        <v>404.36</v>
      </c>
      <c r="E188" s="9">
        <f>IFERROR(__xludf.DUMMYFUNCTION("""COMPUTED_VALUE"""),399.02)</f>
        <v>399.02</v>
      </c>
      <c r="F188" s="9">
        <f>IFERROR(__xludf.DUMMYFUNCTION("""COMPUTED_VALUE"""),400.48)</f>
        <v>400.48</v>
      </c>
      <c r="G188" s="9">
        <f>IFERROR(__xludf.DUMMYFUNCTION("""COMPUTED_VALUE"""),1329753.0)</f>
        <v>1329753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</row>
    <row r="189">
      <c r="A189" s="1"/>
      <c r="B189" s="22">
        <f>IFERROR(__xludf.DUMMYFUNCTION("""COMPUTED_VALUE"""),41815.645833333336)</f>
        <v>41815.64583</v>
      </c>
      <c r="C189" s="9">
        <f>IFERROR(__xludf.DUMMYFUNCTION("""COMPUTED_VALUE"""),405.63)</f>
        <v>405.63</v>
      </c>
      <c r="D189" s="9">
        <f>IFERROR(__xludf.DUMMYFUNCTION("""COMPUTED_VALUE"""),405.63)</f>
        <v>405.63</v>
      </c>
      <c r="E189" s="9">
        <f>IFERROR(__xludf.DUMMYFUNCTION("""COMPUTED_VALUE"""),400.75)</f>
        <v>400.75</v>
      </c>
      <c r="F189" s="9">
        <f>IFERROR(__xludf.DUMMYFUNCTION("""COMPUTED_VALUE"""),401.41)</f>
        <v>401.41</v>
      </c>
      <c r="G189" s="9">
        <f>IFERROR(__xludf.DUMMYFUNCTION("""COMPUTED_VALUE"""),804190.0)</f>
        <v>804190</v>
      </c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</row>
    <row r="190">
      <c r="A190" s="1"/>
      <c r="B190" s="22">
        <f>IFERROR(__xludf.DUMMYFUNCTION("""COMPUTED_VALUE"""),41816.645833333336)</f>
        <v>41816.64583</v>
      </c>
      <c r="C190" s="9">
        <f>IFERROR(__xludf.DUMMYFUNCTION("""COMPUTED_VALUE"""),402.5)</f>
        <v>402.5</v>
      </c>
      <c r="D190" s="9">
        <f>IFERROR(__xludf.DUMMYFUNCTION("""COMPUTED_VALUE"""),404.38)</f>
        <v>404.38</v>
      </c>
      <c r="E190" s="9">
        <f>IFERROR(__xludf.DUMMYFUNCTION("""COMPUTED_VALUE"""),396.09)</f>
        <v>396.09</v>
      </c>
      <c r="F190" s="9">
        <f>IFERROR(__xludf.DUMMYFUNCTION("""COMPUTED_VALUE"""),397.81)</f>
        <v>397.81</v>
      </c>
      <c r="G190" s="9">
        <f>IFERROR(__xludf.DUMMYFUNCTION("""COMPUTED_VALUE"""),922069.0)</f>
        <v>922069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</row>
    <row r="191">
      <c r="A191" s="1"/>
      <c r="B191" s="22">
        <f>IFERROR(__xludf.DUMMYFUNCTION("""COMPUTED_VALUE"""),41817.645833333336)</f>
        <v>41817.64583</v>
      </c>
      <c r="C191" s="9">
        <f>IFERROR(__xludf.DUMMYFUNCTION("""COMPUTED_VALUE"""),400.0)</f>
        <v>400</v>
      </c>
      <c r="D191" s="9">
        <f>IFERROR(__xludf.DUMMYFUNCTION("""COMPUTED_VALUE"""),404.45)</f>
        <v>404.45</v>
      </c>
      <c r="E191" s="9">
        <f>IFERROR(__xludf.DUMMYFUNCTION("""COMPUTED_VALUE"""),396.5)</f>
        <v>396.5</v>
      </c>
      <c r="F191" s="9">
        <f>IFERROR(__xludf.DUMMYFUNCTION("""COMPUTED_VALUE"""),402.93)</f>
        <v>402.93</v>
      </c>
      <c r="G191" s="9">
        <f>IFERROR(__xludf.DUMMYFUNCTION("""COMPUTED_VALUE"""),861343.0)</f>
        <v>861343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</row>
    <row r="192">
      <c r="A192" s="1"/>
      <c r="B192" s="22">
        <f>IFERROR(__xludf.DUMMYFUNCTION("""COMPUTED_VALUE"""),41820.645833333336)</f>
        <v>41820.64583</v>
      </c>
      <c r="C192" s="9">
        <f>IFERROR(__xludf.DUMMYFUNCTION("""COMPUTED_VALUE"""),402.5)</f>
        <v>402.5</v>
      </c>
      <c r="D192" s="9">
        <f>IFERROR(__xludf.DUMMYFUNCTION("""COMPUTED_VALUE"""),407.88)</f>
        <v>407.88</v>
      </c>
      <c r="E192" s="9">
        <f>IFERROR(__xludf.DUMMYFUNCTION("""COMPUTED_VALUE"""),401.43)</f>
        <v>401.43</v>
      </c>
      <c r="F192" s="9">
        <f>IFERROR(__xludf.DUMMYFUNCTION("""COMPUTED_VALUE"""),406.94)</f>
        <v>406.94</v>
      </c>
      <c r="G192" s="9">
        <f>IFERROR(__xludf.DUMMYFUNCTION("""COMPUTED_VALUE"""),911322.0)</f>
        <v>911322</v>
      </c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</row>
    <row r="193">
      <c r="A193" s="1"/>
      <c r="B193" s="22">
        <f>IFERROR(__xludf.DUMMYFUNCTION("""COMPUTED_VALUE"""),41821.645833333336)</f>
        <v>41821.64583</v>
      </c>
      <c r="C193" s="9">
        <f>IFERROR(__xludf.DUMMYFUNCTION("""COMPUTED_VALUE"""),405.63)</f>
        <v>405.63</v>
      </c>
      <c r="D193" s="9">
        <f>IFERROR(__xludf.DUMMYFUNCTION("""COMPUTED_VALUE"""),406.85)</f>
        <v>406.85</v>
      </c>
      <c r="E193" s="9">
        <f>IFERROR(__xludf.DUMMYFUNCTION("""COMPUTED_VALUE"""),400.75)</f>
        <v>400.75</v>
      </c>
      <c r="F193" s="9">
        <f>IFERROR(__xludf.DUMMYFUNCTION("""COMPUTED_VALUE"""),402.63)</f>
        <v>402.63</v>
      </c>
      <c r="G193" s="9">
        <f>IFERROR(__xludf.DUMMYFUNCTION("""COMPUTED_VALUE"""),582814.0)</f>
        <v>582814</v>
      </c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</row>
    <row r="194">
      <c r="A194" s="1"/>
      <c r="B194" s="22">
        <f>IFERROR(__xludf.DUMMYFUNCTION("""COMPUTED_VALUE"""),41822.645833333336)</f>
        <v>41822.64583</v>
      </c>
      <c r="C194" s="9">
        <f>IFERROR(__xludf.DUMMYFUNCTION("""COMPUTED_VALUE"""),401.5)</f>
        <v>401.5</v>
      </c>
      <c r="D194" s="9">
        <f>IFERROR(__xludf.DUMMYFUNCTION("""COMPUTED_VALUE"""),405.45)</f>
        <v>405.45</v>
      </c>
      <c r="E194" s="9">
        <f>IFERROR(__xludf.DUMMYFUNCTION("""COMPUTED_VALUE"""),399.78)</f>
        <v>399.78</v>
      </c>
      <c r="F194" s="9">
        <f>IFERROR(__xludf.DUMMYFUNCTION("""COMPUTED_VALUE"""),401.91)</f>
        <v>401.91</v>
      </c>
      <c r="G194" s="9">
        <f>IFERROR(__xludf.DUMMYFUNCTION("""COMPUTED_VALUE"""),764954.0)</f>
        <v>764954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</row>
    <row r="195">
      <c r="A195" s="1"/>
      <c r="B195" s="22">
        <f>IFERROR(__xludf.DUMMYFUNCTION("""COMPUTED_VALUE"""),41823.645833333336)</f>
        <v>41823.64583</v>
      </c>
      <c r="C195" s="9">
        <f>IFERROR(__xludf.DUMMYFUNCTION("""COMPUTED_VALUE"""),401.28)</f>
        <v>401.28</v>
      </c>
      <c r="D195" s="9">
        <f>IFERROR(__xludf.DUMMYFUNCTION("""COMPUTED_VALUE"""),403.55)</f>
        <v>403.55</v>
      </c>
      <c r="E195" s="9">
        <f>IFERROR(__xludf.DUMMYFUNCTION("""COMPUTED_VALUE"""),398.81)</f>
        <v>398.81</v>
      </c>
      <c r="F195" s="9">
        <f>IFERROR(__xludf.DUMMYFUNCTION("""COMPUTED_VALUE"""),401.34)</f>
        <v>401.34</v>
      </c>
      <c r="G195" s="9">
        <f>IFERROR(__xludf.DUMMYFUNCTION("""COMPUTED_VALUE"""),938114.0)</f>
        <v>938114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</row>
    <row r="196">
      <c r="A196" s="1"/>
      <c r="B196" s="22">
        <f>IFERROR(__xludf.DUMMYFUNCTION("""COMPUTED_VALUE"""),41824.645833333336)</f>
        <v>41824.64583</v>
      </c>
      <c r="C196" s="9">
        <f>IFERROR(__xludf.DUMMYFUNCTION("""COMPUTED_VALUE"""),400.01)</f>
        <v>400.01</v>
      </c>
      <c r="D196" s="9">
        <f>IFERROR(__xludf.DUMMYFUNCTION("""COMPUTED_VALUE"""),407.3)</f>
        <v>407.3</v>
      </c>
      <c r="E196" s="9">
        <f>IFERROR(__xludf.DUMMYFUNCTION("""COMPUTED_VALUE"""),400.01)</f>
        <v>400.01</v>
      </c>
      <c r="F196" s="9">
        <f>IFERROR(__xludf.DUMMYFUNCTION("""COMPUTED_VALUE"""),405.74)</f>
        <v>405.74</v>
      </c>
      <c r="G196" s="9">
        <f>IFERROR(__xludf.DUMMYFUNCTION("""COMPUTED_VALUE"""),719121.0)</f>
        <v>719121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</row>
    <row r="197">
      <c r="A197" s="1"/>
      <c r="B197" s="22">
        <f>IFERROR(__xludf.DUMMYFUNCTION("""COMPUTED_VALUE"""),41827.645833333336)</f>
        <v>41827.64583</v>
      </c>
      <c r="C197" s="9">
        <f>IFERROR(__xludf.DUMMYFUNCTION("""COMPUTED_VALUE"""),408.13)</f>
        <v>408.13</v>
      </c>
      <c r="D197" s="9">
        <f>IFERROR(__xludf.DUMMYFUNCTION("""COMPUTED_VALUE"""),421.0)</f>
        <v>421</v>
      </c>
      <c r="E197" s="9">
        <f>IFERROR(__xludf.DUMMYFUNCTION("""COMPUTED_VALUE"""),407.5)</f>
        <v>407.5</v>
      </c>
      <c r="F197" s="9">
        <f>IFERROR(__xludf.DUMMYFUNCTION("""COMPUTED_VALUE"""),418.18)</f>
        <v>418.18</v>
      </c>
      <c r="G197" s="9">
        <f>IFERROR(__xludf.DUMMYFUNCTION("""COMPUTED_VALUE"""),1454789.0)</f>
        <v>1454789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</row>
    <row r="198">
      <c r="A198" s="1"/>
      <c r="B198" s="22">
        <f>IFERROR(__xludf.DUMMYFUNCTION("""COMPUTED_VALUE"""),41828.645833333336)</f>
        <v>41828.64583</v>
      </c>
      <c r="C198" s="9">
        <f>IFERROR(__xludf.DUMMYFUNCTION("""COMPUTED_VALUE"""),418.63)</f>
        <v>418.63</v>
      </c>
      <c r="D198" s="9">
        <f>IFERROR(__xludf.DUMMYFUNCTION("""COMPUTED_VALUE"""),425.79)</f>
        <v>425.79</v>
      </c>
      <c r="E198" s="9">
        <f>IFERROR(__xludf.DUMMYFUNCTION("""COMPUTED_VALUE"""),412.88)</f>
        <v>412.88</v>
      </c>
      <c r="F198" s="9">
        <f>IFERROR(__xludf.DUMMYFUNCTION("""COMPUTED_VALUE"""),417.77)</f>
        <v>417.77</v>
      </c>
      <c r="G198" s="9">
        <f>IFERROR(__xludf.DUMMYFUNCTION("""COMPUTED_VALUE"""),1432560.0)</f>
        <v>1432560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</row>
    <row r="199">
      <c r="A199" s="1"/>
      <c r="B199" s="22">
        <f>IFERROR(__xludf.DUMMYFUNCTION("""COMPUTED_VALUE"""),41829.645833333336)</f>
        <v>41829.64583</v>
      </c>
      <c r="C199" s="9">
        <f>IFERROR(__xludf.DUMMYFUNCTION("""COMPUTED_VALUE"""),416.25)</f>
        <v>416.25</v>
      </c>
      <c r="D199" s="9">
        <f>IFERROR(__xludf.DUMMYFUNCTION("""COMPUTED_VALUE"""),423.0)</f>
        <v>423</v>
      </c>
      <c r="E199" s="9">
        <f>IFERROR(__xludf.DUMMYFUNCTION("""COMPUTED_VALUE"""),411.25)</f>
        <v>411.25</v>
      </c>
      <c r="F199" s="9">
        <f>IFERROR(__xludf.DUMMYFUNCTION("""COMPUTED_VALUE"""),413.79)</f>
        <v>413.79</v>
      </c>
      <c r="G199" s="9">
        <f>IFERROR(__xludf.DUMMYFUNCTION("""COMPUTED_VALUE"""),1033844.0)</f>
        <v>1033844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</row>
    <row r="200">
      <c r="A200" s="1"/>
      <c r="B200" s="22">
        <f>IFERROR(__xludf.DUMMYFUNCTION("""COMPUTED_VALUE"""),41830.645833333336)</f>
        <v>41830.64583</v>
      </c>
      <c r="C200" s="9">
        <f>IFERROR(__xludf.DUMMYFUNCTION("""COMPUTED_VALUE"""),414.38)</f>
        <v>414.38</v>
      </c>
      <c r="D200" s="9">
        <f>IFERROR(__xludf.DUMMYFUNCTION("""COMPUTED_VALUE"""),422.71)</f>
        <v>422.71</v>
      </c>
      <c r="E200" s="9">
        <f>IFERROR(__xludf.DUMMYFUNCTION("""COMPUTED_VALUE"""),406.33)</f>
        <v>406.33</v>
      </c>
      <c r="F200" s="9">
        <f>IFERROR(__xludf.DUMMYFUNCTION("""COMPUTED_VALUE"""),411.59)</f>
        <v>411.59</v>
      </c>
      <c r="G200" s="9">
        <f>IFERROR(__xludf.DUMMYFUNCTION("""COMPUTED_VALUE"""),1418202.0)</f>
        <v>1418202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</row>
    <row r="201">
      <c r="A201" s="1"/>
      <c r="B201" s="22">
        <f>IFERROR(__xludf.DUMMYFUNCTION("""COMPUTED_VALUE"""),41831.645833333336)</f>
        <v>41831.64583</v>
      </c>
      <c r="C201" s="9">
        <f>IFERROR(__xludf.DUMMYFUNCTION("""COMPUTED_VALUE"""),425.18)</f>
        <v>425.18</v>
      </c>
      <c r="D201" s="9">
        <f>IFERROR(__xludf.DUMMYFUNCTION("""COMPUTED_VALUE"""),429.0)</f>
        <v>429</v>
      </c>
      <c r="E201" s="9">
        <f>IFERROR(__xludf.DUMMYFUNCTION("""COMPUTED_VALUE"""),412.54)</f>
        <v>412.54</v>
      </c>
      <c r="F201" s="9">
        <f>IFERROR(__xludf.DUMMYFUNCTION("""COMPUTED_VALUE"""),415.83)</f>
        <v>415.83</v>
      </c>
      <c r="G201" s="9">
        <f>IFERROR(__xludf.DUMMYFUNCTION("""COMPUTED_VALUE"""),1978295.0)</f>
        <v>1978295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</row>
    <row r="202">
      <c r="A202" s="1"/>
      <c r="B202" s="22">
        <f>IFERROR(__xludf.DUMMYFUNCTION("""COMPUTED_VALUE"""),41834.645833333336)</f>
        <v>41834.64583</v>
      </c>
      <c r="C202" s="9">
        <f>IFERROR(__xludf.DUMMYFUNCTION("""COMPUTED_VALUE"""),414.38)</f>
        <v>414.38</v>
      </c>
      <c r="D202" s="9">
        <f>IFERROR(__xludf.DUMMYFUNCTION("""COMPUTED_VALUE"""),414.38)</f>
        <v>414.38</v>
      </c>
      <c r="E202" s="9">
        <f>IFERROR(__xludf.DUMMYFUNCTION("""COMPUTED_VALUE"""),398.23)</f>
        <v>398.23</v>
      </c>
      <c r="F202" s="9">
        <f>IFERROR(__xludf.DUMMYFUNCTION("""COMPUTED_VALUE"""),403.16)</f>
        <v>403.16</v>
      </c>
      <c r="G202" s="9">
        <f>IFERROR(__xludf.DUMMYFUNCTION("""COMPUTED_VALUE"""),1028950.0)</f>
        <v>1028950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</row>
    <row r="203">
      <c r="A203" s="1"/>
      <c r="B203" s="22">
        <f>IFERROR(__xludf.DUMMYFUNCTION("""COMPUTED_VALUE"""),41835.645833333336)</f>
        <v>41835.64583</v>
      </c>
      <c r="C203" s="9">
        <f>IFERROR(__xludf.DUMMYFUNCTION("""COMPUTED_VALUE"""),404.88)</f>
        <v>404.88</v>
      </c>
      <c r="D203" s="9">
        <f>IFERROR(__xludf.DUMMYFUNCTION("""COMPUTED_VALUE"""),407.24)</f>
        <v>407.24</v>
      </c>
      <c r="E203" s="9">
        <f>IFERROR(__xludf.DUMMYFUNCTION("""COMPUTED_VALUE"""),402.13)</f>
        <v>402.13</v>
      </c>
      <c r="F203" s="9">
        <f>IFERROR(__xludf.DUMMYFUNCTION("""COMPUTED_VALUE"""),403.21)</f>
        <v>403.21</v>
      </c>
      <c r="G203" s="9">
        <f>IFERROR(__xludf.DUMMYFUNCTION("""COMPUTED_VALUE"""),517475.0)</f>
        <v>517475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</row>
    <row r="204">
      <c r="A204" s="1"/>
      <c r="B204" s="22">
        <f>IFERROR(__xludf.DUMMYFUNCTION("""COMPUTED_VALUE"""),41836.645833333336)</f>
        <v>41836.64583</v>
      </c>
      <c r="C204" s="9">
        <f>IFERROR(__xludf.DUMMYFUNCTION("""COMPUTED_VALUE"""),405.0)</f>
        <v>405</v>
      </c>
      <c r="D204" s="9">
        <f>IFERROR(__xludf.DUMMYFUNCTION("""COMPUTED_VALUE"""),405.63)</f>
        <v>405.63</v>
      </c>
      <c r="E204" s="9">
        <f>IFERROR(__xludf.DUMMYFUNCTION("""COMPUTED_VALUE"""),400.41)</f>
        <v>400.41</v>
      </c>
      <c r="F204" s="9">
        <f>IFERROR(__xludf.DUMMYFUNCTION("""COMPUTED_VALUE"""),403.7)</f>
        <v>403.7</v>
      </c>
      <c r="G204" s="9">
        <f>IFERROR(__xludf.DUMMYFUNCTION("""COMPUTED_VALUE"""),573686.0)</f>
        <v>573686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</row>
    <row r="205">
      <c r="A205" s="1"/>
      <c r="B205" s="22">
        <f>IFERROR(__xludf.DUMMYFUNCTION("""COMPUTED_VALUE"""),41837.645833333336)</f>
        <v>41837.64583</v>
      </c>
      <c r="C205" s="9">
        <f>IFERROR(__xludf.DUMMYFUNCTION("""COMPUTED_VALUE"""),407.51)</f>
        <v>407.51</v>
      </c>
      <c r="D205" s="9">
        <f>IFERROR(__xludf.DUMMYFUNCTION("""COMPUTED_VALUE"""),418.24)</f>
        <v>418.24</v>
      </c>
      <c r="E205" s="9">
        <f>IFERROR(__xludf.DUMMYFUNCTION("""COMPUTED_VALUE"""),403.96)</f>
        <v>403.96</v>
      </c>
      <c r="F205" s="9">
        <f>IFERROR(__xludf.DUMMYFUNCTION("""COMPUTED_VALUE"""),404.91)</f>
        <v>404.91</v>
      </c>
      <c r="G205" s="9">
        <f>IFERROR(__xludf.DUMMYFUNCTION("""COMPUTED_VALUE"""),618334.0)</f>
        <v>618334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</row>
    <row r="206">
      <c r="A206" s="1"/>
      <c r="B206" s="22">
        <f>IFERROR(__xludf.DUMMYFUNCTION("""COMPUTED_VALUE"""),41838.645833333336)</f>
        <v>41838.64583</v>
      </c>
      <c r="C206" s="9">
        <f>IFERROR(__xludf.DUMMYFUNCTION("""COMPUTED_VALUE"""),406.63)</f>
        <v>406.63</v>
      </c>
      <c r="D206" s="9">
        <f>IFERROR(__xludf.DUMMYFUNCTION("""COMPUTED_VALUE"""),409.34)</f>
        <v>409.34</v>
      </c>
      <c r="E206" s="9">
        <f>IFERROR(__xludf.DUMMYFUNCTION("""COMPUTED_VALUE"""),405.45)</f>
        <v>405.45</v>
      </c>
      <c r="F206" s="9">
        <f>IFERROR(__xludf.DUMMYFUNCTION("""COMPUTED_VALUE"""),406.44)</f>
        <v>406.44</v>
      </c>
      <c r="G206" s="9">
        <f>IFERROR(__xludf.DUMMYFUNCTION("""COMPUTED_VALUE"""),512296.0)</f>
        <v>512296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</row>
    <row r="207">
      <c r="A207" s="1"/>
      <c r="B207" s="22">
        <f>IFERROR(__xludf.DUMMYFUNCTION("""COMPUTED_VALUE"""),41841.645833333336)</f>
        <v>41841.64583</v>
      </c>
      <c r="C207" s="9">
        <f>IFERROR(__xludf.DUMMYFUNCTION("""COMPUTED_VALUE"""),406.88)</f>
        <v>406.88</v>
      </c>
      <c r="D207" s="9">
        <f>IFERROR(__xludf.DUMMYFUNCTION("""COMPUTED_VALUE"""),409.17)</f>
        <v>409.17</v>
      </c>
      <c r="E207" s="9">
        <f>IFERROR(__xludf.DUMMYFUNCTION("""COMPUTED_VALUE"""),398.51)</f>
        <v>398.51</v>
      </c>
      <c r="F207" s="9">
        <f>IFERROR(__xludf.DUMMYFUNCTION("""COMPUTED_VALUE"""),400.09)</f>
        <v>400.09</v>
      </c>
      <c r="G207" s="9">
        <f>IFERROR(__xludf.DUMMYFUNCTION("""COMPUTED_VALUE"""),929496.0)</f>
        <v>929496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</row>
    <row r="208">
      <c r="A208" s="1"/>
      <c r="B208" s="22">
        <f>IFERROR(__xludf.DUMMYFUNCTION("""COMPUTED_VALUE"""),41842.645833333336)</f>
        <v>41842.64583</v>
      </c>
      <c r="C208" s="9">
        <f>IFERROR(__xludf.DUMMYFUNCTION("""COMPUTED_VALUE"""),400.63)</f>
        <v>400.63</v>
      </c>
      <c r="D208" s="9">
        <f>IFERROR(__xludf.DUMMYFUNCTION("""COMPUTED_VALUE"""),405.84)</f>
        <v>405.84</v>
      </c>
      <c r="E208" s="9">
        <f>IFERROR(__xludf.DUMMYFUNCTION("""COMPUTED_VALUE"""),399.76)</f>
        <v>399.76</v>
      </c>
      <c r="F208" s="9">
        <f>IFERROR(__xludf.DUMMYFUNCTION("""COMPUTED_VALUE"""),404.21)</f>
        <v>404.21</v>
      </c>
      <c r="G208" s="9">
        <f>IFERROR(__xludf.DUMMYFUNCTION("""COMPUTED_VALUE"""),1091670.0)</f>
        <v>1091670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</row>
    <row r="209">
      <c r="A209" s="1"/>
      <c r="B209" s="22">
        <f>IFERROR(__xludf.DUMMYFUNCTION("""COMPUTED_VALUE"""),41843.645833333336)</f>
        <v>41843.64583</v>
      </c>
      <c r="C209" s="9">
        <f>IFERROR(__xludf.DUMMYFUNCTION("""COMPUTED_VALUE"""),406.13)</f>
        <v>406.13</v>
      </c>
      <c r="D209" s="9">
        <f>IFERROR(__xludf.DUMMYFUNCTION("""COMPUTED_VALUE"""),419.38)</f>
        <v>419.38</v>
      </c>
      <c r="E209" s="9">
        <f>IFERROR(__xludf.DUMMYFUNCTION("""COMPUTED_VALUE"""),406.13)</f>
        <v>406.13</v>
      </c>
      <c r="F209" s="9">
        <f>IFERROR(__xludf.DUMMYFUNCTION("""COMPUTED_VALUE"""),418.68)</f>
        <v>418.68</v>
      </c>
      <c r="G209" s="9">
        <f>IFERROR(__xludf.DUMMYFUNCTION("""COMPUTED_VALUE"""),1478417.0)</f>
        <v>1478417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</row>
    <row r="210">
      <c r="A210" s="1"/>
      <c r="B210" s="22">
        <f>IFERROR(__xludf.DUMMYFUNCTION("""COMPUTED_VALUE"""),41844.645833333336)</f>
        <v>41844.64583</v>
      </c>
      <c r="C210" s="9">
        <f>IFERROR(__xludf.DUMMYFUNCTION("""COMPUTED_VALUE"""),418.0)</f>
        <v>418</v>
      </c>
      <c r="D210" s="9">
        <f>IFERROR(__xludf.DUMMYFUNCTION("""COMPUTED_VALUE"""),424.38)</f>
        <v>424.38</v>
      </c>
      <c r="E210" s="9">
        <f>IFERROR(__xludf.DUMMYFUNCTION("""COMPUTED_VALUE"""),415.18)</f>
        <v>415.18</v>
      </c>
      <c r="F210" s="9">
        <f>IFERROR(__xludf.DUMMYFUNCTION("""COMPUTED_VALUE"""),422.78)</f>
        <v>422.78</v>
      </c>
      <c r="G210" s="9">
        <f>IFERROR(__xludf.DUMMYFUNCTION("""COMPUTED_VALUE"""),696445.0)</f>
        <v>696445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</row>
    <row r="211">
      <c r="A211" s="1"/>
      <c r="B211" s="22">
        <f>IFERROR(__xludf.DUMMYFUNCTION("""COMPUTED_VALUE"""),41845.645833333336)</f>
        <v>41845.64583</v>
      </c>
      <c r="C211" s="9">
        <f>IFERROR(__xludf.DUMMYFUNCTION("""COMPUTED_VALUE"""),424.88)</f>
        <v>424.88</v>
      </c>
      <c r="D211" s="9">
        <f>IFERROR(__xludf.DUMMYFUNCTION("""COMPUTED_VALUE"""),424.88)</f>
        <v>424.88</v>
      </c>
      <c r="E211" s="9">
        <f>IFERROR(__xludf.DUMMYFUNCTION("""COMPUTED_VALUE"""),413.09)</f>
        <v>413.09</v>
      </c>
      <c r="F211" s="9">
        <f>IFERROR(__xludf.DUMMYFUNCTION("""COMPUTED_VALUE"""),419.03)</f>
        <v>419.03</v>
      </c>
      <c r="G211" s="9">
        <f>IFERROR(__xludf.DUMMYFUNCTION("""COMPUTED_VALUE"""),667209.0)</f>
        <v>667209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</row>
    <row r="212">
      <c r="A212" s="1"/>
      <c r="B212" s="22">
        <f>IFERROR(__xludf.DUMMYFUNCTION("""COMPUTED_VALUE"""),41848.645833333336)</f>
        <v>41848.64583</v>
      </c>
      <c r="C212" s="9">
        <f>IFERROR(__xludf.DUMMYFUNCTION("""COMPUTED_VALUE"""),418.13)</f>
        <v>418.13</v>
      </c>
      <c r="D212" s="9">
        <f>IFERROR(__xludf.DUMMYFUNCTION("""COMPUTED_VALUE"""),423.38)</f>
        <v>423.38</v>
      </c>
      <c r="E212" s="9">
        <f>IFERROR(__xludf.DUMMYFUNCTION("""COMPUTED_VALUE"""),415.11)</f>
        <v>415.11</v>
      </c>
      <c r="F212" s="9">
        <f>IFERROR(__xludf.DUMMYFUNCTION("""COMPUTED_VALUE"""),421.39)</f>
        <v>421.39</v>
      </c>
      <c r="G212" s="9">
        <f>IFERROR(__xludf.DUMMYFUNCTION("""COMPUTED_VALUE"""),575181.0)</f>
        <v>575181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</row>
    <row r="213">
      <c r="A213" s="1"/>
      <c r="B213" s="22">
        <f>IFERROR(__xludf.DUMMYFUNCTION("""COMPUTED_VALUE"""),41850.645833333336)</f>
        <v>41850.64583</v>
      </c>
      <c r="C213" s="9">
        <f>IFERROR(__xludf.DUMMYFUNCTION("""COMPUTED_VALUE"""),424.25)</f>
        <v>424.25</v>
      </c>
      <c r="D213" s="9">
        <f>IFERROR(__xludf.DUMMYFUNCTION("""COMPUTED_VALUE"""),424.25)</f>
        <v>424.25</v>
      </c>
      <c r="E213" s="9">
        <f>IFERROR(__xludf.DUMMYFUNCTION("""COMPUTED_VALUE"""),418.2)</f>
        <v>418.2</v>
      </c>
      <c r="F213" s="9">
        <f>IFERROR(__xludf.DUMMYFUNCTION("""COMPUTED_VALUE"""),421.53)</f>
        <v>421.53</v>
      </c>
      <c r="G213" s="9">
        <f>IFERROR(__xludf.DUMMYFUNCTION("""COMPUTED_VALUE"""),1241840.0)</f>
        <v>1241840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</row>
    <row r="214">
      <c r="A214" s="1"/>
      <c r="B214" s="22">
        <f>IFERROR(__xludf.DUMMYFUNCTION("""COMPUTED_VALUE"""),41851.645833333336)</f>
        <v>41851.64583</v>
      </c>
      <c r="C214" s="9">
        <f>IFERROR(__xludf.DUMMYFUNCTION("""COMPUTED_VALUE"""),422.5)</f>
        <v>422.5</v>
      </c>
      <c r="D214" s="9">
        <f>IFERROR(__xludf.DUMMYFUNCTION("""COMPUTED_VALUE"""),424.36)</f>
        <v>424.36</v>
      </c>
      <c r="E214" s="9">
        <f>IFERROR(__xludf.DUMMYFUNCTION("""COMPUTED_VALUE"""),417.9)</f>
        <v>417.9</v>
      </c>
      <c r="F214" s="9">
        <f>IFERROR(__xludf.DUMMYFUNCTION("""COMPUTED_VALUE"""),420.96)</f>
        <v>420.96</v>
      </c>
      <c r="G214" s="9">
        <f>IFERROR(__xludf.DUMMYFUNCTION("""COMPUTED_VALUE"""),1057146.0)</f>
        <v>1057146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</row>
    <row r="215">
      <c r="A215" s="1"/>
      <c r="B215" s="22">
        <f>IFERROR(__xludf.DUMMYFUNCTION("""COMPUTED_VALUE"""),41852.645833333336)</f>
        <v>41852.64583</v>
      </c>
      <c r="C215" s="9">
        <f>IFERROR(__xludf.DUMMYFUNCTION("""COMPUTED_VALUE"""),418.75)</f>
        <v>418.75</v>
      </c>
      <c r="D215" s="9">
        <f>IFERROR(__xludf.DUMMYFUNCTION("""COMPUTED_VALUE"""),424.0)</f>
        <v>424</v>
      </c>
      <c r="E215" s="9">
        <f>IFERROR(__xludf.DUMMYFUNCTION("""COMPUTED_VALUE"""),416.25)</f>
        <v>416.25</v>
      </c>
      <c r="F215" s="9">
        <f>IFERROR(__xludf.DUMMYFUNCTION("""COMPUTED_VALUE"""),417.66)</f>
        <v>417.66</v>
      </c>
      <c r="G215" s="9">
        <f>IFERROR(__xludf.DUMMYFUNCTION("""COMPUTED_VALUE"""),950876.0)</f>
        <v>950876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</row>
    <row r="216">
      <c r="A216" s="1"/>
      <c r="B216" s="22">
        <f>IFERROR(__xludf.DUMMYFUNCTION("""COMPUTED_VALUE"""),41855.645833333336)</f>
        <v>41855.64583</v>
      </c>
      <c r="C216" s="9">
        <f>IFERROR(__xludf.DUMMYFUNCTION("""COMPUTED_VALUE"""),419.38)</f>
        <v>419.38</v>
      </c>
      <c r="D216" s="9">
        <f>IFERROR(__xludf.DUMMYFUNCTION("""COMPUTED_VALUE"""),435.36)</f>
        <v>435.36</v>
      </c>
      <c r="E216" s="9">
        <f>IFERROR(__xludf.DUMMYFUNCTION("""COMPUTED_VALUE"""),418.66)</f>
        <v>418.66</v>
      </c>
      <c r="F216" s="9">
        <f>IFERROR(__xludf.DUMMYFUNCTION("""COMPUTED_VALUE"""),433.19)</f>
        <v>433.19</v>
      </c>
      <c r="G216" s="9">
        <f>IFERROR(__xludf.DUMMYFUNCTION("""COMPUTED_VALUE"""),1635870.0)</f>
        <v>1635870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</row>
    <row r="217">
      <c r="A217" s="1"/>
      <c r="B217" s="22">
        <f>IFERROR(__xludf.DUMMYFUNCTION("""COMPUTED_VALUE"""),41856.645833333336)</f>
        <v>41856.64583</v>
      </c>
      <c r="C217" s="9">
        <f>IFERROR(__xludf.DUMMYFUNCTION("""COMPUTED_VALUE"""),434.5)</f>
        <v>434.5</v>
      </c>
      <c r="D217" s="9">
        <f>IFERROR(__xludf.DUMMYFUNCTION("""COMPUTED_VALUE"""),440.0)</f>
        <v>440</v>
      </c>
      <c r="E217" s="9">
        <f>IFERROR(__xludf.DUMMYFUNCTION("""COMPUTED_VALUE"""),433.76)</f>
        <v>433.76</v>
      </c>
      <c r="F217" s="9">
        <f>IFERROR(__xludf.DUMMYFUNCTION("""COMPUTED_VALUE"""),439.13)</f>
        <v>439.13</v>
      </c>
      <c r="G217" s="9">
        <f>IFERROR(__xludf.DUMMYFUNCTION("""COMPUTED_VALUE"""),1373203.0)</f>
        <v>1373203</v>
      </c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</row>
    <row r="218">
      <c r="A218" s="1"/>
      <c r="B218" s="22">
        <f>IFERROR(__xludf.DUMMYFUNCTION("""COMPUTED_VALUE"""),41857.645833333336)</f>
        <v>41857.64583</v>
      </c>
      <c r="C218" s="9">
        <f>IFERROR(__xludf.DUMMYFUNCTION("""COMPUTED_VALUE"""),440.63)</f>
        <v>440.63</v>
      </c>
      <c r="D218" s="9">
        <f>IFERROR(__xludf.DUMMYFUNCTION("""COMPUTED_VALUE"""),451.04)</f>
        <v>451.04</v>
      </c>
      <c r="E218" s="9">
        <f>IFERROR(__xludf.DUMMYFUNCTION("""COMPUTED_VALUE"""),440.63)</f>
        <v>440.63</v>
      </c>
      <c r="F218" s="9">
        <f>IFERROR(__xludf.DUMMYFUNCTION("""COMPUTED_VALUE"""),446.98)</f>
        <v>446.98</v>
      </c>
      <c r="G218" s="9">
        <f>IFERROR(__xludf.DUMMYFUNCTION("""COMPUTED_VALUE"""),2250523.0)</f>
        <v>2250523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</row>
    <row r="219">
      <c r="A219" s="1"/>
      <c r="B219" s="22">
        <f>IFERROR(__xludf.DUMMYFUNCTION("""COMPUTED_VALUE"""),41858.645833333336)</f>
        <v>41858.64583</v>
      </c>
      <c r="C219" s="9">
        <f>IFERROR(__xludf.DUMMYFUNCTION("""COMPUTED_VALUE"""),437.38)</f>
        <v>437.38</v>
      </c>
      <c r="D219" s="9">
        <f>IFERROR(__xludf.DUMMYFUNCTION("""COMPUTED_VALUE"""),443.05)</f>
        <v>443.05</v>
      </c>
      <c r="E219" s="9">
        <f>IFERROR(__xludf.DUMMYFUNCTION("""COMPUTED_VALUE"""),435.29)</f>
        <v>435.29</v>
      </c>
      <c r="F219" s="9">
        <f>IFERROR(__xludf.DUMMYFUNCTION("""COMPUTED_VALUE"""),438.42)</f>
        <v>438.42</v>
      </c>
      <c r="G219" s="9">
        <f>IFERROR(__xludf.DUMMYFUNCTION("""COMPUTED_VALUE"""),969278.0)</f>
        <v>969278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</row>
    <row r="220">
      <c r="A220" s="1"/>
      <c r="B220" s="22">
        <f>IFERROR(__xludf.DUMMYFUNCTION("""COMPUTED_VALUE"""),41859.645833333336)</f>
        <v>41859.64583</v>
      </c>
      <c r="C220" s="9">
        <f>IFERROR(__xludf.DUMMYFUNCTION("""COMPUTED_VALUE"""),437.5)</f>
        <v>437.5</v>
      </c>
      <c r="D220" s="9">
        <f>IFERROR(__xludf.DUMMYFUNCTION("""COMPUTED_VALUE"""),440.0)</f>
        <v>440</v>
      </c>
      <c r="E220" s="9">
        <f>IFERROR(__xludf.DUMMYFUNCTION("""COMPUTED_VALUE"""),434.38)</f>
        <v>434.38</v>
      </c>
      <c r="F220" s="9">
        <f>IFERROR(__xludf.DUMMYFUNCTION("""COMPUTED_VALUE"""),435.33)</f>
        <v>435.33</v>
      </c>
      <c r="G220" s="9">
        <f>IFERROR(__xludf.DUMMYFUNCTION("""COMPUTED_VALUE"""),476419.0)</f>
        <v>476419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</row>
    <row r="221">
      <c r="A221" s="1"/>
      <c r="B221" s="22">
        <f>IFERROR(__xludf.DUMMYFUNCTION("""COMPUTED_VALUE"""),41862.645833333336)</f>
        <v>41862.64583</v>
      </c>
      <c r="C221" s="9">
        <f>IFERROR(__xludf.DUMMYFUNCTION("""COMPUTED_VALUE"""),440.5)</f>
        <v>440.5</v>
      </c>
      <c r="D221" s="9">
        <f>IFERROR(__xludf.DUMMYFUNCTION("""COMPUTED_VALUE"""),447.96)</f>
        <v>447.96</v>
      </c>
      <c r="E221" s="9">
        <f>IFERROR(__xludf.DUMMYFUNCTION("""COMPUTED_VALUE"""),438.75)</f>
        <v>438.75</v>
      </c>
      <c r="F221" s="9">
        <f>IFERROR(__xludf.DUMMYFUNCTION("""COMPUTED_VALUE"""),446.69)</f>
        <v>446.69</v>
      </c>
      <c r="G221" s="9">
        <f>IFERROR(__xludf.DUMMYFUNCTION("""COMPUTED_VALUE"""),703584.0)</f>
        <v>703584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</row>
    <row r="222">
      <c r="A222" s="1"/>
      <c r="B222" s="22">
        <f>IFERROR(__xludf.DUMMYFUNCTION("""COMPUTED_VALUE"""),41863.645833333336)</f>
        <v>41863.64583</v>
      </c>
      <c r="C222" s="9">
        <f>IFERROR(__xludf.DUMMYFUNCTION("""COMPUTED_VALUE"""),449.88)</f>
        <v>449.88</v>
      </c>
      <c r="D222" s="9">
        <f>IFERROR(__xludf.DUMMYFUNCTION("""COMPUTED_VALUE"""),449.88)</f>
        <v>449.88</v>
      </c>
      <c r="E222" s="9">
        <f>IFERROR(__xludf.DUMMYFUNCTION("""COMPUTED_VALUE"""),442.63)</f>
        <v>442.63</v>
      </c>
      <c r="F222" s="9">
        <f>IFERROR(__xludf.DUMMYFUNCTION("""COMPUTED_VALUE"""),447.1)</f>
        <v>447.1</v>
      </c>
      <c r="G222" s="9">
        <f>IFERROR(__xludf.DUMMYFUNCTION("""COMPUTED_VALUE"""),739617.0)</f>
        <v>739617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</row>
    <row r="223">
      <c r="A223" s="1"/>
      <c r="B223" s="22">
        <f>IFERROR(__xludf.DUMMYFUNCTION("""COMPUTED_VALUE"""),41864.645833333336)</f>
        <v>41864.64583</v>
      </c>
      <c r="C223" s="9">
        <f>IFERROR(__xludf.DUMMYFUNCTION("""COMPUTED_VALUE"""),445.01)</f>
        <v>445.01</v>
      </c>
      <c r="D223" s="9">
        <f>IFERROR(__xludf.DUMMYFUNCTION("""COMPUTED_VALUE"""),453.13)</f>
        <v>453.13</v>
      </c>
      <c r="E223" s="9">
        <f>IFERROR(__xludf.DUMMYFUNCTION("""COMPUTED_VALUE"""),443.84)</f>
        <v>443.84</v>
      </c>
      <c r="F223" s="9">
        <f>IFERROR(__xludf.DUMMYFUNCTION("""COMPUTED_VALUE"""),451.05)</f>
        <v>451.05</v>
      </c>
      <c r="G223" s="9">
        <f>IFERROR(__xludf.DUMMYFUNCTION("""COMPUTED_VALUE"""),1117670.0)</f>
        <v>1117670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</row>
    <row r="224">
      <c r="A224" s="1"/>
      <c r="B224" s="22">
        <f>IFERROR(__xludf.DUMMYFUNCTION("""COMPUTED_VALUE"""),41865.645833333336)</f>
        <v>41865.64583</v>
      </c>
      <c r="C224" s="9">
        <f>IFERROR(__xludf.DUMMYFUNCTION("""COMPUTED_VALUE"""),451.0)</f>
        <v>451</v>
      </c>
      <c r="D224" s="9">
        <f>IFERROR(__xludf.DUMMYFUNCTION("""COMPUTED_VALUE"""),453.46)</f>
        <v>453.46</v>
      </c>
      <c r="E224" s="9">
        <f>IFERROR(__xludf.DUMMYFUNCTION("""COMPUTED_VALUE"""),448.33)</f>
        <v>448.33</v>
      </c>
      <c r="F224" s="9">
        <f>IFERROR(__xludf.DUMMYFUNCTION("""COMPUTED_VALUE"""),451.57)</f>
        <v>451.57</v>
      </c>
      <c r="G224" s="9">
        <f>IFERROR(__xludf.DUMMYFUNCTION("""COMPUTED_VALUE"""),845310.0)</f>
        <v>845310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</row>
    <row r="225">
      <c r="A225" s="1"/>
      <c r="B225" s="22">
        <f>IFERROR(__xludf.DUMMYFUNCTION("""COMPUTED_VALUE"""),41869.645833333336)</f>
        <v>41869.64583</v>
      </c>
      <c r="C225" s="9">
        <f>IFERROR(__xludf.DUMMYFUNCTION("""COMPUTED_VALUE"""),451.5)</f>
        <v>451.5</v>
      </c>
      <c r="D225" s="9">
        <f>IFERROR(__xludf.DUMMYFUNCTION("""COMPUTED_VALUE"""),451.5)</f>
        <v>451.5</v>
      </c>
      <c r="E225" s="9">
        <f>IFERROR(__xludf.DUMMYFUNCTION("""COMPUTED_VALUE"""),443.75)</f>
        <v>443.75</v>
      </c>
      <c r="F225" s="9">
        <f>IFERROR(__xludf.DUMMYFUNCTION("""COMPUTED_VALUE"""),444.98)</f>
        <v>444.98</v>
      </c>
      <c r="G225" s="9">
        <f>IFERROR(__xludf.DUMMYFUNCTION("""COMPUTED_VALUE"""),847236.0)</f>
        <v>847236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</row>
    <row r="226">
      <c r="A226" s="1"/>
      <c r="B226" s="22">
        <f>IFERROR(__xludf.DUMMYFUNCTION("""COMPUTED_VALUE"""),41870.645833333336)</f>
        <v>41870.64583</v>
      </c>
      <c r="C226" s="9">
        <f>IFERROR(__xludf.DUMMYFUNCTION("""COMPUTED_VALUE"""),445.13)</f>
        <v>445.13</v>
      </c>
      <c r="D226" s="9">
        <f>IFERROR(__xludf.DUMMYFUNCTION("""COMPUTED_VALUE"""),448.63)</f>
        <v>448.63</v>
      </c>
      <c r="E226" s="9">
        <f>IFERROR(__xludf.DUMMYFUNCTION("""COMPUTED_VALUE"""),441.25)</f>
        <v>441.25</v>
      </c>
      <c r="F226" s="9">
        <f>IFERROR(__xludf.DUMMYFUNCTION("""COMPUTED_VALUE"""),443.48)</f>
        <v>443.48</v>
      </c>
      <c r="G226" s="9">
        <f>IFERROR(__xludf.DUMMYFUNCTION("""COMPUTED_VALUE"""),803103.0)</f>
        <v>803103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</row>
    <row r="227">
      <c r="A227" s="1"/>
      <c r="B227" s="22">
        <f>IFERROR(__xludf.DUMMYFUNCTION("""COMPUTED_VALUE"""),41871.645833333336)</f>
        <v>41871.64583</v>
      </c>
      <c r="C227" s="9">
        <f>IFERROR(__xludf.DUMMYFUNCTION("""COMPUTED_VALUE"""),445.38)</f>
        <v>445.38</v>
      </c>
      <c r="D227" s="9">
        <f>IFERROR(__xludf.DUMMYFUNCTION("""COMPUTED_VALUE"""),447.81)</f>
        <v>447.81</v>
      </c>
      <c r="E227" s="9">
        <f>IFERROR(__xludf.DUMMYFUNCTION("""COMPUTED_VALUE"""),443.38)</f>
        <v>443.38</v>
      </c>
      <c r="F227" s="9">
        <f>IFERROR(__xludf.DUMMYFUNCTION("""COMPUTED_VALUE"""),444.32)</f>
        <v>444.32</v>
      </c>
      <c r="G227" s="9">
        <f>IFERROR(__xludf.DUMMYFUNCTION("""COMPUTED_VALUE"""),492278.0)</f>
        <v>492278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</row>
    <row r="228">
      <c r="A228" s="1"/>
      <c r="B228" s="22">
        <f>IFERROR(__xludf.DUMMYFUNCTION("""COMPUTED_VALUE"""),41872.645833333336)</f>
        <v>41872.64583</v>
      </c>
      <c r="C228" s="9">
        <f>IFERROR(__xludf.DUMMYFUNCTION("""COMPUTED_VALUE"""),444.53)</f>
        <v>444.53</v>
      </c>
      <c r="D228" s="9">
        <f>IFERROR(__xludf.DUMMYFUNCTION("""COMPUTED_VALUE"""),445.43)</f>
        <v>445.43</v>
      </c>
      <c r="E228" s="9">
        <f>IFERROR(__xludf.DUMMYFUNCTION("""COMPUTED_VALUE"""),441.25)</f>
        <v>441.25</v>
      </c>
      <c r="F228" s="9">
        <f>IFERROR(__xludf.DUMMYFUNCTION("""COMPUTED_VALUE"""),443.62)</f>
        <v>443.62</v>
      </c>
      <c r="G228" s="9">
        <f>IFERROR(__xludf.DUMMYFUNCTION("""COMPUTED_VALUE"""),537360.0)</f>
        <v>537360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</row>
    <row r="229">
      <c r="A229" s="1"/>
      <c r="B229" s="22">
        <f>IFERROR(__xludf.DUMMYFUNCTION("""COMPUTED_VALUE"""),41873.645833333336)</f>
        <v>41873.64583</v>
      </c>
      <c r="C229" s="9">
        <f>IFERROR(__xludf.DUMMYFUNCTION("""COMPUTED_VALUE"""),443.62)</f>
        <v>443.62</v>
      </c>
      <c r="D229" s="9">
        <f>IFERROR(__xludf.DUMMYFUNCTION("""COMPUTED_VALUE"""),451.0)</f>
        <v>451</v>
      </c>
      <c r="E229" s="9">
        <f>IFERROR(__xludf.DUMMYFUNCTION("""COMPUTED_VALUE"""),443.5)</f>
        <v>443.5</v>
      </c>
      <c r="F229" s="9">
        <f>IFERROR(__xludf.DUMMYFUNCTION("""COMPUTED_VALUE"""),450.13)</f>
        <v>450.13</v>
      </c>
      <c r="G229" s="9">
        <f>IFERROR(__xludf.DUMMYFUNCTION("""COMPUTED_VALUE"""),606880.0)</f>
        <v>606880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</row>
    <row r="230">
      <c r="A230" s="1"/>
      <c r="B230" s="22">
        <f>IFERROR(__xludf.DUMMYFUNCTION("""COMPUTED_VALUE"""),41876.645833333336)</f>
        <v>41876.64583</v>
      </c>
      <c r="C230" s="9">
        <f>IFERROR(__xludf.DUMMYFUNCTION("""COMPUTED_VALUE"""),449.88)</f>
        <v>449.88</v>
      </c>
      <c r="D230" s="9">
        <f>IFERROR(__xludf.DUMMYFUNCTION("""COMPUTED_VALUE"""),454.46)</f>
        <v>454.46</v>
      </c>
      <c r="E230" s="9">
        <f>IFERROR(__xludf.DUMMYFUNCTION("""COMPUTED_VALUE"""),445.26)</f>
        <v>445.26</v>
      </c>
      <c r="F230" s="9">
        <f>IFERROR(__xludf.DUMMYFUNCTION("""COMPUTED_VALUE"""),453.48)</f>
        <v>453.48</v>
      </c>
      <c r="G230" s="9">
        <f>IFERROR(__xludf.DUMMYFUNCTION("""COMPUTED_VALUE"""),524794.0)</f>
        <v>524794</v>
      </c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</row>
    <row r="231">
      <c r="A231" s="1"/>
      <c r="B231" s="22">
        <f>IFERROR(__xludf.DUMMYFUNCTION("""COMPUTED_VALUE"""),41877.645833333336)</f>
        <v>41877.64583</v>
      </c>
      <c r="C231" s="9">
        <f>IFERROR(__xludf.DUMMYFUNCTION("""COMPUTED_VALUE"""),452.75)</f>
        <v>452.75</v>
      </c>
      <c r="D231" s="9">
        <f>IFERROR(__xludf.DUMMYFUNCTION("""COMPUTED_VALUE"""),455.0)</f>
        <v>455</v>
      </c>
      <c r="E231" s="9">
        <f>IFERROR(__xludf.DUMMYFUNCTION("""COMPUTED_VALUE"""),450.0)</f>
        <v>450</v>
      </c>
      <c r="F231" s="9">
        <f>IFERROR(__xludf.DUMMYFUNCTION("""COMPUTED_VALUE"""),453.02)</f>
        <v>453.02</v>
      </c>
      <c r="G231" s="9">
        <f>IFERROR(__xludf.DUMMYFUNCTION("""COMPUTED_VALUE"""),730266.0)</f>
        <v>730266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</row>
    <row r="232">
      <c r="A232" s="1"/>
      <c r="B232" s="22">
        <f>IFERROR(__xludf.DUMMYFUNCTION("""COMPUTED_VALUE"""),41878.645833333336)</f>
        <v>41878.64583</v>
      </c>
      <c r="C232" s="9">
        <f>IFERROR(__xludf.DUMMYFUNCTION("""COMPUTED_VALUE"""),453.75)</f>
        <v>453.75</v>
      </c>
      <c r="D232" s="9">
        <f>IFERROR(__xludf.DUMMYFUNCTION("""COMPUTED_VALUE"""),456.25)</f>
        <v>456.25</v>
      </c>
      <c r="E232" s="9">
        <f>IFERROR(__xludf.DUMMYFUNCTION("""COMPUTED_VALUE"""),450.14)</f>
        <v>450.14</v>
      </c>
      <c r="F232" s="9">
        <f>IFERROR(__xludf.DUMMYFUNCTION("""COMPUTED_VALUE"""),453.82)</f>
        <v>453.82</v>
      </c>
      <c r="G232" s="9">
        <f>IFERROR(__xludf.DUMMYFUNCTION("""COMPUTED_VALUE"""),696234.0)</f>
        <v>696234</v>
      </c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</row>
    <row r="233">
      <c r="A233" s="1"/>
      <c r="B233" s="22">
        <f>IFERROR(__xludf.DUMMYFUNCTION("""COMPUTED_VALUE"""),41879.645833333336)</f>
        <v>41879.64583</v>
      </c>
      <c r="C233" s="9">
        <f>IFERROR(__xludf.DUMMYFUNCTION("""COMPUTED_VALUE"""),453.63)</f>
        <v>453.63</v>
      </c>
      <c r="D233" s="9">
        <f>IFERROR(__xludf.DUMMYFUNCTION("""COMPUTED_VALUE"""),454.21)</f>
        <v>454.21</v>
      </c>
      <c r="E233" s="9">
        <f>IFERROR(__xludf.DUMMYFUNCTION("""COMPUTED_VALUE"""),447.65)</f>
        <v>447.65</v>
      </c>
      <c r="F233" s="9">
        <f>IFERROR(__xludf.DUMMYFUNCTION("""COMPUTED_VALUE"""),449.85)</f>
        <v>449.85</v>
      </c>
      <c r="G233" s="9">
        <f>IFERROR(__xludf.DUMMYFUNCTION("""COMPUTED_VALUE"""),949913.0)</f>
        <v>949913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</row>
    <row r="234">
      <c r="A234" s="1"/>
      <c r="B234" s="22">
        <f>IFERROR(__xludf.DUMMYFUNCTION("""COMPUTED_VALUE"""),41883.645833333336)</f>
        <v>41883.64583</v>
      </c>
      <c r="C234" s="9">
        <f>IFERROR(__xludf.DUMMYFUNCTION("""COMPUTED_VALUE"""),451.26)</f>
        <v>451.26</v>
      </c>
      <c r="D234" s="9">
        <f>IFERROR(__xludf.DUMMYFUNCTION("""COMPUTED_VALUE"""),452.36)</f>
        <v>452.36</v>
      </c>
      <c r="E234" s="9">
        <f>IFERROR(__xludf.DUMMYFUNCTION("""COMPUTED_VALUE"""),448.13)</f>
        <v>448.13</v>
      </c>
      <c r="F234" s="9">
        <f>IFERROR(__xludf.DUMMYFUNCTION("""COMPUTED_VALUE"""),449.96)</f>
        <v>449.96</v>
      </c>
      <c r="G234" s="9">
        <f>IFERROR(__xludf.DUMMYFUNCTION("""COMPUTED_VALUE"""),455394.0)</f>
        <v>455394</v>
      </c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</row>
    <row r="235">
      <c r="A235" s="1"/>
      <c r="B235" s="22">
        <f>IFERROR(__xludf.DUMMYFUNCTION("""COMPUTED_VALUE"""),41884.645833333336)</f>
        <v>41884.64583</v>
      </c>
      <c r="C235" s="9">
        <f>IFERROR(__xludf.DUMMYFUNCTION("""COMPUTED_VALUE"""),450.0)</f>
        <v>450</v>
      </c>
      <c r="D235" s="9">
        <f>IFERROR(__xludf.DUMMYFUNCTION("""COMPUTED_VALUE"""),453.13)</f>
        <v>453.13</v>
      </c>
      <c r="E235" s="9">
        <f>IFERROR(__xludf.DUMMYFUNCTION("""COMPUTED_VALUE"""),444.44)</f>
        <v>444.44</v>
      </c>
      <c r="F235" s="9">
        <f>IFERROR(__xludf.DUMMYFUNCTION("""COMPUTED_VALUE"""),451.72)</f>
        <v>451.72</v>
      </c>
      <c r="G235" s="9">
        <f>IFERROR(__xludf.DUMMYFUNCTION("""COMPUTED_VALUE"""),447979.0)</f>
        <v>447979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</row>
    <row r="236">
      <c r="A236" s="1"/>
      <c r="B236" s="22">
        <f>IFERROR(__xludf.DUMMYFUNCTION("""COMPUTED_VALUE"""),41885.645833333336)</f>
        <v>41885.64583</v>
      </c>
      <c r="C236" s="9">
        <f>IFERROR(__xludf.DUMMYFUNCTION("""COMPUTED_VALUE"""),451.25)</f>
        <v>451.25</v>
      </c>
      <c r="D236" s="9">
        <f>IFERROR(__xludf.DUMMYFUNCTION("""COMPUTED_VALUE"""),468.3)</f>
        <v>468.3</v>
      </c>
      <c r="E236" s="9">
        <f>IFERROR(__xludf.DUMMYFUNCTION("""COMPUTED_VALUE"""),451.25)</f>
        <v>451.25</v>
      </c>
      <c r="F236" s="9">
        <f>IFERROR(__xludf.DUMMYFUNCTION("""COMPUTED_VALUE"""),466.78)</f>
        <v>466.78</v>
      </c>
      <c r="G236" s="9">
        <f>IFERROR(__xludf.DUMMYFUNCTION("""COMPUTED_VALUE"""),1482195.0)</f>
        <v>1482195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</row>
    <row r="237">
      <c r="A237" s="1"/>
      <c r="B237" s="22">
        <f>IFERROR(__xludf.DUMMYFUNCTION("""COMPUTED_VALUE"""),41886.645833333336)</f>
        <v>41886.64583</v>
      </c>
      <c r="C237" s="9">
        <f>IFERROR(__xludf.DUMMYFUNCTION("""COMPUTED_VALUE"""),465.63)</f>
        <v>465.63</v>
      </c>
      <c r="D237" s="9">
        <f>IFERROR(__xludf.DUMMYFUNCTION("""COMPUTED_VALUE"""),465.63)</f>
        <v>465.63</v>
      </c>
      <c r="E237" s="9">
        <f>IFERROR(__xludf.DUMMYFUNCTION("""COMPUTED_VALUE"""),462.23)</f>
        <v>462.23</v>
      </c>
      <c r="F237" s="9">
        <f>IFERROR(__xludf.DUMMYFUNCTION("""COMPUTED_VALUE"""),463.59)</f>
        <v>463.59</v>
      </c>
      <c r="G237" s="9">
        <f>IFERROR(__xludf.DUMMYFUNCTION("""COMPUTED_VALUE"""),779808.0)</f>
        <v>779808</v>
      </c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</row>
    <row r="238">
      <c r="A238" s="1"/>
      <c r="B238" s="22">
        <f>IFERROR(__xludf.DUMMYFUNCTION("""COMPUTED_VALUE"""),41887.645833333336)</f>
        <v>41887.64583</v>
      </c>
      <c r="C238" s="9">
        <f>IFERROR(__xludf.DUMMYFUNCTION("""COMPUTED_VALUE"""),466.5)</f>
        <v>466.5</v>
      </c>
      <c r="D238" s="9">
        <f>IFERROR(__xludf.DUMMYFUNCTION("""COMPUTED_VALUE"""),474.38)</f>
        <v>474.38</v>
      </c>
      <c r="E238" s="9">
        <f>IFERROR(__xludf.DUMMYFUNCTION("""COMPUTED_VALUE"""),463.17)</f>
        <v>463.17</v>
      </c>
      <c r="F238" s="9">
        <f>IFERROR(__xludf.DUMMYFUNCTION("""COMPUTED_VALUE"""),466.34)</f>
        <v>466.34</v>
      </c>
      <c r="G238" s="9">
        <f>IFERROR(__xludf.DUMMYFUNCTION("""COMPUTED_VALUE"""),808544.0)</f>
        <v>808544</v>
      </c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</row>
    <row r="239">
      <c r="A239" s="1"/>
      <c r="B239" s="22">
        <f>IFERROR(__xludf.DUMMYFUNCTION("""COMPUTED_VALUE"""),41890.645833333336)</f>
        <v>41890.64583</v>
      </c>
      <c r="C239" s="9">
        <f>IFERROR(__xludf.DUMMYFUNCTION("""COMPUTED_VALUE"""),466.59)</f>
        <v>466.59</v>
      </c>
      <c r="D239" s="9">
        <f>IFERROR(__xludf.DUMMYFUNCTION("""COMPUTED_VALUE"""),473.81)</f>
        <v>473.81</v>
      </c>
      <c r="E239" s="9">
        <f>IFERROR(__xludf.DUMMYFUNCTION("""COMPUTED_VALUE"""),466.59)</f>
        <v>466.59</v>
      </c>
      <c r="F239" s="9">
        <f>IFERROR(__xludf.DUMMYFUNCTION("""COMPUTED_VALUE"""),472.71)</f>
        <v>472.71</v>
      </c>
      <c r="G239" s="9">
        <f>IFERROR(__xludf.DUMMYFUNCTION("""COMPUTED_VALUE"""),814662.0)</f>
        <v>814662</v>
      </c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</row>
    <row r="240">
      <c r="A240" s="1"/>
      <c r="B240" s="22">
        <f>IFERROR(__xludf.DUMMYFUNCTION("""COMPUTED_VALUE"""),41891.645833333336)</f>
        <v>41891.64583</v>
      </c>
      <c r="C240" s="9">
        <f>IFERROR(__xludf.DUMMYFUNCTION("""COMPUTED_VALUE"""),468.5)</f>
        <v>468.5</v>
      </c>
      <c r="D240" s="9">
        <f>IFERROR(__xludf.DUMMYFUNCTION("""COMPUTED_VALUE"""),469.43)</f>
        <v>469.43</v>
      </c>
      <c r="E240" s="9">
        <f>IFERROR(__xludf.DUMMYFUNCTION("""COMPUTED_VALUE"""),465.0)</f>
        <v>465</v>
      </c>
      <c r="F240" s="9">
        <f>IFERROR(__xludf.DUMMYFUNCTION("""COMPUTED_VALUE"""),467.01)</f>
        <v>467.01</v>
      </c>
      <c r="G240" s="9">
        <f>IFERROR(__xludf.DUMMYFUNCTION("""COMPUTED_VALUE"""),539600.0)</f>
        <v>539600</v>
      </c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</row>
    <row r="241">
      <c r="A241" s="1"/>
      <c r="B241" s="22">
        <f>IFERROR(__xludf.DUMMYFUNCTION("""COMPUTED_VALUE"""),41892.645833333336)</f>
        <v>41892.64583</v>
      </c>
      <c r="C241" s="9">
        <f>IFERROR(__xludf.DUMMYFUNCTION("""COMPUTED_VALUE"""),463.5)</f>
        <v>463.5</v>
      </c>
      <c r="D241" s="9">
        <f>IFERROR(__xludf.DUMMYFUNCTION("""COMPUTED_VALUE"""),463.5)</f>
        <v>463.5</v>
      </c>
      <c r="E241" s="9">
        <f>IFERROR(__xludf.DUMMYFUNCTION("""COMPUTED_VALUE"""),457.5)</f>
        <v>457.5</v>
      </c>
      <c r="F241" s="9">
        <f>IFERROR(__xludf.DUMMYFUNCTION("""COMPUTED_VALUE"""),458.41)</f>
        <v>458.41</v>
      </c>
      <c r="G241" s="9">
        <f>IFERROR(__xludf.DUMMYFUNCTION("""COMPUTED_VALUE"""),635094.0)</f>
        <v>635094</v>
      </c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</row>
    <row r="242">
      <c r="A242" s="1"/>
      <c r="B242" s="22">
        <f>IFERROR(__xludf.DUMMYFUNCTION("""COMPUTED_VALUE"""),41893.645833333336)</f>
        <v>41893.64583</v>
      </c>
      <c r="C242" s="9">
        <f>IFERROR(__xludf.DUMMYFUNCTION("""COMPUTED_VALUE"""),459.25)</f>
        <v>459.25</v>
      </c>
      <c r="D242" s="9">
        <f>IFERROR(__xludf.DUMMYFUNCTION("""COMPUTED_VALUE"""),462.46)</f>
        <v>462.46</v>
      </c>
      <c r="E242" s="9">
        <f>IFERROR(__xludf.DUMMYFUNCTION("""COMPUTED_VALUE"""),453.83)</f>
        <v>453.83</v>
      </c>
      <c r="F242" s="9">
        <f>IFERROR(__xludf.DUMMYFUNCTION("""COMPUTED_VALUE"""),460.52)</f>
        <v>460.52</v>
      </c>
      <c r="G242" s="9">
        <f>IFERROR(__xludf.DUMMYFUNCTION("""COMPUTED_VALUE"""),626629.0)</f>
        <v>626629</v>
      </c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</row>
    <row r="243">
      <c r="A243" s="1"/>
      <c r="B243" s="22">
        <f>IFERROR(__xludf.DUMMYFUNCTION("""COMPUTED_VALUE"""),41894.645833333336)</f>
        <v>41894.64583</v>
      </c>
      <c r="C243" s="9">
        <f>IFERROR(__xludf.DUMMYFUNCTION("""COMPUTED_VALUE"""),461.0)</f>
        <v>461</v>
      </c>
      <c r="D243" s="9">
        <f>IFERROR(__xludf.DUMMYFUNCTION("""COMPUTED_VALUE"""),463.5)</f>
        <v>463.5</v>
      </c>
      <c r="E243" s="9">
        <f>IFERROR(__xludf.DUMMYFUNCTION("""COMPUTED_VALUE"""),456.25)</f>
        <v>456.25</v>
      </c>
      <c r="F243" s="9">
        <f>IFERROR(__xludf.DUMMYFUNCTION("""COMPUTED_VALUE"""),458.74)</f>
        <v>458.74</v>
      </c>
      <c r="G243" s="9">
        <f>IFERROR(__xludf.DUMMYFUNCTION("""COMPUTED_VALUE"""),488444.0)</f>
        <v>488444</v>
      </c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</row>
    <row r="244">
      <c r="A244" s="1"/>
      <c r="B244" s="22">
        <f>IFERROR(__xludf.DUMMYFUNCTION("""COMPUTED_VALUE"""),41897.645833333336)</f>
        <v>41897.64583</v>
      </c>
      <c r="C244" s="9">
        <f>IFERROR(__xludf.DUMMYFUNCTION("""COMPUTED_VALUE"""),458.13)</f>
        <v>458.13</v>
      </c>
      <c r="D244" s="9">
        <f>IFERROR(__xludf.DUMMYFUNCTION("""COMPUTED_VALUE"""),458.5)</f>
        <v>458.5</v>
      </c>
      <c r="E244" s="9">
        <f>IFERROR(__xludf.DUMMYFUNCTION("""COMPUTED_VALUE"""),453.41)</f>
        <v>453.41</v>
      </c>
      <c r="F244" s="9">
        <f>IFERROR(__xludf.DUMMYFUNCTION("""COMPUTED_VALUE"""),455.16)</f>
        <v>455.16</v>
      </c>
      <c r="G244" s="9">
        <f>IFERROR(__xludf.DUMMYFUNCTION("""COMPUTED_VALUE"""),619850.0)</f>
        <v>619850</v>
      </c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</row>
    <row r="245">
      <c r="A245" s="1"/>
      <c r="B245" s="22">
        <f>IFERROR(__xludf.DUMMYFUNCTION("""COMPUTED_VALUE"""),41898.645833333336)</f>
        <v>41898.64583</v>
      </c>
      <c r="C245" s="9">
        <f>IFERROR(__xludf.DUMMYFUNCTION("""COMPUTED_VALUE"""),455.75)</f>
        <v>455.75</v>
      </c>
      <c r="D245" s="9">
        <f>IFERROR(__xludf.DUMMYFUNCTION("""COMPUTED_VALUE"""),461.31)</f>
        <v>461.31</v>
      </c>
      <c r="E245" s="9">
        <f>IFERROR(__xludf.DUMMYFUNCTION("""COMPUTED_VALUE"""),452.95)</f>
        <v>452.95</v>
      </c>
      <c r="F245" s="9">
        <f>IFERROR(__xludf.DUMMYFUNCTION("""COMPUTED_VALUE"""),456.41)</f>
        <v>456.41</v>
      </c>
      <c r="G245" s="9">
        <f>IFERROR(__xludf.DUMMYFUNCTION("""COMPUTED_VALUE"""),629363.0)</f>
        <v>629363</v>
      </c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</row>
    <row r="246">
      <c r="A246" s="1"/>
      <c r="B246" s="22">
        <f>IFERROR(__xludf.DUMMYFUNCTION("""COMPUTED_VALUE"""),41899.645833333336)</f>
        <v>41899.64583</v>
      </c>
      <c r="C246" s="9">
        <f>IFERROR(__xludf.DUMMYFUNCTION("""COMPUTED_VALUE"""),459.99)</f>
        <v>459.99</v>
      </c>
      <c r="D246" s="9">
        <f>IFERROR(__xludf.DUMMYFUNCTION("""COMPUTED_VALUE"""),468.51)</f>
        <v>468.51</v>
      </c>
      <c r="E246" s="9">
        <f>IFERROR(__xludf.DUMMYFUNCTION("""COMPUTED_VALUE"""),458.89)</f>
        <v>458.89</v>
      </c>
      <c r="F246" s="9">
        <f>IFERROR(__xludf.DUMMYFUNCTION("""COMPUTED_VALUE"""),467.63)</f>
        <v>467.63</v>
      </c>
      <c r="G246" s="9">
        <f>IFERROR(__xludf.DUMMYFUNCTION("""COMPUTED_VALUE"""),990765.0)</f>
        <v>990765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</row>
    <row r="247">
      <c r="A247" s="1"/>
      <c r="B247" s="22">
        <f>IFERROR(__xludf.DUMMYFUNCTION("""COMPUTED_VALUE"""),41900.645833333336)</f>
        <v>41900.64583</v>
      </c>
      <c r="C247" s="9">
        <f>IFERROR(__xludf.DUMMYFUNCTION("""COMPUTED_VALUE"""),459.24)</f>
        <v>459.24</v>
      </c>
      <c r="D247" s="9">
        <f>IFERROR(__xludf.DUMMYFUNCTION("""COMPUTED_VALUE"""),466.21)</f>
        <v>466.21</v>
      </c>
      <c r="E247" s="9">
        <f>IFERROR(__xludf.DUMMYFUNCTION("""COMPUTED_VALUE"""),456.81)</f>
        <v>456.81</v>
      </c>
      <c r="F247" s="9">
        <f>IFERROR(__xludf.DUMMYFUNCTION("""COMPUTED_VALUE"""),462.13)</f>
        <v>462.13</v>
      </c>
      <c r="G247" s="9">
        <f>IFERROR(__xludf.DUMMYFUNCTION("""COMPUTED_VALUE"""),1138097.0)</f>
        <v>1138097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</row>
    <row r="248">
      <c r="A248" s="1"/>
      <c r="B248" s="22">
        <f>IFERROR(__xludf.DUMMYFUNCTION("""COMPUTED_VALUE"""),41901.645833333336)</f>
        <v>41901.64583</v>
      </c>
      <c r="C248" s="9">
        <f>IFERROR(__xludf.DUMMYFUNCTION("""COMPUTED_VALUE"""),462.38)</f>
        <v>462.38</v>
      </c>
      <c r="D248" s="9">
        <f>IFERROR(__xludf.DUMMYFUNCTION("""COMPUTED_VALUE"""),473.49)</f>
        <v>473.49</v>
      </c>
      <c r="E248" s="9">
        <f>IFERROR(__xludf.DUMMYFUNCTION("""COMPUTED_VALUE"""),460.16)</f>
        <v>460.16</v>
      </c>
      <c r="F248" s="9">
        <f>IFERROR(__xludf.DUMMYFUNCTION("""COMPUTED_VALUE"""),462.76)</f>
        <v>462.76</v>
      </c>
      <c r="G248" s="9">
        <f>IFERROR(__xludf.DUMMYFUNCTION("""COMPUTED_VALUE"""),1844377.0)</f>
        <v>1844377</v>
      </c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</row>
    <row r="249">
      <c r="A249" s="1"/>
      <c r="B249" s="22">
        <f>IFERROR(__xludf.DUMMYFUNCTION("""COMPUTED_VALUE"""),41904.645833333336)</f>
        <v>41904.64583</v>
      </c>
      <c r="C249" s="9">
        <f>IFERROR(__xludf.DUMMYFUNCTION("""COMPUTED_VALUE"""),460.0)</f>
        <v>460</v>
      </c>
      <c r="D249" s="9">
        <f>IFERROR(__xludf.DUMMYFUNCTION("""COMPUTED_VALUE"""),460.34)</f>
        <v>460.34</v>
      </c>
      <c r="E249" s="9">
        <f>IFERROR(__xludf.DUMMYFUNCTION("""COMPUTED_VALUE"""),454.0)</f>
        <v>454</v>
      </c>
      <c r="F249" s="9">
        <f>IFERROR(__xludf.DUMMYFUNCTION("""COMPUTED_VALUE"""),456.33)</f>
        <v>456.33</v>
      </c>
      <c r="G249" s="9">
        <f>IFERROR(__xludf.DUMMYFUNCTION("""COMPUTED_VALUE"""),1076505.0)</f>
        <v>1076505</v>
      </c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</row>
    <row r="250">
      <c r="A250" s="1"/>
      <c r="B250" s="22">
        <f>IFERROR(__xludf.DUMMYFUNCTION("""COMPUTED_VALUE"""),41905.645833333336)</f>
        <v>41905.64583</v>
      </c>
      <c r="C250" s="9">
        <f>IFERROR(__xludf.DUMMYFUNCTION("""COMPUTED_VALUE"""),455.63)</f>
        <v>455.63</v>
      </c>
      <c r="D250" s="9">
        <f>IFERROR(__xludf.DUMMYFUNCTION("""COMPUTED_VALUE"""),460.43)</f>
        <v>460.43</v>
      </c>
      <c r="E250" s="9">
        <f>IFERROR(__xludf.DUMMYFUNCTION("""COMPUTED_VALUE"""),449.44)</f>
        <v>449.44</v>
      </c>
      <c r="F250" s="9">
        <f>IFERROR(__xludf.DUMMYFUNCTION("""COMPUTED_VALUE"""),450.89)</f>
        <v>450.89</v>
      </c>
      <c r="G250" s="9">
        <f>IFERROR(__xludf.DUMMYFUNCTION("""COMPUTED_VALUE"""),1620288.0)</f>
        <v>1620288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</row>
    <row r="251">
      <c r="A251" s="1"/>
      <c r="B251" s="22">
        <f>IFERROR(__xludf.DUMMYFUNCTION("""COMPUTED_VALUE"""),41906.645833333336)</f>
        <v>41906.64583</v>
      </c>
      <c r="C251" s="9">
        <f>IFERROR(__xludf.DUMMYFUNCTION("""COMPUTED_VALUE"""),453.75)</f>
        <v>453.75</v>
      </c>
      <c r="D251" s="9">
        <f>IFERROR(__xludf.DUMMYFUNCTION("""COMPUTED_VALUE"""),459.03)</f>
        <v>459.03</v>
      </c>
      <c r="E251" s="9">
        <f>IFERROR(__xludf.DUMMYFUNCTION("""COMPUTED_VALUE"""),449.78)</f>
        <v>449.78</v>
      </c>
      <c r="F251" s="9">
        <f>IFERROR(__xludf.DUMMYFUNCTION("""COMPUTED_VALUE"""),455.6)</f>
        <v>455.6</v>
      </c>
      <c r="G251" s="9">
        <f>IFERROR(__xludf.DUMMYFUNCTION("""COMPUTED_VALUE"""),695570.0)</f>
        <v>695570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</row>
    <row r="252">
      <c r="A252" s="1"/>
      <c r="B252" s="22">
        <f>IFERROR(__xludf.DUMMYFUNCTION("""COMPUTED_VALUE"""),41907.645833333336)</f>
        <v>41907.64583</v>
      </c>
      <c r="C252" s="9">
        <f>IFERROR(__xludf.DUMMYFUNCTION("""COMPUTED_VALUE"""),456.25)</f>
        <v>456.25</v>
      </c>
      <c r="D252" s="9">
        <f>IFERROR(__xludf.DUMMYFUNCTION("""COMPUTED_VALUE"""),464.85)</f>
        <v>464.85</v>
      </c>
      <c r="E252" s="9">
        <f>IFERROR(__xludf.DUMMYFUNCTION("""COMPUTED_VALUE"""),455.75)</f>
        <v>455.75</v>
      </c>
      <c r="F252" s="9">
        <f>IFERROR(__xludf.DUMMYFUNCTION("""COMPUTED_VALUE"""),461.38)</f>
        <v>461.38</v>
      </c>
      <c r="G252" s="9">
        <f>IFERROR(__xludf.DUMMYFUNCTION("""COMPUTED_VALUE"""),3121939.0)</f>
        <v>3121939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</row>
    <row r="253">
      <c r="A253" s="1"/>
      <c r="B253" s="22">
        <f>IFERROR(__xludf.DUMMYFUNCTION("""COMPUTED_VALUE"""),41908.645833333336)</f>
        <v>41908.64583</v>
      </c>
      <c r="C253" s="9">
        <f>IFERROR(__xludf.DUMMYFUNCTION("""COMPUTED_VALUE"""),460.63)</f>
        <v>460.63</v>
      </c>
      <c r="D253" s="9">
        <f>IFERROR(__xludf.DUMMYFUNCTION("""COMPUTED_VALUE"""),465.03)</f>
        <v>465.03</v>
      </c>
      <c r="E253" s="9">
        <f>IFERROR(__xludf.DUMMYFUNCTION("""COMPUTED_VALUE"""),457.56)</f>
        <v>457.56</v>
      </c>
      <c r="F253" s="9">
        <f>IFERROR(__xludf.DUMMYFUNCTION("""COMPUTED_VALUE"""),460.02)</f>
        <v>460.02</v>
      </c>
      <c r="G253" s="9">
        <f>IFERROR(__xludf.DUMMYFUNCTION("""COMPUTED_VALUE"""),1108105.0)</f>
        <v>1108105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</row>
    <row r="254">
      <c r="A254" s="1"/>
      <c r="B254" s="22">
        <f>IFERROR(__xludf.DUMMYFUNCTION("""COMPUTED_VALUE"""),41911.645833333336)</f>
        <v>41911.64583</v>
      </c>
      <c r="C254" s="9">
        <f>IFERROR(__xludf.DUMMYFUNCTION("""COMPUTED_VALUE"""),462.63)</f>
        <v>462.63</v>
      </c>
      <c r="D254" s="9">
        <f>IFERROR(__xludf.DUMMYFUNCTION("""COMPUTED_VALUE"""),470.12)</f>
        <v>470.12</v>
      </c>
      <c r="E254" s="9">
        <f>IFERROR(__xludf.DUMMYFUNCTION("""COMPUTED_VALUE"""),460.14)</f>
        <v>460.14</v>
      </c>
      <c r="F254" s="9">
        <f>IFERROR(__xludf.DUMMYFUNCTION("""COMPUTED_VALUE"""),468.63)</f>
        <v>468.63</v>
      </c>
      <c r="G254" s="9">
        <f>IFERROR(__xludf.DUMMYFUNCTION("""COMPUTED_VALUE"""),624518.0)</f>
        <v>624518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</row>
    <row r="255">
      <c r="A255" s="1"/>
      <c r="B255" s="22">
        <f>IFERROR(__xludf.DUMMYFUNCTION("""COMPUTED_VALUE"""),41912.645833333336)</f>
        <v>41912.64583</v>
      </c>
      <c r="C255" s="9">
        <f>IFERROR(__xludf.DUMMYFUNCTION("""COMPUTED_VALUE"""),468.03)</f>
        <v>468.03</v>
      </c>
      <c r="D255" s="9">
        <f>IFERROR(__xludf.DUMMYFUNCTION("""COMPUTED_VALUE"""),469.54)</f>
        <v>469.54</v>
      </c>
      <c r="E255" s="9">
        <f>IFERROR(__xludf.DUMMYFUNCTION("""COMPUTED_VALUE"""),462.64)</f>
        <v>462.64</v>
      </c>
      <c r="F255" s="9">
        <f>IFERROR(__xludf.DUMMYFUNCTION("""COMPUTED_VALUE"""),468.47)</f>
        <v>468.47</v>
      </c>
      <c r="G255" s="9">
        <f>IFERROR(__xludf.DUMMYFUNCTION("""COMPUTED_VALUE"""),865921.0)</f>
        <v>865921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</row>
    <row r="256">
      <c r="A256" s="1"/>
      <c r="B256" s="22">
        <f>IFERROR(__xludf.DUMMYFUNCTION("""COMPUTED_VALUE"""),41913.645833333336)</f>
        <v>41913.64583</v>
      </c>
      <c r="C256" s="9">
        <f>IFERROR(__xludf.DUMMYFUNCTION("""COMPUTED_VALUE"""),465.25)</f>
        <v>465.25</v>
      </c>
      <c r="D256" s="9">
        <f>IFERROR(__xludf.DUMMYFUNCTION("""COMPUTED_VALUE"""),482.49)</f>
        <v>482.49</v>
      </c>
      <c r="E256" s="9">
        <f>IFERROR(__xludf.DUMMYFUNCTION("""COMPUTED_VALUE"""),465.25)</f>
        <v>465.25</v>
      </c>
      <c r="F256" s="9">
        <f>IFERROR(__xludf.DUMMYFUNCTION("""COMPUTED_VALUE"""),480.91)</f>
        <v>480.91</v>
      </c>
      <c r="G256" s="9">
        <f>IFERROR(__xludf.DUMMYFUNCTION("""COMPUTED_VALUE"""),1183858.0)</f>
        <v>1183858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</row>
    <row r="257">
      <c r="A257" s="1"/>
      <c r="B257" s="22">
        <f>IFERROR(__xludf.DUMMYFUNCTION("""COMPUTED_VALUE"""),41919.645833333336)</f>
        <v>41919.64583</v>
      </c>
      <c r="C257" s="9">
        <f>IFERROR(__xludf.DUMMYFUNCTION("""COMPUTED_VALUE"""),471.16)</f>
        <v>471.16</v>
      </c>
      <c r="D257" s="9">
        <f>IFERROR(__xludf.DUMMYFUNCTION("""COMPUTED_VALUE"""),486.62)</f>
        <v>486.62</v>
      </c>
      <c r="E257" s="9">
        <f>IFERROR(__xludf.DUMMYFUNCTION("""COMPUTED_VALUE"""),471.16)</f>
        <v>471.16</v>
      </c>
      <c r="F257" s="9">
        <f>IFERROR(__xludf.DUMMYFUNCTION("""COMPUTED_VALUE"""),478.91)</f>
        <v>478.91</v>
      </c>
      <c r="G257" s="9">
        <f>IFERROR(__xludf.DUMMYFUNCTION("""COMPUTED_VALUE"""),2507932.0)</f>
        <v>2507932</v>
      </c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</row>
    <row r="258">
      <c r="A258" s="1"/>
      <c r="B258" s="22">
        <f>IFERROR(__xludf.DUMMYFUNCTION("""COMPUTED_VALUE"""),41920.645833333336)</f>
        <v>41920.64583</v>
      </c>
      <c r="C258" s="9">
        <f>IFERROR(__xludf.DUMMYFUNCTION("""COMPUTED_VALUE"""),473.13)</f>
        <v>473.13</v>
      </c>
      <c r="D258" s="9">
        <f>IFERROR(__xludf.DUMMYFUNCTION("""COMPUTED_VALUE"""),474.0)</f>
        <v>474</v>
      </c>
      <c r="E258" s="9">
        <f>IFERROR(__xludf.DUMMYFUNCTION("""COMPUTED_VALUE"""),455.13)</f>
        <v>455.13</v>
      </c>
      <c r="F258" s="9">
        <f>IFERROR(__xludf.DUMMYFUNCTION("""COMPUTED_VALUE"""),456.27)</f>
        <v>456.27</v>
      </c>
      <c r="G258" s="9">
        <f>IFERROR(__xludf.DUMMYFUNCTION("""COMPUTED_VALUE"""),2540960.0)</f>
        <v>2540960</v>
      </c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</row>
    <row r="259">
      <c r="A259" s="1"/>
      <c r="B259" s="22">
        <f>IFERROR(__xludf.DUMMYFUNCTION("""COMPUTED_VALUE"""),41921.645833333336)</f>
        <v>41921.64583</v>
      </c>
      <c r="C259" s="9">
        <f>IFERROR(__xludf.DUMMYFUNCTION("""COMPUTED_VALUE"""),462.5)</f>
        <v>462.5</v>
      </c>
      <c r="D259" s="9">
        <f>IFERROR(__xludf.DUMMYFUNCTION("""COMPUTED_VALUE"""),464.25)</f>
        <v>464.25</v>
      </c>
      <c r="E259" s="9">
        <f>IFERROR(__xludf.DUMMYFUNCTION("""COMPUTED_VALUE"""),453.24)</f>
        <v>453.24</v>
      </c>
      <c r="F259" s="9">
        <f>IFERROR(__xludf.DUMMYFUNCTION("""COMPUTED_VALUE"""),455.85)</f>
        <v>455.85</v>
      </c>
      <c r="G259" s="9">
        <f>IFERROR(__xludf.DUMMYFUNCTION("""COMPUTED_VALUE"""),1554104.0)</f>
        <v>1554104</v>
      </c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</row>
    <row r="260">
      <c r="A260" s="1"/>
      <c r="B260" s="22">
        <f>IFERROR(__xludf.DUMMYFUNCTION("""COMPUTED_VALUE"""),41922.645833333336)</f>
        <v>41922.64583</v>
      </c>
      <c r="C260" s="9">
        <f>IFERROR(__xludf.DUMMYFUNCTION("""COMPUTED_VALUE"""),457.5)</f>
        <v>457.5</v>
      </c>
      <c r="D260" s="9">
        <f>IFERROR(__xludf.DUMMYFUNCTION("""COMPUTED_VALUE"""),488.5)</f>
        <v>488.5</v>
      </c>
      <c r="E260" s="9">
        <f>IFERROR(__xludf.DUMMYFUNCTION("""COMPUTED_VALUE"""),446.59)</f>
        <v>446.59</v>
      </c>
      <c r="F260" s="9">
        <f>IFERROR(__xludf.DUMMYFUNCTION("""COMPUTED_VALUE"""),486.08)</f>
        <v>486.08</v>
      </c>
      <c r="G260" s="9">
        <f>IFERROR(__xludf.DUMMYFUNCTION("""COMPUTED_VALUE"""),5736632.0)</f>
        <v>5736632</v>
      </c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</row>
    <row r="261">
      <c r="A261" s="1"/>
      <c r="B261" s="22">
        <f>IFERROR(__xludf.DUMMYFUNCTION("""COMPUTED_VALUE"""),41925.645833333336)</f>
        <v>41925.64583</v>
      </c>
      <c r="C261" s="9">
        <f>IFERROR(__xludf.DUMMYFUNCTION("""COMPUTED_VALUE"""),486.16)</f>
        <v>486.16</v>
      </c>
      <c r="D261" s="9">
        <f>IFERROR(__xludf.DUMMYFUNCTION("""COMPUTED_VALUE"""),498.13)</f>
        <v>498.13</v>
      </c>
      <c r="E261" s="9">
        <f>IFERROR(__xludf.DUMMYFUNCTION("""COMPUTED_VALUE"""),486.16)</f>
        <v>486.16</v>
      </c>
      <c r="F261" s="9">
        <f>IFERROR(__xludf.DUMMYFUNCTION("""COMPUTED_VALUE"""),492.82)</f>
        <v>492.82</v>
      </c>
      <c r="G261" s="9">
        <f>IFERROR(__xludf.DUMMYFUNCTION("""COMPUTED_VALUE"""),2215873.0)</f>
        <v>2215873</v>
      </c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</row>
    <row r="262">
      <c r="A262" s="1"/>
      <c r="B262" s="22">
        <f>IFERROR(__xludf.DUMMYFUNCTION("""COMPUTED_VALUE"""),41926.645833333336)</f>
        <v>41926.64583</v>
      </c>
      <c r="C262" s="9">
        <f>IFERROR(__xludf.DUMMYFUNCTION("""COMPUTED_VALUE"""),495.63)</f>
        <v>495.63</v>
      </c>
      <c r="D262" s="9">
        <f>IFERROR(__xludf.DUMMYFUNCTION("""COMPUTED_VALUE"""),495.63)</f>
        <v>495.63</v>
      </c>
      <c r="E262" s="9">
        <f>IFERROR(__xludf.DUMMYFUNCTION("""COMPUTED_VALUE"""),487.5)</f>
        <v>487.5</v>
      </c>
      <c r="F262" s="9">
        <f>IFERROR(__xludf.DUMMYFUNCTION("""COMPUTED_VALUE"""),489.79)</f>
        <v>489.79</v>
      </c>
      <c r="G262" s="9">
        <f>IFERROR(__xludf.DUMMYFUNCTION("""COMPUTED_VALUE"""),857564.0)</f>
        <v>857564</v>
      </c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</row>
    <row r="263">
      <c r="A263" s="1"/>
      <c r="B263" s="22">
        <f>IFERROR(__xludf.DUMMYFUNCTION("""COMPUTED_VALUE"""),41928.645833333336)</f>
        <v>41928.64583</v>
      </c>
      <c r="C263" s="9">
        <f>IFERROR(__xludf.DUMMYFUNCTION("""COMPUTED_VALUE"""),487.51)</f>
        <v>487.51</v>
      </c>
      <c r="D263" s="9">
        <f>IFERROR(__xludf.DUMMYFUNCTION("""COMPUTED_VALUE"""),492.29)</f>
        <v>492.29</v>
      </c>
      <c r="E263" s="9">
        <f>IFERROR(__xludf.DUMMYFUNCTION("""COMPUTED_VALUE"""),481.79)</f>
        <v>481.79</v>
      </c>
      <c r="F263" s="9">
        <f>IFERROR(__xludf.DUMMYFUNCTION("""COMPUTED_VALUE"""),483.16)</f>
        <v>483.16</v>
      </c>
      <c r="G263" s="9">
        <f>IFERROR(__xludf.DUMMYFUNCTION("""COMPUTED_VALUE"""),1252174.0)</f>
        <v>1252174</v>
      </c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</row>
    <row r="264">
      <c r="A264" s="1"/>
      <c r="B264" s="22">
        <f>IFERROR(__xludf.DUMMYFUNCTION("""COMPUTED_VALUE"""),41929.645833333336)</f>
        <v>41929.64583</v>
      </c>
      <c r="C264" s="9">
        <f>IFERROR(__xludf.DUMMYFUNCTION("""COMPUTED_VALUE"""),483.11)</f>
        <v>483.11</v>
      </c>
      <c r="D264" s="9">
        <f>IFERROR(__xludf.DUMMYFUNCTION("""COMPUTED_VALUE"""),490.35)</f>
        <v>490.35</v>
      </c>
      <c r="E264" s="9">
        <f>IFERROR(__xludf.DUMMYFUNCTION("""COMPUTED_VALUE"""),479.64)</f>
        <v>479.64</v>
      </c>
      <c r="F264" s="9">
        <f>IFERROR(__xludf.DUMMYFUNCTION("""COMPUTED_VALUE"""),481.46)</f>
        <v>481.46</v>
      </c>
      <c r="G264" s="9">
        <f>IFERROR(__xludf.DUMMYFUNCTION("""COMPUTED_VALUE"""),1023752.0)</f>
        <v>1023752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</row>
    <row r="265">
      <c r="A265" s="1"/>
      <c r="B265" s="22">
        <f>IFERROR(__xludf.DUMMYFUNCTION("""COMPUTED_VALUE"""),41932.645833333336)</f>
        <v>41932.64583</v>
      </c>
      <c r="C265" s="9">
        <f>IFERROR(__xludf.DUMMYFUNCTION("""COMPUTED_VALUE"""),481.63)</f>
        <v>481.63</v>
      </c>
      <c r="D265" s="9">
        <f>IFERROR(__xludf.DUMMYFUNCTION("""COMPUTED_VALUE"""),482.82)</f>
        <v>482.82</v>
      </c>
      <c r="E265" s="9">
        <f>IFERROR(__xludf.DUMMYFUNCTION("""COMPUTED_VALUE"""),475.26)</f>
        <v>475.26</v>
      </c>
      <c r="F265" s="9">
        <f>IFERROR(__xludf.DUMMYFUNCTION("""COMPUTED_VALUE"""),476.54)</f>
        <v>476.54</v>
      </c>
      <c r="G265" s="9">
        <f>IFERROR(__xludf.DUMMYFUNCTION("""COMPUTED_VALUE"""),962840.0)</f>
        <v>962840</v>
      </c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</row>
    <row r="266">
      <c r="A266" s="1"/>
      <c r="B266" s="22">
        <f>IFERROR(__xludf.DUMMYFUNCTION("""COMPUTED_VALUE"""),41933.645833333336)</f>
        <v>41933.64583</v>
      </c>
      <c r="C266" s="9">
        <f>IFERROR(__xludf.DUMMYFUNCTION("""COMPUTED_VALUE"""),481.24)</f>
        <v>481.24</v>
      </c>
      <c r="D266" s="9">
        <f>IFERROR(__xludf.DUMMYFUNCTION("""COMPUTED_VALUE"""),481.24)</f>
        <v>481.24</v>
      </c>
      <c r="E266" s="9">
        <f>IFERROR(__xludf.DUMMYFUNCTION("""COMPUTED_VALUE"""),463.75)</f>
        <v>463.75</v>
      </c>
      <c r="F266" s="9">
        <f>IFERROR(__xludf.DUMMYFUNCTION("""COMPUTED_VALUE"""),471.62)</f>
        <v>471.62</v>
      </c>
      <c r="G266" s="9">
        <f>IFERROR(__xludf.DUMMYFUNCTION("""COMPUTED_VALUE"""),3260173.0)</f>
        <v>3260173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</row>
    <row r="267">
      <c r="A267" s="1"/>
      <c r="B267" s="22">
        <f>IFERROR(__xludf.DUMMYFUNCTION("""COMPUTED_VALUE"""),41934.645833333336)</f>
        <v>41934.64583</v>
      </c>
      <c r="C267" s="9">
        <f>IFERROR(__xludf.DUMMYFUNCTION("""COMPUTED_VALUE"""),476.16)</f>
        <v>476.16</v>
      </c>
      <c r="D267" s="9">
        <f>IFERROR(__xludf.DUMMYFUNCTION("""COMPUTED_VALUE"""),476.49)</f>
        <v>476.49</v>
      </c>
      <c r="E267" s="9">
        <f>IFERROR(__xludf.DUMMYFUNCTION("""COMPUTED_VALUE"""),472.03)</f>
        <v>472.03</v>
      </c>
      <c r="F267" s="9">
        <f>IFERROR(__xludf.DUMMYFUNCTION("""COMPUTED_VALUE"""),474.51)</f>
        <v>474.51</v>
      </c>
      <c r="G267" s="9">
        <f>IFERROR(__xludf.DUMMYFUNCTION("""COMPUTED_VALUE"""),669165.0)</f>
        <v>669165</v>
      </c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</row>
    <row r="268">
      <c r="A268" s="1"/>
      <c r="B268" s="22">
        <f>IFERROR(__xludf.DUMMYFUNCTION("""COMPUTED_VALUE"""),41935.645833333336)</f>
        <v>41935.64583</v>
      </c>
      <c r="C268" s="9">
        <f>IFERROR(__xludf.DUMMYFUNCTION("""COMPUTED_VALUE"""),475.61)</f>
        <v>475.61</v>
      </c>
      <c r="D268" s="9">
        <f>IFERROR(__xludf.DUMMYFUNCTION("""COMPUTED_VALUE"""),476.68)</f>
        <v>476.68</v>
      </c>
      <c r="E268" s="9">
        <f>IFERROR(__xludf.DUMMYFUNCTION("""COMPUTED_VALUE"""),474.64)</f>
        <v>474.64</v>
      </c>
      <c r="F268" s="9">
        <f>IFERROR(__xludf.DUMMYFUNCTION("""COMPUTED_VALUE"""),475.49)</f>
        <v>475.49</v>
      </c>
      <c r="G268" s="9">
        <f>IFERROR(__xludf.DUMMYFUNCTION("""COMPUTED_VALUE"""),52766.0)</f>
        <v>52766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</row>
    <row r="269">
      <c r="A269" s="1"/>
      <c r="B269" s="22">
        <f>IFERROR(__xludf.DUMMYFUNCTION("""COMPUTED_VALUE"""),41939.645833333336)</f>
        <v>41939.64583</v>
      </c>
      <c r="C269" s="9">
        <f>IFERROR(__xludf.DUMMYFUNCTION("""COMPUTED_VALUE"""),481.25)</f>
        <v>481.25</v>
      </c>
      <c r="D269" s="9">
        <f>IFERROR(__xludf.DUMMYFUNCTION("""COMPUTED_VALUE"""),481.25)</f>
        <v>481.25</v>
      </c>
      <c r="E269" s="9">
        <f>IFERROR(__xludf.DUMMYFUNCTION("""COMPUTED_VALUE"""),472.78)</f>
        <v>472.78</v>
      </c>
      <c r="F269" s="9">
        <f>IFERROR(__xludf.DUMMYFUNCTION("""COMPUTED_VALUE"""),475.38)</f>
        <v>475.38</v>
      </c>
      <c r="G269" s="9">
        <f>IFERROR(__xludf.DUMMYFUNCTION("""COMPUTED_VALUE"""),595969.0)</f>
        <v>595969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</row>
    <row r="270">
      <c r="A270" s="1"/>
      <c r="B270" s="22">
        <f>IFERROR(__xludf.DUMMYFUNCTION("""COMPUTED_VALUE"""),41940.645833333336)</f>
        <v>41940.64583</v>
      </c>
      <c r="C270" s="9">
        <f>IFERROR(__xludf.DUMMYFUNCTION("""COMPUTED_VALUE"""),470.63)</f>
        <v>470.63</v>
      </c>
      <c r="D270" s="9">
        <f>IFERROR(__xludf.DUMMYFUNCTION("""COMPUTED_VALUE"""),476.54)</f>
        <v>476.54</v>
      </c>
      <c r="E270" s="9">
        <f>IFERROR(__xludf.DUMMYFUNCTION("""COMPUTED_VALUE"""),470.63)</f>
        <v>470.63</v>
      </c>
      <c r="F270" s="9">
        <f>IFERROR(__xludf.DUMMYFUNCTION("""COMPUTED_VALUE"""),473.53)</f>
        <v>473.53</v>
      </c>
      <c r="G270" s="9">
        <f>IFERROR(__xludf.DUMMYFUNCTION("""COMPUTED_VALUE"""),833296.0)</f>
        <v>833296</v>
      </c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</row>
    <row r="271">
      <c r="A271" s="1"/>
      <c r="B271" s="22">
        <f>IFERROR(__xludf.DUMMYFUNCTION("""COMPUTED_VALUE"""),41941.645833333336)</f>
        <v>41941.64583</v>
      </c>
      <c r="C271" s="9">
        <f>IFERROR(__xludf.DUMMYFUNCTION("""COMPUTED_VALUE"""),476.62)</f>
        <v>476.62</v>
      </c>
      <c r="D271" s="9">
        <f>IFERROR(__xludf.DUMMYFUNCTION("""COMPUTED_VALUE"""),486.59)</f>
        <v>486.59</v>
      </c>
      <c r="E271" s="9">
        <f>IFERROR(__xludf.DUMMYFUNCTION("""COMPUTED_VALUE"""),476.62)</f>
        <v>476.62</v>
      </c>
      <c r="F271" s="9">
        <f>IFERROR(__xludf.DUMMYFUNCTION("""COMPUTED_VALUE"""),485.18)</f>
        <v>485.18</v>
      </c>
      <c r="G271" s="9">
        <f>IFERROR(__xludf.DUMMYFUNCTION("""COMPUTED_VALUE"""),1028667.0)</f>
        <v>1028667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</row>
    <row r="272">
      <c r="A272" s="1"/>
      <c r="B272" s="22">
        <f>IFERROR(__xludf.DUMMYFUNCTION("""COMPUTED_VALUE"""),41942.645833333336)</f>
        <v>41942.64583</v>
      </c>
      <c r="C272" s="9">
        <f>IFERROR(__xludf.DUMMYFUNCTION("""COMPUTED_VALUE"""),487.0)</f>
        <v>487</v>
      </c>
      <c r="D272" s="9">
        <f>IFERROR(__xludf.DUMMYFUNCTION("""COMPUTED_VALUE"""),497.66)</f>
        <v>497.66</v>
      </c>
      <c r="E272" s="9">
        <f>IFERROR(__xludf.DUMMYFUNCTION("""COMPUTED_VALUE"""),487.0)</f>
        <v>487</v>
      </c>
      <c r="F272" s="9">
        <f>IFERROR(__xludf.DUMMYFUNCTION("""COMPUTED_VALUE"""),493.32)</f>
        <v>493.32</v>
      </c>
      <c r="G272" s="9">
        <f>IFERROR(__xludf.DUMMYFUNCTION("""COMPUTED_VALUE"""),1905651.0)</f>
        <v>1905651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</row>
    <row r="273">
      <c r="A273" s="1"/>
      <c r="B273" s="22">
        <f>IFERROR(__xludf.DUMMYFUNCTION("""COMPUTED_VALUE"""),41943.645833333336)</f>
        <v>41943.64583</v>
      </c>
      <c r="C273" s="9">
        <f>IFERROR(__xludf.DUMMYFUNCTION("""COMPUTED_VALUE"""),498.38)</f>
        <v>498.38</v>
      </c>
      <c r="D273" s="9">
        <f>IFERROR(__xludf.DUMMYFUNCTION("""COMPUTED_VALUE"""),508.25)</f>
        <v>508.25</v>
      </c>
      <c r="E273" s="9">
        <f>IFERROR(__xludf.DUMMYFUNCTION("""COMPUTED_VALUE"""),498.38)</f>
        <v>498.38</v>
      </c>
      <c r="F273" s="9">
        <f>IFERROR(__xludf.DUMMYFUNCTION("""COMPUTED_VALUE"""),506.41)</f>
        <v>506.41</v>
      </c>
      <c r="G273" s="9">
        <f>IFERROR(__xludf.DUMMYFUNCTION("""COMPUTED_VALUE"""),1083850.0)</f>
        <v>1083850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</row>
    <row r="274">
      <c r="A274" s="1"/>
      <c r="B274" s="22">
        <f>IFERROR(__xludf.DUMMYFUNCTION("""COMPUTED_VALUE"""),41946.645833333336)</f>
        <v>41946.64583</v>
      </c>
      <c r="C274" s="9">
        <f>IFERROR(__xludf.DUMMYFUNCTION("""COMPUTED_VALUE"""),509.61)</f>
        <v>509.61</v>
      </c>
      <c r="D274" s="9">
        <f>IFERROR(__xludf.DUMMYFUNCTION("""COMPUTED_VALUE"""),513.75)</f>
        <v>513.75</v>
      </c>
      <c r="E274" s="9">
        <f>IFERROR(__xludf.DUMMYFUNCTION("""COMPUTED_VALUE"""),504.06)</f>
        <v>504.06</v>
      </c>
      <c r="F274" s="9">
        <f>IFERROR(__xludf.DUMMYFUNCTION("""COMPUTED_VALUE"""),510.74)</f>
        <v>510.74</v>
      </c>
      <c r="G274" s="9">
        <f>IFERROR(__xludf.DUMMYFUNCTION("""COMPUTED_VALUE"""),1072301.0)</f>
        <v>1072301</v>
      </c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</row>
    <row r="275">
      <c r="A275" s="1"/>
      <c r="B275" s="22">
        <f>IFERROR(__xludf.DUMMYFUNCTION("""COMPUTED_VALUE"""),41948.645833333336)</f>
        <v>41948.64583</v>
      </c>
      <c r="C275" s="9">
        <f>IFERROR(__xludf.DUMMYFUNCTION("""COMPUTED_VALUE"""),510.63)</f>
        <v>510.63</v>
      </c>
      <c r="D275" s="9">
        <f>IFERROR(__xludf.DUMMYFUNCTION("""COMPUTED_VALUE"""),519.25)</f>
        <v>519.25</v>
      </c>
      <c r="E275" s="9">
        <f>IFERROR(__xludf.DUMMYFUNCTION("""COMPUTED_VALUE"""),507.13)</f>
        <v>507.13</v>
      </c>
      <c r="F275" s="9">
        <f>IFERROR(__xludf.DUMMYFUNCTION("""COMPUTED_VALUE"""),515.6)</f>
        <v>515.6</v>
      </c>
      <c r="G275" s="9">
        <f>IFERROR(__xludf.DUMMYFUNCTION("""COMPUTED_VALUE"""),1280135.0)</f>
        <v>1280135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</row>
    <row r="276">
      <c r="A276" s="1"/>
      <c r="B276" s="22">
        <f>IFERROR(__xludf.DUMMYFUNCTION("""COMPUTED_VALUE"""),41950.645833333336)</f>
        <v>41950.64583</v>
      </c>
      <c r="C276" s="9">
        <f>IFERROR(__xludf.DUMMYFUNCTION("""COMPUTED_VALUE"""),514.79)</f>
        <v>514.79</v>
      </c>
      <c r="D276" s="9">
        <f>IFERROR(__xludf.DUMMYFUNCTION("""COMPUTED_VALUE"""),522.88)</f>
        <v>522.88</v>
      </c>
      <c r="E276" s="9">
        <f>IFERROR(__xludf.DUMMYFUNCTION("""COMPUTED_VALUE"""),514.79)</f>
        <v>514.79</v>
      </c>
      <c r="F276" s="9">
        <f>IFERROR(__xludf.DUMMYFUNCTION("""COMPUTED_VALUE"""),520.83)</f>
        <v>520.83</v>
      </c>
      <c r="G276" s="9">
        <f>IFERROR(__xludf.DUMMYFUNCTION("""COMPUTED_VALUE"""),1246300.0)</f>
        <v>1246300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</row>
    <row r="277">
      <c r="A277" s="1"/>
      <c r="B277" s="22">
        <f>IFERROR(__xludf.DUMMYFUNCTION("""COMPUTED_VALUE"""),41953.64583333333)</f>
        <v>41953.64583</v>
      </c>
      <c r="C277" s="9">
        <f>IFERROR(__xludf.DUMMYFUNCTION("""COMPUTED_VALUE"""),521.88)</f>
        <v>521.88</v>
      </c>
      <c r="D277" s="9">
        <f>IFERROR(__xludf.DUMMYFUNCTION("""COMPUTED_VALUE"""),522.64)</f>
        <v>522.64</v>
      </c>
      <c r="E277" s="9">
        <f>IFERROR(__xludf.DUMMYFUNCTION("""COMPUTED_VALUE"""),517.5)</f>
        <v>517.5</v>
      </c>
      <c r="F277" s="9">
        <f>IFERROR(__xludf.DUMMYFUNCTION("""COMPUTED_VALUE"""),520.69)</f>
        <v>520.69</v>
      </c>
      <c r="G277" s="9">
        <f>IFERROR(__xludf.DUMMYFUNCTION("""COMPUTED_VALUE"""),699271.0)</f>
        <v>699271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</row>
    <row r="278">
      <c r="A278" s="1"/>
      <c r="B278" s="22">
        <f>IFERROR(__xludf.DUMMYFUNCTION("""COMPUTED_VALUE"""),41954.64583333333)</f>
        <v>41954.64583</v>
      </c>
      <c r="C278" s="9">
        <f>IFERROR(__xludf.DUMMYFUNCTION("""COMPUTED_VALUE"""),520.63)</f>
        <v>520.63</v>
      </c>
      <c r="D278" s="9">
        <f>IFERROR(__xludf.DUMMYFUNCTION("""COMPUTED_VALUE"""),520.63)</f>
        <v>520.63</v>
      </c>
      <c r="E278" s="9">
        <f>IFERROR(__xludf.DUMMYFUNCTION("""COMPUTED_VALUE"""),512.97)</f>
        <v>512.97</v>
      </c>
      <c r="F278" s="9">
        <f>IFERROR(__xludf.DUMMYFUNCTION("""COMPUTED_VALUE"""),515.65)</f>
        <v>515.65</v>
      </c>
      <c r="G278" s="9">
        <f>IFERROR(__xludf.DUMMYFUNCTION("""COMPUTED_VALUE"""),781886.0)</f>
        <v>781886</v>
      </c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</row>
    <row r="279">
      <c r="A279" s="1"/>
      <c r="B279" s="22">
        <f>IFERROR(__xludf.DUMMYFUNCTION("""COMPUTED_VALUE"""),41955.64583333333)</f>
        <v>41955.64583</v>
      </c>
      <c r="C279" s="9">
        <f>IFERROR(__xludf.DUMMYFUNCTION("""COMPUTED_VALUE"""),515.13)</f>
        <v>515.13</v>
      </c>
      <c r="D279" s="9">
        <f>IFERROR(__xludf.DUMMYFUNCTION("""COMPUTED_VALUE"""),518.84)</f>
        <v>518.84</v>
      </c>
      <c r="E279" s="9">
        <f>IFERROR(__xludf.DUMMYFUNCTION("""COMPUTED_VALUE"""),512.14)</f>
        <v>512.14</v>
      </c>
      <c r="F279" s="9">
        <f>IFERROR(__xludf.DUMMYFUNCTION("""COMPUTED_VALUE"""),513.25)</f>
        <v>513.25</v>
      </c>
      <c r="G279" s="9">
        <f>IFERROR(__xludf.DUMMYFUNCTION("""COMPUTED_VALUE"""),674112.0)</f>
        <v>674112</v>
      </c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</row>
    <row r="280">
      <c r="A280" s="1"/>
      <c r="B280" s="22">
        <f>IFERROR(__xludf.DUMMYFUNCTION("""COMPUTED_VALUE"""),41956.64583333333)</f>
        <v>41956.64583</v>
      </c>
      <c r="C280" s="9">
        <f>IFERROR(__xludf.DUMMYFUNCTION("""COMPUTED_VALUE"""),515.25)</f>
        <v>515.25</v>
      </c>
      <c r="D280" s="9">
        <f>IFERROR(__xludf.DUMMYFUNCTION("""COMPUTED_VALUE"""),525.13)</f>
        <v>525.13</v>
      </c>
      <c r="E280" s="9">
        <f>IFERROR(__xludf.DUMMYFUNCTION("""COMPUTED_VALUE"""),514.05)</f>
        <v>514.05</v>
      </c>
      <c r="F280" s="9">
        <f>IFERROR(__xludf.DUMMYFUNCTION("""COMPUTED_VALUE"""),522.33)</f>
        <v>522.33</v>
      </c>
      <c r="G280" s="9">
        <f>IFERROR(__xludf.DUMMYFUNCTION("""COMPUTED_VALUE"""),619585.0)</f>
        <v>619585</v>
      </c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</row>
    <row r="281">
      <c r="A281" s="1"/>
      <c r="B281" s="22">
        <f>IFERROR(__xludf.DUMMYFUNCTION("""COMPUTED_VALUE"""),41957.64583333333)</f>
        <v>41957.64583</v>
      </c>
      <c r="C281" s="9">
        <f>IFERROR(__xludf.DUMMYFUNCTION("""COMPUTED_VALUE"""),524.25)</f>
        <v>524.25</v>
      </c>
      <c r="D281" s="9">
        <f>IFERROR(__xludf.DUMMYFUNCTION("""COMPUTED_VALUE"""),526.43)</f>
        <v>526.43</v>
      </c>
      <c r="E281" s="9">
        <f>IFERROR(__xludf.DUMMYFUNCTION("""COMPUTED_VALUE"""),521.75)</f>
        <v>521.75</v>
      </c>
      <c r="F281" s="9">
        <f>IFERROR(__xludf.DUMMYFUNCTION("""COMPUTED_VALUE"""),523.96)</f>
        <v>523.96</v>
      </c>
      <c r="G281" s="9">
        <f>IFERROR(__xludf.DUMMYFUNCTION("""COMPUTED_VALUE"""),654147.0)</f>
        <v>654147</v>
      </c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</row>
    <row r="282">
      <c r="A282" s="1"/>
      <c r="B282" s="22">
        <f>IFERROR(__xludf.DUMMYFUNCTION("""COMPUTED_VALUE"""),41960.64583333333)</f>
        <v>41960.64583</v>
      </c>
      <c r="C282" s="9">
        <f>IFERROR(__xludf.DUMMYFUNCTION("""COMPUTED_VALUE"""),523.13)</f>
        <v>523.13</v>
      </c>
      <c r="D282" s="9">
        <f>IFERROR(__xludf.DUMMYFUNCTION("""COMPUTED_VALUE"""),528.49)</f>
        <v>528.49</v>
      </c>
      <c r="E282" s="9">
        <f>IFERROR(__xludf.DUMMYFUNCTION("""COMPUTED_VALUE"""),518.51)</f>
        <v>518.51</v>
      </c>
      <c r="F282" s="9">
        <f>IFERROR(__xludf.DUMMYFUNCTION("""COMPUTED_VALUE"""),527.31)</f>
        <v>527.31</v>
      </c>
      <c r="G282" s="9">
        <f>IFERROR(__xludf.DUMMYFUNCTION("""COMPUTED_VALUE"""),682273.0)</f>
        <v>682273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</row>
    <row r="283">
      <c r="A283" s="1"/>
      <c r="B283" s="22">
        <f>IFERROR(__xludf.DUMMYFUNCTION("""COMPUTED_VALUE"""),41961.64583333333)</f>
        <v>41961.64583</v>
      </c>
      <c r="C283" s="9">
        <f>IFERROR(__xludf.DUMMYFUNCTION("""COMPUTED_VALUE"""),528.13)</f>
        <v>528.13</v>
      </c>
      <c r="D283" s="9">
        <f>IFERROR(__xludf.DUMMYFUNCTION("""COMPUTED_VALUE"""),528.47)</f>
        <v>528.47</v>
      </c>
      <c r="E283" s="9">
        <f>IFERROR(__xludf.DUMMYFUNCTION("""COMPUTED_VALUE"""),521.51)</f>
        <v>521.51</v>
      </c>
      <c r="F283" s="9">
        <f>IFERROR(__xludf.DUMMYFUNCTION("""COMPUTED_VALUE"""),522.79)</f>
        <v>522.79</v>
      </c>
      <c r="G283" s="9">
        <f>IFERROR(__xludf.DUMMYFUNCTION("""COMPUTED_VALUE"""),658390.0)</f>
        <v>658390</v>
      </c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</row>
    <row r="284">
      <c r="A284" s="1"/>
      <c r="B284" s="22">
        <f>IFERROR(__xludf.DUMMYFUNCTION("""COMPUTED_VALUE"""),41962.64583333333)</f>
        <v>41962.64583</v>
      </c>
      <c r="C284" s="9">
        <f>IFERROR(__xludf.DUMMYFUNCTION("""COMPUTED_VALUE"""),522.5)</f>
        <v>522.5</v>
      </c>
      <c r="D284" s="9">
        <f>IFERROR(__xludf.DUMMYFUNCTION("""COMPUTED_VALUE"""),523.74)</f>
        <v>523.74</v>
      </c>
      <c r="E284" s="9">
        <f>IFERROR(__xludf.DUMMYFUNCTION("""COMPUTED_VALUE"""),517.47)</f>
        <v>517.47</v>
      </c>
      <c r="F284" s="9">
        <f>IFERROR(__xludf.DUMMYFUNCTION("""COMPUTED_VALUE"""),521.67)</f>
        <v>521.67</v>
      </c>
      <c r="G284" s="9">
        <f>IFERROR(__xludf.DUMMYFUNCTION("""COMPUTED_VALUE"""),650140.0)</f>
        <v>650140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</row>
    <row r="285">
      <c r="A285" s="1"/>
      <c r="B285" s="22">
        <f>IFERROR(__xludf.DUMMYFUNCTION("""COMPUTED_VALUE"""),41963.64583333333)</f>
        <v>41963.64583</v>
      </c>
      <c r="C285" s="9">
        <f>IFERROR(__xludf.DUMMYFUNCTION("""COMPUTED_VALUE"""),523.75)</f>
        <v>523.75</v>
      </c>
      <c r="D285" s="9">
        <f>IFERROR(__xludf.DUMMYFUNCTION("""COMPUTED_VALUE"""),529.06)</f>
        <v>529.06</v>
      </c>
      <c r="E285" s="9">
        <f>IFERROR(__xludf.DUMMYFUNCTION("""COMPUTED_VALUE"""),522.98)</f>
        <v>522.98</v>
      </c>
      <c r="F285" s="9">
        <f>IFERROR(__xludf.DUMMYFUNCTION("""COMPUTED_VALUE"""),528.2)</f>
        <v>528.2</v>
      </c>
      <c r="G285" s="9">
        <f>IFERROR(__xludf.DUMMYFUNCTION("""COMPUTED_VALUE"""),668491.0)</f>
        <v>668491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</row>
    <row r="286">
      <c r="A286" s="1"/>
      <c r="B286" s="22">
        <f>IFERROR(__xludf.DUMMYFUNCTION("""COMPUTED_VALUE"""),41964.64583333333)</f>
        <v>41964.64583</v>
      </c>
      <c r="C286" s="9">
        <f>IFERROR(__xludf.DUMMYFUNCTION("""COMPUTED_VALUE"""),521.25)</f>
        <v>521.25</v>
      </c>
      <c r="D286" s="9">
        <f>IFERROR(__xludf.DUMMYFUNCTION("""COMPUTED_VALUE"""),522.38)</f>
        <v>522.38</v>
      </c>
      <c r="E286" s="9">
        <f>IFERROR(__xludf.DUMMYFUNCTION("""COMPUTED_VALUE"""),512.7)</f>
        <v>512.7</v>
      </c>
      <c r="F286" s="9">
        <f>IFERROR(__xludf.DUMMYFUNCTION("""COMPUTED_VALUE"""),518.27)</f>
        <v>518.27</v>
      </c>
      <c r="G286" s="9">
        <f>IFERROR(__xludf.DUMMYFUNCTION("""COMPUTED_VALUE"""),1307909.0)</f>
        <v>1307909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</row>
    <row r="287">
      <c r="A287" s="1"/>
      <c r="B287" s="22">
        <f>IFERROR(__xludf.DUMMYFUNCTION("""COMPUTED_VALUE"""),41967.64583333333)</f>
        <v>41967.64583</v>
      </c>
      <c r="C287" s="9">
        <f>IFERROR(__xludf.DUMMYFUNCTION("""COMPUTED_VALUE"""),525.0)</f>
        <v>525</v>
      </c>
      <c r="D287" s="9">
        <f>IFERROR(__xludf.DUMMYFUNCTION("""COMPUTED_VALUE"""),535.21)</f>
        <v>535.21</v>
      </c>
      <c r="E287" s="9">
        <f>IFERROR(__xludf.DUMMYFUNCTION("""COMPUTED_VALUE"""),523.99)</f>
        <v>523.99</v>
      </c>
      <c r="F287" s="9">
        <f>IFERROR(__xludf.DUMMYFUNCTION("""COMPUTED_VALUE"""),534.39)</f>
        <v>534.39</v>
      </c>
      <c r="G287" s="9">
        <f>IFERROR(__xludf.DUMMYFUNCTION("""COMPUTED_VALUE"""),1380930.0)</f>
        <v>1380930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</row>
    <row r="288">
      <c r="A288" s="1"/>
      <c r="B288" s="22">
        <f>IFERROR(__xludf.DUMMYFUNCTION("""COMPUTED_VALUE"""),41968.64583333333)</f>
        <v>41968.64583</v>
      </c>
      <c r="C288" s="9">
        <f>IFERROR(__xludf.DUMMYFUNCTION("""COMPUTED_VALUE"""),536.88)</f>
        <v>536.88</v>
      </c>
      <c r="D288" s="9">
        <f>IFERROR(__xludf.DUMMYFUNCTION("""COMPUTED_VALUE"""),539.99)</f>
        <v>539.99</v>
      </c>
      <c r="E288" s="9">
        <f>IFERROR(__xludf.DUMMYFUNCTION("""COMPUTED_VALUE"""),530.75)</f>
        <v>530.75</v>
      </c>
      <c r="F288" s="9">
        <f>IFERROR(__xludf.DUMMYFUNCTION("""COMPUTED_VALUE"""),537.9)</f>
        <v>537.9</v>
      </c>
      <c r="G288" s="9">
        <f>IFERROR(__xludf.DUMMYFUNCTION("""COMPUTED_VALUE"""),1860822.0)</f>
        <v>1860822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</row>
    <row r="289">
      <c r="A289" s="1"/>
      <c r="B289" s="22">
        <f>IFERROR(__xludf.DUMMYFUNCTION("""COMPUTED_VALUE"""),41969.64583333333)</f>
        <v>41969.64583</v>
      </c>
      <c r="C289" s="9">
        <f>IFERROR(__xludf.DUMMYFUNCTION("""COMPUTED_VALUE"""),537.5)</f>
        <v>537.5</v>
      </c>
      <c r="D289" s="9">
        <f>IFERROR(__xludf.DUMMYFUNCTION("""COMPUTED_VALUE"""),539.71)</f>
        <v>539.71</v>
      </c>
      <c r="E289" s="9">
        <f>IFERROR(__xludf.DUMMYFUNCTION("""COMPUTED_VALUE"""),533.95)</f>
        <v>533.95</v>
      </c>
      <c r="F289" s="9">
        <f>IFERROR(__xludf.DUMMYFUNCTION("""COMPUTED_VALUE"""),537.56)</f>
        <v>537.56</v>
      </c>
      <c r="G289" s="9">
        <f>IFERROR(__xludf.DUMMYFUNCTION("""COMPUTED_VALUE"""),991350.0)</f>
        <v>991350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</row>
    <row r="290">
      <c r="A290" s="1"/>
      <c r="B290" s="22">
        <f>IFERROR(__xludf.DUMMYFUNCTION("""COMPUTED_VALUE"""),41970.64583333333)</f>
        <v>41970.64583</v>
      </c>
      <c r="C290" s="9">
        <f>IFERROR(__xludf.DUMMYFUNCTION("""COMPUTED_VALUE"""),540.24)</f>
        <v>540.24</v>
      </c>
      <c r="D290" s="9">
        <f>IFERROR(__xludf.DUMMYFUNCTION("""COMPUTED_VALUE"""),547.05)</f>
        <v>547.05</v>
      </c>
      <c r="E290" s="9">
        <f>IFERROR(__xludf.DUMMYFUNCTION("""COMPUTED_VALUE"""),539.0)</f>
        <v>539</v>
      </c>
      <c r="F290" s="9">
        <f>IFERROR(__xludf.DUMMYFUNCTION("""COMPUTED_VALUE"""),545.74)</f>
        <v>545.74</v>
      </c>
      <c r="G290" s="9">
        <f>IFERROR(__xludf.DUMMYFUNCTION("""COMPUTED_VALUE"""),2173629.0)</f>
        <v>2173629</v>
      </c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</row>
    <row r="291">
      <c r="A291" s="1"/>
      <c r="B291" s="22">
        <f>IFERROR(__xludf.DUMMYFUNCTION("""COMPUTED_VALUE"""),41971.64583333333)</f>
        <v>41971.64583</v>
      </c>
      <c r="C291" s="9">
        <f>IFERROR(__xludf.DUMMYFUNCTION("""COMPUTED_VALUE"""),546.26)</f>
        <v>546.26</v>
      </c>
      <c r="D291" s="9">
        <f>IFERROR(__xludf.DUMMYFUNCTION("""COMPUTED_VALUE"""),549.75)</f>
        <v>549.75</v>
      </c>
      <c r="E291" s="9">
        <f>IFERROR(__xludf.DUMMYFUNCTION("""COMPUTED_VALUE"""),542.92)</f>
        <v>542.92</v>
      </c>
      <c r="F291" s="9">
        <f>IFERROR(__xludf.DUMMYFUNCTION("""COMPUTED_VALUE"""),544.98)</f>
        <v>544.98</v>
      </c>
      <c r="G291" s="9">
        <f>IFERROR(__xludf.DUMMYFUNCTION("""COMPUTED_VALUE"""),1793408.0)</f>
        <v>1793408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</row>
    <row r="292">
      <c r="A292" s="1"/>
      <c r="B292" s="22">
        <f>IFERROR(__xludf.DUMMYFUNCTION("""COMPUTED_VALUE"""),41974.64583333333)</f>
        <v>41974.64583</v>
      </c>
      <c r="C292" s="9">
        <f>IFERROR(__xludf.DUMMYFUNCTION("""COMPUTED_VALUE"""),548.38)</f>
        <v>548.38</v>
      </c>
      <c r="D292" s="9">
        <f>IFERROR(__xludf.DUMMYFUNCTION("""COMPUTED_VALUE"""),550.28)</f>
        <v>550.28</v>
      </c>
      <c r="E292" s="9">
        <f>IFERROR(__xludf.DUMMYFUNCTION("""COMPUTED_VALUE"""),536.58)</f>
        <v>536.58</v>
      </c>
      <c r="F292" s="9">
        <f>IFERROR(__xludf.DUMMYFUNCTION("""COMPUTED_VALUE"""),543.73)</f>
        <v>543.73</v>
      </c>
      <c r="G292" s="9">
        <f>IFERROR(__xludf.DUMMYFUNCTION("""COMPUTED_VALUE"""),2292733.0)</f>
        <v>2292733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</row>
    <row r="293">
      <c r="A293" s="1"/>
      <c r="B293" s="22">
        <f>IFERROR(__xludf.DUMMYFUNCTION("""COMPUTED_VALUE"""),41975.64583333333)</f>
        <v>41975.64583</v>
      </c>
      <c r="C293" s="9">
        <f>IFERROR(__xludf.DUMMYFUNCTION("""COMPUTED_VALUE"""),541.24)</f>
        <v>541.24</v>
      </c>
      <c r="D293" s="9">
        <f>IFERROR(__xludf.DUMMYFUNCTION("""COMPUTED_VALUE"""),541.24)</f>
        <v>541.24</v>
      </c>
      <c r="E293" s="9">
        <f>IFERROR(__xludf.DUMMYFUNCTION("""COMPUTED_VALUE"""),528.75)</f>
        <v>528.75</v>
      </c>
      <c r="F293" s="9">
        <f>IFERROR(__xludf.DUMMYFUNCTION("""COMPUTED_VALUE"""),531.65)</f>
        <v>531.65</v>
      </c>
      <c r="G293" s="9">
        <f>IFERROR(__xludf.DUMMYFUNCTION("""COMPUTED_VALUE"""),2663748.0)</f>
        <v>2663748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</row>
    <row r="294">
      <c r="A294" s="1"/>
      <c r="B294" s="22">
        <f>IFERROR(__xludf.DUMMYFUNCTION("""COMPUTED_VALUE"""),41976.64583333333)</f>
        <v>41976.64583</v>
      </c>
      <c r="C294" s="9">
        <f>IFERROR(__xludf.DUMMYFUNCTION("""COMPUTED_VALUE"""),525.38)</f>
        <v>525.38</v>
      </c>
      <c r="D294" s="9">
        <f>IFERROR(__xludf.DUMMYFUNCTION("""COMPUTED_VALUE"""),533.24)</f>
        <v>533.24</v>
      </c>
      <c r="E294" s="9">
        <f>IFERROR(__xludf.DUMMYFUNCTION("""COMPUTED_VALUE"""),521.14)</f>
        <v>521.14</v>
      </c>
      <c r="F294" s="9">
        <f>IFERROR(__xludf.DUMMYFUNCTION("""COMPUTED_VALUE"""),530.88)</f>
        <v>530.88</v>
      </c>
      <c r="G294" s="9">
        <f>IFERROR(__xludf.DUMMYFUNCTION("""COMPUTED_VALUE"""),3193761.0)</f>
        <v>3193761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</row>
    <row r="295">
      <c r="A295" s="1"/>
      <c r="B295" s="22">
        <f>IFERROR(__xludf.DUMMYFUNCTION("""COMPUTED_VALUE"""),41977.64583333333)</f>
        <v>41977.64583</v>
      </c>
      <c r="C295" s="9">
        <f>IFERROR(__xludf.DUMMYFUNCTION("""COMPUTED_VALUE"""),527.5)</f>
        <v>527.5</v>
      </c>
      <c r="D295" s="9">
        <f>IFERROR(__xludf.DUMMYFUNCTION("""COMPUTED_VALUE"""),536.23)</f>
        <v>536.23</v>
      </c>
      <c r="E295" s="9">
        <f>IFERROR(__xludf.DUMMYFUNCTION("""COMPUTED_VALUE"""),523.75)</f>
        <v>523.75</v>
      </c>
      <c r="F295" s="9">
        <f>IFERROR(__xludf.DUMMYFUNCTION("""COMPUTED_VALUE"""),525.45)</f>
        <v>525.45</v>
      </c>
      <c r="G295" s="9">
        <f>IFERROR(__xludf.DUMMYFUNCTION("""COMPUTED_VALUE"""),2349807.0)</f>
        <v>2349807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</row>
    <row r="296">
      <c r="A296" s="1"/>
      <c r="B296" s="22">
        <f>IFERROR(__xludf.DUMMYFUNCTION("""COMPUTED_VALUE"""),41978.64583333333)</f>
        <v>41978.64583</v>
      </c>
      <c r="C296" s="9">
        <f>IFERROR(__xludf.DUMMYFUNCTION("""COMPUTED_VALUE"""),528.75)</f>
        <v>528.75</v>
      </c>
      <c r="D296" s="9">
        <f>IFERROR(__xludf.DUMMYFUNCTION("""COMPUTED_VALUE"""),529.15)</f>
        <v>529.15</v>
      </c>
      <c r="E296" s="9">
        <f>IFERROR(__xludf.DUMMYFUNCTION("""COMPUTED_VALUE"""),514.95)</f>
        <v>514.95</v>
      </c>
      <c r="F296" s="9">
        <f>IFERROR(__xludf.DUMMYFUNCTION("""COMPUTED_VALUE"""),517.58)</f>
        <v>517.58</v>
      </c>
      <c r="G296" s="9">
        <f>IFERROR(__xludf.DUMMYFUNCTION("""COMPUTED_VALUE"""),1839690.0)</f>
        <v>1839690</v>
      </c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</row>
    <row r="297">
      <c r="A297" s="1"/>
      <c r="B297" s="22">
        <f>IFERROR(__xludf.DUMMYFUNCTION("""COMPUTED_VALUE"""),41981.64583333333)</f>
        <v>41981.64583</v>
      </c>
      <c r="C297" s="9">
        <f>IFERROR(__xludf.DUMMYFUNCTION("""COMPUTED_VALUE"""),502.25)</f>
        <v>502.25</v>
      </c>
      <c r="D297" s="9">
        <f>IFERROR(__xludf.DUMMYFUNCTION("""COMPUTED_VALUE"""),504.75)</f>
        <v>504.75</v>
      </c>
      <c r="E297" s="9">
        <f>IFERROR(__xludf.DUMMYFUNCTION("""COMPUTED_VALUE"""),489.44)</f>
        <v>489.44</v>
      </c>
      <c r="F297" s="9">
        <f>IFERROR(__xludf.DUMMYFUNCTION("""COMPUTED_VALUE"""),492.54)</f>
        <v>492.54</v>
      </c>
      <c r="G297" s="9">
        <f>IFERROR(__xludf.DUMMYFUNCTION("""COMPUTED_VALUE"""),4.1580104E7)</f>
        <v>41580104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</row>
    <row r="298">
      <c r="A298" s="1"/>
      <c r="B298" s="22">
        <f>IFERROR(__xludf.DUMMYFUNCTION("""COMPUTED_VALUE"""),41982.64583333333)</f>
        <v>41982.64583</v>
      </c>
      <c r="C298" s="9">
        <f>IFERROR(__xludf.DUMMYFUNCTION("""COMPUTED_VALUE"""),495.69)</f>
        <v>495.69</v>
      </c>
      <c r="D298" s="9">
        <f>IFERROR(__xludf.DUMMYFUNCTION("""COMPUTED_VALUE"""),496.5)</f>
        <v>496.5</v>
      </c>
      <c r="E298" s="9">
        <f>IFERROR(__xludf.DUMMYFUNCTION("""COMPUTED_VALUE"""),488.11)</f>
        <v>488.11</v>
      </c>
      <c r="F298" s="9">
        <f>IFERROR(__xludf.DUMMYFUNCTION("""COMPUTED_VALUE"""),491.2)</f>
        <v>491.2</v>
      </c>
      <c r="G298" s="9">
        <f>IFERROR(__xludf.DUMMYFUNCTION("""COMPUTED_VALUE"""),2512615.0)</f>
        <v>2512615</v>
      </c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</row>
    <row r="299">
      <c r="A299" s="1"/>
      <c r="B299" s="22">
        <f>IFERROR(__xludf.DUMMYFUNCTION("""COMPUTED_VALUE"""),41983.64583333333)</f>
        <v>41983.64583</v>
      </c>
      <c r="C299" s="9">
        <f>IFERROR(__xludf.DUMMYFUNCTION("""COMPUTED_VALUE"""),491.5)</f>
        <v>491.5</v>
      </c>
      <c r="D299" s="9">
        <f>IFERROR(__xludf.DUMMYFUNCTION("""COMPUTED_VALUE"""),496.25)</f>
        <v>496.25</v>
      </c>
      <c r="E299" s="9">
        <f>IFERROR(__xludf.DUMMYFUNCTION("""COMPUTED_VALUE"""),489.78)</f>
        <v>489.78</v>
      </c>
      <c r="F299" s="9">
        <f>IFERROR(__xludf.DUMMYFUNCTION("""COMPUTED_VALUE"""),490.94)</f>
        <v>490.94</v>
      </c>
      <c r="G299" s="9">
        <f>IFERROR(__xludf.DUMMYFUNCTION("""COMPUTED_VALUE"""),1951178.0)</f>
        <v>1951178</v>
      </c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</row>
    <row r="300">
      <c r="A300" s="1"/>
      <c r="B300" s="22">
        <f>IFERROR(__xludf.DUMMYFUNCTION("""COMPUTED_VALUE"""),41984.64583333333)</f>
        <v>41984.64583</v>
      </c>
      <c r="C300" s="9">
        <f>IFERROR(__xludf.DUMMYFUNCTION("""COMPUTED_VALUE"""),487.75)</f>
        <v>487.75</v>
      </c>
      <c r="D300" s="9">
        <f>IFERROR(__xludf.DUMMYFUNCTION("""COMPUTED_VALUE"""),488.49)</f>
        <v>488.49</v>
      </c>
      <c r="E300" s="9">
        <f>IFERROR(__xludf.DUMMYFUNCTION("""COMPUTED_VALUE"""),478.75)</f>
        <v>478.75</v>
      </c>
      <c r="F300" s="9">
        <f>IFERROR(__xludf.DUMMYFUNCTION("""COMPUTED_VALUE"""),480.26)</f>
        <v>480.26</v>
      </c>
      <c r="G300" s="9">
        <f>IFERROR(__xludf.DUMMYFUNCTION("""COMPUTED_VALUE"""),2071483.0)</f>
        <v>2071483</v>
      </c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</row>
    <row r="301">
      <c r="A301" s="1"/>
      <c r="B301" s="22">
        <f>IFERROR(__xludf.DUMMYFUNCTION("""COMPUTED_VALUE"""),41985.64583333333)</f>
        <v>41985.64583</v>
      </c>
      <c r="C301" s="9">
        <f>IFERROR(__xludf.DUMMYFUNCTION("""COMPUTED_VALUE"""),484.76)</f>
        <v>484.76</v>
      </c>
      <c r="D301" s="9">
        <f>IFERROR(__xludf.DUMMYFUNCTION("""COMPUTED_VALUE"""),490.1)</f>
        <v>490.1</v>
      </c>
      <c r="E301" s="9">
        <f>IFERROR(__xludf.DUMMYFUNCTION("""COMPUTED_VALUE"""),479.53)</f>
        <v>479.53</v>
      </c>
      <c r="F301" s="9">
        <f>IFERROR(__xludf.DUMMYFUNCTION("""COMPUTED_VALUE"""),484.66)</f>
        <v>484.66</v>
      </c>
      <c r="G301" s="9">
        <f>IFERROR(__xludf.DUMMYFUNCTION("""COMPUTED_VALUE"""),3643125.0)</f>
        <v>3643125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</row>
    <row r="302">
      <c r="A302" s="1"/>
      <c r="B302" s="22">
        <f>IFERROR(__xludf.DUMMYFUNCTION("""COMPUTED_VALUE"""),41988.64583333333)</f>
        <v>41988.64583</v>
      </c>
      <c r="C302" s="9">
        <f>IFERROR(__xludf.DUMMYFUNCTION("""COMPUTED_VALUE"""),476.24)</f>
        <v>476.24</v>
      </c>
      <c r="D302" s="9">
        <f>IFERROR(__xludf.DUMMYFUNCTION("""COMPUTED_VALUE"""),489.31)</f>
        <v>489.31</v>
      </c>
      <c r="E302" s="9">
        <f>IFERROR(__xludf.DUMMYFUNCTION("""COMPUTED_VALUE"""),476.23)</f>
        <v>476.23</v>
      </c>
      <c r="F302" s="9">
        <f>IFERROR(__xludf.DUMMYFUNCTION("""COMPUTED_VALUE"""),481.2)</f>
        <v>481.2</v>
      </c>
      <c r="G302" s="9">
        <f>IFERROR(__xludf.DUMMYFUNCTION("""COMPUTED_VALUE"""),3241571.0)</f>
        <v>3241571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</row>
    <row r="303">
      <c r="A303" s="1"/>
      <c r="B303" s="22">
        <f>IFERROR(__xludf.DUMMYFUNCTION("""COMPUTED_VALUE"""),41989.64583333333)</f>
        <v>41989.64583</v>
      </c>
      <c r="C303" s="9">
        <f>IFERROR(__xludf.DUMMYFUNCTION("""COMPUTED_VALUE"""),481.43)</f>
        <v>481.43</v>
      </c>
      <c r="D303" s="9">
        <f>IFERROR(__xludf.DUMMYFUNCTION("""COMPUTED_VALUE"""),487.9)</f>
        <v>487.9</v>
      </c>
      <c r="E303" s="9">
        <f>IFERROR(__xludf.DUMMYFUNCTION("""COMPUTED_VALUE"""),481.43)</f>
        <v>481.43</v>
      </c>
      <c r="F303" s="9">
        <f>IFERROR(__xludf.DUMMYFUNCTION("""COMPUTED_VALUE"""),484.5)</f>
        <v>484.5</v>
      </c>
      <c r="G303" s="9">
        <f>IFERROR(__xludf.DUMMYFUNCTION("""COMPUTED_VALUE"""),4448189.0)</f>
        <v>4448189</v>
      </c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</row>
    <row r="304">
      <c r="A304" s="1"/>
      <c r="B304" s="22">
        <f>IFERROR(__xludf.DUMMYFUNCTION("""COMPUTED_VALUE"""),41990.64583333333)</f>
        <v>41990.64583</v>
      </c>
      <c r="C304" s="9">
        <f>IFERROR(__xludf.DUMMYFUNCTION("""COMPUTED_VALUE"""),484.0)</f>
        <v>484</v>
      </c>
      <c r="D304" s="9">
        <f>IFERROR(__xludf.DUMMYFUNCTION("""COMPUTED_VALUE"""),488.88)</f>
        <v>488.88</v>
      </c>
      <c r="E304" s="9">
        <f>IFERROR(__xludf.DUMMYFUNCTION("""COMPUTED_VALUE"""),474.08)</f>
        <v>474.08</v>
      </c>
      <c r="F304" s="9">
        <f>IFERROR(__xludf.DUMMYFUNCTION("""COMPUTED_VALUE"""),484.63)</f>
        <v>484.63</v>
      </c>
      <c r="G304" s="9">
        <f>IFERROR(__xludf.DUMMYFUNCTION("""COMPUTED_VALUE"""),4462944.0)</f>
        <v>4462944</v>
      </c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</row>
    <row r="305">
      <c r="A305" s="1"/>
      <c r="B305" s="22">
        <f>IFERROR(__xludf.DUMMYFUNCTION("""COMPUTED_VALUE"""),41991.64583333333)</f>
        <v>41991.64583</v>
      </c>
      <c r="C305" s="9">
        <f>IFERROR(__xludf.DUMMYFUNCTION("""COMPUTED_VALUE"""),488.5)</f>
        <v>488.5</v>
      </c>
      <c r="D305" s="9">
        <f>IFERROR(__xludf.DUMMYFUNCTION("""COMPUTED_VALUE"""),495.45)</f>
        <v>495.45</v>
      </c>
      <c r="E305" s="9">
        <f>IFERROR(__xludf.DUMMYFUNCTION("""COMPUTED_VALUE"""),486.19)</f>
        <v>486.19</v>
      </c>
      <c r="F305" s="9">
        <f>IFERROR(__xludf.DUMMYFUNCTION("""COMPUTED_VALUE"""),491.48)</f>
        <v>491.48</v>
      </c>
      <c r="G305" s="9">
        <f>IFERROR(__xludf.DUMMYFUNCTION("""COMPUTED_VALUE"""),4987495.0)</f>
        <v>4987495</v>
      </c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</row>
    <row r="306">
      <c r="A306" s="1"/>
      <c r="B306" s="22">
        <f>IFERROR(__xludf.DUMMYFUNCTION("""COMPUTED_VALUE"""),41992.64583333333)</f>
        <v>41992.64583</v>
      </c>
      <c r="C306" s="9">
        <f>IFERROR(__xludf.DUMMYFUNCTION("""COMPUTED_VALUE"""),499.4)</f>
        <v>499.4</v>
      </c>
      <c r="D306" s="9">
        <f>IFERROR(__xludf.DUMMYFUNCTION("""COMPUTED_VALUE"""),502.0)</f>
        <v>502</v>
      </c>
      <c r="E306" s="9">
        <f>IFERROR(__xludf.DUMMYFUNCTION("""COMPUTED_VALUE"""),496.5)</f>
        <v>496.5</v>
      </c>
      <c r="F306" s="9">
        <f>IFERROR(__xludf.DUMMYFUNCTION("""COMPUTED_VALUE"""),499.66)</f>
        <v>499.66</v>
      </c>
      <c r="G306" s="9">
        <f>IFERROR(__xludf.DUMMYFUNCTION("""COMPUTED_VALUE"""),3573658.0)</f>
        <v>3573658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</row>
    <row r="307">
      <c r="A307" s="1"/>
      <c r="B307" s="22">
        <f>IFERROR(__xludf.DUMMYFUNCTION("""COMPUTED_VALUE"""),41995.64583333333)</f>
        <v>41995.64583</v>
      </c>
      <c r="C307" s="9">
        <f>IFERROR(__xludf.DUMMYFUNCTION("""COMPUTED_VALUE"""),501.5)</f>
        <v>501.5</v>
      </c>
      <c r="D307" s="9">
        <f>IFERROR(__xludf.DUMMYFUNCTION("""COMPUTED_VALUE"""),502.53)</f>
        <v>502.53</v>
      </c>
      <c r="E307" s="9">
        <f>IFERROR(__xludf.DUMMYFUNCTION("""COMPUTED_VALUE"""),493.84)</f>
        <v>493.84</v>
      </c>
      <c r="F307" s="9">
        <f>IFERROR(__xludf.DUMMYFUNCTION("""COMPUTED_VALUE"""),499.9)</f>
        <v>499.9</v>
      </c>
      <c r="G307" s="9">
        <f>IFERROR(__xludf.DUMMYFUNCTION("""COMPUTED_VALUE"""),2616276.0)</f>
        <v>2616276</v>
      </c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</row>
    <row r="308">
      <c r="A308" s="1"/>
      <c r="B308" s="22">
        <f>IFERROR(__xludf.DUMMYFUNCTION("""COMPUTED_VALUE"""),41996.64583333333)</f>
        <v>41996.64583</v>
      </c>
      <c r="C308" s="9">
        <f>IFERROR(__xludf.DUMMYFUNCTION("""COMPUTED_VALUE"""),500.21)</f>
        <v>500.21</v>
      </c>
      <c r="D308" s="9">
        <f>IFERROR(__xludf.DUMMYFUNCTION("""COMPUTED_VALUE"""),505.48)</f>
        <v>505.48</v>
      </c>
      <c r="E308" s="9">
        <f>IFERROR(__xludf.DUMMYFUNCTION("""COMPUTED_VALUE"""),490.9)</f>
        <v>490.9</v>
      </c>
      <c r="F308" s="9">
        <f>IFERROR(__xludf.DUMMYFUNCTION("""COMPUTED_VALUE"""),492.91)</f>
        <v>492.91</v>
      </c>
      <c r="G308" s="9">
        <f>IFERROR(__xludf.DUMMYFUNCTION("""COMPUTED_VALUE"""),2049238.0)</f>
        <v>2049238</v>
      </c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</row>
    <row r="309">
      <c r="A309" s="1"/>
      <c r="B309" s="22">
        <f>IFERROR(__xludf.DUMMYFUNCTION("""COMPUTED_VALUE"""),41997.64583333333)</f>
        <v>41997.64583</v>
      </c>
      <c r="C309" s="9">
        <f>IFERROR(__xludf.DUMMYFUNCTION("""COMPUTED_VALUE"""),494.0)</f>
        <v>494</v>
      </c>
      <c r="D309" s="9">
        <f>IFERROR(__xludf.DUMMYFUNCTION("""COMPUTED_VALUE"""),496.75)</f>
        <v>496.75</v>
      </c>
      <c r="E309" s="9">
        <f>IFERROR(__xludf.DUMMYFUNCTION("""COMPUTED_VALUE"""),478.76)</f>
        <v>478.76</v>
      </c>
      <c r="F309" s="9">
        <f>IFERROR(__xludf.DUMMYFUNCTION("""COMPUTED_VALUE"""),482.64)</f>
        <v>482.64</v>
      </c>
      <c r="G309" s="9">
        <f>IFERROR(__xludf.DUMMYFUNCTION("""COMPUTED_VALUE"""),6834872.0)</f>
        <v>6834872</v>
      </c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</row>
    <row r="310">
      <c r="A310" s="1"/>
      <c r="B310" s="22">
        <f>IFERROR(__xludf.DUMMYFUNCTION("""COMPUTED_VALUE"""),41999.64583333333)</f>
        <v>41999.64583</v>
      </c>
      <c r="C310" s="9">
        <f>IFERROR(__xludf.DUMMYFUNCTION("""COMPUTED_VALUE"""),486.28)</f>
        <v>486.28</v>
      </c>
      <c r="D310" s="9">
        <f>IFERROR(__xludf.DUMMYFUNCTION("""COMPUTED_VALUE"""),490.18)</f>
        <v>490.18</v>
      </c>
      <c r="E310" s="9">
        <f>IFERROR(__xludf.DUMMYFUNCTION("""COMPUTED_VALUE"""),482.74)</f>
        <v>482.74</v>
      </c>
      <c r="F310" s="9">
        <f>IFERROR(__xludf.DUMMYFUNCTION("""COMPUTED_VALUE"""),488.06)</f>
        <v>488.06</v>
      </c>
      <c r="G310" s="9">
        <f>IFERROR(__xludf.DUMMYFUNCTION("""COMPUTED_VALUE"""),567187.0)</f>
        <v>567187</v>
      </c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</row>
    <row r="311">
      <c r="A311" s="1"/>
      <c r="B311" s="22">
        <f>IFERROR(__xludf.DUMMYFUNCTION("""COMPUTED_VALUE"""),42002.64583333333)</f>
        <v>42002.64583</v>
      </c>
      <c r="C311" s="9">
        <f>IFERROR(__xludf.DUMMYFUNCTION("""COMPUTED_VALUE"""),489.01)</f>
        <v>489.01</v>
      </c>
      <c r="D311" s="9">
        <f>IFERROR(__xludf.DUMMYFUNCTION("""COMPUTED_VALUE"""),493.2)</f>
        <v>493.2</v>
      </c>
      <c r="E311" s="9">
        <f>IFERROR(__xludf.DUMMYFUNCTION("""COMPUTED_VALUE"""),488.13)</f>
        <v>488.13</v>
      </c>
      <c r="F311" s="9">
        <f>IFERROR(__xludf.DUMMYFUNCTION("""COMPUTED_VALUE"""),489.45)</f>
        <v>489.45</v>
      </c>
      <c r="G311" s="9">
        <f>IFERROR(__xludf.DUMMYFUNCTION("""COMPUTED_VALUE"""),698169.0)</f>
        <v>698169</v>
      </c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</row>
    <row r="312">
      <c r="A312" s="1"/>
      <c r="B312" s="22">
        <f>IFERROR(__xludf.DUMMYFUNCTION("""COMPUTED_VALUE"""),42003.64583333333)</f>
        <v>42003.64583</v>
      </c>
      <c r="C312" s="9">
        <f>IFERROR(__xludf.DUMMYFUNCTION("""COMPUTED_VALUE"""),490.56)</f>
        <v>490.56</v>
      </c>
      <c r="D312" s="9">
        <f>IFERROR(__xludf.DUMMYFUNCTION("""COMPUTED_VALUE"""),493.75)</f>
        <v>493.75</v>
      </c>
      <c r="E312" s="9">
        <f>IFERROR(__xludf.DUMMYFUNCTION("""COMPUTED_VALUE"""),489.2)</f>
        <v>489.2</v>
      </c>
      <c r="F312" s="9">
        <f>IFERROR(__xludf.DUMMYFUNCTION("""COMPUTED_VALUE"""),491.59)</f>
        <v>491.59</v>
      </c>
      <c r="G312" s="9">
        <f>IFERROR(__xludf.DUMMYFUNCTION("""COMPUTED_VALUE"""),1160138.0)</f>
        <v>1160138</v>
      </c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</row>
    <row r="313">
      <c r="A313" s="1"/>
      <c r="B313" s="22">
        <f>IFERROR(__xludf.DUMMYFUNCTION("""COMPUTED_VALUE"""),42004.64583333333)</f>
        <v>42004.64583</v>
      </c>
      <c r="C313" s="9">
        <f>IFERROR(__xludf.DUMMYFUNCTION("""COMPUTED_VALUE"""),488.75)</f>
        <v>488.75</v>
      </c>
      <c r="D313" s="9">
        <f>IFERROR(__xludf.DUMMYFUNCTION("""COMPUTED_VALUE"""),494.74)</f>
        <v>494.74</v>
      </c>
      <c r="E313" s="9">
        <f>IFERROR(__xludf.DUMMYFUNCTION("""COMPUTED_VALUE"""),487.5)</f>
        <v>487.5</v>
      </c>
      <c r="F313" s="9">
        <f>IFERROR(__xludf.DUMMYFUNCTION("""COMPUTED_VALUE"""),493.14)</f>
        <v>493.14</v>
      </c>
      <c r="G313" s="9">
        <f>IFERROR(__xludf.DUMMYFUNCTION("""COMPUTED_VALUE"""),1742202.0)</f>
        <v>1742202</v>
      </c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</row>
    <row r="314">
      <c r="A314" s="1"/>
      <c r="B314" s="22">
        <f>IFERROR(__xludf.DUMMYFUNCTION("""COMPUTED_VALUE"""),42005.64583333333)</f>
        <v>42005.64583</v>
      </c>
      <c r="C314" s="9">
        <f>IFERROR(__xludf.DUMMYFUNCTION("""COMPUTED_VALUE"""),492.24)</f>
        <v>492.24</v>
      </c>
      <c r="D314" s="9">
        <f>IFERROR(__xludf.DUMMYFUNCTION("""COMPUTED_VALUE"""),495.5)</f>
        <v>495.5</v>
      </c>
      <c r="E314" s="9">
        <f>IFERROR(__xludf.DUMMYFUNCTION("""COMPUTED_VALUE"""),489.23)</f>
        <v>489.23</v>
      </c>
      <c r="F314" s="9">
        <f>IFERROR(__xludf.DUMMYFUNCTION("""COMPUTED_VALUE"""),493.6)</f>
        <v>493.6</v>
      </c>
      <c r="G314" s="9">
        <f>IFERROR(__xludf.DUMMYFUNCTION("""COMPUTED_VALUE"""),500691.0)</f>
        <v>500691</v>
      </c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</row>
    <row r="315">
      <c r="A315" s="1"/>
      <c r="B315" s="22">
        <f>IFERROR(__xludf.DUMMYFUNCTION("""COMPUTED_VALUE"""),42006.64583333333)</f>
        <v>42006.64583</v>
      </c>
      <c r="C315" s="9">
        <f>IFERROR(__xludf.DUMMYFUNCTION("""COMPUTED_VALUE"""),493.0)</f>
        <v>493</v>
      </c>
      <c r="D315" s="9">
        <f>IFERROR(__xludf.DUMMYFUNCTION("""COMPUTED_VALUE"""),504.76)</f>
        <v>504.76</v>
      </c>
      <c r="E315" s="9">
        <f>IFERROR(__xludf.DUMMYFUNCTION("""COMPUTED_VALUE"""),493.0)</f>
        <v>493</v>
      </c>
      <c r="F315" s="9">
        <f>IFERROR(__xludf.DUMMYFUNCTION("""COMPUTED_VALUE"""),503.3)</f>
        <v>503.3</v>
      </c>
      <c r="G315" s="9">
        <f>IFERROR(__xludf.DUMMYFUNCTION("""COMPUTED_VALUE"""),1694580.0)</f>
        <v>1694580</v>
      </c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</row>
    <row r="316">
      <c r="A316" s="1"/>
      <c r="B316" s="22">
        <f>IFERROR(__xludf.DUMMYFUNCTION("""COMPUTED_VALUE"""),42009.64583333333)</f>
        <v>42009.64583</v>
      </c>
      <c r="C316" s="9">
        <f>IFERROR(__xludf.DUMMYFUNCTION("""COMPUTED_VALUE"""),502.48)</f>
        <v>502.48</v>
      </c>
      <c r="D316" s="9">
        <f>IFERROR(__xludf.DUMMYFUNCTION("""COMPUTED_VALUE"""),507.5)</f>
        <v>507.5</v>
      </c>
      <c r="E316" s="9">
        <f>IFERROR(__xludf.DUMMYFUNCTION("""COMPUTED_VALUE"""),494.38)</f>
        <v>494.38</v>
      </c>
      <c r="F316" s="9">
        <f>IFERROR(__xludf.DUMMYFUNCTION("""COMPUTED_VALUE"""),498.98)</f>
        <v>498.98</v>
      </c>
      <c r="G316" s="9">
        <f>IFERROR(__xludf.DUMMYFUNCTION("""COMPUTED_VALUE"""),2484256.0)</f>
        <v>2484256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</row>
    <row r="317">
      <c r="A317" s="1"/>
      <c r="B317" s="22">
        <f>IFERROR(__xludf.DUMMYFUNCTION("""COMPUTED_VALUE"""),42010.64583333333)</f>
        <v>42010.64583</v>
      </c>
      <c r="C317" s="9">
        <f>IFERROR(__xludf.DUMMYFUNCTION("""COMPUTED_VALUE"""),495.0)</f>
        <v>495</v>
      </c>
      <c r="D317" s="9">
        <f>IFERROR(__xludf.DUMMYFUNCTION("""COMPUTED_VALUE"""),496.25)</f>
        <v>496.25</v>
      </c>
      <c r="E317" s="9">
        <f>IFERROR(__xludf.DUMMYFUNCTION("""COMPUTED_VALUE"""),483.53)</f>
        <v>483.53</v>
      </c>
      <c r="F317" s="9">
        <f>IFERROR(__xludf.DUMMYFUNCTION("""COMPUTED_VALUE"""),488.55)</f>
        <v>488.55</v>
      </c>
      <c r="G317" s="9">
        <f>IFERROR(__xludf.DUMMYFUNCTION("""COMPUTED_VALUE"""),2416829.0)</f>
        <v>2416829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</row>
    <row r="318">
      <c r="A318" s="1"/>
      <c r="B318" s="22">
        <f>IFERROR(__xludf.DUMMYFUNCTION("""COMPUTED_VALUE"""),42011.64583333333)</f>
        <v>42011.64583</v>
      </c>
      <c r="C318" s="9">
        <f>IFERROR(__xludf.DUMMYFUNCTION("""COMPUTED_VALUE"""),491.25)</f>
        <v>491.25</v>
      </c>
      <c r="D318" s="9">
        <f>IFERROR(__xludf.DUMMYFUNCTION("""COMPUTED_VALUE"""),493.69)</f>
        <v>493.69</v>
      </c>
      <c r="E318" s="9">
        <f>IFERROR(__xludf.DUMMYFUNCTION("""COMPUTED_VALUE"""),487.5)</f>
        <v>487.5</v>
      </c>
      <c r="F318" s="9">
        <f>IFERROR(__xludf.DUMMYFUNCTION("""COMPUTED_VALUE"""),490.89)</f>
        <v>490.89</v>
      </c>
      <c r="G318" s="9">
        <f>IFERROR(__xludf.DUMMYFUNCTION("""COMPUTED_VALUE"""),1812479.0)</f>
        <v>1812479</v>
      </c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</row>
    <row r="319">
      <c r="A319" s="1"/>
      <c r="B319" s="22">
        <f>IFERROR(__xludf.DUMMYFUNCTION("""COMPUTED_VALUE"""),42012.64583333333)</f>
        <v>42012.64583</v>
      </c>
      <c r="C319" s="9">
        <f>IFERROR(__xludf.DUMMYFUNCTION("""COMPUTED_VALUE"""),496.4)</f>
        <v>496.4</v>
      </c>
      <c r="D319" s="9">
        <f>IFERROR(__xludf.DUMMYFUNCTION("""COMPUTED_VALUE"""),499.25)</f>
        <v>499.25</v>
      </c>
      <c r="E319" s="9">
        <f>IFERROR(__xludf.DUMMYFUNCTION("""COMPUTED_VALUE"""),487.5)</f>
        <v>487.5</v>
      </c>
      <c r="F319" s="9">
        <f>IFERROR(__xludf.DUMMYFUNCTION("""COMPUTED_VALUE"""),493.36)</f>
        <v>493.36</v>
      </c>
      <c r="G319" s="9">
        <f>IFERROR(__xludf.DUMMYFUNCTION("""COMPUTED_VALUE"""),3391230.0)</f>
        <v>3391230</v>
      </c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</row>
    <row r="320">
      <c r="A320" s="1"/>
      <c r="B320" s="22">
        <f>IFERROR(__xludf.DUMMYFUNCTION("""COMPUTED_VALUE"""),42013.64583333333)</f>
        <v>42013.64583</v>
      </c>
      <c r="C320" s="9">
        <f>IFERROR(__xludf.DUMMYFUNCTION("""COMPUTED_VALUE"""),495.03)</f>
        <v>495.03</v>
      </c>
      <c r="D320" s="9">
        <f>IFERROR(__xludf.DUMMYFUNCTION("""COMPUTED_VALUE"""),527.25)</f>
        <v>527.25</v>
      </c>
      <c r="E320" s="9">
        <f>IFERROR(__xludf.DUMMYFUNCTION("""COMPUTED_VALUE"""),478.26)</f>
        <v>478.26</v>
      </c>
      <c r="F320" s="9">
        <f>IFERROR(__xludf.DUMMYFUNCTION("""COMPUTED_VALUE"""),518.61)</f>
        <v>518.61</v>
      </c>
      <c r="G320" s="9">
        <f>IFERROR(__xludf.DUMMYFUNCTION("""COMPUTED_VALUE"""),1.1215832E7)</f>
        <v>11215832</v>
      </c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</row>
    <row r="321">
      <c r="A321" s="1"/>
      <c r="B321" s="22">
        <f>IFERROR(__xludf.DUMMYFUNCTION("""COMPUTED_VALUE"""),42016.64583333333)</f>
        <v>42016.64583</v>
      </c>
      <c r="C321" s="9">
        <f>IFERROR(__xludf.DUMMYFUNCTION("""COMPUTED_VALUE"""),523.0)</f>
        <v>523</v>
      </c>
      <c r="D321" s="9">
        <f>IFERROR(__xludf.DUMMYFUNCTION("""COMPUTED_VALUE"""),529.8)</f>
        <v>529.8</v>
      </c>
      <c r="E321" s="9">
        <f>IFERROR(__xludf.DUMMYFUNCTION("""COMPUTED_VALUE"""),518.75)</f>
        <v>518.75</v>
      </c>
      <c r="F321" s="9">
        <f>IFERROR(__xludf.DUMMYFUNCTION("""COMPUTED_VALUE"""),528.99)</f>
        <v>528.99</v>
      </c>
      <c r="G321" s="9">
        <f>IFERROR(__xludf.DUMMYFUNCTION("""COMPUTED_VALUE"""),3189722.0)</f>
        <v>3189722</v>
      </c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</row>
    <row r="322">
      <c r="A322" s="1"/>
      <c r="B322" s="22">
        <f>IFERROR(__xludf.DUMMYFUNCTION("""COMPUTED_VALUE"""),42017.64583333333)</f>
        <v>42017.64583</v>
      </c>
      <c r="C322" s="9">
        <f>IFERROR(__xludf.DUMMYFUNCTION("""COMPUTED_VALUE"""),526.95)</f>
        <v>526.95</v>
      </c>
      <c r="D322" s="9">
        <f>IFERROR(__xludf.DUMMYFUNCTION("""COMPUTED_VALUE"""),526.95)</f>
        <v>526.95</v>
      </c>
      <c r="E322" s="9">
        <f>IFERROR(__xludf.DUMMYFUNCTION("""COMPUTED_VALUE"""),518.75)</f>
        <v>518.75</v>
      </c>
      <c r="F322" s="9">
        <f>IFERROR(__xludf.DUMMYFUNCTION("""COMPUTED_VALUE"""),522.23)</f>
        <v>522.23</v>
      </c>
      <c r="G322" s="9">
        <f>IFERROR(__xludf.DUMMYFUNCTION("""COMPUTED_VALUE"""),2200309.0)</f>
        <v>2200309</v>
      </c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</row>
    <row r="323">
      <c r="A323" s="1"/>
      <c r="B323" s="22">
        <f>IFERROR(__xludf.DUMMYFUNCTION("""COMPUTED_VALUE"""),42018.64583333333)</f>
        <v>42018.64583</v>
      </c>
      <c r="C323" s="9">
        <f>IFERROR(__xludf.DUMMYFUNCTION("""COMPUTED_VALUE"""),524.63)</f>
        <v>524.63</v>
      </c>
      <c r="D323" s="9">
        <f>IFERROR(__xludf.DUMMYFUNCTION("""COMPUTED_VALUE"""),533.25)</f>
        <v>533.25</v>
      </c>
      <c r="E323" s="9">
        <f>IFERROR(__xludf.DUMMYFUNCTION("""COMPUTED_VALUE"""),523.15)</f>
        <v>523.15</v>
      </c>
      <c r="F323" s="9">
        <f>IFERROR(__xludf.DUMMYFUNCTION("""COMPUTED_VALUE"""),532.16)</f>
        <v>532.16</v>
      </c>
      <c r="G323" s="9">
        <f>IFERROR(__xludf.DUMMYFUNCTION("""COMPUTED_VALUE"""),2480315.0)</f>
        <v>2480315</v>
      </c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</row>
    <row r="324">
      <c r="A324" s="1"/>
      <c r="B324" s="22">
        <f>IFERROR(__xludf.DUMMYFUNCTION("""COMPUTED_VALUE"""),42019.64583333333)</f>
        <v>42019.64583</v>
      </c>
      <c r="C324" s="9">
        <f>IFERROR(__xludf.DUMMYFUNCTION("""COMPUTED_VALUE"""),533.8)</f>
        <v>533.8</v>
      </c>
      <c r="D324" s="9">
        <f>IFERROR(__xludf.DUMMYFUNCTION("""COMPUTED_VALUE"""),538.2)</f>
        <v>538.2</v>
      </c>
      <c r="E324" s="9">
        <f>IFERROR(__xludf.DUMMYFUNCTION("""COMPUTED_VALUE"""),528.06)</f>
        <v>528.06</v>
      </c>
      <c r="F324" s="9">
        <f>IFERROR(__xludf.DUMMYFUNCTION("""COMPUTED_VALUE"""),533.56)</f>
        <v>533.56</v>
      </c>
      <c r="G324" s="9">
        <f>IFERROR(__xludf.DUMMYFUNCTION("""COMPUTED_VALUE"""),2085613.0)</f>
        <v>2085613</v>
      </c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</row>
    <row r="325">
      <c r="A325" s="1"/>
      <c r="B325" s="22">
        <f>IFERROR(__xludf.DUMMYFUNCTION("""COMPUTED_VALUE"""),42020.64583333333)</f>
        <v>42020.64583</v>
      </c>
      <c r="C325" s="9">
        <f>IFERROR(__xludf.DUMMYFUNCTION("""COMPUTED_VALUE"""),537.0)</f>
        <v>537</v>
      </c>
      <c r="D325" s="9">
        <f>IFERROR(__xludf.DUMMYFUNCTION("""COMPUTED_VALUE"""),540.0)</f>
        <v>540</v>
      </c>
      <c r="E325" s="9">
        <f>IFERROR(__xludf.DUMMYFUNCTION("""COMPUTED_VALUE"""),528.0)</f>
        <v>528</v>
      </c>
      <c r="F325" s="9">
        <f>IFERROR(__xludf.DUMMYFUNCTION("""COMPUTED_VALUE"""),529.58)</f>
        <v>529.58</v>
      </c>
      <c r="G325" s="9">
        <f>IFERROR(__xludf.DUMMYFUNCTION("""COMPUTED_VALUE"""),1672740.0)</f>
        <v>1672740</v>
      </c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</row>
    <row r="326">
      <c r="A326" s="1"/>
      <c r="B326" s="22">
        <f>IFERROR(__xludf.DUMMYFUNCTION("""COMPUTED_VALUE"""),42023.64583333333)</f>
        <v>42023.64583</v>
      </c>
      <c r="C326" s="9">
        <f>IFERROR(__xludf.DUMMYFUNCTION("""COMPUTED_VALUE"""),530.0)</f>
        <v>530</v>
      </c>
      <c r="D326" s="9">
        <f>IFERROR(__xludf.DUMMYFUNCTION("""COMPUTED_VALUE"""),533.09)</f>
        <v>533.09</v>
      </c>
      <c r="E326" s="9">
        <f>IFERROR(__xludf.DUMMYFUNCTION("""COMPUTED_VALUE"""),523.65)</f>
        <v>523.65</v>
      </c>
      <c r="F326" s="9">
        <f>IFERROR(__xludf.DUMMYFUNCTION("""COMPUTED_VALUE"""),525.63)</f>
        <v>525.63</v>
      </c>
      <c r="G326" s="9">
        <f>IFERROR(__xludf.DUMMYFUNCTION("""COMPUTED_VALUE"""),1021936.0)</f>
        <v>1021936</v>
      </c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</row>
    <row r="327">
      <c r="A327" s="1"/>
      <c r="B327" s="22">
        <f>IFERROR(__xludf.DUMMYFUNCTION("""COMPUTED_VALUE"""),42024.64583333333)</f>
        <v>42024.64583</v>
      </c>
      <c r="C327" s="9">
        <f>IFERROR(__xludf.DUMMYFUNCTION("""COMPUTED_VALUE"""),526.75)</f>
        <v>526.75</v>
      </c>
      <c r="D327" s="9">
        <f>IFERROR(__xludf.DUMMYFUNCTION("""COMPUTED_VALUE"""),533.25)</f>
        <v>533.25</v>
      </c>
      <c r="E327" s="9">
        <f>IFERROR(__xludf.DUMMYFUNCTION("""COMPUTED_VALUE"""),525.36)</f>
        <v>525.36</v>
      </c>
      <c r="F327" s="9">
        <f>IFERROR(__xludf.DUMMYFUNCTION("""COMPUTED_VALUE"""),531.05)</f>
        <v>531.05</v>
      </c>
      <c r="G327" s="9">
        <f>IFERROR(__xludf.DUMMYFUNCTION("""COMPUTED_VALUE"""),1701126.0)</f>
        <v>1701126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</row>
    <row r="328">
      <c r="A328" s="1"/>
      <c r="B328" s="22">
        <f>IFERROR(__xludf.DUMMYFUNCTION("""COMPUTED_VALUE"""),42025.64583333333)</f>
        <v>42025.64583</v>
      </c>
      <c r="C328" s="9">
        <f>IFERROR(__xludf.DUMMYFUNCTION("""COMPUTED_VALUE"""),532.88)</f>
        <v>532.88</v>
      </c>
      <c r="D328" s="9">
        <f>IFERROR(__xludf.DUMMYFUNCTION("""COMPUTED_VALUE"""),543.99)</f>
        <v>543.99</v>
      </c>
      <c r="E328" s="9">
        <f>IFERROR(__xludf.DUMMYFUNCTION("""COMPUTED_VALUE"""),529.5)</f>
        <v>529.5</v>
      </c>
      <c r="F328" s="9">
        <f>IFERROR(__xludf.DUMMYFUNCTION("""COMPUTED_VALUE"""),542.48)</f>
        <v>542.48</v>
      </c>
      <c r="G328" s="9">
        <f>IFERROR(__xludf.DUMMYFUNCTION("""COMPUTED_VALUE"""),2123727.0)</f>
        <v>2123727</v>
      </c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</row>
    <row r="329">
      <c r="A329" s="1"/>
      <c r="B329" s="22">
        <f>IFERROR(__xludf.DUMMYFUNCTION("""COMPUTED_VALUE"""),42026.64583333333)</f>
        <v>42026.64583</v>
      </c>
      <c r="C329" s="9">
        <f>IFERROR(__xludf.DUMMYFUNCTION("""COMPUTED_VALUE"""),543.7)</f>
        <v>543.7</v>
      </c>
      <c r="D329" s="9">
        <f>IFERROR(__xludf.DUMMYFUNCTION("""COMPUTED_VALUE"""),550.75)</f>
        <v>550.75</v>
      </c>
      <c r="E329" s="9">
        <f>IFERROR(__xludf.DUMMYFUNCTION("""COMPUTED_VALUE"""),540.33)</f>
        <v>540.33</v>
      </c>
      <c r="F329" s="9">
        <f>IFERROR(__xludf.DUMMYFUNCTION("""COMPUTED_VALUE"""),549.11)</f>
        <v>549.11</v>
      </c>
      <c r="G329" s="9">
        <f>IFERROR(__xludf.DUMMYFUNCTION("""COMPUTED_VALUE"""),2489599.0)</f>
        <v>2489599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</row>
    <row r="330">
      <c r="A330" s="1"/>
      <c r="B330" s="22">
        <f>IFERROR(__xludf.DUMMYFUNCTION("""COMPUTED_VALUE"""),42027.64583333333)</f>
        <v>42027.64583</v>
      </c>
      <c r="C330" s="9">
        <f>IFERROR(__xludf.DUMMYFUNCTION("""COMPUTED_VALUE"""),550.0)</f>
        <v>550</v>
      </c>
      <c r="D330" s="9">
        <f>IFERROR(__xludf.DUMMYFUNCTION("""COMPUTED_VALUE"""),556.25)</f>
        <v>556.25</v>
      </c>
      <c r="E330" s="9">
        <f>IFERROR(__xludf.DUMMYFUNCTION("""COMPUTED_VALUE"""),541.28)</f>
        <v>541.28</v>
      </c>
      <c r="F330" s="9">
        <f>IFERROR(__xludf.DUMMYFUNCTION("""COMPUTED_VALUE"""),553.76)</f>
        <v>553.76</v>
      </c>
      <c r="G330" s="9">
        <f>IFERROR(__xludf.DUMMYFUNCTION("""COMPUTED_VALUE"""),2371582.0)</f>
        <v>2371582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</row>
    <row r="331">
      <c r="A331" s="1"/>
      <c r="B331" s="22">
        <f>IFERROR(__xludf.DUMMYFUNCTION("""COMPUTED_VALUE"""),42031.64583333333)</f>
        <v>42031.64583</v>
      </c>
      <c r="C331" s="9">
        <f>IFERROR(__xludf.DUMMYFUNCTION("""COMPUTED_VALUE"""),555.25)</f>
        <v>555.25</v>
      </c>
      <c r="D331" s="9">
        <f>IFERROR(__xludf.DUMMYFUNCTION("""COMPUTED_VALUE"""),555.25)</f>
        <v>555.25</v>
      </c>
      <c r="E331" s="9">
        <f>IFERROR(__xludf.DUMMYFUNCTION("""COMPUTED_VALUE"""),532.53)</f>
        <v>532.53</v>
      </c>
      <c r="F331" s="9">
        <f>IFERROR(__xludf.DUMMYFUNCTION("""COMPUTED_VALUE"""),534.13)</f>
        <v>534.13</v>
      </c>
      <c r="G331" s="9">
        <f>IFERROR(__xludf.DUMMYFUNCTION("""COMPUTED_VALUE"""),3434992.0)</f>
        <v>3434992</v>
      </c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</row>
    <row r="332">
      <c r="A332" s="1"/>
      <c r="B332" s="22">
        <f>IFERROR(__xludf.DUMMYFUNCTION("""COMPUTED_VALUE"""),42032.64583333333)</f>
        <v>42032.64583</v>
      </c>
      <c r="C332" s="9">
        <f>IFERROR(__xludf.DUMMYFUNCTION("""COMPUTED_VALUE"""),537.5)</f>
        <v>537.5</v>
      </c>
      <c r="D332" s="9">
        <f>IFERROR(__xludf.DUMMYFUNCTION("""COMPUTED_VALUE"""),538.7)</f>
        <v>538.7</v>
      </c>
      <c r="E332" s="9">
        <f>IFERROR(__xludf.DUMMYFUNCTION("""COMPUTED_VALUE"""),532.58)</f>
        <v>532.58</v>
      </c>
      <c r="F332" s="9">
        <f>IFERROR(__xludf.DUMMYFUNCTION("""COMPUTED_VALUE"""),536.14)</f>
        <v>536.14</v>
      </c>
      <c r="G332" s="9">
        <f>IFERROR(__xludf.DUMMYFUNCTION("""COMPUTED_VALUE"""),3283589.0)</f>
        <v>3283589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</row>
    <row r="333">
      <c r="A333" s="1"/>
      <c r="B333" s="22">
        <f>IFERROR(__xludf.DUMMYFUNCTION("""COMPUTED_VALUE"""),42033.64583333333)</f>
        <v>42033.64583</v>
      </c>
      <c r="C333" s="9">
        <f>IFERROR(__xludf.DUMMYFUNCTION("""COMPUTED_VALUE"""),536.25)</f>
        <v>536.25</v>
      </c>
      <c r="D333" s="9">
        <f>IFERROR(__xludf.DUMMYFUNCTION("""COMPUTED_VALUE"""),537.48)</f>
        <v>537.48</v>
      </c>
      <c r="E333" s="9">
        <f>IFERROR(__xludf.DUMMYFUNCTION("""COMPUTED_VALUE"""),531.9)</f>
        <v>531.9</v>
      </c>
      <c r="F333" s="9">
        <f>IFERROR(__xludf.DUMMYFUNCTION("""COMPUTED_VALUE"""),536.38)</f>
        <v>536.38</v>
      </c>
      <c r="G333" s="9">
        <f>IFERROR(__xludf.DUMMYFUNCTION("""COMPUTED_VALUE"""),3842356.0)</f>
        <v>3842356</v>
      </c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</row>
    <row r="334">
      <c r="A334" s="1"/>
      <c r="B334" s="22">
        <f>IFERROR(__xludf.DUMMYFUNCTION("""COMPUTED_VALUE"""),42034.64583333333)</f>
        <v>42034.64583</v>
      </c>
      <c r="C334" s="9">
        <f>IFERROR(__xludf.DUMMYFUNCTION("""COMPUTED_VALUE"""),540.38)</f>
        <v>540.38</v>
      </c>
      <c r="D334" s="9">
        <f>IFERROR(__xludf.DUMMYFUNCTION("""COMPUTED_VALUE"""),540.64)</f>
        <v>540.64</v>
      </c>
      <c r="E334" s="9">
        <f>IFERROR(__xludf.DUMMYFUNCTION("""COMPUTED_VALUE"""),531.74)</f>
        <v>531.74</v>
      </c>
      <c r="F334" s="9">
        <f>IFERROR(__xludf.DUMMYFUNCTION("""COMPUTED_VALUE"""),535.48)</f>
        <v>535.48</v>
      </c>
      <c r="G334" s="9">
        <f>IFERROR(__xludf.DUMMYFUNCTION("""COMPUTED_VALUE"""),2708436.0)</f>
        <v>2708436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</row>
    <row r="335">
      <c r="A335" s="1"/>
      <c r="B335" s="22">
        <f>IFERROR(__xludf.DUMMYFUNCTION("""COMPUTED_VALUE"""),42037.64583333333)</f>
        <v>42037.64583</v>
      </c>
      <c r="C335" s="9">
        <f>IFERROR(__xludf.DUMMYFUNCTION("""COMPUTED_VALUE"""),535.38)</f>
        <v>535.38</v>
      </c>
      <c r="D335" s="9">
        <f>IFERROR(__xludf.DUMMYFUNCTION("""COMPUTED_VALUE"""),538.0)</f>
        <v>538</v>
      </c>
      <c r="E335" s="9">
        <f>IFERROR(__xludf.DUMMYFUNCTION("""COMPUTED_VALUE"""),531.51)</f>
        <v>531.51</v>
      </c>
      <c r="F335" s="9">
        <f>IFERROR(__xludf.DUMMYFUNCTION("""COMPUTED_VALUE"""),534.21)</f>
        <v>534.21</v>
      </c>
      <c r="G335" s="9">
        <f>IFERROR(__xludf.DUMMYFUNCTION("""COMPUTED_VALUE"""),2175635.0)</f>
        <v>2175635</v>
      </c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</row>
    <row r="336">
      <c r="A336" s="1"/>
      <c r="B336" s="22">
        <f>IFERROR(__xludf.DUMMYFUNCTION("""COMPUTED_VALUE"""),42038.64583333333)</f>
        <v>42038.64583</v>
      </c>
      <c r="C336" s="9">
        <f>IFERROR(__xludf.DUMMYFUNCTION("""COMPUTED_VALUE"""),534.21)</f>
        <v>534.21</v>
      </c>
      <c r="D336" s="9">
        <f>IFERROR(__xludf.DUMMYFUNCTION("""COMPUTED_VALUE"""),534.99)</f>
        <v>534.99</v>
      </c>
      <c r="E336" s="9">
        <f>IFERROR(__xludf.DUMMYFUNCTION("""COMPUTED_VALUE"""),525.5)</f>
        <v>525.5</v>
      </c>
      <c r="F336" s="9">
        <f>IFERROR(__xludf.DUMMYFUNCTION("""COMPUTED_VALUE"""),530.23)</f>
        <v>530.23</v>
      </c>
      <c r="G336" s="9">
        <f>IFERROR(__xludf.DUMMYFUNCTION("""COMPUTED_VALUE"""),1316489.0)</f>
        <v>1316489</v>
      </c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</row>
    <row r="337">
      <c r="A337" s="1"/>
      <c r="B337" s="22">
        <f>IFERROR(__xludf.DUMMYFUNCTION("""COMPUTED_VALUE"""),42039.64583333333)</f>
        <v>42039.64583</v>
      </c>
      <c r="C337" s="9">
        <f>IFERROR(__xludf.DUMMYFUNCTION("""COMPUTED_VALUE"""),534.98)</f>
        <v>534.98</v>
      </c>
      <c r="D337" s="9">
        <f>IFERROR(__xludf.DUMMYFUNCTION("""COMPUTED_VALUE"""),537.5)</f>
        <v>537.5</v>
      </c>
      <c r="E337" s="9">
        <f>IFERROR(__xludf.DUMMYFUNCTION("""COMPUTED_VALUE"""),531.6)</f>
        <v>531.6</v>
      </c>
      <c r="F337" s="9">
        <f>IFERROR(__xludf.DUMMYFUNCTION("""COMPUTED_VALUE"""),535.71)</f>
        <v>535.71</v>
      </c>
      <c r="G337" s="9">
        <f>IFERROR(__xludf.DUMMYFUNCTION("""COMPUTED_VALUE"""),1290004.0)</f>
        <v>1290004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</row>
    <row r="338">
      <c r="A338" s="1"/>
      <c r="B338" s="22">
        <f>IFERROR(__xludf.DUMMYFUNCTION("""COMPUTED_VALUE"""),42040.64583333333)</f>
        <v>42040.64583</v>
      </c>
      <c r="C338" s="9">
        <f>IFERROR(__xludf.DUMMYFUNCTION("""COMPUTED_VALUE"""),537.7)</f>
        <v>537.7</v>
      </c>
      <c r="D338" s="9">
        <f>IFERROR(__xludf.DUMMYFUNCTION("""COMPUTED_VALUE"""),555.0)</f>
        <v>555</v>
      </c>
      <c r="E338" s="9">
        <f>IFERROR(__xludf.DUMMYFUNCTION("""COMPUTED_VALUE"""),537.0)</f>
        <v>537</v>
      </c>
      <c r="F338" s="9">
        <f>IFERROR(__xludf.DUMMYFUNCTION("""COMPUTED_VALUE"""),548.45)</f>
        <v>548.45</v>
      </c>
      <c r="G338" s="9">
        <f>IFERROR(__xludf.DUMMYFUNCTION("""COMPUTED_VALUE"""),2968984.0)</f>
        <v>2968984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</row>
    <row r="339">
      <c r="A339" s="1"/>
      <c r="B339" s="22">
        <f>IFERROR(__xludf.DUMMYFUNCTION("""COMPUTED_VALUE"""),42041.64583333333)</f>
        <v>42041.64583</v>
      </c>
      <c r="C339" s="9">
        <f>IFERROR(__xludf.DUMMYFUNCTION("""COMPUTED_VALUE"""),551.25)</f>
        <v>551.25</v>
      </c>
      <c r="D339" s="9">
        <f>IFERROR(__xludf.DUMMYFUNCTION("""COMPUTED_VALUE"""),561.95)</f>
        <v>561.95</v>
      </c>
      <c r="E339" s="9">
        <f>IFERROR(__xludf.DUMMYFUNCTION("""COMPUTED_VALUE"""),547.13)</f>
        <v>547.13</v>
      </c>
      <c r="F339" s="9">
        <f>IFERROR(__xludf.DUMMYFUNCTION("""COMPUTED_VALUE"""),557.63)</f>
        <v>557.63</v>
      </c>
      <c r="G339" s="9">
        <f>IFERROR(__xludf.DUMMYFUNCTION("""COMPUTED_VALUE"""),1863432.0)</f>
        <v>1863432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</row>
    <row r="340">
      <c r="A340" s="1"/>
      <c r="B340" s="22">
        <f>IFERROR(__xludf.DUMMYFUNCTION("""COMPUTED_VALUE"""),42044.64583333333)</f>
        <v>42044.64583</v>
      </c>
      <c r="C340" s="9">
        <f>IFERROR(__xludf.DUMMYFUNCTION("""COMPUTED_VALUE"""),550.0)</f>
        <v>550</v>
      </c>
      <c r="D340" s="9">
        <f>IFERROR(__xludf.DUMMYFUNCTION("""COMPUTED_VALUE"""),563.5)</f>
        <v>563.5</v>
      </c>
      <c r="E340" s="9">
        <f>IFERROR(__xludf.DUMMYFUNCTION("""COMPUTED_VALUE"""),550.0)</f>
        <v>550</v>
      </c>
      <c r="F340" s="9">
        <f>IFERROR(__xludf.DUMMYFUNCTION("""COMPUTED_VALUE"""),562.23)</f>
        <v>562.23</v>
      </c>
      <c r="G340" s="9">
        <f>IFERROR(__xludf.DUMMYFUNCTION("""COMPUTED_VALUE"""),1634217.0)</f>
        <v>1634217</v>
      </c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</row>
    <row r="341">
      <c r="A341" s="1"/>
      <c r="B341" s="22">
        <f>IFERROR(__xludf.DUMMYFUNCTION("""COMPUTED_VALUE"""),42045.64583333333)</f>
        <v>42045.64583</v>
      </c>
      <c r="C341" s="9">
        <f>IFERROR(__xludf.DUMMYFUNCTION("""COMPUTED_VALUE"""),560.75)</f>
        <v>560.75</v>
      </c>
      <c r="D341" s="9">
        <f>IFERROR(__xludf.DUMMYFUNCTION("""COMPUTED_VALUE"""),574.5)</f>
        <v>574.5</v>
      </c>
      <c r="E341" s="9">
        <f>IFERROR(__xludf.DUMMYFUNCTION("""COMPUTED_VALUE"""),560.25)</f>
        <v>560.25</v>
      </c>
      <c r="F341" s="9">
        <f>IFERROR(__xludf.DUMMYFUNCTION("""COMPUTED_VALUE"""),569.58)</f>
        <v>569.58</v>
      </c>
      <c r="G341" s="9">
        <f>IFERROR(__xludf.DUMMYFUNCTION("""COMPUTED_VALUE"""),2129230.0)</f>
        <v>2129230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</row>
    <row r="342">
      <c r="A342" s="1"/>
      <c r="B342" s="22">
        <f>IFERROR(__xludf.DUMMYFUNCTION("""COMPUTED_VALUE"""),42046.64583333333)</f>
        <v>42046.64583</v>
      </c>
      <c r="C342" s="9">
        <f>IFERROR(__xludf.DUMMYFUNCTION("""COMPUTED_VALUE"""),570.13)</f>
        <v>570.13</v>
      </c>
      <c r="D342" s="9">
        <f>IFERROR(__xludf.DUMMYFUNCTION("""COMPUTED_VALUE"""),573.3)</f>
        <v>573.3</v>
      </c>
      <c r="E342" s="9">
        <f>IFERROR(__xludf.DUMMYFUNCTION("""COMPUTED_VALUE"""),564.06)</f>
        <v>564.06</v>
      </c>
      <c r="F342" s="9">
        <f>IFERROR(__xludf.DUMMYFUNCTION("""COMPUTED_VALUE"""),571.21)</f>
        <v>571.21</v>
      </c>
      <c r="G342" s="9">
        <f>IFERROR(__xludf.DUMMYFUNCTION("""COMPUTED_VALUE"""),1449243.0)</f>
        <v>1449243</v>
      </c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</row>
    <row r="343">
      <c r="A343" s="1"/>
      <c r="B343" s="22">
        <f>IFERROR(__xludf.DUMMYFUNCTION("""COMPUTED_VALUE"""),42047.64583333333)</f>
        <v>42047.64583</v>
      </c>
      <c r="C343" s="9">
        <f>IFERROR(__xludf.DUMMYFUNCTION("""COMPUTED_VALUE"""),570.75)</f>
        <v>570.75</v>
      </c>
      <c r="D343" s="9">
        <f>IFERROR(__xludf.DUMMYFUNCTION("""COMPUTED_VALUE"""),580.49)</f>
        <v>580.49</v>
      </c>
      <c r="E343" s="9">
        <f>IFERROR(__xludf.DUMMYFUNCTION("""COMPUTED_VALUE"""),568.25)</f>
        <v>568.25</v>
      </c>
      <c r="F343" s="9">
        <f>IFERROR(__xludf.DUMMYFUNCTION("""COMPUTED_VALUE"""),577.8)</f>
        <v>577.8</v>
      </c>
      <c r="G343" s="9">
        <f>IFERROR(__xludf.DUMMYFUNCTION("""COMPUTED_VALUE"""),1571884.0)</f>
        <v>1571884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</row>
    <row r="344">
      <c r="A344" s="1"/>
      <c r="B344" s="22">
        <f>IFERROR(__xludf.DUMMYFUNCTION("""COMPUTED_VALUE"""),42048.64583333333)</f>
        <v>42048.64583</v>
      </c>
      <c r="C344" s="9">
        <f>IFERROR(__xludf.DUMMYFUNCTION("""COMPUTED_VALUE"""),574.9)</f>
        <v>574.9</v>
      </c>
      <c r="D344" s="9">
        <f>IFERROR(__xludf.DUMMYFUNCTION("""COMPUTED_VALUE"""),581.67)</f>
        <v>581.67</v>
      </c>
      <c r="E344" s="9">
        <f>IFERROR(__xludf.DUMMYFUNCTION("""COMPUTED_VALUE"""),571.5)</f>
        <v>571.5</v>
      </c>
      <c r="F344" s="9">
        <f>IFERROR(__xludf.DUMMYFUNCTION("""COMPUTED_VALUE"""),574.03)</f>
        <v>574.03</v>
      </c>
      <c r="G344" s="9">
        <f>IFERROR(__xludf.DUMMYFUNCTION("""COMPUTED_VALUE"""),1414379.0)</f>
        <v>1414379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</row>
    <row r="345">
      <c r="A345" s="1"/>
      <c r="B345" s="22">
        <f>IFERROR(__xludf.DUMMYFUNCTION("""COMPUTED_VALUE"""),42051.64583333333)</f>
        <v>42051.64583</v>
      </c>
      <c r="C345" s="9">
        <f>IFERROR(__xludf.DUMMYFUNCTION("""COMPUTED_VALUE"""),570.08)</f>
        <v>570.08</v>
      </c>
      <c r="D345" s="9">
        <f>IFERROR(__xludf.DUMMYFUNCTION("""COMPUTED_VALUE"""),576.73)</f>
        <v>576.73</v>
      </c>
      <c r="E345" s="9">
        <f>IFERROR(__xludf.DUMMYFUNCTION("""COMPUTED_VALUE"""),566.31)</f>
        <v>566.31</v>
      </c>
      <c r="F345" s="9">
        <f>IFERROR(__xludf.DUMMYFUNCTION("""COMPUTED_VALUE"""),569.69)</f>
        <v>569.69</v>
      </c>
      <c r="G345" s="9">
        <f>IFERROR(__xludf.DUMMYFUNCTION("""COMPUTED_VALUE"""),1561069.0)</f>
        <v>1561069</v>
      </c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</row>
    <row r="346">
      <c r="A346" s="1"/>
      <c r="B346" s="22">
        <f>IFERROR(__xludf.DUMMYFUNCTION("""COMPUTED_VALUE"""),42053.64583333333)</f>
        <v>42053.64583</v>
      </c>
      <c r="C346" s="9">
        <f>IFERROR(__xludf.DUMMYFUNCTION("""COMPUTED_VALUE"""),572.64)</f>
        <v>572.64</v>
      </c>
      <c r="D346" s="9">
        <f>IFERROR(__xludf.DUMMYFUNCTION("""COMPUTED_VALUE"""),576.24)</f>
        <v>576.24</v>
      </c>
      <c r="E346" s="9">
        <f>IFERROR(__xludf.DUMMYFUNCTION("""COMPUTED_VALUE"""),564.54)</f>
        <v>564.54</v>
      </c>
      <c r="F346" s="9">
        <f>IFERROR(__xludf.DUMMYFUNCTION("""COMPUTED_VALUE"""),574.13)</f>
        <v>574.13</v>
      </c>
      <c r="G346" s="9">
        <f>IFERROR(__xludf.DUMMYFUNCTION("""COMPUTED_VALUE"""),2153441.0)</f>
        <v>2153441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</row>
    <row r="347">
      <c r="A347" s="1"/>
      <c r="B347" s="22">
        <f>IFERROR(__xludf.DUMMYFUNCTION("""COMPUTED_VALUE"""),42054.64583333333)</f>
        <v>42054.64583</v>
      </c>
      <c r="C347" s="9">
        <f>IFERROR(__xludf.DUMMYFUNCTION("""COMPUTED_VALUE"""),573.5)</f>
        <v>573.5</v>
      </c>
      <c r="D347" s="9">
        <f>IFERROR(__xludf.DUMMYFUNCTION("""COMPUTED_VALUE"""),583.5)</f>
        <v>583.5</v>
      </c>
      <c r="E347" s="9">
        <f>IFERROR(__xludf.DUMMYFUNCTION("""COMPUTED_VALUE"""),573.01)</f>
        <v>573.01</v>
      </c>
      <c r="F347" s="9">
        <f>IFERROR(__xludf.DUMMYFUNCTION("""COMPUTED_VALUE"""),581.17)</f>
        <v>581.17</v>
      </c>
      <c r="G347" s="9">
        <f>IFERROR(__xludf.DUMMYFUNCTION("""COMPUTED_VALUE"""),2418406.0)</f>
        <v>2418406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</row>
    <row r="348">
      <c r="A348" s="1"/>
      <c r="B348" s="22">
        <f>IFERROR(__xludf.DUMMYFUNCTION("""COMPUTED_VALUE"""),42055.64583333333)</f>
        <v>42055.64583</v>
      </c>
      <c r="C348" s="9">
        <f>IFERROR(__xludf.DUMMYFUNCTION("""COMPUTED_VALUE"""),582.13)</f>
        <v>582.13</v>
      </c>
      <c r="D348" s="9">
        <f>IFERROR(__xludf.DUMMYFUNCTION("""COMPUTED_VALUE"""),584.0)</f>
        <v>584</v>
      </c>
      <c r="E348" s="9">
        <f>IFERROR(__xludf.DUMMYFUNCTION("""COMPUTED_VALUE"""),569.23)</f>
        <v>569.23</v>
      </c>
      <c r="F348" s="9">
        <f>IFERROR(__xludf.DUMMYFUNCTION("""COMPUTED_VALUE"""),570.78)</f>
        <v>570.78</v>
      </c>
      <c r="G348" s="9">
        <f>IFERROR(__xludf.DUMMYFUNCTION("""COMPUTED_VALUE"""),1742907.0)</f>
        <v>1742907</v>
      </c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</row>
    <row r="349">
      <c r="A349" s="1"/>
      <c r="B349" s="22">
        <f>IFERROR(__xludf.DUMMYFUNCTION("""COMPUTED_VALUE"""),42058.64583333333)</f>
        <v>42058.64583</v>
      </c>
      <c r="C349" s="9">
        <f>IFERROR(__xludf.DUMMYFUNCTION("""COMPUTED_VALUE"""),575.0)</f>
        <v>575</v>
      </c>
      <c r="D349" s="9">
        <f>IFERROR(__xludf.DUMMYFUNCTION("""COMPUTED_VALUE"""),577.3)</f>
        <v>577.3</v>
      </c>
      <c r="E349" s="9">
        <f>IFERROR(__xludf.DUMMYFUNCTION("""COMPUTED_VALUE"""),562.03)</f>
        <v>562.03</v>
      </c>
      <c r="F349" s="9">
        <f>IFERROR(__xludf.DUMMYFUNCTION("""COMPUTED_VALUE"""),566.4)</f>
        <v>566.4</v>
      </c>
      <c r="G349" s="9">
        <f>IFERROR(__xludf.DUMMYFUNCTION("""COMPUTED_VALUE"""),1272622.0)</f>
        <v>1272622</v>
      </c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</row>
    <row r="350">
      <c r="A350" s="1"/>
      <c r="B350" s="22">
        <f>IFERROR(__xludf.DUMMYFUNCTION("""COMPUTED_VALUE"""),42059.64583333333)</f>
        <v>42059.64583</v>
      </c>
      <c r="C350" s="9">
        <f>IFERROR(__xludf.DUMMYFUNCTION("""COMPUTED_VALUE"""),569.75)</f>
        <v>569.75</v>
      </c>
      <c r="D350" s="9">
        <f>IFERROR(__xludf.DUMMYFUNCTION("""COMPUTED_VALUE"""),573.99)</f>
        <v>573.99</v>
      </c>
      <c r="E350" s="9">
        <f>IFERROR(__xludf.DUMMYFUNCTION("""COMPUTED_VALUE"""),564.4)</f>
        <v>564.4</v>
      </c>
      <c r="F350" s="9">
        <f>IFERROR(__xludf.DUMMYFUNCTION("""COMPUTED_VALUE"""),568.2)</f>
        <v>568.2</v>
      </c>
      <c r="G350" s="9">
        <f>IFERROR(__xludf.DUMMYFUNCTION("""COMPUTED_VALUE"""),1609419.0)</f>
        <v>1609419</v>
      </c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</row>
    <row r="351">
      <c r="A351" s="1"/>
      <c r="B351" s="22">
        <f>IFERROR(__xludf.DUMMYFUNCTION("""COMPUTED_VALUE"""),42060.64583333333)</f>
        <v>42060.64583</v>
      </c>
      <c r="C351" s="9">
        <f>IFERROR(__xludf.DUMMYFUNCTION("""COMPUTED_VALUE"""),572.23)</f>
        <v>572.23</v>
      </c>
      <c r="D351" s="9">
        <f>IFERROR(__xludf.DUMMYFUNCTION("""COMPUTED_VALUE"""),583.7)</f>
        <v>583.7</v>
      </c>
      <c r="E351" s="9">
        <f>IFERROR(__xludf.DUMMYFUNCTION("""COMPUTED_VALUE"""),570.0)</f>
        <v>570</v>
      </c>
      <c r="F351" s="9">
        <f>IFERROR(__xludf.DUMMYFUNCTION("""COMPUTED_VALUE"""),579.4)</f>
        <v>579.4</v>
      </c>
      <c r="G351" s="9">
        <f>IFERROR(__xludf.DUMMYFUNCTION("""COMPUTED_VALUE"""),1511243.0)</f>
        <v>1511243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</row>
    <row r="352">
      <c r="A352" s="1"/>
      <c r="B352" s="22">
        <f>IFERROR(__xludf.DUMMYFUNCTION("""COMPUTED_VALUE"""),42061.64583333333)</f>
        <v>42061.64583</v>
      </c>
      <c r="C352" s="9">
        <f>IFERROR(__xludf.DUMMYFUNCTION("""COMPUTED_VALUE"""),576.88)</f>
        <v>576.88</v>
      </c>
      <c r="D352" s="9">
        <f>IFERROR(__xludf.DUMMYFUNCTION("""COMPUTED_VALUE"""),577.25)</f>
        <v>577.25</v>
      </c>
      <c r="E352" s="9">
        <f>IFERROR(__xludf.DUMMYFUNCTION("""COMPUTED_VALUE"""),561.35)</f>
        <v>561.35</v>
      </c>
      <c r="F352" s="9">
        <f>IFERROR(__xludf.DUMMYFUNCTION("""COMPUTED_VALUE"""),564.53)</f>
        <v>564.53</v>
      </c>
      <c r="G352" s="9">
        <f>IFERROR(__xludf.DUMMYFUNCTION("""COMPUTED_VALUE"""),1611444.0)</f>
        <v>1611444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</row>
    <row r="353">
      <c r="A353" s="1"/>
      <c r="B353" s="22">
        <f>IFERROR(__xludf.DUMMYFUNCTION("""COMPUTED_VALUE"""),42062.64583333333)</f>
        <v>42062.64583</v>
      </c>
      <c r="C353" s="9">
        <f>IFERROR(__xludf.DUMMYFUNCTION("""COMPUTED_VALUE"""),568.73)</f>
        <v>568.73</v>
      </c>
      <c r="D353" s="9">
        <f>IFERROR(__xludf.DUMMYFUNCTION("""COMPUTED_VALUE"""),570.16)</f>
        <v>570.16</v>
      </c>
      <c r="E353" s="9">
        <f>IFERROR(__xludf.DUMMYFUNCTION("""COMPUTED_VALUE"""),562.88)</f>
        <v>562.88</v>
      </c>
      <c r="F353" s="9">
        <f>IFERROR(__xludf.DUMMYFUNCTION("""COMPUTED_VALUE"""),566.44)</f>
        <v>566.44</v>
      </c>
      <c r="G353" s="9">
        <f>IFERROR(__xludf.DUMMYFUNCTION("""COMPUTED_VALUE"""),1950269.0)</f>
        <v>1950269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</row>
    <row r="354">
      <c r="A354" s="1"/>
      <c r="B354" s="22">
        <f>IFERROR(__xludf.DUMMYFUNCTION("""COMPUTED_VALUE"""),42065.64583333333)</f>
        <v>42065.64583</v>
      </c>
      <c r="C354" s="9">
        <f>IFERROR(__xludf.DUMMYFUNCTION("""COMPUTED_VALUE"""),575.75)</f>
        <v>575.75</v>
      </c>
      <c r="D354" s="9">
        <f>IFERROR(__xludf.DUMMYFUNCTION("""COMPUTED_VALUE"""),577.13)</f>
        <v>577.13</v>
      </c>
      <c r="E354" s="9">
        <f>IFERROR(__xludf.DUMMYFUNCTION("""COMPUTED_VALUE"""),569.51)</f>
        <v>569.51</v>
      </c>
      <c r="F354" s="9">
        <f>IFERROR(__xludf.DUMMYFUNCTION("""COMPUTED_VALUE"""),572.92)</f>
        <v>572.92</v>
      </c>
      <c r="G354" s="9">
        <f>IFERROR(__xludf.DUMMYFUNCTION("""COMPUTED_VALUE"""),1760248.0)</f>
        <v>1760248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</row>
    <row r="355">
      <c r="A355" s="1"/>
      <c r="B355" s="22">
        <f>IFERROR(__xludf.DUMMYFUNCTION("""COMPUTED_VALUE"""),42066.64583333333)</f>
        <v>42066.64583</v>
      </c>
      <c r="C355" s="9">
        <f>IFERROR(__xludf.DUMMYFUNCTION("""COMPUTED_VALUE"""),572.5)</f>
        <v>572.5</v>
      </c>
      <c r="D355" s="9">
        <f>IFERROR(__xludf.DUMMYFUNCTION("""COMPUTED_VALUE"""),575.74)</f>
        <v>575.74</v>
      </c>
      <c r="E355" s="9">
        <f>IFERROR(__xludf.DUMMYFUNCTION("""COMPUTED_VALUE"""),569.58)</f>
        <v>569.58</v>
      </c>
      <c r="F355" s="9">
        <f>IFERROR(__xludf.DUMMYFUNCTION("""COMPUTED_VALUE"""),574.46)</f>
        <v>574.46</v>
      </c>
      <c r="G355" s="9">
        <f>IFERROR(__xludf.DUMMYFUNCTION("""COMPUTED_VALUE"""),1226388.0)</f>
        <v>1226388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</row>
    <row r="356">
      <c r="A356" s="1"/>
      <c r="B356" s="22">
        <f>IFERROR(__xludf.DUMMYFUNCTION("""COMPUTED_VALUE"""),42067.64583333333)</f>
        <v>42067.64583</v>
      </c>
      <c r="C356" s="9">
        <f>IFERROR(__xludf.DUMMYFUNCTION("""COMPUTED_VALUE"""),575.0)</f>
        <v>575</v>
      </c>
      <c r="D356" s="9">
        <f>IFERROR(__xludf.DUMMYFUNCTION("""COMPUTED_VALUE"""),578.48)</f>
        <v>578.48</v>
      </c>
      <c r="E356" s="9">
        <f>IFERROR(__xludf.DUMMYFUNCTION("""COMPUTED_VALUE"""),562.98)</f>
        <v>562.98</v>
      </c>
      <c r="F356" s="9">
        <f>IFERROR(__xludf.DUMMYFUNCTION("""COMPUTED_VALUE"""),568.66)</f>
        <v>568.66</v>
      </c>
      <c r="G356" s="9">
        <f>IFERROR(__xludf.DUMMYFUNCTION("""COMPUTED_VALUE"""),1093807.0)</f>
        <v>1093807</v>
      </c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</row>
    <row r="357">
      <c r="A357" s="1"/>
      <c r="B357" s="22">
        <f>IFERROR(__xludf.DUMMYFUNCTION("""COMPUTED_VALUE"""),42068.64583333333)</f>
        <v>42068.64583</v>
      </c>
      <c r="C357" s="9">
        <f>IFERROR(__xludf.DUMMYFUNCTION("""COMPUTED_VALUE"""),566.76)</f>
        <v>566.76</v>
      </c>
      <c r="D357" s="9">
        <f>IFERROR(__xludf.DUMMYFUNCTION("""COMPUTED_VALUE"""),574.69)</f>
        <v>574.69</v>
      </c>
      <c r="E357" s="9">
        <f>IFERROR(__xludf.DUMMYFUNCTION("""COMPUTED_VALUE"""),558.34)</f>
        <v>558.34</v>
      </c>
      <c r="F357" s="9">
        <f>IFERROR(__xludf.DUMMYFUNCTION("""COMPUTED_VALUE"""),561.9)</f>
        <v>561.9</v>
      </c>
      <c r="G357" s="9">
        <f>IFERROR(__xludf.DUMMYFUNCTION("""COMPUTED_VALUE"""),1421229.0)</f>
        <v>1421229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</row>
    <row r="358">
      <c r="A358" s="1"/>
      <c r="B358" s="22">
        <f>IFERROR(__xludf.DUMMYFUNCTION("""COMPUTED_VALUE"""),42072.64583333333)</f>
        <v>42072.64583</v>
      </c>
      <c r="C358" s="9">
        <f>IFERROR(__xludf.DUMMYFUNCTION("""COMPUTED_VALUE"""),564.75)</f>
        <v>564.75</v>
      </c>
      <c r="D358" s="9">
        <f>IFERROR(__xludf.DUMMYFUNCTION("""COMPUTED_VALUE"""),564.75)</f>
        <v>564.75</v>
      </c>
      <c r="E358" s="9">
        <f>IFERROR(__xludf.DUMMYFUNCTION("""COMPUTED_VALUE"""),544.75)</f>
        <v>544.75</v>
      </c>
      <c r="F358" s="9">
        <f>IFERROR(__xludf.DUMMYFUNCTION("""COMPUTED_VALUE"""),547.51)</f>
        <v>547.51</v>
      </c>
      <c r="G358" s="9">
        <f>IFERROR(__xludf.DUMMYFUNCTION("""COMPUTED_VALUE"""),1996180.0)</f>
        <v>1996180</v>
      </c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</row>
    <row r="359">
      <c r="A359" s="1"/>
      <c r="B359" s="22">
        <f>IFERROR(__xludf.DUMMYFUNCTION("""COMPUTED_VALUE"""),42073.64583333333)</f>
        <v>42073.64583</v>
      </c>
      <c r="C359" s="9">
        <f>IFERROR(__xludf.DUMMYFUNCTION("""COMPUTED_VALUE"""),549.53)</f>
        <v>549.53</v>
      </c>
      <c r="D359" s="9">
        <f>IFERROR(__xludf.DUMMYFUNCTION("""COMPUTED_VALUE"""),551.74)</f>
        <v>551.74</v>
      </c>
      <c r="E359" s="9">
        <f>IFERROR(__xludf.DUMMYFUNCTION("""COMPUTED_VALUE"""),540.05)</f>
        <v>540.05</v>
      </c>
      <c r="F359" s="9">
        <f>IFERROR(__xludf.DUMMYFUNCTION("""COMPUTED_VALUE"""),549.5)</f>
        <v>549.5</v>
      </c>
      <c r="G359" s="9">
        <f>IFERROR(__xludf.DUMMYFUNCTION("""COMPUTED_VALUE"""),1582479.0)</f>
        <v>1582479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</row>
    <row r="360">
      <c r="A360" s="1"/>
      <c r="B360" s="22">
        <f>IFERROR(__xludf.DUMMYFUNCTION("""COMPUTED_VALUE"""),42074.64583333333)</f>
        <v>42074.64583</v>
      </c>
      <c r="C360" s="9">
        <f>IFERROR(__xludf.DUMMYFUNCTION("""COMPUTED_VALUE"""),548.53)</f>
        <v>548.53</v>
      </c>
      <c r="D360" s="9">
        <f>IFERROR(__xludf.DUMMYFUNCTION("""COMPUTED_VALUE"""),560.0)</f>
        <v>560</v>
      </c>
      <c r="E360" s="9">
        <f>IFERROR(__xludf.DUMMYFUNCTION("""COMPUTED_VALUE"""),542.28)</f>
        <v>542.28</v>
      </c>
      <c r="F360" s="9">
        <f>IFERROR(__xludf.DUMMYFUNCTION("""COMPUTED_VALUE"""),545.55)</f>
        <v>545.55</v>
      </c>
      <c r="G360" s="9">
        <f>IFERROR(__xludf.DUMMYFUNCTION("""COMPUTED_VALUE"""),1695228.0)</f>
        <v>1695228</v>
      </c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</row>
    <row r="361">
      <c r="A361" s="1"/>
      <c r="B361" s="22">
        <f>IFERROR(__xludf.DUMMYFUNCTION("""COMPUTED_VALUE"""),42075.64583333333)</f>
        <v>42075.64583</v>
      </c>
      <c r="C361" s="9">
        <f>IFERROR(__xludf.DUMMYFUNCTION("""COMPUTED_VALUE"""),544.75)</f>
        <v>544.75</v>
      </c>
      <c r="D361" s="9">
        <f>IFERROR(__xludf.DUMMYFUNCTION("""COMPUTED_VALUE"""),556.61)</f>
        <v>556.61</v>
      </c>
      <c r="E361" s="9">
        <f>IFERROR(__xludf.DUMMYFUNCTION("""COMPUTED_VALUE"""),544.25)</f>
        <v>544.25</v>
      </c>
      <c r="F361" s="9">
        <f>IFERROR(__xludf.DUMMYFUNCTION("""COMPUTED_VALUE"""),554.58)</f>
        <v>554.58</v>
      </c>
      <c r="G361" s="9">
        <f>IFERROR(__xludf.DUMMYFUNCTION("""COMPUTED_VALUE"""),1422141.0)</f>
        <v>1422141</v>
      </c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</row>
    <row r="362">
      <c r="A362" s="1"/>
      <c r="B362" s="22">
        <f>IFERROR(__xludf.DUMMYFUNCTION("""COMPUTED_VALUE"""),42076.64583333333)</f>
        <v>42076.64583</v>
      </c>
      <c r="C362" s="9">
        <f>IFERROR(__xludf.DUMMYFUNCTION("""COMPUTED_VALUE"""),556.25)</f>
        <v>556.25</v>
      </c>
      <c r="D362" s="9">
        <f>IFERROR(__xludf.DUMMYFUNCTION("""COMPUTED_VALUE"""),557.5)</f>
        <v>557.5</v>
      </c>
      <c r="E362" s="9">
        <f>IFERROR(__xludf.DUMMYFUNCTION("""COMPUTED_VALUE"""),548.1)</f>
        <v>548.1</v>
      </c>
      <c r="F362" s="9">
        <f>IFERROR(__xludf.DUMMYFUNCTION("""COMPUTED_VALUE"""),555.1)</f>
        <v>555.1</v>
      </c>
      <c r="G362" s="9">
        <f>IFERROR(__xludf.DUMMYFUNCTION("""COMPUTED_VALUE"""),1544921.0)</f>
        <v>1544921</v>
      </c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</row>
    <row r="363">
      <c r="A363" s="1"/>
      <c r="B363" s="22">
        <f>IFERROR(__xludf.DUMMYFUNCTION("""COMPUTED_VALUE"""),42079.64583333333)</f>
        <v>42079.64583</v>
      </c>
      <c r="C363" s="9">
        <f>IFERROR(__xludf.DUMMYFUNCTION("""COMPUTED_VALUE"""),552.64)</f>
        <v>552.64</v>
      </c>
      <c r="D363" s="9">
        <f>IFERROR(__xludf.DUMMYFUNCTION("""COMPUTED_VALUE"""),570.5)</f>
        <v>570.5</v>
      </c>
      <c r="E363" s="9">
        <f>IFERROR(__xludf.DUMMYFUNCTION("""COMPUTED_VALUE"""),552.64)</f>
        <v>552.64</v>
      </c>
      <c r="F363" s="9">
        <f>IFERROR(__xludf.DUMMYFUNCTION("""COMPUTED_VALUE"""),566.66)</f>
        <v>566.66</v>
      </c>
      <c r="G363" s="9">
        <f>IFERROR(__xludf.DUMMYFUNCTION("""COMPUTED_VALUE"""),1704658.0)</f>
        <v>1704658</v>
      </c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</row>
    <row r="364">
      <c r="A364" s="1"/>
      <c r="B364" s="22">
        <f>IFERROR(__xludf.DUMMYFUNCTION("""COMPUTED_VALUE"""),42080.64583333333)</f>
        <v>42080.64583</v>
      </c>
      <c r="C364" s="9">
        <f>IFERROR(__xludf.DUMMYFUNCTION("""COMPUTED_VALUE"""),566.66)</f>
        <v>566.66</v>
      </c>
      <c r="D364" s="9">
        <f>IFERROR(__xludf.DUMMYFUNCTION("""COMPUTED_VALUE"""),569.88)</f>
        <v>569.88</v>
      </c>
      <c r="E364" s="9">
        <f>IFERROR(__xludf.DUMMYFUNCTION("""COMPUTED_VALUE"""),554.31)</f>
        <v>554.31</v>
      </c>
      <c r="F364" s="9">
        <f>IFERROR(__xludf.DUMMYFUNCTION("""COMPUTED_VALUE"""),560.13)</f>
        <v>560.13</v>
      </c>
      <c r="G364" s="9">
        <f>IFERROR(__xludf.DUMMYFUNCTION("""COMPUTED_VALUE"""),1384828.0)</f>
        <v>1384828</v>
      </c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</row>
    <row r="365">
      <c r="A365" s="1"/>
      <c r="B365" s="22">
        <f>IFERROR(__xludf.DUMMYFUNCTION("""COMPUTED_VALUE"""),42081.64583333333)</f>
        <v>42081.64583</v>
      </c>
      <c r="C365" s="9">
        <f>IFERROR(__xludf.DUMMYFUNCTION("""COMPUTED_VALUE"""),563.63)</f>
        <v>563.63</v>
      </c>
      <c r="D365" s="9">
        <f>IFERROR(__xludf.DUMMYFUNCTION("""COMPUTED_VALUE"""),565.71)</f>
        <v>565.71</v>
      </c>
      <c r="E365" s="9">
        <f>IFERROR(__xludf.DUMMYFUNCTION("""COMPUTED_VALUE"""),555.64)</f>
        <v>555.64</v>
      </c>
      <c r="F365" s="9">
        <f>IFERROR(__xludf.DUMMYFUNCTION("""COMPUTED_VALUE"""),557.38)</f>
        <v>557.38</v>
      </c>
      <c r="G365" s="9">
        <f>IFERROR(__xludf.DUMMYFUNCTION("""COMPUTED_VALUE"""),1226391.0)</f>
        <v>1226391</v>
      </c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</row>
    <row r="366">
      <c r="A366" s="1"/>
      <c r="B366" s="22">
        <f>IFERROR(__xludf.DUMMYFUNCTION("""COMPUTED_VALUE"""),42082.64583333333)</f>
        <v>42082.64583</v>
      </c>
      <c r="C366" s="9">
        <f>IFERROR(__xludf.DUMMYFUNCTION("""COMPUTED_VALUE"""),558.65)</f>
        <v>558.65</v>
      </c>
      <c r="D366" s="9">
        <f>IFERROR(__xludf.DUMMYFUNCTION("""COMPUTED_VALUE"""),562.25)</f>
        <v>562.25</v>
      </c>
      <c r="E366" s="9">
        <f>IFERROR(__xludf.DUMMYFUNCTION("""COMPUTED_VALUE"""),555.69)</f>
        <v>555.69</v>
      </c>
      <c r="F366" s="9">
        <f>IFERROR(__xludf.DUMMYFUNCTION("""COMPUTED_VALUE"""),557.61)</f>
        <v>557.61</v>
      </c>
      <c r="G366" s="9">
        <f>IFERROR(__xludf.DUMMYFUNCTION("""COMPUTED_VALUE"""),1722935.0)</f>
        <v>1722935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</row>
    <row r="367">
      <c r="A367" s="1"/>
      <c r="B367" s="22">
        <f>IFERROR(__xludf.DUMMYFUNCTION("""COMPUTED_VALUE"""),42083.64583333333)</f>
        <v>42083.64583</v>
      </c>
      <c r="C367" s="9">
        <f>IFERROR(__xludf.DUMMYFUNCTION("""COMPUTED_VALUE"""),560.25)</f>
        <v>560.25</v>
      </c>
      <c r="D367" s="9">
        <f>IFERROR(__xludf.DUMMYFUNCTION("""COMPUTED_VALUE"""),567.23)</f>
        <v>567.23</v>
      </c>
      <c r="E367" s="9">
        <f>IFERROR(__xludf.DUMMYFUNCTION("""COMPUTED_VALUE"""),558.24)</f>
        <v>558.24</v>
      </c>
      <c r="F367" s="9">
        <f>IFERROR(__xludf.DUMMYFUNCTION("""COMPUTED_VALUE"""),564.36)</f>
        <v>564.36</v>
      </c>
      <c r="G367" s="9">
        <f>IFERROR(__xludf.DUMMYFUNCTION("""COMPUTED_VALUE"""),1607724.0)</f>
        <v>1607724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</row>
    <row r="368">
      <c r="A368" s="1"/>
      <c r="B368" s="22">
        <f>IFERROR(__xludf.DUMMYFUNCTION("""COMPUTED_VALUE"""),42086.64583333333)</f>
        <v>42086.64583</v>
      </c>
      <c r="C368" s="9">
        <f>IFERROR(__xludf.DUMMYFUNCTION("""COMPUTED_VALUE"""),563.25)</f>
        <v>563.25</v>
      </c>
      <c r="D368" s="9">
        <f>IFERROR(__xludf.DUMMYFUNCTION("""COMPUTED_VALUE"""),568.75)</f>
        <v>568.75</v>
      </c>
      <c r="E368" s="9">
        <f>IFERROR(__xludf.DUMMYFUNCTION("""COMPUTED_VALUE"""),556.38)</f>
        <v>556.38</v>
      </c>
      <c r="F368" s="9">
        <f>IFERROR(__xludf.DUMMYFUNCTION("""COMPUTED_VALUE"""),558.36)</f>
        <v>558.36</v>
      </c>
      <c r="G368" s="9">
        <f>IFERROR(__xludf.DUMMYFUNCTION("""COMPUTED_VALUE"""),1269675.0)</f>
        <v>1269675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</row>
    <row r="369">
      <c r="A369" s="1"/>
      <c r="B369" s="22">
        <f>IFERROR(__xludf.DUMMYFUNCTION("""COMPUTED_VALUE"""),42087.64583333333)</f>
        <v>42087.64583</v>
      </c>
      <c r="C369" s="9">
        <f>IFERROR(__xludf.DUMMYFUNCTION("""COMPUTED_VALUE"""),558.73)</f>
        <v>558.73</v>
      </c>
      <c r="D369" s="9">
        <f>IFERROR(__xludf.DUMMYFUNCTION("""COMPUTED_VALUE"""),563.35)</f>
        <v>563.35</v>
      </c>
      <c r="E369" s="9">
        <f>IFERROR(__xludf.DUMMYFUNCTION("""COMPUTED_VALUE"""),551.5)</f>
        <v>551.5</v>
      </c>
      <c r="F369" s="9">
        <f>IFERROR(__xludf.DUMMYFUNCTION("""COMPUTED_VALUE"""),552.86)</f>
        <v>552.86</v>
      </c>
      <c r="G369" s="9">
        <f>IFERROR(__xludf.DUMMYFUNCTION("""COMPUTED_VALUE"""),1684133.0)</f>
        <v>1684133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</row>
    <row r="370">
      <c r="A370" s="1"/>
      <c r="B370" s="22">
        <f>IFERROR(__xludf.DUMMYFUNCTION("""COMPUTED_VALUE"""),42088.64583333333)</f>
        <v>42088.64583</v>
      </c>
      <c r="C370" s="9">
        <f>IFERROR(__xludf.DUMMYFUNCTION("""COMPUTED_VALUE"""),555.73)</f>
        <v>555.73</v>
      </c>
      <c r="D370" s="9">
        <f>IFERROR(__xludf.DUMMYFUNCTION("""COMPUTED_VALUE"""),557.29)</f>
        <v>557.29</v>
      </c>
      <c r="E370" s="9">
        <f>IFERROR(__xludf.DUMMYFUNCTION("""COMPUTED_VALUE"""),550.19)</f>
        <v>550.19</v>
      </c>
      <c r="F370" s="9">
        <f>IFERROR(__xludf.DUMMYFUNCTION("""COMPUTED_VALUE"""),554.78)</f>
        <v>554.78</v>
      </c>
      <c r="G370" s="9">
        <f>IFERROR(__xludf.DUMMYFUNCTION("""COMPUTED_VALUE"""),1542742.0)</f>
        <v>1542742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</row>
    <row r="371">
      <c r="A371" s="1"/>
      <c r="B371" s="22">
        <f>IFERROR(__xludf.DUMMYFUNCTION("""COMPUTED_VALUE"""),42089.64583333333)</f>
        <v>42089.64583</v>
      </c>
      <c r="C371" s="9">
        <f>IFERROR(__xludf.DUMMYFUNCTION("""COMPUTED_VALUE"""),552.0)</f>
        <v>552</v>
      </c>
      <c r="D371" s="9">
        <f>IFERROR(__xludf.DUMMYFUNCTION("""COMPUTED_VALUE"""),553.73)</f>
        <v>553.73</v>
      </c>
      <c r="E371" s="9">
        <f>IFERROR(__xludf.DUMMYFUNCTION("""COMPUTED_VALUE"""),533.0)</f>
        <v>533</v>
      </c>
      <c r="F371" s="9">
        <f>IFERROR(__xludf.DUMMYFUNCTION("""COMPUTED_VALUE"""),536.59)</f>
        <v>536.59</v>
      </c>
      <c r="G371" s="9">
        <f>IFERROR(__xludf.DUMMYFUNCTION("""COMPUTED_VALUE"""),3935210.0)</f>
        <v>3935210</v>
      </c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</row>
    <row r="372">
      <c r="A372" s="1"/>
      <c r="B372" s="22">
        <f>IFERROR(__xludf.DUMMYFUNCTION("""COMPUTED_VALUE"""),42090.64583333333)</f>
        <v>42090.64583</v>
      </c>
      <c r="C372" s="9">
        <f>IFERROR(__xludf.DUMMYFUNCTION("""COMPUTED_VALUE"""),541.0)</f>
        <v>541</v>
      </c>
      <c r="D372" s="9">
        <f>IFERROR(__xludf.DUMMYFUNCTION("""COMPUTED_VALUE"""),556.17)</f>
        <v>556.17</v>
      </c>
      <c r="E372" s="9">
        <f>IFERROR(__xludf.DUMMYFUNCTION("""COMPUTED_VALUE"""),540.75)</f>
        <v>540.75</v>
      </c>
      <c r="F372" s="9">
        <f>IFERROR(__xludf.DUMMYFUNCTION("""COMPUTED_VALUE"""),550.54)</f>
        <v>550.54</v>
      </c>
      <c r="G372" s="9">
        <f>IFERROR(__xludf.DUMMYFUNCTION("""COMPUTED_VALUE"""),2518555.0)</f>
        <v>2518555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</row>
    <row r="373">
      <c r="A373" s="1"/>
      <c r="B373" s="22">
        <f>IFERROR(__xludf.DUMMYFUNCTION("""COMPUTED_VALUE"""),42093.64583333333)</f>
        <v>42093.64583</v>
      </c>
      <c r="C373" s="9">
        <f>IFERROR(__xludf.DUMMYFUNCTION("""COMPUTED_VALUE"""),551.4)</f>
        <v>551.4</v>
      </c>
      <c r="D373" s="9">
        <f>IFERROR(__xludf.DUMMYFUNCTION("""COMPUTED_VALUE"""),560.0)</f>
        <v>560</v>
      </c>
      <c r="E373" s="9">
        <f>IFERROR(__xludf.DUMMYFUNCTION("""COMPUTED_VALUE"""),548.73)</f>
        <v>548.73</v>
      </c>
      <c r="F373" s="9">
        <f>IFERROR(__xludf.DUMMYFUNCTION("""COMPUTED_VALUE"""),557.0)</f>
        <v>557</v>
      </c>
      <c r="G373" s="9">
        <f>IFERROR(__xludf.DUMMYFUNCTION("""COMPUTED_VALUE"""),1155772.0)</f>
        <v>1155772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</row>
    <row r="374">
      <c r="A374" s="1"/>
      <c r="B374" s="22">
        <f>IFERROR(__xludf.DUMMYFUNCTION("""COMPUTED_VALUE"""),42094.64583333333)</f>
        <v>42094.64583</v>
      </c>
      <c r="C374" s="9">
        <f>IFERROR(__xludf.DUMMYFUNCTION("""COMPUTED_VALUE"""),561.25)</f>
        <v>561.25</v>
      </c>
      <c r="D374" s="9">
        <f>IFERROR(__xludf.DUMMYFUNCTION("""COMPUTED_VALUE"""),568.41)</f>
        <v>568.41</v>
      </c>
      <c r="E374" s="9">
        <f>IFERROR(__xludf.DUMMYFUNCTION("""COMPUTED_VALUE"""),551.09)</f>
        <v>551.09</v>
      </c>
      <c r="F374" s="9">
        <f>IFERROR(__xludf.DUMMYFUNCTION("""COMPUTED_VALUE"""),554.59)</f>
        <v>554.59</v>
      </c>
      <c r="G374" s="9">
        <f>IFERROR(__xludf.DUMMYFUNCTION("""COMPUTED_VALUE"""),2004103.0)</f>
        <v>2004103</v>
      </c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</row>
    <row r="375">
      <c r="A375" s="1"/>
      <c r="B375" s="22">
        <f>IFERROR(__xludf.DUMMYFUNCTION("""COMPUTED_VALUE"""),42095.64583333333)</f>
        <v>42095.64583</v>
      </c>
      <c r="C375" s="9">
        <f>IFERROR(__xludf.DUMMYFUNCTION("""COMPUTED_VALUE"""),549.73)</f>
        <v>549.73</v>
      </c>
      <c r="D375" s="9">
        <f>IFERROR(__xludf.DUMMYFUNCTION("""COMPUTED_VALUE"""),549.88)</f>
        <v>549.88</v>
      </c>
      <c r="E375" s="9">
        <f>IFERROR(__xludf.DUMMYFUNCTION("""COMPUTED_VALUE"""),539.42)</f>
        <v>539.42</v>
      </c>
      <c r="F375" s="9">
        <f>IFERROR(__xludf.DUMMYFUNCTION("""COMPUTED_VALUE"""),543.49)</f>
        <v>543.49</v>
      </c>
      <c r="G375" s="9">
        <f>IFERROR(__xludf.DUMMYFUNCTION("""COMPUTED_VALUE"""),1684622.0)</f>
        <v>1684622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</row>
    <row r="376">
      <c r="A376" s="1"/>
      <c r="B376" s="22">
        <f>IFERROR(__xludf.DUMMYFUNCTION("""COMPUTED_VALUE"""),42100.64583333333)</f>
        <v>42100.64583</v>
      </c>
      <c r="C376" s="9">
        <f>IFERROR(__xludf.DUMMYFUNCTION("""COMPUTED_VALUE"""),544.75)</f>
        <v>544.75</v>
      </c>
      <c r="D376" s="9">
        <f>IFERROR(__xludf.DUMMYFUNCTION("""COMPUTED_VALUE"""),546.17)</f>
        <v>546.17</v>
      </c>
      <c r="E376" s="9">
        <f>IFERROR(__xludf.DUMMYFUNCTION("""COMPUTED_VALUE"""),540.1)</f>
        <v>540.1</v>
      </c>
      <c r="F376" s="9">
        <f>IFERROR(__xludf.DUMMYFUNCTION("""COMPUTED_VALUE"""),544.55)</f>
        <v>544.55</v>
      </c>
      <c r="G376" s="9">
        <f>IFERROR(__xludf.DUMMYFUNCTION("""COMPUTED_VALUE"""),1935438.0)</f>
        <v>1935438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</row>
    <row r="377">
      <c r="A377" s="1"/>
      <c r="B377" s="22">
        <f>IFERROR(__xludf.DUMMYFUNCTION("""COMPUTED_VALUE"""),42101.64583333333)</f>
        <v>42101.64583</v>
      </c>
      <c r="C377" s="9">
        <f>IFERROR(__xludf.DUMMYFUNCTION("""COMPUTED_VALUE"""),543.75)</f>
        <v>543.75</v>
      </c>
      <c r="D377" s="9">
        <f>IFERROR(__xludf.DUMMYFUNCTION("""COMPUTED_VALUE"""),545.7)</f>
        <v>545.7</v>
      </c>
      <c r="E377" s="9">
        <f>IFERROR(__xludf.DUMMYFUNCTION("""COMPUTED_VALUE"""),534.5)</f>
        <v>534.5</v>
      </c>
      <c r="F377" s="9">
        <f>IFERROR(__xludf.DUMMYFUNCTION("""COMPUTED_VALUE"""),539.88)</f>
        <v>539.88</v>
      </c>
      <c r="G377" s="9">
        <f>IFERROR(__xludf.DUMMYFUNCTION("""COMPUTED_VALUE"""),2135567.0)</f>
        <v>2135567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</row>
    <row r="378">
      <c r="A378" s="1"/>
      <c r="B378" s="22">
        <f>IFERROR(__xludf.DUMMYFUNCTION("""COMPUTED_VALUE"""),42102.64583333333)</f>
        <v>42102.64583</v>
      </c>
      <c r="C378" s="9">
        <f>IFERROR(__xludf.DUMMYFUNCTION("""COMPUTED_VALUE"""),545.63)</f>
        <v>545.63</v>
      </c>
      <c r="D378" s="9">
        <f>IFERROR(__xludf.DUMMYFUNCTION("""COMPUTED_VALUE"""),551.23)</f>
        <v>551.23</v>
      </c>
      <c r="E378" s="9">
        <f>IFERROR(__xludf.DUMMYFUNCTION("""COMPUTED_VALUE"""),543.26)</f>
        <v>543.26</v>
      </c>
      <c r="F378" s="9">
        <f>IFERROR(__xludf.DUMMYFUNCTION("""COMPUTED_VALUE"""),550.14)</f>
        <v>550.14</v>
      </c>
      <c r="G378" s="9">
        <f>IFERROR(__xludf.DUMMYFUNCTION("""COMPUTED_VALUE"""),2546394.0)</f>
        <v>2546394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>
      <c r="A379" s="1"/>
      <c r="B379" s="22">
        <f>IFERROR(__xludf.DUMMYFUNCTION("""COMPUTED_VALUE"""),42103.64583333333)</f>
        <v>42103.64583</v>
      </c>
      <c r="C379" s="9">
        <f>IFERROR(__xludf.DUMMYFUNCTION("""COMPUTED_VALUE"""),552.85)</f>
        <v>552.85</v>
      </c>
      <c r="D379" s="9">
        <f>IFERROR(__xludf.DUMMYFUNCTION("""COMPUTED_VALUE"""),554.73)</f>
        <v>554.73</v>
      </c>
      <c r="E379" s="9">
        <f>IFERROR(__xludf.DUMMYFUNCTION("""COMPUTED_VALUE"""),546.1)</f>
        <v>546.1</v>
      </c>
      <c r="F379" s="9">
        <f>IFERROR(__xludf.DUMMYFUNCTION("""COMPUTED_VALUE"""),553.75)</f>
        <v>553.75</v>
      </c>
      <c r="G379" s="9">
        <f>IFERROR(__xludf.DUMMYFUNCTION("""COMPUTED_VALUE"""),2645387.0)</f>
        <v>2645387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>
      <c r="A380" s="1"/>
      <c r="B380" s="22">
        <f>IFERROR(__xludf.DUMMYFUNCTION("""COMPUTED_VALUE"""),42104.64583333333)</f>
        <v>42104.64583</v>
      </c>
      <c r="C380" s="9">
        <f>IFERROR(__xludf.DUMMYFUNCTION("""COMPUTED_VALUE"""),552.55)</f>
        <v>552.55</v>
      </c>
      <c r="D380" s="9">
        <f>IFERROR(__xludf.DUMMYFUNCTION("""COMPUTED_VALUE"""),559.5)</f>
        <v>559.5</v>
      </c>
      <c r="E380" s="9">
        <f>IFERROR(__xludf.DUMMYFUNCTION("""COMPUTED_VALUE"""),552.55)</f>
        <v>552.55</v>
      </c>
      <c r="F380" s="9">
        <f>IFERROR(__xludf.DUMMYFUNCTION("""COMPUTED_VALUE"""),558.49)</f>
        <v>558.49</v>
      </c>
      <c r="G380" s="9">
        <f>IFERROR(__xludf.DUMMYFUNCTION("""COMPUTED_VALUE"""),1780944.0)</f>
        <v>1780944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</row>
    <row r="381">
      <c r="A381" s="1"/>
      <c r="B381" s="22">
        <f>IFERROR(__xludf.DUMMYFUNCTION("""COMPUTED_VALUE"""),42107.64583333333)</f>
        <v>42107.64583</v>
      </c>
      <c r="C381" s="9">
        <f>IFERROR(__xludf.DUMMYFUNCTION("""COMPUTED_VALUE"""),559.5)</f>
        <v>559.5</v>
      </c>
      <c r="D381" s="9">
        <f>IFERROR(__xludf.DUMMYFUNCTION("""COMPUTED_VALUE"""),561.0)</f>
        <v>561</v>
      </c>
      <c r="E381" s="9">
        <f>IFERROR(__xludf.DUMMYFUNCTION("""COMPUTED_VALUE"""),554.03)</f>
        <v>554.03</v>
      </c>
      <c r="F381" s="9">
        <f>IFERROR(__xludf.DUMMYFUNCTION("""COMPUTED_VALUE"""),559.7)</f>
        <v>559.7</v>
      </c>
      <c r="G381" s="9">
        <f>IFERROR(__xludf.DUMMYFUNCTION("""COMPUTED_VALUE"""),1218084.0)</f>
        <v>1218084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</row>
    <row r="382">
      <c r="A382" s="1"/>
      <c r="B382" s="22">
        <f>IFERROR(__xludf.DUMMYFUNCTION("""COMPUTED_VALUE"""),42109.64583333333)</f>
        <v>42109.64583</v>
      </c>
      <c r="C382" s="9">
        <f>IFERROR(__xludf.DUMMYFUNCTION("""COMPUTED_VALUE"""),559.13)</f>
        <v>559.13</v>
      </c>
      <c r="D382" s="9">
        <f>IFERROR(__xludf.DUMMYFUNCTION("""COMPUTED_VALUE"""),561.25)</f>
        <v>561.25</v>
      </c>
      <c r="E382" s="9">
        <f>IFERROR(__xludf.DUMMYFUNCTION("""COMPUTED_VALUE"""),548.76)</f>
        <v>548.76</v>
      </c>
      <c r="F382" s="9">
        <f>IFERROR(__xludf.DUMMYFUNCTION("""COMPUTED_VALUE"""),553.42)</f>
        <v>553.42</v>
      </c>
      <c r="G382" s="9">
        <f>IFERROR(__xludf.DUMMYFUNCTION("""COMPUTED_VALUE"""),1559446.0)</f>
        <v>1559446</v>
      </c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</row>
    <row r="383">
      <c r="A383" s="1"/>
      <c r="B383" s="22">
        <f>IFERROR(__xludf.DUMMYFUNCTION("""COMPUTED_VALUE"""),42110.64583333333)</f>
        <v>42110.64583</v>
      </c>
      <c r="C383" s="9">
        <f>IFERROR(__xludf.DUMMYFUNCTION("""COMPUTED_VALUE"""),555.5)</f>
        <v>555.5</v>
      </c>
      <c r="D383" s="9">
        <f>IFERROR(__xludf.DUMMYFUNCTION("""COMPUTED_VALUE"""),557.75)</f>
        <v>557.75</v>
      </c>
      <c r="E383" s="9">
        <f>IFERROR(__xludf.DUMMYFUNCTION("""COMPUTED_VALUE"""),540.13)</f>
        <v>540.13</v>
      </c>
      <c r="F383" s="9">
        <f>IFERROR(__xludf.DUMMYFUNCTION("""COMPUTED_VALUE"""),548.66)</f>
        <v>548.66</v>
      </c>
      <c r="G383" s="9">
        <f>IFERROR(__xludf.DUMMYFUNCTION("""COMPUTED_VALUE"""),2251953.0)</f>
        <v>2251953</v>
      </c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</row>
    <row r="384">
      <c r="A384" s="1"/>
      <c r="B384" s="22">
        <f>IFERROR(__xludf.DUMMYFUNCTION("""COMPUTED_VALUE"""),42111.64583333333)</f>
        <v>42111.64583</v>
      </c>
      <c r="C384" s="9">
        <f>IFERROR(__xludf.DUMMYFUNCTION("""COMPUTED_VALUE"""),545.01)</f>
        <v>545.01</v>
      </c>
      <c r="D384" s="9">
        <f>IFERROR(__xludf.DUMMYFUNCTION("""COMPUTED_VALUE"""),548.74)</f>
        <v>548.74</v>
      </c>
      <c r="E384" s="9">
        <f>IFERROR(__xludf.DUMMYFUNCTION("""COMPUTED_VALUE"""),538.36)</f>
        <v>538.36</v>
      </c>
      <c r="F384" s="9">
        <f>IFERROR(__xludf.DUMMYFUNCTION("""COMPUTED_VALUE"""),544.81)</f>
        <v>544.81</v>
      </c>
      <c r="G384" s="9">
        <f>IFERROR(__xludf.DUMMYFUNCTION("""COMPUTED_VALUE"""),1612579.0)</f>
        <v>1612579</v>
      </c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</row>
    <row r="385">
      <c r="A385" s="1"/>
      <c r="B385" s="22">
        <f>IFERROR(__xludf.DUMMYFUNCTION("""COMPUTED_VALUE"""),42114.64583333333)</f>
        <v>42114.64583</v>
      </c>
      <c r="C385" s="9">
        <f>IFERROR(__xludf.DUMMYFUNCTION("""COMPUTED_VALUE"""),544.0)</f>
        <v>544</v>
      </c>
      <c r="D385" s="9">
        <f>IFERROR(__xludf.DUMMYFUNCTION("""COMPUTED_VALUE"""),545.0)</f>
        <v>545</v>
      </c>
      <c r="E385" s="9">
        <f>IFERROR(__xludf.DUMMYFUNCTION("""COMPUTED_VALUE"""),528.79)</f>
        <v>528.79</v>
      </c>
      <c r="F385" s="9">
        <f>IFERROR(__xludf.DUMMYFUNCTION("""COMPUTED_VALUE"""),533.04)</f>
        <v>533.04</v>
      </c>
      <c r="G385" s="9">
        <f>IFERROR(__xludf.DUMMYFUNCTION("""COMPUTED_VALUE"""),3206346.0)</f>
        <v>3206346</v>
      </c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</row>
    <row r="386">
      <c r="A386" s="1"/>
      <c r="B386" s="22">
        <f>IFERROR(__xludf.DUMMYFUNCTION("""COMPUTED_VALUE"""),42115.64583333333)</f>
        <v>42115.64583</v>
      </c>
      <c r="C386" s="9">
        <f>IFERROR(__xludf.DUMMYFUNCTION("""COMPUTED_VALUE"""),537.0)</f>
        <v>537</v>
      </c>
      <c r="D386" s="9">
        <f>IFERROR(__xludf.DUMMYFUNCTION("""COMPUTED_VALUE"""),538.78)</f>
        <v>538.78</v>
      </c>
      <c r="E386" s="9">
        <f>IFERROR(__xludf.DUMMYFUNCTION("""COMPUTED_VALUE"""),530.03)</f>
        <v>530.03</v>
      </c>
      <c r="F386" s="9">
        <f>IFERROR(__xludf.DUMMYFUNCTION("""COMPUTED_VALUE"""),535.65)</f>
        <v>535.65</v>
      </c>
      <c r="G386" s="9">
        <f>IFERROR(__xludf.DUMMYFUNCTION("""COMPUTED_VALUE"""),2220412.0)</f>
        <v>2220412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</row>
    <row r="387">
      <c r="A387" s="1"/>
      <c r="B387" s="22">
        <f>IFERROR(__xludf.DUMMYFUNCTION("""COMPUTED_VALUE"""),42116.64583333333)</f>
        <v>42116.64583</v>
      </c>
      <c r="C387" s="9">
        <f>IFERROR(__xludf.DUMMYFUNCTION("""COMPUTED_VALUE"""),537.76)</f>
        <v>537.76</v>
      </c>
      <c r="D387" s="9">
        <f>IFERROR(__xludf.DUMMYFUNCTION("""COMPUTED_VALUE"""),538.75)</f>
        <v>538.75</v>
      </c>
      <c r="E387" s="9">
        <f>IFERROR(__xludf.DUMMYFUNCTION("""COMPUTED_VALUE"""),524.49)</f>
        <v>524.49</v>
      </c>
      <c r="F387" s="9">
        <f>IFERROR(__xludf.DUMMYFUNCTION("""COMPUTED_VALUE"""),534.42)</f>
        <v>534.42</v>
      </c>
      <c r="G387" s="9">
        <f>IFERROR(__xludf.DUMMYFUNCTION("""COMPUTED_VALUE"""),3087746.0)</f>
        <v>3087746</v>
      </c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</row>
    <row r="388">
      <c r="A388" s="1"/>
      <c r="B388" s="22">
        <f>IFERROR(__xludf.DUMMYFUNCTION("""COMPUTED_VALUE"""),42117.64583333333)</f>
        <v>42117.64583</v>
      </c>
      <c r="C388" s="9">
        <f>IFERROR(__xludf.DUMMYFUNCTION("""COMPUTED_VALUE"""),537.17)</f>
        <v>537.17</v>
      </c>
      <c r="D388" s="9">
        <f>IFERROR(__xludf.DUMMYFUNCTION("""COMPUTED_VALUE"""),537.5)</f>
        <v>537.5</v>
      </c>
      <c r="E388" s="9">
        <f>IFERROR(__xludf.DUMMYFUNCTION("""COMPUTED_VALUE"""),528.0)</f>
        <v>528</v>
      </c>
      <c r="F388" s="9">
        <f>IFERROR(__xludf.DUMMYFUNCTION("""COMPUTED_VALUE"""),530.5)</f>
        <v>530.5</v>
      </c>
      <c r="G388" s="9">
        <f>IFERROR(__xludf.DUMMYFUNCTION("""COMPUTED_VALUE"""),2972950.0)</f>
        <v>2972950</v>
      </c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</row>
    <row r="389">
      <c r="A389" s="1"/>
      <c r="B389" s="22">
        <f>IFERROR(__xludf.DUMMYFUNCTION("""COMPUTED_VALUE"""),42118.64583333333)</f>
        <v>42118.64583</v>
      </c>
      <c r="C389" s="9">
        <f>IFERROR(__xludf.DUMMYFUNCTION("""COMPUTED_VALUE"""),533.98)</f>
        <v>533.98</v>
      </c>
      <c r="D389" s="9">
        <f>IFERROR(__xludf.DUMMYFUNCTION("""COMPUTED_VALUE"""),537.55)</f>
        <v>537.55</v>
      </c>
      <c r="E389" s="9">
        <f>IFERROR(__xludf.DUMMYFUNCTION("""COMPUTED_VALUE"""),495.0)</f>
        <v>495</v>
      </c>
      <c r="F389" s="9">
        <f>IFERROR(__xludf.DUMMYFUNCTION("""COMPUTED_VALUE"""),498.8)</f>
        <v>498.8</v>
      </c>
      <c r="G389" s="9">
        <f>IFERROR(__xludf.DUMMYFUNCTION("""COMPUTED_VALUE"""),1.0891363E7)</f>
        <v>10891363</v>
      </c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</row>
    <row r="390">
      <c r="A390" s="1"/>
      <c r="B390" s="22">
        <f>IFERROR(__xludf.DUMMYFUNCTION("""COMPUTED_VALUE"""),42121.64583333333)</f>
        <v>42121.64583</v>
      </c>
      <c r="C390" s="9">
        <f>IFERROR(__xludf.DUMMYFUNCTION("""COMPUTED_VALUE"""),500.0)</f>
        <v>500</v>
      </c>
      <c r="D390" s="9">
        <f>IFERROR(__xludf.DUMMYFUNCTION("""COMPUTED_VALUE"""),500.5)</f>
        <v>500.5</v>
      </c>
      <c r="E390" s="9">
        <f>IFERROR(__xludf.DUMMYFUNCTION("""COMPUTED_VALUE"""),487.03)</f>
        <v>487.03</v>
      </c>
      <c r="F390" s="9">
        <f>IFERROR(__xludf.DUMMYFUNCTION("""COMPUTED_VALUE"""),496.16)</f>
        <v>496.16</v>
      </c>
      <c r="G390" s="9">
        <f>IFERROR(__xludf.DUMMYFUNCTION("""COMPUTED_VALUE"""),4955660.0)</f>
        <v>4955660</v>
      </c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</row>
    <row r="391">
      <c r="A391" s="1"/>
      <c r="B391" s="22">
        <f>IFERROR(__xludf.DUMMYFUNCTION("""COMPUTED_VALUE"""),42122.64583333333)</f>
        <v>42122.64583</v>
      </c>
      <c r="C391" s="9">
        <f>IFERROR(__xludf.DUMMYFUNCTION("""COMPUTED_VALUE"""),495.5)</f>
        <v>495.5</v>
      </c>
      <c r="D391" s="9">
        <f>IFERROR(__xludf.DUMMYFUNCTION("""COMPUTED_VALUE"""),495.5)</f>
        <v>495.5</v>
      </c>
      <c r="E391" s="9">
        <f>IFERROR(__xludf.DUMMYFUNCTION("""COMPUTED_VALUE"""),488.0)</f>
        <v>488</v>
      </c>
      <c r="F391" s="9">
        <f>IFERROR(__xludf.DUMMYFUNCTION("""COMPUTED_VALUE"""),490.23)</f>
        <v>490.23</v>
      </c>
      <c r="G391" s="9">
        <f>IFERROR(__xludf.DUMMYFUNCTION("""COMPUTED_VALUE"""),2598375.0)</f>
        <v>2598375</v>
      </c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</row>
    <row r="392">
      <c r="A392" s="1"/>
      <c r="B392" s="22">
        <f>IFERROR(__xludf.DUMMYFUNCTION("""COMPUTED_VALUE"""),42123.64583333333)</f>
        <v>42123.64583</v>
      </c>
      <c r="C392" s="9">
        <f>IFERROR(__xludf.DUMMYFUNCTION("""COMPUTED_VALUE"""),490.23)</f>
        <v>490.23</v>
      </c>
      <c r="D392" s="9">
        <f>IFERROR(__xludf.DUMMYFUNCTION("""COMPUTED_VALUE"""),493.0)</f>
        <v>493</v>
      </c>
      <c r="E392" s="9">
        <f>IFERROR(__xludf.DUMMYFUNCTION("""COMPUTED_VALUE"""),484.49)</f>
        <v>484.49</v>
      </c>
      <c r="F392" s="9">
        <f>IFERROR(__xludf.DUMMYFUNCTION("""COMPUTED_VALUE"""),490.29)</f>
        <v>490.29</v>
      </c>
      <c r="G392" s="9">
        <f>IFERROR(__xludf.DUMMYFUNCTION("""COMPUTED_VALUE"""),2072264.0)</f>
        <v>2072264</v>
      </c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</row>
    <row r="393">
      <c r="A393" s="1"/>
      <c r="B393" s="22">
        <f>IFERROR(__xludf.DUMMYFUNCTION("""COMPUTED_VALUE"""),42124.64583333333)</f>
        <v>42124.64583</v>
      </c>
      <c r="C393" s="9">
        <f>IFERROR(__xludf.DUMMYFUNCTION("""COMPUTED_VALUE"""),490.0)</f>
        <v>490</v>
      </c>
      <c r="D393" s="9">
        <f>IFERROR(__xludf.DUMMYFUNCTION("""COMPUTED_VALUE"""),491.25)</f>
        <v>491.25</v>
      </c>
      <c r="E393" s="9">
        <f>IFERROR(__xludf.DUMMYFUNCTION("""COMPUTED_VALUE"""),483.08)</f>
        <v>483.08</v>
      </c>
      <c r="F393" s="9">
        <f>IFERROR(__xludf.DUMMYFUNCTION("""COMPUTED_VALUE"""),485.56)</f>
        <v>485.56</v>
      </c>
      <c r="G393" s="9">
        <f>IFERROR(__xludf.DUMMYFUNCTION("""COMPUTED_VALUE"""),3283565.0)</f>
        <v>3283565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</row>
    <row r="394">
      <c r="A394" s="1"/>
      <c r="B394" s="22">
        <f>IFERROR(__xludf.DUMMYFUNCTION("""COMPUTED_VALUE"""),42128.64583333333)</f>
        <v>42128.64583</v>
      </c>
      <c r="C394" s="9">
        <f>IFERROR(__xludf.DUMMYFUNCTION("""COMPUTED_VALUE"""),489.88)</f>
        <v>489.88</v>
      </c>
      <c r="D394" s="9">
        <f>IFERROR(__xludf.DUMMYFUNCTION("""COMPUTED_VALUE"""),500.0)</f>
        <v>500</v>
      </c>
      <c r="E394" s="9">
        <f>IFERROR(__xludf.DUMMYFUNCTION("""COMPUTED_VALUE"""),487.48)</f>
        <v>487.48</v>
      </c>
      <c r="F394" s="9">
        <f>IFERROR(__xludf.DUMMYFUNCTION("""COMPUTED_VALUE"""),498.28)</f>
        <v>498.28</v>
      </c>
      <c r="G394" s="9">
        <f>IFERROR(__xludf.DUMMYFUNCTION("""COMPUTED_VALUE"""),3340398.0)</f>
        <v>3340398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</row>
    <row r="395">
      <c r="A395" s="1"/>
      <c r="B395" s="22">
        <f>IFERROR(__xludf.DUMMYFUNCTION("""COMPUTED_VALUE"""),42129.64583333333)</f>
        <v>42129.64583</v>
      </c>
      <c r="C395" s="9">
        <f>IFERROR(__xludf.DUMMYFUNCTION("""COMPUTED_VALUE"""),500.0)</f>
        <v>500</v>
      </c>
      <c r="D395" s="9">
        <f>IFERROR(__xludf.DUMMYFUNCTION("""COMPUTED_VALUE"""),500.93)</f>
        <v>500.93</v>
      </c>
      <c r="E395" s="9">
        <f>IFERROR(__xludf.DUMMYFUNCTION("""COMPUTED_VALUE"""),488.01)</f>
        <v>488.01</v>
      </c>
      <c r="F395" s="9">
        <f>IFERROR(__xludf.DUMMYFUNCTION("""COMPUTED_VALUE"""),490.69)</f>
        <v>490.69</v>
      </c>
      <c r="G395" s="9">
        <f>IFERROR(__xludf.DUMMYFUNCTION("""COMPUTED_VALUE"""),2352129.0)</f>
        <v>2352129</v>
      </c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</row>
    <row r="396">
      <c r="A396" s="1"/>
      <c r="B396" s="22">
        <f>IFERROR(__xludf.DUMMYFUNCTION("""COMPUTED_VALUE"""),42130.64583333333)</f>
        <v>42130.64583</v>
      </c>
      <c r="C396" s="9">
        <f>IFERROR(__xludf.DUMMYFUNCTION("""COMPUTED_VALUE"""),493.75)</f>
        <v>493.75</v>
      </c>
      <c r="D396" s="9">
        <f>IFERROR(__xludf.DUMMYFUNCTION("""COMPUTED_VALUE"""),493.75)</f>
        <v>493.75</v>
      </c>
      <c r="E396" s="9">
        <f>IFERROR(__xludf.DUMMYFUNCTION("""COMPUTED_VALUE"""),478.83)</f>
        <v>478.83</v>
      </c>
      <c r="F396" s="9">
        <f>IFERROR(__xludf.DUMMYFUNCTION("""COMPUTED_VALUE"""),480.51)</f>
        <v>480.51</v>
      </c>
      <c r="G396" s="9">
        <f>IFERROR(__xludf.DUMMYFUNCTION("""COMPUTED_VALUE"""),2627102.0)</f>
        <v>2627102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</row>
    <row r="397">
      <c r="A397" s="1"/>
      <c r="B397" s="22">
        <f>IFERROR(__xludf.DUMMYFUNCTION("""COMPUTED_VALUE"""),42131.64583333333)</f>
        <v>42131.64583</v>
      </c>
      <c r="C397" s="9">
        <f>IFERROR(__xludf.DUMMYFUNCTION("""COMPUTED_VALUE"""),480.5)</f>
        <v>480.5</v>
      </c>
      <c r="D397" s="9">
        <f>IFERROR(__xludf.DUMMYFUNCTION("""COMPUTED_VALUE"""),491.78)</f>
        <v>491.78</v>
      </c>
      <c r="E397" s="9">
        <f>IFERROR(__xludf.DUMMYFUNCTION("""COMPUTED_VALUE"""),477.5)</f>
        <v>477.5</v>
      </c>
      <c r="F397" s="9">
        <f>IFERROR(__xludf.DUMMYFUNCTION("""COMPUTED_VALUE"""),486.0)</f>
        <v>486</v>
      </c>
      <c r="G397" s="9">
        <f>IFERROR(__xludf.DUMMYFUNCTION("""COMPUTED_VALUE"""),1694996.0)</f>
        <v>1694996</v>
      </c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</row>
    <row r="398">
      <c r="A398" s="1"/>
      <c r="B398" s="22">
        <f>IFERROR(__xludf.DUMMYFUNCTION("""COMPUTED_VALUE"""),42132.64583333333)</f>
        <v>42132.64583</v>
      </c>
      <c r="C398" s="9">
        <f>IFERROR(__xludf.DUMMYFUNCTION("""COMPUTED_VALUE"""),489.5)</f>
        <v>489.5</v>
      </c>
      <c r="D398" s="9">
        <f>IFERROR(__xludf.DUMMYFUNCTION("""COMPUTED_VALUE"""),491.89)</f>
        <v>491.89</v>
      </c>
      <c r="E398" s="9">
        <f>IFERROR(__xludf.DUMMYFUNCTION("""COMPUTED_VALUE"""),486.31)</f>
        <v>486.31</v>
      </c>
      <c r="F398" s="9">
        <f>IFERROR(__xludf.DUMMYFUNCTION("""COMPUTED_VALUE"""),489.49)</f>
        <v>489.49</v>
      </c>
      <c r="G398" s="9">
        <f>IFERROR(__xludf.DUMMYFUNCTION("""COMPUTED_VALUE"""),1444419.0)</f>
        <v>1444419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</row>
    <row r="399">
      <c r="A399" s="1"/>
      <c r="B399" s="22">
        <f>IFERROR(__xludf.DUMMYFUNCTION("""COMPUTED_VALUE"""),42135.64583333333)</f>
        <v>42135.64583</v>
      </c>
      <c r="C399" s="9">
        <f>IFERROR(__xludf.DUMMYFUNCTION("""COMPUTED_VALUE"""),491.25)</f>
        <v>491.25</v>
      </c>
      <c r="D399" s="9">
        <f>IFERROR(__xludf.DUMMYFUNCTION("""COMPUTED_VALUE"""),500.0)</f>
        <v>500</v>
      </c>
      <c r="E399" s="9">
        <f>IFERROR(__xludf.DUMMYFUNCTION("""COMPUTED_VALUE"""),488.05)</f>
        <v>488.05</v>
      </c>
      <c r="F399" s="9">
        <f>IFERROR(__xludf.DUMMYFUNCTION("""COMPUTED_VALUE"""),498.41)</f>
        <v>498.41</v>
      </c>
      <c r="G399" s="9">
        <f>IFERROR(__xludf.DUMMYFUNCTION("""COMPUTED_VALUE"""),1196378.0)</f>
        <v>1196378</v>
      </c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</row>
    <row r="400">
      <c r="A400" s="1"/>
      <c r="B400" s="22">
        <f>IFERROR(__xludf.DUMMYFUNCTION("""COMPUTED_VALUE"""),42136.64583333333)</f>
        <v>42136.64583</v>
      </c>
      <c r="C400" s="9">
        <f>IFERROR(__xludf.DUMMYFUNCTION("""COMPUTED_VALUE"""),498.41)</f>
        <v>498.41</v>
      </c>
      <c r="D400" s="9">
        <f>IFERROR(__xludf.DUMMYFUNCTION("""COMPUTED_VALUE"""),498.65)</f>
        <v>498.65</v>
      </c>
      <c r="E400" s="9">
        <f>IFERROR(__xludf.DUMMYFUNCTION("""COMPUTED_VALUE"""),485.5)</f>
        <v>485.5</v>
      </c>
      <c r="F400" s="9">
        <f>IFERROR(__xludf.DUMMYFUNCTION("""COMPUTED_VALUE"""),486.78)</f>
        <v>486.78</v>
      </c>
      <c r="G400" s="9">
        <f>IFERROR(__xludf.DUMMYFUNCTION("""COMPUTED_VALUE"""),2071223.0)</f>
        <v>2071223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</row>
    <row r="401">
      <c r="A401" s="1"/>
      <c r="B401" s="22">
        <f>IFERROR(__xludf.DUMMYFUNCTION("""COMPUTED_VALUE"""),42137.64583333333)</f>
        <v>42137.64583</v>
      </c>
      <c r="C401" s="9">
        <f>IFERROR(__xludf.DUMMYFUNCTION("""COMPUTED_VALUE"""),487.94)</f>
        <v>487.94</v>
      </c>
      <c r="D401" s="9">
        <f>IFERROR(__xludf.DUMMYFUNCTION("""COMPUTED_VALUE"""),491.23)</f>
        <v>491.23</v>
      </c>
      <c r="E401" s="9">
        <f>IFERROR(__xludf.DUMMYFUNCTION("""COMPUTED_VALUE"""),482.13)</f>
        <v>482.13</v>
      </c>
      <c r="F401" s="9">
        <f>IFERROR(__xludf.DUMMYFUNCTION("""COMPUTED_VALUE"""),489.18)</f>
        <v>489.18</v>
      </c>
      <c r="G401" s="9">
        <f>IFERROR(__xludf.DUMMYFUNCTION("""COMPUTED_VALUE"""),1774771.0)</f>
        <v>1774771</v>
      </c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</row>
    <row r="402">
      <c r="A402" s="1"/>
      <c r="B402" s="22">
        <f>IFERROR(__xludf.DUMMYFUNCTION("""COMPUTED_VALUE"""),42138.64583333333)</f>
        <v>42138.64583</v>
      </c>
      <c r="C402" s="9">
        <f>IFERROR(__xludf.DUMMYFUNCTION("""COMPUTED_VALUE"""),490.0)</f>
        <v>490</v>
      </c>
      <c r="D402" s="9">
        <f>IFERROR(__xludf.DUMMYFUNCTION("""COMPUTED_VALUE"""),490.2)</f>
        <v>490.2</v>
      </c>
      <c r="E402" s="9">
        <f>IFERROR(__xludf.DUMMYFUNCTION("""COMPUTED_VALUE"""),477.0)</f>
        <v>477</v>
      </c>
      <c r="F402" s="9">
        <f>IFERROR(__xludf.DUMMYFUNCTION("""COMPUTED_VALUE"""),483.7)</f>
        <v>483.7</v>
      </c>
      <c r="G402" s="9">
        <f>IFERROR(__xludf.DUMMYFUNCTION("""COMPUTED_VALUE"""),1558461.0)</f>
        <v>1558461</v>
      </c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</row>
    <row r="403">
      <c r="A403" s="1"/>
      <c r="B403" s="22">
        <f>IFERROR(__xludf.DUMMYFUNCTION("""COMPUTED_VALUE"""),42139.64583333333)</f>
        <v>42139.64583</v>
      </c>
      <c r="C403" s="9">
        <f>IFERROR(__xludf.DUMMYFUNCTION("""COMPUTED_VALUE"""),483.75)</f>
        <v>483.75</v>
      </c>
      <c r="D403" s="9">
        <f>IFERROR(__xludf.DUMMYFUNCTION("""COMPUTED_VALUE"""),491.65)</f>
        <v>491.65</v>
      </c>
      <c r="E403" s="9">
        <f>IFERROR(__xludf.DUMMYFUNCTION("""COMPUTED_VALUE"""),483.08)</f>
        <v>483.08</v>
      </c>
      <c r="F403" s="9">
        <f>IFERROR(__xludf.DUMMYFUNCTION("""COMPUTED_VALUE"""),490.44)</f>
        <v>490.44</v>
      </c>
      <c r="G403" s="9">
        <f>IFERROR(__xludf.DUMMYFUNCTION("""COMPUTED_VALUE"""),1297336.0)</f>
        <v>1297336</v>
      </c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</row>
    <row r="404">
      <c r="A404" s="1"/>
      <c r="B404" s="22">
        <f>IFERROR(__xludf.DUMMYFUNCTION("""COMPUTED_VALUE"""),42142.64583333333)</f>
        <v>42142.64583</v>
      </c>
      <c r="C404" s="9">
        <f>IFERROR(__xludf.DUMMYFUNCTION("""COMPUTED_VALUE"""),492.5)</f>
        <v>492.5</v>
      </c>
      <c r="D404" s="9">
        <f>IFERROR(__xludf.DUMMYFUNCTION("""COMPUTED_VALUE"""),499.73)</f>
        <v>499.73</v>
      </c>
      <c r="E404" s="9">
        <f>IFERROR(__xludf.DUMMYFUNCTION("""COMPUTED_VALUE"""),490.4)</f>
        <v>490.4</v>
      </c>
      <c r="F404" s="9">
        <f>IFERROR(__xludf.DUMMYFUNCTION("""COMPUTED_VALUE"""),498.26)</f>
        <v>498.26</v>
      </c>
      <c r="G404" s="9">
        <f>IFERROR(__xludf.DUMMYFUNCTION("""COMPUTED_VALUE"""),1617494.0)</f>
        <v>1617494</v>
      </c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</row>
    <row r="405">
      <c r="A405" s="1"/>
      <c r="B405" s="22">
        <f>IFERROR(__xludf.DUMMYFUNCTION("""COMPUTED_VALUE"""),42143.64583333333)</f>
        <v>42143.64583</v>
      </c>
      <c r="C405" s="9">
        <f>IFERROR(__xludf.DUMMYFUNCTION("""COMPUTED_VALUE"""),496.83)</f>
        <v>496.83</v>
      </c>
      <c r="D405" s="9">
        <f>IFERROR(__xludf.DUMMYFUNCTION("""COMPUTED_VALUE"""),508.93)</f>
        <v>508.93</v>
      </c>
      <c r="E405" s="9">
        <f>IFERROR(__xludf.DUMMYFUNCTION("""COMPUTED_VALUE"""),496.5)</f>
        <v>496.5</v>
      </c>
      <c r="F405" s="9">
        <f>IFERROR(__xludf.DUMMYFUNCTION("""COMPUTED_VALUE"""),505.59)</f>
        <v>505.59</v>
      </c>
      <c r="G405" s="9">
        <f>IFERROR(__xludf.DUMMYFUNCTION("""COMPUTED_VALUE"""),2568019.0)</f>
        <v>2568019</v>
      </c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</row>
    <row r="406">
      <c r="A406" s="1"/>
      <c r="B406" s="22">
        <f>IFERROR(__xludf.DUMMYFUNCTION("""COMPUTED_VALUE"""),42144.64583333333)</f>
        <v>42144.64583</v>
      </c>
      <c r="C406" s="9">
        <f>IFERROR(__xludf.DUMMYFUNCTION("""COMPUTED_VALUE"""),510.0)</f>
        <v>510</v>
      </c>
      <c r="D406" s="9">
        <f>IFERROR(__xludf.DUMMYFUNCTION("""COMPUTED_VALUE"""),513.0)</f>
        <v>513</v>
      </c>
      <c r="E406" s="9">
        <f>IFERROR(__xludf.DUMMYFUNCTION("""COMPUTED_VALUE"""),508.4)</f>
        <v>508.4</v>
      </c>
      <c r="F406" s="9">
        <f>IFERROR(__xludf.DUMMYFUNCTION("""COMPUTED_VALUE"""),511.83)</f>
        <v>511.83</v>
      </c>
      <c r="G406" s="9">
        <f>IFERROR(__xludf.DUMMYFUNCTION("""COMPUTED_VALUE"""),1470547.0)</f>
        <v>1470547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</row>
    <row r="407">
      <c r="A407" s="1"/>
      <c r="B407" s="22">
        <f>IFERROR(__xludf.DUMMYFUNCTION("""COMPUTED_VALUE"""),42145.64583333333)</f>
        <v>42145.64583</v>
      </c>
      <c r="C407" s="9">
        <f>IFERROR(__xludf.DUMMYFUNCTION("""COMPUTED_VALUE"""),512.23)</f>
        <v>512.23</v>
      </c>
      <c r="D407" s="9">
        <f>IFERROR(__xludf.DUMMYFUNCTION("""COMPUTED_VALUE"""),515.48)</f>
        <v>515.48</v>
      </c>
      <c r="E407" s="9">
        <f>IFERROR(__xludf.DUMMYFUNCTION("""COMPUTED_VALUE"""),509.31)</f>
        <v>509.31</v>
      </c>
      <c r="F407" s="9">
        <f>IFERROR(__xludf.DUMMYFUNCTION("""COMPUTED_VALUE"""),512.11)</f>
        <v>512.11</v>
      </c>
      <c r="G407" s="9">
        <f>IFERROR(__xludf.DUMMYFUNCTION("""COMPUTED_VALUE"""),2514828.0)</f>
        <v>2514828</v>
      </c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</row>
    <row r="408">
      <c r="A408" s="1"/>
      <c r="B408" s="22">
        <f>IFERROR(__xludf.DUMMYFUNCTION("""COMPUTED_VALUE"""),42146.64583333333)</f>
        <v>42146.64583</v>
      </c>
      <c r="C408" s="9">
        <f>IFERROR(__xludf.DUMMYFUNCTION("""COMPUTED_VALUE"""),511.0)</f>
        <v>511</v>
      </c>
      <c r="D408" s="9">
        <f>IFERROR(__xludf.DUMMYFUNCTION("""COMPUTED_VALUE"""),512.89)</f>
        <v>512.89</v>
      </c>
      <c r="E408" s="9">
        <f>IFERROR(__xludf.DUMMYFUNCTION("""COMPUTED_VALUE"""),507.53)</f>
        <v>507.53</v>
      </c>
      <c r="F408" s="9">
        <f>IFERROR(__xludf.DUMMYFUNCTION("""COMPUTED_VALUE"""),511.61)</f>
        <v>511.61</v>
      </c>
      <c r="G408" s="9">
        <f>IFERROR(__xludf.DUMMYFUNCTION("""COMPUTED_VALUE"""),1722206.0)</f>
        <v>1722206</v>
      </c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</row>
    <row r="409">
      <c r="A409" s="1"/>
      <c r="B409" s="22">
        <f>IFERROR(__xludf.DUMMYFUNCTION("""COMPUTED_VALUE"""),42149.64583333333)</f>
        <v>42149.64583</v>
      </c>
      <c r="C409" s="9">
        <f>IFERROR(__xludf.DUMMYFUNCTION("""COMPUTED_VALUE"""),512.63)</f>
        <v>512.63</v>
      </c>
      <c r="D409" s="9">
        <f>IFERROR(__xludf.DUMMYFUNCTION("""COMPUTED_VALUE"""),514.14)</f>
        <v>514.14</v>
      </c>
      <c r="E409" s="9">
        <f>IFERROR(__xludf.DUMMYFUNCTION("""COMPUTED_VALUE"""),501.76)</f>
        <v>501.76</v>
      </c>
      <c r="F409" s="9">
        <f>IFERROR(__xludf.DUMMYFUNCTION("""COMPUTED_VALUE"""),504.2)</f>
        <v>504.2</v>
      </c>
      <c r="G409" s="9">
        <f>IFERROR(__xludf.DUMMYFUNCTION("""COMPUTED_VALUE"""),1168952.0)</f>
        <v>1168952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</row>
    <row r="410">
      <c r="A410" s="1"/>
      <c r="B410" s="22">
        <f>IFERROR(__xludf.DUMMYFUNCTION("""COMPUTED_VALUE"""),42150.64583333333)</f>
        <v>42150.64583</v>
      </c>
      <c r="C410" s="9">
        <f>IFERROR(__xludf.DUMMYFUNCTION("""COMPUTED_VALUE"""),505.0)</f>
        <v>505</v>
      </c>
      <c r="D410" s="9">
        <f>IFERROR(__xludf.DUMMYFUNCTION("""COMPUTED_VALUE"""),507.86)</f>
        <v>507.86</v>
      </c>
      <c r="E410" s="9">
        <f>IFERROR(__xludf.DUMMYFUNCTION("""COMPUTED_VALUE"""),500.54)</f>
        <v>500.54</v>
      </c>
      <c r="F410" s="9">
        <f>IFERROR(__xludf.DUMMYFUNCTION("""COMPUTED_VALUE"""),501.83)</f>
        <v>501.83</v>
      </c>
      <c r="G410" s="9">
        <f>IFERROR(__xludf.DUMMYFUNCTION("""COMPUTED_VALUE"""),991260.0)</f>
        <v>991260</v>
      </c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</row>
    <row r="411">
      <c r="A411" s="1"/>
      <c r="B411" s="22">
        <f>IFERROR(__xludf.DUMMYFUNCTION("""COMPUTED_VALUE"""),42151.64583333333)</f>
        <v>42151.64583</v>
      </c>
      <c r="C411" s="9">
        <f>IFERROR(__xludf.DUMMYFUNCTION("""COMPUTED_VALUE"""),501.75)</f>
        <v>501.75</v>
      </c>
      <c r="D411" s="9">
        <f>IFERROR(__xludf.DUMMYFUNCTION("""COMPUTED_VALUE"""),502.25)</f>
        <v>502.25</v>
      </c>
      <c r="E411" s="9">
        <f>IFERROR(__xludf.DUMMYFUNCTION("""COMPUTED_VALUE"""),488.75)</f>
        <v>488.75</v>
      </c>
      <c r="F411" s="9">
        <f>IFERROR(__xludf.DUMMYFUNCTION("""COMPUTED_VALUE"""),492.13)</f>
        <v>492.13</v>
      </c>
      <c r="G411" s="9">
        <f>IFERROR(__xludf.DUMMYFUNCTION("""COMPUTED_VALUE"""),2113677.0)</f>
        <v>2113677</v>
      </c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</row>
    <row r="412">
      <c r="A412" s="1"/>
      <c r="B412" s="22">
        <f>IFERROR(__xludf.DUMMYFUNCTION("""COMPUTED_VALUE"""),42152.64583333333)</f>
        <v>42152.64583</v>
      </c>
      <c r="C412" s="9">
        <f>IFERROR(__xludf.DUMMYFUNCTION("""COMPUTED_VALUE"""),493.8)</f>
        <v>493.8</v>
      </c>
      <c r="D412" s="9">
        <f>IFERROR(__xludf.DUMMYFUNCTION("""COMPUTED_VALUE"""),508.0)</f>
        <v>508</v>
      </c>
      <c r="E412" s="9">
        <f>IFERROR(__xludf.DUMMYFUNCTION("""COMPUTED_VALUE"""),493.8)</f>
        <v>493.8</v>
      </c>
      <c r="F412" s="9">
        <f>IFERROR(__xludf.DUMMYFUNCTION("""COMPUTED_VALUE"""),504.15)</f>
        <v>504.15</v>
      </c>
      <c r="G412" s="9">
        <f>IFERROR(__xludf.DUMMYFUNCTION("""COMPUTED_VALUE"""),2745135.0)</f>
        <v>2745135</v>
      </c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</row>
    <row r="413">
      <c r="A413" s="1"/>
      <c r="B413" s="22">
        <f>IFERROR(__xludf.DUMMYFUNCTION("""COMPUTED_VALUE"""),42153.64583333333)</f>
        <v>42153.64583</v>
      </c>
      <c r="C413" s="9">
        <f>IFERROR(__xludf.DUMMYFUNCTION("""COMPUTED_VALUE"""),501.21)</f>
        <v>501.21</v>
      </c>
      <c r="D413" s="9">
        <f>IFERROR(__xludf.DUMMYFUNCTION("""COMPUTED_VALUE"""),514.11)</f>
        <v>514.11</v>
      </c>
      <c r="E413" s="9">
        <f>IFERROR(__xludf.DUMMYFUNCTION("""COMPUTED_VALUE"""),500.25)</f>
        <v>500.25</v>
      </c>
      <c r="F413" s="9">
        <f>IFERROR(__xludf.DUMMYFUNCTION("""COMPUTED_VALUE"""),505.79)</f>
        <v>505.79</v>
      </c>
      <c r="G413" s="9">
        <f>IFERROR(__xludf.DUMMYFUNCTION("""COMPUTED_VALUE"""),4748261.0)</f>
        <v>4748261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</row>
    <row r="414">
      <c r="A414" s="1"/>
      <c r="B414" s="22">
        <f>IFERROR(__xludf.DUMMYFUNCTION("""COMPUTED_VALUE"""),42156.64583333333)</f>
        <v>42156.64583</v>
      </c>
      <c r="C414" s="9">
        <f>IFERROR(__xludf.DUMMYFUNCTION("""COMPUTED_VALUE"""),508.2)</f>
        <v>508.2</v>
      </c>
      <c r="D414" s="9">
        <f>IFERROR(__xludf.DUMMYFUNCTION("""COMPUTED_VALUE"""),516.0)</f>
        <v>516</v>
      </c>
      <c r="E414" s="9">
        <f>IFERROR(__xludf.DUMMYFUNCTION("""COMPUTED_VALUE"""),505.81)</f>
        <v>505.81</v>
      </c>
      <c r="F414" s="9">
        <f>IFERROR(__xludf.DUMMYFUNCTION("""COMPUTED_VALUE"""),511.95)</f>
        <v>511.95</v>
      </c>
      <c r="G414" s="9">
        <f>IFERROR(__xludf.DUMMYFUNCTION("""COMPUTED_VALUE"""),1431223.0)</f>
        <v>1431223</v>
      </c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</row>
    <row r="415">
      <c r="A415" s="1"/>
      <c r="B415" s="22">
        <f>IFERROR(__xludf.DUMMYFUNCTION("""COMPUTED_VALUE"""),42157.64583333333)</f>
        <v>42157.64583</v>
      </c>
      <c r="C415" s="9">
        <f>IFERROR(__xludf.DUMMYFUNCTION("""COMPUTED_VALUE"""),512.03)</f>
        <v>512.03</v>
      </c>
      <c r="D415" s="9">
        <f>IFERROR(__xludf.DUMMYFUNCTION("""COMPUTED_VALUE"""),513.78)</f>
        <v>513.78</v>
      </c>
      <c r="E415" s="9">
        <f>IFERROR(__xludf.DUMMYFUNCTION("""COMPUTED_VALUE"""),501.25)</f>
        <v>501.25</v>
      </c>
      <c r="F415" s="9">
        <f>IFERROR(__xludf.DUMMYFUNCTION("""COMPUTED_VALUE"""),502.16)</f>
        <v>502.16</v>
      </c>
      <c r="G415" s="9">
        <f>IFERROR(__xludf.DUMMYFUNCTION("""COMPUTED_VALUE"""),1168285.0)</f>
        <v>1168285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</row>
    <row r="416">
      <c r="A416" s="1"/>
      <c r="B416" s="22">
        <f>IFERROR(__xludf.DUMMYFUNCTION("""COMPUTED_VALUE"""),42158.64583333333)</f>
        <v>42158.64583</v>
      </c>
      <c r="C416" s="9">
        <f>IFERROR(__xludf.DUMMYFUNCTION("""COMPUTED_VALUE"""),504.55)</f>
        <v>504.55</v>
      </c>
      <c r="D416" s="9">
        <f>IFERROR(__xludf.DUMMYFUNCTION("""COMPUTED_VALUE"""),509.86)</f>
        <v>509.86</v>
      </c>
      <c r="E416" s="9">
        <f>IFERROR(__xludf.DUMMYFUNCTION("""COMPUTED_VALUE"""),502.0)</f>
        <v>502</v>
      </c>
      <c r="F416" s="9">
        <f>IFERROR(__xludf.DUMMYFUNCTION("""COMPUTED_VALUE"""),505.23)</f>
        <v>505.23</v>
      </c>
      <c r="G416" s="9">
        <f>IFERROR(__xludf.DUMMYFUNCTION("""COMPUTED_VALUE"""),1373949.0)</f>
        <v>1373949</v>
      </c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</row>
    <row r="417">
      <c r="A417" s="1"/>
      <c r="B417" s="22">
        <f>IFERROR(__xludf.DUMMYFUNCTION("""COMPUTED_VALUE"""),42159.64583333333)</f>
        <v>42159.64583</v>
      </c>
      <c r="C417" s="9">
        <f>IFERROR(__xludf.DUMMYFUNCTION("""COMPUTED_VALUE"""),507.5)</f>
        <v>507.5</v>
      </c>
      <c r="D417" s="9">
        <f>IFERROR(__xludf.DUMMYFUNCTION("""COMPUTED_VALUE"""),513.75)</f>
        <v>513.75</v>
      </c>
      <c r="E417" s="9">
        <f>IFERROR(__xludf.DUMMYFUNCTION("""COMPUTED_VALUE"""),503.15)</f>
        <v>503.15</v>
      </c>
      <c r="F417" s="9">
        <f>IFERROR(__xludf.DUMMYFUNCTION("""COMPUTED_VALUE"""),507.01)</f>
        <v>507.01</v>
      </c>
      <c r="G417" s="9">
        <f>IFERROR(__xludf.DUMMYFUNCTION("""COMPUTED_VALUE"""),1872366.0)</f>
        <v>1872366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</row>
    <row r="418">
      <c r="A418" s="1"/>
      <c r="B418" s="22">
        <f>IFERROR(__xludf.DUMMYFUNCTION("""COMPUTED_VALUE"""),42160.64583333333)</f>
        <v>42160.64583</v>
      </c>
      <c r="C418" s="9">
        <f>IFERROR(__xludf.DUMMYFUNCTION("""COMPUTED_VALUE"""),507.5)</f>
        <v>507.5</v>
      </c>
      <c r="D418" s="9">
        <f>IFERROR(__xludf.DUMMYFUNCTION("""COMPUTED_VALUE"""),511.0)</f>
        <v>511</v>
      </c>
      <c r="E418" s="9">
        <f>IFERROR(__xludf.DUMMYFUNCTION("""COMPUTED_VALUE"""),502.04)</f>
        <v>502.04</v>
      </c>
      <c r="F418" s="9">
        <f>IFERROR(__xludf.DUMMYFUNCTION("""COMPUTED_VALUE"""),502.91)</f>
        <v>502.91</v>
      </c>
      <c r="G418" s="9">
        <f>IFERROR(__xludf.DUMMYFUNCTION("""COMPUTED_VALUE"""),1531447.0)</f>
        <v>1531447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</row>
    <row r="419">
      <c r="A419" s="1"/>
      <c r="B419" s="22">
        <f>IFERROR(__xludf.DUMMYFUNCTION("""COMPUTED_VALUE"""),42163.64583333333)</f>
        <v>42163.64583</v>
      </c>
      <c r="C419" s="9">
        <f>IFERROR(__xludf.DUMMYFUNCTION("""COMPUTED_VALUE"""),505.0)</f>
        <v>505</v>
      </c>
      <c r="D419" s="9">
        <f>IFERROR(__xludf.DUMMYFUNCTION("""COMPUTED_VALUE"""),506.16)</f>
        <v>506.16</v>
      </c>
      <c r="E419" s="9">
        <f>IFERROR(__xludf.DUMMYFUNCTION("""COMPUTED_VALUE"""),496.75)</f>
        <v>496.75</v>
      </c>
      <c r="F419" s="9">
        <f>IFERROR(__xludf.DUMMYFUNCTION("""COMPUTED_VALUE"""),500.01)</f>
        <v>500.01</v>
      </c>
      <c r="G419" s="9">
        <f>IFERROR(__xludf.DUMMYFUNCTION("""COMPUTED_VALUE"""),1535262.0)</f>
        <v>1535262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</row>
    <row r="420">
      <c r="A420" s="1"/>
      <c r="B420" s="22">
        <f>IFERROR(__xludf.DUMMYFUNCTION("""COMPUTED_VALUE"""),42164.64583333333)</f>
        <v>42164.64583</v>
      </c>
      <c r="C420" s="9">
        <f>IFERROR(__xludf.DUMMYFUNCTION("""COMPUTED_VALUE"""),500.94)</f>
        <v>500.94</v>
      </c>
      <c r="D420" s="9">
        <f>IFERROR(__xludf.DUMMYFUNCTION("""COMPUTED_VALUE"""),501.91)</f>
        <v>501.91</v>
      </c>
      <c r="E420" s="9">
        <f>IFERROR(__xludf.DUMMYFUNCTION("""COMPUTED_VALUE"""),495.75)</f>
        <v>495.75</v>
      </c>
      <c r="F420" s="9">
        <f>IFERROR(__xludf.DUMMYFUNCTION("""COMPUTED_VALUE"""),498.03)</f>
        <v>498.03</v>
      </c>
      <c r="G420" s="9">
        <f>IFERROR(__xludf.DUMMYFUNCTION("""COMPUTED_VALUE"""),1890435.0)</f>
        <v>1890435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</row>
    <row r="421">
      <c r="A421" s="1"/>
      <c r="B421" s="22">
        <f>IFERROR(__xludf.DUMMYFUNCTION("""COMPUTED_VALUE"""),42165.64583333333)</f>
        <v>42165.64583</v>
      </c>
      <c r="C421" s="9">
        <f>IFERROR(__xludf.DUMMYFUNCTION("""COMPUTED_VALUE"""),497.5)</f>
        <v>497.5</v>
      </c>
      <c r="D421" s="9">
        <f>IFERROR(__xludf.DUMMYFUNCTION("""COMPUTED_VALUE"""),509.84)</f>
        <v>509.84</v>
      </c>
      <c r="E421" s="9">
        <f>IFERROR(__xludf.DUMMYFUNCTION("""COMPUTED_VALUE"""),496.25)</f>
        <v>496.25</v>
      </c>
      <c r="F421" s="9">
        <f>IFERROR(__xludf.DUMMYFUNCTION("""COMPUTED_VALUE"""),506.63)</f>
        <v>506.63</v>
      </c>
      <c r="G421" s="9">
        <f>IFERROR(__xludf.DUMMYFUNCTION("""COMPUTED_VALUE"""),1596460.0)</f>
        <v>1596460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</row>
    <row r="422">
      <c r="A422" s="1"/>
      <c r="B422" s="22">
        <f>IFERROR(__xludf.DUMMYFUNCTION("""COMPUTED_VALUE"""),42166.64583333333)</f>
        <v>42166.64583</v>
      </c>
      <c r="C422" s="9">
        <f>IFERROR(__xludf.DUMMYFUNCTION("""COMPUTED_VALUE"""),508.99)</f>
        <v>508.99</v>
      </c>
      <c r="D422" s="9">
        <f>IFERROR(__xludf.DUMMYFUNCTION("""COMPUTED_VALUE"""),511.19)</f>
        <v>511.19</v>
      </c>
      <c r="E422" s="9">
        <f>IFERROR(__xludf.DUMMYFUNCTION("""COMPUTED_VALUE"""),498.76)</f>
        <v>498.76</v>
      </c>
      <c r="F422" s="9">
        <f>IFERROR(__xludf.DUMMYFUNCTION("""COMPUTED_VALUE"""),499.41)</f>
        <v>499.41</v>
      </c>
      <c r="G422" s="9">
        <f>IFERROR(__xludf.DUMMYFUNCTION("""COMPUTED_VALUE"""),2307366.0)</f>
        <v>2307366</v>
      </c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</row>
    <row r="423">
      <c r="A423" s="1"/>
      <c r="B423" s="22">
        <f>IFERROR(__xludf.DUMMYFUNCTION("""COMPUTED_VALUE"""),42167.64583333333)</f>
        <v>42167.64583</v>
      </c>
      <c r="C423" s="9">
        <f>IFERROR(__xludf.DUMMYFUNCTION("""COMPUTED_VALUE"""),501.25)</f>
        <v>501.25</v>
      </c>
      <c r="D423" s="9">
        <f>IFERROR(__xludf.DUMMYFUNCTION("""COMPUTED_VALUE"""),506.39)</f>
        <v>506.39</v>
      </c>
      <c r="E423" s="9">
        <f>IFERROR(__xludf.DUMMYFUNCTION("""COMPUTED_VALUE"""),488.88)</f>
        <v>488.88</v>
      </c>
      <c r="F423" s="9">
        <f>IFERROR(__xludf.DUMMYFUNCTION("""COMPUTED_VALUE"""),493.76)</f>
        <v>493.76</v>
      </c>
      <c r="G423" s="9">
        <f>IFERROR(__xludf.DUMMYFUNCTION("""COMPUTED_VALUE"""),2463231.0)</f>
        <v>2463231</v>
      </c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</row>
    <row r="424">
      <c r="A424" s="1"/>
      <c r="B424" s="22">
        <f>IFERROR(__xludf.DUMMYFUNCTION("""COMPUTED_VALUE"""),42170.64583333333)</f>
        <v>42170.64583</v>
      </c>
      <c r="C424" s="9">
        <f>IFERROR(__xludf.DUMMYFUNCTION("""COMPUTED_VALUE"""),488.48)</f>
        <v>488.48</v>
      </c>
      <c r="D424" s="9">
        <f>IFERROR(__xludf.DUMMYFUNCTION("""COMPUTED_VALUE"""),499.4)</f>
        <v>499.4</v>
      </c>
      <c r="E424" s="9">
        <f>IFERROR(__xludf.DUMMYFUNCTION("""COMPUTED_VALUE"""),484.0)</f>
        <v>484</v>
      </c>
      <c r="F424" s="9">
        <f>IFERROR(__xludf.DUMMYFUNCTION("""COMPUTED_VALUE"""),495.23)</f>
        <v>495.23</v>
      </c>
      <c r="G424" s="9">
        <f>IFERROR(__xludf.DUMMYFUNCTION("""COMPUTED_VALUE"""),2618213.0)</f>
        <v>2618213</v>
      </c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</row>
    <row r="425">
      <c r="A425" s="1"/>
      <c r="B425" s="22">
        <f>IFERROR(__xludf.DUMMYFUNCTION("""COMPUTED_VALUE"""),42171.64583333333)</f>
        <v>42171.64583</v>
      </c>
      <c r="C425" s="9">
        <f>IFERROR(__xludf.DUMMYFUNCTION("""COMPUTED_VALUE"""),497.18)</f>
        <v>497.18</v>
      </c>
      <c r="D425" s="9">
        <f>IFERROR(__xludf.DUMMYFUNCTION("""COMPUTED_VALUE"""),501.5)</f>
        <v>501.5</v>
      </c>
      <c r="E425" s="9">
        <f>IFERROR(__xludf.DUMMYFUNCTION("""COMPUTED_VALUE"""),492.5)</f>
        <v>492.5</v>
      </c>
      <c r="F425" s="9">
        <f>IFERROR(__xludf.DUMMYFUNCTION("""COMPUTED_VALUE"""),499.68)</f>
        <v>499.68</v>
      </c>
      <c r="G425" s="9">
        <f>IFERROR(__xludf.DUMMYFUNCTION("""COMPUTED_VALUE"""),2611722.0)</f>
        <v>2611722</v>
      </c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</row>
    <row r="426">
      <c r="A426" s="1"/>
      <c r="B426" s="22">
        <f>IFERROR(__xludf.DUMMYFUNCTION("""COMPUTED_VALUE"""),42172.64583333333)</f>
        <v>42172.64583</v>
      </c>
      <c r="C426" s="9">
        <f>IFERROR(__xludf.DUMMYFUNCTION("""COMPUTED_VALUE"""),505.5)</f>
        <v>505.5</v>
      </c>
      <c r="D426" s="9">
        <f>IFERROR(__xludf.DUMMYFUNCTION("""COMPUTED_VALUE"""),510.5)</f>
        <v>510.5</v>
      </c>
      <c r="E426" s="9">
        <f>IFERROR(__xludf.DUMMYFUNCTION("""COMPUTED_VALUE"""),496.1)</f>
        <v>496.1</v>
      </c>
      <c r="F426" s="9">
        <f>IFERROR(__xludf.DUMMYFUNCTION("""COMPUTED_VALUE"""),497.85)</f>
        <v>497.85</v>
      </c>
      <c r="G426" s="9">
        <f>IFERROR(__xludf.DUMMYFUNCTION("""COMPUTED_VALUE"""),3206034.0)</f>
        <v>3206034</v>
      </c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</row>
    <row r="427">
      <c r="A427" s="1"/>
      <c r="B427" s="22">
        <f>IFERROR(__xludf.DUMMYFUNCTION("""COMPUTED_VALUE"""),42173.64583333333)</f>
        <v>42173.64583</v>
      </c>
      <c r="C427" s="9">
        <f>IFERROR(__xludf.DUMMYFUNCTION("""COMPUTED_VALUE"""),502.8)</f>
        <v>502.8</v>
      </c>
      <c r="D427" s="9">
        <f>IFERROR(__xludf.DUMMYFUNCTION("""COMPUTED_VALUE"""),503.98)</f>
        <v>503.98</v>
      </c>
      <c r="E427" s="9">
        <f>IFERROR(__xludf.DUMMYFUNCTION("""COMPUTED_VALUE"""),497.9)</f>
        <v>497.9</v>
      </c>
      <c r="F427" s="9">
        <f>IFERROR(__xludf.DUMMYFUNCTION("""COMPUTED_VALUE"""),500.98)</f>
        <v>500.98</v>
      </c>
      <c r="G427" s="9">
        <f>IFERROR(__xludf.DUMMYFUNCTION("""COMPUTED_VALUE"""),1737213.0)</f>
        <v>1737213</v>
      </c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</row>
    <row r="428">
      <c r="A428" s="1"/>
      <c r="B428" s="22">
        <f>IFERROR(__xludf.DUMMYFUNCTION("""COMPUTED_VALUE"""),42174.64583333333)</f>
        <v>42174.64583</v>
      </c>
      <c r="C428" s="9">
        <f>IFERROR(__xludf.DUMMYFUNCTION("""COMPUTED_VALUE"""),505.15)</f>
        <v>505.15</v>
      </c>
      <c r="D428" s="9">
        <f>IFERROR(__xludf.DUMMYFUNCTION("""COMPUTED_VALUE"""),505.2)</f>
        <v>505.2</v>
      </c>
      <c r="E428" s="9">
        <f>IFERROR(__xludf.DUMMYFUNCTION("""COMPUTED_VALUE"""),496.55)</f>
        <v>496.55</v>
      </c>
      <c r="F428" s="9">
        <f>IFERROR(__xludf.DUMMYFUNCTION("""COMPUTED_VALUE"""),497.68)</f>
        <v>497.68</v>
      </c>
      <c r="G428" s="9">
        <f>IFERROR(__xludf.DUMMYFUNCTION("""COMPUTED_VALUE"""),3335229.0)</f>
        <v>3335229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</row>
    <row r="429">
      <c r="A429" s="1"/>
      <c r="B429" s="22">
        <f>IFERROR(__xludf.DUMMYFUNCTION("""COMPUTED_VALUE"""),42177.64583333333)</f>
        <v>42177.64583</v>
      </c>
      <c r="C429" s="9">
        <f>IFERROR(__xludf.DUMMYFUNCTION("""COMPUTED_VALUE"""),502.45)</f>
        <v>502.45</v>
      </c>
      <c r="D429" s="9">
        <f>IFERROR(__xludf.DUMMYFUNCTION("""COMPUTED_VALUE"""),514.38)</f>
        <v>514.38</v>
      </c>
      <c r="E429" s="9">
        <f>IFERROR(__xludf.DUMMYFUNCTION("""COMPUTED_VALUE"""),498.5)</f>
        <v>498.5</v>
      </c>
      <c r="F429" s="9">
        <f>IFERROR(__xludf.DUMMYFUNCTION("""COMPUTED_VALUE"""),511.93)</f>
        <v>511.93</v>
      </c>
      <c r="G429" s="9">
        <f>IFERROR(__xludf.DUMMYFUNCTION("""COMPUTED_VALUE"""),2855434.0)</f>
        <v>2855434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</row>
    <row r="430">
      <c r="A430" s="1"/>
      <c r="B430" s="22">
        <f>IFERROR(__xludf.DUMMYFUNCTION("""COMPUTED_VALUE"""),42178.64583333333)</f>
        <v>42178.64583</v>
      </c>
      <c r="C430" s="9">
        <f>IFERROR(__xludf.DUMMYFUNCTION("""COMPUTED_VALUE"""),512.5)</f>
        <v>512.5</v>
      </c>
      <c r="D430" s="9">
        <f>IFERROR(__xludf.DUMMYFUNCTION("""COMPUTED_VALUE"""),513.7)</f>
        <v>513.7</v>
      </c>
      <c r="E430" s="9">
        <f>IFERROR(__xludf.DUMMYFUNCTION("""COMPUTED_VALUE"""),499.08)</f>
        <v>499.08</v>
      </c>
      <c r="F430" s="9">
        <f>IFERROR(__xludf.DUMMYFUNCTION("""COMPUTED_VALUE"""),500.2)</f>
        <v>500.2</v>
      </c>
      <c r="G430" s="9">
        <f>IFERROR(__xludf.DUMMYFUNCTION("""COMPUTED_VALUE"""),3476058.0)</f>
        <v>3476058</v>
      </c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</row>
    <row r="431">
      <c r="A431" s="1"/>
      <c r="B431" s="22">
        <f>IFERROR(__xludf.DUMMYFUNCTION("""COMPUTED_VALUE"""),42179.64583333333)</f>
        <v>42179.64583</v>
      </c>
      <c r="C431" s="9">
        <f>IFERROR(__xludf.DUMMYFUNCTION("""COMPUTED_VALUE"""),507.5)</f>
        <v>507.5</v>
      </c>
      <c r="D431" s="9">
        <f>IFERROR(__xludf.DUMMYFUNCTION("""COMPUTED_VALUE"""),507.5)</f>
        <v>507.5</v>
      </c>
      <c r="E431" s="9">
        <f>IFERROR(__xludf.DUMMYFUNCTION("""COMPUTED_VALUE"""),495.6)</f>
        <v>495.6</v>
      </c>
      <c r="F431" s="9">
        <f>IFERROR(__xludf.DUMMYFUNCTION("""COMPUTED_VALUE"""),497.55)</f>
        <v>497.55</v>
      </c>
      <c r="G431" s="9">
        <f>IFERROR(__xludf.DUMMYFUNCTION("""COMPUTED_VALUE"""),3536847.0)</f>
        <v>3536847</v>
      </c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</row>
    <row r="432">
      <c r="A432" s="1"/>
      <c r="B432" s="22">
        <f>IFERROR(__xludf.DUMMYFUNCTION("""COMPUTED_VALUE"""),42180.64583333333)</f>
        <v>42180.64583</v>
      </c>
      <c r="C432" s="9">
        <f>IFERROR(__xludf.DUMMYFUNCTION("""COMPUTED_VALUE"""),499.6)</f>
        <v>499.6</v>
      </c>
      <c r="D432" s="9">
        <f>IFERROR(__xludf.DUMMYFUNCTION("""COMPUTED_VALUE"""),501.75)</f>
        <v>501.75</v>
      </c>
      <c r="E432" s="9">
        <f>IFERROR(__xludf.DUMMYFUNCTION("""COMPUTED_VALUE"""),493.83)</f>
        <v>493.83</v>
      </c>
      <c r="F432" s="9">
        <f>IFERROR(__xludf.DUMMYFUNCTION("""COMPUTED_VALUE"""),495.23)</f>
        <v>495.23</v>
      </c>
      <c r="G432" s="9">
        <f>IFERROR(__xludf.DUMMYFUNCTION("""COMPUTED_VALUE"""),3558733.0)</f>
        <v>3558733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</row>
    <row r="433">
      <c r="A433" s="1"/>
      <c r="B433" s="22">
        <f>IFERROR(__xludf.DUMMYFUNCTION("""COMPUTED_VALUE"""),42181.64583333333)</f>
        <v>42181.64583</v>
      </c>
      <c r="C433" s="9">
        <f>IFERROR(__xludf.DUMMYFUNCTION("""COMPUTED_VALUE"""),499.5)</f>
        <v>499.5</v>
      </c>
      <c r="D433" s="9">
        <f>IFERROR(__xludf.DUMMYFUNCTION("""COMPUTED_VALUE"""),505.8)</f>
        <v>505.8</v>
      </c>
      <c r="E433" s="9">
        <f>IFERROR(__xludf.DUMMYFUNCTION("""COMPUTED_VALUE"""),499.05)</f>
        <v>499.05</v>
      </c>
      <c r="F433" s="9">
        <f>IFERROR(__xludf.DUMMYFUNCTION("""COMPUTED_VALUE"""),502.63)</f>
        <v>502.63</v>
      </c>
      <c r="G433" s="9">
        <f>IFERROR(__xludf.DUMMYFUNCTION("""COMPUTED_VALUE"""),2660142.0)</f>
        <v>2660142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</row>
    <row r="434">
      <c r="A434" s="1"/>
      <c r="B434" s="22">
        <f>IFERROR(__xludf.DUMMYFUNCTION("""COMPUTED_VALUE"""),42184.64583333333)</f>
        <v>42184.64583</v>
      </c>
      <c r="C434" s="9">
        <f>IFERROR(__xludf.DUMMYFUNCTION("""COMPUTED_VALUE"""),493.5)</f>
        <v>493.5</v>
      </c>
      <c r="D434" s="9">
        <f>IFERROR(__xludf.DUMMYFUNCTION("""COMPUTED_VALUE"""),499.75)</f>
        <v>499.75</v>
      </c>
      <c r="E434" s="9">
        <f>IFERROR(__xludf.DUMMYFUNCTION("""COMPUTED_VALUE"""),491.25)</f>
        <v>491.25</v>
      </c>
      <c r="F434" s="9">
        <f>IFERROR(__xludf.DUMMYFUNCTION("""COMPUTED_VALUE"""),495.08)</f>
        <v>495.08</v>
      </c>
      <c r="G434" s="9">
        <f>IFERROR(__xludf.DUMMYFUNCTION("""COMPUTED_VALUE"""),2845334.0)</f>
        <v>2845334</v>
      </c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</row>
    <row r="435">
      <c r="A435" s="1"/>
      <c r="B435" s="22">
        <f>IFERROR(__xludf.DUMMYFUNCTION("""COMPUTED_VALUE"""),42185.64583333333)</f>
        <v>42185.64583</v>
      </c>
      <c r="C435" s="9">
        <f>IFERROR(__xludf.DUMMYFUNCTION("""COMPUTED_VALUE"""),495.0)</f>
        <v>495</v>
      </c>
      <c r="D435" s="9">
        <f>IFERROR(__xludf.DUMMYFUNCTION("""COMPUTED_VALUE"""),496.73)</f>
        <v>496.73</v>
      </c>
      <c r="E435" s="9">
        <f>IFERROR(__xludf.DUMMYFUNCTION("""COMPUTED_VALUE"""),490.0)</f>
        <v>490</v>
      </c>
      <c r="F435" s="9">
        <f>IFERROR(__xludf.DUMMYFUNCTION("""COMPUTED_VALUE"""),492.18)</f>
        <v>492.18</v>
      </c>
      <c r="G435" s="9">
        <f>IFERROR(__xludf.DUMMYFUNCTION("""COMPUTED_VALUE"""),3106265.0)</f>
        <v>3106265</v>
      </c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</row>
    <row r="436">
      <c r="A436" s="1"/>
      <c r="B436" s="22">
        <f>IFERROR(__xludf.DUMMYFUNCTION("""COMPUTED_VALUE"""),42186.64583333333)</f>
        <v>42186.64583</v>
      </c>
      <c r="C436" s="9">
        <f>IFERROR(__xludf.DUMMYFUNCTION("""COMPUTED_VALUE"""),494.5)</f>
        <v>494.5</v>
      </c>
      <c r="D436" s="9">
        <f>IFERROR(__xludf.DUMMYFUNCTION("""COMPUTED_VALUE"""),502.5)</f>
        <v>502.5</v>
      </c>
      <c r="E436" s="9">
        <f>IFERROR(__xludf.DUMMYFUNCTION("""COMPUTED_VALUE"""),493.0)</f>
        <v>493</v>
      </c>
      <c r="F436" s="9">
        <f>IFERROR(__xludf.DUMMYFUNCTION("""COMPUTED_VALUE"""),498.7)</f>
        <v>498.7</v>
      </c>
      <c r="G436" s="9">
        <f>IFERROR(__xludf.DUMMYFUNCTION("""COMPUTED_VALUE"""),3440426.0)</f>
        <v>3440426</v>
      </c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</row>
    <row r="437">
      <c r="A437" s="1"/>
      <c r="B437" s="22">
        <f>IFERROR(__xludf.DUMMYFUNCTION("""COMPUTED_VALUE"""),42187.64583333333)</f>
        <v>42187.64583</v>
      </c>
      <c r="C437" s="9">
        <f>IFERROR(__xludf.DUMMYFUNCTION("""COMPUTED_VALUE"""),499.5)</f>
        <v>499.5</v>
      </c>
      <c r="D437" s="9">
        <f>IFERROR(__xludf.DUMMYFUNCTION("""COMPUTED_VALUE"""),500.7)</f>
        <v>500.7</v>
      </c>
      <c r="E437" s="9">
        <f>IFERROR(__xludf.DUMMYFUNCTION("""COMPUTED_VALUE"""),492.53)</f>
        <v>492.53</v>
      </c>
      <c r="F437" s="9">
        <f>IFERROR(__xludf.DUMMYFUNCTION("""COMPUTED_VALUE"""),494.0)</f>
        <v>494</v>
      </c>
      <c r="G437" s="9">
        <f>IFERROR(__xludf.DUMMYFUNCTION("""COMPUTED_VALUE"""),2003784.0)</f>
        <v>2003784</v>
      </c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</row>
    <row r="438">
      <c r="A438" s="1"/>
      <c r="B438" s="22">
        <f>IFERROR(__xludf.DUMMYFUNCTION("""COMPUTED_VALUE"""),42188.64583333333)</f>
        <v>42188.64583</v>
      </c>
      <c r="C438" s="9">
        <f>IFERROR(__xludf.DUMMYFUNCTION("""COMPUTED_VALUE"""),494.0)</f>
        <v>494</v>
      </c>
      <c r="D438" s="9">
        <f>IFERROR(__xludf.DUMMYFUNCTION("""COMPUTED_VALUE"""),496.5)</f>
        <v>496.5</v>
      </c>
      <c r="E438" s="9">
        <f>IFERROR(__xludf.DUMMYFUNCTION("""COMPUTED_VALUE"""),491.0)</f>
        <v>491</v>
      </c>
      <c r="F438" s="9">
        <f>IFERROR(__xludf.DUMMYFUNCTION("""COMPUTED_VALUE"""),495.15)</f>
        <v>495.15</v>
      </c>
      <c r="G438" s="9">
        <f>IFERROR(__xludf.DUMMYFUNCTION("""COMPUTED_VALUE"""),1347653.0)</f>
        <v>1347653</v>
      </c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</row>
    <row r="439">
      <c r="A439" s="1"/>
      <c r="B439" s="22">
        <f>IFERROR(__xludf.DUMMYFUNCTION("""COMPUTED_VALUE"""),42191.64583333333)</f>
        <v>42191.64583</v>
      </c>
      <c r="C439" s="9">
        <f>IFERROR(__xludf.DUMMYFUNCTION("""COMPUTED_VALUE"""),492.5)</f>
        <v>492.5</v>
      </c>
      <c r="D439" s="9">
        <f>IFERROR(__xludf.DUMMYFUNCTION("""COMPUTED_VALUE"""),494.0)</f>
        <v>494</v>
      </c>
      <c r="E439" s="9">
        <f>IFERROR(__xludf.DUMMYFUNCTION("""COMPUTED_VALUE"""),487.5)</f>
        <v>487.5</v>
      </c>
      <c r="F439" s="9">
        <f>IFERROR(__xludf.DUMMYFUNCTION("""COMPUTED_VALUE"""),491.65)</f>
        <v>491.65</v>
      </c>
      <c r="G439" s="9">
        <f>IFERROR(__xludf.DUMMYFUNCTION("""COMPUTED_VALUE"""),2152801.0)</f>
        <v>2152801</v>
      </c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</row>
    <row r="440">
      <c r="A440" s="1"/>
      <c r="B440" s="22">
        <f>IFERROR(__xludf.DUMMYFUNCTION("""COMPUTED_VALUE"""),42192.64583333333)</f>
        <v>42192.64583</v>
      </c>
      <c r="C440" s="9">
        <f>IFERROR(__xludf.DUMMYFUNCTION("""COMPUTED_VALUE"""),492.5)</f>
        <v>492.5</v>
      </c>
      <c r="D440" s="9">
        <f>IFERROR(__xludf.DUMMYFUNCTION("""COMPUTED_VALUE"""),495.0)</f>
        <v>495</v>
      </c>
      <c r="E440" s="9">
        <f>IFERROR(__xludf.DUMMYFUNCTION("""COMPUTED_VALUE"""),489.5)</f>
        <v>489.5</v>
      </c>
      <c r="F440" s="9">
        <f>IFERROR(__xludf.DUMMYFUNCTION("""COMPUTED_VALUE"""),490.25)</f>
        <v>490.25</v>
      </c>
      <c r="G440" s="9">
        <f>IFERROR(__xludf.DUMMYFUNCTION("""COMPUTED_VALUE"""),1748709.0)</f>
        <v>1748709</v>
      </c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</row>
    <row r="441">
      <c r="A441" s="1"/>
      <c r="B441" s="22">
        <f>IFERROR(__xludf.DUMMYFUNCTION("""COMPUTED_VALUE"""),42193.64583333333)</f>
        <v>42193.64583</v>
      </c>
      <c r="C441" s="9">
        <f>IFERROR(__xludf.DUMMYFUNCTION("""COMPUTED_VALUE"""),489.5)</f>
        <v>489.5</v>
      </c>
      <c r="D441" s="9">
        <f>IFERROR(__xludf.DUMMYFUNCTION("""COMPUTED_VALUE"""),489.5)</f>
        <v>489.5</v>
      </c>
      <c r="E441" s="9">
        <f>IFERROR(__xludf.DUMMYFUNCTION("""COMPUTED_VALUE"""),477.4)</f>
        <v>477.4</v>
      </c>
      <c r="F441" s="9">
        <f>IFERROR(__xludf.DUMMYFUNCTION("""COMPUTED_VALUE"""),478.75)</f>
        <v>478.75</v>
      </c>
      <c r="G441" s="9">
        <f>IFERROR(__xludf.DUMMYFUNCTION("""COMPUTED_VALUE"""),3512089.0)</f>
        <v>3512089</v>
      </c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</row>
    <row r="442">
      <c r="A442" s="1"/>
      <c r="B442" s="22">
        <f>IFERROR(__xludf.DUMMYFUNCTION("""COMPUTED_VALUE"""),42194.64583333333)</f>
        <v>42194.64583</v>
      </c>
      <c r="C442" s="9">
        <f>IFERROR(__xludf.DUMMYFUNCTION("""COMPUTED_VALUE"""),478.75)</f>
        <v>478.75</v>
      </c>
      <c r="D442" s="9">
        <f>IFERROR(__xludf.DUMMYFUNCTION("""COMPUTED_VALUE"""),483.0)</f>
        <v>483</v>
      </c>
      <c r="E442" s="9">
        <f>IFERROR(__xludf.DUMMYFUNCTION("""COMPUTED_VALUE"""),467.03)</f>
        <v>467.03</v>
      </c>
      <c r="F442" s="9">
        <f>IFERROR(__xludf.DUMMYFUNCTION("""COMPUTED_VALUE"""),469.0)</f>
        <v>469</v>
      </c>
      <c r="G442" s="9">
        <f>IFERROR(__xludf.DUMMYFUNCTION("""COMPUTED_VALUE"""),4293886.0)</f>
        <v>4293886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</row>
    <row r="443">
      <c r="A443" s="1"/>
      <c r="B443" s="22">
        <f>IFERROR(__xludf.DUMMYFUNCTION("""COMPUTED_VALUE"""),42195.64583333333)</f>
        <v>42195.64583</v>
      </c>
      <c r="C443" s="9">
        <f>IFERROR(__xludf.DUMMYFUNCTION("""COMPUTED_VALUE"""),474.05)</f>
        <v>474.05</v>
      </c>
      <c r="D443" s="9">
        <f>IFERROR(__xludf.DUMMYFUNCTION("""COMPUTED_VALUE"""),476.05)</f>
        <v>476.05</v>
      </c>
      <c r="E443" s="9">
        <f>IFERROR(__xludf.DUMMYFUNCTION("""COMPUTED_VALUE"""),466.33)</f>
        <v>466.33</v>
      </c>
      <c r="F443" s="9">
        <f>IFERROR(__xludf.DUMMYFUNCTION("""COMPUTED_VALUE"""),468.75)</f>
        <v>468.75</v>
      </c>
      <c r="G443" s="9">
        <f>IFERROR(__xludf.DUMMYFUNCTION("""COMPUTED_VALUE"""),3705761.0)</f>
        <v>3705761</v>
      </c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</row>
    <row r="444">
      <c r="A444" s="1"/>
      <c r="B444" s="22">
        <f>IFERROR(__xludf.DUMMYFUNCTION("""COMPUTED_VALUE"""),42198.64583333333)</f>
        <v>42198.64583</v>
      </c>
      <c r="C444" s="9">
        <f>IFERROR(__xludf.DUMMYFUNCTION("""COMPUTED_VALUE"""),470.5)</f>
        <v>470.5</v>
      </c>
      <c r="D444" s="9">
        <f>IFERROR(__xludf.DUMMYFUNCTION("""COMPUTED_VALUE"""),477.5)</f>
        <v>477.5</v>
      </c>
      <c r="E444" s="9">
        <f>IFERROR(__xludf.DUMMYFUNCTION("""COMPUTED_VALUE"""),467.03)</f>
        <v>467.03</v>
      </c>
      <c r="F444" s="9">
        <f>IFERROR(__xludf.DUMMYFUNCTION("""COMPUTED_VALUE"""),475.08)</f>
        <v>475.08</v>
      </c>
      <c r="G444" s="9">
        <f>IFERROR(__xludf.DUMMYFUNCTION("""COMPUTED_VALUE"""),3265884.0)</f>
        <v>3265884</v>
      </c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</row>
    <row r="445">
      <c r="A445" s="1"/>
      <c r="B445" s="22">
        <f>IFERROR(__xludf.DUMMYFUNCTION("""COMPUTED_VALUE"""),42199.64583333333)</f>
        <v>42199.64583</v>
      </c>
      <c r="C445" s="9">
        <f>IFERROR(__xludf.DUMMYFUNCTION("""COMPUTED_VALUE"""),477.5)</f>
        <v>477.5</v>
      </c>
      <c r="D445" s="9">
        <f>IFERROR(__xludf.DUMMYFUNCTION("""COMPUTED_VALUE"""),486.75)</f>
        <v>486.75</v>
      </c>
      <c r="E445" s="9">
        <f>IFERROR(__xludf.DUMMYFUNCTION("""COMPUTED_VALUE"""),472.75)</f>
        <v>472.75</v>
      </c>
      <c r="F445" s="9">
        <f>IFERROR(__xludf.DUMMYFUNCTION("""COMPUTED_VALUE"""),485.63)</f>
        <v>485.63</v>
      </c>
      <c r="G445" s="9">
        <f>IFERROR(__xludf.DUMMYFUNCTION("""COMPUTED_VALUE"""),2683537.0)</f>
        <v>2683537</v>
      </c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</row>
    <row r="446">
      <c r="A446" s="1"/>
      <c r="B446" s="22">
        <f>IFERROR(__xludf.DUMMYFUNCTION("""COMPUTED_VALUE"""),42200.64583333333)</f>
        <v>42200.64583</v>
      </c>
      <c r="C446" s="9">
        <f>IFERROR(__xludf.DUMMYFUNCTION("""COMPUTED_VALUE"""),485.0)</f>
        <v>485</v>
      </c>
      <c r="D446" s="9">
        <f>IFERROR(__xludf.DUMMYFUNCTION("""COMPUTED_VALUE"""),492.98)</f>
        <v>492.98</v>
      </c>
      <c r="E446" s="9">
        <f>IFERROR(__xludf.DUMMYFUNCTION("""COMPUTED_VALUE"""),484.0)</f>
        <v>484</v>
      </c>
      <c r="F446" s="9">
        <f>IFERROR(__xludf.DUMMYFUNCTION("""COMPUTED_VALUE"""),492.0)</f>
        <v>492</v>
      </c>
      <c r="G446" s="9">
        <f>IFERROR(__xludf.DUMMYFUNCTION("""COMPUTED_VALUE"""),2064783.0)</f>
        <v>2064783</v>
      </c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</row>
    <row r="447">
      <c r="A447" s="1"/>
      <c r="B447" s="22">
        <f>IFERROR(__xludf.DUMMYFUNCTION("""COMPUTED_VALUE"""),42201.64583333333)</f>
        <v>42201.64583</v>
      </c>
      <c r="C447" s="9">
        <f>IFERROR(__xludf.DUMMYFUNCTION("""COMPUTED_VALUE"""),493.85)</f>
        <v>493.85</v>
      </c>
      <c r="D447" s="9">
        <f>IFERROR(__xludf.DUMMYFUNCTION("""COMPUTED_VALUE"""),495.75)</f>
        <v>495.75</v>
      </c>
      <c r="E447" s="9">
        <f>IFERROR(__xludf.DUMMYFUNCTION("""COMPUTED_VALUE"""),489.75)</f>
        <v>489.75</v>
      </c>
      <c r="F447" s="9">
        <f>IFERROR(__xludf.DUMMYFUNCTION("""COMPUTED_VALUE"""),494.53)</f>
        <v>494.53</v>
      </c>
      <c r="G447" s="9">
        <f>IFERROR(__xludf.DUMMYFUNCTION("""COMPUTED_VALUE"""),1736469.0)</f>
        <v>1736469</v>
      </c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</row>
    <row r="448">
      <c r="A448" s="1"/>
      <c r="B448" s="22">
        <f>IFERROR(__xludf.DUMMYFUNCTION("""COMPUTED_VALUE"""),42202.64583333333)</f>
        <v>42202.64583</v>
      </c>
      <c r="C448" s="9">
        <f>IFERROR(__xludf.DUMMYFUNCTION("""COMPUTED_VALUE"""),495.5)</f>
        <v>495.5</v>
      </c>
      <c r="D448" s="9">
        <f>IFERROR(__xludf.DUMMYFUNCTION("""COMPUTED_VALUE"""),502.25)</f>
        <v>502.25</v>
      </c>
      <c r="E448" s="9">
        <f>IFERROR(__xludf.DUMMYFUNCTION("""COMPUTED_VALUE"""),494.55)</f>
        <v>494.55</v>
      </c>
      <c r="F448" s="9">
        <f>IFERROR(__xludf.DUMMYFUNCTION("""COMPUTED_VALUE"""),500.93)</f>
        <v>500.93</v>
      </c>
      <c r="G448" s="9">
        <f>IFERROR(__xludf.DUMMYFUNCTION("""COMPUTED_VALUE"""),1723989.0)</f>
        <v>1723989</v>
      </c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</row>
    <row r="449">
      <c r="A449" s="1"/>
      <c r="B449" s="22">
        <f>IFERROR(__xludf.DUMMYFUNCTION("""COMPUTED_VALUE"""),42205.64583333333)</f>
        <v>42205.64583</v>
      </c>
      <c r="C449" s="9">
        <f>IFERROR(__xludf.DUMMYFUNCTION("""COMPUTED_VALUE"""),500.7)</f>
        <v>500.7</v>
      </c>
      <c r="D449" s="9">
        <f>IFERROR(__xludf.DUMMYFUNCTION("""COMPUTED_VALUE"""),505.4)</f>
        <v>505.4</v>
      </c>
      <c r="E449" s="9">
        <f>IFERROR(__xludf.DUMMYFUNCTION("""COMPUTED_VALUE"""),493.7)</f>
        <v>493.7</v>
      </c>
      <c r="F449" s="9">
        <f>IFERROR(__xludf.DUMMYFUNCTION("""COMPUTED_VALUE"""),500.63)</f>
        <v>500.63</v>
      </c>
      <c r="G449" s="9">
        <f>IFERROR(__xludf.DUMMYFUNCTION("""COMPUTED_VALUE"""),2188590.0)</f>
        <v>2188590</v>
      </c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</row>
    <row r="450">
      <c r="A450" s="1"/>
      <c r="B450" s="22">
        <f>IFERROR(__xludf.DUMMYFUNCTION("""COMPUTED_VALUE"""),42206.64583333333)</f>
        <v>42206.64583</v>
      </c>
      <c r="C450" s="9">
        <f>IFERROR(__xludf.DUMMYFUNCTION("""COMPUTED_VALUE"""),517.5)</f>
        <v>517.5</v>
      </c>
      <c r="D450" s="9">
        <f>IFERROR(__xludf.DUMMYFUNCTION("""COMPUTED_VALUE"""),574.5)</f>
        <v>574.5</v>
      </c>
      <c r="E450" s="9">
        <f>IFERROR(__xludf.DUMMYFUNCTION("""COMPUTED_VALUE"""),517.5)</f>
        <v>517.5</v>
      </c>
      <c r="F450" s="9">
        <f>IFERROR(__xludf.DUMMYFUNCTION("""COMPUTED_VALUE"""),556.33)</f>
        <v>556.33</v>
      </c>
      <c r="G450" s="9">
        <f>IFERROR(__xludf.DUMMYFUNCTION("""COMPUTED_VALUE"""),1.9155056E7)</f>
        <v>19155056</v>
      </c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</row>
    <row r="451">
      <c r="A451" s="1"/>
      <c r="B451" s="22">
        <f>IFERROR(__xludf.DUMMYFUNCTION("""COMPUTED_VALUE"""),42207.64583333333)</f>
        <v>42207.64583</v>
      </c>
      <c r="C451" s="9">
        <f>IFERROR(__xludf.DUMMYFUNCTION("""COMPUTED_VALUE"""),552.5)</f>
        <v>552.5</v>
      </c>
      <c r="D451" s="9">
        <f>IFERROR(__xludf.DUMMYFUNCTION("""COMPUTED_VALUE"""),556.0)</f>
        <v>556</v>
      </c>
      <c r="E451" s="9">
        <f>IFERROR(__xludf.DUMMYFUNCTION("""COMPUTED_VALUE"""),538.33)</f>
        <v>538.33</v>
      </c>
      <c r="F451" s="9">
        <f>IFERROR(__xludf.DUMMYFUNCTION("""COMPUTED_VALUE"""),551.58)</f>
        <v>551.58</v>
      </c>
      <c r="G451" s="9">
        <f>IFERROR(__xludf.DUMMYFUNCTION("""COMPUTED_VALUE"""),6332830.0)</f>
        <v>6332830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</row>
    <row r="452">
      <c r="A452" s="1"/>
      <c r="B452" s="22">
        <f>IFERROR(__xludf.DUMMYFUNCTION("""COMPUTED_VALUE"""),42208.64583333333)</f>
        <v>42208.64583</v>
      </c>
      <c r="C452" s="9">
        <f>IFERROR(__xludf.DUMMYFUNCTION("""COMPUTED_VALUE"""),551.98)</f>
        <v>551.98</v>
      </c>
      <c r="D452" s="9">
        <f>IFERROR(__xludf.DUMMYFUNCTION("""COMPUTED_VALUE"""),558.5)</f>
        <v>558.5</v>
      </c>
      <c r="E452" s="9">
        <f>IFERROR(__xludf.DUMMYFUNCTION("""COMPUTED_VALUE"""),545.0)</f>
        <v>545</v>
      </c>
      <c r="F452" s="9">
        <f>IFERROR(__xludf.DUMMYFUNCTION("""COMPUTED_VALUE"""),549.0)</f>
        <v>549</v>
      </c>
      <c r="G452" s="9">
        <f>IFERROR(__xludf.DUMMYFUNCTION("""COMPUTED_VALUE"""),3855374.0)</f>
        <v>3855374</v>
      </c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</row>
    <row r="453">
      <c r="A453" s="1"/>
      <c r="B453" s="22">
        <f>IFERROR(__xludf.DUMMYFUNCTION("""COMPUTED_VALUE"""),42209.64583333333)</f>
        <v>42209.64583</v>
      </c>
      <c r="C453" s="9">
        <f>IFERROR(__xludf.DUMMYFUNCTION("""COMPUTED_VALUE"""),547.78)</f>
        <v>547.78</v>
      </c>
      <c r="D453" s="9">
        <f>IFERROR(__xludf.DUMMYFUNCTION("""COMPUTED_VALUE"""),553.23)</f>
        <v>553.23</v>
      </c>
      <c r="E453" s="9">
        <f>IFERROR(__xludf.DUMMYFUNCTION("""COMPUTED_VALUE"""),541.55)</f>
        <v>541.55</v>
      </c>
      <c r="F453" s="9">
        <f>IFERROR(__xludf.DUMMYFUNCTION("""COMPUTED_VALUE"""),543.8)</f>
        <v>543.8</v>
      </c>
      <c r="G453" s="9">
        <f>IFERROR(__xludf.DUMMYFUNCTION("""COMPUTED_VALUE"""),2240151.0)</f>
        <v>2240151</v>
      </c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</row>
    <row r="454">
      <c r="A454" s="1"/>
      <c r="B454" s="22">
        <f>IFERROR(__xludf.DUMMYFUNCTION("""COMPUTED_VALUE"""),42212.64583333333)</f>
        <v>42212.64583</v>
      </c>
      <c r="C454" s="9">
        <f>IFERROR(__xludf.DUMMYFUNCTION("""COMPUTED_VALUE"""),543.45)</f>
        <v>543.45</v>
      </c>
      <c r="D454" s="9">
        <f>IFERROR(__xludf.DUMMYFUNCTION("""COMPUTED_VALUE"""),543.98)</f>
        <v>543.98</v>
      </c>
      <c r="E454" s="9">
        <f>IFERROR(__xludf.DUMMYFUNCTION("""COMPUTED_VALUE"""),530.23)</f>
        <v>530.23</v>
      </c>
      <c r="F454" s="9">
        <f>IFERROR(__xludf.DUMMYFUNCTION("""COMPUTED_VALUE"""),532.65)</f>
        <v>532.65</v>
      </c>
      <c r="G454" s="9">
        <f>IFERROR(__xludf.DUMMYFUNCTION("""COMPUTED_VALUE"""),3376122.0)</f>
        <v>3376122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</row>
    <row r="455">
      <c r="A455" s="1"/>
      <c r="B455" s="22">
        <f>IFERROR(__xludf.DUMMYFUNCTION("""COMPUTED_VALUE"""),42213.64583333333)</f>
        <v>42213.64583</v>
      </c>
      <c r="C455" s="9">
        <f>IFERROR(__xludf.DUMMYFUNCTION("""COMPUTED_VALUE"""),534.25)</f>
        <v>534.25</v>
      </c>
      <c r="D455" s="9">
        <f>IFERROR(__xludf.DUMMYFUNCTION("""COMPUTED_VALUE"""),538.0)</f>
        <v>538</v>
      </c>
      <c r="E455" s="9">
        <f>IFERROR(__xludf.DUMMYFUNCTION("""COMPUTED_VALUE"""),527.13)</f>
        <v>527.13</v>
      </c>
      <c r="F455" s="9">
        <f>IFERROR(__xludf.DUMMYFUNCTION("""COMPUTED_VALUE"""),531.42)</f>
        <v>531.42</v>
      </c>
      <c r="G455" s="9">
        <f>IFERROR(__xludf.DUMMYFUNCTION("""COMPUTED_VALUE"""),4238301.0)</f>
        <v>4238301</v>
      </c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</row>
    <row r="456">
      <c r="A456" s="1"/>
      <c r="B456" s="22">
        <f>IFERROR(__xludf.DUMMYFUNCTION("""COMPUTED_VALUE"""),42214.64583333333)</f>
        <v>42214.64583</v>
      </c>
      <c r="C456" s="9">
        <f>IFERROR(__xludf.DUMMYFUNCTION("""COMPUTED_VALUE"""),537.0)</f>
        <v>537</v>
      </c>
      <c r="D456" s="9">
        <f>IFERROR(__xludf.DUMMYFUNCTION("""COMPUTED_VALUE"""),546.0)</f>
        <v>546</v>
      </c>
      <c r="E456" s="9">
        <f>IFERROR(__xludf.DUMMYFUNCTION("""COMPUTED_VALUE"""),532.5)</f>
        <v>532.5</v>
      </c>
      <c r="F456" s="9">
        <f>IFERROR(__xludf.DUMMYFUNCTION("""COMPUTED_VALUE"""),542.7)</f>
        <v>542.7</v>
      </c>
      <c r="G456" s="9">
        <f>IFERROR(__xludf.DUMMYFUNCTION("""COMPUTED_VALUE"""),3535667.0)</f>
        <v>3535667</v>
      </c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</row>
    <row r="457">
      <c r="A457" s="1"/>
      <c r="B457" s="22">
        <f>IFERROR(__xludf.DUMMYFUNCTION("""COMPUTED_VALUE"""),42215.64583333333)</f>
        <v>42215.64583</v>
      </c>
      <c r="C457" s="9">
        <f>IFERROR(__xludf.DUMMYFUNCTION("""COMPUTED_VALUE"""),545.0)</f>
        <v>545</v>
      </c>
      <c r="D457" s="9">
        <f>IFERROR(__xludf.DUMMYFUNCTION("""COMPUTED_VALUE"""),545.0)</f>
        <v>545</v>
      </c>
      <c r="E457" s="9">
        <f>IFERROR(__xludf.DUMMYFUNCTION("""COMPUTED_VALUE"""),529.0)</f>
        <v>529</v>
      </c>
      <c r="F457" s="9">
        <f>IFERROR(__xludf.DUMMYFUNCTION("""COMPUTED_VALUE"""),535.0)</f>
        <v>535</v>
      </c>
      <c r="G457" s="9">
        <f>IFERROR(__xludf.DUMMYFUNCTION("""COMPUTED_VALUE"""),5978299.0)</f>
        <v>5978299</v>
      </c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</row>
    <row r="458">
      <c r="A458" s="1"/>
      <c r="B458" s="22">
        <f>IFERROR(__xludf.DUMMYFUNCTION("""COMPUTED_VALUE"""),42216.64583333333)</f>
        <v>42216.64583</v>
      </c>
      <c r="C458" s="9">
        <f>IFERROR(__xludf.DUMMYFUNCTION("""COMPUTED_VALUE"""),539.28)</f>
        <v>539.28</v>
      </c>
      <c r="D458" s="9">
        <f>IFERROR(__xludf.DUMMYFUNCTION("""COMPUTED_VALUE"""),540.67)</f>
        <v>540.67</v>
      </c>
      <c r="E458" s="9">
        <f>IFERROR(__xludf.DUMMYFUNCTION("""COMPUTED_VALUE"""),530.0)</f>
        <v>530</v>
      </c>
      <c r="F458" s="9">
        <f>IFERROR(__xludf.DUMMYFUNCTION("""COMPUTED_VALUE"""),538.53)</f>
        <v>538.53</v>
      </c>
      <c r="G458" s="9">
        <f>IFERROR(__xludf.DUMMYFUNCTION("""COMPUTED_VALUE"""),3965506.0)</f>
        <v>3965506</v>
      </c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</row>
    <row r="459">
      <c r="A459" s="1"/>
      <c r="B459" s="22">
        <f>IFERROR(__xludf.DUMMYFUNCTION("""COMPUTED_VALUE"""),42219.64583333333)</f>
        <v>42219.64583</v>
      </c>
      <c r="C459" s="9">
        <f>IFERROR(__xludf.DUMMYFUNCTION("""COMPUTED_VALUE"""),539.0)</f>
        <v>539</v>
      </c>
      <c r="D459" s="9">
        <f>IFERROR(__xludf.DUMMYFUNCTION("""COMPUTED_VALUE"""),546.0)</f>
        <v>546</v>
      </c>
      <c r="E459" s="9">
        <f>IFERROR(__xludf.DUMMYFUNCTION("""COMPUTED_VALUE"""),534.48)</f>
        <v>534.48</v>
      </c>
      <c r="F459" s="9">
        <f>IFERROR(__xludf.DUMMYFUNCTION("""COMPUTED_VALUE"""),539.48)</f>
        <v>539.48</v>
      </c>
      <c r="G459" s="9">
        <f>IFERROR(__xludf.DUMMYFUNCTION("""COMPUTED_VALUE"""),3980506.0)</f>
        <v>3980506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</row>
    <row r="460">
      <c r="A460" s="1"/>
      <c r="B460" s="22">
        <f>IFERROR(__xludf.DUMMYFUNCTION("""COMPUTED_VALUE"""),42220.64583333333)</f>
        <v>42220.64583</v>
      </c>
      <c r="C460" s="9">
        <f>IFERROR(__xludf.DUMMYFUNCTION("""COMPUTED_VALUE"""),539.0)</f>
        <v>539</v>
      </c>
      <c r="D460" s="9">
        <f>IFERROR(__xludf.DUMMYFUNCTION("""COMPUTED_VALUE"""),539.48)</f>
        <v>539.48</v>
      </c>
      <c r="E460" s="9">
        <f>IFERROR(__xludf.DUMMYFUNCTION("""COMPUTED_VALUE"""),525.5)</f>
        <v>525.5</v>
      </c>
      <c r="F460" s="9">
        <f>IFERROR(__xludf.DUMMYFUNCTION("""COMPUTED_VALUE"""),528.63)</f>
        <v>528.63</v>
      </c>
      <c r="G460" s="9">
        <f>IFERROR(__xludf.DUMMYFUNCTION("""COMPUTED_VALUE"""),4549527.0)</f>
        <v>4549527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</row>
    <row r="461">
      <c r="A461" s="1"/>
      <c r="B461" s="22">
        <f>IFERROR(__xludf.DUMMYFUNCTION("""COMPUTED_VALUE"""),42221.64583333333)</f>
        <v>42221.64583</v>
      </c>
      <c r="C461" s="9">
        <f>IFERROR(__xludf.DUMMYFUNCTION("""COMPUTED_VALUE"""),531.0)</f>
        <v>531</v>
      </c>
      <c r="D461" s="9">
        <f>IFERROR(__xludf.DUMMYFUNCTION("""COMPUTED_VALUE"""),545.0)</f>
        <v>545</v>
      </c>
      <c r="E461" s="9">
        <f>IFERROR(__xludf.DUMMYFUNCTION("""COMPUTED_VALUE"""),530.98)</f>
        <v>530.98</v>
      </c>
      <c r="F461" s="9">
        <f>IFERROR(__xludf.DUMMYFUNCTION("""COMPUTED_VALUE"""),543.17)</f>
        <v>543.17</v>
      </c>
      <c r="G461" s="9">
        <f>IFERROR(__xludf.DUMMYFUNCTION("""COMPUTED_VALUE"""),2376738.0)</f>
        <v>2376738</v>
      </c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</row>
    <row r="462">
      <c r="A462" s="1"/>
      <c r="B462" s="22">
        <f>IFERROR(__xludf.DUMMYFUNCTION("""COMPUTED_VALUE"""),42222.64583333333)</f>
        <v>42222.64583</v>
      </c>
      <c r="C462" s="9">
        <f>IFERROR(__xludf.DUMMYFUNCTION("""COMPUTED_VALUE"""),547.0)</f>
        <v>547</v>
      </c>
      <c r="D462" s="9">
        <f>IFERROR(__xludf.DUMMYFUNCTION("""COMPUTED_VALUE"""),552.75)</f>
        <v>552.75</v>
      </c>
      <c r="E462" s="9">
        <f>IFERROR(__xludf.DUMMYFUNCTION("""COMPUTED_VALUE"""),538.5)</f>
        <v>538.5</v>
      </c>
      <c r="F462" s="9">
        <f>IFERROR(__xludf.DUMMYFUNCTION("""COMPUTED_VALUE"""),543.48)</f>
        <v>543.48</v>
      </c>
      <c r="G462" s="9">
        <f>IFERROR(__xludf.DUMMYFUNCTION("""COMPUTED_VALUE"""),3619126.0)</f>
        <v>3619126</v>
      </c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</row>
    <row r="463">
      <c r="A463" s="1"/>
      <c r="B463" s="22">
        <f>IFERROR(__xludf.DUMMYFUNCTION("""COMPUTED_VALUE"""),42223.64583333333)</f>
        <v>42223.64583</v>
      </c>
      <c r="C463" s="9">
        <f>IFERROR(__xludf.DUMMYFUNCTION("""COMPUTED_VALUE"""),539.75)</f>
        <v>539.75</v>
      </c>
      <c r="D463" s="9">
        <f>IFERROR(__xludf.DUMMYFUNCTION("""COMPUTED_VALUE"""),550.5)</f>
        <v>550.5</v>
      </c>
      <c r="E463" s="9">
        <f>IFERROR(__xludf.DUMMYFUNCTION("""COMPUTED_VALUE"""),539.25)</f>
        <v>539.25</v>
      </c>
      <c r="F463" s="9">
        <f>IFERROR(__xludf.DUMMYFUNCTION("""COMPUTED_VALUE"""),547.8)</f>
        <v>547.8</v>
      </c>
      <c r="G463" s="9">
        <f>IFERROR(__xludf.DUMMYFUNCTION("""COMPUTED_VALUE"""),2494029.0)</f>
        <v>2494029</v>
      </c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</row>
    <row r="464">
      <c r="A464" s="1"/>
      <c r="B464" s="22">
        <f>IFERROR(__xludf.DUMMYFUNCTION("""COMPUTED_VALUE"""),42226.64583333333)</f>
        <v>42226.64583</v>
      </c>
      <c r="C464" s="9">
        <f>IFERROR(__xludf.DUMMYFUNCTION("""COMPUTED_VALUE"""),549.0)</f>
        <v>549</v>
      </c>
      <c r="D464" s="9">
        <f>IFERROR(__xludf.DUMMYFUNCTION("""COMPUTED_VALUE"""),553.17)</f>
        <v>553.17</v>
      </c>
      <c r="E464" s="9">
        <f>IFERROR(__xludf.DUMMYFUNCTION("""COMPUTED_VALUE"""),533.5)</f>
        <v>533.5</v>
      </c>
      <c r="F464" s="9">
        <f>IFERROR(__xludf.DUMMYFUNCTION("""COMPUTED_VALUE"""),543.0)</f>
        <v>543</v>
      </c>
      <c r="G464" s="9">
        <f>IFERROR(__xludf.DUMMYFUNCTION("""COMPUTED_VALUE"""),1996377.0)</f>
        <v>1996377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</row>
    <row r="465">
      <c r="A465" s="1"/>
      <c r="B465" s="22">
        <f>IFERROR(__xludf.DUMMYFUNCTION("""COMPUTED_VALUE"""),42227.64583333333)</f>
        <v>42227.64583</v>
      </c>
      <c r="C465" s="9">
        <f>IFERROR(__xludf.DUMMYFUNCTION("""COMPUTED_VALUE"""),549.4)</f>
        <v>549.4</v>
      </c>
      <c r="D465" s="9">
        <f>IFERROR(__xludf.DUMMYFUNCTION("""COMPUTED_VALUE"""),558.45)</f>
        <v>558.45</v>
      </c>
      <c r="E465" s="9">
        <f>IFERROR(__xludf.DUMMYFUNCTION("""COMPUTED_VALUE"""),547.85)</f>
        <v>547.85</v>
      </c>
      <c r="F465" s="9">
        <f>IFERROR(__xludf.DUMMYFUNCTION("""COMPUTED_VALUE"""),554.58)</f>
        <v>554.58</v>
      </c>
      <c r="G465" s="9">
        <f>IFERROR(__xludf.DUMMYFUNCTION("""COMPUTED_VALUE"""),3787203.0)</f>
        <v>3787203</v>
      </c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</row>
    <row r="466">
      <c r="A466" s="1"/>
      <c r="B466" s="22">
        <f>IFERROR(__xludf.DUMMYFUNCTION("""COMPUTED_VALUE"""),42228.64583333333)</f>
        <v>42228.64583</v>
      </c>
      <c r="C466" s="9">
        <f>IFERROR(__xludf.DUMMYFUNCTION("""COMPUTED_VALUE"""),557.5)</f>
        <v>557.5</v>
      </c>
      <c r="D466" s="9">
        <f>IFERROR(__xludf.DUMMYFUNCTION("""COMPUTED_VALUE"""),0.0)</f>
        <v>0</v>
      </c>
      <c r="E466" s="9">
        <f>IFERROR(__xludf.DUMMYFUNCTION("""COMPUTED_VALUE"""),0.0)</f>
        <v>0</v>
      </c>
      <c r="F466" s="9">
        <f>IFERROR(__xludf.DUMMYFUNCTION("""COMPUTED_VALUE"""),557.5)</f>
        <v>557.5</v>
      </c>
      <c r="G466" s="9">
        <f>IFERROR(__xludf.DUMMYFUNCTION("""COMPUTED_VALUE"""),0.0)</f>
        <v>0</v>
      </c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</row>
    <row r="467">
      <c r="A467" s="1"/>
      <c r="B467" s="22">
        <f>IFERROR(__xludf.DUMMYFUNCTION("""COMPUTED_VALUE"""),42229.64583333333)</f>
        <v>42229.64583</v>
      </c>
      <c r="C467" s="9">
        <f>IFERROR(__xludf.DUMMYFUNCTION("""COMPUTED_VALUE"""),573.5)</f>
        <v>573.5</v>
      </c>
      <c r="D467" s="9">
        <f>IFERROR(__xludf.DUMMYFUNCTION("""COMPUTED_VALUE"""),583.42)</f>
        <v>583.42</v>
      </c>
      <c r="E467" s="9">
        <f>IFERROR(__xludf.DUMMYFUNCTION("""COMPUTED_VALUE"""),527.78)</f>
        <v>527.78</v>
      </c>
      <c r="F467" s="9">
        <f>IFERROR(__xludf.DUMMYFUNCTION("""COMPUTED_VALUE"""),579.0)</f>
        <v>579</v>
      </c>
      <c r="G467" s="9">
        <f>IFERROR(__xludf.DUMMYFUNCTION("""COMPUTED_VALUE"""),4893980.0)</f>
        <v>4893980</v>
      </c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</row>
    <row r="468">
      <c r="A468" s="1"/>
      <c r="B468" s="22">
        <f>IFERROR(__xludf.DUMMYFUNCTION("""COMPUTED_VALUE"""),42230.64583333333)</f>
        <v>42230.64583</v>
      </c>
      <c r="C468" s="9">
        <f>IFERROR(__xludf.DUMMYFUNCTION("""COMPUTED_VALUE"""),582.5)</f>
        <v>582.5</v>
      </c>
      <c r="D468" s="9">
        <f>IFERROR(__xludf.DUMMYFUNCTION("""COMPUTED_VALUE"""),584.35)</f>
        <v>584.35</v>
      </c>
      <c r="E468" s="9">
        <f>IFERROR(__xludf.DUMMYFUNCTION("""COMPUTED_VALUE"""),571.55)</f>
        <v>571.55</v>
      </c>
      <c r="F468" s="9">
        <f>IFERROR(__xludf.DUMMYFUNCTION("""COMPUTED_VALUE"""),574.63)</f>
        <v>574.63</v>
      </c>
      <c r="G468" s="9">
        <f>IFERROR(__xludf.DUMMYFUNCTION("""COMPUTED_VALUE"""),2554533.0)</f>
        <v>2554533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</row>
    <row r="469">
      <c r="A469" s="1"/>
      <c r="B469" s="22">
        <f>IFERROR(__xludf.DUMMYFUNCTION("""COMPUTED_VALUE"""),42233.64583333333)</f>
        <v>42233.64583</v>
      </c>
      <c r="C469" s="9">
        <f>IFERROR(__xludf.DUMMYFUNCTION("""COMPUTED_VALUE"""),575.0)</f>
        <v>575</v>
      </c>
      <c r="D469" s="9">
        <f>IFERROR(__xludf.DUMMYFUNCTION("""COMPUTED_VALUE"""),576.73)</f>
        <v>576.73</v>
      </c>
      <c r="E469" s="9">
        <f>IFERROR(__xludf.DUMMYFUNCTION("""COMPUTED_VALUE"""),561.25)</f>
        <v>561.25</v>
      </c>
      <c r="F469" s="9">
        <f>IFERROR(__xludf.DUMMYFUNCTION("""COMPUTED_VALUE"""),571.08)</f>
        <v>571.08</v>
      </c>
      <c r="G469" s="9">
        <f>IFERROR(__xludf.DUMMYFUNCTION("""COMPUTED_VALUE"""),1553718.0)</f>
        <v>1553718</v>
      </c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</row>
    <row r="470">
      <c r="A470" s="1"/>
      <c r="B470" s="22">
        <f>IFERROR(__xludf.DUMMYFUNCTION("""COMPUTED_VALUE"""),42234.64583333333)</f>
        <v>42234.64583</v>
      </c>
      <c r="C470" s="9">
        <f>IFERROR(__xludf.DUMMYFUNCTION("""COMPUTED_VALUE"""),575.0)</f>
        <v>575</v>
      </c>
      <c r="D470" s="9">
        <f>IFERROR(__xludf.DUMMYFUNCTION("""COMPUTED_VALUE"""),588.85)</f>
        <v>588.85</v>
      </c>
      <c r="E470" s="9">
        <f>IFERROR(__xludf.DUMMYFUNCTION("""COMPUTED_VALUE"""),575.0)</f>
        <v>575</v>
      </c>
      <c r="F470" s="9">
        <f>IFERROR(__xludf.DUMMYFUNCTION("""COMPUTED_VALUE"""),582.17)</f>
        <v>582.17</v>
      </c>
      <c r="G470" s="9">
        <f>IFERROR(__xludf.DUMMYFUNCTION("""COMPUTED_VALUE"""),2075223.0)</f>
        <v>2075223</v>
      </c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</row>
    <row r="471">
      <c r="A471" s="1"/>
      <c r="B471" s="22">
        <f>IFERROR(__xludf.DUMMYFUNCTION("""COMPUTED_VALUE"""),42235.64583333333)</f>
        <v>42235.64583</v>
      </c>
      <c r="C471" s="9">
        <f>IFERROR(__xludf.DUMMYFUNCTION("""COMPUTED_VALUE"""),585.0)</f>
        <v>585</v>
      </c>
      <c r="D471" s="9">
        <f>IFERROR(__xludf.DUMMYFUNCTION("""COMPUTED_VALUE"""),593.1)</f>
        <v>593.1</v>
      </c>
      <c r="E471" s="9">
        <f>IFERROR(__xludf.DUMMYFUNCTION("""COMPUTED_VALUE"""),581.4)</f>
        <v>581.4</v>
      </c>
      <c r="F471" s="9">
        <f>IFERROR(__xludf.DUMMYFUNCTION("""COMPUTED_VALUE"""),587.78)</f>
        <v>587.78</v>
      </c>
      <c r="G471" s="9">
        <f>IFERROR(__xludf.DUMMYFUNCTION("""COMPUTED_VALUE"""),3434759.0)</f>
        <v>3434759</v>
      </c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</row>
    <row r="472">
      <c r="A472" s="1"/>
      <c r="B472" s="22">
        <f>IFERROR(__xludf.DUMMYFUNCTION("""COMPUTED_VALUE"""),42236.64583333333)</f>
        <v>42236.64583</v>
      </c>
      <c r="C472" s="9">
        <f>IFERROR(__xludf.DUMMYFUNCTION("""COMPUTED_VALUE"""),579.5)</f>
        <v>579.5</v>
      </c>
      <c r="D472" s="9">
        <f>IFERROR(__xludf.DUMMYFUNCTION("""COMPUTED_VALUE"""),584.25)</f>
        <v>584.25</v>
      </c>
      <c r="E472" s="9">
        <f>IFERROR(__xludf.DUMMYFUNCTION("""COMPUTED_VALUE"""),564.0)</f>
        <v>564</v>
      </c>
      <c r="F472" s="9">
        <f>IFERROR(__xludf.DUMMYFUNCTION("""COMPUTED_VALUE"""),567.28)</f>
        <v>567.28</v>
      </c>
      <c r="G472" s="9">
        <f>IFERROR(__xludf.DUMMYFUNCTION("""COMPUTED_VALUE"""),4184557.0)</f>
        <v>4184557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</row>
    <row r="473">
      <c r="A473" s="1"/>
      <c r="B473" s="22">
        <f>IFERROR(__xludf.DUMMYFUNCTION("""COMPUTED_VALUE"""),42237.64583333333)</f>
        <v>42237.64583</v>
      </c>
      <c r="C473" s="9">
        <f>IFERROR(__xludf.DUMMYFUNCTION("""COMPUTED_VALUE"""),570.45)</f>
        <v>570.45</v>
      </c>
      <c r="D473" s="9">
        <f>IFERROR(__xludf.DUMMYFUNCTION("""COMPUTED_VALUE"""),580.48)</f>
        <v>580.48</v>
      </c>
      <c r="E473" s="9">
        <f>IFERROR(__xludf.DUMMYFUNCTION("""COMPUTED_VALUE"""),558.75)</f>
        <v>558.75</v>
      </c>
      <c r="F473" s="9">
        <f>IFERROR(__xludf.DUMMYFUNCTION("""COMPUTED_VALUE"""),574.95)</f>
        <v>574.95</v>
      </c>
      <c r="G473" s="9">
        <f>IFERROR(__xludf.DUMMYFUNCTION("""COMPUTED_VALUE"""),5411071.0)</f>
        <v>5411071</v>
      </c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</row>
    <row r="474">
      <c r="A474" s="1"/>
      <c r="B474" s="22">
        <f>IFERROR(__xludf.DUMMYFUNCTION("""COMPUTED_VALUE"""),42240.64583333333)</f>
        <v>42240.64583</v>
      </c>
      <c r="C474" s="9">
        <f>IFERROR(__xludf.DUMMYFUNCTION("""COMPUTED_VALUE"""),554.98)</f>
        <v>554.98</v>
      </c>
      <c r="D474" s="9">
        <f>IFERROR(__xludf.DUMMYFUNCTION("""COMPUTED_VALUE"""),561.5)</f>
        <v>561.5</v>
      </c>
      <c r="E474" s="9">
        <f>IFERROR(__xludf.DUMMYFUNCTION("""COMPUTED_VALUE"""),539.3)</f>
        <v>539.3</v>
      </c>
      <c r="F474" s="9">
        <f>IFERROR(__xludf.DUMMYFUNCTION("""COMPUTED_VALUE"""),546.03)</f>
        <v>546.03</v>
      </c>
      <c r="G474" s="9">
        <f>IFERROR(__xludf.DUMMYFUNCTION("""COMPUTED_VALUE"""),7061342.0)</f>
        <v>7061342</v>
      </c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</row>
    <row r="475">
      <c r="A475" s="1"/>
      <c r="B475" s="22">
        <f>IFERROR(__xludf.DUMMYFUNCTION("""COMPUTED_VALUE"""),42241.64583333333)</f>
        <v>42241.64583</v>
      </c>
      <c r="C475" s="9">
        <f>IFERROR(__xludf.DUMMYFUNCTION("""COMPUTED_VALUE"""),550.0)</f>
        <v>550</v>
      </c>
      <c r="D475" s="9">
        <f>IFERROR(__xludf.DUMMYFUNCTION("""COMPUTED_VALUE"""),559.5)</f>
        <v>559.5</v>
      </c>
      <c r="E475" s="9">
        <f>IFERROR(__xludf.DUMMYFUNCTION("""COMPUTED_VALUE"""),522.25)</f>
        <v>522.25</v>
      </c>
      <c r="F475" s="9">
        <f>IFERROR(__xludf.DUMMYFUNCTION("""COMPUTED_VALUE"""),542.83)</f>
        <v>542.83</v>
      </c>
      <c r="G475" s="9">
        <f>IFERROR(__xludf.DUMMYFUNCTION("""COMPUTED_VALUE"""),6867539.0)</f>
        <v>6867539</v>
      </c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</row>
    <row r="476">
      <c r="A476" s="1"/>
      <c r="B476" s="22">
        <f>IFERROR(__xludf.DUMMYFUNCTION("""COMPUTED_VALUE"""),42242.64583333333)</f>
        <v>42242.64583</v>
      </c>
      <c r="C476" s="9">
        <f>IFERROR(__xludf.DUMMYFUNCTION("""COMPUTED_VALUE"""),544.9)</f>
        <v>544.9</v>
      </c>
      <c r="D476" s="9">
        <f>IFERROR(__xludf.DUMMYFUNCTION("""COMPUTED_VALUE"""),548.5)</f>
        <v>548.5</v>
      </c>
      <c r="E476" s="9">
        <f>IFERROR(__xludf.DUMMYFUNCTION("""COMPUTED_VALUE"""),529.5)</f>
        <v>529.5</v>
      </c>
      <c r="F476" s="9">
        <f>IFERROR(__xludf.DUMMYFUNCTION("""COMPUTED_VALUE"""),532.3)</f>
        <v>532.3</v>
      </c>
      <c r="G476" s="9">
        <f>IFERROR(__xludf.DUMMYFUNCTION("""COMPUTED_VALUE"""),5749106.0)</f>
        <v>5749106</v>
      </c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</row>
    <row r="477">
      <c r="A477" s="1"/>
      <c r="B477" s="22">
        <f>IFERROR(__xludf.DUMMYFUNCTION("""COMPUTED_VALUE"""),42243.64583333333)</f>
        <v>42243.64583</v>
      </c>
      <c r="C477" s="9">
        <f>IFERROR(__xludf.DUMMYFUNCTION("""COMPUTED_VALUE"""),544.0)</f>
        <v>544</v>
      </c>
      <c r="D477" s="9">
        <f>IFERROR(__xludf.DUMMYFUNCTION("""COMPUTED_VALUE"""),550.05)</f>
        <v>550.05</v>
      </c>
      <c r="E477" s="9">
        <f>IFERROR(__xludf.DUMMYFUNCTION("""COMPUTED_VALUE"""),539.03)</f>
        <v>539.03</v>
      </c>
      <c r="F477" s="9">
        <f>IFERROR(__xludf.DUMMYFUNCTION("""COMPUTED_VALUE"""),541.4)</f>
        <v>541.4</v>
      </c>
      <c r="G477" s="9">
        <f>IFERROR(__xludf.DUMMYFUNCTION("""COMPUTED_VALUE"""),7671696.0)</f>
        <v>7671696</v>
      </c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</row>
    <row r="478">
      <c r="A478" s="1"/>
      <c r="B478" s="22">
        <f>IFERROR(__xludf.DUMMYFUNCTION("""COMPUTED_VALUE"""),42244.64583333333)</f>
        <v>42244.64583</v>
      </c>
      <c r="C478" s="9">
        <f>IFERROR(__xludf.DUMMYFUNCTION("""COMPUTED_VALUE"""),550.8)</f>
        <v>550.8</v>
      </c>
      <c r="D478" s="9">
        <f>IFERROR(__xludf.DUMMYFUNCTION("""COMPUTED_VALUE"""),562.45)</f>
        <v>562.45</v>
      </c>
      <c r="E478" s="9">
        <f>IFERROR(__xludf.DUMMYFUNCTION("""COMPUTED_VALUE"""),550.8)</f>
        <v>550.8</v>
      </c>
      <c r="F478" s="9">
        <f>IFERROR(__xludf.DUMMYFUNCTION("""COMPUTED_VALUE"""),555.53)</f>
        <v>555.53</v>
      </c>
      <c r="G478" s="9">
        <f>IFERROR(__xludf.DUMMYFUNCTION("""COMPUTED_VALUE"""),3604410.0)</f>
        <v>3604410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</row>
    <row r="479">
      <c r="A479" s="1"/>
      <c r="B479" s="22">
        <f>IFERROR(__xludf.DUMMYFUNCTION("""COMPUTED_VALUE"""),42247.64583333333)</f>
        <v>42247.64583</v>
      </c>
      <c r="C479" s="9">
        <f>IFERROR(__xludf.DUMMYFUNCTION("""COMPUTED_VALUE"""),567.42)</f>
        <v>567.42</v>
      </c>
      <c r="D479" s="9">
        <f>IFERROR(__xludf.DUMMYFUNCTION("""COMPUTED_VALUE"""),567.42)</f>
        <v>567.42</v>
      </c>
      <c r="E479" s="9">
        <f>IFERROR(__xludf.DUMMYFUNCTION("""COMPUTED_VALUE"""),541.25)</f>
        <v>541.25</v>
      </c>
      <c r="F479" s="9">
        <f>IFERROR(__xludf.DUMMYFUNCTION("""COMPUTED_VALUE"""),547.2)</f>
        <v>547.2</v>
      </c>
      <c r="G479" s="9">
        <f>IFERROR(__xludf.DUMMYFUNCTION("""COMPUTED_VALUE"""),4958532.0)</f>
        <v>4958532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</row>
    <row r="480">
      <c r="A480" s="1"/>
      <c r="B480" s="22">
        <f>IFERROR(__xludf.DUMMYFUNCTION("""COMPUTED_VALUE"""),42248.64583333333)</f>
        <v>42248.64583</v>
      </c>
      <c r="C480" s="9">
        <f>IFERROR(__xludf.DUMMYFUNCTION("""COMPUTED_VALUE"""),545.0)</f>
        <v>545</v>
      </c>
      <c r="D480" s="9">
        <f>IFERROR(__xludf.DUMMYFUNCTION("""COMPUTED_VALUE"""),557.3)</f>
        <v>557.3</v>
      </c>
      <c r="E480" s="9">
        <f>IFERROR(__xludf.DUMMYFUNCTION("""COMPUTED_VALUE"""),541.0)</f>
        <v>541</v>
      </c>
      <c r="F480" s="9">
        <f>IFERROR(__xludf.DUMMYFUNCTION("""COMPUTED_VALUE"""),544.5)</f>
        <v>544.5</v>
      </c>
      <c r="G480" s="9">
        <f>IFERROR(__xludf.DUMMYFUNCTION("""COMPUTED_VALUE"""),4535775.0)</f>
        <v>4535775</v>
      </c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</row>
    <row r="481">
      <c r="A481" s="1"/>
      <c r="B481" s="22">
        <f>IFERROR(__xludf.DUMMYFUNCTION("""COMPUTED_VALUE"""),42249.64583333333)</f>
        <v>42249.64583</v>
      </c>
      <c r="C481" s="9">
        <f>IFERROR(__xludf.DUMMYFUNCTION("""COMPUTED_VALUE"""),549.0)</f>
        <v>549</v>
      </c>
      <c r="D481" s="9">
        <f>IFERROR(__xludf.DUMMYFUNCTION("""COMPUTED_VALUE"""),557.5)</f>
        <v>557.5</v>
      </c>
      <c r="E481" s="9">
        <f>IFERROR(__xludf.DUMMYFUNCTION("""COMPUTED_VALUE"""),545.0)</f>
        <v>545</v>
      </c>
      <c r="F481" s="9">
        <f>IFERROR(__xludf.DUMMYFUNCTION("""COMPUTED_VALUE"""),549.73)</f>
        <v>549.73</v>
      </c>
      <c r="G481" s="9">
        <f>IFERROR(__xludf.DUMMYFUNCTION("""COMPUTED_VALUE"""),5585915.0)</f>
        <v>5585915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</row>
    <row r="482">
      <c r="A482" s="1"/>
      <c r="B482" s="22">
        <f>IFERROR(__xludf.DUMMYFUNCTION("""COMPUTED_VALUE"""),42250.64583333333)</f>
        <v>42250.64583</v>
      </c>
      <c r="C482" s="9">
        <f>IFERROR(__xludf.DUMMYFUNCTION("""COMPUTED_VALUE"""),555.08)</f>
        <v>555.08</v>
      </c>
      <c r="D482" s="9">
        <f>IFERROR(__xludf.DUMMYFUNCTION("""COMPUTED_VALUE"""),556.0)</f>
        <v>556</v>
      </c>
      <c r="E482" s="9">
        <f>IFERROR(__xludf.DUMMYFUNCTION("""COMPUTED_VALUE"""),546.25)</f>
        <v>546.25</v>
      </c>
      <c r="F482" s="9">
        <f>IFERROR(__xludf.DUMMYFUNCTION("""COMPUTED_VALUE"""),549.67)</f>
        <v>549.67</v>
      </c>
      <c r="G482" s="9">
        <f>IFERROR(__xludf.DUMMYFUNCTION("""COMPUTED_VALUE"""),4295268.0)</f>
        <v>4295268</v>
      </c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</row>
    <row r="483">
      <c r="A483" s="1"/>
      <c r="B483" s="22">
        <f>IFERROR(__xludf.DUMMYFUNCTION("""COMPUTED_VALUE"""),42251.64583333333)</f>
        <v>42251.64583</v>
      </c>
      <c r="C483" s="9">
        <f>IFERROR(__xludf.DUMMYFUNCTION("""COMPUTED_VALUE"""),551.5)</f>
        <v>551.5</v>
      </c>
      <c r="D483" s="9">
        <f>IFERROR(__xludf.DUMMYFUNCTION("""COMPUTED_VALUE"""),555.5)</f>
        <v>555.5</v>
      </c>
      <c r="E483" s="9">
        <f>IFERROR(__xludf.DUMMYFUNCTION("""COMPUTED_VALUE"""),533.5)</f>
        <v>533.5</v>
      </c>
      <c r="F483" s="9">
        <f>IFERROR(__xludf.DUMMYFUNCTION("""COMPUTED_VALUE"""),536.98)</f>
        <v>536.98</v>
      </c>
      <c r="G483" s="9">
        <f>IFERROR(__xludf.DUMMYFUNCTION("""COMPUTED_VALUE"""),3659444.0)</f>
        <v>3659444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</row>
    <row r="484">
      <c r="A484" s="1"/>
      <c r="B484" s="22">
        <f>IFERROR(__xludf.DUMMYFUNCTION("""COMPUTED_VALUE"""),42254.64583333333)</f>
        <v>42254.64583</v>
      </c>
      <c r="C484" s="9">
        <f>IFERROR(__xludf.DUMMYFUNCTION("""COMPUTED_VALUE"""),542.48)</f>
        <v>542.48</v>
      </c>
      <c r="D484" s="9">
        <f>IFERROR(__xludf.DUMMYFUNCTION("""COMPUTED_VALUE"""),542.5)</f>
        <v>542.5</v>
      </c>
      <c r="E484" s="9">
        <f>IFERROR(__xludf.DUMMYFUNCTION("""COMPUTED_VALUE"""),527.5)</f>
        <v>527.5</v>
      </c>
      <c r="F484" s="9">
        <f>IFERROR(__xludf.DUMMYFUNCTION("""COMPUTED_VALUE"""),529.38)</f>
        <v>529.38</v>
      </c>
      <c r="G484" s="9">
        <f>IFERROR(__xludf.DUMMYFUNCTION("""COMPUTED_VALUE"""),2590494.0)</f>
        <v>2590494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</row>
    <row r="485">
      <c r="A485" s="1"/>
      <c r="B485" s="22">
        <f>IFERROR(__xludf.DUMMYFUNCTION("""COMPUTED_VALUE"""),42255.64583333333)</f>
        <v>42255.64583</v>
      </c>
      <c r="C485" s="9">
        <f>IFERROR(__xludf.DUMMYFUNCTION("""COMPUTED_VALUE"""),531.0)</f>
        <v>531</v>
      </c>
      <c r="D485" s="9">
        <f>IFERROR(__xludf.DUMMYFUNCTION("""COMPUTED_VALUE"""),537.0)</f>
        <v>537</v>
      </c>
      <c r="E485" s="9">
        <f>IFERROR(__xludf.DUMMYFUNCTION("""COMPUTED_VALUE"""),526.15)</f>
        <v>526.15</v>
      </c>
      <c r="F485" s="9">
        <f>IFERROR(__xludf.DUMMYFUNCTION("""COMPUTED_VALUE"""),529.4)</f>
        <v>529.4</v>
      </c>
      <c r="G485" s="9">
        <f>IFERROR(__xludf.DUMMYFUNCTION("""COMPUTED_VALUE"""),2729748.0)</f>
        <v>2729748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</row>
    <row r="486">
      <c r="A486" s="1"/>
      <c r="B486" s="22">
        <f>IFERROR(__xludf.DUMMYFUNCTION("""COMPUTED_VALUE"""),42256.64583333333)</f>
        <v>42256.64583</v>
      </c>
      <c r="C486" s="9">
        <f>IFERROR(__xludf.DUMMYFUNCTION("""COMPUTED_VALUE"""),543.55)</f>
        <v>543.55</v>
      </c>
      <c r="D486" s="9">
        <f>IFERROR(__xludf.DUMMYFUNCTION("""COMPUTED_VALUE"""),549.8)</f>
        <v>549.8</v>
      </c>
      <c r="E486" s="9">
        <f>IFERROR(__xludf.DUMMYFUNCTION("""COMPUTED_VALUE"""),536.0)</f>
        <v>536</v>
      </c>
      <c r="F486" s="9">
        <f>IFERROR(__xludf.DUMMYFUNCTION("""COMPUTED_VALUE"""),544.35)</f>
        <v>544.35</v>
      </c>
      <c r="G486" s="9">
        <f>IFERROR(__xludf.DUMMYFUNCTION("""COMPUTED_VALUE"""),4574332.0)</f>
        <v>4574332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</row>
    <row r="487">
      <c r="A487" s="1"/>
      <c r="B487" s="22">
        <f>IFERROR(__xludf.DUMMYFUNCTION("""COMPUTED_VALUE"""),42257.64583333333)</f>
        <v>42257.64583</v>
      </c>
      <c r="C487" s="9">
        <f>IFERROR(__xludf.DUMMYFUNCTION("""COMPUTED_VALUE"""),542.45)</f>
        <v>542.45</v>
      </c>
      <c r="D487" s="9">
        <f>IFERROR(__xludf.DUMMYFUNCTION("""COMPUTED_VALUE"""),545.75)</f>
        <v>545.75</v>
      </c>
      <c r="E487" s="9">
        <f>IFERROR(__xludf.DUMMYFUNCTION("""COMPUTED_VALUE"""),530.5)</f>
        <v>530.5</v>
      </c>
      <c r="F487" s="9">
        <f>IFERROR(__xludf.DUMMYFUNCTION("""COMPUTED_VALUE"""),540.23)</f>
        <v>540.23</v>
      </c>
      <c r="G487" s="9">
        <f>IFERROR(__xludf.DUMMYFUNCTION("""COMPUTED_VALUE"""),4181502.0)</f>
        <v>4181502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</row>
    <row r="488">
      <c r="A488" s="1"/>
      <c r="B488" s="22">
        <f>IFERROR(__xludf.DUMMYFUNCTION("""COMPUTED_VALUE"""),42258.64583333333)</f>
        <v>42258.64583</v>
      </c>
      <c r="C488" s="9">
        <f>IFERROR(__xludf.DUMMYFUNCTION("""COMPUTED_VALUE"""),545.78)</f>
        <v>545.78</v>
      </c>
      <c r="D488" s="9">
        <f>IFERROR(__xludf.DUMMYFUNCTION("""COMPUTED_VALUE"""),553.2)</f>
        <v>553.2</v>
      </c>
      <c r="E488" s="9">
        <f>IFERROR(__xludf.DUMMYFUNCTION("""COMPUTED_VALUE"""),542.75)</f>
        <v>542.75</v>
      </c>
      <c r="F488" s="9">
        <f>IFERROR(__xludf.DUMMYFUNCTION("""COMPUTED_VALUE"""),545.38)</f>
        <v>545.38</v>
      </c>
      <c r="G488" s="9">
        <f>IFERROR(__xludf.DUMMYFUNCTION("""COMPUTED_VALUE"""),4941905.0)</f>
        <v>4941905</v>
      </c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</row>
    <row r="489">
      <c r="A489" s="1"/>
      <c r="B489" s="22">
        <f>IFERROR(__xludf.DUMMYFUNCTION("""COMPUTED_VALUE"""),42261.64583333333)</f>
        <v>42261.64583</v>
      </c>
      <c r="C489" s="9">
        <f>IFERROR(__xludf.DUMMYFUNCTION("""COMPUTED_VALUE"""),549.5)</f>
        <v>549.5</v>
      </c>
      <c r="D489" s="9">
        <f>IFERROR(__xludf.DUMMYFUNCTION("""COMPUTED_VALUE"""),552.0)</f>
        <v>552</v>
      </c>
      <c r="E489" s="9">
        <f>IFERROR(__xludf.DUMMYFUNCTION("""COMPUTED_VALUE"""),541.33)</f>
        <v>541.33</v>
      </c>
      <c r="F489" s="9">
        <f>IFERROR(__xludf.DUMMYFUNCTION("""COMPUTED_VALUE"""),549.88)</f>
        <v>549.88</v>
      </c>
      <c r="G489" s="9">
        <f>IFERROR(__xludf.DUMMYFUNCTION("""COMPUTED_VALUE"""),3278538.0)</f>
        <v>3278538</v>
      </c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</row>
    <row r="490">
      <c r="A490" s="1"/>
      <c r="B490" s="22">
        <f>IFERROR(__xludf.DUMMYFUNCTION("""COMPUTED_VALUE"""),42262.64583333333)</f>
        <v>42262.64583</v>
      </c>
      <c r="C490" s="9">
        <f>IFERROR(__xludf.DUMMYFUNCTION("""COMPUTED_VALUE"""),549.7)</f>
        <v>549.7</v>
      </c>
      <c r="D490" s="9">
        <f>IFERROR(__xludf.DUMMYFUNCTION("""COMPUTED_VALUE"""),0.0)</f>
        <v>0</v>
      </c>
      <c r="E490" s="9">
        <f>IFERROR(__xludf.DUMMYFUNCTION("""COMPUTED_VALUE"""),0.0)</f>
        <v>0</v>
      </c>
      <c r="F490" s="9">
        <f>IFERROR(__xludf.DUMMYFUNCTION("""COMPUTED_VALUE"""),550.0)</f>
        <v>550</v>
      </c>
      <c r="G490" s="9">
        <f>IFERROR(__xludf.DUMMYFUNCTION("""COMPUTED_VALUE"""),0.0)</f>
        <v>0</v>
      </c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</row>
    <row r="491">
      <c r="A491" s="1"/>
      <c r="B491" s="22">
        <f>IFERROR(__xludf.DUMMYFUNCTION("""COMPUTED_VALUE"""),42263.64583333333)</f>
        <v>42263.64583</v>
      </c>
      <c r="C491" s="9">
        <f>IFERROR(__xludf.DUMMYFUNCTION("""COMPUTED_VALUE"""),554.0)</f>
        <v>554</v>
      </c>
      <c r="D491" s="9">
        <f>IFERROR(__xludf.DUMMYFUNCTION("""COMPUTED_VALUE"""),554.88)</f>
        <v>554.88</v>
      </c>
      <c r="E491" s="9">
        <f>IFERROR(__xludf.DUMMYFUNCTION("""COMPUTED_VALUE"""),549.15)</f>
        <v>549.15</v>
      </c>
      <c r="F491" s="9">
        <f>IFERROR(__xludf.DUMMYFUNCTION("""COMPUTED_VALUE"""),550.83)</f>
        <v>550.83</v>
      </c>
      <c r="G491" s="9">
        <f>IFERROR(__xludf.DUMMYFUNCTION("""COMPUTED_VALUE"""),3739120.0)</f>
        <v>3739120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</row>
    <row r="492">
      <c r="A492" s="1"/>
      <c r="B492" s="22">
        <f>IFERROR(__xludf.DUMMYFUNCTION("""COMPUTED_VALUE"""),42265.64583333333)</f>
        <v>42265.64583</v>
      </c>
      <c r="C492" s="9">
        <f>IFERROR(__xludf.DUMMYFUNCTION("""COMPUTED_VALUE"""),555.9)</f>
        <v>555.9</v>
      </c>
      <c r="D492" s="9">
        <f>IFERROR(__xludf.DUMMYFUNCTION("""COMPUTED_VALUE"""),558.95)</f>
        <v>558.95</v>
      </c>
      <c r="E492" s="9">
        <f>IFERROR(__xludf.DUMMYFUNCTION("""COMPUTED_VALUE"""),549.53)</f>
        <v>549.53</v>
      </c>
      <c r="F492" s="9">
        <f>IFERROR(__xludf.DUMMYFUNCTION("""COMPUTED_VALUE"""),552.23)</f>
        <v>552.23</v>
      </c>
      <c r="G492" s="9">
        <f>IFERROR(__xludf.DUMMYFUNCTION("""COMPUTED_VALUE"""),5788438.0)</f>
        <v>5788438</v>
      </c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</row>
    <row r="493">
      <c r="A493" s="1"/>
      <c r="B493" s="22">
        <f>IFERROR(__xludf.DUMMYFUNCTION("""COMPUTED_VALUE"""),42268.64583333333)</f>
        <v>42268.64583</v>
      </c>
      <c r="C493" s="9">
        <f>IFERROR(__xludf.DUMMYFUNCTION("""COMPUTED_VALUE"""),550.0)</f>
        <v>550</v>
      </c>
      <c r="D493" s="9">
        <f>IFERROR(__xludf.DUMMYFUNCTION("""COMPUTED_VALUE"""),554.42)</f>
        <v>554.42</v>
      </c>
      <c r="E493" s="9">
        <f>IFERROR(__xludf.DUMMYFUNCTION("""COMPUTED_VALUE"""),546.25)</f>
        <v>546.25</v>
      </c>
      <c r="F493" s="9">
        <f>IFERROR(__xludf.DUMMYFUNCTION("""COMPUTED_VALUE"""),552.33)</f>
        <v>552.33</v>
      </c>
      <c r="G493" s="9">
        <f>IFERROR(__xludf.DUMMYFUNCTION("""COMPUTED_VALUE"""),2175617.0)</f>
        <v>2175617</v>
      </c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</row>
    <row r="494">
      <c r="A494" s="1"/>
      <c r="B494" s="22">
        <f>IFERROR(__xludf.DUMMYFUNCTION("""COMPUTED_VALUE"""),42269.64583333333)</f>
        <v>42269.64583</v>
      </c>
      <c r="C494" s="9">
        <f>IFERROR(__xludf.DUMMYFUNCTION("""COMPUTED_VALUE"""),557.5)</f>
        <v>557.5</v>
      </c>
      <c r="D494" s="9">
        <f>IFERROR(__xludf.DUMMYFUNCTION("""COMPUTED_VALUE"""),567.98)</f>
        <v>567.98</v>
      </c>
      <c r="E494" s="9">
        <f>IFERROR(__xludf.DUMMYFUNCTION("""COMPUTED_VALUE"""),550.55)</f>
        <v>550.55</v>
      </c>
      <c r="F494" s="9">
        <f>IFERROR(__xludf.DUMMYFUNCTION("""COMPUTED_VALUE"""),553.73)</f>
        <v>553.73</v>
      </c>
      <c r="G494" s="9">
        <f>IFERROR(__xludf.DUMMYFUNCTION("""COMPUTED_VALUE"""),4813493.0)</f>
        <v>4813493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</row>
    <row r="495">
      <c r="A495" s="1"/>
      <c r="B495" s="22">
        <f>IFERROR(__xludf.DUMMYFUNCTION("""COMPUTED_VALUE"""),42270.64583333333)</f>
        <v>42270.64583</v>
      </c>
      <c r="C495" s="9">
        <f>IFERROR(__xludf.DUMMYFUNCTION("""COMPUTED_VALUE"""),553.73)</f>
        <v>553.73</v>
      </c>
      <c r="D495" s="9">
        <f>IFERROR(__xludf.DUMMYFUNCTION("""COMPUTED_VALUE"""),563.17)</f>
        <v>563.17</v>
      </c>
      <c r="E495" s="9">
        <f>IFERROR(__xludf.DUMMYFUNCTION("""COMPUTED_VALUE"""),548.73)</f>
        <v>548.73</v>
      </c>
      <c r="F495" s="9">
        <f>IFERROR(__xludf.DUMMYFUNCTION("""COMPUTED_VALUE"""),558.13)</f>
        <v>558.13</v>
      </c>
      <c r="G495" s="9">
        <f>IFERROR(__xludf.DUMMYFUNCTION("""COMPUTED_VALUE"""),2379127.0)</f>
        <v>2379127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</row>
    <row r="496">
      <c r="A496" s="1"/>
      <c r="B496" s="22">
        <f>IFERROR(__xludf.DUMMYFUNCTION("""COMPUTED_VALUE"""),42271.64583333333)</f>
        <v>42271.64583</v>
      </c>
      <c r="C496" s="9">
        <f>IFERROR(__xludf.DUMMYFUNCTION("""COMPUTED_VALUE"""),556.75)</f>
        <v>556.75</v>
      </c>
      <c r="D496" s="9">
        <f>IFERROR(__xludf.DUMMYFUNCTION("""COMPUTED_VALUE"""),576.35)</f>
        <v>576.35</v>
      </c>
      <c r="E496" s="9">
        <f>IFERROR(__xludf.DUMMYFUNCTION("""COMPUTED_VALUE"""),555.0)</f>
        <v>555</v>
      </c>
      <c r="F496" s="9">
        <f>IFERROR(__xludf.DUMMYFUNCTION("""COMPUTED_VALUE"""),570.28)</f>
        <v>570.28</v>
      </c>
      <c r="G496" s="9">
        <f>IFERROR(__xludf.DUMMYFUNCTION("""COMPUTED_VALUE"""),6699631.0)</f>
        <v>6699631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</row>
    <row r="497">
      <c r="A497" s="1"/>
      <c r="B497" s="22">
        <f>IFERROR(__xludf.DUMMYFUNCTION("""COMPUTED_VALUE"""),42275.64583333333)</f>
        <v>42275.64583</v>
      </c>
      <c r="C497" s="9">
        <f>IFERROR(__xludf.DUMMYFUNCTION("""COMPUTED_VALUE"""),569.98)</f>
        <v>569.98</v>
      </c>
      <c r="D497" s="9">
        <f>IFERROR(__xludf.DUMMYFUNCTION("""COMPUTED_VALUE"""),571.42)</f>
        <v>571.42</v>
      </c>
      <c r="E497" s="9">
        <f>IFERROR(__xludf.DUMMYFUNCTION("""COMPUTED_VALUE"""),550.5)</f>
        <v>550.5</v>
      </c>
      <c r="F497" s="9">
        <f>IFERROR(__xludf.DUMMYFUNCTION("""COMPUTED_VALUE"""),552.78)</f>
        <v>552.78</v>
      </c>
      <c r="G497" s="9">
        <f>IFERROR(__xludf.DUMMYFUNCTION("""COMPUTED_VALUE"""),4894232.0)</f>
        <v>4894232</v>
      </c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</row>
    <row r="498">
      <c r="A498" s="1"/>
      <c r="B498" s="22">
        <f>IFERROR(__xludf.DUMMYFUNCTION("""COMPUTED_VALUE"""),42276.64583333333)</f>
        <v>42276.64583</v>
      </c>
      <c r="C498" s="9">
        <f>IFERROR(__xludf.DUMMYFUNCTION("""COMPUTED_VALUE"""),551.0)</f>
        <v>551</v>
      </c>
      <c r="D498" s="9">
        <f>IFERROR(__xludf.DUMMYFUNCTION("""COMPUTED_VALUE"""),566.7)</f>
        <v>566.7</v>
      </c>
      <c r="E498" s="9">
        <f>IFERROR(__xludf.DUMMYFUNCTION("""COMPUTED_VALUE"""),548.75)</f>
        <v>548.75</v>
      </c>
      <c r="F498" s="9">
        <f>IFERROR(__xludf.DUMMYFUNCTION("""COMPUTED_VALUE"""),560.92)</f>
        <v>560.92</v>
      </c>
      <c r="G498" s="9">
        <f>IFERROR(__xludf.DUMMYFUNCTION("""COMPUTED_VALUE"""),4349685.0)</f>
        <v>4349685</v>
      </c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</row>
    <row r="499">
      <c r="A499" s="1"/>
      <c r="B499" s="22">
        <f>IFERROR(__xludf.DUMMYFUNCTION("""COMPUTED_VALUE"""),42277.64583333333)</f>
        <v>42277.64583</v>
      </c>
      <c r="C499" s="9">
        <f>IFERROR(__xludf.DUMMYFUNCTION("""COMPUTED_VALUE"""),567.2)</f>
        <v>567.2</v>
      </c>
      <c r="D499" s="9">
        <f>IFERROR(__xludf.DUMMYFUNCTION("""COMPUTED_VALUE"""),584.48)</f>
        <v>584.48</v>
      </c>
      <c r="E499" s="9">
        <f>IFERROR(__xludf.DUMMYFUNCTION("""COMPUTED_VALUE"""),562.98)</f>
        <v>562.98</v>
      </c>
      <c r="F499" s="9">
        <f>IFERROR(__xludf.DUMMYFUNCTION("""COMPUTED_VALUE"""),580.98)</f>
        <v>580.98</v>
      </c>
      <c r="G499" s="9">
        <f>IFERROR(__xludf.DUMMYFUNCTION("""COMPUTED_VALUE"""),4747846.0)</f>
        <v>4747846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</row>
    <row r="500">
      <c r="A500" s="1"/>
      <c r="B500" s="22">
        <f>IFERROR(__xludf.DUMMYFUNCTION("""COMPUTED_VALUE"""),42278.64583333333)</f>
        <v>42278.64583</v>
      </c>
      <c r="C500" s="9">
        <f>IFERROR(__xludf.DUMMYFUNCTION("""COMPUTED_VALUE"""),584.95)</f>
        <v>584.95</v>
      </c>
      <c r="D500" s="9">
        <f>IFERROR(__xludf.DUMMYFUNCTION("""COMPUTED_VALUE"""),598.88)</f>
        <v>598.88</v>
      </c>
      <c r="E500" s="9">
        <f>IFERROR(__xludf.DUMMYFUNCTION("""COMPUTED_VALUE"""),580.0)</f>
        <v>580</v>
      </c>
      <c r="F500" s="9">
        <f>IFERROR(__xludf.DUMMYFUNCTION("""COMPUTED_VALUE"""),586.53)</f>
        <v>586.53</v>
      </c>
      <c r="G500" s="9">
        <f>IFERROR(__xludf.DUMMYFUNCTION("""COMPUTED_VALUE"""),5432197.0)</f>
        <v>5432197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</row>
    <row r="501">
      <c r="A501" s="1"/>
      <c r="B501" s="22">
        <f>IFERROR(__xludf.DUMMYFUNCTION("""COMPUTED_VALUE"""),42282.64583333333)</f>
        <v>42282.64583</v>
      </c>
      <c r="C501" s="9">
        <f>IFERROR(__xludf.DUMMYFUNCTION("""COMPUTED_VALUE"""),586.5)</f>
        <v>586.5</v>
      </c>
      <c r="D501" s="9">
        <f>IFERROR(__xludf.DUMMYFUNCTION("""COMPUTED_VALUE"""),594.67)</f>
        <v>594.67</v>
      </c>
      <c r="E501" s="9">
        <f>IFERROR(__xludf.DUMMYFUNCTION("""COMPUTED_VALUE"""),581.0)</f>
        <v>581</v>
      </c>
      <c r="F501" s="9">
        <f>IFERROR(__xludf.DUMMYFUNCTION("""COMPUTED_VALUE"""),590.88)</f>
        <v>590.88</v>
      </c>
      <c r="G501" s="9">
        <f>IFERROR(__xludf.DUMMYFUNCTION("""COMPUTED_VALUE"""),3440880.0)</f>
        <v>3440880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</row>
    <row r="502">
      <c r="A502" s="1"/>
      <c r="B502" s="22">
        <f>IFERROR(__xludf.DUMMYFUNCTION("""COMPUTED_VALUE"""),42283.64583333333)</f>
        <v>42283.64583</v>
      </c>
      <c r="C502" s="9">
        <f>IFERROR(__xludf.DUMMYFUNCTION("""COMPUTED_VALUE"""),593.53)</f>
        <v>593.53</v>
      </c>
      <c r="D502" s="9">
        <f>IFERROR(__xludf.DUMMYFUNCTION("""COMPUTED_VALUE"""),596.28)</f>
        <v>596.28</v>
      </c>
      <c r="E502" s="9">
        <f>IFERROR(__xludf.DUMMYFUNCTION("""COMPUTED_VALUE"""),574.05)</f>
        <v>574.05</v>
      </c>
      <c r="F502" s="9">
        <f>IFERROR(__xludf.DUMMYFUNCTION("""COMPUTED_VALUE"""),577.3)</f>
        <v>577.3</v>
      </c>
      <c r="G502" s="9">
        <f>IFERROR(__xludf.DUMMYFUNCTION("""COMPUTED_VALUE"""),4355940.0)</f>
        <v>4355940</v>
      </c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</row>
    <row r="503">
      <c r="A503" s="1"/>
      <c r="B503" s="22">
        <f>IFERROR(__xludf.DUMMYFUNCTION("""COMPUTED_VALUE"""),42284.64583333333)</f>
        <v>42284.64583</v>
      </c>
      <c r="C503" s="9">
        <f>IFERROR(__xludf.DUMMYFUNCTION("""COMPUTED_VALUE"""),578.0)</f>
        <v>578</v>
      </c>
      <c r="D503" s="9">
        <f>IFERROR(__xludf.DUMMYFUNCTION("""COMPUTED_VALUE"""),584.38)</f>
        <v>584.38</v>
      </c>
      <c r="E503" s="9">
        <f>IFERROR(__xludf.DUMMYFUNCTION("""COMPUTED_VALUE"""),564.23)</f>
        <v>564.23</v>
      </c>
      <c r="F503" s="9">
        <f>IFERROR(__xludf.DUMMYFUNCTION("""COMPUTED_VALUE"""),566.6)</f>
        <v>566.6</v>
      </c>
      <c r="G503" s="9">
        <f>IFERROR(__xludf.DUMMYFUNCTION("""COMPUTED_VALUE"""),4591244.0)</f>
        <v>4591244</v>
      </c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</row>
    <row r="504">
      <c r="A504" s="1"/>
      <c r="B504" s="22">
        <f>IFERROR(__xludf.DUMMYFUNCTION("""COMPUTED_VALUE"""),42285.64583333333)</f>
        <v>42285.64583</v>
      </c>
      <c r="C504" s="9">
        <f>IFERROR(__xludf.DUMMYFUNCTION("""COMPUTED_VALUE"""),568.2)</f>
        <v>568.2</v>
      </c>
      <c r="D504" s="9">
        <f>IFERROR(__xludf.DUMMYFUNCTION("""COMPUTED_VALUE"""),574.8)</f>
        <v>574.8</v>
      </c>
      <c r="E504" s="9">
        <f>IFERROR(__xludf.DUMMYFUNCTION("""COMPUTED_VALUE"""),563.03)</f>
        <v>563.03</v>
      </c>
      <c r="F504" s="9">
        <f>IFERROR(__xludf.DUMMYFUNCTION("""COMPUTED_VALUE"""),566.08)</f>
        <v>566.08</v>
      </c>
      <c r="G504" s="9">
        <f>IFERROR(__xludf.DUMMYFUNCTION("""COMPUTED_VALUE"""),4540437.0)</f>
        <v>4540437</v>
      </c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</row>
    <row r="505">
      <c r="A505" s="1"/>
      <c r="B505" s="22">
        <f>IFERROR(__xludf.DUMMYFUNCTION("""COMPUTED_VALUE"""),42286.64583333333)</f>
        <v>42286.64583</v>
      </c>
      <c r="C505" s="9">
        <f>IFERROR(__xludf.DUMMYFUNCTION("""COMPUTED_VALUE"""),568.0)</f>
        <v>568</v>
      </c>
      <c r="D505" s="9">
        <f>IFERROR(__xludf.DUMMYFUNCTION("""COMPUTED_VALUE"""),586.45)</f>
        <v>586.45</v>
      </c>
      <c r="E505" s="9">
        <f>IFERROR(__xludf.DUMMYFUNCTION("""COMPUTED_VALUE"""),568.0)</f>
        <v>568</v>
      </c>
      <c r="F505" s="9">
        <f>IFERROR(__xludf.DUMMYFUNCTION("""COMPUTED_VALUE"""),583.7)</f>
        <v>583.7</v>
      </c>
      <c r="G505" s="9">
        <f>IFERROR(__xludf.DUMMYFUNCTION("""COMPUTED_VALUE"""),5891069.0)</f>
        <v>5891069</v>
      </c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</row>
    <row r="506">
      <c r="A506" s="1"/>
      <c r="B506" s="22">
        <f>IFERROR(__xludf.DUMMYFUNCTION("""COMPUTED_VALUE"""),42289.64583333333)</f>
        <v>42289.64583</v>
      </c>
      <c r="C506" s="9">
        <f>IFERROR(__xludf.DUMMYFUNCTION("""COMPUTED_VALUE"""),599.5)</f>
        <v>599.5</v>
      </c>
      <c r="D506" s="9">
        <f>IFERROR(__xludf.DUMMYFUNCTION("""COMPUTED_VALUE"""),609.9)</f>
        <v>609.9</v>
      </c>
      <c r="E506" s="9">
        <f>IFERROR(__xludf.DUMMYFUNCTION("""COMPUTED_VALUE"""),554.5)</f>
        <v>554.5</v>
      </c>
      <c r="F506" s="9">
        <f>IFERROR(__xludf.DUMMYFUNCTION("""COMPUTED_VALUE"""),561.45)</f>
        <v>561.45</v>
      </c>
      <c r="G506" s="9">
        <f>IFERROR(__xludf.DUMMYFUNCTION("""COMPUTED_VALUE"""),1.5202485E7)</f>
        <v>15202485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</row>
    <row r="507">
      <c r="A507" s="1"/>
      <c r="B507" s="22">
        <f>IFERROR(__xludf.DUMMYFUNCTION("""COMPUTED_VALUE"""),42290.64583333333)</f>
        <v>42290.64583</v>
      </c>
      <c r="C507" s="9">
        <f>IFERROR(__xludf.DUMMYFUNCTION("""COMPUTED_VALUE"""),553.73)</f>
        <v>553.73</v>
      </c>
      <c r="D507" s="9">
        <f>IFERROR(__xludf.DUMMYFUNCTION("""COMPUTED_VALUE"""),555.5)</f>
        <v>555.5</v>
      </c>
      <c r="E507" s="9">
        <f>IFERROR(__xludf.DUMMYFUNCTION("""COMPUTED_VALUE"""),542.6)</f>
        <v>542.6</v>
      </c>
      <c r="F507" s="9">
        <f>IFERROR(__xludf.DUMMYFUNCTION("""COMPUTED_VALUE"""),549.7)</f>
        <v>549.7</v>
      </c>
      <c r="G507" s="9">
        <f>IFERROR(__xludf.DUMMYFUNCTION("""COMPUTED_VALUE"""),7663431.0)</f>
        <v>7663431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</row>
    <row r="508">
      <c r="A508" s="1"/>
      <c r="B508" s="22">
        <f>IFERROR(__xludf.DUMMYFUNCTION("""COMPUTED_VALUE"""),42291.64583333333)</f>
        <v>42291.64583</v>
      </c>
      <c r="C508" s="9">
        <f>IFERROR(__xludf.DUMMYFUNCTION("""COMPUTED_VALUE"""),545.73)</f>
        <v>545.73</v>
      </c>
      <c r="D508" s="9">
        <f>IFERROR(__xludf.DUMMYFUNCTION("""COMPUTED_VALUE"""),557.78)</f>
        <v>557.78</v>
      </c>
      <c r="E508" s="9">
        <f>IFERROR(__xludf.DUMMYFUNCTION("""COMPUTED_VALUE"""),543.6)</f>
        <v>543.6</v>
      </c>
      <c r="F508" s="9">
        <f>IFERROR(__xludf.DUMMYFUNCTION("""COMPUTED_VALUE"""),548.8)</f>
        <v>548.8</v>
      </c>
      <c r="G508" s="9">
        <f>IFERROR(__xludf.DUMMYFUNCTION("""COMPUTED_VALUE"""),4432755.0)</f>
        <v>4432755</v>
      </c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</row>
    <row r="509">
      <c r="A509" s="1"/>
      <c r="B509" s="22">
        <f>IFERROR(__xludf.DUMMYFUNCTION("""COMPUTED_VALUE"""),42292.64583333333)</f>
        <v>42292.64583</v>
      </c>
      <c r="C509" s="9">
        <f>IFERROR(__xludf.DUMMYFUNCTION("""COMPUTED_VALUE"""),549.95)</f>
        <v>549.95</v>
      </c>
      <c r="D509" s="9">
        <f>IFERROR(__xludf.DUMMYFUNCTION("""COMPUTED_VALUE"""),552.17)</f>
        <v>552.17</v>
      </c>
      <c r="E509" s="9">
        <f>IFERROR(__xludf.DUMMYFUNCTION("""COMPUTED_VALUE"""),544.55)</f>
        <v>544.55</v>
      </c>
      <c r="F509" s="9">
        <f>IFERROR(__xludf.DUMMYFUNCTION("""COMPUTED_VALUE"""),548.67)</f>
        <v>548.67</v>
      </c>
      <c r="G509" s="9">
        <f>IFERROR(__xludf.DUMMYFUNCTION("""COMPUTED_VALUE"""),4127833.0)</f>
        <v>4127833</v>
      </c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</row>
    <row r="510">
      <c r="A510" s="1"/>
      <c r="B510" s="22">
        <f>IFERROR(__xludf.DUMMYFUNCTION("""COMPUTED_VALUE"""),42293.64583333333)</f>
        <v>42293.64583</v>
      </c>
      <c r="C510" s="9">
        <f>IFERROR(__xludf.DUMMYFUNCTION("""COMPUTED_VALUE"""),549.5)</f>
        <v>549.5</v>
      </c>
      <c r="D510" s="9">
        <f>IFERROR(__xludf.DUMMYFUNCTION("""COMPUTED_VALUE"""),0.0)</f>
        <v>0</v>
      </c>
      <c r="E510" s="9">
        <f>IFERROR(__xludf.DUMMYFUNCTION("""COMPUTED_VALUE"""),0.0)</f>
        <v>0</v>
      </c>
      <c r="F510" s="9">
        <f>IFERROR(__xludf.DUMMYFUNCTION("""COMPUTED_VALUE"""),548.45)</f>
        <v>548.45</v>
      </c>
      <c r="G510" s="9">
        <f>IFERROR(__xludf.DUMMYFUNCTION("""COMPUTED_VALUE"""),0.0)</f>
        <v>0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</row>
    <row r="511">
      <c r="A511" s="1"/>
      <c r="B511" s="22">
        <f>IFERROR(__xludf.DUMMYFUNCTION("""COMPUTED_VALUE"""),42296.64583333333)</f>
        <v>42296.64583</v>
      </c>
      <c r="C511" s="9">
        <f>IFERROR(__xludf.DUMMYFUNCTION("""COMPUTED_VALUE"""),551.0)</f>
        <v>551</v>
      </c>
      <c r="D511" s="9">
        <f>IFERROR(__xludf.DUMMYFUNCTION("""COMPUTED_VALUE"""),558.0)</f>
        <v>558</v>
      </c>
      <c r="E511" s="9">
        <f>IFERROR(__xludf.DUMMYFUNCTION("""COMPUTED_VALUE"""),550.25)</f>
        <v>550.25</v>
      </c>
      <c r="F511" s="9">
        <f>IFERROR(__xludf.DUMMYFUNCTION("""COMPUTED_VALUE"""),555.98)</f>
        <v>555.98</v>
      </c>
      <c r="G511" s="9">
        <f>IFERROR(__xludf.DUMMYFUNCTION("""COMPUTED_VALUE"""),3673747.0)</f>
        <v>3673747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</row>
    <row r="512">
      <c r="A512" s="1"/>
      <c r="B512" s="22">
        <f>IFERROR(__xludf.DUMMYFUNCTION("""COMPUTED_VALUE"""),42297.64583333333)</f>
        <v>42297.64583</v>
      </c>
      <c r="C512" s="9">
        <f>IFERROR(__xludf.DUMMYFUNCTION("""COMPUTED_VALUE"""),556.5)</f>
        <v>556.5</v>
      </c>
      <c r="D512" s="9">
        <f>IFERROR(__xludf.DUMMYFUNCTION("""COMPUTED_VALUE"""),565.0)</f>
        <v>565</v>
      </c>
      <c r="E512" s="9">
        <f>IFERROR(__xludf.DUMMYFUNCTION("""COMPUTED_VALUE"""),555.3)</f>
        <v>555.3</v>
      </c>
      <c r="F512" s="9">
        <f>IFERROR(__xludf.DUMMYFUNCTION("""COMPUTED_VALUE"""),562.98)</f>
        <v>562.98</v>
      </c>
      <c r="G512" s="9">
        <f>IFERROR(__xludf.DUMMYFUNCTION("""COMPUTED_VALUE"""),4394155.0)</f>
        <v>4394155</v>
      </c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</row>
    <row r="513">
      <c r="A513" s="1"/>
      <c r="B513" s="22">
        <f>IFERROR(__xludf.DUMMYFUNCTION("""COMPUTED_VALUE"""),42298.64583333333)</f>
        <v>42298.64583</v>
      </c>
      <c r="C513" s="9">
        <f>IFERROR(__xludf.DUMMYFUNCTION("""COMPUTED_VALUE"""),562.5)</f>
        <v>562.5</v>
      </c>
      <c r="D513" s="9">
        <f>IFERROR(__xludf.DUMMYFUNCTION("""COMPUTED_VALUE"""),573.42)</f>
        <v>573.42</v>
      </c>
      <c r="E513" s="9">
        <f>IFERROR(__xludf.DUMMYFUNCTION("""COMPUTED_VALUE"""),562.5)</f>
        <v>562.5</v>
      </c>
      <c r="F513" s="9">
        <f>IFERROR(__xludf.DUMMYFUNCTION("""COMPUTED_VALUE"""),569.2)</f>
        <v>569.2</v>
      </c>
      <c r="G513" s="9">
        <f>IFERROR(__xludf.DUMMYFUNCTION("""COMPUTED_VALUE"""),3639049.0)</f>
        <v>3639049</v>
      </c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</row>
    <row r="514">
      <c r="A514" s="1"/>
      <c r="B514" s="22">
        <f>IFERROR(__xludf.DUMMYFUNCTION("""COMPUTED_VALUE"""),42300.64583333333)</f>
        <v>42300.64583</v>
      </c>
      <c r="C514" s="9">
        <f>IFERROR(__xludf.DUMMYFUNCTION("""COMPUTED_VALUE"""),570.9)</f>
        <v>570.9</v>
      </c>
      <c r="D514" s="9">
        <f>IFERROR(__xludf.DUMMYFUNCTION("""COMPUTED_VALUE"""),576.5)</f>
        <v>576.5</v>
      </c>
      <c r="E514" s="9">
        <f>IFERROR(__xludf.DUMMYFUNCTION("""COMPUTED_VALUE"""),562.55)</f>
        <v>562.55</v>
      </c>
      <c r="F514" s="9">
        <f>IFERROR(__xludf.DUMMYFUNCTION("""COMPUTED_VALUE"""),574.95)</f>
        <v>574.95</v>
      </c>
      <c r="G514" s="9">
        <f>IFERROR(__xludf.DUMMYFUNCTION("""COMPUTED_VALUE"""),3016681.0)</f>
        <v>3016681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</row>
    <row r="515">
      <c r="A515" s="1"/>
      <c r="B515" s="22">
        <f>IFERROR(__xludf.DUMMYFUNCTION("""COMPUTED_VALUE"""),42303.64583333333)</f>
        <v>42303.64583</v>
      </c>
      <c r="C515" s="9">
        <f>IFERROR(__xludf.DUMMYFUNCTION("""COMPUTED_VALUE"""),577.0)</f>
        <v>577</v>
      </c>
      <c r="D515" s="9">
        <f>IFERROR(__xludf.DUMMYFUNCTION("""COMPUTED_VALUE"""),579.25)</f>
        <v>579.25</v>
      </c>
      <c r="E515" s="9">
        <f>IFERROR(__xludf.DUMMYFUNCTION("""COMPUTED_VALUE"""),571.58)</f>
        <v>571.58</v>
      </c>
      <c r="F515" s="9">
        <f>IFERROR(__xludf.DUMMYFUNCTION("""COMPUTED_VALUE"""),576.08)</f>
        <v>576.08</v>
      </c>
      <c r="G515" s="9">
        <f>IFERROR(__xludf.DUMMYFUNCTION("""COMPUTED_VALUE"""),1597971.0)</f>
        <v>1597971</v>
      </c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</row>
    <row r="516">
      <c r="A516" s="1"/>
      <c r="B516" s="22">
        <f>IFERROR(__xludf.DUMMYFUNCTION("""COMPUTED_VALUE"""),42304.64583333333)</f>
        <v>42304.64583</v>
      </c>
      <c r="C516" s="9">
        <f>IFERROR(__xludf.DUMMYFUNCTION("""COMPUTED_VALUE"""),575.0)</f>
        <v>575</v>
      </c>
      <c r="D516" s="9">
        <f>IFERROR(__xludf.DUMMYFUNCTION("""COMPUTED_VALUE"""),577.5)</f>
        <v>577.5</v>
      </c>
      <c r="E516" s="9">
        <f>IFERROR(__xludf.DUMMYFUNCTION("""COMPUTED_VALUE"""),572.05)</f>
        <v>572.05</v>
      </c>
      <c r="F516" s="9">
        <f>IFERROR(__xludf.DUMMYFUNCTION("""COMPUTED_VALUE"""),574.7)</f>
        <v>574.7</v>
      </c>
      <c r="G516" s="9">
        <f>IFERROR(__xludf.DUMMYFUNCTION("""COMPUTED_VALUE"""),2631874.0)</f>
        <v>2631874</v>
      </c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</row>
    <row r="517">
      <c r="A517" s="1"/>
      <c r="B517" s="22">
        <f>IFERROR(__xludf.DUMMYFUNCTION("""COMPUTED_VALUE"""),42305.64583333333)</f>
        <v>42305.64583</v>
      </c>
      <c r="C517" s="9">
        <f>IFERROR(__xludf.DUMMYFUNCTION("""COMPUTED_VALUE"""),572.25)</f>
        <v>572.25</v>
      </c>
      <c r="D517" s="9">
        <f>IFERROR(__xludf.DUMMYFUNCTION("""COMPUTED_VALUE"""),579.0)</f>
        <v>579</v>
      </c>
      <c r="E517" s="9">
        <f>IFERROR(__xludf.DUMMYFUNCTION("""COMPUTED_VALUE"""),569.5)</f>
        <v>569.5</v>
      </c>
      <c r="F517" s="9">
        <f>IFERROR(__xludf.DUMMYFUNCTION("""COMPUTED_VALUE"""),576.6)</f>
        <v>576.6</v>
      </c>
      <c r="G517" s="9">
        <f>IFERROR(__xludf.DUMMYFUNCTION("""COMPUTED_VALUE"""),2627736.0)</f>
        <v>2627736</v>
      </c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</row>
    <row r="518">
      <c r="A518" s="1"/>
      <c r="B518" s="22">
        <f>IFERROR(__xludf.DUMMYFUNCTION("""COMPUTED_VALUE"""),42306.64583333333)</f>
        <v>42306.64583</v>
      </c>
      <c r="C518" s="9">
        <f>IFERROR(__xludf.DUMMYFUNCTION("""COMPUTED_VALUE"""),576.55)</f>
        <v>576.55</v>
      </c>
      <c r="D518" s="9">
        <f>IFERROR(__xludf.DUMMYFUNCTION("""COMPUTED_VALUE"""),577.95)</f>
        <v>577.95</v>
      </c>
      <c r="E518" s="9">
        <f>IFERROR(__xludf.DUMMYFUNCTION("""COMPUTED_VALUE"""),568.03)</f>
        <v>568.03</v>
      </c>
      <c r="F518" s="9">
        <f>IFERROR(__xludf.DUMMYFUNCTION("""COMPUTED_VALUE"""),572.53)</f>
        <v>572.53</v>
      </c>
      <c r="G518" s="9">
        <f>IFERROR(__xludf.DUMMYFUNCTION("""COMPUTED_VALUE"""),2943662.0)</f>
        <v>2943662</v>
      </c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</row>
    <row r="519">
      <c r="A519" s="1"/>
      <c r="B519" s="22">
        <f>IFERROR(__xludf.DUMMYFUNCTION("""COMPUTED_VALUE"""),42307.64583333333)</f>
        <v>42307.64583</v>
      </c>
      <c r="C519" s="9">
        <f>IFERROR(__xludf.DUMMYFUNCTION("""COMPUTED_VALUE"""),572.5)</f>
        <v>572.5</v>
      </c>
      <c r="D519" s="9">
        <f>IFERROR(__xludf.DUMMYFUNCTION("""COMPUTED_VALUE"""),572.5)</f>
        <v>572.5</v>
      </c>
      <c r="E519" s="9">
        <f>IFERROR(__xludf.DUMMYFUNCTION("""COMPUTED_VALUE"""),565.0)</f>
        <v>565</v>
      </c>
      <c r="F519" s="9">
        <f>IFERROR(__xludf.DUMMYFUNCTION("""COMPUTED_VALUE"""),567.73)</f>
        <v>567.73</v>
      </c>
      <c r="G519" s="9">
        <f>IFERROR(__xludf.DUMMYFUNCTION("""COMPUTED_VALUE"""),2022338.0)</f>
        <v>2022338</v>
      </c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</row>
    <row r="520">
      <c r="A520" s="1"/>
      <c r="B520" s="22">
        <f>IFERROR(__xludf.DUMMYFUNCTION("""COMPUTED_VALUE"""),42310.64583333333)</f>
        <v>42310.64583</v>
      </c>
      <c r="C520" s="9">
        <f>IFERROR(__xludf.DUMMYFUNCTION("""COMPUTED_VALUE"""),565.0)</f>
        <v>565</v>
      </c>
      <c r="D520" s="9">
        <f>IFERROR(__xludf.DUMMYFUNCTION("""COMPUTED_VALUE"""),567.9)</f>
        <v>567.9</v>
      </c>
      <c r="E520" s="9">
        <f>IFERROR(__xludf.DUMMYFUNCTION("""COMPUTED_VALUE"""),557.05)</f>
        <v>557.05</v>
      </c>
      <c r="F520" s="9">
        <f>IFERROR(__xludf.DUMMYFUNCTION("""COMPUTED_VALUE"""),565.6)</f>
        <v>565.6</v>
      </c>
      <c r="G520" s="9">
        <f>IFERROR(__xludf.DUMMYFUNCTION("""COMPUTED_VALUE"""),1772494.0)</f>
        <v>1772494</v>
      </c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</row>
    <row r="521">
      <c r="A521" s="1"/>
      <c r="B521" s="22">
        <f>IFERROR(__xludf.DUMMYFUNCTION("""COMPUTED_VALUE"""),42311.64583333333)</f>
        <v>42311.64583</v>
      </c>
      <c r="C521" s="9">
        <f>IFERROR(__xludf.DUMMYFUNCTION("""COMPUTED_VALUE"""),566.7)</f>
        <v>566.7</v>
      </c>
      <c r="D521" s="9">
        <f>IFERROR(__xludf.DUMMYFUNCTION("""COMPUTED_VALUE"""),575.23)</f>
        <v>575.23</v>
      </c>
      <c r="E521" s="9">
        <f>IFERROR(__xludf.DUMMYFUNCTION("""COMPUTED_VALUE"""),566.7)</f>
        <v>566.7</v>
      </c>
      <c r="F521" s="9">
        <f>IFERROR(__xludf.DUMMYFUNCTION("""COMPUTED_VALUE"""),572.75)</f>
        <v>572.75</v>
      </c>
      <c r="G521" s="9">
        <f>IFERROR(__xludf.DUMMYFUNCTION("""COMPUTED_VALUE"""),1807341.0)</f>
        <v>1807341</v>
      </c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</row>
    <row r="522">
      <c r="A522" s="1"/>
      <c r="B522" s="22">
        <f>IFERROR(__xludf.DUMMYFUNCTION("""COMPUTED_VALUE"""),42312.64583333333)</f>
        <v>42312.64583</v>
      </c>
      <c r="C522" s="9">
        <f>IFERROR(__xludf.DUMMYFUNCTION("""COMPUTED_VALUE"""),575.05)</f>
        <v>575.05</v>
      </c>
      <c r="D522" s="9">
        <f>IFERROR(__xludf.DUMMYFUNCTION("""COMPUTED_VALUE"""),578.8)</f>
        <v>578.8</v>
      </c>
      <c r="E522" s="9">
        <f>IFERROR(__xludf.DUMMYFUNCTION("""COMPUTED_VALUE"""),566.15)</f>
        <v>566.15</v>
      </c>
      <c r="F522" s="9">
        <f>IFERROR(__xludf.DUMMYFUNCTION("""COMPUTED_VALUE"""),568.4)</f>
        <v>568.4</v>
      </c>
      <c r="G522" s="9">
        <f>IFERROR(__xludf.DUMMYFUNCTION("""COMPUTED_VALUE"""),1602786.0)</f>
        <v>1602786</v>
      </c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</row>
    <row r="523">
      <c r="A523" s="1"/>
      <c r="B523" s="22">
        <f>IFERROR(__xludf.DUMMYFUNCTION("""COMPUTED_VALUE"""),42313.64583333333)</f>
        <v>42313.64583</v>
      </c>
      <c r="C523" s="9">
        <f>IFERROR(__xludf.DUMMYFUNCTION("""COMPUTED_VALUE"""),571.48)</f>
        <v>571.48</v>
      </c>
      <c r="D523" s="9">
        <f>IFERROR(__xludf.DUMMYFUNCTION("""COMPUTED_VALUE"""),572.5)</f>
        <v>572.5</v>
      </c>
      <c r="E523" s="9">
        <f>IFERROR(__xludf.DUMMYFUNCTION("""COMPUTED_VALUE"""),559.7)</f>
        <v>559.7</v>
      </c>
      <c r="F523" s="9">
        <f>IFERROR(__xludf.DUMMYFUNCTION("""COMPUTED_VALUE"""),561.45)</f>
        <v>561.45</v>
      </c>
      <c r="G523" s="9">
        <f>IFERROR(__xludf.DUMMYFUNCTION("""COMPUTED_VALUE"""),1172653.0)</f>
        <v>1172653</v>
      </c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</row>
    <row r="524">
      <c r="A524" s="1"/>
      <c r="B524" s="22">
        <f>IFERROR(__xludf.DUMMYFUNCTION("""COMPUTED_VALUE"""),42314.64583333333)</f>
        <v>42314.64583</v>
      </c>
      <c r="C524" s="9">
        <f>IFERROR(__xludf.DUMMYFUNCTION("""COMPUTED_VALUE"""),561.5)</f>
        <v>561.5</v>
      </c>
      <c r="D524" s="9">
        <f>IFERROR(__xludf.DUMMYFUNCTION("""COMPUTED_VALUE"""),571.95)</f>
        <v>571.95</v>
      </c>
      <c r="E524" s="9">
        <f>IFERROR(__xludf.DUMMYFUNCTION("""COMPUTED_VALUE"""),561.45)</f>
        <v>561.45</v>
      </c>
      <c r="F524" s="9">
        <f>IFERROR(__xludf.DUMMYFUNCTION("""COMPUTED_VALUE"""),569.15)</f>
        <v>569.15</v>
      </c>
      <c r="G524" s="9">
        <f>IFERROR(__xludf.DUMMYFUNCTION("""COMPUTED_VALUE"""),1513086.0)</f>
        <v>1513086</v>
      </c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</row>
    <row r="525">
      <c r="A525" s="1"/>
      <c r="B525" s="22">
        <f>IFERROR(__xludf.DUMMYFUNCTION("""COMPUTED_VALUE"""),42317.64583333333)</f>
        <v>42317.64583</v>
      </c>
      <c r="C525" s="9">
        <f>IFERROR(__xludf.DUMMYFUNCTION("""COMPUTED_VALUE"""),560.0)</f>
        <v>560</v>
      </c>
      <c r="D525" s="9">
        <f>IFERROR(__xludf.DUMMYFUNCTION("""COMPUTED_VALUE"""),570.0)</f>
        <v>570</v>
      </c>
      <c r="E525" s="9">
        <f>IFERROR(__xludf.DUMMYFUNCTION("""COMPUTED_VALUE"""),557.6)</f>
        <v>557.6</v>
      </c>
      <c r="F525" s="9">
        <f>IFERROR(__xludf.DUMMYFUNCTION("""COMPUTED_VALUE"""),567.3)</f>
        <v>567.3</v>
      </c>
      <c r="G525" s="9">
        <f>IFERROR(__xludf.DUMMYFUNCTION("""COMPUTED_VALUE"""),3062838.0)</f>
        <v>3062838</v>
      </c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</row>
    <row r="526">
      <c r="A526" s="1"/>
      <c r="B526" s="22">
        <f>IFERROR(__xludf.DUMMYFUNCTION("""COMPUTED_VALUE"""),42318.64583333333)</f>
        <v>42318.64583</v>
      </c>
      <c r="C526" s="9">
        <f>IFERROR(__xludf.DUMMYFUNCTION("""COMPUTED_VALUE"""),563.75)</f>
        <v>563.75</v>
      </c>
      <c r="D526" s="9">
        <f>IFERROR(__xludf.DUMMYFUNCTION("""COMPUTED_VALUE"""),563.75)</f>
        <v>563.75</v>
      </c>
      <c r="E526" s="9">
        <f>IFERROR(__xludf.DUMMYFUNCTION("""COMPUTED_VALUE"""),550.05)</f>
        <v>550.05</v>
      </c>
      <c r="F526" s="9">
        <f>IFERROR(__xludf.DUMMYFUNCTION("""COMPUTED_VALUE"""),551.92)</f>
        <v>551.92</v>
      </c>
      <c r="G526" s="9">
        <f>IFERROR(__xludf.DUMMYFUNCTION("""COMPUTED_VALUE"""),2340026.0)</f>
        <v>2340026</v>
      </c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</row>
    <row r="527">
      <c r="A527" s="1"/>
      <c r="B527" s="22">
        <f>IFERROR(__xludf.DUMMYFUNCTION("""COMPUTED_VALUE"""),42321.64583333333)</f>
        <v>42321.64583</v>
      </c>
      <c r="C527" s="9">
        <f>IFERROR(__xludf.DUMMYFUNCTION("""COMPUTED_VALUE"""),549.98)</f>
        <v>549.98</v>
      </c>
      <c r="D527" s="9">
        <f>IFERROR(__xludf.DUMMYFUNCTION("""COMPUTED_VALUE"""),553.0)</f>
        <v>553</v>
      </c>
      <c r="E527" s="9">
        <f>IFERROR(__xludf.DUMMYFUNCTION("""COMPUTED_VALUE"""),545.0)</f>
        <v>545</v>
      </c>
      <c r="F527" s="9">
        <f>IFERROR(__xludf.DUMMYFUNCTION("""COMPUTED_VALUE"""),550.4)</f>
        <v>550.4</v>
      </c>
      <c r="G527" s="9">
        <f>IFERROR(__xludf.DUMMYFUNCTION("""COMPUTED_VALUE"""),1760434.0)</f>
        <v>1760434</v>
      </c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</row>
    <row r="528">
      <c r="A528" s="1"/>
      <c r="B528" s="22">
        <f>IFERROR(__xludf.DUMMYFUNCTION("""COMPUTED_VALUE"""),42324.64583333333)</f>
        <v>42324.64583</v>
      </c>
      <c r="C528" s="9">
        <f>IFERROR(__xludf.DUMMYFUNCTION("""COMPUTED_VALUE"""),541.83)</f>
        <v>541.83</v>
      </c>
      <c r="D528" s="9">
        <f>IFERROR(__xludf.DUMMYFUNCTION("""COMPUTED_VALUE"""),547.0)</f>
        <v>547</v>
      </c>
      <c r="E528" s="9">
        <f>IFERROR(__xludf.DUMMYFUNCTION("""COMPUTED_VALUE"""),533.6)</f>
        <v>533.6</v>
      </c>
      <c r="F528" s="9">
        <f>IFERROR(__xludf.DUMMYFUNCTION("""COMPUTED_VALUE"""),540.1)</f>
        <v>540.1</v>
      </c>
      <c r="G528" s="9">
        <f>IFERROR(__xludf.DUMMYFUNCTION("""COMPUTED_VALUE"""),3404167.0)</f>
        <v>3404167</v>
      </c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</row>
    <row r="529">
      <c r="A529" s="1"/>
      <c r="B529" s="22">
        <f>IFERROR(__xludf.DUMMYFUNCTION("""COMPUTED_VALUE"""),42325.64583333333)</f>
        <v>42325.64583</v>
      </c>
      <c r="C529" s="9">
        <f>IFERROR(__xludf.DUMMYFUNCTION("""COMPUTED_VALUE"""),540.0)</f>
        <v>540</v>
      </c>
      <c r="D529" s="9">
        <f>IFERROR(__xludf.DUMMYFUNCTION("""COMPUTED_VALUE"""),541.45)</f>
        <v>541.45</v>
      </c>
      <c r="E529" s="9">
        <f>IFERROR(__xludf.DUMMYFUNCTION("""COMPUTED_VALUE"""),526.0)</f>
        <v>526</v>
      </c>
      <c r="F529" s="9">
        <f>IFERROR(__xludf.DUMMYFUNCTION("""COMPUTED_VALUE"""),530.75)</f>
        <v>530.75</v>
      </c>
      <c r="G529" s="9">
        <f>IFERROR(__xludf.DUMMYFUNCTION("""COMPUTED_VALUE"""),3592053.0)</f>
        <v>3592053</v>
      </c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</row>
    <row r="530">
      <c r="A530" s="1"/>
      <c r="B530" s="22">
        <f>IFERROR(__xludf.DUMMYFUNCTION("""COMPUTED_VALUE"""),42326.64583333333)</f>
        <v>42326.64583</v>
      </c>
      <c r="C530" s="9">
        <f>IFERROR(__xludf.DUMMYFUNCTION("""COMPUTED_VALUE"""),520.5)</f>
        <v>520.5</v>
      </c>
      <c r="D530" s="9">
        <f>IFERROR(__xludf.DUMMYFUNCTION("""COMPUTED_VALUE"""),522.58)</f>
        <v>522.58</v>
      </c>
      <c r="E530" s="9">
        <f>IFERROR(__xludf.DUMMYFUNCTION("""COMPUTED_VALUE"""),505.63)</f>
        <v>505.63</v>
      </c>
      <c r="F530" s="9">
        <f>IFERROR(__xludf.DUMMYFUNCTION("""COMPUTED_VALUE"""),510.0)</f>
        <v>510</v>
      </c>
      <c r="G530" s="9">
        <f>IFERROR(__xludf.DUMMYFUNCTION("""COMPUTED_VALUE"""),5062626.0)</f>
        <v>5062626</v>
      </c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</row>
    <row r="531">
      <c r="A531" s="1"/>
      <c r="B531" s="22">
        <f>IFERROR(__xludf.DUMMYFUNCTION("""COMPUTED_VALUE"""),42327.64583333333)</f>
        <v>42327.64583</v>
      </c>
      <c r="C531" s="9">
        <f>IFERROR(__xludf.DUMMYFUNCTION("""COMPUTED_VALUE"""),515.13)</f>
        <v>515.13</v>
      </c>
      <c r="D531" s="9">
        <f>IFERROR(__xludf.DUMMYFUNCTION("""COMPUTED_VALUE"""),526.0)</f>
        <v>526</v>
      </c>
      <c r="E531" s="9">
        <f>IFERROR(__xludf.DUMMYFUNCTION("""COMPUTED_VALUE"""),511.9)</f>
        <v>511.9</v>
      </c>
      <c r="F531" s="9">
        <f>IFERROR(__xludf.DUMMYFUNCTION("""COMPUTED_VALUE"""),523.9)</f>
        <v>523.9</v>
      </c>
      <c r="G531" s="9">
        <f>IFERROR(__xludf.DUMMYFUNCTION("""COMPUTED_VALUE"""),4269811.0)</f>
        <v>4269811</v>
      </c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</row>
    <row r="532">
      <c r="A532" s="1"/>
      <c r="B532" s="22">
        <f>IFERROR(__xludf.DUMMYFUNCTION("""COMPUTED_VALUE"""),42328.64583333333)</f>
        <v>42328.64583</v>
      </c>
      <c r="C532" s="9">
        <f>IFERROR(__xludf.DUMMYFUNCTION("""COMPUTED_VALUE"""),524.0)</f>
        <v>524</v>
      </c>
      <c r="D532" s="9">
        <f>IFERROR(__xludf.DUMMYFUNCTION("""COMPUTED_VALUE"""),531.6)</f>
        <v>531.6</v>
      </c>
      <c r="E532" s="9">
        <f>IFERROR(__xludf.DUMMYFUNCTION("""COMPUTED_VALUE"""),521.03)</f>
        <v>521.03</v>
      </c>
      <c r="F532" s="9">
        <f>IFERROR(__xludf.DUMMYFUNCTION("""COMPUTED_VALUE"""),526.2)</f>
        <v>526.2</v>
      </c>
      <c r="G532" s="9">
        <f>IFERROR(__xludf.DUMMYFUNCTION("""COMPUTED_VALUE"""),3041489.0)</f>
        <v>3041489</v>
      </c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</row>
    <row r="533">
      <c r="A533" s="1"/>
      <c r="B533" s="22">
        <f>IFERROR(__xludf.DUMMYFUNCTION("""COMPUTED_VALUE"""),42331.64583333333)</f>
        <v>42331.64583</v>
      </c>
      <c r="C533" s="9">
        <f>IFERROR(__xludf.DUMMYFUNCTION("""COMPUTED_VALUE"""),525.0)</f>
        <v>525</v>
      </c>
      <c r="D533" s="9">
        <f>IFERROR(__xludf.DUMMYFUNCTION("""COMPUTED_VALUE"""),531.2)</f>
        <v>531.2</v>
      </c>
      <c r="E533" s="9">
        <f>IFERROR(__xludf.DUMMYFUNCTION("""COMPUTED_VALUE"""),519.0)</f>
        <v>519</v>
      </c>
      <c r="F533" s="9">
        <f>IFERROR(__xludf.DUMMYFUNCTION("""COMPUTED_VALUE"""),526.85)</f>
        <v>526.85</v>
      </c>
      <c r="G533" s="9">
        <f>IFERROR(__xludf.DUMMYFUNCTION("""COMPUTED_VALUE"""),2808175.0)</f>
        <v>2808175</v>
      </c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</row>
    <row r="534">
      <c r="A534" s="1"/>
      <c r="B534" s="22">
        <f>IFERROR(__xludf.DUMMYFUNCTION("""COMPUTED_VALUE"""),42332.64583333333)</f>
        <v>42332.64583</v>
      </c>
      <c r="C534" s="9">
        <f>IFERROR(__xludf.DUMMYFUNCTION("""COMPUTED_VALUE"""),525.0)</f>
        <v>525</v>
      </c>
      <c r="D534" s="9">
        <f>IFERROR(__xludf.DUMMYFUNCTION("""COMPUTED_VALUE"""),525.4)</f>
        <v>525.4</v>
      </c>
      <c r="E534" s="9">
        <f>IFERROR(__xludf.DUMMYFUNCTION("""COMPUTED_VALUE"""),518.5)</f>
        <v>518.5</v>
      </c>
      <c r="F534" s="9">
        <f>IFERROR(__xludf.DUMMYFUNCTION("""COMPUTED_VALUE"""),520.58)</f>
        <v>520.58</v>
      </c>
      <c r="G534" s="9">
        <f>IFERROR(__xludf.DUMMYFUNCTION("""COMPUTED_VALUE"""),2162901.0)</f>
        <v>2162901</v>
      </c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</row>
    <row r="535">
      <c r="A535" s="1"/>
      <c r="B535" s="22">
        <f>IFERROR(__xludf.DUMMYFUNCTION("""COMPUTED_VALUE"""),42334.64583333333)</f>
        <v>42334.64583</v>
      </c>
      <c r="C535" s="9">
        <f>IFERROR(__xludf.DUMMYFUNCTION("""COMPUTED_VALUE"""),520.48)</f>
        <v>520.48</v>
      </c>
      <c r="D535" s="9">
        <f>IFERROR(__xludf.DUMMYFUNCTION("""COMPUTED_VALUE"""),529.75)</f>
        <v>529.75</v>
      </c>
      <c r="E535" s="9">
        <f>IFERROR(__xludf.DUMMYFUNCTION("""COMPUTED_VALUE"""),520.03)</f>
        <v>520.03</v>
      </c>
      <c r="F535" s="9">
        <f>IFERROR(__xludf.DUMMYFUNCTION("""COMPUTED_VALUE"""),526.2)</f>
        <v>526.2</v>
      </c>
      <c r="G535" s="9">
        <f>IFERROR(__xludf.DUMMYFUNCTION("""COMPUTED_VALUE"""),4926984.0)</f>
        <v>4926984</v>
      </c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</row>
    <row r="536">
      <c r="A536" s="1"/>
      <c r="B536" s="22">
        <f>IFERROR(__xludf.DUMMYFUNCTION("""COMPUTED_VALUE"""),42335.64583333333)</f>
        <v>42335.64583</v>
      </c>
      <c r="C536" s="9">
        <f>IFERROR(__xludf.DUMMYFUNCTION("""COMPUTED_VALUE"""),529.0)</f>
        <v>529</v>
      </c>
      <c r="D536" s="9">
        <f>IFERROR(__xludf.DUMMYFUNCTION("""COMPUTED_VALUE"""),535.0)</f>
        <v>535</v>
      </c>
      <c r="E536" s="9">
        <f>IFERROR(__xludf.DUMMYFUNCTION("""COMPUTED_VALUE"""),522.5)</f>
        <v>522.5</v>
      </c>
      <c r="F536" s="9">
        <f>IFERROR(__xludf.DUMMYFUNCTION("""COMPUTED_VALUE"""),533.17)</f>
        <v>533.17</v>
      </c>
      <c r="G536" s="9">
        <f>IFERROR(__xludf.DUMMYFUNCTION("""COMPUTED_VALUE"""),2571239.0)</f>
        <v>2571239</v>
      </c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</row>
    <row r="537">
      <c r="A537" s="1"/>
      <c r="B537" s="22">
        <f>IFERROR(__xludf.DUMMYFUNCTION("""COMPUTED_VALUE"""),42338.64583333333)</f>
        <v>42338.64583</v>
      </c>
      <c r="C537" s="9">
        <f>IFERROR(__xludf.DUMMYFUNCTION("""COMPUTED_VALUE"""),535.0)</f>
        <v>535</v>
      </c>
      <c r="D537" s="9">
        <f>IFERROR(__xludf.DUMMYFUNCTION("""COMPUTED_VALUE"""),0.0)</f>
        <v>0</v>
      </c>
      <c r="E537" s="9">
        <f>IFERROR(__xludf.DUMMYFUNCTION("""COMPUTED_VALUE"""),0.0)</f>
        <v>0</v>
      </c>
      <c r="F537" s="9">
        <f>IFERROR(__xludf.DUMMYFUNCTION("""COMPUTED_VALUE"""),533.0)</f>
        <v>533</v>
      </c>
      <c r="G537" s="9">
        <f>IFERROR(__xludf.DUMMYFUNCTION("""COMPUTED_VALUE"""),0.0)</f>
        <v>0</v>
      </c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</row>
    <row r="538">
      <c r="A538" s="1"/>
      <c r="B538" s="22">
        <f>IFERROR(__xludf.DUMMYFUNCTION("""COMPUTED_VALUE"""),42339.64583333333)</f>
        <v>42339.64583</v>
      </c>
      <c r="C538" s="9">
        <f>IFERROR(__xludf.DUMMYFUNCTION("""COMPUTED_VALUE"""),544.0)</f>
        <v>544</v>
      </c>
      <c r="D538" s="9">
        <f>IFERROR(__xludf.DUMMYFUNCTION("""COMPUTED_VALUE"""),547.5)</f>
        <v>547.5</v>
      </c>
      <c r="E538" s="9">
        <f>IFERROR(__xludf.DUMMYFUNCTION("""COMPUTED_VALUE"""),536.48)</f>
        <v>536.48</v>
      </c>
      <c r="F538" s="9">
        <f>IFERROR(__xludf.DUMMYFUNCTION("""COMPUTED_VALUE"""),539.5)</f>
        <v>539.5</v>
      </c>
      <c r="G538" s="9">
        <f>IFERROR(__xludf.DUMMYFUNCTION("""COMPUTED_VALUE"""),2949275.0)</f>
        <v>2949275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</row>
    <row r="539">
      <c r="A539" s="1"/>
      <c r="B539" s="22">
        <f>IFERROR(__xludf.DUMMYFUNCTION("""COMPUTED_VALUE"""),42340.64583333333)</f>
        <v>42340.64583</v>
      </c>
      <c r="C539" s="9">
        <f>IFERROR(__xludf.DUMMYFUNCTION("""COMPUTED_VALUE"""),539.98)</f>
        <v>539.98</v>
      </c>
      <c r="D539" s="9">
        <f>IFERROR(__xludf.DUMMYFUNCTION("""COMPUTED_VALUE"""),539.98)</f>
        <v>539.98</v>
      </c>
      <c r="E539" s="9">
        <f>IFERROR(__xludf.DUMMYFUNCTION("""COMPUTED_VALUE"""),529.5)</f>
        <v>529.5</v>
      </c>
      <c r="F539" s="9">
        <f>IFERROR(__xludf.DUMMYFUNCTION("""COMPUTED_VALUE"""),530.35)</f>
        <v>530.35</v>
      </c>
      <c r="G539" s="9">
        <f>IFERROR(__xludf.DUMMYFUNCTION("""COMPUTED_VALUE"""),3198808.0)</f>
        <v>3198808</v>
      </c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</row>
    <row r="540">
      <c r="A540" s="1"/>
      <c r="B540" s="22">
        <f>IFERROR(__xludf.DUMMYFUNCTION("""COMPUTED_VALUE"""),42341.64583333333)</f>
        <v>42341.64583</v>
      </c>
      <c r="C540" s="9">
        <f>IFERROR(__xludf.DUMMYFUNCTION("""COMPUTED_VALUE"""),530.5)</f>
        <v>530.5</v>
      </c>
      <c r="D540" s="9">
        <f>IFERROR(__xludf.DUMMYFUNCTION("""COMPUTED_VALUE"""),532.4)</f>
        <v>532.4</v>
      </c>
      <c r="E540" s="9">
        <f>IFERROR(__xludf.DUMMYFUNCTION("""COMPUTED_VALUE"""),524.53)</f>
        <v>524.53</v>
      </c>
      <c r="F540" s="9">
        <f>IFERROR(__xludf.DUMMYFUNCTION("""COMPUTED_VALUE"""),528.88)</f>
        <v>528.88</v>
      </c>
      <c r="G540" s="9">
        <f>IFERROR(__xludf.DUMMYFUNCTION("""COMPUTED_VALUE"""),2752363.0)</f>
        <v>2752363</v>
      </c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</row>
    <row r="541">
      <c r="A541" s="1"/>
      <c r="B541" s="22">
        <f>IFERROR(__xludf.DUMMYFUNCTION("""COMPUTED_VALUE"""),42342.64583333333)</f>
        <v>42342.64583</v>
      </c>
      <c r="C541" s="9">
        <f>IFERROR(__xludf.DUMMYFUNCTION("""COMPUTED_VALUE"""),524.5)</f>
        <v>524.5</v>
      </c>
      <c r="D541" s="9">
        <f>IFERROR(__xludf.DUMMYFUNCTION("""COMPUTED_VALUE"""),532.45)</f>
        <v>532.45</v>
      </c>
      <c r="E541" s="9">
        <f>IFERROR(__xludf.DUMMYFUNCTION("""COMPUTED_VALUE"""),520.05)</f>
        <v>520.05</v>
      </c>
      <c r="F541" s="9">
        <f>IFERROR(__xludf.DUMMYFUNCTION("""COMPUTED_VALUE"""),524.53)</f>
        <v>524.53</v>
      </c>
      <c r="G541" s="9">
        <f>IFERROR(__xludf.DUMMYFUNCTION("""COMPUTED_VALUE"""),4187765.0)</f>
        <v>4187765</v>
      </c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</row>
    <row r="542">
      <c r="A542" s="1"/>
      <c r="B542" s="22">
        <f>IFERROR(__xludf.DUMMYFUNCTION("""COMPUTED_VALUE"""),42345.64583333333)</f>
        <v>42345.64583</v>
      </c>
      <c r="C542" s="9">
        <f>IFERROR(__xludf.DUMMYFUNCTION("""COMPUTED_VALUE"""),527.65)</f>
        <v>527.65</v>
      </c>
      <c r="D542" s="9">
        <f>IFERROR(__xludf.DUMMYFUNCTION("""COMPUTED_VALUE"""),529.5)</f>
        <v>529.5</v>
      </c>
      <c r="E542" s="9">
        <f>IFERROR(__xludf.DUMMYFUNCTION("""COMPUTED_VALUE"""),520.0)</f>
        <v>520</v>
      </c>
      <c r="F542" s="9">
        <f>IFERROR(__xludf.DUMMYFUNCTION("""COMPUTED_VALUE"""),523.13)</f>
        <v>523.13</v>
      </c>
      <c r="G542" s="9">
        <f>IFERROR(__xludf.DUMMYFUNCTION("""COMPUTED_VALUE"""),2256935.0)</f>
        <v>2256935</v>
      </c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</row>
    <row r="543">
      <c r="A543" s="1"/>
      <c r="B543" s="22">
        <f>IFERROR(__xludf.DUMMYFUNCTION("""COMPUTED_VALUE"""),42346.64583333333)</f>
        <v>42346.64583</v>
      </c>
      <c r="C543" s="9">
        <f>IFERROR(__xludf.DUMMYFUNCTION("""COMPUTED_VALUE"""),522.53)</f>
        <v>522.53</v>
      </c>
      <c r="D543" s="9">
        <f>IFERROR(__xludf.DUMMYFUNCTION("""COMPUTED_VALUE"""),531.38)</f>
        <v>531.38</v>
      </c>
      <c r="E543" s="9">
        <f>IFERROR(__xludf.DUMMYFUNCTION("""COMPUTED_VALUE"""),519.65)</f>
        <v>519.65</v>
      </c>
      <c r="F543" s="9">
        <f>IFERROR(__xludf.DUMMYFUNCTION("""COMPUTED_VALUE"""),522.2)</f>
        <v>522.2</v>
      </c>
      <c r="G543" s="9">
        <f>IFERROR(__xludf.DUMMYFUNCTION("""COMPUTED_VALUE"""),2862186.0)</f>
        <v>2862186</v>
      </c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</row>
    <row r="544">
      <c r="A544" s="1"/>
      <c r="B544" s="22">
        <f>IFERROR(__xludf.DUMMYFUNCTION("""COMPUTED_VALUE"""),42347.64583333333)</f>
        <v>42347.64583</v>
      </c>
      <c r="C544" s="9">
        <f>IFERROR(__xludf.DUMMYFUNCTION("""COMPUTED_VALUE"""),521.5)</f>
        <v>521.5</v>
      </c>
      <c r="D544" s="9">
        <f>IFERROR(__xludf.DUMMYFUNCTION("""COMPUTED_VALUE"""),523.48)</f>
        <v>523.48</v>
      </c>
      <c r="E544" s="9">
        <f>IFERROR(__xludf.DUMMYFUNCTION("""COMPUTED_VALUE"""),511.28)</f>
        <v>511.28</v>
      </c>
      <c r="F544" s="9">
        <f>IFERROR(__xludf.DUMMYFUNCTION("""COMPUTED_VALUE"""),514.1)</f>
        <v>514.1</v>
      </c>
      <c r="G544" s="9">
        <f>IFERROR(__xludf.DUMMYFUNCTION("""COMPUTED_VALUE"""),3409127.0)</f>
        <v>3409127</v>
      </c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</row>
    <row r="545">
      <c r="A545" s="1"/>
      <c r="B545" s="22">
        <f>IFERROR(__xludf.DUMMYFUNCTION("""COMPUTED_VALUE"""),42348.64583333333)</f>
        <v>42348.64583</v>
      </c>
      <c r="C545" s="9">
        <f>IFERROR(__xludf.DUMMYFUNCTION("""COMPUTED_VALUE"""),518.3)</f>
        <v>518.3</v>
      </c>
      <c r="D545" s="9">
        <f>IFERROR(__xludf.DUMMYFUNCTION("""COMPUTED_VALUE"""),525.8)</f>
        <v>525.8</v>
      </c>
      <c r="E545" s="9">
        <f>IFERROR(__xludf.DUMMYFUNCTION("""COMPUTED_VALUE"""),515.15)</f>
        <v>515.15</v>
      </c>
      <c r="F545" s="9">
        <f>IFERROR(__xludf.DUMMYFUNCTION("""COMPUTED_VALUE"""),523.67)</f>
        <v>523.67</v>
      </c>
      <c r="G545" s="9">
        <f>IFERROR(__xludf.DUMMYFUNCTION("""COMPUTED_VALUE"""),2793873.0)</f>
        <v>2793873</v>
      </c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</row>
    <row r="546">
      <c r="A546" s="1"/>
      <c r="B546" s="22">
        <f>IFERROR(__xludf.DUMMYFUNCTION("""COMPUTED_VALUE"""),42349.64583333333)</f>
        <v>42349.64583</v>
      </c>
      <c r="C546" s="9">
        <f>IFERROR(__xludf.DUMMYFUNCTION("""COMPUTED_VALUE"""),527.0)</f>
        <v>527</v>
      </c>
      <c r="D546" s="9">
        <f>IFERROR(__xludf.DUMMYFUNCTION("""COMPUTED_VALUE"""),530.95)</f>
        <v>530.95</v>
      </c>
      <c r="E546" s="9">
        <f>IFERROR(__xludf.DUMMYFUNCTION("""COMPUTED_VALUE"""),522.95)</f>
        <v>522.95</v>
      </c>
      <c r="F546" s="9">
        <f>IFERROR(__xludf.DUMMYFUNCTION("""COMPUTED_VALUE"""),526.4)</f>
        <v>526.4</v>
      </c>
      <c r="G546" s="9">
        <f>IFERROR(__xludf.DUMMYFUNCTION("""COMPUTED_VALUE"""),2695099.0)</f>
        <v>2695099</v>
      </c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</row>
    <row r="547">
      <c r="A547" s="1"/>
      <c r="B547" s="22">
        <f>IFERROR(__xludf.DUMMYFUNCTION("""COMPUTED_VALUE"""),42352.64583333333)</f>
        <v>42352.64583</v>
      </c>
      <c r="C547" s="9">
        <f>IFERROR(__xludf.DUMMYFUNCTION("""COMPUTED_VALUE"""),524.75)</f>
        <v>524.75</v>
      </c>
      <c r="D547" s="9">
        <f>IFERROR(__xludf.DUMMYFUNCTION("""COMPUTED_VALUE"""),536.58)</f>
        <v>536.58</v>
      </c>
      <c r="E547" s="9">
        <f>IFERROR(__xludf.DUMMYFUNCTION("""COMPUTED_VALUE"""),524.03)</f>
        <v>524.03</v>
      </c>
      <c r="F547" s="9">
        <f>IFERROR(__xludf.DUMMYFUNCTION("""COMPUTED_VALUE"""),534.75)</f>
        <v>534.75</v>
      </c>
      <c r="G547" s="9">
        <f>IFERROR(__xludf.DUMMYFUNCTION("""COMPUTED_VALUE"""),2408336.0)</f>
        <v>2408336</v>
      </c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</row>
    <row r="548">
      <c r="A548" s="1"/>
      <c r="B548" s="22">
        <f>IFERROR(__xludf.DUMMYFUNCTION("""COMPUTED_VALUE"""),42353.64583333333)</f>
        <v>42353.64583</v>
      </c>
      <c r="C548" s="9">
        <f>IFERROR(__xludf.DUMMYFUNCTION("""COMPUTED_VALUE"""),536.63)</f>
        <v>536.63</v>
      </c>
      <c r="D548" s="9">
        <f>IFERROR(__xludf.DUMMYFUNCTION("""COMPUTED_VALUE"""),539.55)</f>
        <v>539.55</v>
      </c>
      <c r="E548" s="9">
        <f>IFERROR(__xludf.DUMMYFUNCTION("""COMPUTED_VALUE"""),529.4)</f>
        <v>529.4</v>
      </c>
      <c r="F548" s="9">
        <f>IFERROR(__xludf.DUMMYFUNCTION("""COMPUTED_VALUE"""),538.78)</f>
        <v>538.78</v>
      </c>
      <c r="G548" s="9">
        <f>IFERROR(__xludf.DUMMYFUNCTION("""COMPUTED_VALUE"""),2715904.0)</f>
        <v>2715904</v>
      </c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</row>
    <row r="549">
      <c r="A549" s="1"/>
      <c r="B549" s="22">
        <f>IFERROR(__xludf.DUMMYFUNCTION("""COMPUTED_VALUE"""),42354.64583333333)</f>
        <v>42354.64583</v>
      </c>
      <c r="C549" s="9">
        <f>IFERROR(__xludf.DUMMYFUNCTION("""COMPUTED_VALUE"""),541.7)</f>
        <v>541.7</v>
      </c>
      <c r="D549" s="9">
        <f>IFERROR(__xludf.DUMMYFUNCTION("""COMPUTED_VALUE"""),549.0)</f>
        <v>549</v>
      </c>
      <c r="E549" s="9">
        <f>IFERROR(__xludf.DUMMYFUNCTION("""COMPUTED_VALUE"""),541.7)</f>
        <v>541.7</v>
      </c>
      <c r="F549" s="9">
        <f>IFERROR(__xludf.DUMMYFUNCTION("""COMPUTED_VALUE"""),547.92)</f>
        <v>547.92</v>
      </c>
      <c r="G549" s="9">
        <f>IFERROR(__xludf.DUMMYFUNCTION("""COMPUTED_VALUE"""),2747926.0)</f>
        <v>2747926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</row>
    <row r="550">
      <c r="A550" s="1"/>
      <c r="B550" s="22">
        <f>IFERROR(__xludf.DUMMYFUNCTION("""COMPUTED_VALUE"""),42355.64583333333)</f>
        <v>42355.64583</v>
      </c>
      <c r="C550" s="9">
        <f>IFERROR(__xludf.DUMMYFUNCTION("""COMPUTED_VALUE"""),550.0)</f>
        <v>550</v>
      </c>
      <c r="D550" s="9">
        <f>IFERROR(__xludf.DUMMYFUNCTION("""COMPUTED_VALUE"""),554.9)</f>
        <v>554.9</v>
      </c>
      <c r="E550" s="9">
        <f>IFERROR(__xludf.DUMMYFUNCTION("""COMPUTED_VALUE"""),544.0)</f>
        <v>544</v>
      </c>
      <c r="F550" s="9">
        <f>IFERROR(__xludf.DUMMYFUNCTION("""COMPUTED_VALUE"""),553.55)</f>
        <v>553.55</v>
      </c>
      <c r="G550" s="9">
        <f>IFERROR(__xludf.DUMMYFUNCTION("""COMPUTED_VALUE"""),2479391.0)</f>
        <v>2479391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</row>
    <row r="551">
      <c r="A551" s="1"/>
      <c r="B551" s="22">
        <f>IFERROR(__xludf.DUMMYFUNCTION("""COMPUTED_VALUE"""),42356.64583333333)</f>
        <v>42356.64583</v>
      </c>
      <c r="C551" s="9">
        <f>IFERROR(__xludf.DUMMYFUNCTION("""COMPUTED_VALUE"""),551.7)</f>
        <v>551.7</v>
      </c>
      <c r="D551" s="9">
        <f>IFERROR(__xludf.DUMMYFUNCTION("""COMPUTED_VALUE"""),551.7)</f>
        <v>551.7</v>
      </c>
      <c r="E551" s="9">
        <f>IFERROR(__xludf.DUMMYFUNCTION("""COMPUTED_VALUE"""),539.73)</f>
        <v>539.73</v>
      </c>
      <c r="F551" s="9">
        <f>IFERROR(__xludf.DUMMYFUNCTION("""COMPUTED_VALUE"""),541.58)</f>
        <v>541.58</v>
      </c>
      <c r="G551" s="9">
        <f>IFERROR(__xludf.DUMMYFUNCTION("""COMPUTED_VALUE"""),3609910.0)</f>
        <v>3609910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</row>
    <row r="552">
      <c r="A552" s="1"/>
      <c r="B552" s="22">
        <f>IFERROR(__xludf.DUMMYFUNCTION("""COMPUTED_VALUE"""),42359.64583333333)</f>
        <v>42359.64583</v>
      </c>
      <c r="C552" s="9">
        <f>IFERROR(__xludf.DUMMYFUNCTION("""COMPUTED_VALUE"""),538.5)</f>
        <v>538.5</v>
      </c>
      <c r="D552" s="9">
        <f>IFERROR(__xludf.DUMMYFUNCTION("""COMPUTED_VALUE"""),553.7)</f>
        <v>553.7</v>
      </c>
      <c r="E552" s="9">
        <f>IFERROR(__xludf.DUMMYFUNCTION("""COMPUTED_VALUE"""),532.98)</f>
        <v>532.98</v>
      </c>
      <c r="F552" s="9">
        <f>IFERROR(__xludf.DUMMYFUNCTION("""COMPUTED_VALUE"""),551.73)</f>
        <v>551.73</v>
      </c>
      <c r="G552" s="9">
        <f>IFERROR(__xludf.DUMMYFUNCTION("""COMPUTED_VALUE"""),2165506.0)</f>
        <v>2165506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</row>
    <row r="553">
      <c r="A553" s="1"/>
      <c r="B553" s="22">
        <f>IFERROR(__xludf.DUMMYFUNCTION("""COMPUTED_VALUE"""),42360.64583333333)</f>
        <v>42360.64583</v>
      </c>
      <c r="C553" s="9">
        <f>IFERROR(__xludf.DUMMYFUNCTION("""COMPUTED_VALUE"""),548.73)</f>
        <v>548.73</v>
      </c>
      <c r="D553" s="9">
        <f>IFERROR(__xludf.DUMMYFUNCTION("""COMPUTED_VALUE"""),548.73)</f>
        <v>548.73</v>
      </c>
      <c r="E553" s="9">
        <f>IFERROR(__xludf.DUMMYFUNCTION("""COMPUTED_VALUE"""),540.05)</f>
        <v>540.05</v>
      </c>
      <c r="F553" s="9">
        <f>IFERROR(__xludf.DUMMYFUNCTION("""COMPUTED_VALUE"""),541.88)</f>
        <v>541.88</v>
      </c>
      <c r="G553" s="9">
        <f>IFERROR(__xludf.DUMMYFUNCTION("""COMPUTED_VALUE"""),2054627.0)</f>
        <v>2054627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</row>
    <row r="554">
      <c r="A554" s="1"/>
      <c r="B554" s="22">
        <f>IFERROR(__xludf.DUMMYFUNCTION("""COMPUTED_VALUE"""),42361.64583333333)</f>
        <v>42361.64583</v>
      </c>
      <c r="C554" s="9">
        <f>IFERROR(__xludf.DUMMYFUNCTION("""COMPUTED_VALUE"""),547.53)</f>
        <v>547.53</v>
      </c>
      <c r="D554" s="9">
        <f>IFERROR(__xludf.DUMMYFUNCTION("""COMPUTED_VALUE"""),551.25)</f>
        <v>551.25</v>
      </c>
      <c r="E554" s="9">
        <f>IFERROR(__xludf.DUMMYFUNCTION("""COMPUTED_VALUE"""),543.53)</f>
        <v>543.53</v>
      </c>
      <c r="F554" s="9">
        <f>IFERROR(__xludf.DUMMYFUNCTION("""COMPUTED_VALUE"""),550.42)</f>
        <v>550.42</v>
      </c>
      <c r="G554" s="9">
        <f>IFERROR(__xludf.DUMMYFUNCTION("""COMPUTED_VALUE"""),1435464.0)</f>
        <v>1435464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</row>
    <row r="555">
      <c r="A555" s="1"/>
      <c r="B555" s="22">
        <f>IFERROR(__xludf.DUMMYFUNCTION("""COMPUTED_VALUE"""),42362.64583333333)</f>
        <v>42362.64583</v>
      </c>
      <c r="C555" s="9">
        <f>IFERROR(__xludf.DUMMYFUNCTION("""COMPUTED_VALUE"""),551.03)</f>
        <v>551.03</v>
      </c>
      <c r="D555" s="9">
        <f>IFERROR(__xludf.DUMMYFUNCTION("""COMPUTED_VALUE"""),552.23)</f>
        <v>552.23</v>
      </c>
      <c r="E555" s="9">
        <f>IFERROR(__xludf.DUMMYFUNCTION("""COMPUTED_VALUE"""),545.05)</f>
        <v>545.05</v>
      </c>
      <c r="F555" s="9">
        <f>IFERROR(__xludf.DUMMYFUNCTION("""COMPUTED_VALUE"""),548.17)</f>
        <v>548.17</v>
      </c>
      <c r="G555" s="9">
        <f>IFERROR(__xludf.DUMMYFUNCTION("""COMPUTED_VALUE"""),615027.0)</f>
        <v>615027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</row>
    <row r="556">
      <c r="A556" s="1"/>
      <c r="B556" s="22">
        <f>IFERROR(__xludf.DUMMYFUNCTION("""COMPUTED_VALUE"""),42366.64583333333)</f>
        <v>42366.64583</v>
      </c>
      <c r="C556" s="9">
        <f>IFERROR(__xludf.DUMMYFUNCTION("""COMPUTED_VALUE"""),545.0)</f>
        <v>545</v>
      </c>
      <c r="D556" s="9">
        <f>IFERROR(__xludf.DUMMYFUNCTION("""COMPUTED_VALUE"""),555.0)</f>
        <v>555</v>
      </c>
      <c r="E556" s="9">
        <f>IFERROR(__xludf.DUMMYFUNCTION("""COMPUTED_VALUE"""),545.0)</f>
        <v>545</v>
      </c>
      <c r="F556" s="9">
        <f>IFERROR(__xludf.DUMMYFUNCTION("""COMPUTED_VALUE"""),552.38)</f>
        <v>552.38</v>
      </c>
      <c r="G556" s="9">
        <f>IFERROR(__xludf.DUMMYFUNCTION("""COMPUTED_VALUE"""),2763476.0)</f>
        <v>2763476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</row>
    <row r="557">
      <c r="A557" s="1"/>
      <c r="B557" s="22">
        <f>IFERROR(__xludf.DUMMYFUNCTION("""COMPUTED_VALUE"""),42367.64583333333)</f>
        <v>42367.64583</v>
      </c>
      <c r="C557" s="9">
        <f>IFERROR(__xludf.DUMMYFUNCTION("""COMPUTED_VALUE"""),550.63)</f>
        <v>550.63</v>
      </c>
      <c r="D557" s="9">
        <f>IFERROR(__xludf.DUMMYFUNCTION("""COMPUTED_VALUE"""),555.0)</f>
        <v>555</v>
      </c>
      <c r="E557" s="9">
        <f>IFERROR(__xludf.DUMMYFUNCTION("""COMPUTED_VALUE"""),548.65)</f>
        <v>548.65</v>
      </c>
      <c r="F557" s="9">
        <f>IFERROR(__xludf.DUMMYFUNCTION("""COMPUTED_VALUE"""),552.35)</f>
        <v>552.35</v>
      </c>
      <c r="G557" s="9">
        <f>IFERROR(__xludf.DUMMYFUNCTION("""COMPUTED_VALUE"""),1672531.0)</f>
        <v>1672531</v>
      </c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</row>
    <row r="558">
      <c r="A558" s="1"/>
      <c r="B558" s="22">
        <f>IFERROR(__xludf.DUMMYFUNCTION("""COMPUTED_VALUE"""),42368.64583333333)</f>
        <v>42368.64583</v>
      </c>
      <c r="C558" s="9">
        <f>IFERROR(__xludf.DUMMYFUNCTION("""COMPUTED_VALUE"""),550.55)</f>
        <v>550.55</v>
      </c>
      <c r="D558" s="9">
        <f>IFERROR(__xludf.DUMMYFUNCTION("""COMPUTED_VALUE"""),553.3)</f>
        <v>553.3</v>
      </c>
      <c r="E558" s="9">
        <f>IFERROR(__xludf.DUMMYFUNCTION("""COMPUTED_VALUE"""),541.5)</f>
        <v>541.5</v>
      </c>
      <c r="F558" s="9">
        <f>IFERROR(__xludf.DUMMYFUNCTION("""COMPUTED_VALUE"""),543.15)</f>
        <v>543.15</v>
      </c>
      <c r="G558" s="9">
        <f>IFERROR(__xludf.DUMMYFUNCTION("""COMPUTED_VALUE"""),2576985.0)</f>
        <v>2576985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</row>
    <row r="559">
      <c r="A559" s="1"/>
      <c r="B559" s="22">
        <f>IFERROR(__xludf.DUMMYFUNCTION("""COMPUTED_VALUE"""),42369.64583333333)</f>
        <v>42369.64583</v>
      </c>
      <c r="C559" s="9">
        <f>IFERROR(__xludf.DUMMYFUNCTION("""COMPUTED_VALUE"""),545.08)</f>
        <v>545.08</v>
      </c>
      <c r="D559" s="9">
        <f>IFERROR(__xludf.DUMMYFUNCTION("""COMPUTED_VALUE"""),554.98)</f>
        <v>554.98</v>
      </c>
      <c r="E559" s="9">
        <f>IFERROR(__xludf.DUMMYFUNCTION("""COMPUTED_VALUE"""),543.5)</f>
        <v>543.5</v>
      </c>
      <c r="F559" s="9">
        <f>IFERROR(__xludf.DUMMYFUNCTION("""COMPUTED_VALUE"""),552.7)</f>
        <v>552.7</v>
      </c>
      <c r="G559" s="9">
        <f>IFERROR(__xludf.DUMMYFUNCTION("""COMPUTED_VALUE"""),3971969.0)</f>
        <v>3971969</v>
      </c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</row>
    <row r="560">
      <c r="A560" s="1"/>
      <c r="B560" s="22">
        <f>IFERROR(__xludf.DUMMYFUNCTION("""COMPUTED_VALUE"""),42370.64583333333)</f>
        <v>42370.64583</v>
      </c>
      <c r="C560" s="9">
        <f>IFERROR(__xludf.DUMMYFUNCTION("""COMPUTED_VALUE"""),550.0)</f>
        <v>550</v>
      </c>
      <c r="D560" s="9">
        <f>IFERROR(__xludf.DUMMYFUNCTION("""COMPUTED_VALUE"""),554.48)</f>
        <v>554.48</v>
      </c>
      <c r="E560" s="9">
        <f>IFERROR(__xludf.DUMMYFUNCTION("""COMPUTED_VALUE"""),546.6)</f>
        <v>546.6</v>
      </c>
      <c r="F560" s="9">
        <f>IFERROR(__xludf.DUMMYFUNCTION("""COMPUTED_VALUE"""),552.63)</f>
        <v>552.63</v>
      </c>
      <c r="G560" s="9">
        <f>IFERROR(__xludf.DUMMYFUNCTION("""COMPUTED_VALUE"""),903275.0)</f>
        <v>903275</v>
      </c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</row>
    <row r="561">
      <c r="A561" s="1"/>
      <c r="B561" s="22">
        <f>IFERROR(__xludf.DUMMYFUNCTION("""COMPUTED_VALUE"""),42373.64583333333)</f>
        <v>42373.64583</v>
      </c>
      <c r="C561" s="9">
        <f>IFERROR(__xludf.DUMMYFUNCTION("""COMPUTED_VALUE"""),549.98)</f>
        <v>549.98</v>
      </c>
      <c r="D561" s="9">
        <f>IFERROR(__xludf.DUMMYFUNCTION("""COMPUTED_VALUE"""),551.23)</f>
        <v>551.23</v>
      </c>
      <c r="E561" s="9">
        <f>IFERROR(__xludf.DUMMYFUNCTION("""COMPUTED_VALUE"""),538.03)</f>
        <v>538.03</v>
      </c>
      <c r="F561" s="9">
        <f>IFERROR(__xludf.DUMMYFUNCTION("""COMPUTED_VALUE"""),539.45)</f>
        <v>539.45</v>
      </c>
      <c r="G561" s="9">
        <f>IFERROR(__xludf.DUMMYFUNCTION("""COMPUTED_VALUE"""),1987681.0)</f>
        <v>1987681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</row>
    <row r="562">
      <c r="A562" s="1"/>
      <c r="B562" s="22">
        <f>IFERROR(__xludf.DUMMYFUNCTION("""COMPUTED_VALUE"""),42374.64583333333)</f>
        <v>42374.64583</v>
      </c>
      <c r="C562" s="9">
        <f>IFERROR(__xludf.DUMMYFUNCTION("""COMPUTED_VALUE"""),542.75)</f>
        <v>542.75</v>
      </c>
      <c r="D562" s="9">
        <f>IFERROR(__xludf.DUMMYFUNCTION("""COMPUTED_VALUE"""),542.75)</f>
        <v>542.75</v>
      </c>
      <c r="E562" s="9">
        <f>IFERROR(__xludf.DUMMYFUNCTION("""COMPUTED_VALUE"""),531.13)</f>
        <v>531.13</v>
      </c>
      <c r="F562" s="9">
        <f>IFERROR(__xludf.DUMMYFUNCTION("""COMPUTED_VALUE"""),537.03)</f>
        <v>537.03</v>
      </c>
      <c r="G562" s="9">
        <f>IFERROR(__xludf.DUMMYFUNCTION("""COMPUTED_VALUE"""),2474893.0)</f>
        <v>2474893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</row>
    <row r="563">
      <c r="A563" s="1"/>
      <c r="B563" s="22">
        <f>IFERROR(__xludf.DUMMYFUNCTION("""COMPUTED_VALUE"""),42375.64583333333)</f>
        <v>42375.64583</v>
      </c>
      <c r="C563" s="9">
        <f>IFERROR(__xludf.DUMMYFUNCTION("""COMPUTED_VALUE"""),537.33)</f>
        <v>537.33</v>
      </c>
      <c r="D563" s="9">
        <f>IFERROR(__xludf.DUMMYFUNCTION("""COMPUTED_VALUE"""),537.33)</f>
        <v>537.33</v>
      </c>
      <c r="E563" s="9">
        <f>IFERROR(__xludf.DUMMYFUNCTION("""COMPUTED_VALUE"""),529.45)</f>
        <v>529.45</v>
      </c>
      <c r="F563" s="9">
        <f>IFERROR(__xludf.DUMMYFUNCTION("""COMPUTED_VALUE"""),534.67)</f>
        <v>534.67</v>
      </c>
      <c r="G563" s="9">
        <f>IFERROR(__xludf.DUMMYFUNCTION("""COMPUTED_VALUE"""),2794164.0)</f>
        <v>2794164</v>
      </c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</row>
    <row r="564">
      <c r="A564" s="1"/>
      <c r="B564" s="22">
        <f>IFERROR(__xludf.DUMMYFUNCTION("""COMPUTED_VALUE"""),42376.64583333333)</f>
        <v>42376.64583</v>
      </c>
      <c r="C564" s="9">
        <f>IFERROR(__xludf.DUMMYFUNCTION("""COMPUTED_VALUE"""),530.03)</f>
        <v>530.03</v>
      </c>
      <c r="D564" s="9">
        <f>IFERROR(__xludf.DUMMYFUNCTION("""COMPUTED_VALUE"""),533.95)</f>
        <v>533.95</v>
      </c>
      <c r="E564" s="9">
        <f>IFERROR(__xludf.DUMMYFUNCTION("""COMPUTED_VALUE"""),523.95)</f>
        <v>523.95</v>
      </c>
      <c r="F564" s="9">
        <f>IFERROR(__xludf.DUMMYFUNCTION("""COMPUTED_VALUE"""),525.4)</f>
        <v>525.4</v>
      </c>
      <c r="G564" s="9">
        <f>IFERROR(__xludf.DUMMYFUNCTION("""COMPUTED_VALUE"""),2647044.0)</f>
        <v>2647044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</row>
    <row r="565">
      <c r="A565" s="1"/>
      <c r="B565" s="22">
        <f>IFERROR(__xludf.DUMMYFUNCTION("""COMPUTED_VALUE"""),42377.64583333333)</f>
        <v>42377.64583</v>
      </c>
      <c r="C565" s="9">
        <f>IFERROR(__xludf.DUMMYFUNCTION("""COMPUTED_VALUE"""),530.75)</f>
        <v>530.75</v>
      </c>
      <c r="D565" s="9">
        <f>IFERROR(__xludf.DUMMYFUNCTION("""COMPUTED_VALUE"""),533.7)</f>
        <v>533.7</v>
      </c>
      <c r="E565" s="9">
        <f>IFERROR(__xludf.DUMMYFUNCTION("""COMPUTED_VALUE"""),527.75)</f>
        <v>527.75</v>
      </c>
      <c r="F565" s="9">
        <f>IFERROR(__xludf.DUMMYFUNCTION("""COMPUTED_VALUE"""),531.65)</f>
        <v>531.65</v>
      </c>
      <c r="G565" s="9">
        <f>IFERROR(__xludf.DUMMYFUNCTION("""COMPUTED_VALUE"""),1578358.0)</f>
        <v>1578358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</row>
    <row r="566">
      <c r="A566" s="1"/>
      <c r="B566" s="22">
        <f>IFERROR(__xludf.DUMMYFUNCTION("""COMPUTED_VALUE"""),42380.64583333333)</f>
        <v>42380.64583</v>
      </c>
      <c r="C566" s="9">
        <f>IFERROR(__xludf.DUMMYFUNCTION("""COMPUTED_VALUE"""),528.15)</f>
        <v>528.15</v>
      </c>
      <c r="D566" s="9">
        <f>IFERROR(__xludf.DUMMYFUNCTION("""COMPUTED_VALUE"""),534.98)</f>
        <v>534.98</v>
      </c>
      <c r="E566" s="9">
        <f>IFERROR(__xludf.DUMMYFUNCTION("""COMPUTED_VALUE"""),526.05)</f>
        <v>526.05</v>
      </c>
      <c r="F566" s="9">
        <f>IFERROR(__xludf.DUMMYFUNCTION("""COMPUTED_VALUE"""),527.85)</f>
        <v>527.85</v>
      </c>
      <c r="G566" s="9">
        <f>IFERROR(__xludf.DUMMYFUNCTION("""COMPUTED_VALUE"""),2680311.0)</f>
        <v>2680311</v>
      </c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</row>
    <row r="567">
      <c r="A567" s="1"/>
      <c r="B567" s="22">
        <f>IFERROR(__xludf.DUMMYFUNCTION("""COMPUTED_VALUE"""),42381.64583333333)</f>
        <v>42381.64583</v>
      </c>
      <c r="C567" s="9">
        <f>IFERROR(__xludf.DUMMYFUNCTION("""COMPUTED_VALUE"""),531.0)</f>
        <v>531</v>
      </c>
      <c r="D567" s="9">
        <f>IFERROR(__xludf.DUMMYFUNCTION("""COMPUTED_VALUE"""),531.48)</f>
        <v>531.48</v>
      </c>
      <c r="E567" s="9">
        <f>IFERROR(__xludf.DUMMYFUNCTION("""COMPUTED_VALUE"""),515.42)</f>
        <v>515.42</v>
      </c>
      <c r="F567" s="9">
        <f>IFERROR(__xludf.DUMMYFUNCTION("""COMPUTED_VALUE"""),524.03)</f>
        <v>524.03</v>
      </c>
      <c r="G567" s="9">
        <f>IFERROR(__xludf.DUMMYFUNCTION("""COMPUTED_VALUE"""),3282606.0)</f>
        <v>3282606</v>
      </c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</row>
    <row r="568">
      <c r="A568" s="1"/>
      <c r="B568" s="22">
        <f>IFERROR(__xludf.DUMMYFUNCTION("""COMPUTED_VALUE"""),42382.64583333333)</f>
        <v>42382.64583</v>
      </c>
      <c r="C568" s="9">
        <f>IFERROR(__xludf.DUMMYFUNCTION("""COMPUTED_VALUE"""),528.5)</f>
        <v>528.5</v>
      </c>
      <c r="D568" s="9">
        <f>IFERROR(__xludf.DUMMYFUNCTION("""COMPUTED_VALUE"""),545.5)</f>
        <v>545.5</v>
      </c>
      <c r="E568" s="9">
        <f>IFERROR(__xludf.DUMMYFUNCTION("""COMPUTED_VALUE"""),524.05)</f>
        <v>524.05</v>
      </c>
      <c r="F568" s="9">
        <f>IFERROR(__xludf.DUMMYFUNCTION("""COMPUTED_VALUE"""),541.7)</f>
        <v>541.7</v>
      </c>
      <c r="G568" s="9">
        <f>IFERROR(__xludf.DUMMYFUNCTION("""COMPUTED_VALUE"""),4375647.0)</f>
        <v>4375647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</row>
    <row r="569">
      <c r="A569" s="1"/>
      <c r="B569" s="22">
        <f>IFERROR(__xludf.DUMMYFUNCTION("""COMPUTED_VALUE"""),42383.64583333333)</f>
        <v>42383.64583</v>
      </c>
      <c r="C569" s="9">
        <f>IFERROR(__xludf.DUMMYFUNCTION("""COMPUTED_VALUE"""),533.0)</f>
        <v>533</v>
      </c>
      <c r="D569" s="9">
        <f>IFERROR(__xludf.DUMMYFUNCTION("""COMPUTED_VALUE"""),577.5)</f>
        <v>577.5</v>
      </c>
      <c r="E569" s="9">
        <f>IFERROR(__xludf.DUMMYFUNCTION("""COMPUTED_VALUE"""),527.17)</f>
        <v>527.17</v>
      </c>
      <c r="F569" s="9">
        <f>IFERROR(__xludf.DUMMYFUNCTION("""COMPUTED_VALUE"""),566.5)</f>
        <v>566.5</v>
      </c>
      <c r="G569" s="9">
        <f>IFERROR(__xludf.DUMMYFUNCTION("""COMPUTED_VALUE"""),1.5113503E7)</f>
        <v>15113503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</row>
    <row r="570">
      <c r="A570" s="1"/>
      <c r="B570" s="22">
        <f>IFERROR(__xludf.DUMMYFUNCTION("""COMPUTED_VALUE"""),42384.64583333333)</f>
        <v>42384.64583</v>
      </c>
      <c r="C570" s="9">
        <f>IFERROR(__xludf.DUMMYFUNCTION("""COMPUTED_VALUE"""),574.0)</f>
        <v>574</v>
      </c>
      <c r="D570" s="9">
        <f>IFERROR(__xludf.DUMMYFUNCTION("""COMPUTED_VALUE"""),582.0)</f>
        <v>582</v>
      </c>
      <c r="E570" s="9">
        <f>IFERROR(__xludf.DUMMYFUNCTION("""COMPUTED_VALUE"""),568.78)</f>
        <v>568.78</v>
      </c>
      <c r="F570" s="9">
        <f>IFERROR(__xludf.DUMMYFUNCTION("""COMPUTED_VALUE"""),569.95)</f>
        <v>569.95</v>
      </c>
      <c r="G570" s="9">
        <f>IFERROR(__xludf.DUMMYFUNCTION("""COMPUTED_VALUE"""),6518307.0)</f>
        <v>6518307</v>
      </c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</row>
    <row r="571">
      <c r="A571" s="1"/>
      <c r="B571" s="22">
        <f>IFERROR(__xludf.DUMMYFUNCTION("""COMPUTED_VALUE"""),42387.64583333333)</f>
        <v>42387.64583</v>
      </c>
      <c r="C571" s="9">
        <f>IFERROR(__xludf.DUMMYFUNCTION("""COMPUTED_VALUE"""),569.95)</f>
        <v>569.95</v>
      </c>
      <c r="D571" s="9">
        <f>IFERROR(__xludf.DUMMYFUNCTION("""COMPUTED_VALUE"""),581.05)</f>
        <v>581.05</v>
      </c>
      <c r="E571" s="9">
        <f>IFERROR(__xludf.DUMMYFUNCTION("""COMPUTED_VALUE"""),564.17)</f>
        <v>564.17</v>
      </c>
      <c r="F571" s="9">
        <f>IFERROR(__xludf.DUMMYFUNCTION("""COMPUTED_VALUE"""),565.95)</f>
        <v>565.95</v>
      </c>
      <c r="G571" s="9">
        <f>IFERROR(__xludf.DUMMYFUNCTION("""COMPUTED_VALUE"""),5033306.0)</f>
        <v>5033306</v>
      </c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</row>
    <row r="572">
      <c r="A572" s="1"/>
      <c r="B572" s="22">
        <f>IFERROR(__xludf.DUMMYFUNCTION("""COMPUTED_VALUE"""),42388.64583333333)</f>
        <v>42388.64583</v>
      </c>
      <c r="C572" s="9">
        <f>IFERROR(__xludf.DUMMYFUNCTION("""COMPUTED_VALUE"""),567.5)</f>
        <v>567.5</v>
      </c>
      <c r="D572" s="9">
        <f>IFERROR(__xludf.DUMMYFUNCTION("""COMPUTED_VALUE"""),579.48)</f>
        <v>579.48</v>
      </c>
      <c r="E572" s="9">
        <f>IFERROR(__xludf.DUMMYFUNCTION("""COMPUTED_VALUE"""),564.28)</f>
        <v>564.28</v>
      </c>
      <c r="F572" s="9">
        <f>IFERROR(__xludf.DUMMYFUNCTION("""COMPUTED_VALUE"""),569.83)</f>
        <v>569.83</v>
      </c>
      <c r="G572" s="9">
        <f>IFERROR(__xludf.DUMMYFUNCTION("""COMPUTED_VALUE"""),3750218.0)</f>
        <v>3750218</v>
      </c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</row>
    <row r="573">
      <c r="A573" s="1"/>
      <c r="B573" s="22">
        <f>IFERROR(__xludf.DUMMYFUNCTION("""COMPUTED_VALUE"""),42389.64583333333)</f>
        <v>42389.64583</v>
      </c>
      <c r="C573" s="9">
        <f>IFERROR(__xludf.DUMMYFUNCTION("""COMPUTED_VALUE"""),567.0)</f>
        <v>567</v>
      </c>
      <c r="D573" s="9">
        <f>IFERROR(__xludf.DUMMYFUNCTION("""COMPUTED_VALUE"""),580.0)</f>
        <v>580</v>
      </c>
      <c r="E573" s="9">
        <f>IFERROR(__xludf.DUMMYFUNCTION("""COMPUTED_VALUE"""),558.5)</f>
        <v>558.5</v>
      </c>
      <c r="F573" s="9">
        <f>IFERROR(__xludf.DUMMYFUNCTION("""COMPUTED_VALUE"""),560.63)</f>
        <v>560.63</v>
      </c>
      <c r="G573" s="9">
        <f>IFERROR(__xludf.DUMMYFUNCTION("""COMPUTED_VALUE"""),3753999.0)</f>
        <v>3753999</v>
      </c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</row>
    <row r="574">
      <c r="A574" s="1"/>
      <c r="B574" s="22">
        <f>IFERROR(__xludf.DUMMYFUNCTION("""COMPUTED_VALUE"""),42390.64583333333)</f>
        <v>42390.64583</v>
      </c>
      <c r="C574" s="9">
        <f>IFERROR(__xludf.DUMMYFUNCTION("""COMPUTED_VALUE"""),567.5)</f>
        <v>567.5</v>
      </c>
      <c r="D574" s="9">
        <f>IFERROR(__xludf.DUMMYFUNCTION("""COMPUTED_VALUE"""),571.25)</f>
        <v>571.25</v>
      </c>
      <c r="E574" s="9">
        <f>IFERROR(__xludf.DUMMYFUNCTION("""COMPUTED_VALUE"""),561.0)</f>
        <v>561</v>
      </c>
      <c r="F574" s="9">
        <f>IFERROR(__xludf.DUMMYFUNCTION("""COMPUTED_VALUE"""),568.53)</f>
        <v>568.53</v>
      </c>
      <c r="G574" s="9">
        <f>IFERROR(__xludf.DUMMYFUNCTION("""COMPUTED_VALUE"""),3371500.0)</f>
        <v>3371500</v>
      </c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</row>
    <row r="575">
      <c r="A575" s="1"/>
      <c r="B575" s="22">
        <f>IFERROR(__xludf.DUMMYFUNCTION("""COMPUTED_VALUE"""),42391.64583333333)</f>
        <v>42391.64583</v>
      </c>
      <c r="C575" s="9">
        <f>IFERROR(__xludf.DUMMYFUNCTION("""COMPUTED_VALUE"""),574.05)</f>
        <v>574.05</v>
      </c>
      <c r="D575" s="9">
        <f>IFERROR(__xludf.DUMMYFUNCTION("""COMPUTED_VALUE"""),576.25)</f>
        <v>576.25</v>
      </c>
      <c r="E575" s="9">
        <f>IFERROR(__xludf.DUMMYFUNCTION("""COMPUTED_VALUE"""),565.5)</f>
        <v>565.5</v>
      </c>
      <c r="F575" s="9">
        <f>IFERROR(__xludf.DUMMYFUNCTION("""COMPUTED_VALUE"""),568.13)</f>
        <v>568.13</v>
      </c>
      <c r="G575" s="9">
        <f>IFERROR(__xludf.DUMMYFUNCTION("""COMPUTED_VALUE"""),3218009.0)</f>
        <v>3218009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</row>
    <row r="576">
      <c r="A576" s="1"/>
      <c r="B576" s="22">
        <f>IFERROR(__xludf.DUMMYFUNCTION("""COMPUTED_VALUE"""),42394.64583333333)</f>
        <v>42394.64583</v>
      </c>
      <c r="C576" s="9">
        <f>IFERROR(__xludf.DUMMYFUNCTION("""COMPUTED_VALUE"""),570.13)</f>
        <v>570.13</v>
      </c>
      <c r="D576" s="9">
        <f>IFERROR(__xludf.DUMMYFUNCTION("""COMPUTED_VALUE"""),573.42)</f>
        <v>573.42</v>
      </c>
      <c r="E576" s="9">
        <f>IFERROR(__xludf.DUMMYFUNCTION("""COMPUTED_VALUE"""),562.28)</f>
        <v>562.28</v>
      </c>
      <c r="F576" s="9">
        <f>IFERROR(__xludf.DUMMYFUNCTION("""COMPUTED_VALUE"""),568.83)</f>
        <v>568.83</v>
      </c>
      <c r="G576" s="9">
        <f>IFERROR(__xludf.DUMMYFUNCTION("""COMPUTED_VALUE"""),2289631.0)</f>
        <v>2289631</v>
      </c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</row>
    <row r="577">
      <c r="A577" s="1"/>
      <c r="B577" s="22">
        <f>IFERROR(__xludf.DUMMYFUNCTION("""COMPUTED_VALUE"""),42396.64583333333)</f>
        <v>42396.64583</v>
      </c>
      <c r="C577" s="9">
        <f>IFERROR(__xludf.DUMMYFUNCTION("""COMPUTED_VALUE"""),573.23)</f>
        <v>573.23</v>
      </c>
      <c r="D577" s="9">
        <f>IFERROR(__xludf.DUMMYFUNCTION("""COMPUTED_VALUE"""),574.8)</f>
        <v>574.8</v>
      </c>
      <c r="E577" s="9">
        <f>IFERROR(__xludf.DUMMYFUNCTION("""COMPUTED_VALUE"""),567.5)</f>
        <v>567.5</v>
      </c>
      <c r="F577" s="9">
        <f>IFERROR(__xludf.DUMMYFUNCTION("""COMPUTED_VALUE"""),569.25)</f>
        <v>569.25</v>
      </c>
      <c r="G577" s="9">
        <f>IFERROR(__xludf.DUMMYFUNCTION("""COMPUTED_VALUE"""),3485981.0)</f>
        <v>3485981</v>
      </c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</row>
    <row r="578">
      <c r="A578" s="1"/>
      <c r="B578" s="22">
        <f>IFERROR(__xludf.DUMMYFUNCTION("""COMPUTED_VALUE"""),42397.64583333333)</f>
        <v>42397.64583</v>
      </c>
      <c r="C578" s="9">
        <f>IFERROR(__xludf.DUMMYFUNCTION("""COMPUTED_VALUE"""),568.0)</f>
        <v>568</v>
      </c>
      <c r="D578" s="9">
        <f>IFERROR(__xludf.DUMMYFUNCTION("""COMPUTED_VALUE"""),571.3)</f>
        <v>571.3</v>
      </c>
      <c r="E578" s="9">
        <f>IFERROR(__xludf.DUMMYFUNCTION("""COMPUTED_VALUE"""),563.1)</f>
        <v>563.1</v>
      </c>
      <c r="F578" s="9">
        <f>IFERROR(__xludf.DUMMYFUNCTION("""COMPUTED_VALUE"""),564.8)</f>
        <v>564.8</v>
      </c>
      <c r="G578" s="9">
        <f>IFERROR(__xludf.DUMMYFUNCTION("""COMPUTED_VALUE"""),3894299.0)</f>
        <v>3894299</v>
      </c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</row>
    <row r="579">
      <c r="A579" s="1"/>
      <c r="B579" s="22">
        <f>IFERROR(__xludf.DUMMYFUNCTION("""COMPUTED_VALUE"""),42398.64583333333)</f>
        <v>42398.64583</v>
      </c>
      <c r="C579" s="9">
        <f>IFERROR(__xludf.DUMMYFUNCTION("""COMPUTED_VALUE"""),569.0)</f>
        <v>569</v>
      </c>
      <c r="D579" s="9">
        <f>IFERROR(__xludf.DUMMYFUNCTION("""COMPUTED_VALUE"""),585.0)</f>
        <v>585</v>
      </c>
      <c r="E579" s="9">
        <f>IFERROR(__xludf.DUMMYFUNCTION("""COMPUTED_VALUE"""),565.8)</f>
        <v>565.8</v>
      </c>
      <c r="F579" s="9">
        <f>IFERROR(__xludf.DUMMYFUNCTION("""COMPUTED_VALUE"""),582.45)</f>
        <v>582.45</v>
      </c>
      <c r="G579" s="9">
        <f>IFERROR(__xludf.DUMMYFUNCTION("""COMPUTED_VALUE"""),5116054.0)</f>
        <v>5116054</v>
      </c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</row>
    <row r="580">
      <c r="A580" s="1"/>
      <c r="B580" s="22">
        <f>IFERROR(__xludf.DUMMYFUNCTION("""COMPUTED_VALUE"""),42401.64583333333)</f>
        <v>42401.64583</v>
      </c>
      <c r="C580" s="9">
        <f>IFERROR(__xludf.DUMMYFUNCTION("""COMPUTED_VALUE"""),585.0)</f>
        <v>585</v>
      </c>
      <c r="D580" s="9">
        <f>IFERROR(__xludf.DUMMYFUNCTION("""COMPUTED_VALUE"""),589.95)</f>
        <v>589.95</v>
      </c>
      <c r="E580" s="9">
        <f>IFERROR(__xludf.DUMMYFUNCTION("""COMPUTED_VALUE"""),580.8)</f>
        <v>580.8</v>
      </c>
      <c r="F580" s="9">
        <f>IFERROR(__xludf.DUMMYFUNCTION("""COMPUTED_VALUE"""),586.67)</f>
        <v>586.67</v>
      </c>
      <c r="G580" s="9">
        <f>IFERROR(__xludf.DUMMYFUNCTION("""COMPUTED_VALUE"""),2125563.0)</f>
        <v>2125563</v>
      </c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</row>
    <row r="581">
      <c r="A581" s="1"/>
      <c r="B581" s="22">
        <f>IFERROR(__xludf.DUMMYFUNCTION("""COMPUTED_VALUE"""),42402.64583333333)</f>
        <v>42402.64583</v>
      </c>
      <c r="C581" s="9">
        <f>IFERROR(__xludf.DUMMYFUNCTION("""COMPUTED_VALUE"""),588.42)</f>
        <v>588.42</v>
      </c>
      <c r="D581" s="9">
        <f>IFERROR(__xludf.DUMMYFUNCTION("""COMPUTED_VALUE"""),595.0)</f>
        <v>595</v>
      </c>
      <c r="E581" s="9">
        <f>IFERROR(__xludf.DUMMYFUNCTION("""COMPUTED_VALUE"""),582.0)</f>
        <v>582</v>
      </c>
      <c r="F581" s="9">
        <f>IFERROR(__xludf.DUMMYFUNCTION("""COMPUTED_VALUE"""),587.78)</f>
        <v>587.78</v>
      </c>
      <c r="G581" s="9">
        <f>IFERROR(__xludf.DUMMYFUNCTION("""COMPUTED_VALUE"""),3816351.0)</f>
        <v>3816351</v>
      </c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</row>
    <row r="582">
      <c r="A582" s="1"/>
      <c r="B582" s="22">
        <f>IFERROR(__xludf.DUMMYFUNCTION("""COMPUTED_VALUE"""),42403.64583333333)</f>
        <v>42403.64583</v>
      </c>
      <c r="C582" s="9">
        <f>IFERROR(__xludf.DUMMYFUNCTION("""COMPUTED_VALUE"""),583.9)</f>
        <v>583.9</v>
      </c>
      <c r="D582" s="9">
        <f>IFERROR(__xludf.DUMMYFUNCTION("""COMPUTED_VALUE"""),587.95)</f>
        <v>587.95</v>
      </c>
      <c r="E582" s="9">
        <f>IFERROR(__xludf.DUMMYFUNCTION("""COMPUTED_VALUE"""),576.38)</f>
        <v>576.38</v>
      </c>
      <c r="F582" s="9">
        <f>IFERROR(__xludf.DUMMYFUNCTION("""COMPUTED_VALUE"""),578.85)</f>
        <v>578.85</v>
      </c>
      <c r="G582" s="9">
        <f>IFERROR(__xludf.DUMMYFUNCTION("""COMPUTED_VALUE"""),2622983.0)</f>
        <v>2622983</v>
      </c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</row>
    <row r="583">
      <c r="A583" s="1"/>
      <c r="B583" s="22">
        <f>IFERROR(__xludf.DUMMYFUNCTION("""COMPUTED_VALUE"""),42404.64583333333)</f>
        <v>42404.64583</v>
      </c>
      <c r="C583" s="9">
        <f>IFERROR(__xludf.DUMMYFUNCTION("""COMPUTED_VALUE"""),580.03)</f>
        <v>580.03</v>
      </c>
      <c r="D583" s="9">
        <f>IFERROR(__xludf.DUMMYFUNCTION("""COMPUTED_VALUE"""),597.48)</f>
        <v>597.48</v>
      </c>
      <c r="E583" s="9">
        <f>IFERROR(__xludf.DUMMYFUNCTION("""COMPUTED_VALUE"""),580.03)</f>
        <v>580.03</v>
      </c>
      <c r="F583" s="9">
        <f>IFERROR(__xludf.DUMMYFUNCTION("""COMPUTED_VALUE"""),589.88)</f>
        <v>589.88</v>
      </c>
      <c r="G583" s="9">
        <f>IFERROR(__xludf.DUMMYFUNCTION("""COMPUTED_VALUE"""),2774673.0)</f>
        <v>2774673</v>
      </c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</row>
    <row r="584">
      <c r="A584" s="1"/>
      <c r="B584" s="22">
        <f>IFERROR(__xludf.DUMMYFUNCTION("""COMPUTED_VALUE"""),42405.64583333333)</f>
        <v>42405.64583</v>
      </c>
      <c r="C584" s="9">
        <f>IFERROR(__xludf.DUMMYFUNCTION("""COMPUTED_VALUE"""),587.75)</f>
        <v>587.75</v>
      </c>
      <c r="D584" s="9">
        <f>IFERROR(__xludf.DUMMYFUNCTION("""COMPUTED_VALUE"""),593.33)</f>
        <v>593.33</v>
      </c>
      <c r="E584" s="9">
        <f>IFERROR(__xludf.DUMMYFUNCTION("""COMPUTED_VALUE"""),585.92)</f>
        <v>585.92</v>
      </c>
      <c r="F584" s="9">
        <f>IFERROR(__xludf.DUMMYFUNCTION("""COMPUTED_VALUE"""),587.35)</f>
        <v>587.35</v>
      </c>
      <c r="G584" s="9">
        <f>IFERROR(__xludf.DUMMYFUNCTION("""COMPUTED_VALUE"""),1992112.0)</f>
        <v>1992112</v>
      </c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</row>
    <row r="585">
      <c r="A585" s="1"/>
      <c r="B585" s="22">
        <f>IFERROR(__xludf.DUMMYFUNCTION("""COMPUTED_VALUE"""),42408.64583333333)</f>
        <v>42408.64583</v>
      </c>
      <c r="C585" s="9">
        <f>IFERROR(__xludf.DUMMYFUNCTION("""COMPUTED_VALUE"""),581.88)</f>
        <v>581.88</v>
      </c>
      <c r="D585" s="9">
        <f>IFERROR(__xludf.DUMMYFUNCTION("""COMPUTED_VALUE"""),586.1)</f>
        <v>586.1</v>
      </c>
      <c r="E585" s="9">
        <f>IFERROR(__xludf.DUMMYFUNCTION("""COMPUTED_VALUE"""),571.9)</f>
        <v>571.9</v>
      </c>
      <c r="F585" s="9">
        <f>IFERROR(__xludf.DUMMYFUNCTION("""COMPUTED_VALUE"""),572.92)</f>
        <v>572.92</v>
      </c>
      <c r="G585" s="9">
        <f>IFERROR(__xludf.DUMMYFUNCTION("""COMPUTED_VALUE"""),2110522.0)</f>
        <v>2110522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</row>
    <row r="586">
      <c r="A586" s="1"/>
      <c r="B586" s="22">
        <f>IFERROR(__xludf.DUMMYFUNCTION("""COMPUTED_VALUE"""),42409.64583333333)</f>
        <v>42409.64583</v>
      </c>
      <c r="C586" s="9">
        <f>IFERROR(__xludf.DUMMYFUNCTION("""COMPUTED_VALUE"""),564.15)</f>
        <v>564.15</v>
      </c>
      <c r="D586" s="9">
        <f>IFERROR(__xludf.DUMMYFUNCTION("""COMPUTED_VALUE"""),564.15)</f>
        <v>564.15</v>
      </c>
      <c r="E586" s="9">
        <f>IFERROR(__xludf.DUMMYFUNCTION("""COMPUTED_VALUE"""),546.75)</f>
        <v>546.75</v>
      </c>
      <c r="F586" s="9">
        <f>IFERROR(__xludf.DUMMYFUNCTION("""COMPUTED_VALUE"""),553.83)</f>
        <v>553.83</v>
      </c>
      <c r="G586" s="9">
        <f>IFERROR(__xludf.DUMMYFUNCTION("""COMPUTED_VALUE"""),3789786.0)</f>
        <v>3789786</v>
      </c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</row>
    <row r="587">
      <c r="A587" s="1"/>
      <c r="B587" s="22">
        <f>IFERROR(__xludf.DUMMYFUNCTION("""COMPUTED_VALUE"""),42410.64583333333)</f>
        <v>42410.64583</v>
      </c>
      <c r="C587" s="9">
        <f>IFERROR(__xludf.DUMMYFUNCTION("""COMPUTED_VALUE"""),554.0)</f>
        <v>554</v>
      </c>
      <c r="D587" s="9">
        <f>IFERROR(__xludf.DUMMYFUNCTION("""COMPUTED_VALUE"""),563.75)</f>
        <v>563.75</v>
      </c>
      <c r="E587" s="9">
        <f>IFERROR(__xludf.DUMMYFUNCTION("""COMPUTED_VALUE"""),552.5)</f>
        <v>552.5</v>
      </c>
      <c r="F587" s="9">
        <f>IFERROR(__xludf.DUMMYFUNCTION("""COMPUTED_VALUE"""),554.28)</f>
        <v>554.28</v>
      </c>
      <c r="G587" s="9">
        <f>IFERROR(__xludf.DUMMYFUNCTION("""COMPUTED_VALUE"""),2933027.0)</f>
        <v>2933027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</row>
    <row r="588">
      <c r="A588" s="1"/>
      <c r="B588" s="22">
        <f>IFERROR(__xludf.DUMMYFUNCTION("""COMPUTED_VALUE"""),42411.64583333333)</f>
        <v>42411.64583</v>
      </c>
      <c r="C588" s="9">
        <f>IFERROR(__xludf.DUMMYFUNCTION("""COMPUTED_VALUE"""),555.5)</f>
        <v>555.5</v>
      </c>
      <c r="D588" s="9">
        <f>IFERROR(__xludf.DUMMYFUNCTION("""COMPUTED_VALUE"""),556.5)</f>
        <v>556.5</v>
      </c>
      <c r="E588" s="9">
        <f>IFERROR(__xludf.DUMMYFUNCTION("""COMPUTED_VALUE"""),535.58)</f>
        <v>535.58</v>
      </c>
      <c r="F588" s="9">
        <f>IFERROR(__xludf.DUMMYFUNCTION("""COMPUTED_VALUE"""),539.33)</f>
        <v>539.33</v>
      </c>
      <c r="G588" s="9">
        <f>IFERROR(__xludf.DUMMYFUNCTION("""COMPUTED_VALUE"""),2607189.0)</f>
        <v>2607189</v>
      </c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</row>
    <row r="589">
      <c r="A589" s="1"/>
      <c r="B589" s="22">
        <f>IFERROR(__xludf.DUMMYFUNCTION("""COMPUTED_VALUE"""),42412.64583333333)</f>
        <v>42412.64583</v>
      </c>
      <c r="C589" s="9">
        <f>IFERROR(__xludf.DUMMYFUNCTION("""COMPUTED_VALUE"""),547.35)</f>
        <v>547.35</v>
      </c>
      <c r="D589" s="9">
        <f>IFERROR(__xludf.DUMMYFUNCTION("""COMPUTED_VALUE"""),0.0)</f>
        <v>0</v>
      </c>
      <c r="E589" s="9">
        <f>IFERROR(__xludf.DUMMYFUNCTION("""COMPUTED_VALUE"""),0.0)</f>
        <v>0</v>
      </c>
      <c r="F589" s="9">
        <f>IFERROR(__xludf.DUMMYFUNCTION("""COMPUTED_VALUE"""),539.4)</f>
        <v>539.4</v>
      </c>
      <c r="G589" s="9">
        <f>IFERROR(__xludf.DUMMYFUNCTION("""COMPUTED_VALUE"""),0.0)</f>
        <v>0</v>
      </c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</row>
    <row r="590">
      <c r="A590" s="1"/>
      <c r="B590" s="22">
        <f>IFERROR(__xludf.DUMMYFUNCTION("""COMPUTED_VALUE"""),42415.64583333333)</f>
        <v>42415.64583</v>
      </c>
      <c r="C590" s="9">
        <f>IFERROR(__xludf.DUMMYFUNCTION("""COMPUTED_VALUE"""),548.13)</f>
        <v>548.13</v>
      </c>
      <c r="D590" s="9">
        <f>IFERROR(__xludf.DUMMYFUNCTION("""COMPUTED_VALUE"""),550.1)</f>
        <v>550.1</v>
      </c>
      <c r="E590" s="9">
        <f>IFERROR(__xludf.DUMMYFUNCTION("""COMPUTED_VALUE"""),543.3)</f>
        <v>543.3</v>
      </c>
      <c r="F590" s="9">
        <f>IFERROR(__xludf.DUMMYFUNCTION("""COMPUTED_VALUE"""),545.88)</f>
        <v>545.88</v>
      </c>
      <c r="G590" s="9">
        <f>IFERROR(__xludf.DUMMYFUNCTION("""COMPUTED_VALUE"""),2546739.0)</f>
        <v>2546739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</row>
    <row r="591">
      <c r="A591" s="1"/>
      <c r="B591" s="22">
        <f>IFERROR(__xludf.DUMMYFUNCTION("""COMPUTED_VALUE"""),42416.64583333333)</f>
        <v>42416.64583</v>
      </c>
      <c r="C591" s="9">
        <f>IFERROR(__xludf.DUMMYFUNCTION("""COMPUTED_VALUE"""),543.5)</f>
        <v>543.5</v>
      </c>
      <c r="D591" s="9">
        <f>IFERROR(__xludf.DUMMYFUNCTION("""COMPUTED_VALUE"""),546.38)</f>
        <v>546.38</v>
      </c>
      <c r="E591" s="9">
        <f>IFERROR(__xludf.DUMMYFUNCTION("""COMPUTED_VALUE"""),536.85)</f>
        <v>536.85</v>
      </c>
      <c r="F591" s="9">
        <f>IFERROR(__xludf.DUMMYFUNCTION("""COMPUTED_VALUE"""),539.58)</f>
        <v>539.58</v>
      </c>
      <c r="G591" s="9">
        <f>IFERROR(__xludf.DUMMYFUNCTION("""COMPUTED_VALUE"""),2562724.0)</f>
        <v>2562724</v>
      </c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</row>
    <row r="592">
      <c r="A592" s="1"/>
      <c r="B592" s="22">
        <f>IFERROR(__xludf.DUMMYFUNCTION("""COMPUTED_VALUE"""),42417.64583333333)</f>
        <v>42417.64583</v>
      </c>
      <c r="C592" s="9">
        <f>IFERROR(__xludf.DUMMYFUNCTION("""COMPUTED_VALUE"""),540.88)</f>
        <v>540.88</v>
      </c>
      <c r="D592" s="9">
        <f>IFERROR(__xludf.DUMMYFUNCTION("""COMPUTED_VALUE"""),551.5)</f>
        <v>551.5</v>
      </c>
      <c r="E592" s="9">
        <f>IFERROR(__xludf.DUMMYFUNCTION("""COMPUTED_VALUE"""),538.5)</f>
        <v>538.5</v>
      </c>
      <c r="F592" s="9">
        <f>IFERROR(__xludf.DUMMYFUNCTION("""COMPUTED_VALUE"""),548.92)</f>
        <v>548.92</v>
      </c>
      <c r="G592" s="9">
        <f>IFERROR(__xludf.DUMMYFUNCTION("""COMPUTED_VALUE"""),2082299.0)</f>
        <v>2082299</v>
      </c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</row>
    <row r="593">
      <c r="A593" s="1"/>
      <c r="B593" s="22">
        <f>IFERROR(__xludf.DUMMYFUNCTION("""COMPUTED_VALUE"""),42418.64583333333)</f>
        <v>42418.64583</v>
      </c>
      <c r="C593" s="9">
        <f>IFERROR(__xludf.DUMMYFUNCTION("""COMPUTED_VALUE"""),550.0)</f>
        <v>550</v>
      </c>
      <c r="D593" s="9">
        <f>IFERROR(__xludf.DUMMYFUNCTION("""COMPUTED_VALUE"""),563.5)</f>
        <v>563.5</v>
      </c>
      <c r="E593" s="9">
        <f>IFERROR(__xludf.DUMMYFUNCTION("""COMPUTED_VALUE"""),550.0)</f>
        <v>550</v>
      </c>
      <c r="F593" s="9">
        <f>IFERROR(__xludf.DUMMYFUNCTION("""COMPUTED_VALUE"""),561.7)</f>
        <v>561.7</v>
      </c>
      <c r="G593" s="9">
        <f>IFERROR(__xludf.DUMMYFUNCTION("""COMPUTED_VALUE"""),2094536.0)</f>
        <v>2094536</v>
      </c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</row>
    <row r="594">
      <c r="A594" s="1"/>
      <c r="B594" s="22">
        <f>IFERROR(__xludf.DUMMYFUNCTION("""COMPUTED_VALUE"""),42419.64583333333)</f>
        <v>42419.64583</v>
      </c>
      <c r="C594" s="9">
        <f>IFERROR(__xludf.DUMMYFUNCTION("""COMPUTED_VALUE"""),559.6)</f>
        <v>559.6</v>
      </c>
      <c r="D594" s="9">
        <f>IFERROR(__xludf.DUMMYFUNCTION("""COMPUTED_VALUE"""),567.1)</f>
        <v>567.1</v>
      </c>
      <c r="E594" s="9">
        <f>IFERROR(__xludf.DUMMYFUNCTION("""COMPUTED_VALUE"""),556.92)</f>
        <v>556.92</v>
      </c>
      <c r="F594" s="9">
        <f>IFERROR(__xludf.DUMMYFUNCTION("""COMPUTED_VALUE"""),563.63)</f>
        <v>563.63</v>
      </c>
      <c r="G594" s="9">
        <f>IFERROR(__xludf.DUMMYFUNCTION("""COMPUTED_VALUE"""),1987009.0)</f>
        <v>1987009</v>
      </c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</row>
    <row r="595">
      <c r="A595" s="1"/>
      <c r="B595" s="22">
        <f>IFERROR(__xludf.DUMMYFUNCTION("""COMPUTED_VALUE"""),42422.64583333333)</f>
        <v>42422.64583</v>
      </c>
      <c r="C595" s="9">
        <f>IFERROR(__xludf.DUMMYFUNCTION("""COMPUTED_VALUE"""),565.5)</f>
        <v>565.5</v>
      </c>
      <c r="D595" s="9">
        <f>IFERROR(__xludf.DUMMYFUNCTION("""COMPUTED_VALUE"""),566.98)</f>
        <v>566.98</v>
      </c>
      <c r="E595" s="9">
        <f>IFERROR(__xludf.DUMMYFUNCTION("""COMPUTED_VALUE"""),557.03)</f>
        <v>557.03</v>
      </c>
      <c r="F595" s="9">
        <f>IFERROR(__xludf.DUMMYFUNCTION("""COMPUTED_VALUE"""),563.33)</f>
        <v>563.33</v>
      </c>
      <c r="G595" s="9">
        <f>IFERROR(__xludf.DUMMYFUNCTION("""COMPUTED_VALUE"""),1928505.0)</f>
        <v>1928505</v>
      </c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</row>
    <row r="596">
      <c r="A596" s="1"/>
      <c r="B596" s="22">
        <f>IFERROR(__xludf.DUMMYFUNCTION("""COMPUTED_VALUE"""),42423.64583333333)</f>
        <v>42423.64583</v>
      </c>
      <c r="C596" s="9">
        <f>IFERROR(__xludf.DUMMYFUNCTION("""COMPUTED_VALUE"""),565.13)</f>
        <v>565.13</v>
      </c>
      <c r="D596" s="9">
        <f>IFERROR(__xludf.DUMMYFUNCTION("""COMPUTED_VALUE"""),566.25)</f>
        <v>566.25</v>
      </c>
      <c r="E596" s="9">
        <f>IFERROR(__xludf.DUMMYFUNCTION("""COMPUTED_VALUE"""),558.03)</f>
        <v>558.03</v>
      </c>
      <c r="F596" s="9">
        <f>IFERROR(__xludf.DUMMYFUNCTION("""COMPUTED_VALUE"""),561.95)</f>
        <v>561.95</v>
      </c>
      <c r="G596" s="9">
        <f>IFERROR(__xludf.DUMMYFUNCTION("""COMPUTED_VALUE"""),1250980.0)</f>
        <v>1250980</v>
      </c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</row>
    <row r="597">
      <c r="A597" s="1"/>
      <c r="B597" s="22">
        <f>IFERROR(__xludf.DUMMYFUNCTION("""COMPUTED_VALUE"""),42424.64583333333)</f>
        <v>42424.64583</v>
      </c>
      <c r="C597" s="9">
        <f>IFERROR(__xludf.DUMMYFUNCTION("""COMPUTED_VALUE"""),559.75)</f>
        <v>559.75</v>
      </c>
      <c r="D597" s="9">
        <f>IFERROR(__xludf.DUMMYFUNCTION("""COMPUTED_VALUE"""),571.88)</f>
        <v>571.88</v>
      </c>
      <c r="E597" s="9">
        <f>IFERROR(__xludf.DUMMYFUNCTION("""COMPUTED_VALUE"""),559.17)</f>
        <v>559.17</v>
      </c>
      <c r="F597" s="9">
        <f>IFERROR(__xludf.DUMMYFUNCTION("""COMPUTED_VALUE"""),562.67)</f>
        <v>562.67</v>
      </c>
      <c r="G597" s="9">
        <f>IFERROR(__xludf.DUMMYFUNCTION("""COMPUTED_VALUE"""),2475357.0)</f>
        <v>2475357</v>
      </c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</row>
    <row r="598">
      <c r="A598" s="1"/>
      <c r="B598" s="22">
        <f>IFERROR(__xludf.DUMMYFUNCTION("""COMPUTED_VALUE"""),42425.64583333333)</f>
        <v>42425.64583</v>
      </c>
      <c r="C598" s="9">
        <f>IFERROR(__xludf.DUMMYFUNCTION("""COMPUTED_VALUE"""),562.7)</f>
        <v>562.7</v>
      </c>
      <c r="D598" s="9">
        <f>IFERROR(__xludf.DUMMYFUNCTION("""COMPUTED_VALUE"""),565.3)</f>
        <v>565.3</v>
      </c>
      <c r="E598" s="9">
        <f>IFERROR(__xludf.DUMMYFUNCTION("""COMPUTED_VALUE"""),550.55)</f>
        <v>550.55</v>
      </c>
      <c r="F598" s="9">
        <f>IFERROR(__xludf.DUMMYFUNCTION("""COMPUTED_VALUE"""),555.15)</f>
        <v>555.15</v>
      </c>
      <c r="G598" s="9">
        <f>IFERROR(__xludf.DUMMYFUNCTION("""COMPUTED_VALUE"""),2242264.0)</f>
        <v>2242264</v>
      </c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</row>
    <row r="599">
      <c r="A599" s="1"/>
      <c r="B599" s="22">
        <f>IFERROR(__xludf.DUMMYFUNCTION("""COMPUTED_VALUE"""),42426.64583333333)</f>
        <v>42426.64583</v>
      </c>
      <c r="C599" s="9">
        <f>IFERROR(__xludf.DUMMYFUNCTION("""COMPUTED_VALUE"""),560.08)</f>
        <v>560.08</v>
      </c>
      <c r="D599" s="9">
        <f>IFERROR(__xludf.DUMMYFUNCTION("""COMPUTED_VALUE"""),566.0)</f>
        <v>566</v>
      </c>
      <c r="E599" s="9">
        <f>IFERROR(__xludf.DUMMYFUNCTION("""COMPUTED_VALUE"""),558.0)</f>
        <v>558</v>
      </c>
      <c r="F599" s="9">
        <f>IFERROR(__xludf.DUMMYFUNCTION("""COMPUTED_VALUE"""),560.58)</f>
        <v>560.58</v>
      </c>
      <c r="G599" s="9">
        <f>IFERROR(__xludf.DUMMYFUNCTION("""COMPUTED_VALUE"""),2117818.0)</f>
        <v>2117818</v>
      </c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</row>
    <row r="600">
      <c r="A600" s="1"/>
      <c r="B600" s="22">
        <f>IFERROR(__xludf.DUMMYFUNCTION("""COMPUTED_VALUE"""),42429.64583333333)</f>
        <v>42429.64583</v>
      </c>
      <c r="C600" s="9">
        <f>IFERROR(__xludf.DUMMYFUNCTION("""COMPUTED_VALUE"""),564.75)</f>
        <v>564.75</v>
      </c>
      <c r="D600" s="9">
        <f>IFERROR(__xludf.DUMMYFUNCTION("""COMPUTED_VALUE"""),565.2)</f>
        <v>565.2</v>
      </c>
      <c r="E600" s="9">
        <f>IFERROR(__xludf.DUMMYFUNCTION("""COMPUTED_VALUE"""),534.15)</f>
        <v>534.15</v>
      </c>
      <c r="F600" s="9">
        <f>IFERROR(__xludf.DUMMYFUNCTION("""COMPUTED_VALUE"""),542.03)</f>
        <v>542.03</v>
      </c>
      <c r="G600" s="9">
        <f>IFERROR(__xludf.DUMMYFUNCTION("""COMPUTED_VALUE"""),4083038.0)</f>
        <v>4083038</v>
      </c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</row>
    <row r="601">
      <c r="A601" s="1"/>
      <c r="B601" s="22">
        <f>IFERROR(__xludf.DUMMYFUNCTION("""COMPUTED_VALUE"""),42430.64583333333)</f>
        <v>42430.64583</v>
      </c>
      <c r="C601" s="9">
        <f>IFERROR(__xludf.DUMMYFUNCTION("""COMPUTED_VALUE"""),547.4)</f>
        <v>547.4</v>
      </c>
      <c r="D601" s="9">
        <f>IFERROR(__xludf.DUMMYFUNCTION("""COMPUTED_VALUE"""),565.15)</f>
        <v>565.15</v>
      </c>
      <c r="E601" s="9">
        <f>IFERROR(__xludf.DUMMYFUNCTION("""COMPUTED_VALUE"""),547.4)</f>
        <v>547.4</v>
      </c>
      <c r="F601" s="9">
        <f>IFERROR(__xludf.DUMMYFUNCTION("""COMPUTED_VALUE"""),562.73)</f>
        <v>562.73</v>
      </c>
      <c r="G601" s="9">
        <f>IFERROR(__xludf.DUMMYFUNCTION("""COMPUTED_VALUE"""),3193077.0)</f>
        <v>3193077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</row>
    <row r="602">
      <c r="A602" s="1"/>
      <c r="B602" s="22">
        <f>IFERROR(__xludf.DUMMYFUNCTION("""COMPUTED_VALUE"""),42431.64583333333)</f>
        <v>42431.64583</v>
      </c>
      <c r="C602" s="9">
        <f>IFERROR(__xludf.DUMMYFUNCTION("""COMPUTED_VALUE"""),568.53)</f>
        <v>568.53</v>
      </c>
      <c r="D602" s="9">
        <f>IFERROR(__xludf.DUMMYFUNCTION("""COMPUTED_VALUE"""),581.75)</f>
        <v>581.75</v>
      </c>
      <c r="E602" s="9">
        <f>IFERROR(__xludf.DUMMYFUNCTION("""COMPUTED_VALUE"""),562.5)</f>
        <v>562.5</v>
      </c>
      <c r="F602" s="9">
        <f>IFERROR(__xludf.DUMMYFUNCTION("""COMPUTED_VALUE"""),578.0)</f>
        <v>578</v>
      </c>
      <c r="G602" s="9">
        <f>IFERROR(__xludf.DUMMYFUNCTION("""COMPUTED_VALUE"""),3607449.0)</f>
        <v>3607449</v>
      </c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</row>
    <row r="603">
      <c r="A603" s="1"/>
      <c r="B603" s="22">
        <f>IFERROR(__xludf.DUMMYFUNCTION("""COMPUTED_VALUE"""),42432.64583333333)</f>
        <v>42432.64583</v>
      </c>
      <c r="C603" s="9">
        <f>IFERROR(__xludf.DUMMYFUNCTION("""COMPUTED_VALUE"""),584.0)</f>
        <v>584</v>
      </c>
      <c r="D603" s="9">
        <f>IFERROR(__xludf.DUMMYFUNCTION("""COMPUTED_VALUE"""),596.42)</f>
        <v>596.42</v>
      </c>
      <c r="E603" s="9">
        <f>IFERROR(__xludf.DUMMYFUNCTION("""COMPUTED_VALUE"""),577.0)</f>
        <v>577</v>
      </c>
      <c r="F603" s="9">
        <f>IFERROR(__xludf.DUMMYFUNCTION("""COMPUTED_VALUE"""),584.65)</f>
        <v>584.65</v>
      </c>
      <c r="G603" s="9">
        <f>IFERROR(__xludf.DUMMYFUNCTION("""COMPUTED_VALUE"""),2907152.0)</f>
        <v>2907152</v>
      </c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</row>
    <row r="604">
      <c r="A604" s="1"/>
      <c r="B604" s="22">
        <f>IFERROR(__xludf.DUMMYFUNCTION("""COMPUTED_VALUE"""),42433.64583333333)</f>
        <v>42433.64583</v>
      </c>
      <c r="C604" s="9">
        <f>IFERROR(__xludf.DUMMYFUNCTION("""COMPUTED_VALUE"""),587.8)</f>
        <v>587.8</v>
      </c>
      <c r="D604" s="9">
        <f>IFERROR(__xludf.DUMMYFUNCTION("""COMPUTED_VALUE"""),592.5)</f>
        <v>592.5</v>
      </c>
      <c r="E604" s="9">
        <f>IFERROR(__xludf.DUMMYFUNCTION("""COMPUTED_VALUE"""),579.55)</f>
        <v>579.55</v>
      </c>
      <c r="F604" s="9">
        <f>IFERROR(__xludf.DUMMYFUNCTION("""COMPUTED_VALUE"""),585.33)</f>
        <v>585.33</v>
      </c>
      <c r="G604" s="9">
        <f>IFERROR(__xludf.DUMMYFUNCTION("""COMPUTED_VALUE"""),2140840.0)</f>
        <v>2140840</v>
      </c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</row>
    <row r="605">
      <c r="A605" s="1"/>
      <c r="B605" s="22">
        <f>IFERROR(__xludf.DUMMYFUNCTION("""COMPUTED_VALUE"""),42437.64583333333)</f>
        <v>42437.64583</v>
      </c>
      <c r="C605" s="9">
        <f>IFERROR(__xludf.DUMMYFUNCTION("""COMPUTED_VALUE"""),581.5)</f>
        <v>581.5</v>
      </c>
      <c r="D605" s="9">
        <f>IFERROR(__xludf.DUMMYFUNCTION("""COMPUTED_VALUE"""),595.25)</f>
        <v>595.25</v>
      </c>
      <c r="E605" s="9">
        <f>IFERROR(__xludf.DUMMYFUNCTION("""COMPUTED_VALUE"""),573.7)</f>
        <v>573.7</v>
      </c>
      <c r="F605" s="9">
        <f>IFERROR(__xludf.DUMMYFUNCTION("""COMPUTED_VALUE"""),581.73)</f>
        <v>581.73</v>
      </c>
      <c r="G605" s="9">
        <f>IFERROR(__xludf.DUMMYFUNCTION("""COMPUTED_VALUE"""),3808873.0)</f>
        <v>3808873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</row>
    <row r="606">
      <c r="A606" s="1"/>
      <c r="B606" s="22">
        <f>IFERROR(__xludf.DUMMYFUNCTION("""COMPUTED_VALUE"""),42438.64583333333)</f>
        <v>42438.64583</v>
      </c>
      <c r="C606" s="9">
        <f>IFERROR(__xludf.DUMMYFUNCTION("""COMPUTED_VALUE"""),572.5)</f>
        <v>572.5</v>
      </c>
      <c r="D606" s="9">
        <f>IFERROR(__xludf.DUMMYFUNCTION("""COMPUTED_VALUE"""),591.88)</f>
        <v>591.88</v>
      </c>
      <c r="E606" s="9">
        <f>IFERROR(__xludf.DUMMYFUNCTION("""COMPUTED_VALUE"""),571.48)</f>
        <v>571.48</v>
      </c>
      <c r="F606" s="9">
        <f>IFERROR(__xludf.DUMMYFUNCTION("""COMPUTED_VALUE"""),589.25)</f>
        <v>589.25</v>
      </c>
      <c r="G606" s="9">
        <f>IFERROR(__xludf.DUMMYFUNCTION("""COMPUTED_VALUE"""),3152891.0)</f>
        <v>3152891</v>
      </c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</row>
    <row r="607">
      <c r="A607" s="1"/>
      <c r="B607" s="22">
        <f>IFERROR(__xludf.DUMMYFUNCTION("""COMPUTED_VALUE"""),42439.64583333333)</f>
        <v>42439.64583</v>
      </c>
      <c r="C607" s="9">
        <f>IFERROR(__xludf.DUMMYFUNCTION("""COMPUTED_VALUE"""),581.45)</f>
        <v>581.45</v>
      </c>
      <c r="D607" s="9">
        <f>IFERROR(__xludf.DUMMYFUNCTION("""COMPUTED_VALUE"""),581.45)</f>
        <v>581.45</v>
      </c>
      <c r="E607" s="9">
        <f>IFERROR(__xludf.DUMMYFUNCTION("""COMPUTED_VALUE"""),569.67)</f>
        <v>569.67</v>
      </c>
      <c r="F607" s="9">
        <f>IFERROR(__xludf.DUMMYFUNCTION("""COMPUTED_VALUE"""),571.25)</f>
        <v>571.25</v>
      </c>
      <c r="G607" s="9">
        <f>IFERROR(__xludf.DUMMYFUNCTION("""COMPUTED_VALUE"""),1.2190508E7)</f>
        <v>12190508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</row>
    <row r="608">
      <c r="A608" s="1"/>
      <c r="B608" s="22">
        <f>IFERROR(__xludf.DUMMYFUNCTION("""COMPUTED_VALUE"""),42440.64583333333)</f>
        <v>42440.64583</v>
      </c>
      <c r="C608" s="9">
        <f>IFERROR(__xludf.DUMMYFUNCTION("""COMPUTED_VALUE"""),573.1)</f>
        <v>573.1</v>
      </c>
      <c r="D608" s="9">
        <f>IFERROR(__xludf.DUMMYFUNCTION("""COMPUTED_VALUE"""),577.98)</f>
        <v>577.98</v>
      </c>
      <c r="E608" s="9">
        <f>IFERROR(__xludf.DUMMYFUNCTION("""COMPUTED_VALUE"""),569.1)</f>
        <v>569.1</v>
      </c>
      <c r="F608" s="9">
        <f>IFERROR(__xludf.DUMMYFUNCTION("""COMPUTED_VALUE"""),571.5)</f>
        <v>571.5</v>
      </c>
      <c r="G608" s="9">
        <f>IFERROR(__xludf.DUMMYFUNCTION("""COMPUTED_VALUE"""),2029274.0)</f>
        <v>2029274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</row>
    <row r="609">
      <c r="A609" s="1"/>
      <c r="B609" s="22">
        <f>IFERROR(__xludf.DUMMYFUNCTION("""COMPUTED_VALUE"""),42443.64583333333)</f>
        <v>42443.64583</v>
      </c>
      <c r="C609" s="9">
        <f>IFERROR(__xludf.DUMMYFUNCTION("""COMPUTED_VALUE"""),573.0)</f>
        <v>573</v>
      </c>
      <c r="D609" s="9">
        <f>IFERROR(__xludf.DUMMYFUNCTION("""COMPUTED_VALUE"""),577.13)</f>
        <v>577.13</v>
      </c>
      <c r="E609" s="9">
        <f>IFERROR(__xludf.DUMMYFUNCTION("""COMPUTED_VALUE"""),569.25)</f>
        <v>569.25</v>
      </c>
      <c r="F609" s="9">
        <f>IFERROR(__xludf.DUMMYFUNCTION("""COMPUTED_VALUE"""),570.6)</f>
        <v>570.6</v>
      </c>
      <c r="G609" s="9">
        <f>IFERROR(__xludf.DUMMYFUNCTION("""COMPUTED_VALUE"""),2087131.0)</f>
        <v>2087131</v>
      </c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</row>
    <row r="610">
      <c r="A610" s="1"/>
      <c r="B610" s="22">
        <f>IFERROR(__xludf.DUMMYFUNCTION("""COMPUTED_VALUE"""),42444.64583333333)</f>
        <v>42444.64583</v>
      </c>
      <c r="C610" s="9">
        <f>IFERROR(__xludf.DUMMYFUNCTION("""COMPUTED_VALUE"""),572.0)</f>
        <v>572</v>
      </c>
      <c r="D610" s="9">
        <f>IFERROR(__xludf.DUMMYFUNCTION("""COMPUTED_VALUE"""),577.25)</f>
        <v>577.25</v>
      </c>
      <c r="E610" s="9">
        <f>IFERROR(__xludf.DUMMYFUNCTION("""COMPUTED_VALUE"""),564.48)</f>
        <v>564.48</v>
      </c>
      <c r="F610" s="9">
        <f>IFERROR(__xludf.DUMMYFUNCTION("""COMPUTED_VALUE"""),567.2)</f>
        <v>567.2</v>
      </c>
      <c r="G610" s="9">
        <f>IFERROR(__xludf.DUMMYFUNCTION("""COMPUTED_VALUE"""),3360129.0)</f>
        <v>3360129</v>
      </c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</row>
    <row r="611">
      <c r="A611" s="1"/>
      <c r="B611" s="22">
        <f>IFERROR(__xludf.DUMMYFUNCTION("""COMPUTED_VALUE"""),42445.64583333333)</f>
        <v>42445.64583</v>
      </c>
      <c r="C611" s="9">
        <f>IFERROR(__xludf.DUMMYFUNCTION("""COMPUTED_VALUE"""),570.95)</f>
        <v>570.95</v>
      </c>
      <c r="D611" s="9">
        <f>IFERROR(__xludf.DUMMYFUNCTION("""COMPUTED_VALUE"""),577.5)</f>
        <v>577.5</v>
      </c>
      <c r="E611" s="9">
        <f>IFERROR(__xludf.DUMMYFUNCTION("""COMPUTED_VALUE"""),565.78)</f>
        <v>565.78</v>
      </c>
      <c r="F611" s="9">
        <f>IFERROR(__xludf.DUMMYFUNCTION("""COMPUTED_VALUE"""),576.23)</f>
        <v>576.23</v>
      </c>
      <c r="G611" s="9">
        <f>IFERROR(__xludf.DUMMYFUNCTION("""COMPUTED_VALUE"""),2794425.0)</f>
        <v>2794425</v>
      </c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</row>
    <row r="612">
      <c r="A612" s="1"/>
      <c r="B612" s="22">
        <f>IFERROR(__xludf.DUMMYFUNCTION("""COMPUTED_VALUE"""),42446.64583333333)</f>
        <v>42446.64583</v>
      </c>
      <c r="C612" s="9">
        <f>IFERROR(__xludf.DUMMYFUNCTION("""COMPUTED_VALUE"""),578.45)</f>
        <v>578.45</v>
      </c>
      <c r="D612" s="9">
        <f>IFERROR(__xludf.DUMMYFUNCTION("""COMPUTED_VALUE"""),584.88)</f>
        <v>584.88</v>
      </c>
      <c r="E612" s="9">
        <f>IFERROR(__xludf.DUMMYFUNCTION("""COMPUTED_VALUE"""),577.03)</f>
        <v>577.03</v>
      </c>
      <c r="F612" s="9">
        <f>IFERROR(__xludf.DUMMYFUNCTION("""COMPUTED_VALUE"""),580.88)</f>
        <v>580.88</v>
      </c>
      <c r="G612" s="9">
        <f>IFERROR(__xludf.DUMMYFUNCTION("""COMPUTED_VALUE"""),3237311.0)</f>
        <v>3237311</v>
      </c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</row>
    <row r="613">
      <c r="A613" s="1"/>
      <c r="B613" s="22">
        <f>IFERROR(__xludf.DUMMYFUNCTION("""COMPUTED_VALUE"""),42447.64583333333)</f>
        <v>42447.64583</v>
      </c>
      <c r="C613" s="9">
        <f>IFERROR(__xludf.DUMMYFUNCTION("""COMPUTED_VALUE"""),581.4)</f>
        <v>581.4</v>
      </c>
      <c r="D613" s="9">
        <f>IFERROR(__xludf.DUMMYFUNCTION("""COMPUTED_VALUE"""),599.5)</f>
        <v>599.5</v>
      </c>
      <c r="E613" s="9">
        <f>IFERROR(__xludf.DUMMYFUNCTION("""COMPUTED_VALUE"""),581.0)</f>
        <v>581</v>
      </c>
      <c r="F613" s="9">
        <f>IFERROR(__xludf.DUMMYFUNCTION("""COMPUTED_VALUE"""),596.7)</f>
        <v>596.7</v>
      </c>
      <c r="G613" s="9">
        <f>IFERROR(__xludf.DUMMYFUNCTION("""COMPUTED_VALUE"""),4238711.0)</f>
        <v>4238711</v>
      </c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</row>
    <row r="614">
      <c r="A614" s="1"/>
      <c r="B614" s="22">
        <f>IFERROR(__xludf.DUMMYFUNCTION("""COMPUTED_VALUE"""),42450.64583333333)</f>
        <v>42450.64583</v>
      </c>
      <c r="C614" s="9">
        <f>IFERROR(__xludf.DUMMYFUNCTION("""COMPUTED_VALUE"""),594.0)</f>
        <v>594</v>
      </c>
      <c r="D614" s="9">
        <f>IFERROR(__xludf.DUMMYFUNCTION("""COMPUTED_VALUE"""),599.5)</f>
        <v>599.5</v>
      </c>
      <c r="E614" s="9">
        <f>IFERROR(__xludf.DUMMYFUNCTION("""COMPUTED_VALUE"""),590.03)</f>
        <v>590.03</v>
      </c>
      <c r="F614" s="9">
        <f>IFERROR(__xludf.DUMMYFUNCTION("""COMPUTED_VALUE"""),597.45)</f>
        <v>597.45</v>
      </c>
      <c r="G614" s="9">
        <f>IFERROR(__xludf.DUMMYFUNCTION("""COMPUTED_VALUE"""),2569196.0)</f>
        <v>2569196</v>
      </c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</row>
    <row r="615">
      <c r="A615" s="1"/>
      <c r="B615" s="22">
        <f>IFERROR(__xludf.DUMMYFUNCTION("""COMPUTED_VALUE"""),42451.64583333333)</f>
        <v>42451.64583</v>
      </c>
      <c r="C615" s="9">
        <f>IFERROR(__xludf.DUMMYFUNCTION("""COMPUTED_VALUE"""),595.63)</f>
        <v>595.63</v>
      </c>
      <c r="D615" s="9">
        <f>IFERROR(__xludf.DUMMYFUNCTION("""COMPUTED_VALUE"""),597.0)</f>
        <v>597</v>
      </c>
      <c r="E615" s="9">
        <f>IFERROR(__xludf.DUMMYFUNCTION("""COMPUTED_VALUE"""),586.0)</f>
        <v>586</v>
      </c>
      <c r="F615" s="9">
        <f>IFERROR(__xludf.DUMMYFUNCTION("""COMPUTED_VALUE"""),594.98)</f>
        <v>594.98</v>
      </c>
      <c r="G615" s="9">
        <f>IFERROR(__xludf.DUMMYFUNCTION("""COMPUTED_VALUE"""),3548975.0)</f>
        <v>3548975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</row>
    <row r="616">
      <c r="A616" s="1"/>
      <c r="B616" s="22">
        <f>IFERROR(__xludf.DUMMYFUNCTION("""COMPUTED_VALUE"""),42452.64583333333)</f>
        <v>42452.64583</v>
      </c>
      <c r="C616" s="9">
        <f>IFERROR(__xludf.DUMMYFUNCTION("""COMPUTED_VALUE"""),595.0)</f>
        <v>595</v>
      </c>
      <c r="D616" s="9">
        <f>IFERROR(__xludf.DUMMYFUNCTION("""COMPUTED_VALUE"""),605.35)</f>
        <v>605.35</v>
      </c>
      <c r="E616" s="9">
        <f>IFERROR(__xludf.DUMMYFUNCTION("""COMPUTED_VALUE"""),591.05)</f>
        <v>591.05</v>
      </c>
      <c r="F616" s="9">
        <f>IFERROR(__xludf.DUMMYFUNCTION("""COMPUTED_VALUE"""),603.9)</f>
        <v>603.9</v>
      </c>
      <c r="G616" s="9">
        <f>IFERROR(__xludf.DUMMYFUNCTION("""COMPUTED_VALUE"""),3166588.0)</f>
        <v>3166588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</row>
    <row r="617">
      <c r="A617" s="1"/>
      <c r="B617" s="22">
        <f>IFERROR(__xludf.DUMMYFUNCTION("""COMPUTED_VALUE"""),42457.64583333333)</f>
        <v>42457.64583</v>
      </c>
      <c r="C617" s="9">
        <f>IFERROR(__xludf.DUMMYFUNCTION("""COMPUTED_VALUE"""),616.2)</f>
        <v>616.2</v>
      </c>
      <c r="D617" s="9">
        <f>IFERROR(__xludf.DUMMYFUNCTION("""COMPUTED_VALUE"""),618.5)</f>
        <v>618.5</v>
      </c>
      <c r="E617" s="9">
        <f>IFERROR(__xludf.DUMMYFUNCTION("""COMPUTED_VALUE"""),597.88)</f>
        <v>597.88</v>
      </c>
      <c r="F617" s="9">
        <f>IFERROR(__xludf.DUMMYFUNCTION("""COMPUTED_VALUE"""),602.45)</f>
        <v>602.45</v>
      </c>
      <c r="G617" s="9">
        <f>IFERROR(__xludf.DUMMYFUNCTION("""COMPUTED_VALUE"""),5393755.0)</f>
        <v>5393755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</row>
    <row r="618">
      <c r="A618" s="1"/>
      <c r="B618" s="22">
        <f>IFERROR(__xludf.DUMMYFUNCTION("""COMPUTED_VALUE"""),42458.64583333333)</f>
        <v>42458.64583</v>
      </c>
      <c r="C618" s="9">
        <f>IFERROR(__xludf.DUMMYFUNCTION("""COMPUTED_VALUE"""),599.5)</f>
        <v>599.5</v>
      </c>
      <c r="D618" s="9">
        <f>IFERROR(__xludf.DUMMYFUNCTION("""COMPUTED_VALUE"""),609.45)</f>
        <v>609.45</v>
      </c>
      <c r="E618" s="9">
        <f>IFERROR(__xludf.DUMMYFUNCTION("""COMPUTED_VALUE"""),595.78)</f>
        <v>595.78</v>
      </c>
      <c r="F618" s="9">
        <f>IFERROR(__xludf.DUMMYFUNCTION("""COMPUTED_VALUE"""),598.63)</f>
        <v>598.63</v>
      </c>
      <c r="G618" s="9">
        <f>IFERROR(__xludf.DUMMYFUNCTION("""COMPUTED_VALUE"""),3497678.0)</f>
        <v>3497678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</row>
    <row r="619">
      <c r="A619" s="1"/>
      <c r="B619" s="22">
        <f>IFERROR(__xludf.DUMMYFUNCTION("""COMPUTED_VALUE"""),42459.64583333333)</f>
        <v>42459.64583</v>
      </c>
      <c r="C619" s="9">
        <f>IFERROR(__xludf.DUMMYFUNCTION("""COMPUTED_VALUE"""),598.8)</f>
        <v>598.8</v>
      </c>
      <c r="D619" s="9">
        <f>IFERROR(__xludf.DUMMYFUNCTION("""COMPUTED_VALUE"""),605.0)</f>
        <v>605</v>
      </c>
      <c r="E619" s="9">
        <f>IFERROR(__xludf.DUMMYFUNCTION("""COMPUTED_VALUE"""),597.78)</f>
        <v>597.78</v>
      </c>
      <c r="F619" s="9">
        <f>IFERROR(__xludf.DUMMYFUNCTION("""COMPUTED_VALUE"""),602.98)</f>
        <v>602.98</v>
      </c>
      <c r="G619" s="9">
        <f>IFERROR(__xludf.DUMMYFUNCTION("""COMPUTED_VALUE"""),2878409.0)</f>
        <v>2878409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</row>
    <row r="620">
      <c r="A620" s="1"/>
      <c r="B620" s="22">
        <f>IFERROR(__xludf.DUMMYFUNCTION("""COMPUTED_VALUE"""),42460.64583333333)</f>
        <v>42460.64583</v>
      </c>
      <c r="C620" s="9">
        <f>IFERROR(__xludf.DUMMYFUNCTION("""COMPUTED_VALUE"""),605.13)</f>
        <v>605.13</v>
      </c>
      <c r="D620" s="9">
        <f>IFERROR(__xludf.DUMMYFUNCTION("""COMPUTED_VALUE"""),614.95)</f>
        <v>614.95</v>
      </c>
      <c r="E620" s="9">
        <f>IFERROR(__xludf.DUMMYFUNCTION("""COMPUTED_VALUE"""),600.15)</f>
        <v>600.15</v>
      </c>
      <c r="F620" s="9">
        <f>IFERROR(__xludf.DUMMYFUNCTION("""COMPUTED_VALUE"""),609.15)</f>
        <v>609.15</v>
      </c>
      <c r="G620" s="9">
        <f>IFERROR(__xludf.DUMMYFUNCTION("""COMPUTED_VALUE"""),8998160.0)</f>
        <v>8998160</v>
      </c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</row>
    <row r="621">
      <c r="A621" s="1"/>
      <c r="B621" s="22">
        <f>IFERROR(__xludf.DUMMYFUNCTION("""COMPUTED_VALUE"""),42461.64583333333)</f>
        <v>42461.64583</v>
      </c>
      <c r="C621" s="9">
        <f>IFERROR(__xludf.DUMMYFUNCTION("""COMPUTED_VALUE"""),608.0)</f>
        <v>608</v>
      </c>
      <c r="D621" s="9">
        <f>IFERROR(__xludf.DUMMYFUNCTION("""COMPUTED_VALUE"""),611.1)</f>
        <v>611.1</v>
      </c>
      <c r="E621" s="9">
        <f>IFERROR(__xludf.DUMMYFUNCTION("""COMPUTED_VALUE"""),597.55)</f>
        <v>597.55</v>
      </c>
      <c r="F621" s="9">
        <f>IFERROR(__xludf.DUMMYFUNCTION("""COMPUTED_VALUE"""),602.73)</f>
        <v>602.73</v>
      </c>
      <c r="G621" s="9">
        <f>IFERROR(__xludf.DUMMYFUNCTION("""COMPUTED_VALUE"""),2755714.0)</f>
        <v>2755714</v>
      </c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</row>
    <row r="622">
      <c r="A622" s="1"/>
      <c r="B622" s="22">
        <f>IFERROR(__xludf.DUMMYFUNCTION("""COMPUTED_VALUE"""),42464.64583333333)</f>
        <v>42464.64583</v>
      </c>
      <c r="C622" s="9">
        <f>IFERROR(__xludf.DUMMYFUNCTION("""COMPUTED_VALUE"""),606.78)</f>
        <v>606.78</v>
      </c>
      <c r="D622" s="9">
        <f>IFERROR(__xludf.DUMMYFUNCTION("""COMPUTED_VALUE"""),624.0)</f>
        <v>624</v>
      </c>
      <c r="E622" s="9">
        <f>IFERROR(__xludf.DUMMYFUNCTION("""COMPUTED_VALUE"""),606.78)</f>
        <v>606.78</v>
      </c>
      <c r="F622" s="9">
        <f>IFERROR(__xludf.DUMMYFUNCTION("""COMPUTED_VALUE"""),621.85)</f>
        <v>621.85</v>
      </c>
      <c r="G622" s="9">
        <f>IFERROR(__xludf.DUMMYFUNCTION("""COMPUTED_VALUE"""),2288527.0)</f>
        <v>2288527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</row>
    <row r="623">
      <c r="A623" s="1"/>
      <c r="B623" s="22">
        <f>IFERROR(__xludf.DUMMYFUNCTION("""COMPUTED_VALUE"""),42465.64583333333)</f>
        <v>42465.64583</v>
      </c>
      <c r="C623" s="9">
        <f>IFERROR(__xludf.DUMMYFUNCTION("""COMPUTED_VALUE"""),621.0)</f>
        <v>621</v>
      </c>
      <c r="D623" s="9">
        <f>IFERROR(__xludf.DUMMYFUNCTION("""COMPUTED_VALUE"""),621.15)</f>
        <v>621.15</v>
      </c>
      <c r="E623" s="9">
        <f>IFERROR(__xludf.DUMMYFUNCTION("""COMPUTED_VALUE"""),607.0)</f>
        <v>607</v>
      </c>
      <c r="F623" s="9">
        <f>IFERROR(__xludf.DUMMYFUNCTION("""COMPUTED_VALUE"""),609.9)</f>
        <v>609.9</v>
      </c>
      <c r="G623" s="9">
        <f>IFERROR(__xludf.DUMMYFUNCTION("""COMPUTED_VALUE"""),2395358.0)</f>
        <v>2395358</v>
      </c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</row>
    <row r="624">
      <c r="A624" s="1"/>
      <c r="B624" s="22">
        <f>IFERROR(__xludf.DUMMYFUNCTION("""COMPUTED_VALUE"""),42466.64583333333)</f>
        <v>42466.64583</v>
      </c>
      <c r="C624" s="9">
        <f>IFERROR(__xludf.DUMMYFUNCTION("""COMPUTED_VALUE"""),614.0)</f>
        <v>614</v>
      </c>
      <c r="D624" s="9">
        <f>IFERROR(__xludf.DUMMYFUNCTION("""COMPUTED_VALUE"""),614.0)</f>
        <v>614</v>
      </c>
      <c r="E624" s="9">
        <f>IFERROR(__xludf.DUMMYFUNCTION("""COMPUTED_VALUE"""),598.0)</f>
        <v>598</v>
      </c>
      <c r="F624" s="9">
        <f>IFERROR(__xludf.DUMMYFUNCTION("""COMPUTED_VALUE"""),600.35)</f>
        <v>600.35</v>
      </c>
      <c r="G624" s="9">
        <f>IFERROR(__xludf.DUMMYFUNCTION("""COMPUTED_VALUE"""),2465677.0)</f>
        <v>2465677</v>
      </c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</row>
    <row r="625">
      <c r="A625" s="1"/>
      <c r="B625" s="22">
        <f>IFERROR(__xludf.DUMMYFUNCTION("""COMPUTED_VALUE"""),42467.64583333333)</f>
        <v>42467.64583</v>
      </c>
      <c r="C625" s="9">
        <f>IFERROR(__xludf.DUMMYFUNCTION("""COMPUTED_VALUE"""),604.2)</f>
        <v>604.2</v>
      </c>
      <c r="D625" s="9">
        <f>IFERROR(__xludf.DUMMYFUNCTION("""COMPUTED_VALUE"""),604.2)</f>
        <v>604.2</v>
      </c>
      <c r="E625" s="9">
        <f>IFERROR(__xludf.DUMMYFUNCTION("""COMPUTED_VALUE"""),587.5)</f>
        <v>587.5</v>
      </c>
      <c r="F625" s="9">
        <f>IFERROR(__xludf.DUMMYFUNCTION("""COMPUTED_VALUE"""),590.75)</f>
        <v>590.75</v>
      </c>
      <c r="G625" s="9">
        <f>IFERROR(__xludf.DUMMYFUNCTION("""COMPUTED_VALUE"""),2828945.0)</f>
        <v>2828945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</row>
    <row r="626">
      <c r="A626" s="1"/>
      <c r="B626" s="22">
        <f>IFERROR(__xludf.DUMMYFUNCTION("""COMPUTED_VALUE"""),42468.64583333333)</f>
        <v>42468.64583</v>
      </c>
      <c r="C626" s="9">
        <f>IFERROR(__xludf.DUMMYFUNCTION("""COMPUTED_VALUE"""),587.92)</f>
        <v>587.92</v>
      </c>
      <c r="D626" s="9">
        <f>IFERROR(__xludf.DUMMYFUNCTION("""COMPUTED_VALUE"""),588.75)</f>
        <v>588.75</v>
      </c>
      <c r="E626" s="9">
        <f>IFERROR(__xludf.DUMMYFUNCTION("""COMPUTED_VALUE"""),581.03)</f>
        <v>581.03</v>
      </c>
      <c r="F626" s="9">
        <f>IFERROR(__xludf.DUMMYFUNCTION("""COMPUTED_VALUE"""),582.88)</f>
        <v>582.88</v>
      </c>
      <c r="G626" s="9">
        <f>IFERROR(__xludf.DUMMYFUNCTION("""COMPUTED_VALUE"""),2097789.0)</f>
        <v>2097789</v>
      </c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</row>
    <row r="627">
      <c r="A627" s="1"/>
      <c r="B627" s="22">
        <f>IFERROR(__xludf.DUMMYFUNCTION("""COMPUTED_VALUE"""),42471.64583333333)</f>
        <v>42471.64583</v>
      </c>
      <c r="C627" s="9">
        <f>IFERROR(__xludf.DUMMYFUNCTION("""COMPUTED_VALUE"""),582.9)</f>
        <v>582.9</v>
      </c>
      <c r="D627" s="9">
        <f>IFERROR(__xludf.DUMMYFUNCTION("""COMPUTED_VALUE"""),593.38)</f>
        <v>593.38</v>
      </c>
      <c r="E627" s="9">
        <f>IFERROR(__xludf.DUMMYFUNCTION("""COMPUTED_VALUE"""),575.55)</f>
        <v>575.55</v>
      </c>
      <c r="F627" s="9">
        <f>IFERROR(__xludf.DUMMYFUNCTION("""COMPUTED_VALUE"""),591.95)</f>
        <v>591.95</v>
      </c>
      <c r="G627" s="9">
        <f>IFERROR(__xludf.DUMMYFUNCTION("""COMPUTED_VALUE"""),2884339.0)</f>
        <v>2884339</v>
      </c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</row>
    <row r="628">
      <c r="A628" s="1"/>
      <c r="B628" s="22">
        <f>IFERROR(__xludf.DUMMYFUNCTION("""COMPUTED_VALUE"""),42472.64583333333)</f>
        <v>42472.64583</v>
      </c>
      <c r="C628" s="9">
        <f>IFERROR(__xludf.DUMMYFUNCTION("""COMPUTED_VALUE"""),590.25)</f>
        <v>590.25</v>
      </c>
      <c r="D628" s="9">
        <f>IFERROR(__xludf.DUMMYFUNCTION("""COMPUTED_VALUE"""),597.45)</f>
        <v>597.45</v>
      </c>
      <c r="E628" s="9">
        <f>IFERROR(__xludf.DUMMYFUNCTION("""COMPUTED_VALUE"""),589.3)</f>
        <v>589.3</v>
      </c>
      <c r="F628" s="9">
        <f>IFERROR(__xludf.DUMMYFUNCTION("""COMPUTED_VALUE"""),591.1)</f>
        <v>591.1</v>
      </c>
      <c r="G628" s="9">
        <f>IFERROR(__xludf.DUMMYFUNCTION("""COMPUTED_VALUE"""),2921069.0)</f>
        <v>2921069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</row>
    <row r="629">
      <c r="A629" s="1"/>
      <c r="B629" s="22">
        <f>IFERROR(__xludf.DUMMYFUNCTION("""COMPUTED_VALUE"""),42473.64583333333)</f>
        <v>42473.64583</v>
      </c>
      <c r="C629" s="9">
        <f>IFERROR(__xludf.DUMMYFUNCTION("""COMPUTED_VALUE"""),597.48)</f>
        <v>597.48</v>
      </c>
      <c r="D629" s="9">
        <f>IFERROR(__xludf.DUMMYFUNCTION("""COMPUTED_VALUE"""),597.48)</f>
        <v>597.48</v>
      </c>
      <c r="E629" s="9">
        <f>IFERROR(__xludf.DUMMYFUNCTION("""COMPUTED_VALUE"""),583.17)</f>
        <v>583.17</v>
      </c>
      <c r="F629" s="9">
        <f>IFERROR(__xludf.DUMMYFUNCTION("""COMPUTED_VALUE"""),586.35)</f>
        <v>586.35</v>
      </c>
      <c r="G629" s="9">
        <f>IFERROR(__xludf.DUMMYFUNCTION("""COMPUTED_VALUE"""),6255693.0)</f>
        <v>6255693</v>
      </c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</row>
    <row r="630">
      <c r="A630" s="1"/>
      <c r="B630" s="22">
        <f>IFERROR(__xludf.DUMMYFUNCTION("""COMPUTED_VALUE"""),42478.64583333333)</f>
        <v>42478.64583</v>
      </c>
      <c r="C630" s="9">
        <f>IFERROR(__xludf.DUMMYFUNCTION("""COMPUTED_VALUE"""),625.0)</f>
        <v>625</v>
      </c>
      <c r="D630" s="9">
        <f>IFERROR(__xludf.DUMMYFUNCTION("""COMPUTED_VALUE"""),633.95)</f>
        <v>633.95</v>
      </c>
      <c r="E630" s="9">
        <f>IFERROR(__xludf.DUMMYFUNCTION("""COMPUTED_VALUE"""),616.75)</f>
        <v>616.75</v>
      </c>
      <c r="F630" s="9">
        <f>IFERROR(__xludf.DUMMYFUNCTION("""COMPUTED_VALUE"""),619.35)</f>
        <v>619.35</v>
      </c>
      <c r="G630" s="9">
        <f>IFERROR(__xludf.DUMMYFUNCTION("""COMPUTED_VALUE"""),1.2507995E7)</f>
        <v>12507995</v>
      </c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</row>
    <row r="631">
      <c r="A631" s="1"/>
      <c r="B631" s="22">
        <f>IFERROR(__xludf.DUMMYFUNCTION("""COMPUTED_VALUE"""),42480.64583333333)</f>
        <v>42480.64583</v>
      </c>
      <c r="C631" s="9">
        <f>IFERROR(__xludf.DUMMYFUNCTION("""COMPUTED_VALUE"""),622.0)</f>
        <v>622</v>
      </c>
      <c r="D631" s="9">
        <f>IFERROR(__xludf.DUMMYFUNCTION("""COMPUTED_VALUE"""),623.23)</f>
        <v>623.23</v>
      </c>
      <c r="E631" s="9">
        <f>IFERROR(__xludf.DUMMYFUNCTION("""COMPUTED_VALUE"""),612.9)</f>
        <v>612.9</v>
      </c>
      <c r="F631" s="9">
        <f>IFERROR(__xludf.DUMMYFUNCTION("""COMPUTED_VALUE"""),621.8)</f>
        <v>621.8</v>
      </c>
      <c r="G631" s="9">
        <f>IFERROR(__xludf.DUMMYFUNCTION("""COMPUTED_VALUE"""),4036424.0)</f>
        <v>4036424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</row>
    <row r="632">
      <c r="A632" s="1"/>
      <c r="B632" s="22">
        <f>IFERROR(__xludf.DUMMYFUNCTION("""COMPUTED_VALUE"""),42481.64583333333)</f>
        <v>42481.64583</v>
      </c>
      <c r="C632" s="9">
        <f>IFERROR(__xludf.DUMMYFUNCTION("""COMPUTED_VALUE"""),625.5)</f>
        <v>625.5</v>
      </c>
      <c r="D632" s="9">
        <f>IFERROR(__xludf.DUMMYFUNCTION("""COMPUTED_VALUE"""),625.5)</f>
        <v>625.5</v>
      </c>
      <c r="E632" s="9">
        <f>IFERROR(__xludf.DUMMYFUNCTION("""COMPUTED_VALUE"""),609.05)</f>
        <v>609.05</v>
      </c>
      <c r="F632" s="9">
        <f>IFERROR(__xludf.DUMMYFUNCTION("""COMPUTED_VALUE"""),613.15)</f>
        <v>613.15</v>
      </c>
      <c r="G632" s="9">
        <f>IFERROR(__xludf.DUMMYFUNCTION("""COMPUTED_VALUE"""),2720550.0)</f>
        <v>2720550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</row>
    <row r="633">
      <c r="A633" s="1"/>
      <c r="B633" s="22">
        <f>IFERROR(__xludf.DUMMYFUNCTION("""COMPUTED_VALUE"""),42482.64583333333)</f>
        <v>42482.64583</v>
      </c>
      <c r="C633" s="9">
        <f>IFERROR(__xludf.DUMMYFUNCTION("""COMPUTED_VALUE"""),613.15)</f>
        <v>613.15</v>
      </c>
      <c r="D633" s="9">
        <f>IFERROR(__xludf.DUMMYFUNCTION("""COMPUTED_VALUE"""),614.25)</f>
        <v>614.25</v>
      </c>
      <c r="E633" s="9">
        <f>IFERROR(__xludf.DUMMYFUNCTION("""COMPUTED_VALUE"""),603.5)</f>
        <v>603.5</v>
      </c>
      <c r="F633" s="9">
        <f>IFERROR(__xludf.DUMMYFUNCTION("""COMPUTED_VALUE"""),605.63)</f>
        <v>605.63</v>
      </c>
      <c r="G633" s="9">
        <f>IFERROR(__xludf.DUMMYFUNCTION("""COMPUTED_VALUE"""),2571969.0)</f>
        <v>2571969</v>
      </c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</row>
    <row r="634">
      <c r="A634" s="1"/>
      <c r="B634" s="22">
        <f>IFERROR(__xludf.DUMMYFUNCTION("""COMPUTED_VALUE"""),42485.64583333333)</f>
        <v>42485.64583</v>
      </c>
      <c r="C634" s="9">
        <f>IFERROR(__xludf.DUMMYFUNCTION("""COMPUTED_VALUE"""),606.03)</f>
        <v>606.03</v>
      </c>
      <c r="D634" s="9">
        <f>IFERROR(__xludf.DUMMYFUNCTION("""COMPUTED_VALUE"""),612.4)</f>
        <v>612.4</v>
      </c>
      <c r="E634" s="9">
        <f>IFERROR(__xludf.DUMMYFUNCTION("""COMPUTED_VALUE"""),600.55)</f>
        <v>600.55</v>
      </c>
      <c r="F634" s="9">
        <f>IFERROR(__xludf.DUMMYFUNCTION("""COMPUTED_VALUE"""),607.92)</f>
        <v>607.92</v>
      </c>
      <c r="G634" s="9">
        <f>IFERROR(__xludf.DUMMYFUNCTION("""COMPUTED_VALUE"""),2682067.0)</f>
        <v>2682067</v>
      </c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</row>
    <row r="635">
      <c r="A635" s="1"/>
      <c r="B635" s="22">
        <f>IFERROR(__xludf.DUMMYFUNCTION("""COMPUTED_VALUE"""),42486.64583333333)</f>
        <v>42486.64583</v>
      </c>
      <c r="C635" s="9">
        <f>IFERROR(__xludf.DUMMYFUNCTION("""COMPUTED_VALUE"""),607.73)</f>
        <v>607.73</v>
      </c>
      <c r="D635" s="9">
        <f>IFERROR(__xludf.DUMMYFUNCTION("""COMPUTED_VALUE"""),619.78)</f>
        <v>619.78</v>
      </c>
      <c r="E635" s="9">
        <f>IFERROR(__xludf.DUMMYFUNCTION("""COMPUTED_VALUE"""),604.3)</f>
        <v>604.3</v>
      </c>
      <c r="F635" s="9">
        <f>IFERROR(__xludf.DUMMYFUNCTION("""COMPUTED_VALUE"""),616.08)</f>
        <v>616.08</v>
      </c>
      <c r="G635" s="9">
        <f>IFERROR(__xludf.DUMMYFUNCTION("""COMPUTED_VALUE"""),2923372.0)</f>
        <v>2923372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</row>
    <row r="636">
      <c r="A636" s="1"/>
      <c r="B636" s="22">
        <f>IFERROR(__xludf.DUMMYFUNCTION("""COMPUTED_VALUE"""),42487.64583333333)</f>
        <v>42487.64583</v>
      </c>
      <c r="C636" s="9">
        <f>IFERROR(__xludf.DUMMYFUNCTION("""COMPUTED_VALUE"""),614.6)</f>
        <v>614.6</v>
      </c>
      <c r="D636" s="9">
        <f>IFERROR(__xludf.DUMMYFUNCTION("""COMPUTED_VALUE"""),621.17)</f>
        <v>621.17</v>
      </c>
      <c r="E636" s="9">
        <f>IFERROR(__xludf.DUMMYFUNCTION("""COMPUTED_VALUE"""),614.28)</f>
        <v>614.28</v>
      </c>
      <c r="F636" s="9">
        <f>IFERROR(__xludf.DUMMYFUNCTION("""COMPUTED_VALUE"""),620.08)</f>
        <v>620.08</v>
      </c>
      <c r="G636" s="9">
        <f>IFERROR(__xludf.DUMMYFUNCTION("""COMPUTED_VALUE"""),2243104.0)</f>
        <v>2243104</v>
      </c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</row>
    <row r="637">
      <c r="A637" s="1"/>
      <c r="B637" s="22">
        <f>IFERROR(__xludf.DUMMYFUNCTION("""COMPUTED_VALUE"""),42488.64583333333)</f>
        <v>42488.64583</v>
      </c>
      <c r="C637" s="9">
        <f>IFERROR(__xludf.DUMMYFUNCTION("""COMPUTED_VALUE"""),615.5)</f>
        <v>615.5</v>
      </c>
      <c r="D637" s="9">
        <f>IFERROR(__xludf.DUMMYFUNCTION("""COMPUTED_VALUE"""),619.8)</f>
        <v>619.8</v>
      </c>
      <c r="E637" s="9">
        <f>IFERROR(__xludf.DUMMYFUNCTION("""COMPUTED_VALUE"""),603.5)</f>
        <v>603.5</v>
      </c>
      <c r="F637" s="9">
        <f>IFERROR(__xludf.DUMMYFUNCTION("""COMPUTED_VALUE"""),604.58)</f>
        <v>604.58</v>
      </c>
      <c r="G637" s="9">
        <f>IFERROR(__xludf.DUMMYFUNCTION("""COMPUTED_VALUE"""),6082584.0)</f>
        <v>6082584</v>
      </c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</row>
    <row r="638">
      <c r="A638" s="1"/>
      <c r="B638" s="22">
        <f>IFERROR(__xludf.DUMMYFUNCTION("""COMPUTED_VALUE"""),42489.64583333333)</f>
        <v>42489.64583</v>
      </c>
      <c r="C638" s="9">
        <f>IFERROR(__xludf.DUMMYFUNCTION("""COMPUTED_VALUE"""),605.73)</f>
        <v>605.73</v>
      </c>
      <c r="D638" s="9">
        <f>IFERROR(__xludf.DUMMYFUNCTION("""COMPUTED_VALUE"""),611.78)</f>
        <v>611.78</v>
      </c>
      <c r="E638" s="9">
        <f>IFERROR(__xludf.DUMMYFUNCTION("""COMPUTED_VALUE"""),602.5)</f>
        <v>602.5</v>
      </c>
      <c r="F638" s="9">
        <f>IFERROR(__xludf.DUMMYFUNCTION("""COMPUTED_VALUE"""),604.05)</f>
        <v>604.05</v>
      </c>
      <c r="G638" s="9">
        <f>IFERROR(__xludf.DUMMYFUNCTION("""COMPUTED_VALUE"""),2518205.0)</f>
        <v>2518205</v>
      </c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</row>
    <row r="639">
      <c r="A639" s="1"/>
      <c r="B639" s="22">
        <f>IFERROR(__xludf.DUMMYFUNCTION("""COMPUTED_VALUE"""),42492.64583333333)</f>
        <v>42492.64583</v>
      </c>
      <c r="C639" s="9">
        <f>IFERROR(__xludf.DUMMYFUNCTION("""COMPUTED_VALUE"""),605.0)</f>
        <v>605</v>
      </c>
      <c r="D639" s="9">
        <f>IFERROR(__xludf.DUMMYFUNCTION("""COMPUTED_VALUE"""),605.58)</f>
        <v>605.58</v>
      </c>
      <c r="E639" s="9">
        <f>IFERROR(__xludf.DUMMYFUNCTION("""COMPUTED_VALUE"""),598.08)</f>
        <v>598.08</v>
      </c>
      <c r="F639" s="9">
        <f>IFERROR(__xludf.DUMMYFUNCTION("""COMPUTED_VALUE"""),600.53)</f>
        <v>600.53</v>
      </c>
      <c r="G639" s="9">
        <f>IFERROR(__xludf.DUMMYFUNCTION("""COMPUTED_VALUE"""),1807625.0)</f>
        <v>1807625</v>
      </c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</row>
    <row r="640">
      <c r="A640" s="1"/>
      <c r="B640" s="22">
        <f>IFERROR(__xludf.DUMMYFUNCTION("""COMPUTED_VALUE"""),42493.64583333333)</f>
        <v>42493.64583</v>
      </c>
      <c r="C640" s="9">
        <f>IFERROR(__xludf.DUMMYFUNCTION("""COMPUTED_VALUE"""),601.38)</f>
        <v>601.38</v>
      </c>
      <c r="D640" s="9">
        <f>IFERROR(__xludf.DUMMYFUNCTION("""COMPUTED_VALUE"""),606.1)</f>
        <v>606.1</v>
      </c>
      <c r="E640" s="9">
        <f>IFERROR(__xludf.DUMMYFUNCTION("""COMPUTED_VALUE"""),585.9)</f>
        <v>585.9</v>
      </c>
      <c r="F640" s="9">
        <f>IFERROR(__xludf.DUMMYFUNCTION("""COMPUTED_VALUE"""),588.9)</f>
        <v>588.9</v>
      </c>
      <c r="G640" s="9">
        <f>IFERROR(__xludf.DUMMYFUNCTION("""COMPUTED_VALUE"""),3412405.0)</f>
        <v>3412405</v>
      </c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</row>
    <row r="641">
      <c r="A641" s="1"/>
      <c r="B641" s="22">
        <f>IFERROR(__xludf.DUMMYFUNCTION("""COMPUTED_VALUE"""),42494.64583333333)</f>
        <v>42494.64583</v>
      </c>
      <c r="C641" s="9">
        <f>IFERROR(__xludf.DUMMYFUNCTION("""COMPUTED_VALUE"""),590.5)</f>
        <v>590.5</v>
      </c>
      <c r="D641" s="9">
        <f>IFERROR(__xludf.DUMMYFUNCTION("""COMPUTED_VALUE"""),596.5)</f>
        <v>596.5</v>
      </c>
      <c r="E641" s="9">
        <f>IFERROR(__xludf.DUMMYFUNCTION("""COMPUTED_VALUE"""),585.33)</f>
        <v>585.33</v>
      </c>
      <c r="F641" s="9">
        <f>IFERROR(__xludf.DUMMYFUNCTION("""COMPUTED_VALUE"""),594.42)</f>
        <v>594.42</v>
      </c>
      <c r="G641" s="9">
        <f>IFERROR(__xludf.DUMMYFUNCTION("""COMPUTED_VALUE"""),2906421.0)</f>
        <v>2906421</v>
      </c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</row>
    <row r="642">
      <c r="A642" s="1"/>
      <c r="B642" s="22">
        <f>IFERROR(__xludf.DUMMYFUNCTION("""COMPUTED_VALUE"""),42495.64583333333)</f>
        <v>42495.64583</v>
      </c>
      <c r="C642" s="9">
        <f>IFERROR(__xludf.DUMMYFUNCTION("""COMPUTED_VALUE"""),597.58)</f>
        <v>597.58</v>
      </c>
      <c r="D642" s="9">
        <f>IFERROR(__xludf.DUMMYFUNCTION("""COMPUTED_VALUE"""),599.5)</f>
        <v>599.5</v>
      </c>
      <c r="E642" s="9">
        <f>IFERROR(__xludf.DUMMYFUNCTION("""COMPUTED_VALUE"""),590.55)</f>
        <v>590.55</v>
      </c>
      <c r="F642" s="9">
        <f>IFERROR(__xludf.DUMMYFUNCTION("""COMPUTED_VALUE"""),596.23)</f>
        <v>596.23</v>
      </c>
      <c r="G642" s="9">
        <f>IFERROR(__xludf.DUMMYFUNCTION("""COMPUTED_VALUE"""),3151334.0)</f>
        <v>3151334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</row>
    <row r="643">
      <c r="A643" s="1"/>
      <c r="B643" s="22">
        <f>IFERROR(__xludf.DUMMYFUNCTION("""COMPUTED_VALUE"""),42496.64583333333)</f>
        <v>42496.64583</v>
      </c>
      <c r="C643" s="9">
        <f>IFERROR(__xludf.DUMMYFUNCTION("""COMPUTED_VALUE"""),594.9)</f>
        <v>594.9</v>
      </c>
      <c r="D643" s="9">
        <f>IFERROR(__xludf.DUMMYFUNCTION("""COMPUTED_VALUE"""),594.9)</f>
        <v>594.9</v>
      </c>
      <c r="E643" s="9">
        <f>IFERROR(__xludf.DUMMYFUNCTION("""COMPUTED_VALUE"""),588.53)</f>
        <v>588.53</v>
      </c>
      <c r="F643" s="9">
        <f>IFERROR(__xludf.DUMMYFUNCTION("""COMPUTED_VALUE"""),590.75)</f>
        <v>590.75</v>
      </c>
      <c r="G643" s="9">
        <f>IFERROR(__xludf.DUMMYFUNCTION("""COMPUTED_VALUE"""),1298360.0)</f>
        <v>1298360</v>
      </c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</row>
    <row r="644">
      <c r="A644" s="1"/>
      <c r="B644" s="22">
        <f>IFERROR(__xludf.DUMMYFUNCTION("""COMPUTED_VALUE"""),42499.64583333333)</f>
        <v>42499.64583</v>
      </c>
      <c r="C644" s="9">
        <f>IFERROR(__xludf.DUMMYFUNCTION("""COMPUTED_VALUE"""),591.0)</f>
        <v>591</v>
      </c>
      <c r="D644" s="9">
        <f>IFERROR(__xludf.DUMMYFUNCTION("""COMPUTED_VALUE"""),600.78)</f>
        <v>600.78</v>
      </c>
      <c r="E644" s="9">
        <f>IFERROR(__xludf.DUMMYFUNCTION("""COMPUTED_VALUE"""),590.3)</f>
        <v>590.3</v>
      </c>
      <c r="F644" s="9">
        <f>IFERROR(__xludf.DUMMYFUNCTION("""COMPUTED_VALUE"""),599.53)</f>
        <v>599.53</v>
      </c>
      <c r="G644" s="9">
        <f>IFERROR(__xludf.DUMMYFUNCTION("""COMPUTED_VALUE"""),2561839.0)</f>
        <v>2561839</v>
      </c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</row>
    <row r="645">
      <c r="A645" s="1"/>
      <c r="B645" s="22">
        <f>IFERROR(__xludf.DUMMYFUNCTION("""COMPUTED_VALUE"""),42500.64583333333)</f>
        <v>42500.64583</v>
      </c>
      <c r="C645" s="9">
        <f>IFERROR(__xludf.DUMMYFUNCTION("""COMPUTED_VALUE"""),601.25)</f>
        <v>601.25</v>
      </c>
      <c r="D645" s="9">
        <f>IFERROR(__xludf.DUMMYFUNCTION("""COMPUTED_VALUE"""),608.33)</f>
        <v>608.33</v>
      </c>
      <c r="E645" s="9">
        <f>IFERROR(__xludf.DUMMYFUNCTION("""COMPUTED_VALUE"""),598.3)</f>
        <v>598.3</v>
      </c>
      <c r="F645" s="9">
        <f>IFERROR(__xludf.DUMMYFUNCTION("""COMPUTED_VALUE"""),606.4)</f>
        <v>606.4</v>
      </c>
      <c r="G645" s="9">
        <f>IFERROR(__xludf.DUMMYFUNCTION("""COMPUTED_VALUE"""),1697852.0)</f>
        <v>1697852</v>
      </c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</row>
    <row r="646">
      <c r="A646" s="1"/>
      <c r="B646" s="22">
        <f>IFERROR(__xludf.DUMMYFUNCTION("""COMPUTED_VALUE"""),42501.64583333333)</f>
        <v>42501.64583</v>
      </c>
      <c r="C646" s="9">
        <f>IFERROR(__xludf.DUMMYFUNCTION("""COMPUTED_VALUE"""),599.25)</f>
        <v>599.25</v>
      </c>
      <c r="D646" s="9">
        <f>IFERROR(__xludf.DUMMYFUNCTION("""COMPUTED_VALUE"""),607.35)</f>
        <v>607.35</v>
      </c>
      <c r="E646" s="9">
        <f>IFERROR(__xludf.DUMMYFUNCTION("""COMPUTED_VALUE"""),596.25)</f>
        <v>596.25</v>
      </c>
      <c r="F646" s="9">
        <f>IFERROR(__xludf.DUMMYFUNCTION("""COMPUTED_VALUE"""),600.92)</f>
        <v>600.92</v>
      </c>
      <c r="G646" s="9">
        <f>IFERROR(__xludf.DUMMYFUNCTION("""COMPUTED_VALUE"""),1854944.0)</f>
        <v>1854944</v>
      </c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</row>
    <row r="647">
      <c r="A647" s="1"/>
      <c r="B647" s="22">
        <f>IFERROR(__xludf.DUMMYFUNCTION("""COMPUTED_VALUE"""),42502.64583333333)</f>
        <v>42502.64583</v>
      </c>
      <c r="C647" s="9">
        <f>IFERROR(__xludf.DUMMYFUNCTION("""COMPUTED_VALUE"""),601.95)</f>
        <v>601.95</v>
      </c>
      <c r="D647" s="9">
        <f>IFERROR(__xludf.DUMMYFUNCTION("""COMPUTED_VALUE"""),606.5)</f>
        <v>606.5</v>
      </c>
      <c r="E647" s="9">
        <f>IFERROR(__xludf.DUMMYFUNCTION("""COMPUTED_VALUE"""),598.4)</f>
        <v>598.4</v>
      </c>
      <c r="F647" s="9">
        <f>IFERROR(__xludf.DUMMYFUNCTION("""COMPUTED_VALUE"""),605.0)</f>
        <v>605</v>
      </c>
      <c r="G647" s="9">
        <f>IFERROR(__xludf.DUMMYFUNCTION("""COMPUTED_VALUE"""),1703466.0)</f>
        <v>1703466</v>
      </c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</row>
    <row r="648">
      <c r="A648" s="1"/>
      <c r="B648" s="22">
        <f>IFERROR(__xludf.DUMMYFUNCTION("""COMPUTED_VALUE"""),42503.64583333333)</f>
        <v>42503.64583</v>
      </c>
      <c r="C648" s="9">
        <f>IFERROR(__xludf.DUMMYFUNCTION("""COMPUTED_VALUE"""),603.0)</f>
        <v>603</v>
      </c>
      <c r="D648" s="9">
        <f>IFERROR(__xludf.DUMMYFUNCTION("""COMPUTED_VALUE"""),605.0)</f>
        <v>605</v>
      </c>
      <c r="E648" s="9">
        <f>IFERROR(__xludf.DUMMYFUNCTION("""COMPUTED_VALUE"""),596.08)</f>
        <v>596.08</v>
      </c>
      <c r="F648" s="9">
        <f>IFERROR(__xludf.DUMMYFUNCTION("""COMPUTED_VALUE"""),603.63)</f>
        <v>603.63</v>
      </c>
      <c r="G648" s="9">
        <f>IFERROR(__xludf.DUMMYFUNCTION("""COMPUTED_VALUE"""),2826032.0)</f>
        <v>2826032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</row>
    <row r="649">
      <c r="A649" s="1"/>
      <c r="B649" s="22">
        <f>IFERROR(__xludf.DUMMYFUNCTION("""COMPUTED_VALUE"""),42506.64583333333)</f>
        <v>42506.64583</v>
      </c>
      <c r="C649" s="9">
        <f>IFERROR(__xludf.DUMMYFUNCTION("""COMPUTED_VALUE"""),605.1)</f>
        <v>605.1</v>
      </c>
      <c r="D649" s="9">
        <f>IFERROR(__xludf.DUMMYFUNCTION("""COMPUTED_VALUE"""),611.83)</f>
        <v>611.83</v>
      </c>
      <c r="E649" s="9">
        <f>IFERROR(__xludf.DUMMYFUNCTION("""COMPUTED_VALUE"""),602.5)</f>
        <v>602.5</v>
      </c>
      <c r="F649" s="9">
        <f>IFERROR(__xludf.DUMMYFUNCTION("""COMPUTED_VALUE"""),607.5)</f>
        <v>607.5</v>
      </c>
      <c r="G649" s="9">
        <f>IFERROR(__xludf.DUMMYFUNCTION("""COMPUTED_VALUE"""),2266939.0)</f>
        <v>2266939</v>
      </c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</row>
    <row r="650">
      <c r="A650" s="1"/>
      <c r="B650" s="22">
        <f>IFERROR(__xludf.DUMMYFUNCTION("""COMPUTED_VALUE"""),42507.64583333333)</f>
        <v>42507.64583</v>
      </c>
      <c r="C650" s="9">
        <f>IFERROR(__xludf.DUMMYFUNCTION("""COMPUTED_VALUE"""),610.0)</f>
        <v>610</v>
      </c>
      <c r="D650" s="9">
        <f>IFERROR(__xludf.DUMMYFUNCTION("""COMPUTED_VALUE"""),612.88)</f>
        <v>612.88</v>
      </c>
      <c r="E650" s="9">
        <f>IFERROR(__xludf.DUMMYFUNCTION("""COMPUTED_VALUE"""),604.08)</f>
        <v>604.08</v>
      </c>
      <c r="F650" s="9">
        <f>IFERROR(__xludf.DUMMYFUNCTION("""COMPUTED_VALUE"""),607.13)</f>
        <v>607.13</v>
      </c>
      <c r="G650" s="9">
        <f>IFERROR(__xludf.DUMMYFUNCTION("""COMPUTED_VALUE"""),1898147.0)</f>
        <v>1898147</v>
      </c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</row>
    <row r="651">
      <c r="A651" s="1"/>
      <c r="B651" s="22">
        <f>IFERROR(__xludf.DUMMYFUNCTION("""COMPUTED_VALUE"""),42508.64583333333)</f>
        <v>42508.64583</v>
      </c>
      <c r="C651" s="9">
        <f>IFERROR(__xludf.DUMMYFUNCTION("""COMPUTED_VALUE"""),599.5)</f>
        <v>599.5</v>
      </c>
      <c r="D651" s="9">
        <f>IFERROR(__xludf.DUMMYFUNCTION("""COMPUTED_VALUE"""),607.0)</f>
        <v>607</v>
      </c>
      <c r="E651" s="9">
        <f>IFERROR(__xludf.DUMMYFUNCTION("""COMPUTED_VALUE"""),598.95)</f>
        <v>598.95</v>
      </c>
      <c r="F651" s="9">
        <f>IFERROR(__xludf.DUMMYFUNCTION("""COMPUTED_VALUE"""),604.92)</f>
        <v>604.92</v>
      </c>
      <c r="G651" s="9">
        <f>IFERROR(__xludf.DUMMYFUNCTION("""COMPUTED_VALUE"""),2128298.0)</f>
        <v>2128298</v>
      </c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</row>
    <row r="652">
      <c r="A652" s="1"/>
      <c r="B652" s="22">
        <f>IFERROR(__xludf.DUMMYFUNCTION("""COMPUTED_VALUE"""),42509.64583333333)</f>
        <v>42509.64583</v>
      </c>
      <c r="C652" s="9">
        <f>IFERROR(__xludf.DUMMYFUNCTION("""COMPUTED_VALUE"""),605.48)</f>
        <v>605.48</v>
      </c>
      <c r="D652" s="9">
        <f>IFERROR(__xludf.DUMMYFUNCTION("""COMPUTED_VALUE"""),608.08)</f>
        <v>608.08</v>
      </c>
      <c r="E652" s="9">
        <f>IFERROR(__xludf.DUMMYFUNCTION("""COMPUTED_VALUE"""),600.5)</f>
        <v>600.5</v>
      </c>
      <c r="F652" s="9">
        <f>IFERROR(__xludf.DUMMYFUNCTION("""COMPUTED_VALUE"""),602.88)</f>
        <v>602.88</v>
      </c>
      <c r="G652" s="9">
        <f>IFERROR(__xludf.DUMMYFUNCTION("""COMPUTED_VALUE"""),1977200.0)</f>
        <v>1977200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</row>
    <row r="653">
      <c r="A653" s="1"/>
      <c r="B653" s="22">
        <f>IFERROR(__xludf.DUMMYFUNCTION("""COMPUTED_VALUE"""),42510.64583333333)</f>
        <v>42510.64583</v>
      </c>
      <c r="C653" s="9">
        <f>IFERROR(__xludf.DUMMYFUNCTION("""COMPUTED_VALUE"""),602.5)</f>
        <v>602.5</v>
      </c>
      <c r="D653" s="9">
        <f>IFERROR(__xludf.DUMMYFUNCTION("""COMPUTED_VALUE"""),609.75)</f>
        <v>609.75</v>
      </c>
      <c r="E653" s="9">
        <f>IFERROR(__xludf.DUMMYFUNCTION("""COMPUTED_VALUE"""),600.0)</f>
        <v>600</v>
      </c>
      <c r="F653" s="9">
        <f>IFERROR(__xludf.DUMMYFUNCTION("""COMPUTED_VALUE"""),600.8)</f>
        <v>600.8</v>
      </c>
      <c r="G653" s="9">
        <f>IFERROR(__xludf.DUMMYFUNCTION("""COMPUTED_VALUE"""),1997274.0)</f>
        <v>1997274</v>
      </c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</row>
    <row r="654">
      <c r="A654" s="1"/>
      <c r="B654" s="22">
        <f>IFERROR(__xludf.DUMMYFUNCTION("""COMPUTED_VALUE"""),42513.64583333333)</f>
        <v>42513.64583</v>
      </c>
      <c r="C654" s="9">
        <f>IFERROR(__xludf.DUMMYFUNCTION("""COMPUTED_VALUE"""),601.7)</f>
        <v>601.7</v>
      </c>
      <c r="D654" s="9">
        <f>IFERROR(__xludf.DUMMYFUNCTION("""COMPUTED_VALUE"""),602.58)</f>
        <v>602.58</v>
      </c>
      <c r="E654" s="9">
        <f>IFERROR(__xludf.DUMMYFUNCTION("""COMPUTED_VALUE"""),592.5)</f>
        <v>592.5</v>
      </c>
      <c r="F654" s="9">
        <f>IFERROR(__xludf.DUMMYFUNCTION("""COMPUTED_VALUE"""),594.0)</f>
        <v>594</v>
      </c>
      <c r="G654" s="9">
        <f>IFERROR(__xludf.DUMMYFUNCTION("""COMPUTED_VALUE"""),2292973.0)</f>
        <v>2292973</v>
      </c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</row>
    <row r="655">
      <c r="A655" s="1"/>
      <c r="B655" s="22">
        <f>IFERROR(__xludf.DUMMYFUNCTION("""COMPUTED_VALUE"""),42514.64583333333)</f>
        <v>42514.64583</v>
      </c>
      <c r="C655" s="9">
        <f>IFERROR(__xludf.DUMMYFUNCTION("""COMPUTED_VALUE"""),595.53)</f>
        <v>595.53</v>
      </c>
      <c r="D655" s="9">
        <f>IFERROR(__xludf.DUMMYFUNCTION("""COMPUTED_VALUE"""),595.88)</f>
        <v>595.88</v>
      </c>
      <c r="E655" s="9">
        <f>IFERROR(__xludf.DUMMYFUNCTION("""COMPUTED_VALUE"""),588.8)</f>
        <v>588.8</v>
      </c>
      <c r="F655" s="9">
        <f>IFERROR(__xludf.DUMMYFUNCTION("""COMPUTED_VALUE"""),593.88)</f>
        <v>593.88</v>
      </c>
      <c r="G655" s="9">
        <f>IFERROR(__xludf.DUMMYFUNCTION("""COMPUTED_VALUE"""),1742530.0)</f>
        <v>1742530</v>
      </c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</row>
    <row r="656">
      <c r="A656" s="1"/>
      <c r="B656" s="22">
        <f>IFERROR(__xludf.DUMMYFUNCTION("""COMPUTED_VALUE"""),42515.64583333333)</f>
        <v>42515.64583</v>
      </c>
      <c r="C656" s="9">
        <f>IFERROR(__xludf.DUMMYFUNCTION("""COMPUTED_VALUE"""),597.05)</f>
        <v>597.05</v>
      </c>
      <c r="D656" s="9">
        <f>IFERROR(__xludf.DUMMYFUNCTION("""COMPUTED_VALUE"""),606.55)</f>
        <v>606.55</v>
      </c>
      <c r="E656" s="9">
        <f>IFERROR(__xludf.DUMMYFUNCTION("""COMPUTED_VALUE"""),597.05)</f>
        <v>597.05</v>
      </c>
      <c r="F656" s="9">
        <f>IFERROR(__xludf.DUMMYFUNCTION("""COMPUTED_VALUE"""),604.33)</f>
        <v>604.33</v>
      </c>
      <c r="G656" s="9">
        <f>IFERROR(__xludf.DUMMYFUNCTION("""COMPUTED_VALUE"""),1928698.0)</f>
        <v>1928698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</row>
    <row r="657">
      <c r="A657" s="1"/>
      <c r="B657" s="22">
        <f>IFERROR(__xludf.DUMMYFUNCTION("""COMPUTED_VALUE"""),42516.64583333333)</f>
        <v>42516.64583</v>
      </c>
      <c r="C657" s="9">
        <f>IFERROR(__xludf.DUMMYFUNCTION("""COMPUTED_VALUE"""),605.05)</f>
        <v>605.05</v>
      </c>
      <c r="D657" s="9">
        <f>IFERROR(__xludf.DUMMYFUNCTION("""COMPUTED_VALUE"""),619.9)</f>
        <v>619.9</v>
      </c>
      <c r="E657" s="9">
        <f>IFERROR(__xludf.DUMMYFUNCTION("""COMPUTED_VALUE"""),605.05)</f>
        <v>605.05</v>
      </c>
      <c r="F657" s="9">
        <f>IFERROR(__xludf.DUMMYFUNCTION("""COMPUTED_VALUE"""),617.08)</f>
        <v>617.08</v>
      </c>
      <c r="G657" s="9">
        <f>IFERROR(__xludf.DUMMYFUNCTION("""COMPUTED_VALUE"""),3068218.0)</f>
        <v>3068218</v>
      </c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</row>
    <row r="658">
      <c r="A658" s="1"/>
      <c r="B658" s="22">
        <f>IFERROR(__xludf.DUMMYFUNCTION("""COMPUTED_VALUE"""),42517.64583333333)</f>
        <v>42517.64583</v>
      </c>
      <c r="C658" s="9">
        <f>IFERROR(__xludf.DUMMYFUNCTION("""COMPUTED_VALUE"""),615.8)</f>
        <v>615.8</v>
      </c>
      <c r="D658" s="9">
        <f>IFERROR(__xludf.DUMMYFUNCTION("""COMPUTED_VALUE"""),629.75)</f>
        <v>629.75</v>
      </c>
      <c r="E658" s="9">
        <f>IFERROR(__xludf.DUMMYFUNCTION("""COMPUTED_VALUE"""),615.8)</f>
        <v>615.8</v>
      </c>
      <c r="F658" s="9">
        <f>IFERROR(__xludf.DUMMYFUNCTION("""COMPUTED_VALUE"""),623.75)</f>
        <v>623.75</v>
      </c>
      <c r="G658" s="9">
        <f>IFERROR(__xludf.DUMMYFUNCTION("""COMPUTED_VALUE"""),3090382.0)</f>
        <v>3090382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</row>
    <row r="659">
      <c r="A659" s="1"/>
      <c r="B659" s="22">
        <f>IFERROR(__xludf.DUMMYFUNCTION("""COMPUTED_VALUE"""),42520.64583333333)</f>
        <v>42520.64583</v>
      </c>
      <c r="C659" s="9">
        <f>IFERROR(__xludf.DUMMYFUNCTION("""COMPUTED_VALUE"""),620.75)</f>
        <v>620.75</v>
      </c>
      <c r="D659" s="9">
        <f>IFERROR(__xludf.DUMMYFUNCTION("""COMPUTED_VALUE"""),636.0)</f>
        <v>636</v>
      </c>
      <c r="E659" s="9">
        <f>IFERROR(__xludf.DUMMYFUNCTION("""COMPUTED_VALUE"""),620.75)</f>
        <v>620.75</v>
      </c>
      <c r="F659" s="9">
        <f>IFERROR(__xludf.DUMMYFUNCTION("""COMPUTED_VALUE"""),633.8)</f>
        <v>633.8</v>
      </c>
      <c r="G659" s="9">
        <f>IFERROR(__xludf.DUMMYFUNCTION("""COMPUTED_VALUE"""),2642850.0)</f>
        <v>2642850</v>
      </c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</row>
    <row r="660">
      <c r="A660" s="1"/>
      <c r="B660" s="22">
        <f>IFERROR(__xludf.DUMMYFUNCTION("""COMPUTED_VALUE"""),42521.64583333333)</f>
        <v>42521.64583</v>
      </c>
      <c r="C660" s="9">
        <f>IFERROR(__xludf.DUMMYFUNCTION("""COMPUTED_VALUE"""),632.5)</f>
        <v>632.5</v>
      </c>
      <c r="D660" s="9">
        <f>IFERROR(__xludf.DUMMYFUNCTION("""COMPUTED_VALUE"""),633.38)</f>
        <v>633.38</v>
      </c>
      <c r="E660" s="9">
        <f>IFERROR(__xludf.DUMMYFUNCTION("""COMPUTED_VALUE"""),619.5)</f>
        <v>619.5</v>
      </c>
      <c r="F660" s="9">
        <f>IFERROR(__xludf.DUMMYFUNCTION("""COMPUTED_VALUE"""),624.33)</f>
        <v>624.33</v>
      </c>
      <c r="G660" s="9">
        <f>IFERROR(__xludf.DUMMYFUNCTION("""COMPUTED_VALUE"""),6891019.0)</f>
        <v>6891019</v>
      </c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</row>
    <row r="661">
      <c r="A661" s="1"/>
      <c r="B661" s="22">
        <f>IFERROR(__xludf.DUMMYFUNCTION("""COMPUTED_VALUE"""),42522.64583333333)</f>
        <v>42522.64583</v>
      </c>
      <c r="C661" s="9">
        <f>IFERROR(__xludf.DUMMYFUNCTION("""COMPUTED_VALUE"""),623.03)</f>
        <v>623.03</v>
      </c>
      <c r="D661" s="9">
        <f>IFERROR(__xludf.DUMMYFUNCTION("""COMPUTED_VALUE"""),634.25)</f>
        <v>634.25</v>
      </c>
      <c r="E661" s="9">
        <f>IFERROR(__xludf.DUMMYFUNCTION("""COMPUTED_VALUE"""),623.0)</f>
        <v>623</v>
      </c>
      <c r="F661" s="9">
        <f>IFERROR(__xludf.DUMMYFUNCTION("""COMPUTED_VALUE"""),629.1)</f>
        <v>629.1</v>
      </c>
      <c r="G661" s="9">
        <f>IFERROR(__xludf.DUMMYFUNCTION("""COMPUTED_VALUE"""),2420267.0)</f>
        <v>2420267</v>
      </c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</row>
    <row r="662">
      <c r="A662" s="1"/>
      <c r="B662" s="22">
        <f>IFERROR(__xludf.DUMMYFUNCTION("""COMPUTED_VALUE"""),42523.64583333333)</f>
        <v>42523.64583</v>
      </c>
      <c r="C662" s="9">
        <f>IFERROR(__xludf.DUMMYFUNCTION("""COMPUTED_VALUE"""),627.5)</f>
        <v>627.5</v>
      </c>
      <c r="D662" s="9">
        <f>IFERROR(__xludf.DUMMYFUNCTION("""COMPUTED_VALUE"""),637.45)</f>
        <v>637.45</v>
      </c>
      <c r="E662" s="9">
        <f>IFERROR(__xludf.DUMMYFUNCTION("""COMPUTED_VALUE"""),627.0)</f>
        <v>627</v>
      </c>
      <c r="F662" s="9">
        <f>IFERROR(__xludf.DUMMYFUNCTION("""COMPUTED_VALUE"""),630.78)</f>
        <v>630.78</v>
      </c>
      <c r="G662" s="9">
        <f>IFERROR(__xludf.DUMMYFUNCTION("""COMPUTED_VALUE"""),2526776.0)</f>
        <v>2526776</v>
      </c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</row>
    <row r="663">
      <c r="A663" s="1"/>
      <c r="B663" s="22">
        <f>IFERROR(__xludf.DUMMYFUNCTION("""COMPUTED_VALUE"""),42524.64583333333)</f>
        <v>42524.64583</v>
      </c>
      <c r="C663" s="9">
        <f>IFERROR(__xludf.DUMMYFUNCTION("""COMPUTED_VALUE"""),630.03)</f>
        <v>630.03</v>
      </c>
      <c r="D663" s="9">
        <f>IFERROR(__xludf.DUMMYFUNCTION("""COMPUTED_VALUE"""),639.65)</f>
        <v>639.65</v>
      </c>
      <c r="E663" s="9">
        <f>IFERROR(__xludf.DUMMYFUNCTION("""COMPUTED_VALUE"""),630.03)</f>
        <v>630.03</v>
      </c>
      <c r="F663" s="9">
        <f>IFERROR(__xludf.DUMMYFUNCTION("""COMPUTED_VALUE"""),633.45)</f>
        <v>633.45</v>
      </c>
      <c r="G663" s="9">
        <f>IFERROR(__xludf.DUMMYFUNCTION("""COMPUTED_VALUE"""),1999190.0)</f>
        <v>1999190</v>
      </c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</row>
    <row r="664">
      <c r="A664" s="1"/>
      <c r="B664" s="22">
        <f>IFERROR(__xludf.DUMMYFUNCTION("""COMPUTED_VALUE"""),42527.64583333333)</f>
        <v>42527.64583</v>
      </c>
      <c r="C664" s="9">
        <f>IFERROR(__xludf.DUMMYFUNCTION("""COMPUTED_VALUE"""),632.45)</f>
        <v>632.45</v>
      </c>
      <c r="D664" s="9">
        <f>IFERROR(__xludf.DUMMYFUNCTION("""COMPUTED_VALUE"""),638.5)</f>
        <v>638.5</v>
      </c>
      <c r="E664" s="9">
        <f>IFERROR(__xludf.DUMMYFUNCTION("""COMPUTED_VALUE"""),630.55)</f>
        <v>630.55</v>
      </c>
      <c r="F664" s="9">
        <f>IFERROR(__xludf.DUMMYFUNCTION("""COMPUTED_VALUE"""),633.38)</f>
        <v>633.38</v>
      </c>
      <c r="G664" s="9">
        <f>IFERROR(__xludf.DUMMYFUNCTION("""COMPUTED_VALUE"""),2112884.0)</f>
        <v>2112884</v>
      </c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</row>
    <row r="665">
      <c r="A665" s="1"/>
      <c r="B665" s="22">
        <f>IFERROR(__xludf.DUMMYFUNCTION("""COMPUTED_VALUE"""),42528.64583333333)</f>
        <v>42528.64583</v>
      </c>
      <c r="C665" s="9">
        <f>IFERROR(__xludf.DUMMYFUNCTION("""COMPUTED_VALUE"""),633.5)</f>
        <v>633.5</v>
      </c>
      <c r="D665" s="9">
        <f>IFERROR(__xludf.DUMMYFUNCTION("""COMPUTED_VALUE"""),636.25)</f>
        <v>636.25</v>
      </c>
      <c r="E665" s="9">
        <f>IFERROR(__xludf.DUMMYFUNCTION("""COMPUTED_VALUE"""),627.55)</f>
        <v>627.55</v>
      </c>
      <c r="F665" s="9">
        <f>IFERROR(__xludf.DUMMYFUNCTION("""COMPUTED_VALUE"""),628.7)</f>
        <v>628.7</v>
      </c>
      <c r="G665" s="9">
        <f>IFERROR(__xludf.DUMMYFUNCTION("""COMPUTED_VALUE"""),2846210.0)</f>
        <v>2846210</v>
      </c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</row>
    <row r="666">
      <c r="A666" s="1"/>
      <c r="B666" s="22">
        <f>IFERROR(__xludf.DUMMYFUNCTION("""COMPUTED_VALUE"""),42529.64583333333)</f>
        <v>42529.64583</v>
      </c>
      <c r="C666" s="9">
        <f>IFERROR(__xludf.DUMMYFUNCTION("""COMPUTED_VALUE"""),631.98)</f>
        <v>631.98</v>
      </c>
      <c r="D666" s="9">
        <f>IFERROR(__xludf.DUMMYFUNCTION("""COMPUTED_VALUE"""),631.98)</f>
        <v>631.98</v>
      </c>
      <c r="E666" s="9">
        <f>IFERROR(__xludf.DUMMYFUNCTION("""COMPUTED_VALUE"""),617.67)</f>
        <v>617.67</v>
      </c>
      <c r="F666" s="9">
        <f>IFERROR(__xludf.DUMMYFUNCTION("""COMPUTED_VALUE"""),619.05)</f>
        <v>619.05</v>
      </c>
      <c r="G666" s="9">
        <f>IFERROR(__xludf.DUMMYFUNCTION("""COMPUTED_VALUE"""),4370685.0)</f>
        <v>4370685</v>
      </c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</row>
    <row r="667">
      <c r="A667" s="1"/>
      <c r="B667" s="22">
        <f>IFERROR(__xludf.DUMMYFUNCTION("""COMPUTED_VALUE"""),42530.64583333333)</f>
        <v>42530.64583</v>
      </c>
      <c r="C667" s="9">
        <f>IFERROR(__xludf.DUMMYFUNCTION("""COMPUTED_VALUE"""),613.13)</f>
        <v>613.13</v>
      </c>
      <c r="D667" s="9">
        <f>IFERROR(__xludf.DUMMYFUNCTION("""COMPUTED_VALUE"""),613.13)</f>
        <v>613.13</v>
      </c>
      <c r="E667" s="9">
        <f>IFERROR(__xludf.DUMMYFUNCTION("""COMPUTED_VALUE"""),590.03)</f>
        <v>590.03</v>
      </c>
      <c r="F667" s="9">
        <f>IFERROR(__xludf.DUMMYFUNCTION("""COMPUTED_VALUE"""),592.75)</f>
        <v>592.75</v>
      </c>
      <c r="G667" s="9">
        <f>IFERROR(__xludf.DUMMYFUNCTION("""COMPUTED_VALUE"""),6370402.0)</f>
        <v>6370402</v>
      </c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</row>
    <row r="668">
      <c r="A668" s="1"/>
      <c r="B668" s="22">
        <f>IFERROR(__xludf.DUMMYFUNCTION("""COMPUTED_VALUE"""),42531.64583333333)</f>
        <v>42531.64583</v>
      </c>
      <c r="C668" s="9">
        <f>IFERROR(__xludf.DUMMYFUNCTION("""COMPUTED_VALUE"""),587.7)</f>
        <v>587.7</v>
      </c>
      <c r="D668" s="9">
        <f>IFERROR(__xludf.DUMMYFUNCTION("""COMPUTED_VALUE"""),595.0)</f>
        <v>595</v>
      </c>
      <c r="E668" s="9">
        <f>IFERROR(__xludf.DUMMYFUNCTION("""COMPUTED_VALUE"""),585.05)</f>
        <v>585.05</v>
      </c>
      <c r="F668" s="9">
        <f>IFERROR(__xludf.DUMMYFUNCTION("""COMPUTED_VALUE"""),590.3)</f>
        <v>590.3</v>
      </c>
      <c r="G668" s="9">
        <f>IFERROR(__xludf.DUMMYFUNCTION("""COMPUTED_VALUE"""),3191978.0)</f>
        <v>3191978</v>
      </c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</row>
    <row r="669">
      <c r="A669" s="1"/>
      <c r="B669" s="22">
        <f>IFERROR(__xludf.DUMMYFUNCTION("""COMPUTED_VALUE"""),42534.64583333333)</f>
        <v>42534.64583</v>
      </c>
      <c r="C669" s="9">
        <f>IFERROR(__xludf.DUMMYFUNCTION("""COMPUTED_VALUE"""),588.4)</f>
        <v>588.4</v>
      </c>
      <c r="D669" s="9">
        <f>IFERROR(__xludf.DUMMYFUNCTION("""COMPUTED_VALUE"""),592.45)</f>
        <v>592.45</v>
      </c>
      <c r="E669" s="9">
        <f>IFERROR(__xludf.DUMMYFUNCTION("""COMPUTED_VALUE"""),583.0)</f>
        <v>583</v>
      </c>
      <c r="F669" s="9">
        <f>IFERROR(__xludf.DUMMYFUNCTION("""COMPUTED_VALUE"""),590.45)</f>
        <v>590.45</v>
      </c>
      <c r="G669" s="9">
        <f>IFERROR(__xludf.DUMMYFUNCTION("""COMPUTED_VALUE"""),2643361.0)</f>
        <v>2643361</v>
      </c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</row>
    <row r="670">
      <c r="A670" s="1"/>
      <c r="B670" s="22">
        <f>IFERROR(__xludf.DUMMYFUNCTION("""COMPUTED_VALUE"""),42535.64583333333)</f>
        <v>42535.64583</v>
      </c>
      <c r="C670" s="9">
        <f>IFERROR(__xludf.DUMMYFUNCTION("""COMPUTED_VALUE"""),591.2)</f>
        <v>591.2</v>
      </c>
      <c r="D670" s="9">
        <f>IFERROR(__xludf.DUMMYFUNCTION("""COMPUTED_VALUE"""),591.2)</f>
        <v>591.2</v>
      </c>
      <c r="E670" s="9">
        <f>IFERROR(__xludf.DUMMYFUNCTION("""COMPUTED_VALUE"""),583.63)</f>
        <v>583.63</v>
      </c>
      <c r="F670" s="9">
        <f>IFERROR(__xludf.DUMMYFUNCTION("""COMPUTED_VALUE"""),587.5)</f>
        <v>587.5</v>
      </c>
      <c r="G670" s="9">
        <f>IFERROR(__xludf.DUMMYFUNCTION("""COMPUTED_VALUE"""),1470364.0)</f>
        <v>1470364</v>
      </c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</row>
    <row r="671">
      <c r="A671" s="1"/>
      <c r="B671" s="22">
        <f>IFERROR(__xludf.DUMMYFUNCTION("""COMPUTED_VALUE"""),42536.64583333333)</f>
        <v>42536.64583</v>
      </c>
      <c r="C671" s="9">
        <f>IFERROR(__xludf.DUMMYFUNCTION("""COMPUTED_VALUE"""),591.85)</f>
        <v>591.85</v>
      </c>
      <c r="D671" s="9">
        <f>IFERROR(__xludf.DUMMYFUNCTION("""COMPUTED_VALUE"""),596.33)</f>
        <v>596.33</v>
      </c>
      <c r="E671" s="9">
        <f>IFERROR(__xludf.DUMMYFUNCTION("""COMPUTED_VALUE"""),589.53)</f>
        <v>589.53</v>
      </c>
      <c r="F671" s="9">
        <f>IFERROR(__xludf.DUMMYFUNCTION("""COMPUTED_VALUE"""),594.98)</f>
        <v>594.98</v>
      </c>
      <c r="G671" s="9">
        <f>IFERROR(__xludf.DUMMYFUNCTION("""COMPUTED_VALUE"""),3355786.0)</f>
        <v>3355786</v>
      </c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</row>
    <row r="672">
      <c r="A672" s="1"/>
      <c r="B672" s="22">
        <f>IFERROR(__xludf.DUMMYFUNCTION("""COMPUTED_VALUE"""),42537.64583333333)</f>
        <v>42537.64583</v>
      </c>
      <c r="C672" s="9">
        <f>IFERROR(__xludf.DUMMYFUNCTION("""COMPUTED_VALUE"""),594.75)</f>
        <v>594.75</v>
      </c>
      <c r="D672" s="9">
        <f>IFERROR(__xludf.DUMMYFUNCTION("""COMPUTED_VALUE"""),594.75)</f>
        <v>594.75</v>
      </c>
      <c r="E672" s="9">
        <f>IFERROR(__xludf.DUMMYFUNCTION("""COMPUTED_VALUE"""),585.05)</f>
        <v>585.05</v>
      </c>
      <c r="F672" s="9">
        <f>IFERROR(__xludf.DUMMYFUNCTION("""COMPUTED_VALUE"""),593.0)</f>
        <v>593</v>
      </c>
      <c r="G672" s="9">
        <f>IFERROR(__xludf.DUMMYFUNCTION("""COMPUTED_VALUE"""),2651282.0)</f>
        <v>2651282</v>
      </c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</row>
    <row r="673">
      <c r="A673" s="1"/>
      <c r="B673" s="22">
        <f>IFERROR(__xludf.DUMMYFUNCTION("""COMPUTED_VALUE"""),42538.64583333333)</f>
        <v>42538.64583</v>
      </c>
      <c r="C673" s="9">
        <f>IFERROR(__xludf.DUMMYFUNCTION("""COMPUTED_VALUE"""),594.5)</f>
        <v>594.5</v>
      </c>
      <c r="D673" s="9">
        <f>IFERROR(__xludf.DUMMYFUNCTION("""COMPUTED_VALUE"""),596.38)</f>
        <v>596.38</v>
      </c>
      <c r="E673" s="9">
        <f>IFERROR(__xludf.DUMMYFUNCTION("""COMPUTED_VALUE"""),587.55)</f>
        <v>587.55</v>
      </c>
      <c r="F673" s="9">
        <f>IFERROR(__xludf.DUMMYFUNCTION("""COMPUTED_VALUE"""),589.75)</f>
        <v>589.75</v>
      </c>
      <c r="G673" s="9">
        <f>IFERROR(__xludf.DUMMYFUNCTION("""COMPUTED_VALUE"""),4257541.0)</f>
        <v>4257541</v>
      </c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</row>
    <row r="674">
      <c r="A674" s="1"/>
      <c r="B674" s="22">
        <f>IFERROR(__xludf.DUMMYFUNCTION("""COMPUTED_VALUE"""),42541.64583333333)</f>
        <v>42541.64583</v>
      </c>
      <c r="C674" s="9">
        <f>IFERROR(__xludf.DUMMYFUNCTION("""COMPUTED_VALUE"""),590.5)</f>
        <v>590.5</v>
      </c>
      <c r="D674" s="9">
        <f>IFERROR(__xludf.DUMMYFUNCTION("""COMPUTED_VALUE"""),605.9)</f>
        <v>605.9</v>
      </c>
      <c r="E674" s="9">
        <f>IFERROR(__xludf.DUMMYFUNCTION("""COMPUTED_VALUE"""),589.85)</f>
        <v>589.85</v>
      </c>
      <c r="F674" s="9">
        <f>IFERROR(__xludf.DUMMYFUNCTION("""COMPUTED_VALUE"""),604.38)</f>
        <v>604.38</v>
      </c>
      <c r="G674" s="9">
        <f>IFERROR(__xludf.DUMMYFUNCTION("""COMPUTED_VALUE"""),3114783.0)</f>
        <v>3114783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</row>
    <row r="675">
      <c r="A675" s="1"/>
      <c r="B675" s="22">
        <f>IFERROR(__xludf.DUMMYFUNCTION("""COMPUTED_VALUE"""),42542.64583333333)</f>
        <v>42542.64583</v>
      </c>
      <c r="C675" s="9">
        <f>IFERROR(__xludf.DUMMYFUNCTION("""COMPUTED_VALUE"""),605.6)</f>
        <v>605.6</v>
      </c>
      <c r="D675" s="9">
        <f>IFERROR(__xludf.DUMMYFUNCTION("""COMPUTED_VALUE"""),607.4)</f>
        <v>607.4</v>
      </c>
      <c r="E675" s="9">
        <f>IFERROR(__xludf.DUMMYFUNCTION("""COMPUTED_VALUE"""),597.83)</f>
        <v>597.83</v>
      </c>
      <c r="F675" s="9">
        <f>IFERROR(__xludf.DUMMYFUNCTION("""COMPUTED_VALUE"""),603.05)</f>
        <v>603.05</v>
      </c>
      <c r="G675" s="9">
        <f>IFERROR(__xludf.DUMMYFUNCTION("""COMPUTED_VALUE"""),2380862.0)</f>
        <v>2380862</v>
      </c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</row>
    <row r="676">
      <c r="A676" s="1"/>
      <c r="B676" s="22">
        <f>IFERROR(__xludf.DUMMYFUNCTION("""COMPUTED_VALUE"""),42543.64583333333)</f>
        <v>42543.64583</v>
      </c>
      <c r="C676" s="9">
        <f>IFERROR(__xludf.DUMMYFUNCTION("""COMPUTED_VALUE"""),602.0)</f>
        <v>602</v>
      </c>
      <c r="D676" s="9">
        <f>IFERROR(__xludf.DUMMYFUNCTION("""COMPUTED_VALUE"""),605.98)</f>
        <v>605.98</v>
      </c>
      <c r="E676" s="9">
        <f>IFERROR(__xludf.DUMMYFUNCTION("""COMPUTED_VALUE"""),594.08)</f>
        <v>594.08</v>
      </c>
      <c r="F676" s="9">
        <f>IFERROR(__xludf.DUMMYFUNCTION("""COMPUTED_VALUE"""),599.75)</f>
        <v>599.75</v>
      </c>
      <c r="G676" s="9">
        <f>IFERROR(__xludf.DUMMYFUNCTION("""COMPUTED_VALUE"""),1515629.0)</f>
        <v>1515629</v>
      </c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</row>
    <row r="677">
      <c r="A677" s="1"/>
      <c r="B677" s="22">
        <f>IFERROR(__xludf.DUMMYFUNCTION("""COMPUTED_VALUE"""),42544.64583333333)</f>
        <v>42544.64583</v>
      </c>
      <c r="C677" s="9">
        <f>IFERROR(__xludf.DUMMYFUNCTION("""COMPUTED_VALUE"""),598.65)</f>
        <v>598.65</v>
      </c>
      <c r="D677" s="9">
        <f>IFERROR(__xludf.DUMMYFUNCTION("""COMPUTED_VALUE"""),607.42)</f>
        <v>607.42</v>
      </c>
      <c r="E677" s="9">
        <f>IFERROR(__xludf.DUMMYFUNCTION("""COMPUTED_VALUE"""),596.67)</f>
        <v>596.67</v>
      </c>
      <c r="F677" s="9">
        <f>IFERROR(__xludf.DUMMYFUNCTION("""COMPUTED_VALUE"""),605.8)</f>
        <v>605.8</v>
      </c>
      <c r="G677" s="9">
        <f>IFERROR(__xludf.DUMMYFUNCTION("""COMPUTED_VALUE"""),1914313.0)</f>
        <v>1914313</v>
      </c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</row>
    <row r="678">
      <c r="A678" s="1"/>
      <c r="B678" s="22">
        <f>IFERROR(__xludf.DUMMYFUNCTION("""COMPUTED_VALUE"""),42545.64583333333)</f>
        <v>42545.64583</v>
      </c>
      <c r="C678" s="9">
        <f>IFERROR(__xludf.DUMMYFUNCTION("""COMPUTED_VALUE"""),594.0)</f>
        <v>594</v>
      </c>
      <c r="D678" s="9">
        <f>IFERROR(__xludf.DUMMYFUNCTION("""COMPUTED_VALUE"""),599.5)</f>
        <v>599.5</v>
      </c>
      <c r="E678" s="9">
        <f>IFERROR(__xludf.DUMMYFUNCTION("""COMPUTED_VALUE"""),580.0)</f>
        <v>580</v>
      </c>
      <c r="F678" s="9">
        <f>IFERROR(__xludf.DUMMYFUNCTION("""COMPUTED_VALUE"""),597.28)</f>
        <v>597.28</v>
      </c>
      <c r="G678" s="9">
        <f>IFERROR(__xludf.DUMMYFUNCTION("""COMPUTED_VALUE"""),3904174.0)</f>
        <v>3904174</v>
      </c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</row>
    <row r="679">
      <c r="A679" s="1"/>
      <c r="B679" s="22">
        <f>IFERROR(__xludf.DUMMYFUNCTION("""COMPUTED_VALUE"""),42548.64583333333)</f>
        <v>42548.64583</v>
      </c>
      <c r="C679" s="9">
        <f>IFERROR(__xludf.DUMMYFUNCTION("""COMPUTED_VALUE"""),586.03)</f>
        <v>586.03</v>
      </c>
      <c r="D679" s="9">
        <f>IFERROR(__xludf.DUMMYFUNCTION("""COMPUTED_VALUE"""),591.6)</f>
        <v>591.6</v>
      </c>
      <c r="E679" s="9">
        <f>IFERROR(__xludf.DUMMYFUNCTION("""COMPUTED_VALUE"""),580.0)</f>
        <v>580</v>
      </c>
      <c r="F679" s="9">
        <f>IFERROR(__xludf.DUMMYFUNCTION("""COMPUTED_VALUE"""),583.1)</f>
        <v>583.1</v>
      </c>
      <c r="G679" s="9">
        <f>IFERROR(__xludf.DUMMYFUNCTION("""COMPUTED_VALUE"""),2791889.0)</f>
        <v>2791889</v>
      </c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</row>
    <row r="680">
      <c r="A680" s="1"/>
      <c r="B680" s="22">
        <f>IFERROR(__xludf.DUMMYFUNCTION("""COMPUTED_VALUE"""),42549.64583333333)</f>
        <v>42549.64583</v>
      </c>
      <c r="C680" s="9">
        <f>IFERROR(__xludf.DUMMYFUNCTION("""COMPUTED_VALUE"""),581.4)</f>
        <v>581.4</v>
      </c>
      <c r="D680" s="9">
        <f>IFERROR(__xludf.DUMMYFUNCTION("""COMPUTED_VALUE"""),586.25)</f>
        <v>586.25</v>
      </c>
      <c r="E680" s="9">
        <f>IFERROR(__xludf.DUMMYFUNCTION("""COMPUTED_VALUE"""),577.55)</f>
        <v>577.55</v>
      </c>
      <c r="F680" s="9">
        <f>IFERROR(__xludf.DUMMYFUNCTION("""COMPUTED_VALUE"""),579.58)</f>
        <v>579.58</v>
      </c>
      <c r="G680" s="9">
        <f>IFERROR(__xludf.DUMMYFUNCTION("""COMPUTED_VALUE"""),3827987.0)</f>
        <v>3827987</v>
      </c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</row>
    <row r="681">
      <c r="A681" s="1"/>
      <c r="B681" s="22">
        <f>IFERROR(__xludf.DUMMYFUNCTION("""COMPUTED_VALUE"""),42550.64583333333)</f>
        <v>42550.64583</v>
      </c>
      <c r="C681" s="9">
        <f>IFERROR(__xludf.DUMMYFUNCTION("""COMPUTED_VALUE"""),584.5)</f>
        <v>584.5</v>
      </c>
      <c r="D681" s="9">
        <f>IFERROR(__xludf.DUMMYFUNCTION("""COMPUTED_VALUE"""),589.95)</f>
        <v>589.95</v>
      </c>
      <c r="E681" s="9">
        <f>IFERROR(__xludf.DUMMYFUNCTION("""COMPUTED_VALUE"""),580.1)</f>
        <v>580.1</v>
      </c>
      <c r="F681" s="9">
        <f>IFERROR(__xludf.DUMMYFUNCTION("""COMPUTED_VALUE"""),588.42)</f>
        <v>588.42</v>
      </c>
      <c r="G681" s="9">
        <f>IFERROR(__xludf.DUMMYFUNCTION("""COMPUTED_VALUE"""),2729575.0)</f>
        <v>2729575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</row>
    <row r="682">
      <c r="A682" s="1"/>
      <c r="B682" s="22">
        <f>IFERROR(__xludf.DUMMYFUNCTION("""COMPUTED_VALUE"""),42551.64583333333)</f>
        <v>42551.64583</v>
      </c>
      <c r="C682" s="9">
        <f>IFERROR(__xludf.DUMMYFUNCTION("""COMPUTED_VALUE"""),590.25)</f>
        <v>590.25</v>
      </c>
      <c r="D682" s="9">
        <f>IFERROR(__xludf.DUMMYFUNCTION("""COMPUTED_VALUE"""),592.25)</f>
        <v>592.25</v>
      </c>
      <c r="E682" s="9">
        <f>IFERROR(__xludf.DUMMYFUNCTION("""COMPUTED_VALUE"""),583.98)</f>
        <v>583.98</v>
      </c>
      <c r="F682" s="9">
        <f>IFERROR(__xludf.DUMMYFUNCTION("""COMPUTED_VALUE"""),585.4)</f>
        <v>585.4</v>
      </c>
      <c r="G682" s="9">
        <f>IFERROR(__xludf.DUMMYFUNCTION("""COMPUTED_VALUE"""),4673112.0)</f>
        <v>4673112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</row>
    <row r="683">
      <c r="A683" s="1"/>
      <c r="B683" s="22">
        <f>IFERROR(__xludf.DUMMYFUNCTION("""COMPUTED_VALUE"""),42552.64583333333)</f>
        <v>42552.64583</v>
      </c>
      <c r="C683" s="9">
        <f>IFERROR(__xludf.DUMMYFUNCTION("""COMPUTED_VALUE"""),590.0)</f>
        <v>590</v>
      </c>
      <c r="D683" s="9">
        <f>IFERROR(__xludf.DUMMYFUNCTION("""COMPUTED_VALUE"""),590.0)</f>
        <v>590</v>
      </c>
      <c r="E683" s="9">
        <f>IFERROR(__xludf.DUMMYFUNCTION("""COMPUTED_VALUE"""),585.05)</f>
        <v>585.05</v>
      </c>
      <c r="F683" s="9">
        <f>IFERROR(__xludf.DUMMYFUNCTION("""COMPUTED_VALUE"""),586.2)</f>
        <v>586.2</v>
      </c>
      <c r="G683" s="9">
        <f>IFERROR(__xludf.DUMMYFUNCTION("""COMPUTED_VALUE"""),1995956.0)</f>
        <v>1995956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</row>
    <row r="684">
      <c r="A684" s="1"/>
      <c r="B684" s="22">
        <f>IFERROR(__xludf.DUMMYFUNCTION("""COMPUTED_VALUE"""),42555.64583333333)</f>
        <v>42555.64583</v>
      </c>
      <c r="C684" s="9">
        <f>IFERROR(__xludf.DUMMYFUNCTION("""COMPUTED_VALUE"""),588.1)</f>
        <v>588.1</v>
      </c>
      <c r="D684" s="9">
        <f>IFERROR(__xludf.DUMMYFUNCTION("""COMPUTED_VALUE"""),597.3)</f>
        <v>597.3</v>
      </c>
      <c r="E684" s="9">
        <f>IFERROR(__xludf.DUMMYFUNCTION("""COMPUTED_VALUE"""),588.1)</f>
        <v>588.1</v>
      </c>
      <c r="F684" s="9">
        <f>IFERROR(__xludf.DUMMYFUNCTION("""COMPUTED_VALUE"""),591.98)</f>
        <v>591.98</v>
      </c>
      <c r="G684" s="9">
        <f>IFERROR(__xludf.DUMMYFUNCTION("""COMPUTED_VALUE"""),2690661.0)</f>
        <v>2690661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</row>
    <row r="685">
      <c r="A685" s="1"/>
      <c r="B685" s="22">
        <f>IFERROR(__xludf.DUMMYFUNCTION("""COMPUTED_VALUE"""),42556.64583333333)</f>
        <v>42556.64583</v>
      </c>
      <c r="C685" s="9">
        <f>IFERROR(__xludf.DUMMYFUNCTION("""COMPUTED_VALUE"""),592.5)</f>
        <v>592.5</v>
      </c>
      <c r="D685" s="9">
        <f>IFERROR(__xludf.DUMMYFUNCTION("""COMPUTED_VALUE"""),593.75)</f>
        <v>593.75</v>
      </c>
      <c r="E685" s="9">
        <f>IFERROR(__xludf.DUMMYFUNCTION("""COMPUTED_VALUE"""),585.53)</f>
        <v>585.53</v>
      </c>
      <c r="F685" s="9">
        <f>IFERROR(__xludf.DUMMYFUNCTION("""COMPUTED_VALUE"""),587.73)</f>
        <v>587.73</v>
      </c>
      <c r="G685" s="9">
        <f>IFERROR(__xludf.DUMMYFUNCTION("""COMPUTED_VALUE"""),1798208.0)</f>
        <v>1798208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</row>
    <row r="686">
      <c r="A686" s="1"/>
      <c r="B686" s="22">
        <f>IFERROR(__xludf.DUMMYFUNCTION("""COMPUTED_VALUE"""),42558.64583333333)</f>
        <v>42558.64583</v>
      </c>
      <c r="C686" s="9">
        <f>IFERROR(__xludf.DUMMYFUNCTION("""COMPUTED_VALUE"""),584.35)</f>
        <v>584.35</v>
      </c>
      <c r="D686" s="9">
        <f>IFERROR(__xludf.DUMMYFUNCTION("""COMPUTED_VALUE"""),585.5)</f>
        <v>585.5</v>
      </c>
      <c r="E686" s="9">
        <f>IFERROR(__xludf.DUMMYFUNCTION("""COMPUTED_VALUE"""),577.5)</f>
        <v>577.5</v>
      </c>
      <c r="F686" s="9">
        <f>IFERROR(__xludf.DUMMYFUNCTION("""COMPUTED_VALUE"""),578.63)</f>
        <v>578.63</v>
      </c>
      <c r="G686" s="9">
        <f>IFERROR(__xludf.DUMMYFUNCTION("""COMPUTED_VALUE"""),2977438.0)</f>
        <v>2977438</v>
      </c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</row>
    <row r="687">
      <c r="A687" s="1"/>
      <c r="B687" s="22">
        <f>IFERROR(__xludf.DUMMYFUNCTION("""COMPUTED_VALUE"""),42559.64583333333)</f>
        <v>42559.64583</v>
      </c>
      <c r="C687" s="9">
        <f>IFERROR(__xludf.DUMMYFUNCTION("""COMPUTED_VALUE"""),581.5)</f>
        <v>581.5</v>
      </c>
      <c r="D687" s="9">
        <f>IFERROR(__xludf.DUMMYFUNCTION("""COMPUTED_VALUE"""),583.5)</f>
        <v>583.5</v>
      </c>
      <c r="E687" s="9">
        <f>IFERROR(__xludf.DUMMYFUNCTION("""COMPUTED_VALUE"""),576.75)</f>
        <v>576.75</v>
      </c>
      <c r="F687" s="9">
        <f>IFERROR(__xludf.DUMMYFUNCTION("""COMPUTED_VALUE"""),579.1)</f>
        <v>579.1</v>
      </c>
      <c r="G687" s="9">
        <f>IFERROR(__xludf.DUMMYFUNCTION("""COMPUTED_VALUE"""),2775824.0)</f>
        <v>2775824</v>
      </c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</row>
    <row r="688">
      <c r="A688" s="1"/>
      <c r="B688" s="22">
        <f>IFERROR(__xludf.DUMMYFUNCTION("""COMPUTED_VALUE"""),42562.64583333333)</f>
        <v>42562.64583</v>
      </c>
      <c r="C688" s="9">
        <f>IFERROR(__xludf.DUMMYFUNCTION("""COMPUTED_VALUE"""),583.7)</f>
        <v>583.7</v>
      </c>
      <c r="D688" s="9">
        <f>IFERROR(__xludf.DUMMYFUNCTION("""COMPUTED_VALUE"""),589.35)</f>
        <v>589.35</v>
      </c>
      <c r="E688" s="9">
        <f>IFERROR(__xludf.DUMMYFUNCTION("""COMPUTED_VALUE"""),580.0)</f>
        <v>580</v>
      </c>
      <c r="F688" s="9">
        <f>IFERROR(__xludf.DUMMYFUNCTION("""COMPUTED_VALUE"""),587.53)</f>
        <v>587.53</v>
      </c>
      <c r="G688" s="9">
        <f>IFERROR(__xludf.DUMMYFUNCTION("""COMPUTED_VALUE"""),3334441.0)</f>
        <v>3334441</v>
      </c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</row>
    <row r="689">
      <c r="A689" s="1"/>
      <c r="B689" s="22">
        <f>IFERROR(__xludf.DUMMYFUNCTION("""COMPUTED_VALUE"""),42563.64583333333)</f>
        <v>42563.64583</v>
      </c>
      <c r="C689" s="9">
        <f>IFERROR(__xludf.DUMMYFUNCTION("""COMPUTED_VALUE"""),590.0)</f>
        <v>590</v>
      </c>
      <c r="D689" s="9">
        <f>IFERROR(__xludf.DUMMYFUNCTION("""COMPUTED_VALUE"""),590.17)</f>
        <v>590.17</v>
      </c>
      <c r="E689" s="9">
        <f>IFERROR(__xludf.DUMMYFUNCTION("""COMPUTED_VALUE"""),584.0)</f>
        <v>584</v>
      </c>
      <c r="F689" s="9">
        <f>IFERROR(__xludf.DUMMYFUNCTION("""COMPUTED_VALUE"""),588.28)</f>
        <v>588.28</v>
      </c>
      <c r="G689" s="9">
        <f>IFERROR(__xludf.DUMMYFUNCTION("""COMPUTED_VALUE"""),3098684.0)</f>
        <v>3098684</v>
      </c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</row>
    <row r="690">
      <c r="A690" s="1"/>
      <c r="B690" s="22">
        <f>IFERROR(__xludf.DUMMYFUNCTION("""COMPUTED_VALUE"""),42564.64583333333)</f>
        <v>42564.64583</v>
      </c>
      <c r="C690" s="9">
        <f>IFERROR(__xludf.DUMMYFUNCTION("""COMPUTED_VALUE"""),590.0)</f>
        <v>590</v>
      </c>
      <c r="D690" s="9">
        <f>IFERROR(__xludf.DUMMYFUNCTION("""COMPUTED_VALUE"""),597.9)</f>
        <v>597.9</v>
      </c>
      <c r="E690" s="9">
        <f>IFERROR(__xludf.DUMMYFUNCTION("""COMPUTED_VALUE"""),587.6)</f>
        <v>587.6</v>
      </c>
      <c r="F690" s="9">
        <f>IFERROR(__xludf.DUMMYFUNCTION("""COMPUTED_VALUE"""),596.9)</f>
        <v>596.9</v>
      </c>
      <c r="G690" s="9">
        <f>IFERROR(__xludf.DUMMYFUNCTION("""COMPUTED_VALUE"""),2637710.0)</f>
        <v>2637710</v>
      </c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</row>
    <row r="691">
      <c r="A691" s="1"/>
      <c r="B691" s="22">
        <f>IFERROR(__xludf.DUMMYFUNCTION("""COMPUTED_VALUE"""),42565.64583333333)</f>
        <v>42565.64583</v>
      </c>
      <c r="C691" s="9">
        <f>IFERROR(__xludf.DUMMYFUNCTION("""COMPUTED_VALUE"""),597.5)</f>
        <v>597.5</v>
      </c>
      <c r="D691" s="9">
        <f>IFERROR(__xludf.DUMMYFUNCTION("""COMPUTED_VALUE"""),598.03)</f>
        <v>598.03</v>
      </c>
      <c r="E691" s="9">
        <f>IFERROR(__xludf.DUMMYFUNCTION("""COMPUTED_VALUE"""),582.0)</f>
        <v>582</v>
      </c>
      <c r="F691" s="9">
        <f>IFERROR(__xludf.DUMMYFUNCTION("""COMPUTED_VALUE"""),588.13)</f>
        <v>588.13</v>
      </c>
      <c r="G691" s="9">
        <f>IFERROR(__xludf.DUMMYFUNCTION("""COMPUTED_VALUE"""),3706664.0)</f>
        <v>3706664</v>
      </c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</row>
    <row r="692">
      <c r="A692" s="1"/>
      <c r="B692" s="22">
        <f>IFERROR(__xludf.DUMMYFUNCTION("""COMPUTED_VALUE"""),42566.64583333333)</f>
        <v>42566.64583</v>
      </c>
      <c r="C692" s="9">
        <f>IFERROR(__xludf.DUMMYFUNCTION("""COMPUTED_VALUE"""),594.75)</f>
        <v>594.75</v>
      </c>
      <c r="D692" s="9">
        <f>IFERROR(__xludf.DUMMYFUNCTION("""COMPUTED_VALUE"""),594.95)</f>
        <v>594.95</v>
      </c>
      <c r="E692" s="9">
        <f>IFERROR(__xludf.DUMMYFUNCTION("""COMPUTED_VALUE"""),526.0)</f>
        <v>526</v>
      </c>
      <c r="F692" s="9">
        <f>IFERROR(__xludf.DUMMYFUNCTION("""COMPUTED_VALUE"""),536.28)</f>
        <v>536.28</v>
      </c>
      <c r="G692" s="9">
        <f>IFERROR(__xludf.DUMMYFUNCTION("""COMPUTED_VALUE"""),3.0742063E7)</f>
        <v>30742063</v>
      </c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</row>
    <row r="693">
      <c r="A693" s="1"/>
      <c r="B693" s="22">
        <f>IFERROR(__xludf.DUMMYFUNCTION("""COMPUTED_VALUE"""),42569.64583333333)</f>
        <v>42569.64583</v>
      </c>
      <c r="C693" s="9">
        <f>IFERROR(__xludf.DUMMYFUNCTION("""COMPUTED_VALUE"""),538.63)</f>
        <v>538.63</v>
      </c>
      <c r="D693" s="9">
        <f>IFERROR(__xludf.DUMMYFUNCTION("""COMPUTED_VALUE"""),542.45)</f>
        <v>542.45</v>
      </c>
      <c r="E693" s="9">
        <f>IFERROR(__xludf.DUMMYFUNCTION("""COMPUTED_VALUE"""),527.58)</f>
        <v>527.58</v>
      </c>
      <c r="F693" s="9">
        <f>IFERROR(__xludf.DUMMYFUNCTION("""COMPUTED_VALUE"""),540.98)</f>
        <v>540.98</v>
      </c>
      <c r="G693" s="9">
        <f>IFERROR(__xludf.DUMMYFUNCTION("""COMPUTED_VALUE"""),7166412.0)</f>
        <v>7166412</v>
      </c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</row>
    <row r="694">
      <c r="A694" s="1"/>
      <c r="B694" s="22">
        <f>IFERROR(__xludf.DUMMYFUNCTION("""COMPUTED_VALUE"""),42570.64583333333)</f>
        <v>42570.64583</v>
      </c>
      <c r="C694" s="9">
        <f>IFERROR(__xludf.DUMMYFUNCTION("""COMPUTED_VALUE"""),544.3)</f>
        <v>544.3</v>
      </c>
      <c r="D694" s="9">
        <f>IFERROR(__xludf.DUMMYFUNCTION("""COMPUTED_VALUE"""),545.0)</f>
        <v>545</v>
      </c>
      <c r="E694" s="9">
        <f>IFERROR(__xludf.DUMMYFUNCTION("""COMPUTED_VALUE"""),537.05)</f>
        <v>537.05</v>
      </c>
      <c r="F694" s="9">
        <f>IFERROR(__xludf.DUMMYFUNCTION("""COMPUTED_VALUE"""),543.48)</f>
        <v>543.48</v>
      </c>
      <c r="G694" s="9">
        <f>IFERROR(__xludf.DUMMYFUNCTION("""COMPUTED_VALUE"""),5202322.0)</f>
        <v>5202322</v>
      </c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</row>
    <row r="695">
      <c r="A695" s="1"/>
      <c r="B695" s="22">
        <f>IFERROR(__xludf.DUMMYFUNCTION("""COMPUTED_VALUE"""),42571.64583333333)</f>
        <v>42571.64583</v>
      </c>
      <c r="C695" s="9">
        <f>IFERROR(__xludf.DUMMYFUNCTION("""COMPUTED_VALUE"""),535.0)</f>
        <v>535</v>
      </c>
      <c r="D695" s="9">
        <f>IFERROR(__xludf.DUMMYFUNCTION("""COMPUTED_VALUE"""),544.95)</f>
        <v>544.95</v>
      </c>
      <c r="E695" s="9">
        <f>IFERROR(__xludf.DUMMYFUNCTION("""COMPUTED_VALUE"""),535.0)</f>
        <v>535</v>
      </c>
      <c r="F695" s="9">
        <f>IFERROR(__xludf.DUMMYFUNCTION("""COMPUTED_VALUE"""),541.55)</f>
        <v>541.55</v>
      </c>
      <c r="G695" s="9">
        <f>IFERROR(__xludf.DUMMYFUNCTION("""COMPUTED_VALUE"""),4911448.0)</f>
        <v>4911448</v>
      </c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</row>
    <row r="696">
      <c r="A696" s="1"/>
      <c r="B696" s="22">
        <f>IFERROR(__xludf.DUMMYFUNCTION("""COMPUTED_VALUE"""),42572.64583333333)</f>
        <v>42572.64583</v>
      </c>
      <c r="C696" s="9">
        <f>IFERROR(__xludf.DUMMYFUNCTION("""COMPUTED_VALUE"""),539.5)</f>
        <v>539.5</v>
      </c>
      <c r="D696" s="9">
        <f>IFERROR(__xludf.DUMMYFUNCTION("""COMPUTED_VALUE"""),543.6)</f>
        <v>543.6</v>
      </c>
      <c r="E696" s="9">
        <f>IFERROR(__xludf.DUMMYFUNCTION("""COMPUTED_VALUE"""),537.8)</f>
        <v>537.8</v>
      </c>
      <c r="F696" s="9">
        <f>IFERROR(__xludf.DUMMYFUNCTION("""COMPUTED_VALUE"""),539.95)</f>
        <v>539.95</v>
      </c>
      <c r="G696" s="9">
        <f>IFERROR(__xludf.DUMMYFUNCTION("""COMPUTED_VALUE"""),4334001.0)</f>
        <v>4334001</v>
      </c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</row>
    <row r="697">
      <c r="A697" s="1"/>
      <c r="B697" s="22">
        <f>IFERROR(__xludf.DUMMYFUNCTION("""COMPUTED_VALUE"""),42573.64583333333)</f>
        <v>42573.64583</v>
      </c>
      <c r="C697" s="9">
        <f>IFERROR(__xludf.DUMMYFUNCTION("""COMPUTED_VALUE"""),535.0)</f>
        <v>535</v>
      </c>
      <c r="D697" s="9">
        <f>IFERROR(__xludf.DUMMYFUNCTION("""COMPUTED_VALUE"""),539.95)</f>
        <v>539.95</v>
      </c>
      <c r="E697" s="9">
        <f>IFERROR(__xludf.DUMMYFUNCTION("""COMPUTED_VALUE"""),533.35)</f>
        <v>533.35</v>
      </c>
      <c r="F697" s="9">
        <f>IFERROR(__xludf.DUMMYFUNCTION("""COMPUTED_VALUE"""),536.23)</f>
        <v>536.23</v>
      </c>
      <c r="G697" s="9">
        <f>IFERROR(__xludf.DUMMYFUNCTION("""COMPUTED_VALUE"""),4693269.0)</f>
        <v>4693269</v>
      </c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</row>
    <row r="698">
      <c r="A698" s="1"/>
      <c r="B698" s="22">
        <f>IFERROR(__xludf.DUMMYFUNCTION("""COMPUTED_VALUE"""),42576.64583333333)</f>
        <v>42576.64583</v>
      </c>
      <c r="C698" s="9">
        <f>IFERROR(__xludf.DUMMYFUNCTION("""COMPUTED_VALUE"""),531.5)</f>
        <v>531.5</v>
      </c>
      <c r="D698" s="9">
        <f>IFERROR(__xludf.DUMMYFUNCTION("""COMPUTED_VALUE"""),541.63)</f>
        <v>541.63</v>
      </c>
      <c r="E698" s="9">
        <f>IFERROR(__xludf.DUMMYFUNCTION("""COMPUTED_VALUE"""),531.5)</f>
        <v>531.5</v>
      </c>
      <c r="F698" s="9">
        <f>IFERROR(__xludf.DUMMYFUNCTION("""COMPUTED_VALUE"""),540.42)</f>
        <v>540.42</v>
      </c>
      <c r="G698" s="9">
        <f>IFERROR(__xludf.DUMMYFUNCTION("""COMPUTED_VALUE"""),4234776.0)</f>
        <v>4234776</v>
      </c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</row>
    <row r="699">
      <c r="A699" s="1"/>
      <c r="B699" s="22">
        <f>IFERROR(__xludf.DUMMYFUNCTION("""COMPUTED_VALUE"""),42577.64583333333)</f>
        <v>42577.64583</v>
      </c>
      <c r="C699" s="9">
        <f>IFERROR(__xludf.DUMMYFUNCTION("""COMPUTED_VALUE"""),535.17)</f>
        <v>535.17</v>
      </c>
      <c r="D699" s="9">
        <f>IFERROR(__xludf.DUMMYFUNCTION("""COMPUTED_VALUE"""),544.95)</f>
        <v>544.95</v>
      </c>
      <c r="E699" s="9">
        <f>IFERROR(__xludf.DUMMYFUNCTION("""COMPUTED_VALUE"""),535.17)</f>
        <v>535.17</v>
      </c>
      <c r="F699" s="9">
        <f>IFERROR(__xludf.DUMMYFUNCTION("""COMPUTED_VALUE"""),544.35)</f>
        <v>544.35</v>
      </c>
      <c r="G699" s="9">
        <f>IFERROR(__xludf.DUMMYFUNCTION("""COMPUTED_VALUE"""),3594805.0)</f>
        <v>3594805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</row>
    <row r="700">
      <c r="A700" s="1"/>
      <c r="B700" s="22">
        <f>IFERROR(__xludf.DUMMYFUNCTION("""COMPUTED_VALUE"""),42578.64583333333)</f>
        <v>42578.64583</v>
      </c>
      <c r="C700" s="9">
        <f>IFERROR(__xludf.DUMMYFUNCTION("""COMPUTED_VALUE"""),542.35)</f>
        <v>542.35</v>
      </c>
      <c r="D700" s="9">
        <f>IFERROR(__xludf.DUMMYFUNCTION("""COMPUTED_VALUE"""),548.25)</f>
        <v>548.25</v>
      </c>
      <c r="E700" s="9">
        <f>IFERROR(__xludf.DUMMYFUNCTION("""COMPUTED_VALUE"""),539.28)</f>
        <v>539.28</v>
      </c>
      <c r="F700" s="9">
        <f>IFERROR(__xludf.DUMMYFUNCTION("""COMPUTED_VALUE"""),542.67)</f>
        <v>542.67</v>
      </c>
      <c r="G700" s="9">
        <f>IFERROR(__xludf.DUMMYFUNCTION("""COMPUTED_VALUE"""),3715910.0)</f>
        <v>3715910</v>
      </c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</row>
    <row r="701">
      <c r="A701" s="1"/>
      <c r="B701" s="22">
        <f>IFERROR(__xludf.DUMMYFUNCTION("""COMPUTED_VALUE"""),42579.64583333333)</f>
        <v>42579.64583</v>
      </c>
      <c r="C701" s="9">
        <f>IFERROR(__xludf.DUMMYFUNCTION("""COMPUTED_VALUE"""),542.7)</f>
        <v>542.7</v>
      </c>
      <c r="D701" s="9">
        <f>IFERROR(__xludf.DUMMYFUNCTION("""COMPUTED_VALUE"""),543.48)</f>
        <v>543.48</v>
      </c>
      <c r="E701" s="9">
        <f>IFERROR(__xludf.DUMMYFUNCTION("""COMPUTED_VALUE"""),537.03)</f>
        <v>537.03</v>
      </c>
      <c r="F701" s="9">
        <f>IFERROR(__xludf.DUMMYFUNCTION("""COMPUTED_VALUE"""),538.75)</f>
        <v>538.75</v>
      </c>
      <c r="G701" s="9">
        <f>IFERROR(__xludf.DUMMYFUNCTION("""COMPUTED_VALUE"""),5629281.0)</f>
        <v>5629281</v>
      </c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</row>
    <row r="702">
      <c r="A702" s="1"/>
      <c r="B702" s="22">
        <f>IFERROR(__xludf.DUMMYFUNCTION("""COMPUTED_VALUE"""),42580.64583333333)</f>
        <v>42580.64583</v>
      </c>
      <c r="C702" s="9">
        <f>IFERROR(__xludf.DUMMYFUNCTION("""COMPUTED_VALUE"""),536.3)</f>
        <v>536.3</v>
      </c>
      <c r="D702" s="9">
        <f>IFERROR(__xludf.DUMMYFUNCTION("""COMPUTED_VALUE"""),538.38)</f>
        <v>538.38</v>
      </c>
      <c r="E702" s="9">
        <f>IFERROR(__xludf.DUMMYFUNCTION("""COMPUTED_VALUE"""),533.25)</f>
        <v>533.25</v>
      </c>
      <c r="F702" s="9">
        <f>IFERROR(__xludf.DUMMYFUNCTION("""COMPUTED_VALUE"""),536.92)</f>
        <v>536.92</v>
      </c>
      <c r="G702" s="9">
        <f>IFERROR(__xludf.DUMMYFUNCTION("""COMPUTED_VALUE"""),4078392.0)</f>
        <v>4078392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</row>
    <row r="703">
      <c r="A703" s="1"/>
      <c r="B703" s="22">
        <f>IFERROR(__xludf.DUMMYFUNCTION("""COMPUTED_VALUE"""),42583.64583333333)</f>
        <v>42583.64583</v>
      </c>
      <c r="C703" s="9">
        <f>IFERROR(__xludf.DUMMYFUNCTION("""COMPUTED_VALUE"""),535.75)</f>
        <v>535.75</v>
      </c>
      <c r="D703" s="9">
        <f>IFERROR(__xludf.DUMMYFUNCTION("""COMPUTED_VALUE"""),543.92)</f>
        <v>543.92</v>
      </c>
      <c r="E703" s="9">
        <f>IFERROR(__xludf.DUMMYFUNCTION("""COMPUTED_VALUE"""),534.17)</f>
        <v>534.17</v>
      </c>
      <c r="F703" s="9">
        <f>IFERROR(__xludf.DUMMYFUNCTION("""COMPUTED_VALUE"""),542.63)</f>
        <v>542.63</v>
      </c>
      <c r="G703" s="9">
        <f>IFERROR(__xludf.DUMMYFUNCTION("""COMPUTED_VALUE"""),4548331.0)</f>
        <v>4548331</v>
      </c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</row>
    <row r="704">
      <c r="A704" s="1"/>
      <c r="B704" s="22">
        <f>IFERROR(__xludf.DUMMYFUNCTION("""COMPUTED_VALUE"""),42584.64583333333)</f>
        <v>42584.64583</v>
      </c>
      <c r="C704" s="9">
        <f>IFERROR(__xludf.DUMMYFUNCTION("""COMPUTED_VALUE"""),539.95)</f>
        <v>539.95</v>
      </c>
      <c r="D704" s="9">
        <f>IFERROR(__xludf.DUMMYFUNCTION("""COMPUTED_VALUE"""),542.5)</f>
        <v>542.5</v>
      </c>
      <c r="E704" s="9">
        <f>IFERROR(__xludf.DUMMYFUNCTION("""COMPUTED_VALUE"""),537.5)</f>
        <v>537.5</v>
      </c>
      <c r="F704" s="9">
        <f>IFERROR(__xludf.DUMMYFUNCTION("""COMPUTED_VALUE"""),541.9)</f>
        <v>541.9</v>
      </c>
      <c r="G704" s="9">
        <f>IFERROR(__xludf.DUMMYFUNCTION("""COMPUTED_VALUE"""),3411251.0)</f>
        <v>3411251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</row>
    <row r="705">
      <c r="A705" s="1"/>
      <c r="B705" s="22">
        <f>IFERROR(__xludf.DUMMYFUNCTION("""COMPUTED_VALUE"""),42585.64583333333)</f>
        <v>42585.64583</v>
      </c>
      <c r="C705" s="9">
        <f>IFERROR(__xludf.DUMMYFUNCTION("""COMPUTED_VALUE"""),542.83)</f>
        <v>542.83</v>
      </c>
      <c r="D705" s="9">
        <f>IFERROR(__xludf.DUMMYFUNCTION("""COMPUTED_VALUE"""),543.25)</f>
        <v>543.25</v>
      </c>
      <c r="E705" s="9">
        <f>IFERROR(__xludf.DUMMYFUNCTION("""COMPUTED_VALUE"""),535.15)</f>
        <v>535.15</v>
      </c>
      <c r="F705" s="9">
        <f>IFERROR(__xludf.DUMMYFUNCTION("""COMPUTED_VALUE"""),542.45)</f>
        <v>542.45</v>
      </c>
      <c r="G705" s="9">
        <f>IFERROR(__xludf.DUMMYFUNCTION("""COMPUTED_VALUE"""),3606730.0)</f>
        <v>3606730</v>
      </c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</row>
    <row r="706">
      <c r="A706" s="1"/>
      <c r="B706" s="22">
        <f>IFERROR(__xludf.DUMMYFUNCTION("""COMPUTED_VALUE"""),42586.64583333333)</f>
        <v>42586.64583</v>
      </c>
      <c r="C706" s="9">
        <f>IFERROR(__xludf.DUMMYFUNCTION("""COMPUTED_VALUE"""),543.2)</f>
        <v>543.2</v>
      </c>
      <c r="D706" s="9">
        <f>IFERROR(__xludf.DUMMYFUNCTION("""COMPUTED_VALUE"""),543.45)</f>
        <v>543.45</v>
      </c>
      <c r="E706" s="9">
        <f>IFERROR(__xludf.DUMMYFUNCTION("""COMPUTED_VALUE"""),535.03)</f>
        <v>535.03</v>
      </c>
      <c r="F706" s="9">
        <f>IFERROR(__xludf.DUMMYFUNCTION("""COMPUTED_VALUE"""),535.9)</f>
        <v>535.9</v>
      </c>
      <c r="G706" s="9">
        <f>IFERROR(__xludf.DUMMYFUNCTION("""COMPUTED_VALUE"""),2118639.0)</f>
        <v>2118639</v>
      </c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</row>
    <row r="707">
      <c r="A707" s="1"/>
      <c r="B707" s="22">
        <f>IFERROR(__xludf.DUMMYFUNCTION("""COMPUTED_VALUE"""),42587.64583333333)</f>
        <v>42587.64583</v>
      </c>
      <c r="C707" s="9">
        <f>IFERROR(__xludf.DUMMYFUNCTION("""COMPUTED_VALUE"""),536.0)</f>
        <v>536</v>
      </c>
      <c r="D707" s="9">
        <f>IFERROR(__xludf.DUMMYFUNCTION("""COMPUTED_VALUE"""),536.73)</f>
        <v>536.73</v>
      </c>
      <c r="E707" s="9">
        <f>IFERROR(__xludf.DUMMYFUNCTION("""COMPUTED_VALUE"""),530.0)</f>
        <v>530</v>
      </c>
      <c r="F707" s="9">
        <f>IFERROR(__xludf.DUMMYFUNCTION("""COMPUTED_VALUE"""),534.0)</f>
        <v>534</v>
      </c>
      <c r="G707" s="9">
        <f>IFERROR(__xludf.DUMMYFUNCTION("""COMPUTED_VALUE"""),2804984.0)</f>
        <v>2804984</v>
      </c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</row>
    <row r="708">
      <c r="A708" s="1"/>
      <c r="B708" s="22">
        <f>IFERROR(__xludf.DUMMYFUNCTION("""COMPUTED_VALUE"""),42590.64583333333)</f>
        <v>42590.64583</v>
      </c>
      <c r="C708" s="9">
        <f>IFERROR(__xludf.DUMMYFUNCTION("""COMPUTED_VALUE"""),534.5)</f>
        <v>534.5</v>
      </c>
      <c r="D708" s="9">
        <f>IFERROR(__xludf.DUMMYFUNCTION("""COMPUTED_VALUE"""),540.5)</f>
        <v>540.5</v>
      </c>
      <c r="E708" s="9">
        <f>IFERROR(__xludf.DUMMYFUNCTION("""COMPUTED_VALUE"""),531.28)</f>
        <v>531.28</v>
      </c>
      <c r="F708" s="9">
        <f>IFERROR(__xludf.DUMMYFUNCTION("""COMPUTED_VALUE"""),539.35)</f>
        <v>539.35</v>
      </c>
      <c r="G708" s="9">
        <f>IFERROR(__xludf.DUMMYFUNCTION("""COMPUTED_VALUE"""),2321532.0)</f>
        <v>2321532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</row>
    <row r="709">
      <c r="A709" s="1"/>
      <c r="B709" s="22">
        <f>IFERROR(__xludf.DUMMYFUNCTION("""COMPUTED_VALUE"""),42591.64583333333)</f>
        <v>42591.64583</v>
      </c>
      <c r="C709" s="9">
        <f>IFERROR(__xludf.DUMMYFUNCTION("""COMPUTED_VALUE"""),538.5)</f>
        <v>538.5</v>
      </c>
      <c r="D709" s="9">
        <f>IFERROR(__xludf.DUMMYFUNCTION("""COMPUTED_VALUE"""),542.25)</f>
        <v>542.25</v>
      </c>
      <c r="E709" s="9">
        <f>IFERROR(__xludf.DUMMYFUNCTION("""COMPUTED_VALUE"""),535.75)</f>
        <v>535.75</v>
      </c>
      <c r="F709" s="9">
        <f>IFERROR(__xludf.DUMMYFUNCTION("""COMPUTED_VALUE"""),541.7)</f>
        <v>541.7</v>
      </c>
      <c r="G709" s="9">
        <f>IFERROR(__xludf.DUMMYFUNCTION("""COMPUTED_VALUE"""),3596332.0)</f>
        <v>3596332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</row>
    <row r="710">
      <c r="A710" s="1"/>
      <c r="B710" s="22">
        <f>IFERROR(__xludf.DUMMYFUNCTION("""COMPUTED_VALUE"""),42592.64583333333)</f>
        <v>42592.64583</v>
      </c>
      <c r="C710" s="9">
        <f>IFERROR(__xludf.DUMMYFUNCTION("""COMPUTED_VALUE"""),538.0)</f>
        <v>538</v>
      </c>
      <c r="D710" s="9">
        <f>IFERROR(__xludf.DUMMYFUNCTION("""COMPUTED_VALUE"""),543.95)</f>
        <v>543.95</v>
      </c>
      <c r="E710" s="9">
        <f>IFERROR(__xludf.DUMMYFUNCTION("""COMPUTED_VALUE"""),537.6)</f>
        <v>537.6</v>
      </c>
      <c r="F710" s="9">
        <f>IFERROR(__xludf.DUMMYFUNCTION("""COMPUTED_VALUE"""),541.17)</f>
        <v>541.17</v>
      </c>
      <c r="G710" s="9">
        <f>IFERROR(__xludf.DUMMYFUNCTION("""COMPUTED_VALUE"""),2788227.0)</f>
        <v>2788227</v>
      </c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</row>
    <row r="711">
      <c r="A711" s="1"/>
      <c r="B711" s="22">
        <f>IFERROR(__xludf.DUMMYFUNCTION("""COMPUTED_VALUE"""),42593.64583333333)</f>
        <v>42593.64583</v>
      </c>
      <c r="C711" s="9">
        <f>IFERROR(__xludf.DUMMYFUNCTION("""COMPUTED_VALUE"""),540.85)</f>
        <v>540.85</v>
      </c>
      <c r="D711" s="9">
        <f>IFERROR(__xludf.DUMMYFUNCTION("""COMPUTED_VALUE"""),547.5)</f>
        <v>547.5</v>
      </c>
      <c r="E711" s="9">
        <f>IFERROR(__xludf.DUMMYFUNCTION("""COMPUTED_VALUE"""),537.63)</f>
        <v>537.63</v>
      </c>
      <c r="F711" s="9">
        <f>IFERROR(__xludf.DUMMYFUNCTION("""COMPUTED_VALUE"""),538.67)</f>
        <v>538.67</v>
      </c>
      <c r="G711" s="9">
        <f>IFERROR(__xludf.DUMMYFUNCTION("""COMPUTED_VALUE"""),2519276.0)</f>
        <v>2519276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</row>
    <row r="712">
      <c r="A712" s="1"/>
      <c r="B712" s="22">
        <f>IFERROR(__xludf.DUMMYFUNCTION("""COMPUTED_VALUE"""),42594.64583333333)</f>
        <v>42594.64583</v>
      </c>
      <c r="C712" s="9">
        <f>IFERROR(__xludf.DUMMYFUNCTION("""COMPUTED_VALUE"""),537.53)</f>
        <v>537.53</v>
      </c>
      <c r="D712" s="9">
        <f>IFERROR(__xludf.DUMMYFUNCTION("""COMPUTED_VALUE"""),539.4)</f>
        <v>539.4</v>
      </c>
      <c r="E712" s="9">
        <f>IFERROR(__xludf.DUMMYFUNCTION("""COMPUTED_VALUE"""),530.0)</f>
        <v>530</v>
      </c>
      <c r="F712" s="9">
        <f>IFERROR(__xludf.DUMMYFUNCTION("""COMPUTED_VALUE"""),531.28)</f>
        <v>531.28</v>
      </c>
      <c r="G712" s="9">
        <f>IFERROR(__xludf.DUMMYFUNCTION("""COMPUTED_VALUE"""),3724964.0)</f>
        <v>3724964</v>
      </c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</row>
    <row r="713">
      <c r="A713" s="1"/>
      <c r="B713" s="22">
        <f>IFERROR(__xludf.DUMMYFUNCTION("""COMPUTED_VALUE"""),42598.64583333333)</f>
        <v>42598.64583</v>
      </c>
      <c r="C713" s="9">
        <f>IFERROR(__xludf.DUMMYFUNCTION("""COMPUTED_VALUE"""),521.0)</f>
        <v>521</v>
      </c>
      <c r="D713" s="9">
        <f>IFERROR(__xludf.DUMMYFUNCTION("""COMPUTED_VALUE"""),529.03)</f>
        <v>529.03</v>
      </c>
      <c r="E713" s="9">
        <f>IFERROR(__xludf.DUMMYFUNCTION("""COMPUTED_VALUE"""),514.0)</f>
        <v>514</v>
      </c>
      <c r="F713" s="9">
        <f>IFERROR(__xludf.DUMMYFUNCTION("""COMPUTED_VALUE"""),525.9)</f>
        <v>525.9</v>
      </c>
      <c r="G713" s="9">
        <f>IFERROR(__xludf.DUMMYFUNCTION("""COMPUTED_VALUE"""),8214704.0)</f>
        <v>8214704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</row>
    <row r="714">
      <c r="A714" s="1"/>
      <c r="B714" s="22">
        <f>IFERROR(__xludf.DUMMYFUNCTION("""COMPUTED_VALUE"""),42599.64583333333)</f>
        <v>42599.64583</v>
      </c>
      <c r="C714" s="9">
        <f>IFERROR(__xludf.DUMMYFUNCTION("""COMPUTED_VALUE"""),524.98)</f>
        <v>524.98</v>
      </c>
      <c r="D714" s="9">
        <f>IFERROR(__xludf.DUMMYFUNCTION("""COMPUTED_VALUE"""),526.33)</f>
        <v>526.33</v>
      </c>
      <c r="E714" s="9">
        <f>IFERROR(__xludf.DUMMYFUNCTION("""COMPUTED_VALUE"""),515.25)</f>
        <v>515.25</v>
      </c>
      <c r="F714" s="9">
        <f>IFERROR(__xludf.DUMMYFUNCTION("""COMPUTED_VALUE"""),516.65)</f>
        <v>516.65</v>
      </c>
      <c r="G714" s="9">
        <f>IFERROR(__xludf.DUMMYFUNCTION("""COMPUTED_VALUE"""),3299658.0)</f>
        <v>3299658</v>
      </c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</row>
    <row r="715">
      <c r="A715" s="1"/>
      <c r="B715" s="22">
        <f>IFERROR(__xludf.DUMMYFUNCTION("""COMPUTED_VALUE"""),42600.64583333333)</f>
        <v>42600.64583</v>
      </c>
      <c r="C715" s="9">
        <f>IFERROR(__xludf.DUMMYFUNCTION("""COMPUTED_VALUE"""),518.25)</f>
        <v>518.25</v>
      </c>
      <c r="D715" s="9">
        <f>IFERROR(__xludf.DUMMYFUNCTION("""COMPUTED_VALUE"""),519.55)</f>
        <v>519.55</v>
      </c>
      <c r="E715" s="9">
        <f>IFERROR(__xludf.DUMMYFUNCTION("""COMPUTED_VALUE"""),510.75)</f>
        <v>510.75</v>
      </c>
      <c r="F715" s="9">
        <f>IFERROR(__xludf.DUMMYFUNCTION("""COMPUTED_VALUE"""),511.7)</f>
        <v>511.7</v>
      </c>
      <c r="G715" s="9">
        <f>IFERROR(__xludf.DUMMYFUNCTION("""COMPUTED_VALUE"""),4217000.0)</f>
        <v>4217000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</row>
    <row r="716">
      <c r="A716" s="1"/>
      <c r="B716" s="22">
        <f>IFERROR(__xludf.DUMMYFUNCTION("""COMPUTED_VALUE"""),42601.64583333333)</f>
        <v>42601.64583</v>
      </c>
      <c r="C716" s="9">
        <f>IFERROR(__xludf.DUMMYFUNCTION("""COMPUTED_VALUE"""),515.0)</f>
        <v>515</v>
      </c>
      <c r="D716" s="9">
        <f>IFERROR(__xludf.DUMMYFUNCTION("""COMPUTED_VALUE"""),519.5)</f>
        <v>519.5</v>
      </c>
      <c r="E716" s="9">
        <f>IFERROR(__xludf.DUMMYFUNCTION("""COMPUTED_VALUE"""),509.23)</f>
        <v>509.23</v>
      </c>
      <c r="F716" s="9">
        <f>IFERROR(__xludf.DUMMYFUNCTION("""COMPUTED_VALUE"""),510.65)</f>
        <v>510.65</v>
      </c>
      <c r="G716" s="9">
        <f>IFERROR(__xludf.DUMMYFUNCTION("""COMPUTED_VALUE"""),2843008.0)</f>
        <v>2843008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</row>
    <row r="717">
      <c r="A717" s="1"/>
      <c r="B717" s="22">
        <f>IFERROR(__xludf.DUMMYFUNCTION("""COMPUTED_VALUE"""),42604.64583333333)</f>
        <v>42604.64583</v>
      </c>
      <c r="C717" s="9">
        <f>IFERROR(__xludf.DUMMYFUNCTION("""COMPUTED_VALUE"""),509.0)</f>
        <v>509</v>
      </c>
      <c r="D717" s="9">
        <f>IFERROR(__xludf.DUMMYFUNCTION("""COMPUTED_VALUE"""),515.0)</f>
        <v>515</v>
      </c>
      <c r="E717" s="9">
        <f>IFERROR(__xludf.DUMMYFUNCTION("""COMPUTED_VALUE"""),504.55)</f>
        <v>504.55</v>
      </c>
      <c r="F717" s="9">
        <f>IFERROR(__xludf.DUMMYFUNCTION("""COMPUTED_VALUE"""),507.73)</f>
        <v>507.73</v>
      </c>
      <c r="G717" s="9">
        <f>IFERROR(__xludf.DUMMYFUNCTION("""COMPUTED_VALUE"""),5126759.0)</f>
        <v>5126759</v>
      </c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</row>
    <row r="718">
      <c r="A718" s="1"/>
      <c r="B718" s="22">
        <f>IFERROR(__xludf.DUMMYFUNCTION("""COMPUTED_VALUE"""),42605.64583333333)</f>
        <v>42605.64583</v>
      </c>
      <c r="C718" s="9">
        <f>IFERROR(__xludf.DUMMYFUNCTION("""COMPUTED_VALUE"""),510.05)</f>
        <v>510.05</v>
      </c>
      <c r="D718" s="9">
        <f>IFERROR(__xludf.DUMMYFUNCTION("""COMPUTED_VALUE"""),521.0)</f>
        <v>521</v>
      </c>
      <c r="E718" s="9">
        <f>IFERROR(__xludf.DUMMYFUNCTION("""COMPUTED_VALUE"""),510.05)</f>
        <v>510.05</v>
      </c>
      <c r="F718" s="9">
        <f>IFERROR(__xludf.DUMMYFUNCTION("""COMPUTED_VALUE"""),519.83)</f>
        <v>519.83</v>
      </c>
      <c r="G718" s="9">
        <f>IFERROR(__xludf.DUMMYFUNCTION("""COMPUTED_VALUE"""),3703069.0)</f>
        <v>3703069</v>
      </c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</row>
    <row r="719">
      <c r="A719" s="1"/>
      <c r="B719" s="22">
        <f>IFERROR(__xludf.DUMMYFUNCTION("""COMPUTED_VALUE"""),42606.64583333333)</f>
        <v>42606.64583</v>
      </c>
      <c r="C719" s="9">
        <f>IFERROR(__xludf.DUMMYFUNCTION("""COMPUTED_VALUE"""),523.5)</f>
        <v>523.5</v>
      </c>
      <c r="D719" s="9">
        <f>IFERROR(__xludf.DUMMYFUNCTION("""COMPUTED_VALUE"""),531.03)</f>
        <v>531.03</v>
      </c>
      <c r="E719" s="9">
        <f>IFERROR(__xludf.DUMMYFUNCTION("""COMPUTED_VALUE"""),523.5)</f>
        <v>523.5</v>
      </c>
      <c r="F719" s="9">
        <f>IFERROR(__xludf.DUMMYFUNCTION("""COMPUTED_VALUE"""),528.7)</f>
        <v>528.7</v>
      </c>
      <c r="G719" s="9">
        <f>IFERROR(__xludf.DUMMYFUNCTION("""COMPUTED_VALUE"""),3064983.0)</f>
        <v>3064983</v>
      </c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</row>
    <row r="720">
      <c r="A720" s="1"/>
      <c r="B720" s="22">
        <f>IFERROR(__xludf.DUMMYFUNCTION("""COMPUTED_VALUE"""),42607.64583333333)</f>
        <v>42607.64583</v>
      </c>
      <c r="C720" s="9">
        <f>IFERROR(__xludf.DUMMYFUNCTION("""COMPUTED_VALUE"""),527.5)</f>
        <v>527.5</v>
      </c>
      <c r="D720" s="9">
        <f>IFERROR(__xludf.DUMMYFUNCTION("""COMPUTED_VALUE"""),528.8)</f>
        <v>528.8</v>
      </c>
      <c r="E720" s="9">
        <f>IFERROR(__xludf.DUMMYFUNCTION("""COMPUTED_VALUE"""),516.05)</f>
        <v>516.05</v>
      </c>
      <c r="F720" s="9">
        <f>IFERROR(__xludf.DUMMYFUNCTION("""COMPUTED_VALUE"""),518.08)</f>
        <v>518.08</v>
      </c>
      <c r="G720" s="9">
        <f>IFERROR(__xludf.DUMMYFUNCTION("""COMPUTED_VALUE"""),2398281.0)</f>
        <v>2398281</v>
      </c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</row>
    <row r="721">
      <c r="A721" s="1"/>
      <c r="B721" s="22">
        <f>IFERROR(__xludf.DUMMYFUNCTION("""COMPUTED_VALUE"""),42608.64583333333)</f>
        <v>42608.64583</v>
      </c>
      <c r="C721" s="9">
        <f>IFERROR(__xludf.DUMMYFUNCTION("""COMPUTED_VALUE"""),518.0)</f>
        <v>518</v>
      </c>
      <c r="D721" s="9">
        <f>IFERROR(__xludf.DUMMYFUNCTION("""COMPUTED_VALUE"""),523.0)</f>
        <v>523</v>
      </c>
      <c r="E721" s="9">
        <f>IFERROR(__xludf.DUMMYFUNCTION("""COMPUTED_VALUE"""),508.53)</f>
        <v>508.53</v>
      </c>
      <c r="F721" s="9">
        <f>IFERROR(__xludf.DUMMYFUNCTION("""COMPUTED_VALUE"""),510.13)</f>
        <v>510.13</v>
      </c>
      <c r="G721" s="9">
        <f>IFERROR(__xludf.DUMMYFUNCTION("""COMPUTED_VALUE"""),3440527.0)</f>
        <v>3440527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</row>
    <row r="722">
      <c r="A722" s="1"/>
      <c r="B722" s="22">
        <f>IFERROR(__xludf.DUMMYFUNCTION("""COMPUTED_VALUE"""),42611.64583333333)</f>
        <v>42611.64583</v>
      </c>
      <c r="C722" s="9">
        <f>IFERROR(__xludf.DUMMYFUNCTION("""COMPUTED_VALUE"""),508.8)</f>
        <v>508.8</v>
      </c>
      <c r="D722" s="9">
        <f>IFERROR(__xludf.DUMMYFUNCTION("""COMPUTED_VALUE"""),515.0)</f>
        <v>515</v>
      </c>
      <c r="E722" s="9">
        <f>IFERROR(__xludf.DUMMYFUNCTION("""COMPUTED_VALUE"""),505.5)</f>
        <v>505.5</v>
      </c>
      <c r="F722" s="9">
        <f>IFERROR(__xludf.DUMMYFUNCTION("""COMPUTED_VALUE"""),511.4)</f>
        <v>511.4</v>
      </c>
      <c r="G722" s="9">
        <f>IFERROR(__xludf.DUMMYFUNCTION("""COMPUTED_VALUE"""),2610141.0)</f>
        <v>2610141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</row>
    <row r="723">
      <c r="A723" s="1"/>
      <c r="B723" s="22">
        <f>IFERROR(__xludf.DUMMYFUNCTION("""COMPUTED_VALUE"""),42612.64583333333)</f>
        <v>42612.64583</v>
      </c>
      <c r="C723" s="9">
        <f>IFERROR(__xludf.DUMMYFUNCTION("""COMPUTED_VALUE"""),516.23)</f>
        <v>516.23</v>
      </c>
      <c r="D723" s="9">
        <f>IFERROR(__xludf.DUMMYFUNCTION("""COMPUTED_VALUE"""),522.5)</f>
        <v>522.5</v>
      </c>
      <c r="E723" s="9">
        <f>IFERROR(__xludf.DUMMYFUNCTION("""COMPUTED_VALUE"""),512.5)</f>
        <v>512.5</v>
      </c>
      <c r="F723" s="9">
        <f>IFERROR(__xludf.DUMMYFUNCTION("""COMPUTED_VALUE"""),520.2)</f>
        <v>520.2</v>
      </c>
      <c r="G723" s="9">
        <f>IFERROR(__xludf.DUMMYFUNCTION("""COMPUTED_VALUE"""),2187719.0)</f>
        <v>2187719</v>
      </c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</row>
    <row r="724">
      <c r="A724" s="1"/>
      <c r="B724" s="22">
        <f>IFERROR(__xludf.DUMMYFUNCTION("""COMPUTED_VALUE"""),42613.64583333333)</f>
        <v>42613.64583</v>
      </c>
      <c r="C724" s="9">
        <f>IFERROR(__xludf.DUMMYFUNCTION("""COMPUTED_VALUE"""),518.55)</f>
        <v>518.55</v>
      </c>
      <c r="D724" s="9">
        <f>IFERROR(__xludf.DUMMYFUNCTION("""COMPUTED_VALUE"""),522.88)</f>
        <v>522.88</v>
      </c>
      <c r="E724" s="9">
        <f>IFERROR(__xludf.DUMMYFUNCTION("""COMPUTED_VALUE"""),513.9)</f>
        <v>513.9</v>
      </c>
      <c r="F724" s="9">
        <f>IFERROR(__xludf.DUMMYFUNCTION("""COMPUTED_VALUE"""),517.92)</f>
        <v>517.92</v>
      </c>
      <c r="G724" s="9">
        <f>IFERROR(__xludf.DUMMYFUNCTION("""COMPUTED_VALUE"""),5569907.0)</f>
        <v>5569907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</row>
    <row r="725">
      <c r="A725" s="1"/>
      <c r="B725" s="22">
        <f>IFERROR(__xludf.DUMMYFUNCTION("""COMPUTED_VALUE"""),42614.64583333333)</f>
        <v>42614.64583</v>
      </c>
      <c r="C725" s="9">
        <f>IFERROR(__xludf.DUMMYFUNCTION("""COMPUTED_VALUE"""),519.0)</f>
        <v>519</v>
      </c>
      <c r="D725" s="9">
        <f>IFERROR(__xludf.DUMMYFUNCTION("""COMPUTED_VALUE"""),520.23)</f>
        <v>520.23</v>
      </c>
      <c r="E725" s="9">
        <f>IFERROR(__xludf.DUMMYFUNCTION("""COMPUTED_VALUE"""),516.0)</f>
        <v>516</v>
      </c>
      <c r="F725" s="9">
        <f>IFERROR(__xludf.DUMMYFUNCTION("""COMPUTED_VALUE"""),518.78)</f>
        <v>518.78</v>
      </c>
      <c r="G725" s="9">
        <f>IFERROR(__xludf.DUMMYFUNCTION("""COMPUTED_VALUE"""),1438913.0)</f>
        <v>1438913</v>
      </c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</row>
    <row r="726">
      <c r="A726" s="1"/>
      <c r="B726" s="22">
        <f>IFERROR(__xludf.DUMMYFUNCTION("""COMPUTED_VALUE"""),42615.64583333333)</f>
        <v>42615.64583</v>
      </c>
      <c r="C726" s="9">
        <f>IFERROR(__xludf.DUMMYFUNCTION("""COMPUTED_VALUE"""),519.53)</f>
        <v>519.53</v>
      </c>
      <c r="D726" s="9">
        <f>IFERROR(__xludf.DUMMYFUNCTION("""COMPUTED_VALUE"""),520.0)</f>
        <v>520</v>
      </c>
      <c r="E726" s="9">
        <f>IFERROR(__xludf.DUMMYFUNCTION("""COMPUTED_VALUE"""),513.1)</f>
        <v>513.1</v>
      </c>
      <c r="F726" s="9">
        <f>IFERROR(__xludf.DUMMYFUNCTION("""COMPUTED_VALUE"""),515.92)</f>
        <v>515.92</v>
      </c>
      <c r="G726" s="9">
        <f>IFERROR(__xludf.DUMMYFUNCTION("""COMPUTED_VALUE"""),1666296.0)</f>
        <v>1666296</v>
      </c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</row>
    <row r="727">
      <c r="A727" s="1"/>
      <c r="B727" s="22">
        <f>IFERROR(__xludf.DUMMYFUNCTION("""COMPUTED_VALUE"""),42619.64583333333)</f>
        <v>42619.64583</v>
      </c>
      <c r="C727" s="9">
        <f>IFERROR(__xludf.DUMMYFUNCTION("""COMPUTED_VALUE"""),519.13)</f>
        <v>519.13</v>
      </c>
      <c r="D727" s="9">
        <f>IFERROR(__xludf.DUMMYFUNCTION("""COMPUTED_VALUE"""),524.45)</f>
        <v>524.45</v>
      </c>
      <c r="E727" s="9">
        <f>IFERROR(__xludf.DUMMYFUNCTION("""COMPUTED_VALUE"""),517.8)</f>
        <v>517.8</v>
      </c>
      <c r="F727" s="9">
        <f>IFERROR(__xludf.DUMMYFUNCTION("""COMPUTED_VALUE"""),522.5)</f>
        <v>522.5</v>
      </c>
      <c r="G727" s="9">
        <f>IFERROR(__xludf.DUMMYFUNCTION("""COMPUTED_VALUE"""),4107522.0)</f>
        <v>4107522</v>
      </c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</row>
    <row r="728">
      <c r="A728" s="1"/>
      <c r="B728" s="22">
        <f>IFERROR(__xludf.DUMMYFUNCTION("""COMPUTED_VALUE"""),42620.64583333333)</f>
        <v>42620.64583</v>
      </c>
      <c r="C728" s="9">
        <f>IFERROR(__xludf.DUMMYFUNCTION("""COMPUTED_VALUE"""),524.0)</f>
        <v>524</v>
      </c>
      <c r="D728" s="9">
        <f>IFERROR(__xludf.DUMMYFUNCTION("""COMPUTED_VALUE"""),529.5)</f>
        <v>529.5</v>
      </c>
      <c r="E728" s="9">
        <f>IFERROR(__xludf.DUMMYFUNCTION("""COMPUTED_VALUE"""),522.0)</f>
        <v>522</v>
      </c>
      <c r="F728" s="9">
        <f>IFERROR(__xludf.DUMMYFUNCTION("""COMPUTED_VALUE"""),527.17)</f>
        <v>527.17</v>
      </c>
      <c r="G728" s="9">
        <f>IFERROR(__xludf.DUMMYFUNCTION("""COMPUTED_VALUE"""),3712735.0)</f>
        <v>3712735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</row>
    <row r="729">
      <c r="A729" s="1"/>
      <c r="B729" s="22">
        <f>IFERROR(__xludf.DUMMYFUNCTION("""COMPUTED_VALUE"""),42621.64583333333)</f>
        <v>42621.64583</v>
      </c>
      <c r="C729" s="9">
        <f>IFERROR(__xludf.DUMMYFUNCTION("""COMPUTED_VALUE"""),522.5)</f>
        <v>522.5</v>
      </c>
      <c r="D729" s="9">
        <f>IFERROR(__xludf.DUMMYFUNCTION("""COMPUTED_VALUE"""),522.5)</f>
        <v>522.5</v>
      </c>
      <c r="E729" s="9">
        <f>IFERROR(__xludf.DUMMYFUNCTION("""COMPUTED_VALUE"""),512.0)</f>
        <v>512</v>
      </c>
      <c r="F729" s="9">
        <f>IFERROR(__xludf.DUMMYFUNCTION("""COMPUTED_VALUE"""),518.83)</f>
        <v>518.83</v>
      </c>
      <c r="G729" s="9">
        <f>IFERROR(__xludf.DUMMYFUNCTION("""COMPUTED_VALUE"""),4546387.0)</f>
        <v>4546387</v>
      </c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</row>
    <row r="730">
      <c r="A730" s="1"/>
      <c r="B730" s="22">
        <f>IFERROR(__xludf.DUMMYFUNCTION("""COMPUTED_VALUE"""),42622.64583333333)</f>
        <v>42622.64583</v>
      </c>
      <c r="C730" s="9">
        <f>IFERROR(__xludf.DUMMYFUNCTION("""COMPUTED_VALUE"""),518.5)</f>
        <v>518.5</v>
      </c>
      <c r="D730" s="9">
        <f>IFERROR(__xludf.DUMMYFUNCTION("""COMPUTED_VALUE"""),520.5)</f>
        <v>520.5</v>
      </c>
      <c r="E730" s="9">
        <f>IFERROR(__xludf.DUMMYFUNCTION("""COMPUTED_VALUE"""),513.28)</f>
        <v>513.28</v>
      </c>
      <c r="F730" s="9">
        <f>IFERROR(__xludf.DUMMYFUNCTION("""COMPUTED_VALUE"""),517.75)</f>
        <v>517.75</v>
      </c>
      <c r="G730" s="9">
        <f>IFERROR(__xludf.DUMMYFUNCTION("""COMPUTED_VALUE"""),2526719.0)</f>
        <v>2526719</v>
      </c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</row>
    <row r="731">
      <c r="A731" s="1"/>
      <c r="B731" s="22">
        <f>IFERROR(__xludf.DUMMYFUNCTION("""COMPUTED_VALUE"""),42625.64583333333)</f>
        <v>42625.64583</v>
      </c>
      <c r="C731" s="9">
        <f>IFERROR(__xludf.DUMMYFUNCTION("""COMPUTED_VALUE"""),512.63)</f>
        <v>512.63</v>
      </c>
      <c r="D731" s="9">
        <f>IFERROR(__xludf.DUMMYFUNCTION("""COMPUTED_VALUE"""),529.0)</f>
        <v>529</v>
      </c>
      <c r="E731" s="9">
        <f>IFERROR(__xludf.DUMMYFUNCTION("""COMPUTED_VALUE"""),512.63)</f>
        <v>512.63</v>
      </c>
      <c r="F731" s="9">
        <f>IFERROR(__xludf.DUMMYFUNCTION("""COMPUTED_VALUE"""),527.0)</f>
        <v>527</v>
      </c>
      <c r="G731" s="9">
        <f>IFERROR(__xludf.DUMMYFUNCTION("""COMPUTED_VALUE"""),3101548.0)</f>
        <v>3101548</v>
      </c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</row>
    <row r="732">
      <c r="A732" s="1"/>
      <c r="B732" s="22">
        <f>IFERROR(__xludf.DUMMYFUNCTION("""COMPUTED_VALUE"""),42627.64583333333)</f>
        <v>42627.64583</v>
      </c>
      <c r="C732" s="9">
        <f>IFERROR(__xludf.DUMMYFUNCTION("""COMPUTED_VALUE"""),526.98)</f>
        <v>526.98</v>
      </c>
      <c r="D732" s="9">
        <f>IFERROR(__xludf.DUMMYFUNCTION("""COMPUTED_VALUE"""),528.9)</f>
        <v>528.9</v>
      </c>
      <c r="E732" s="9">
        <f>IFERROR(__xludf.DUMMYFUNCTION("""COMPUTED_VALUE"""),520.33)</f>
        <v>520.33</v>
      </c>
      <c r="F732" s="9">
        <f>IFERROR(__xludf.DUMMYFUNCTION("""COMPUTED_VALUE"""),522.8)</f>
        <v>522.8</v>
      </c>
      <c r="G732" s="9">
        <f>IFERROR(__xludf.DUMMYFUNCTION("""COMPUTED_VALUE"""),2576209.0)</f>
        <v>2576209</v>
      </c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</row>
    <row r="733">
      <c r="A733" s="1"/>
      <c r="B733" s="22">
        <f>IFERROR(__xludf.DUMMYFUNCTION("""COMPUTED_VALUE"""),42628.64583333333)</f>
        <v>42628.64583</v>
      </c>
      <c r="C733" s="9">
        <f>IFERROR(__xludf.DUMMYFUNCTION("""COMPUTED_VALUE"""),522.8)</f>
        <v>522.8</v>
      </c>
      <c r="D733" s="9">
        <f>IFERROR(__xludf.DUMMYFUNCTION("""COMPUTED_VALUE"""),523.4)</f>
        <v>523.4</v>
      </c>
      <c r="E733" s="9">
        <f>IFERROR(__xludf.DUMMYFUNCTION("""COMPUTED_VALUE"""),517.67)</f>
        <v>517.67</v>
      </c>
      <c r="F733" s="9">
        <f>IFERROR(__xludf.DUMMYFUNCTION("""COMPUTED_VALUE"""),521.1)</f>
        <v>521.1</v>
      </c>
      <c r="G733" s="9">
        <f>IFERROR(__xludf.DUMMYFUNCTION("""COMPUTED_VALUE"""),2350861.0)</f>
        <v>2350861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</row>
    <row r="734">
      <c r="A734" s="1"/>
      <c r="B734" s="22">
        <f>IFERROR(__xludf.DUMMYFUNCTION("""COMPUTED_VALUE"""),42629.64583333333)</f>
        <v>42629.64583</v>
      </c>
      <c r="C734" s="9">
        <f>IFERROR(__xludf.DUMMYFUNCTION("""COMPUTED_VALUE"""),524.5)</f>
        <v>524.5</v>
      </c>
      <c r="D734" s="9">
        <f>IFERROR(__xludf.DUMMYFUNCTION("""COMPUTED_VALUE"""),532.25)</f>
        <v>532.25</v>
      </c>
      <c r="E734" s="9">
        <f>IFERROR(__xludf.DUMMYFUNCTION("""COMPUTED_VALUE"""),519.05)</f>
        <v>519.05</v>
      </c>
      <c r="F734" s="9">
        <f>IFERROR(__xludf.DUMMYFUNCTION("""COMPUTED_VALUE"""),530.08)</f>
        <v>530.08</v>
      </c>
      <c r="G734" s="9">
        <f>IFERROR(__xludf.DUMMYFUNCTION("""COMPUTED_VALUE"""),4974692.0)</f>
        <v>4974692</v>
      </c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</row>
    <row r="735">
      <c r="A735" s="1"/>
      <c r="B735" s="22">
        <f>IFERROR(__xludf.DUMMYFUNCTION("""COMPUTED_VALUE"""),42632.64583333333)</f>
        <v>42632.64583</v>
      </c>
      <c r="C735" s="9">
        <f>IFERROR(__xludf.DUMMYFUNCTION("""COMPUTED_VALUE"""),523.0)</f>
        <v>523</v>
      </c>
      <c r="D735" s="9">
        <f>IFERROR(__xludf.DUMMYFUNCTION("""COMPUTED_VALUE"""),534.45)</f>
        <v>534.45</v>
      </c>
      <c r="E735" s="9">
        <f>IFERROR(__xludf.DUMMYFUNCTION("""COMPUTED_VALUE"""),520.67)</f>
        <v>520.67</v>
      </c>
      <c r="F735" s="9">
        <f>IFERROR(__xludf.DUMMYFUNCTION("""COMPUTED_VALUE"""),530.6)</f>
        <v>530.6</v>
      </c>
      <c r="G735" s="9">
        <f>IFERROR(__xludf.DUMMYFUNCTION("""COMPUTED_VALUE"""),2904577.0)</f>
        <v>2904577</v>
      </c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</row>
    <row r="736">
      <c r="A736" s="1"/>
      <c r="B736" s="22">
        <f>IFERROR(__xludf.DUMMYFUNCTION("""COMPUTED_VALUE"""),42633.64583333333)</f>
        <v>42633.64583</v>
      </c>
      <c r="C736" s="9">
        <f>IFERROR(__xludf.DUMMYFUNCTION("""COMPUTED_VALUE"""),526.65)</f>
        <v>526.65</v>
      </c>
      <c r="D736" s="9">
        <f>IFERROR(__xludf.DUMMYFUNCTION("""COMPUTED_VALUE"""),528.58)</f>
        <v>528.58</v>
      </c>
      <c r="E736" s="9">
        <f>IFERROR(__xludf.DUMMYFUNCTION("""COMPUTED_VALUE"""),522.88)</f>
        <v>522.88</v>
      </c>
      <c r="F736" s="9">
        <f>IFERROR(__xludf.DUMMYFUNCTION("""COMPUTED_VALUE"""),525.08)</f>
        <v>525.08</v>
      </c>
      <c r="G736" s="9">
        <f>IFERROR(__xludf.DUMMYFUNCTION("""COMPUTED_VALUE"""),2107002.0)</f>
        <v>2107002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</row>
    <row r="737">
      <c r="A737" s="1"/>
      <c r="B737" s="22">
        <f>IFERROR(__xludf.DUMMYFUNCTION("""COMPUTED_VALUE"""),42634.64583333333)</f>
        <v>42634.64583</v>
      </c>
      <c r="C737" s="9">
        <f>IFERROR(__xludf.DUMMYFUNCTION("""COMPUTED_VALUE"""),527.0)</f>
        <v>527</v>
      </c>
      <c r="D737" s="9">
        <f>IFERROR(__xludf.DUMMYFUNCTION("""COMPUTED_VALUE"""),530.63)</f>
        <v>530.63</v>
      </c>
      <c r="E737" s="9">
        <f>IFERROR(__xludf.DUMMYFUNCTION("""COMPUTED_VALUE"""),525.53)</f>
        <v>525.53</v>
      </c>
      <c r="F737" s="9">
        <f>IFERROR(__xludf.DUMMYFUNCTION("""COMPUTED_VALUE"""),527.88)</f>
        <v>527.88</v>
      </c>
      <c r="G737" s="9">
        <f>IFERROR(__xludf.DUMMYFUNCTION("""COMPUTED_VALUE"""),2115766.0)</f>
        <v>2115766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</row>
    <row r="738">
      <c r="A738" s="1"/>
      <c r="B738" s="22">
        <f>IFERROR(__xludf.DUMMYFUNCTION("""COMPUTED_VALUE"""),42635.64583333333)</f>
        <v>42635.64583</v>
      </c>
      <c r="C738" s="9">
        <f>IFERROR(__xludf.DUMMYFUNCTION("""COMPUTED_VALUE"""),529.5)</f>
        <v>529.5</v>
      </c>
      <c r="D738" s="9">
        <f>IFERROR(__xludf.DUMMYFUNCTION("""COMPUTED_VALUE"""),530.5)</f>
        <v>530.5</v>
      </c>
      <c r="E738" s="9">
        <f>IFERROR(__xludf.DUMMYFUNCTION("""COMPUTED_VALUE"""),526.0)</f>
        <v>526</v>
      </c>
      <c r="F738" s="9">
        <f>IFERROR(__xludf.DUMMYFUNCTION("""COMPUTED_VALUE"""),529.4)</f>
        <v>529.4</v>
      </c>
      <c r="G738" s="9">
        <f>IFERROR(__xludf.DUMMYFUNCTION("""COMPUTED_VALUE"""),1814757.0)</f>
        <v>1814757</v>
      </c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</row>
    <row r="739">
      <c r="A739" s="1"/>
      <c r="B739" s="22">
        <f>IFERROR(__xludf.DUMMYFUNCTION("""COMPUTED_VALUE"""),42636.64583333333)</f>
        <v>42636.64583</v>
      </c>
      <c r="C739" s="9">
        <f>IFERROR(__xludf.DUMMYFUNCTION("""COMPUTED_VALUE"""),528.5)</f>
        <v>528.5</v>
      </c>
      <c r="D739" s="9">
        <f>IFERROR(__xludf.DUMMYFUNCTION("""COMPUTED_VALUE"""),529.4)</f>
        <v>529.4</v>
      </c>
      <c r="E739" s="9">
        <f>IFERROR(__xludf.DUMMYFUNCTION("""COMPUTED_VALUE"""),520.0)</f>
        <v>520</v>
      </c>
      <c r="F739" s="9">
        <f>IFERROR(__xludf.DUMMYFUNCTION("""COMPUTED_VALUE"""),521.28)</f>
        <v>521.28</v>
      </c>
      <c r="G739" s="9">
        <f>IFERROR(__xludf.DUMMYFUNCTION("""COMPUTED_VALUE"""),2602647.0)</f>
        <v>2602647</v>
      </c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</row>
    <row r="740">
      <c r="A740" s="1"/>
      <c r="B740" s="22">
        <f>IFERROR(__xludf.DUMMYFUNCTION("""COMPUTED_VALUE"""),42639.64583333333)</f>
        <v>42639.64583</v>
      </c>
      <c r="C740" s="9">
        <f>IFERROR(__xludf.DUMMYFUNCTION("""COMPUTED_VALUE"""),521.38)</f>
        <v>521.38</v>
      </c>
      <c r="D740" s="9">
        <f>IFERROR(__xludf.DUMMYFUNCTION("""COMPUTED_VALUE"""),522.0)</f>
        <v>522</v>
      </c>
      <c r="E740" s="9">
        <f>IFERROR(__xludf.DUMMYFUNCTION("""COMPUTED_VALUE"""),515.5)</f>
        <v>515.5</v>
      </c>
      <c r="F740" s="9">
        <f>IFERROR(__xludf.DUMMYFUNCTION("""COMPUTED_VALUE"""),517.95)</f>
        <v>517.95</v>
      </c>
      <c r="G740" s="9">
        <f>IFERROR(__xludf.DUMMYFUNCTION("""COMPUTED_VALUE"""),3185899.0)</f>
        <v>3185899</v>
      </c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</row>
    <row r="741">
      <c r="A741" s="1"/>
      <c r="B741" s="22">
        <f>IFERROR(__xludf.DUMMYFUNCTION("""COMPUTED_VALUE"""),42640.64583333333)</f>
        <v>42640.64583</v>
      </c>
      <c r="C741" s="9">
        <f>IFERROR(__xludf.DUMMYFUNCTION("""COMPUTED_VALUE"""),517.53)</f>
        <v>517.53</v>
      </c>
      <c r="D741" s="9">
        <f>IFERROR(__xludf.DUMMYFUNCTION("""COMPUTED_VALUE"""),524.95)</f>
        <v>524.95</v>
      </c>
      <c r="E741" s="9">
        <f>IFERROR(__xludf.DUMMYFUNCTION("""COMPUTED_VALUE"""),516.67)</f>
        <v>516.67</v>
      </c>
      <c r="F741" s="9">
        <f>IFERROR(__xludf.DUMMYFUNCTION("""COMPUTED_VALUE"""),519.88)</f>
        <v>519.88</v>
      </c>
      <c r="G741" s="9">
        <f>IFERROR(__xludf.DUMMYFUNCTION("""COMPUTED_VALUE"""),3262830.0)</f>
        <v>3262830</v>
      </c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</row>
    <row r="742">
      <c r="A742" s="1"/>
      <c r="B742" s="22">
        <f>IFERROR(__xludf.DUMMYFUNCTION("""COMPUTED_VALUE"""),42641.64583333333)</f>
        <v>42641.64583</v>
      </c>
      <c r="C742" s="9">
        <f>IFERROR(__xludf.DUMMYFUNCTION("""COMPUTED_VALUE"""),520.0)</f>
        <v>520</v>
      </c>
      <c r="D742" s="9">
        <f>IFERROR(__xludf.DUMMYFUNCTION("""COMPUTED_VALUE"""),521.15)</f>
        <v>521.15</v>
      </c>
      <c r="E742" s="9">
        <f>IFERROR(__xludf.DUMMYFUNCTION("""COMPUTED_VALUE"""),516.63)</f>
        <v>516.63</v>
      </c>
      <c r="F742" s="9">
        <f>IFERROR(__xludf.DUMMYFUNCTION("""COMPUTED_VALUE"""),519.48)</f>
        <v>519.48</v>
      </c>
      <c r="G742" s="9">
        <f>IFERROR(__xludf.DUMMYFUNCTION("""COMPUTED_VALUE"""),2717354.0)</f>
        <v>2717354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</row>
    <row r="743">
      <c r="A743" s="1"/>
      <c r="B743" s="22">
        <f>IFERROR(__xludf.DUMMYFUNCTION("""COMPUTED_VALUE"""),42642.64583333333)</f>
        <v>42642.64583</v>
      </c>
      <c r="C743" s="9">
        <f>IFERROR(__xludf.DUMMYFUNCTION("""COMPUTED_VALUE"""),522.48)</f>
        <v>522.48</v>
      </c>
      <c r="D743" s="9">
        <f>IFERROR(__xludf.DUMMYFUNCTION("""COMPUTED_VALUE"""),522.48)</f>
        <v>522.48</v>
      </c>
      <c r="E743" s="9">
        <f>IFERROR(__xludf.DUMMYFUNCTION("""COMPUTED_VALUE"""),512.0)</f>
        <v>512</v>
      </c>
      <c r="F743" s="9">
        <f>IFERROR(__xludf.DUMMYFUNCTION("""COMPUTED_VALUE"""),514.6)</f>
        <v>514.6</v>
      </c>
      <c r="G743" s="9">
        <f>IFERROR(__xludf.DUMMYFUNCTION("""COMPUTED_VALUE"""),4451319.0)</f>
        <v>4451319</v>
      </c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</row>
    <row r="744">
      <c r="A744" s="1"/>
      <c r="B744" s="22">
        <f>IFERROR(__xludf.DUMMYFUNCTION("""COMPUTED_VALUE"""),42643.64583333333)</f>
        <v>42643.64583</v>
      </c>
      <c r="C744" s="9">
        <f>IFERROR(__xludf.DUMMYFUNCTION("""COMPUTED_VALUE"""),515.55)</f>
        <v>515.55</v>
      </c>
      <c r="D744" s="9">
        <f>IFERROR(__xludf.DUMMYFUNCTION("""COMPUTED_VALUE"""),521.95)</f>
        <v>521.95</v>
      </c>
      <c r="E744" s="9">
        <f>IFERROR(__xludf.DUMMYFUNCTION("""COMPUTED_VALUE"""),515.55)</f>
        <v>515.55</v>
      </c>
      <c r="F744" s="9">
        <f>IFERROR(__xludf.DUMMYFUNCTION("""COMPUTED_VALUE"""),518.03)</f>
        <v>518.03</v>
      </c>
      <c r="G744" s="9">
        <f>IFERROR(__xludf.DUMMYFUNCTION("""COMPUTED_VALUE"""),3251177.0)</f>
        <v>3251177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</row>
    <row r="745">
      <c r="A745" s="1"/>
      <c r="B745" s="22">
        <f>IFERROR(__xludf.DUMMYFUNCTION("""COMPUTED_VALUE"""),42646.64583333333)</f>
        <v>42646.64583</v>
      </c>
      <c r="C745" s="9">
        <f>IFERROR(__xludf.DUMMYFUNCTION("""COMPUTED_VALUE"""),517.75)</f>
        <v>517.75</v>
      </c>
      <c r="D745" s="9">
        <f>IFERROR(__xludf.DUMMYFUNCTION("""COMPUTED_VALUE"""),520.0)</f>
        <v>520</v>
      </c>
      <c r="E745" s="9">
        <f>IFERROR(__xludf.DUMMYFUNCTION("""COMPUTED_VALUE"""),513.05)</f>
        <v>513.05</v>
      </c>
      <c r="F745" s="9">
        <f>IFERROR(__xludf.DUMMYFUNCTION("""COMPUTED_VALUE"""),519.05)</f>
        <v>519.05</v>
      </c>
      <c r="G745" s="9">
        <f>IFERROR(__xludf.DUMMYFUNCTION("""COMPUTED_VALUE"""),1828080.0)</f>
        <v>1828080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</row>
    <row r="746">
      <c r="A746" s="1"/>
      <c r="B746" s="22">
        <f>IFERROR(__xludf.DUMMYFUNCTION("""COMPUTED_VALUE"""),42647.64583333333)</f>
        <v>42647.64583</v>
      </c>
      <c r="C746" s="9">
        <f>IFERROR(__xludf.DUMMYFUNCTION("""COMPUTED_VALUE"""),520.0)</f>
        <v>520</v>
      </c>
      <c r="D746" s="9">
        <f>IFERROR(__xludf.DUMMYFUNCTION("""COMPUTED_VALUE"""),525.7)</f>
        <v>525.7</v>
      </c>
      <c r="E746" s="9">
        <f>IFERROR(__xludf.DUMMYFUNCTION("""COMPUTED_VALUE"""),519.15)</f>
        <v>519.15</v>
      </c>
      <c r="F746" s="9">
        <f>IFERROR(__xludf.DUMMYFUNCTION("""COMPUTED_VALUE"""),524.6)</f>
        <v>524.6</v>
      </c>
      <c r="G746" s="9">
        <f>IFERROR(__xludf.DUMMYFUNCTION("""COMPUTED_VALUE"""),2533293.0)</f>
        <v>2533293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</row>
    <row r="747">
      <c r="A747" s="1"/>
      <c r="B747" s="22">
        <f>IFERROR(__xludf.DUMMYFUNCTION("""COMPUTED_VALUE"""),42648.64583333333)</f>
        <v>42648.64583</v>
      </c>
      <c r="C747" s="9">
        <f>IFERROR(__xludf.DUMMYFUNCTION("""COMPUTED_VALUE"""),524.6)</f>
        <v>524.6</v>
      </c>
      <c r="D747" s="9">
        <f>IFERROR(__xludf.DUMMYFUNCTION("""COMPUTED_VALUE"""),524.92)</f>
        <v>524.92</v>
      </c>
      <c r="E747" s="9">
        <f>IFERROR(__xludf.DUMMYFUNCTION("""COMPUTED_VALUE"""),518.5)</f>
        <v>518.5</v>
      </c>
      <c r="F747" s="9">
        <f>IFERROR(__xludf.DUMMYFUNCTION("""COMPUTED_VALUE"""),520.75)</f>
        <v>520.75</v>
      </c>
      <c r="G747" s="9">
        <f>IFERROR(__xludf.DUMMYFUNCTION("""COMPUTED_VALUE"""),1153787.0)</f>
        <v>1153787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</row>
    <row r="748">
      <c r="A748" s="1"/>
      <c r="B748" s="22">
        <f>IFERROR(__xludf.DUMMYFUNCTION("""COMPUTED_VALUE"""),42649.64583333333)</f>
        <v>42649.64583</v>
      </c>
      <c r="C748" s="9">
        <f>IFERROR(__xludf.DUMMYFUNCTION("""COMPUTED_VALUE"""),522.5)</f>
        <v>522.5</v>
      </c>
      <c r="D748" s="9">
        <f>IFERROR(__xludf.DUMMYFUNCTION("""COMPUTED_VALUE"""),522.5)</f>
        <v>522.5</v>
      </c>
      <c r="E748" s="9">
        <f>IFERROR(__xludf.DUMMYFUNCTION("""COMPUTED_VALUE"""),512.98)</f>
        <v>512.98</v>
      </c>
      <c r="F748" s="9">
        <f>IFERROR(__xludf.DUMMYFUNCTION("""COMPUTED_VALUE"""),513.7)</f>
        <v>513.7</v>
      </c>
      <c r="G748" s="9">
        <f>IFERROR(__xludf.DUMMYFUNCTION("""COMPUTED_VALUE"""),1860941.0)</f>
        <v>1860941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</row>
    <row r="749">
      <c r="A749" s="1"/>
      <c r="B749" s="22">
        <f>IFERROR(__xludf.DUMMYFUNCTION("""COMPUTED_VALUE"""),42650.64583333333)</f>
        <v>42650.64583</v>
      </c>
      <c r="C749" s="9">
        <f>IFERROR(__xludf.DUMMYFUNCTION("""COMPUTED_VALUE"""),514.98)</f>
        <v>514.98</v>
      </c>
      <c r="D749" s="9">
        <f>IFERROR(__xludf.DUMMYFUNCTION("""COMPUTED_VALUE"""),516.9)</f>
        <v>516.9</v>
      </c>
      <c r="E749" s="9">
        <f>IFERROR(__xludf.DUMMYFUNCTION("""COMPUTED_VALUE"""),505.05)</f>
        <v>505.05</v>
      </c>
      <c r="F749" s="9">
        <f>IFERROR(__xludf.DUMMYFUNCTION("""COMPUTED_VALUE"""),506.28)</f>
        <v>506.28</v>
      </c>
      <c r="G749" s="9">
        <f>IFERROR(__xludf.DUMMYFUNCTION("""COMPUTED_VALUE"""),3144279.0)</f>
        <v>3144279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</row>
    <row r="750">
      <c r="A750" s="1"/>
      <c r="B750" s="22">
        <f>IFERROR(__xludf.DUMMYFUNCTION("""COMPUTED_VALUE"""),42653.64583333333)</f>
        <v>42653.64583</v>
      </c>
      <c r="C750" s="9">
        <f>IFERROR(__xludf.DUMMYFUNCTION("""COMPUTED_VALUE"""),508.5)</f>
        <v>508.5</v>
      </c>
      <c r="D750" s="9">
        <f>IFERROR(__xludf.DUMMYFUNCTION("""COMPUTED_VALUE"""),515.88)</f>
        <v>515.88</v>
      </c>
      <c r="E750" s="9">
        <f>IFERROR(__xludf.DUMMYFUNCTION("""COMPUTED_VALUE"""),505.0)</f>
        <v>505</v>
      </c>
      <c r="F750" s="9">
        <f>IFERROR(__xludf.DUMMYFUNCTION("""COMPUTED_VALUE"""),514.98)</f>
        <v>514.98</v>
      </c>
      <c r="G750" s="9">
        <f>IFERROR(__xludf.DUMMYFUNCTION("""COMPUTED_VALUE"""),2706585.0)</f>
        <v>2706585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</row>
    <row r="751">
      <c r="A751" s="1"/>
      <c r="B751" s="22">
        <f>IFERROR(__xludf.DUMMYFUNCTION("""COMPUTED_VALUE"""),42656.64583333333)</f>
        <v>42656.64583</v>
      </c>
      <c r="C751" s="9">
        <f>IFERROR(__xludf.DUMMYFUNCTION("""COMPUTED_VALUE"""),510.7)</f>
        <v>510.7</v>
      </c>
      <c r="D751" s="9">
        <f>IFERROR(__xludf.DUMMYFUNCTION("""COMPUTED_VALUE"""),529.0)</f>
        <v>529</v>
      </c>
      <c r="E751" s="9">
        <f>IFERROR(__xludf.DUMMYFUNCTION("""COMPUTED_VALUE"""),510.7)</f>
        <v>510.7</v>
      </c>
      <c r="F751" s="9">
        <f>IFERROR(__xludf.DUMMYFUNCTION("""COMPUTED_VALUE"""),526.17)</f>
        <v>526.17</v>
      </c>
      <c r="G751" s="9">
        <f>IFERROR(__xludf.DUMMYFUNCTION("""COMPUTED_VALUE"""),4889345.0)</f>
        <v>4889345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</row>
    <row r="752">
      <c r="A752" s="1"/>
      <c r="B752" s="22">
        <f>IFERROR(__xludf.DUMMYFUNCTION("""COMPUTED_VALUE"""),42657.64583333333)</f>
        <v>42657.64583</v>
      </c>
      <c r="C752" s="9">
        <f>IFERROR(__xludf.DUMMYFUNCTION("""COMPUTED_VALUE"""),526.45)</f>
        <v>526.45</v>
      </c>
      <c r="D752" s="9">
        <f>IFERROR(__xludf.DUMMYFUNCTION("""COMPUTED_VALUE"""),541.35)</f>
        <v>541.35</v>
      </c>
      <c r="E752" s="9">
        <f>IFERROR(__xludf.DUMMYFUNCTION("""COMPUTED_VALUE"""),498.13)</f>
        <v>498.13</v>
      </c>
      <c r="F752" s="9">
        <f>IFERROR(__xludf.DUMMYFUNCTION("""COMPUTED_VALUE"""),513.58)</f>
        <v>513.58</v>
      </c>
      <c r="G752" s="9">
        <f>IFERROR(__xludf.DUMMYFUNCTION("""COMPUTED_VALUE"""),1.6730845E7)</f>
        <v>16730845</v>
      </c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</row>
    <row r="753">
      <c r="A753" s="1"/>
      <c r="B753" s="22">
        <f>IFERROR(__xludf.DUMMYFUNCTION("""COMPUTED_VALUE"""),42660.64583333333)</f>
        <v>42660.64583</v>
      </c>
      <c r="C753" s="9">
        <f>IFERROR(__xludf.DUMMYFUNCTION("""COMPUTED_VALUE"""),517.48)</f>
        <v>517.48</v>
      </c>
      <c r="D753" s="9">
        <f>IFERROR(__xludf.DUMMYFUNCTION("""COMPUTED_VALUE"""),520.9)</f>
        <v>520.9</v>
      </c>
      <c r="E753" s="9">
        <f>IFERROR(__xludf.DUMMYFUNCTION("""COMPUTED_VALUE"""),508.68)</f>
        <v>508.68</v>
      </c>
      <c r="F753" s="9">
        <f>IFERROR(__xludf.DUMMYFUNCTION("""COMPUTED_VALUE"""),511.2)</f>
        <v>511.2</v>
      </c>
      <c r="G753" s="9">
        <f>IFERROR(__xludf.DUMMYFUNCTION("""COMPUTED_VALUE"""),4007429.0)</f>
        <v>4007429</v>
      </c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</row>
    <row r="754">
      <c r="A754" s="1"/>
      <c r="B754" s="22">
        <f>IFERROR(__xludf.DUMMYFUNCTION("""COMPUTED_VALUE"""),42661.64583333333)</f>
        <v>42661.64583</v>
      </c>
      <c r="C754" s="9">
        <f>IFERROR(__xludf.DUMMYFUNCTION("""COMPUTED_VALUE"""),515.0)</f>
        <v>515</v>
      </c>
      <c r="D754" s="9">
        <f>IFERROR(__xludf.DUMMYFUNCTION("""COMPUTED_VALUE"""),520.25)</f>
        <v>520.25</v>
      </c>
      <c r="E754" s="9">
        <f>IFERROR(__xludf.DUMMYFUNCTION("""COMPUTED_VALUE"""),513.65)</f>
        <v>513.65</v>
      </c>
      <c r="F754" s="9">
        <f>IFERROR(__xludf.DUMMYFUNCTION("""COMPUTED_VALUE"""),519.53)</f>
        <v>519.53</v>
      </c>
      <c r="G754" s="9">
        <f>IFERROR(__xludf.DUMMYFUNCTION("""COMPUTED_VALUE"""),3194067.0)</f>
        <v>3194067</v>
      </c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</row>
    <row r="755">
      <c r="A755" s="1"/>
      <c r="B755" s="22">
        <f>IFERROR(__xludf.DUMMYFUNCTION("""COMPUTED_VALUE"""),42662.64583333333)</f>
        <v>42662.64583</v>
      </c>
      <c r="C755" s="9">
        <f>IFERROR(__xludf.DUMMYFUNCTION("""COMPUTED_VALUE"""),521.0)</f>
        <v>521</v>
      </c>
      <c r="D755" s="9">
        <f>IFERROR(__xludf.DUMMYFUNCTION("""COMPUTED_VALUE"""),522.85)</f>
        <v>522.85</v>
      </c>
      <c r="E755" s="9">
        <f>IFERROR(__xludf.DUMMYFUNCTION("""COMPUTED_VALUE"""),518.0)</f>
        <v>518</v>
      </c>
      <c r="F755" s="9">
        <f>IFERROR(__xludf.DUMMYFUNCTION("""COMPUTED_VALUE"""),520.9)</f>
        <v>520.9</v>
      </c>
      <c r="G755" s="9">
        <f>IFERROR(__xludf.DUMMYFUNCTION("""COMPUTED_VALUE"""),1754918.0)</f>
        <v>1754918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</row>
    <row r="756">
      <c r="A756" s="1"/>
      <c r="B756" s="22">
        <f>IFERROR(__xludf.DUMMYFUNCTION("""COMPUTED_VALUE"""),42663.64583333333)</f>
        <v>42663.64583</v>
      </c>
      <c r="C756" s="9">
        <f>IFERROR(__xludf.DUMMYFUNCTION("""COMPUTED_VALUE"""),522.38)</f>
        <v>522.38</v>
      </c>
      <c r="D756" s="9">
        <f>IFERROR(__xludf.DUMMYFUNCTION("""COMPUTED_VALUE"""),525.35)</f>
        <v>525.35</v>
      </c>
      <c r="E756" s="9">
        <f>IFERROR(__xludf.DUMMYFUNCTION("""COMPUTED_VALUE"""),516.9)</f>
        <v>516.9</v>
      </c>
      <c r="F756" s="9">
        <f>IFERROR(__xludf.DUMMYFUNCTION("""COMPUTED_VALUE"""),518.33)</f>
        <v>518.33</v>
      </c>
      <c r="G756" s="9">
        <f>IFERROR(__xludf.DUMMYFUNCTION("""COMPUTED_VALUE"""),1767745.0)</f>
        <v>1767745</v>
      </c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</row>
    <row r="757">
      <c r="A757" s="1"/>
      <c r="B757" s="22">
        <f>IFERROR(__xludf.DUMMYFUNCTION("""COMPUTED_VALUE"""),42664.64583333333)</f>
        <v>42664.64583</v>
      </c>
      <c r="C757" s="9">
        <f>IFERROR(__xludf.DUMMYFUNCTION("""COMPUTED_VALUE"""),517.5)</f>
        <v>517.5</v>
      </c>
      <c r="D757" s="9">
        <f>IFERROR(__xludf.DUMMYFUNCTION("""COMPUTED_VALUE"""),520.5)</f>
        <v>520.5</v>
      </c>
      <c r="E757" s="9">
        <f>IFERROR(__xludf.DUMMYFUNCTION("""COMPUTED_VALUE"""),511.25)</f>
        <v>511.25</v>
      </c>
      <c r="F757" s="9">
        <f>IFERROR(__xludf.DUMMYFUNCTION("""COMPUTED_VALUE"""),519.15)</f>
        <v>519.15</v>
      </c>
      <c r="G757" s="9">
        <f>IFERROR(__xludf.DUMMYFUNCTION("""COMPUTED_VALUE"""),1931810.0)</f>
        <v>1931810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</row>
    <row r="758">
      <c r="A758" s="1"/>
      <c r="B758" s="22">
        <f>IFERROR(__xludf.DUMMYFUNCTION("""COMPUTED_VALUE"""),42667.64583333333)</f>
        <v>42667.64583</v>
      </c>
      <c r="C758" s="9">
        <f>IFERROR(__xludf.DUMMYFUNCTION("""COMPUTED_VALUE"""),518.75)</f>
        <v>518.75</v>
      </c>
      <c r="D758" s="9">
        <f>IFERROR(__xludf.DUMMYFUNCTION("""COMPUTED_VALUE"""),521.35)</f>
        <v>521.35</v>
      </c>
      <c r="E758" s="9">
        <f>IFERROR(__xludf.DUMMYFUNCTION("""COMPUTED_VALUE"""),512.75)</f>
        <v>512.75</v>
      </c>
      <c r="F758" s="9">
        <f>IFERROR(__xludf.DUMMYFUNCTION("""COMPUTED_VALUE"""),513.55)</f>
        <v>513.55</v>
      </c>
      <c r="G758" s="9">
        <f>IFERROR(__xludf.DUMMYFUNCTION("""COMPUTED_VALUE"""),1451487.0)</f>
        <v>1451487</v>
      </c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</row>
    <row r="759">
      <c r="A759" s="1"/>
      <c r="B759" s="22">
        <f>IFERROR(__xludf.DUMMYFUNCTION("""COMPUTED_VALUE"""),42668.64583333333)</f>
        <v>42668.64583</v>
      </c>
      <c r="C759" s="9">
        <f>IFERROR(__xludf.DUMMYFUNCTION("""COMPUTED_VALUE"""),518.25)</f>
        <v>518.25</v>
      </c>
      <c r="D759" s="9">
        <f>IFERROR(__xludf.DUMMYFUNCTION("""COMPUTED_VALUE"""),519.45)</f>
        <v>519.45</v>
      </c>
      <c r="E759" s="9">
        <f>IFERROR(__xludf.DUMMYFUNCTION("""COMPUTED_VALUE"""),507.6)</f>
        <v>507.6</v>
      </c>
      <c r="F759" s="9">
        <f>IFERROR(__xludf.DUMMYFUNCTION("""COMPUTED_VALUE"""),508.6)</f>
        <v>508.6</v>
      </c>
      <c r="G759" s="9">
        <f>IFERROR(__xludf.DUMMYFUNCTION("""COMPUTED_VALUE"""),2818007.0)</f>
        <v>2818007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</row>
    <row r="760">
      <c r="A760" s="1"/>
      <c r="B760" s="22">
        <f>IFERROR(__xludf.DUMMYFUNCTION("""COMPUTED_VALUE"""),42669.64583333333)</f>
        <v>42669.64583</v>
      </c>
      <c r="C760" s="9">
        <f>IFERROR(__xludf.DUMMYFUNCTION("""COMPUTED_VALUE"""),508.5)</f>
        <v>508.5</v>
      </c>
      <c r="D760" s="9">
        <f>IFERROR(__xludf.DUMMYFUNCTION("""COMPUTED_VALUE"""),509.93)</f>
        <v>509.93</v>
      </c>
      <c r="E760" s="9">
        <f>IFERROR(__xludf.DUMMYFUNCTION("""COMPUTED_VALUE"""),504.65)</f>
        <v>504.65</v>
      </c>
      <c r="F760" s="9">
        <f>IFERROR(__xludf.DUMMYFUNCTION("""COMPUTED_VALUE"""),507.1)</f>
        <v>507.1</v>
      </c>
      <c r="G760" s="9">
        <f>IFERROR(__xludf.DUMMYFUNCTION("""COMPUTED_VALUE"""),1387608.0)</f>
        <v>1387608</v>
      </c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</row>
    <row r="761">
      <c r="A761" s="1"/>
      <c r="B761" s="22">
        <f>IFERROR(__xludf.DUMMYFUNCTION("""COMPUTED_VALUE"""),42670.64583333333)</f>
        <v>42670.64583</v>
      </c>
      <c r="C761" s="9">
        <f>IFERROR(__xludf.DUMMYFUNCTION("""COMPUTED_VALUE"""),508.95)</f>
        <v>508.95</v>
      </c>
      <c r="D761" s="9">
        <f>IFERROR(__xludf.DUMMYFUNCTION("""COMPUTED_VALUE"""),508.98)</f>
        <v>508.98</v>
      </c>
      <c r="E761" s="9">
        <f>IFERROR(__xludf.DUMMYFUNCTION("""COMPUTED_VALUE"""),500.55)</f>
        <v>500.55</v>
      </c>
      <c r="F761" s="9">
        <f>IFERROR(__xludf.DUMMYFUNCTION("""COMPUTED_VALUE"""),501.75)</f>
        <v>501.75</v>
      </c>
      <c r="G761" s="9">
        <f>IFERROR(__xludf.DUMMYFUNCTION("""COMPUTED_VALUE"""),3613895.0)</f>
        <v>3613895</v>
      </c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</row>
    <row r="762">
      <c r="A762" s="1"/>
      <c r="B762" s="22">
        <f>IFERROR(__xludf.DUMMYFUNCTION("""COMPUTED_VALUE"""),42671.64583333333)</f>
        <v>42671.64583</v>
      </c>
      <c r="C762" s="9">
        <f>IFERROR(__xludf.DUMMYFUNCTION("""COMPUTED_VALUE"""),502.6)</f>
        <v>502.6</v>
      </c>
      <c r="D762" s="9">
        <f>IFERROR(__xludf.DUMMYFUNCTION("""COMPUTED_VALUE"""),505.0)</f>
        <v>505</v>
      </c>
      <c r="E762" s="9">
        <f>IFERROR(__xludf.DUMMYFUNCTION("""COMPUTED_VALUE"""),496.58)</f>
        <v>496.58</v>
      </c>
      <c r="F762" s="9">
        <f>IFERROR(__xludf.DUMMYFUNCTION("""COMPUTED_VALUE"""),498.75)</f>
        <v>498.75</v>
      </c>
      <c r="G762" s="9">
        <f>IFERROR(__xludf.DUMMYFUNCTION("""COMPUTED_VALUE"""),2920353.0)</f>
        <v>2920353</v>
      </c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</row>
    <row r="763">
      <c r="A763" s="1"/>
      <c r="B763" s="22">
        <f>IFERROR(__xludf.DUMMYFUNCTION("""COMPUTED_VALUE"""),42675.64583333333)</f>
        <v>42675.64583</v>
      </c>
      <c r="C763" s="9">
        <f>IFERROR(__xludf.DUMMYFUNCTION("""COMPUTED_VALUE"""),503.4)</f>
        <v>503.4</v>
      </c>
      <c r="D763" s="9">
        <f>IFERROR(__xludf.DUMMYFUNCTION("""COMPUTED_VALUE"""),503.4)</f>
        <v>503.4</v>
      </c>
      <c r="E763" s="9">
        <f>IFERROR(__xludf.DUMMYFUNCTION("""COMPUTED_VALUE"""),493.2)</f>
        <v>493.2</v>
      </c>
      <c r="F763" s="9">
        <f>IFERROR(__xludf.DUMMYFUNCTION("""COMPUTED_VALUE"""),494.73)</f>
        <v>494.73</v>
      </c>
      <c r="G763" s="9">
        <f>IFERROR(__xludf.DUMMYFUNCTION("""COMPUTED_VALUE"""),3166399.0)</f>
        <v>3166399</v>
      </c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</row>
    <row r="764">
      <c r="A764" s="1"/>
      <c r="B764" s="22">
        <f>IFERROR(__xludf.DUMMYFUNCTION("""COMPUTED_VALUE"""),42676.64583333333)</f>
        <v>42676.64583</v>
      </c>
      <c r="C764" s="9">
        <f>IFERROR(__xludf.DUMMYFUNCTION("""COMPUTED_VALUE"""),492.4)</f>
        <v>492.4</v>
      </c>
      <c r="D764" s="9">
        <f>IFERROR(__xludf.DUMMYFUNCTION("""COMPUTED_VALUE"""),493.75)</f>
        <v>493.75</v>
      </c>
      <c r="E764" s="9">
        <f>IFERROR(__xludf.DUMMYFUNCTION("""COMPUTED_VALUE"""),490.0)</f>
        <v>490</v>
      </c>
      <c r="F764" s="9">
        <f>IFERROR(__xludf.DUMMYFUNCTION("""COMPUTED_VALUE"""),490.53)</f>
        <v>490.53</v>
      </c>
      <c r="G764" s="9">
        <f>IFERROR(__xludf.DUMMYFUNCTION("""COMPUTED_VALUE"""),2688597.0)</f>
        <v>2688597</v>
      </c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</row>
    <row r="765">
      <c r="A765" s="1"/>
      <c r="B765" s="22">
        <f>IFERROR(__xludf.DUMMYFUNCTION("""COMPUTED_VALUE"""),42677.64583333333)</f>
        <v>42677.64583</v>
      </c>
      <c r="C765" s="9">
        <f>IFERROR(__xludf.DUMMYFUNCTION("""COMPUTED_VALUE"""),490.53)</f>
        <v>490.53</v>
      </c>
      <c r="D765" s="9">
        <f>IFERROR(__xludf.DUMMYFUNCTION("""COMPUTED_VALUE"""),491.0)</f>
        <v>491</v>
      </c>
      <c r="E765" s="9">
        <f>IFERROR(__xludf.DUMMYFUNCTION("""COMPUTED_VALUE"""),482.55)</f>
        <v>482.55</v>
      </c>
      <c r="F765" s="9">
        <f>IFERROR(__xludf.DUMMYFUNCTION("""COMPUTED_VALUE"""),483.43)</f>
        <v>483.43</v>
      </c>
      <c r="G765" s="9">
        <f>IFERROR(__xludf.DUMMYFUNCTION("""COMPUTED_VALUE"""),2612554.0)</f>
        <v>2612554</v>
      </c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</row>
    <row r="766">
      <c r="A766" s="1"/>
      <c r="B766" s="22">
        <f>IFERROR(__xludf.DUMMYFUNCTION("""COMPUTED_VALUE"""),42678.64583333333)</f>
        <v>42678.64583</v>
      </c>
      <c r="C766" s="9">
        <f>IFERROR(__xludf.DUMMYFUNCTION("""COMPUTED_VALUE"""),483.5)</f>
        <v>483.5</v>
      </c>
      <c r="D766" s="9">
        <f>IFERROR(__xludf.DUMMYFUNCTION("""COMPUTED_VALUE"""),489.6)</f>
        <v>489.6</v>
      </c>
      <c r="E766" s="9">
        <f>IFERROR(__xludf.DUMMYFUNCTION("""COMPUTED_VALUE"""),480.5)</f>
        <v>480.5</v>
      </c>
      <c r="F766" s="9">
        <f>IFERROR(__xludf.DUMMYFUNCTION("""COMPUTED_VALUE"""),485.5)</f>
        <v>485.5</v>
      </c>
      <c r="G766" s="9">
        <f>IFERROR(__xludf.DUMMYFUNCTION("""COMPUTED_VALUE"""),3002774.0)</f>
        <v>3002774</v>
      </c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</row>
    <row r="767">
      <c r="A767" s="1"/>
      <c r="B767" s="22">
        <f>IFERROR(__xludf.DUMMYFUNCTION("""COMPUTED_VALUE"""),42681.64583333333)</f>
        <v>42681.64583</v>
      </c>
      <c r="C767" s="9">
        <f>IFERROR(__xludf.DUMMYFUNCTION("""COMPUTED_VALUE"""),492.5)</f>
        <v>492.5</v>
      </c>
      <c r="D767" s="9">
        <f>IFERROR(__xludf.DUMMYFUNCTION("""COMPUTED_VALUE"""),493.0)</f>
        <v>493</v>
      </c>
      <c r="E767" s="9">
        <f>IFERROR(__xludf.DUMMYFUNCTION("""COMPUTED_VALUE"""),487.5)</f>
        <v>487.5</v>
      </c>
      <c r="F767" s="9">
        <f>IFERROR(__xludf.DUMMYFUNCTION("""COMPUTED_VALUE"""),488.98)</f>
        <v>488.98</v>
      </c>
      <c r="G767" s="9">
        <f>IFERROR(__xludf.DUMMYFUNCTION("""COMPUTED_VALUE"""),2268836.0)</f>
        <v>2268836</v>
      </c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</row>
    <row r="768">
      <c r="A768" s="1"/>
      <c r="B768" s="22">
        <f>IFERROR(__xludf.DUMMYFUNCTION("""COMPUTED_VALUE"""),42682.64583333333)</f>
        <v>42682.64583</v>
      </c>
      <c r="C768" s="9">
        <f>IFERROR(__xludf.DUMMYFUNCTION("""COMPUTED_VALUE"""),493.45)</f>
        <v>493.45</v>
      </c>
      <c r="D768" s="9">
        <f>IFERROR(__xludf.DUMMYFUNCTION("""COMPUTED_VALUE"""),493.88)</f>
        <v>493.88</v>
      </c>
      <c r="E768" s="9">
        <f>IFERROR(__xludf.DUMMYFUNCTION("""COMPUTED_VALUE"""),485.3)</f>
        <v>485.3</v>
      </c>
      <c r="F768" s="9">
        <f>IFERROR(__xludf.DUMMYFUNCTION("""COMPUTED_VALUE"""),491.3)</f>
        <v>491.3</v>
      </c>
      <c r="G768" s="9">
        <f>IFERROR(__xludf.DUMMYFUNCTION("""COMPUTED_VALUE"""),2630554.0)</f>
        <v>2630554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</row>
    <row r="769">
      <c r="A769" s="1"/>
      <c r="B769" s="22">
        <f>IFERROR(__xludf.DUMMYFUNCTION("""COMPUTED_VALUE"""),42683.64583333333)</f>
        <v>42683.64583</v>
      </c>
      <c r="C769" s="9">
        <f>IFERROR(__xludf.DUMMYFUNCTION("""COMPUTED_VALUE"""),465.0)</f>
        <v>465</v>
      </c>
      <c r="D769" s="9">
        <f>IFERROR(__xludf.DUMMYFUNCTION("""COMPUTED_VALUE"""),487.3)</f>
        <v>487.3</v>
      </c>
      <c r="E769" s="9">
        <f>IFERROR(__xludf.DUMMYFUNCTION("""COMPUTED_VALUE"""),450.5)</f>
        <v>450.5</v>
      </c>
      <c r="F769" s="9">
        <f>IFERROR(__xludf.DUMMYFUNCTION("""COMPUTED_VALUE"""),479.15)</f>
        <v>479.15</v>
      </c>
      <c r="G769" s="9">
        <f>IFERROR(__xludf.DUMMYFUNCTION("""COMPUTED_VALUE"""),6382079.0)</f>
        <v>6382079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</row>
    <row r="770">
      <c r="A770" s="1"/>
      <c r="B770" s="22">
        <f>IFERROR(__xludf.DUMMYFUNCTION("""COMPUTED_VALUE"""),42684.64583333333)</f>
        <v>42684.64583</v>
      </c>
      <c r="C770" s="9">
        <f>IFERROR(__xludf.DUMMYFUNCTION("""COMPUTED_VALUE"""),481.25)</f>
        <v>481.25</v>
      </c>
      <c r="D770" s="9">
        <f>IFERROR(__xludf.DUMMYFUNCTION("""COMPUTED_VALUE"""),481.25)</f>
        <v>481.25</v>
      </c>
      <c r="E770" s="9">
        <f>IFERROR(__xludf.DUMMYFUNCTION("""COMPUTED_VALUE"""),467.5)</f>
        <v>467.5</v>
      </c>
      <c r="F770" s="9">
        <f>IFERROR(__xludf.DUMMYFUNCTION("""COMPUTED_VALUE"""),469.7)</f>
        <v>469.7</v>
      </c>
      <c r="G770" s="9">
        <f>IFERROR(__xludf.DUMMYFUNCTION("""COMPUTED_VALUE"""),3643665.0)</f>
        <v>3643665</v>
      </c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</row>
    <row r="771">
      <c r="A771" s="1"/>
      <c r="B771" s="22">
        <f>IFERROR(__xludf.DUMMYFUNCTION("""COMPUTED_VALUE"""),42685.64583333333)</f>
        <v>42685.64583</v>
      </c>
      <c r="C771" s="9">
        <f>IFERROR(__xludf.DUMMYFUNCTION("""COMPUTED_VALUE"""),470.0)</f>
        <v>470</v>
      </c>
      <c r="D771" s="9">
        <f>IFERROR(__xludf.DUMMYFUNCTION("""COMPUTED_VALUE"""),472.5)</f>
        <v>472.5</v>
      </c>
      <c r="E771" s="9">
        <f>IFERROR(__xludf.DUMMYFUNCTION("""COMPUTED_VALUE"""),459.35)</f>
        <v>459.35</v>
      </c>
      <c r="F771" s="9">
        <f>IFERROR(__xludf.DUMMYFUNCTION("""COMPUTED_VALUE"""),460.78)</f>
        <v>460.78</v>
      </c>
      <c r="G771" s="9">
        <f>IFERROR(__xludf.DUMMYFUNCTION("""COMPUTED_VALUE"""),3548391.0)</f>
        <v>3548391</v>
      </c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</row>
    <row r="772">
      <c r="A772" s="1"/>
      <c r="B772" s="22">
        <f>IFERROR(__xludf.DUMMYFUNCTION("""COMPUTED_VALUE"""),42689.64583333333)</f>
        <v>42689.64583</v>
      </c>
      <c r="C772" s="9">
        <f>IFERROR(__xludf.DUMMYFUNCTION("""COMPUTED_VALUE"""),462.0)</f>
        <v>462</v>
      </c>
      <c r="D772" s="9">
        <f>IFERROR(__xludf.DUMMYFUNCTION("""COMPUTED_VALUE"""),469.98)</f>
        <v>469.98</v>
      </c>
      <c r="E772" s="9">
        <f>IFERROR(__xludf.DUMMYFUNCTION("""COMPUTED_VALUE"""),454.28)</f>
        <v>454.28</v>
      </c>
      <c r="F772" s="9">
        <f>IFERROR(__xludf.DUMMYFUNCTION("""COMPUTED_VALUE"""),461.78)</f>
        <v>461.78</v>
      </c>
      <c r="G772" s="9">
        <f>IFERROR(__xludf.DUMMYFUNCTION("""COMPUTED_VALUE"""),4617925.0)</f>
        <v>4617925</v>
      </c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</row>
    <row r="773">
      <c r="A773" s="1"/>
      <c r="B773" s="22">
        <f>IFERROR(__xludf.DUMMYFUNCTION("""COMPUTED_VALUE"""),42690.64583333333)</f>
        <v>42690.64583</v>
      </c>
      <c r="C773" s="9">
        <f>IFERROR(__xludf.DUMMYFUNCTION("""COMPUTED_VALUE"""),465.0)</f>
        <v>465</v>
      </c>
      <c r="D773" s="9">
        <f>IFERROR(__xludf.DUMMYFUNCTION("""COMPUTED_VALUE"""),478.43)</f>
        <v>478.43</v>
      </c>
      <c r="E773" s="9">
        <f>IFERROR(__xludf.DUMMYFUNCTION("""COMPUTED_VALUE"""),464.28)</f>
        <v>464.28</v>
      </c>
      <c r="F773" s="9">
        <f>IFERROR(__xludf.DUMMYFUNCTION("""COMPUTED_VALUE"""),470.45)</f>
        <v>470.45</v>
      </c>
      <c r="G773" s="9">
        <f>IFERROR(__xludf.DUMMYFUNCTION("""COMPUTED_VALUE"""),6111308.0)</f>
        <v>6111308</v>
      </c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</row>
    <row r="774">
      <c r="A774" s="1"/>
      <c r="B774" s="22">
        <f>IFERROR(__xludf.DUMMYFUNCTION("""COMPUTED_VALUE"""),42691.64583333333)</f>
        <v>42691.64583</v>
      </c>
      <c r="C774" s="9">
        <f>IFERROR(__xludf.DUMMYFUNCTION("""COMPUTED_VALUE"""),467.13)</f>
        <v>467.13</v>
      </c>
      <c r="D774" s="9">
        <f>IFERROR(__xludf.DUMMYFUNCTION("""COMPUTED_VALUE"""),474.5)</f>
        <v>474.5</v>
      </c>
      <c r="E774" s="9">
        <f>IFERROR(__xludf.DUMMYFUNCTION("""COMPUTED_VALUE"""),463.2)</f>
        <v>463.2</v>
      </c>
      <c r="F774" s="9">
        <f>IFERROR(__xludf.DUMMYFUNCTION("""COMPUTED_VALUE"""),464.9)</f>
        <v>464.9</v>
      </c>
      <c r="G774" s="9">
        <f>IFERROR(__xludf.DUMMYFUNCTION("""COMPUTED_VALUE"""),2853365.0)</f>
        <v>2853365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</row>
    <row r="775">
      <c r="A775" s="1"/>
      <c r="B775" s="22">
        <f>IFERROR(__xludf.DUMMYFUNCTION("""COMPUTED_VALUE"""),42692.64583333333)</f>
        <v>42692.64583</v>
      </c>
      <c r="C775" s="9">
        <f>IFERROR(__xludf.DUMMYFUNCTION("""COMPUTED_VALUE"""),465.0)</f>
        <v>465</v>
      </c>
      <c r="D775" s="9">
        <f>IFERROR(__xludf.DUMMYFUNCTION("""COMPUTED_VALUE"""),466.63)</f>
        <v>466.63</v>
      </c>
      <c r="E775" s="9">
        <f>IFERROR(__xludf.DUMMYFUNCTION("""COMPUTED_VALUE"""),458.75)</f>
        <v>458.75</v>
      </c>
      <c r="F775" s="9">
        <f>IFERROR(__xludf.DUMMYFUNCTION("""COMPUTED_VALUE"""),460.0)</f>
        <v>460</v>
      </c>
      <c r="G775" s="9">
        <f>IFERROR(__xludf.DUMMYFUNCTION("""COMPUTED_VALUE"""),3020114.0)</f>
        <v>3020114</v>
      </c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</row>
    <row r="776">
      <c r="A776" s="1"/>
      <c r="B776" s="22">
        <f>IFERROR(__xludf.DUMMYFUNCTION("""COMPUTED_VALUE"""),42695.64583333333)</f>
        <v>42695.64583</v>
      </c>
      <c r="C776" s="9">
        <f>IFERROR(__xludf.DUMMYFUNCTION("""COMPUTED_VALUE"""),463.45)</f>
        <v>463.45</v>
      </c>
      <c r="D776" s="9">
        <f>IFERROR(__xludf.DUMMYFUNCTION("""COMPUTED_VALUE"""),463.45)</f>
        <v>463.45</v>
      </c>
      <c r="E776" s="9">
        <f>IFERROR(__xludf.DUMMYFUNCTION("""COMPUTED_VALUE"""),453.48)</f>
        <v>453.48</v>
      </c>
      <c r="F776" s="9">
        <f>IFERROR(__xludf.DUMMYFUNCTION("""COMPUTED_VALUE"""),455.55)</f>
        <v>455.55</v>
      </c>
      <c r="G776" s="9">
        <f>IFERROR(__xludf.DUMMYFUNCTION("""COMPUTED_VALUE"""),3970284.0)</f>
        <v>3970284</v>
      </c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</row>
    <row r="777">
      <c r="A777" s="1"/>
      <c r="B777" s="22">
        <f>IFERROR(__xludf.DUMMYFUNCTION("""COMPUTED_VALUE"""),42696.64583333333)</f>
        <v>42696.64583</v>
      </c>
      <c r="C777" s="9">
        <f>IFERROR(__xludf.DUMMYFUNCTION("""COMPUTED_VALUE"""),458.45)</f>
        <v>458.45</v>
      </c>
      <c r="D777" s="9">
        <f>IFERROR(__xludf.DUMMYFUNCTION("""COMPUTED_VALUE"""),464.33)</f>
        <v>464.33</v>
      </c>
      <c r="E777" s="9">
        <f>IFERROR(__xludf.DUMMYFUNCTION("""COMPUTED_VALUE"""),455.83)</f>
        <v>455.83</v>
      </c>
      <c r="F777" s="9">
        <f>IFERROR(__xludf.DUMMYFUNCTION("""COMPUTED_VALUE"""),457.1)</f>
        <v>457.1</v>
      </c>
      <c r="G777" s="9">
        <f>IFERROR(__xludf.DUMMYFUNCTION("""COMPUTED_VALUE"""),2741563.0)</f>
        <v>2741563</v>
      </c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</row>
    <row r="778">
      <c r="A778" s="1"/>
      <c r="B778" s="22">
        <f>IFERROR(__xludf.DUMMYFUNCTION("""COMPUTED_VALUE"""),42697.64583333333)</f>
        <v>42697.64583</v>
      </c>
      <c r="C778" s="9">
        <f>IFERROR(__xludf.DUMMYFUNCTION("""COMPUTED_VALUE"""),461.05)</f>
        <v>461.05</v>
      </c>
      <c r="D778" s="9">
        <f>IFERROR(__xludf.DUMMYFUNCTION("""COMPUTED_VALUE"""),461.45)</f>
        <v>461.45</v>
      </c>
      <c r="E778" s="9">
        <f>IFERROR(__xludf.DUMMYFUNCTION("""COMPUTED_VALUE"""),456.23)</f>
        <v>456.23</v>
      </c>
      <c r="F778" s="9">
        <f>IFERROR(__xludf.DUMMYFUNCTION("""COMPUTED_VALUE"""),460.13)</f>
        <v>460.13</v>
      </c>
      <c r="G778" s="9">
        <f>IFERROR(__xludf.DUMMYFUNCTION("""COMPUTED_VALUE"""),4125893.0)</f>
        <v>4125893</v>
      </c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</row>
    <row r="779">
      <c r="A779" s="1"/>
      <c r="B779" s="22">
        <f>IFERROR(__xludf.DUMMYFUNCTION("""COMPUTED_VALUE"""),42698.64583333333)</f>
        <v>42698.64583</v>
      </c>
      <c r="C779" s="9">
        <f>IFERROR(__xludf.DUMMYFUNCTION("""COMPUTED_VALUE"""),464.1)</f>
        <v>464.1</v>
      </c>
      <c r="D779" s="9">
        <f>IFERROR(__xludf.DUMMYFUNCTION("""COMPUTED_VALUE"""),469.95)</f>
        <v>469.95</v>
      </c>
      <c r="E779" s="9">
        <f>IFERROR(__xludf.DUMMYFUNCTION("""COMPUTED_VALUE"""),461.65)</f>
        <v>461.65</v>
      </c>
      <c r="F779" s="9">
        <f>IFERROR(__xludf.DUMMYFUNCTION("""COMPUTED_VALUE"""),465.15)</f>
        <v>465.15</v>
      </c>
      <c r="G779" s="9">
        <f>IFERROR(__xludf.DUMMYFUNCTION("""COMPUTED_VALUE"""),8390322.0)</f>
        <v>8390322</v>
      </c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</row>
    <row r="780">
      <c r="A780" s="1"/>
      <c r="B780" s="22">
        <f>IFERROR(__xludf.DUMMYFUNCTION("""COMPUTED_VALUE"""),42699.64583333333)</f>
        <v>42699.64583</v>
      </c>
      <c r="C780" s="9">
        <f>IFERROR(__xludf.DUMMYFUNCTION("""COMPUTED_VALUE"""),465.23)</f>
        <v>465.23</v>
      </c>
      <c r="D780" s="9">
        <f>IFERROR(__xludf.DUMMYFUNCTION("""COMPUTED_VALUE"""),492.5)</f>
        <v>492.5</v>
      </c>
      <c r="E780" s="9">
        <f>IFERROR(__xludf.DUMMYFUNCTION("""COMPUTED_VALUE"""),465.23)</f>
        <v>465.23</v>
      </c>
      <c r="F780" s="9">
        <f>IFERROR(__xludf.DUMMYFUNCTION("""COMPUTED_VALUE"""),488.75)</f>
        <v>488.75</v>
      </c>
      <c r="G780" s="9">
        <f>IFERROR(__xludf.DUMMYFUNCTION("""COMPUTED_VALUE"""),6315690.0)</f>
        <v>6315690</v>
      </c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</row>
    <row r="781">
      <c r="A781" s="1"/>
      <c r="B781" s="22">
        <f>IFERROR(__xludf.DUMMYFUNCTION("""COMPUTED_VALUE"""),42702.64583333333)</f>
        <v>42702.64583</v>
      </c>
      <c r="C781" s="9">
        <f>IFERROR(__xludf.DUMMYFUNCTION("""COMPUTED_VALUE"""),489.65)</f>
        <v>489.65</v>
      </c>
      <c r="D781" s="9">
        <f>IFERROR(__xludf.DUMMYFUNCTION("""COMPUTED_VALUE"""),491.73)</f>
        <v>491.73</v>
      </c>
      <c r="E781" s="9">
        <f>IFERROR(__xludf.DUMMYFUNCTION("""COMPUTED_VALUE"""),485.3)</f>
        <v>485.3</v>
      </c>
      <c r="F781" s="9">
        <f>IFERROR(__xludf.DUMMYFUNCTION("""COMPUTED_VALUE"""),489.88)</f>
        <v>489.88</v>
      </c>
      <c r="G781" s="9">
        <f>IFERROR(__xludf.DUMMYFUNCTION("""COMPUTED_VALUE"""),3682856.0)</f>
        <v>3682856</v>
      </c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</row>
    <row r="782">
      <c r="A782" s="1"/>
      <c r="B782" s="22">
        <f>IFERROR(__xludf.DUMMYFUNCTION("""COMPUTED_VALUE"""),42703.64583333333)</f>
        <v>42703.64583</v>
      </c>
      <c r="C782" s="9">
        <f>IFERROR(__xludf.DUMMYFUNCTION("""COMPUTED_VALUE"""),489.4)</f>
        <v>489.4</v>
      </c>
      <c r="D782" s="9">
        <f>IFERROR(__xludf.DUMMYFUNCTION("""COMPUTED_VALUE"""),492.35)</f>
        <v>492.35</v>
      </c>
      <c r="E782" s="9">
        <f>IFERROR(__xludf.DUMMYFUNCTION("""COMPUTED_VALUE"""),483.55)</f>
        <v>483.55</v>
      </c>
      <c r="F782" s="9">
        <f>IFERROR(__xludf.DUMMYFUNCTION("""COMPUTED_VALUE"""),486.3)</f>
        <v>486.3</v>
      </c>
      <c r="G782" s="9">
        <f>IFERROR(__xludf.DUMMYFUNCTION("""COMPUTED_VALUE"""),3062753.0)</f>
        <v>3062753</v>
      </c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</row>
    <row r="783">
      <c r="A783" s="1"/>
      <c r="B783" s="22">
        <f>IFERROR(__xludf.DUMMYFUNCTION("""COMPUTED_VALUE"""),42704.64583333333)</f>
        <v>42704.64583</v>
      </c>
      <c r="C783" s="9">
        <f>IFERROR(__xludf.DUMMYFUNCTION("""COMPUTED_VALUE"""),486.5)</f>
        <v>486.5</v>
      </c>
      <c r="D783" s="9">
        <f>IFERROR(__xludf.DUMMYFUNCTION("""COMPUTED_VALUE"""),488.5)</f>
        <v>488.5</v>
      </c>
      <c r="E783" s="9">
        <f>IFERROR(__xludf.DUMMYFUNCTION("""COMPUTED_VALUE"""),480.53)</f>
        <v>480.53</v>
      </c>
      <c r="F783" s="9">
        <f>IFERROR(__xludf.DUMMYFUNCTION("""COMPUTED_VALUE"""),487.78)</f>
        <v>487.78</v>
      </c>
      <c r="G783" s="9">
        <f>IFERROR(__xludf.DUMMYFUNCTION("""COMPUTED_VALUE"""),4250459.0)</f>
        <v>4250459</v>
      </c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</row>
    <row r="784">
      <c r="A784" s="1"/>
      <c r="B784" s="22">
        <f>IFERROR(__xludf.DUMMYFUNCTION("""COMPUTED_VALUE"""),42705.64583333333)</f>
        <v>42705.64583</v>
      </c>
      <c r="C784" s="9">
        <f>IFERROR(__xludf.DUMMYFUNCTION("""COMPUTED_VALUE"""),488.0)</f>
        <v>488</v>
      </c>
      <c r="D784" s="9">
        <f>IFERROR(__xludf.DUMMYFUNCTION("""COMPUTED_VALUE"""),491.78)</f>
        <v>491.78</v>
      </c>
      <c r="E784" s="9">
        <f>IFERROR(__xludf.DUMMYFUNCTION("""COMPUTED_VALUE"""),483.5)</f>
        <v>483.5</v>
      </c>
      <c r="F784" s="9">
        <f>IFERROR(__xludf.DUMMYFUNCTION("""COMPUTED_VALUE"""),487.8)</f>
        <v>487.8</v>
      </c>
      <c r="G784" s="9">
        <f>IFERROR(__xludf.DUMMYFUNCTION("""COMPUTED_VALUE"""),2305795.0)</f>
        <v>2305795</v>
      </c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</row>
    <row r="785">
      <c r="A785" s="1"/>
      <c r="B785" s="22">
        <f>IFERROR(__xludf.DUMMYFUNCTION("""COMPUTED_VALUE"""),42706.64583333333)</f>
        <v>42706.64583</v>
      </c>
      <c r="C785" s="9">
        <f>IFERROR(__xludf.DUMMYFUNCTION("""COMPUTED_VALUE"""),482.4)</f>
        <v>482.4</v>
      </c>
      <c r="D785" s="9">
        <f>IFERROR(__xludf.DUMMYFUNCTION("""COMPUTED_VALUE"""),484.8)</f>
        <v>484.8</v>
      </c>
      <c r="E785" s="9">
        <f>IFERROR(__xludf.DUMMYFUNCTION("""COMPUTED_VALUE"""),480.55)</f>
        <v>480.55</v>
      </c>
      <c r="F785" s="9">
        <f>IFERROR(__xludf.DUMMYFUNCTION("""COMPUTED_VALUE"""),482.25)</f>
        <v>482.25</v>
      </c>
      <c r="G785" s="9">
        <f>IFERROR(__xludf.DUMMYFUNCTION("""COMPUTED_VALUE"""),2226614.0)</f>
        <v>2226614</v>
      </c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</row>
    <row r="786">
      <c r="A786" s="1"/>
      <c r="B786" s="22">
        <f>IFERROR(__xludf.DUMMYFUNCTION("""COMPUTED_VALUE"""),42709.64583333333)</f>
        <v>42709.64583</v>
      </c>
      <c r="C786" s="9">
        <f>IFERROR(__xludf.DUMMYFUNCTION("""COMPUTED_VALUE"""),482.95)</f>
        <v>482.95</v>
      </c>
      <c r="D786" s="9">
        <f>IFERROR(__xludf.DUMMYFUNCTION("""COMPUTED_VALUE"""),484.3)</f>
        <v>484.3</v>
      </c>
      <c r="E786" s="9">
        <f>IFERROR(__xludf.DUMMYFUNCTION("""COMPUTED_VALUE"""),479.0)</f>
        <v>479</v>
      </c>
      <c r="F786" s="9">
        <f>IFERROR(__xludf.DUMMYFUNCTION("""COMPUTED_VALUE"""),480.83)</f>
        <v>480.83</v>
      </c>
      <c r="G786" s="9">
        <f>IFERROR(__xludf.DUMMYFUNCTION("""COMPUTED_VALUE"""),1829788.0)</f>
        <v>1829788</v>
      </c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</row>
    <row r="787">
      <c r="A787" s="1"/>
      <c r="B787" s="22">
        <f>IFERROR(__xludf.DUMMYFUNCTION("""COMPUTED_VALUE"""),42710.64583333333)</f>
        <v>42710.64583</v>
      </c>
      <c r="C787" s="9">
        <f>IFERROR(__xludf.DUMMYFUNCTION("""COMPUTED_VALUE"""),480.9)</f>
        <v>480.9</v>
      </c>
      <c r="D787" s="9">
        <f>IFERROR(__xludf.DUMMYFUNCTION("""COMPUTED_VALUE"""),489.75)</f>
        <v>489.75</v>
      </c>
      <c r="E787" s="9">
        <f>IFERROR(__xludf.DUMMYFUNCTION("""COMPUTED_VALUE"""),480.83)</f>
        <v>480.83</v>
      </c>
      <c r="F787" s="9">
        <f>IFERROR(__xludf.DUMMYFUNCTION("""COMPUTED_VALUE"""),483.25)</f>
        <v>483.25</v>
      </c>
      <c r="G787" s="9">
        <f>IFERROR(__xludf.DUMMYFUNCTION("""COMPUTED_VALUE"""),1781055.0)</f>
        <v>1781055</v>
      </c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</row>
    <row r="788">
      <c r="A788" s="1"/>
      <c r="B788" s="22">
        <f>IFERROR(__xludf.DUMMYFUNCTION("""COMPUTED_VALUE"""),42711.64583333333)</f>
        <v>42711.64583</v>
      </c>
      <c r="C788" s="9">
        <f>IFERROR(__xludf.DUMMYFUNCTION("""COMPUTED_VALUE"""),484.0)</f>
        <v>484</v>
      </c>
      <c r="D788" s="9">
        <f>IFERROR(__xludf.DUMMYFUNCTION("""COMPUTED_VALUE"""),486.5)</f>
        <v>486.5</v>
      </c>
      <c r="E788" s="9">
        <f>IFERROR(__xludf.DUMMYFUNCTION("""COMPUTED_VALUE"""),480.1)</f>
        <v>480.1</v>
      </c>
      <c r="F788" s="9">
        <f>IFERROR(__xludf.DUMMYFUNCTION("""COMPUTED_VALUE"""),483.2)</f>
        <v>483.2</v>
      </c>
      <c r="G788" s="9">
        <f>IFERROR(__xludf.DUMMYFUNCTION("""COMPUTED_VALUE"""),1692990.0)</f>
        <v>1692990</v>
      </c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</row>
    <row r="789">
      <c r="A789" s="1"/>
      <c r="B789" s="22">
        <f>IFERROR(__xludf.DUMMYFUNCTION("""COMPUTED_VALUE"""),42712.64583333333)</f>
        <v>42712.64583</v>
      </c>
      <c r="C789" s="9">
        <f>IFERROR(__xludf.DUMMYFUNCTION("""COMPUTED_VALUE"""),485.03)</f>
        <v>485.03</v>
      </c>
      <c r="D789" s="9">
        <f>IFERROR(__xludf.DUMMYFUNCTION("""COMPUTED_VALUE"""),493.05)</f>
        <v>493.05</v>
      </c>
      <c r="E789" s="9">
        <f>IFERROR(__xludf.DUMMYFUNCTION("""COMPUTED_VALUE"""),485.03)</f>
        <v>485.03</v>
      </c>
      <c r="F789" s="9">
        <f>IFERROR(__xludf.DUMMYFUNCTION("""COMPUTED_VALUE"""),492.33)</f>
        <v>492.33</v>
      </c>
      <c r="G789" s="9">
        <f>IFERROR(__xludf.DUMMYFUNCTION("""COMPUTED_VALUE"""),2970831.0)</f>
        <v>2970831</v>
      </c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</row>
    <row r="790">
      <c r="A790" s="1"/>
      <c r="B790" s="22">
        <f>IFERROR(__xludf.DUMMYFUNCTION("""COMPUTED_VALUE"""),42713.64583333333)</f>
        <v>42713.64583</v>
      </c>
      <c r="C790" s="9">
        <f>IFERROR(__xludf.DUMMYFUNCTION("""COMPUTED_VALUE"""),492.5)</f>
        <v>492.5</v>
      </c>
      <c r="D790" s="9">
        <f>IFERROR(__xludf.DUMMYFUNCTION("""COMPUTED_VALUE"""),504.08)</f>
        <v>504.08</v>
      </c>
      <c r="E790" s="9">
        <f>IFERROR(__xludf.DUMMYFUNCTION("""COMPUTED_VALUE"""),490.75)</f>
        <v>490.75</v>
      </c>
      <c r="F790" s="9">
        <f>IFERROR(__xludf.DUMMYFUNCTION("""COMPUTED_VALUE"""),494.68)</f>
        <v>494.68</v>
      </c>
      <c r="G790" s="9">
        <f>IFERROR(__xludf.DUMMYFUNCTION("""COMPUTED_VALUE"""),4324192.0)</f>
        <v>4324192</v>
      </c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</row>
    <row r="791">
      <c r="A791" s="1"/>
      <c r="B791" s="22">
        <f>IFERROR(__xludf.DUMMYFUNCTION("""COMPUTED_VALUE"""),42716.64583333333)</f>
        <v>42716.64583</v>
      </c>
      <c r="C791" s="9">
        <f>IFERROR(__xludf.DUMMYFUNCTION("""COMPUTED_VALUE"""),491.4)</f>
        <v>491.4</v>
      </c>
      <c r="D791" s="9">
        <f>IFERROR(__xludf.DUMMYFUNCTION("""COMPUTED_VALUE"""),491.4)</f>
        <v>491.4</v>
      </c>
      <c r="E791" s="9">
        <f>IFERROR(__xludf.DUMMYFUNCTION("""COMPUTED_VALUE"""),482.6)</f>
        <v>482.6</v>
      </c>
      <c r="F791" s="9">
        <f>IFERROR(__xludf.DUMMYFUNCTION("""COMPUTED_VALUE"""),488.68)</f>
        <v>488.68</v>
      </c>
      <c r="G791" s="9">
        <f>IFERROR(__xludf.DUMMYFUNCTION("""COMPUTED_VALUE"""),2672510.0)</f>
        <v>2672510</v>
      </c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</row>
    <row r="792">
      <c r="A792" s="1"/>
      <c r="B792" s="22">
        <f>IFERROR(__xludf.DUMMYFUNCTION("""COMPUTED_VALUE"""),42717.64583333333)</f>
        <v>42717.64583</v>
      </c>
      <c r="C792" s="9">
        <f>IFERROR(__xludf.DUMMYFUNCTION("""COMPUTED_VALUE"""),490.25)</f>
        <v>490.25</v>
      </c>
      <c r="D792" s="9">
        <f>IFERROR(__xludf.DUMMYFUNCTION("""COMPUTED_VALUE"""),496.43)</f>
        <v>496.43</v>
      </c>
      <c r="E792" s="9">
        <f>IFERROR(__xludf.DUMMYFUNCTION("""COMPUTED_VALUE"""),485.55)</f>
        <v>485.55</v>
      </c>
      <c r="F792" s="9">
        <f>IFERROR(__xludf.DUMMYFUNCTION("""COMPUTED_VALUE"""),495.1)</f>
        <v>495.1</v>
      </c>
      <c r="G792" s="9">
        <f>IFERROR(__xludf.DUMMYFUNCTION("""COMPUTED_VALUE"""),2427141.0)</f>
        <v>2427141</v>
      </c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</row>
    <row r="793">
      <c r="A793" s="1"/>
      <c r="B793" s="22">
        <f>IFERROR(__xludf.DUMMYFUNCTION("""COMPUTED_VALUE"""),42718.64583333333)</f>
        <v>42718.64583</v>
      </c>
      <c r="C793" s="9">
        <f>IFERROR(__xludf.DUMMYFUNCTION("""COMPUTED_VALUE"""),495.5)</f>
        <v>495.5</v>
      </c>
      <c r="D793" s="9">
        <f>IFERROR(__xludf.DUMMYFUNCTION("""COMPUTED_VALUE"""),502.48)</f>
        <v>502.48</v>
      </c>
      <c r="E793" s="9">
        <f>IFERROR(__xludf.DUMMYFUNCTION("""COMPUTED_VALUE"""),492.05)</f>
        <v>492.05</v>
      </c>
      <c r="F793" s="9">
        <f>IFERROR(__xludf.DUMMYFUNCTION("""COMPUTED_VALUE"""),499.88)</f>
        <v>499.88</v>
      </c>
      <c r="G793" s="9">
        <f>IFERROR(__xludf.DUMMYFUNCTION("""COMPUTED_VALUE"""),2691307.0)</f>
        <v>2691307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</row>
    <row r="794">
      <c r="A794" s="1"/>
      <c r="B794" s="22">
        <f>IFERROR(__xludf.DUMMYFUNCTION("""COMPUTED_VALUE"""),42719.64583333333)</f>
        <v>42719.64583</v>
      </c>
      <c r="C794" s="9">
        <f>IFERROR(__xludf.DUMMYFUNCTION("""COMPUTED_VALUE"""),498.7)</f>
        <v>498.7</v>
      </c>
      <c r="D794" s="9">
        <f>IFERROR(__xludf.DUMMYFUNCTION("""COMPUTED_VALUE"""),509.48)</f>
        <v>509.48</v>
      </c>
      <c r="E794" s="9">
        <f>IFERROR(__xludf.DUMMYFUNCTION("""COMPUTED_VALUE"""),494.5)</f>
        <v>494.5</v>
      </c>
      <c r="F794" s="9">
        <f>IFERROR(__xludf.DUMMYFUNCTION("""COMPUTED_VALUE"""),496.18)</f>
        <v>496.18</v>
      </c>
      <c r="G794" s="9">
        <f>IFERROR(__xludf.DUMMYFUNCTION("""COMPUTED_VALUE"""),3983208.0)</f>
        <v>3983208</v>
      </c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</row>
    <row r="795">
      <c r="A795" s="1"/>
      <c r="B795" s="22">
        <f>IFERROR(__xludf.DUMMYFUNCTION("""COMPUTED_VALUE"""),42720.64583333333)</f>
        <v>42720.64583</v>
      </c>
      <c r="C795" s="9">
        <f>IFERROR(__xludf.DUMMYFUNCTION("""COMPUTED_VALUE"""),501.9)</f>
        <v>501.9</v>
      </c>
      <c r="D795" s="9">
        <f>IFERROR(__xludf.DUMMYFUNCTION("""COMPUTED_VALUE"""),504.85)</f>
        <v>504.85</v>
      </c>
      <c r="E795" s="9">
        <f>IFERROR(__xludf.DUMMYFUNCTION("""COMPUTED_VALUE"""),498.88)</f>
        <v>498.88</v>
      </c>
      <c r="F795" s="9">
        <f>IFERROR(__xludf.DUMMYFUNCTION("""COMPUTED_VALUE"""),502.58)</f>
        <v>502.58</v>
      </c>
      <c r="G795" s="9">
        <f>IFERROR(__xludf.DUMMYFUNCTION("""COMPUTED_VALUE"""),3218371.0)</f>
        <v>3218371</v>
      </c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</row>
    <row r="796">
      <c r="A796" s="1"/>
      <c r="B796" s="22">
        <f>IFERROR(__xludf.DUMMYFUNCTION("""COMPUTED_VALUE"""),42723.64583333333)</f>
        <v>42723.64583</v>
      </c>
      <c r="C796" s="9">
        <f>IFERROR(__xludf.DUMMYFUNCTION("""COMPUTED_VALUE"""),503.05)</f>
        <v>503.05</v>
      </c>
      <c r="D796" s="9">
        <f>IFERROR(__xludf.DUMMYFUNCTION("""COMPUTED_VALUE"""),504.13)</f>
        <v>504.13</v>
      </c>
      <c r="E796" s="9">
        <f>IFERROR(__xludf.DUMMYFUNCTION("""COMPUTED_VALUE"""),497.05)</f>
        <v>497.05</v>
      </c>
      <c r="F796" s="9">
        <f>IFERROR(__xludf.DUMMYFUNCTION("""COMPUTED_VALUE"""),502.33)</f>
        <v>502.33</v>
      </c>
      <c r="G796" s="9">
        <f>IFERROR(__xludf.DUMMYFUNCTION("""COMPUTED_VALUE"""),2062067.0)</f>
        <v>2062067</v>
      </c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</row>
    <row r="797">
      <c r="A797" s="1"/>
      <c r="B797" s="22">
        <f>IFERROR(__xludf.DUMMYFUNCTION("""COMPUTED_VALUE"""),42724.64583333333)</f>
        <v>42724.64583</v>
      </c>
      <c r="C797" s="9">
        <f>IFERROR(__xludf.DUMMYFUNCTION("""COMPUTED_VALUE"""),501.0)</f>
        <v>501</v>
      </c>
      <c r="D797" s="9">
        <f>IFERROR(__xludf.DUMMYFUNCTION("""COMPUTED_VALUE"""),509.5)</f>
        <v>509.5</v>
      </c>
      <c r="E797" s="9">
        <f>IFERROR(__xludf.DUMMYFUNCTION("""COMPUTED_VALUE"""),500.65)</f>
        <v>500.65</v>
      </c>
      <c r="F797" s="9">
        <f>IFERROR(__xludf.DUMMYFUNCTION("""COMPUTED_VALUE"""),506.08)</f>
        <v>506.08</v>
      </c>
      <c r="G797" s="9">
        <f>IFERROR(__xludf.DUMMYFUNCTION("""COMPUTED_VALUE"""),3818249.0)</f>
        <v>3818249</v>
      </c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</row>
    <row r="798">
      <c r="A798" s="1"/>
      <c r="B798" s="22">
        <f>IFERROR(__xludf.DUMMYFUNCTION("""COMPUTED_VALUE"""),42725.64583333333)</f>
        <v>42725.64583</v>
      </c>
      <c r="C798" s="9">
        <f>IFERROR(__xludf.DUMMYFUNCTION("""COMPUTED_VALUE"""),508.0)</f>
        <v>508</v>
      </c>
      <c r="D798" s="9">
        <f>IFERROR(__xludf.DUMMYFUNCTION("""COMPUTED_VALUE"""),511.0)</f>
        <v>511</v>
      </c>
      <c r="E798" s="9">
        <f>IFERROR(__xludf.DUMMYFUNCTION("""COMPUTED_VALUE"""),499.13)</f>
        <v>499.13</v>
      </c>
      <c r="F798" s="9">
        <f>IFERROR(__xludf.DUMMYFUNCTION("""COMPUTED_VALUE"""),500.78)</f>
        <v>500.78</v>
      </c>
      <c r="G798" s="9">
        <f>IFERROR(__xludf.DUMMYFUNCTION("""COMPUTED_VALUE"""),3671988.0)</f>
        <v>3671988</v>
      </c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</row>
    <row r="799">
      <c r="A799" s="1"/>
      <c r="B799" s="22">
        <f>IFERROR(__xludf.DUMMYFUNCTION("""COMPUTED_VALUE"""),42726.64583333333)</f>
        <v>42726.64583</v>
      </c>
      <c r="C799" s="9">
        <f>IFERROR(__xludf.DUMMYFUNCTION("""COMPUTED_VALUE"""),501.25)</f>
        <v>501.25</v>
      </c>
      <c r="D799" s="9">
        <f>IFERROR(__xludf.DUMMYFUNCTION("""COMPUTED_VALUE"""),503.5)</f>
        <v>503.5</v>
      </c>
      <c r="E799" s="9">
        <f>IFERROR(__xludf.DUMMYFUNCTION("""COMPUTED_VALUE"""),484.75)</f>
        <v>484.75</v>
      </c>
      <c r="F799" s="9">
        <f>IFERROR(__xludf.DUMMYFUNCTION("""COMPUTED_VALUE"""),492.35)</f>
        <v>492.35</v>
      </c>
      <c r="G799" s="9">
        <f>IFERROR(__xludf.DUMMYFUNCTION("""COMPUTED_VALUE"""),3530027.0)</f>
        <v>3530027</v>
      </c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</row>
    <row r="800">
      <c r="A800" s="1"/>
      <c r="B800" s="22">
        <f>IFERROR(__xludf.DUMMYFUNCTION("""COMPUTED_VALUE"""),42727.64583333333)</f>
        <v>42727.64583</v>
      </c>
      <c r="C800" s="9">
        <f>IFERROR(__xludf.DUMMYFUNCTION("""COMPUTED_VALUE"""),492.45)</f>
        <v>492.45</v>
      </c>
      <c r="D800" s="9">
        <f>IFERROR(__xludf.DUMMYFUNCTION("""COMPUTED_VALUE"""),503.3)</f>
        <v>503.3</v>
      </c>
      <c r="E800" s="9">
        <f>IFERROR(__xludf.DUMMYFUNCTION("""COMPUTED_VALUE"""),486.8)</f>
        <v>486.8</v>
      </c>
      <c r="F800" s="9">
        <f>IFERROR(__xludf.DUMMYFUNCTION("""COMPUTED_VALUE"""),494.23)</f>
        <v>494.23</v>
      </c>
      <c r="G800" s="9">
        <f>IFERROR(__xludf.DUMMYFUNCTION("""COMPUTED_VALUE"""),3653018.0)</f>
        <v>3653018</v>
      </c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</row>
    <row r="801">
      <c r="A801" s="1"/>
      <c r="B801" s="22">
        <f>IFERROR(__xludf.DUMMYFUNCTION("""COMPUTED_VALUE"""),42730.64583333333)</f>
        <v>42730.64583</v>
      </c>
      <c r="C801" s="9">
        <f>IFERROR(__xludf.DUMMYFUNCTION("""COMPUTED_VALUE"""),494.0)</f>
        <v>494</v>
      </c>
      <c r="D801" s="9">
        <f>IFERROR(__xludf.DUMMYFUNCTION("""COMPUTED_VALUE"""),497.0)</f>
        <v>497</v>
      </c>
      <c r="E801" s="9">
        <f>IFERROR(__xludf.DUMMYFUNCTION("""COMPUTED_VALUE"""),487.55)</f>
        <v>487.55</v>
      </c>
      <c r="F801" s="9">
        <f>IFERROR(__xludf.DUMMYFUNCTION("""COMPUTED_VALUE"""),491.38)</f>
        <v>491.38</v>
      </c>
      <c r="G801" s="9">
        <f>IFERROR(__xludf.DUMMYFUNCTION("""COMPUTED_VALUE"""),1606914.0)</f>
        <v>1606914</v>
      </c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</row>
    <row r="802">
      <c r="A802" s="1"/>
      <c r="B802" s="22">
        <f>IFERROR(__xludf.DUMMYFUNCTION("""COMPUTED_VALUE"""),42731.64583333333)</f>
        <v>42731.64583</v>
      </c>
      <c r="C802" s="9">
        <f>IFERROR(__xludf.DUMMYFUNCTION("""COMPUTED_VALUE"""),491.38)</f>
        <v>491.38</v>
      </c>
      <c r="D802" s="9">
        <f>IFERROR(__xludf.DUMMYFUNCTION("""COMPUTED_VALUE"""),500.95)</f>
        <v>500.95</v>
      </c>
      <c r="E802" s="9">
        <f>IFERROR(__xludf.DUMMYFUNCTION("""COMPUTED_VALUE"""),490.0)</f>
        <v>490</v>
      </c>
      <c r="F802" s="9">
        <f>IFERROR(__xludf.DUMMYFUNCTION("""COMPUTED_VALUE"""),499.48)</f>
        <v>499.48</v>
      </c>
      <c r="G802" s="9">
        <f>IFERROR(__xludf.DUMMYFUNCTION("""COMPUTED_VALUE"""),2456408.0)</f>
        <v>2456408</v>
      </c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</row>
    <row r="803">
      <c r="A803" s="1"/>
      <c r="B803" s="22">
        <f>IFERROR(__xludf.DUMMYFUNCTION("""COMPUTED_VALUE"""),42732.64583333333)</f>
        <v>42732.64583</v>
      </c>
      <c r="C803" s="9">
        <f>IFERROR(__xludf.DUMMYFUNCTION("""COMPUTED_VALUE"""),501.48)</f>
        <v>501.48</v>
      </c>
      <c r="D803" s="9">
        <f>IFERROR(__xludf.DUMMYFUNCTION("""COMPUTED_VALUE"""),504.9)</f>
        <v>504.9</v>
      </c>
      <c r="E803" s="9">
        <f>IFERROR(__xludf.DUMMYFUNCTION("""COMPUTED_VALUE"""),497.5)</f>
        <v>497.5</v>
      </c>
      <c r="F803" s="9">
        <f>IFERROR(__xludf.DUMMYFUNCTION("""COMPUTED_VALUE"""),499.25)</f>
        <v>499.25</v>
      </c>
      <c r="G803" s="9">
        <f>IFERROR(__xludf.DUMMYFUNCTION("""COMPUTED_VALUE"""),2738408.0)</f>
        <v>2738408</v>
      </c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</row>
    <row r="804">
      <c r="A804" s="1"/>
      <c r="B804" s="22">
        <f>IFERROR(__xludf.DUMMYFUNCTION("""COMPUTED_VALUE"""),42733.64583333333)</f>
        <v>42733.64583</v>
      </c>
      <c r="C804" s="9">
        <f>IFERROR(__xludf.DUMMYFUNCTION("""COMPUTED_VALUE"""),501.88)</f>
        <v>501.88</v>
      </c>
      <c r="D804" s="9">
        <f>IFERROR(__xludf.DUMMYFUNCTION("""COMPUTED_VALUE"""),504.0)</f>
        <v>504</v>
      </c>
      <c r="E804" s="9">
        <f>IFERROR(__xludf.DUMMYFUNCTION("""COMPUTED_VALUE"""),494.08)</f>
        <v>494.08</v>
      </c>
      <c r="F804" s="9">
        <f>IFERROR(__xludf.DUMMYFUNCTION("""COMPUTED_VALUE"""),496.18)</f>
        <v>496.18</v>
      </c>
      <c r="G804" s="9">
        <f>IFERROR(__xludf.DUMMYFUNCTION("""COMPUTED_VALUE"""),3120062.0)</f>
        <v>3120062</v>
      </c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</row>
    <row r="805">
      <c r="A805" s="1"/>
      <c r="B805" s="22">
        <f>IFERROR(__xludf.DUMMYFUNCTION("""COMPUTED_VALUE"""),42734.64583333333)</f>
        <v>42734.64583</v>
      </c>
      <c r="C805" s="9">
        <f>IFERROR(__xludf.DUMMYFUNCTION("""COMPUTED_VALUE"""),499.0)</f>
        <v>499</v>
      </c>
      <c r="D805" s="9">
        <f>IFERROR(__xludf.DUMMYFUNCTION("""COMPUTED_VALUE"""),506.0)</f>
        <v>506</v>
      </c>
      <c r="E805" s="9">
        <f>IFERROR(__xludf.DUMMYFUNCTION("""COMPUTED_VALUE"""),496.38)</f>
        <v>496.38</v>
      </c>
      <c r="F805" s="9">
        <f>IFERROR(__xludf.DUMMYFUNCTION("""COMPUTED_VALUE"""),505.3)</f>
        <v>505.3</v>
      </c>
      <c r="G805" s="9">
        <f>IFERROR(__xludf.DUMMYFUNCTION("""COMPUTED_VALUE"""),3633884.0)</f>
        <v>3633884</v>
      </c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</row>
    <row r="806">
      <c r="A806" s="1"/>
      <c r="B806" s="22">
        <f>IFERROR(__xludf.DUMMYFUNCTION("""COMPUTED_VALUE"""),42737.64583333333)</f>
        <v>42737.64583</v>
      </c>
      <c r="C806" s="9">
        <f>IFERROR(__xludf.DUMMYFUNCTION("""COMPUTED_VALUE"""),505.55)</f>
        <v>505.55</v>
      </c>
      <c r="D806" s="9">
        <f>IFERROR(__xludf.DUMMYFUNCTION("""COMPUTED_VALUE"""),506.48)</f>
        <v>506.48</v>
      </c>
      <c r="E806" s="9">
        <f>IFERROR(__xludf.DUMMYFUNCTION("""COMPUTED_VALUE"""),499.68)</f>
        <v>499.68</v>
      </c>
      <c r="F806" s="9">
        <f>IFERROR(__xludf.DUMMYFUNCTION("""COMPUTED_VALUE"""),500.55)</f>
        <v>500.55</v>
      </c>
      <c r="G806" s="9">
        <f>IFERROR(__xludf.DUMMYFUNCTION("""COMPUTED_VALUE"""),1167611.0)</f>
        <v>1167611</v>
      </c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</row>
    <row r="807">
      <c r="A807" s="1"/>
      <c r="B807" s="22">
        <f>IFERROR(__xludf.DUMMYFUNCTION("""COMPUTED_VALUE"""),42738.64583333333)</f>
        <v>42738.64583</v>
      </c>
      <c r="C807" s="9">
        <f>IFERROR(__xludf.DUMMYFUNCTION("""COMPUTED_VALUE"""),502.05)</f>
        <v>502.05</v>
      </c>
      <c r="D807" s="9">
        <f>IFERROR(__xludf.DUMMYFUNCTION("""COMPUTED_VALUE"""),502.45)</f>
        <v>502.45</v>
      </c>
      <c r="E807" s="9">
        <f>IFERROR(__xludf.DUMMYFUNCTION("""COMPUTED_VALUE"""),491.0)</f>
        <v>491</v>
      </c>
      <c r="F807" s="9">
        <f>IFERROR(__xludf.DUMMYFUNCTION("""COMPUTED_VALUE"""),496.93)</f>
        <v>496.93</v>
      </c>
      <c r="G807" s="9">
        <f>IFERROR(__xludf.DUMMYFUNCTION("""COMPUTED_VALUE"""),3389241.0)</f>
        <v>3389241</v>
      </c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</row>
    <row r="808">
      <c r="A808" s="1"/>
      <c r="B808" s="22">
        <f>IFERROR(__xludf.DUMMYFUNCTION("""COMPUTED_VALUE"""),42739.64583333333)</f>
        <v>42739.64583</v>
      </c>
      <c r="C808" s="9">
        <f>IFERROR(__xludf.DUMMYFUNCTION("""COMPUTED_VALUE"""),497.53)</f>
        <v>497.53</v>
      </c>
      <c r="D808" s="9">
        <f>IFERROR(__xludf.DUMMYFUNCTION("""COMPUTED_VALUE"""),502.1)</f>
        <v>502.1</v>
      </c>
      <c r="E808" s="9">
        <f>IFERROR(__xludf.DUMMYFUNCTION("""COMPUTED_VALUE"""),496.13)</f>
        <v>496.13</v>
      </c>
      <c r="F808" s="9">
        <f>IFERROR(__xludf.DUMMYFUNCTION("""COMPUTED_VALUE"""),498.88)</f>
        <v>498.88</v>
      </c>
      <c r="G808" s="9">
        <f>IFERROR(__xludf.DUMMYFUNCTION("""COMPUTED_VALUE"""),3536793.0)</f>
        <v>3536793</v>
      </c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</row>
    <row r="809">
      <c r="A809" s="1"/>
      <c r="B809" s="22">
        <f>IFERROR(__xludf.DUMMYFUNCTION("""COMPUTED_VALUE"""),42740.64583333333)</f>
        <v>42740.64583</v>
      </c>
      <c r="C809" s="9">
        <f>IFERROR(__xludf.DUMMYFUNCTION("""COMPUTED_VALUE"""),500.8)</f>
        <v>500.8</v>
      </c>
      <c r="D809" s="9">
        <f>IFERROR(__xludf.DUMMYFUNCTION("""COMPUTED_VALUE"""),504.75)</f>
        <v>504.75</v>
      </c>
      <c r="E809" s="9">
        <f>IFERROR(__xludf.DUMMYFUNCTION("""COMPUTED_VALUE"""),494.38)</f>
        <v>494.38</v>
      </c>
      <c r="F809" s="9">
        <f>IFERROR(__xludf.DUMMYFUNCTION("""COMPUTED_VALUE"""),498.08)</f>
        <v>498.08</v>
      </c>
      <c r="G809" s="9">
        <f>IFERROR(__xludf.DUMMYFUNCTION("""COMPUTED_VALUE"""),4103537.0)</f>
        <v>4103537</v>
      </c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</row>
    <row r="810">
      <c r="A810" s="1"/>
      <c r="B810" s="22">
        <f>IFERROR(__xludf.DUMMYFUNCTION("""COMPUTED_VALUE"""),42741.64583333333)</f>
        <v>42741.64583</v>
      </c>
      <c r="C810" s="9">
        <f>IFERROR(__xludf.DUMMYFUNCTION("""COMPUTED_VALUE"""),497.45)</f>
        <v>497.45</v>
      </c>
      <c r="D810" s="9">
        <f>IFERROR(__xludf.DUMMYFUNCTION("""COMPUTED_VALUE"""),499.43)</f>
        <v>499.43</v>
      </c>
      <c r="E810" s="9">
        <f>IFERROR(__xludf.DUMMYFUNCTION("""COMPUTED_VALUE"""),484.03)</f>
        <v>484.03</v>
      </c>
      <c r="F810" s="9">
        <f>IFERROR(__xludf.DUMMYFUNCTION("""COMPUTED_VALUE"""),486.13)</f>
        <v>486.13</v>
      </c>
      <c r="G810" s="9">
        <f>IFERROR(__xludf.DUMMYFUNCTION("""COMPUTED_VALUE"""),7196724.0)</f>
        <v>7196724</v>
      </c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</row>
    <row r="811">
      <c r="A811" s="1"/>
      <c r="B811" s="22">
        <f>IFERROR(__xludf.DUMMYFUNCTION("""COMPUTED_VALUE"""),42744.64583333333)</f>
        <v>42744.64583</v>
      </c>
      <c r="C811" s="9">
        <f>IFERROR(__xludf.DUMMYFUNCTION("""COMPUTED_VALUE"""),486.13)</f>
        <v>486.13</v>
      </c>
      <c r="D811" s="9">
        <f>IFERROR(__xludf.DUMMYFUNCTION("""COMPUTED_VALUE"""),488.48)</f>
        <v>488.48</v>
      </c>
      <c r="E811" s="9">
        <f>IFERROR(__xludf.DUMMYFUNCTION("""COMPUTED_VALUE"""),482.5)</f>
        <v>482.5</v>
      </c>
      <c r="F811" s="9">
        <f>IFERROR(__xludf.DUMMYFUNCTION("""COMPUTED_VALUE"""),485.18)</f>
        <v>485.18</v>
      </c>
      <c r="G811" s="9">
        <f>IFERROR(__xludf.DUMMYFUNCTION("""COMPUTED_VALUE"""),5272846.0)</f>
        <v>5272846</v>
      </c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</row>
    <row r="812">
      <c r="A812" s="1"/>
      <c r="B812" s="22">
        <f>IFERROR(__xludf.DUMMYFUNCTION("""COMPUTED_VALUE"""),42745.64583333333)</f>
        <v>42745.64583</v>
      </c>
      <c r="C812" s="9">
        <f>IFERROR(__xludf.DUMMYFUNCTION("""COMPUTED_VALUE"""),488.5)</f>
        <v>488.5</v>
      </c>
      <c r="D812" s="9">
        <f>IFERROR(__xludf.DUMMYFUNCTION("""COMPUTED_VALUE"""),490.5)</f>
        <v>490.5</v>
      </c>
      <c r="E812" s="9">
        <f>IFERROR(__xludf.DUMMYFUNCTION("""COMPUTED_VALUE"""),483.98)</f>
        <v>483.98</v>
      </c>
      <c r="F812" s="9">
        <f>IFERROR(__xludf.DUMMYFUNCTION("""COMPUTED_VALUE"""),485.28)</f>
        <v>485.28</v>
      </c>
      <c r="G812" s="9">
        <f>IFERROR(__xludf.DUMMYFUNCTION("""COMPUTED_VALUE"""),5969927.0)</f>
        <v>5969927</v>
      </c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</row>
    <row r="813">
      <c r="A813" s="1"/>
      <c r="B813" s="22">
        <f>IFERROR(__xludf.DUMMYFUNCTION("""COMPUTED_VALUE"""),42746.64583333333)</f>
        <v>42746.64583</v>
      </c>
      <c r="C813" s="9">
        <f>IFERROR(__xludf.DUMMYFUNCTION("""COMPUTED_VALUE"""),487.1)</f>
        <v>487.1</v>
      </c>
      <c r="D813" s="9">
        <f>IFERROR(__xludf.DUMMYFUNCTION("""COMPUTED_VALUE"""),489.23)</f>
        <v>489.23</v>
      </c>
      <c r="E813" s="9">
        <f>IFERROR(__xludf.DUMMYFUNCTION("""COMPUTED_VALUE"""),481.98)</f>
        <v>481.98</v>
      </c>
      <c r="F813" s="9">
        <f>IFERROR(__xludf.DUMMYFUNCTION("""COMPUTED_VALUE"""),484.7)</f>
        <v>484.7</v>
      </c>
      <c r="G813" s="9">
        <f>IFERROR(__xludf.DUMMYFUNCTION("""COMPUTED_VALUE"""),6120787.0)</f>
        <v>6120787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</row>
    <row r="814">
      <c r="A814" s="1"/>
      <c r="B814" s="22">
        <f>IFERROR(__xludf.DUMMYFUNCTION("""COMPUTED_VALUE"""),42747.64583333333)</f>
        <v>42747.64583</v>
      </c>
      <c r="C814" s="9">
        <f>IFERROR(__xludf.DUMMYFUNCTION("""COMPUTED_VALUE"""),488.78)</f>
        <v>488.78</v>
      </c>
      <c r="D814" s="9">
        <f>IFERROR(__xludf.DUMMYFUNCTION("""COMPUTED_VALUE"""),502.2)</f>
        <v>502.2</v>
      </c>
      <c r="E814" s="9">
        <f>IFERROR(__xludf.DUMMYFUNCTION("""COMPUTED_VALUE"""),488.78)</f>
        <v>488.78</v>
      </c>
      <c r="F814" s="9">
        <f>IFERROR(__xludf.DUMMYFUNCTION("""COMPUTED_VALUE"""),500.03)</f>
        <v>500.03</v>
      </c>
      <c r="G814" s="9">
        <f>IFERROR(__xludf.DUMMYFUNCTION("""COMPUTED_VALUE"""),5927870.0)</f>
        <v>5927870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</row>
    <row r="815">
      <c r="A815" s="1"/>
      <c r="B815" s="22">
        <f>IFERROR(__xludf.DUMMYFUNCTION("""COMPUTED_VALUE"""),42748.64583333333)</f>
        <v>42748.64583</v>
      </c>
      <c r="C815" s="9">
        <f>IFERROR(__xludf.DUMMYFUNCTION("""COMPUTED_VALUE"""),515.0)</f>
        <v>515</v>
      </c>
      <c r="D815" s="9">
        <f>IFERROR(__xludf.DUMMYFUNCTION("""COMPUTED_VALUE"""),520.0)</f>
        <v>520</v>
      </c>
      <c r="E815" s="9">
        <f>IFERROR(__xludf.DUMMYFUNCTION("""COMPUTED_VALUE"""),481.35)</f>
        <v>481.35</v>
      </c>
      <c r="F815" s="9">
        <f>IFERROR(__xludf.DUMMYFUNCTION("""COMPUTED_VALUE"""),487.9)</f>
        <v>487.9</v>
      </c>
      <c r="G815" s="9">
        <f>IFERROR(__xludf.DUMMYFUNCTION("""COMPUTED_VALUE"""),1.5638123E7)</f>
        <v>15638123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</row>
    <row r="816">
      <c r="A816" s="1"/>
      <c r="B816" s="22">
        <f>IFERROR(__xludf.DUMMYFUNCTION("""COMPUTED_VALUE"""),42751.64583333333)</f>
        <v>42751.64583</v>
      </c>
      <c r="C816" s="9">
        <f>IFERROR(__xludf.DUMMYFUNCTION("""COMPUTED_VALUE"""),482.5)</f>
        <v>482.5</v>
      </c>
      <c r="D816" s="9">
        <f>IFERROR(__xludf.DUMMYFUNCTION("""COMPUTED_VALUE"""),482.73)</f>
        <v>482.73</v>
      </c>
      <c r="E816" s="9">
        <f>IFERROR(__xludf.DUMMYFUNCTION("""COMPUTED_VALUE"""),476.23)</f>
        <v>476.23</v>
      </c>
      <c r="F816" s="9">
        <f>IFERROR(__xludf.DUMMYFUNCTION("""COMPUTED_VALUE"""),477.83)</f>
        <v>477.83</v>
      </c>
      <c r="G816" s="9">
        <f>IFERROR(__xludf.DUMMYFUNCTION("""COMPUTED_VALUE"""),6175686.0)</f>
        <v>6175686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</row>
    <row r="817">
      <c r="A817" s="1"/>
      <c r="B817" s="22">
        <f>IFERROR(__xludf.DUMMYFUNCTION("""COMPUTED_VALUE"""),42752.64583333333)</f>
        <v>42752.64583</v>
      </c>
      <c r="C817" s="9">
        <f>IFERROR(__xludf.DUMMYFUNCTION("""COMPUTED_VALUE"""),478.13)</f>
        <v>478.13</v>
      </c>
      <c r="D817" s="9">
        <f>IFERROR(__xludf.DUMMYFUNCTION("""COMPUTED_VALUE"""),482.0)</f>
        <v>482</v>
      </c>
      <c r="E817" s="9">
        <f>IFERROR(__xludf.DUMMYFUNCTION("""COMPUTED_VALUE"""),476.2)</f>
        <v>476.2</v>
      </c>
      <c r="F817" s="9">
        <f>IFERROR(__xludf.DUMMYFUNCTION("""COMPUTED_VALUE"""),477.7)</f>
        <v>477.7</v>
      </c>
      <c r="G817" s="9">
        <f>IFERROR(__xludf.DUMMYFUNCTION("""COMPUTED_VALUE"""),2780047.0)</f>
        <v>2780047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</row>
    <row r="818">
      <c r="A818" s="1"/>
      <c r="B818" s="22">
        <f>IFERROR(__xludf.DUMMYFUNCTION("""COMPUTED_VALUE"""),42753.64583333333)</f>
        <v>42753.64583</v>
      </c>
      <c r="C818" s="9">
        <f>IFERROR(__xludf.DUMMYFUNCTION("""COMPUTED_VALUE"""),479.05)</f>
        <v>479.05</v>
      </c>
      <c r="D818" s="9">
        <f>IFERROR(__xludf.DUMMYFUNCTION("""COMPUTED_VALUE"""),480.5)</f>
        <v>480.5</v>
      </c>
      <c r="E818" s="9">
        <f>IFERROR(__xludf.DUMMYFUNCTION("""COMPUTED_VALUE"""),474.9)</f>
        <v>474.9</v>
      </c>
      <c r="F818" s="9">
        <f>IFERROR(__xludf.DUMMYFUNCTION("""COMPUTED_VALUE"""),475.4)</f>
        <v>475.4</v>
      </c>
      <c r="G818" s="9">
        <f>IFERROR(__xludf.DUMMYFUNCTION("""COMPUTED_VALUE"""),2976481.0)</f>
        <v>2976481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</row>
    <row r="819">
      <c r="A819" s="1"/>
      <c r="B819" s="22">
        <f>IFERROR(__xludf.DUMMYFUNCTION("""COMPUTED_VALUE"""),42754.64583333333)</f>
        <v>42754.64583</v>
      </c>
      <c r="C819" s="9">
        <f>IFERROR(__xludf.DUMMYFUNCTION("""COMPUTED_VALUE"""),475.5)</f>
        <v>475.5</v>
      </c>
      <c r="D819" s="9">
        <f>IFERROR(__xludf.DUMMYFUNCTION("""COMPUTED_VALUE"""),479.8)</f>
        <v>479.8</v>
      </c>
      <c r="E819" s="9">
        <f>IFERROR(__xludf.DUMMYFUNCTION("""COMPUTED_VALUE"""),474.05)</f>
        <v>474.05</v>
      </c>
      <c r="F819" s="9">
        <f>IFERROR(__xludf.DUMMYFUNCTION("""COMPUTED_VALUE"""),479.05)</f>
        <v>479.05</v>
      </c>
      <c r="G819" s="9">
        <f>IFERROR(__xludf.DUMMYFUNCTION("""COMPUTED_VALUE"""),4438240.0)</f>
        <v>4438240</v>
      </c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</row>
    <row r="820">
      <c r="A820" s="1"/>
      <c r="B820" s="22">
        <f>IFERROR(__xludf.DUMMYFUNCTION("""COMPUTED_VALUE"""),42755.64583333333)</f>
        <v>42755.64583</v>
      </c>
      <c r="C820" s="9">
        <f>IFERROR(__xludf.DUMMYFUNCTION("""COMPUTED_VALUE"""),475.0)</f>
        <v>475</v>
      </c>
      <c r="D820" s="9">
        <f>IFERROR(__xludf.DUMMYFUNCTION("""COMPUTED_VALUE"""),476.58)</f>
        <v>476.58</v>
      </c>
      <c r="E820" s="9">
        <f>IFERROR(__xludf.DUMMYFUNCTION("""COMPUTED_VALUE"""),473.0)</f>
        <v>473</v>
      </c>
      <c r="F820" s="9">
        <f>IFERROR(__xludf.DUMMYFUNCTION("""COMPUTED_VALUE"""),474.35)</f>
        <v>474.35</v>
      </c>
      <c r="G820" s="9">
        <f>IFERROR(__xludf.DUMMYFUNCTION("""COMPUTED_VALUE"""),4562371.0)</f>
        <v>4562371</v>
      </c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</row>
    <row r="821">
      <c r="A821" s="1"/>
      <c r="B821" s="22">
        <f>IFERROR(__xludf.DUMMYFUNCTION("""COMPUTED_VALUE"""),42758.64583333333)</f>
        <v>42758.64583</v>
      </c>
      <c r="C821" s="9">
        <f>IFERROR(__xludf.DUMMYFUNCTION("""COMPUTED_VALUE"""),472.5)</f>
        <v>472.5</v>
      </c>
      <c r="D821" s="9">
        <f>IFERROR(__xludf.DUMMYFUNCTION("""COMPUTED_VALUE"""),479.0)</f>
        <v>479</v>
      </c>
      <c r="E821" s="9">
        <f>IFERROR(__xludf.DUMMYFUNCTION("""COMPUTED_VALUE"""),470.0)</f>
        <v>470</v>
      </c>
      <c r="F821" s="9">
        <f>IFERROR(__xludf.DUMMYFUNCTION("""COMPUTED_VALUE"""),476.35)</f>
        <v>476.35</v>
      </c>
      <c r="G821" s="9">
        <f>IFERROR(__xludf.DUMMYFUNCTION("""COMPUTED_VALUE"""),3974290.0)</f>
        <v>3974290</v>
      </c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</row>
    <row r="822">
      <c r="A822" s="1"/>
      <c r="B822" s="22">
        <f>IFERROR(__xludf.DUMMYFUNCTION("""COMPUTED_VALUE"""),42759.64583333333)</f>
        <v>42759.64583</v>
      </c>
      <c r="C822" s="9">
        <f>IFERROR(__xludf.DUMMYFUNCTION("""COMPUTED_VALUE"""),475.0)</f>
        <v>475</v>
      </c>
      <c r="D822" s="9">
        <f>IFERROR(__xludf.DUMMYFUNCTION("""COMPUTED_VALUE"""),475.0)</f>
        <v>475</v>
      </c>
      <c r="E822" s="9">
        <f>IFERROR(__xludf.DUMMYFUNCTION("""COMPUTED_VALUE"""),470.05)</f>
        <v>470.05</v>
      </c>
      <c r="F822" s="9">
        <f>IFERROR(__xludf.DUMMYFUNCTION("""COMPUTED_VALUE"""),472.78)</f>
        <v>472.78</v>
      </c>
      <c r="G822" s="9">
        <f>IFERROR(__xludf.DUMMYFUNCTION("""COMPUTED_VALUE"""),3413005.0)</f>
        <v>3413005</v>
      </c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</row>
    <row r="823">
      <c r="A823" s="1"/>
      <c r="B823" s="22">
        <f>IFERROR(__xludf.DUMMYFUNCTION("""COMPUTED_VALUE"""),42760.64583333333)</f>
        <v>42760.64583</v>
      </c>
      <c r="C823" s="9">
        <f>IFERROR(__xludf.DUMMYFUNCTION("""COMPUTED_VALUE"""),473.05)</f>
        <v>473.05</v>
      </c>
      <c r="D823" s="9">
        <f>IFERROR(__xludf.DUMMYFUNCTION("""COMPUTED_VALUE"""),473.4)</f>
        <v>473.4</v>
      </c>
      <c r="E823" s="9">
        <f>IFERROR(__xludf.DUMMYFUNCTION("""COMPUTED_VALUE"""),467.4)</f>
        <v>467.4</v>
      </c>
      <c r="F823" s="9">
        <f>IFERROR(__xludf.DUMMYFUNCTION("""COMPUTED_VALUE"""),468.3)</f>
        <v>468.3</v>
      </c>
      <c r="G823" s="9">
        <f>IFERROR(__xludf.DUMMYFUNCTION("""COMPUTED_VALUE"""),4989045.0)</f>
        <v>4989045</v>
      </c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</row>
    <row r="824">
      <c r="A824" s="1"/>
      <c r="B824" s="22">
        <f>IFERROR(__xludf.DUMMYFUNCTION("""COMPUTED_VALUE"""),42762.64583333333)</f>
        <v>42762.64583</v>
      </c>
      <c r="C824" s="9">
        <f>IFERROR(__xludf.DUMMYFUNCTION("""COMPUTED_VALUE"""),466.93)</f>
        <v>466.93</v>
      </c>
      <c r="D824" s="9">
        <f>IFERROR(__xludf.DUMMYFUNCTION("""COMPUTED_VALUE"""),473.78)</f>
        <v>473.78</v>
      </c>
      <c r="E824" s="9">
        <f>IFERROR(__xludf.DUMMYFUNCTION("""COMPUTED_VALUE"""),450.58)</f>
        <v>450.58</v>
      </c>
      <c r="F824" s="9">
        <f>IFERROR(__xludf.DUMMYFUNCTION("""COMPUTED_VALUE"""),471.08)</f>
        <v>471.08</v>
      </c>
      <c r="G824" s="9">
        <f>IFERROR(__xludf.DUMMYFUNCTION("""COMPUTED_VALUE"""),5317569.0)</f>
        <v>5317569</v>
      </c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</row>
    <row r="825">
      <c r="A825" s="1"/>
      <c r="B825" s="22">
        <f>IFERROR(__xludf.DUMMYFUNCTION("""COMPUTED_VALUE"""),42765.64583333333)</f>
        <v>42765.64583</v>
      </c>
      <c r="C825" s="9">
        <f>IFERROR(__xludf.DUMMYFUNCTION("""COMPUTED_VALUE"""),468.75)</f>
        <v>468.75</v>
      </c>
      <c r="D825" s="9">
        <f>IFERROR(__xludf.DUMMYFUNCTION("""COMPUTED_VALUE"""),475.75)</f>
        <v>475.75</v>
      </c>
      <c r="E825" s="9">
        <f>IFERROR(__xludf.DUMMYFUNCTION("""COMPUTED_VALUE"""),464.43)</f>
        <v>464.43</v>
      </c>
      <c r="F825" s="9">
        <f>IFERROR(__xludf.DUMMYFUNCTION("""COMPUTED_VALUE"""),474.68)</f>
        <v>474.68</v>
      </c>
      <c r="G825" s="9">
        <f>IFERROR(__xludf.DUMMYFUNCTION("""COMPUTED_VALUE"""),5684604.0)</f>
        <v>5684604</v>
      </c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</row>
    <row r="826">
      <c r="A826" s="1"/>
      <c r="B826" s="22">
        <f>IFERROR(__xludf.DUMMYFUNCTION("""COMPUTED_VALUE"""),42766.64583333333)</f>
        <v>42766.64583</v>
      </c>
      <c r="C826" s="9">
        <f>IFERROR(__xludf.DUMMYFUNCTION("""COMPUTED_VALUE"""),470.75)</f>
        <v>470.75</v>
      </c>
      <c r="D826" s="9">
        <f>IFERROR(__xludf.DUMMYFUNCTION("""COMPUTED_VALUE"""),470.75)</f>
        <v>470.75</v>
      </c>
      <c r="E826" s="9">
        <f>IFERROR(__xludf.DUMMYFUNCTION("""COMPUTED_VALUE"""),452.18)</f>
        <v>452.18</v>
      </c>
      <c r="F826" s="9">
        <f>IFERROR(__xludf.DUMMYFUNCTION("""COMPUTED_VALUE"""),464.3)</f>
        <v>464.3</v>
      </c>
      <c r="G826" s="9">
        <f>IFERROR(__xludf.DUMMYFUNCTION("""COMPUTED_VALUE"""),1.2034267E7)</f>
        <v>12034267</v>
      </c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</row>
    <row r="827">
      <c r="A827" s="1"/>
      <c r="B827" s="22">
        <f>IFERROR(__xludf.DUMMYFUNCTION("""COMPUTED_VALUE"""),42767.64583333333)</f>
        <v>42767.64583</v>
      </c>
      <c r="C827" s="9">
        <f>IFERROR(__xludf.DUMMYFUNCTION("""COMPUTED_VALUE"""),460.55)</f>
        <v>460.55</v>
      </c>
      <c r="D827" s="9">
        <f>IFERROR(__xludf.DUMMYFUNCTION("""COMPUTED_VALUE"""),461.6)</f>
        <v>461.6</v>
      </c>
      <c r="E827" s="9">
        <f>IFERROR(__xludf.DUMMYFUNCTION("""COMPUTED_VALUE"""),452.58)</f>
        <v>452.58</v>
      </c>
      <c r="F827" s="9">
        <f>IFERROR(__xludf.DUMMYFUNCTION("""COMPUTED_VALUE"""),458.38)</f>
        <v>458.38</v>
      </c>
      <c r="G827" s="9">
        <f>IFERROR(__xludf.DUMMYFUNCTION("""COMPUTED_VALUE"""),5765891.0)</f>
        <v>5765891</v>
      </c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</row>
    <row r="828">
      <c r="A828" s="1"/>
      <c r="B828" s="22">
        <f>IFERROR(__xludf.DUMMYFUNCTION("""COMPUTED_VALUE"""),42768.64583333333)</f>
        <v>42768.64583</v>
      </c>
      <c r="C828" s="9">
        <f>IFERROR(__xludf.DUMMYFUNCTION("""COMPUTED_VALUE"""),458.5)</f>
        <v>458.5</v>
      </c>
      <c r="D828" s="9">
        <f>IFERROR(__xludf.DUMMYFUNCTION("""COMPUTED_VALUE"""),472.5)</f>
        <v>472.5</v>
      </c>
      <c r="E828" s="9">
        <f>IFERROR(__xludf.DUMMYFUNCTION("""COMPUTED_VALUE"""),455.05)</f>
        <v>455.05</v>
      </c>
      <c r="F828" s="9">
        <f>IFERROR(__xludf.DUMMYFUNCTION("""COMPUTED_VALUE"""),467.95)</f>
        <v>467.95</v>
      </c>
      <c r="G828" s="9">
        <f>IFERROR(__xludf.DUMMYFUNCTION("""COMPUTED_VALUE"""),5914134.0)</f>
        <v>5914134</v>
      </c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</row>
    <row r="829">
      <c r="A829" s="1"/>
      <c r="B829" s="22">
        <f>IFERROR(__xludf.DUMMYFUNCTION("""COMPUTED_VALUE"""),42769.64583333333)</f>
        <v>42769.64583</v>
      </c>
      <c r="C829" s="9">
        <f>IFERROR(__xludf.DUMMYFUNCTION("""COMPUTED_VALUE"""),466.9)</f>
        <v>466.9</v>
      </c>
      <c r="D829" s="9">
        <f>IFERROR(__xludf.DUMMYFUNCTION("""COMPUTED_VALUE"""),470.45)</f>
        <v>470.45</v>
      </c>
      <c r="E829" s="9">
        <f>IFERROR(__xludf.DUMMYFUNCTION("""COMPUTED_VALUE"""),460.53)</f>
        <v>460.53</v>
      </c>
      <c r="F829" s="9">
        <f>IFERROR(__xludf.DUMMYFUNCTION("""COMPUTED_VALUE"""),468.05)</f>
        <v>468.05</v>
      </c>
      <c r="G829" s="9">
        <f>IFERROR(__xludf.DUMMYFUNCTION("""COMPUTED_VALUE"""),4211979.0)</f>
        <v>4211979</v>
      </c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</row>
    <row r="830">
      <c r="A830" s="1"/>
      <c r="B830" s="22">
        <f>IFERROR(__xludf.DUMMYFUNCTION("""COMPUTED_VALUE"""),42772.64583333333)</f>
        <v>42772.64583</v>
      </c>
      <c r="C830" s="9">
        <f>IFERROR(__xludf.DUMMYFUNCTION("""COMPUTED_VALUE"""),468.63)</f>
        <v>468.63</v>
      </c>
      <c r="D830" s="9">
        <f>IFERROR(__xludf.DUMMYFUNCTION("""COMPUTED_VALUE"""),471.88)</f>
        <v>471.88</v>
      </c>
      <c r="E830" s="9">
        <f>IFERROR(__xludf.DUMMYFUNCTION("""COMPUTED_VALUE"""),465.28)</f>
        <v>465.28</v>
      </c>
      <c r="F830" s="9">
        <f>IFERROR(__xludf.DUMMYFUNCTION("""COMPUTED_VALUE"""),467.63)</f>
        <v>467.63</v>
      </c>
      <c r="G830" s="9">
        <f>IFERROR(__xludf.DUMMYFUNCTION("""COMPUTED_VALUE"""),3363967.0)</f>
        <v>3363967</v>
      </c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</row>
    <row r="831">
      <c r="A831" s="1"/>
      <c r="B831" s="22">
        <f>IFERROR(__xludf.DUMMYFUNCTION("""COMPUTED_VALUE"""),42773.64583333333)</f>
        <v>42773.64583</v>
      </c>
      <c r="C831" s="9">
        <f>IFERROR(__xludf.DUMMYFUNCTION("""COMPUTED_VALUE"""),466.5)</f>
        <v>466.5</v>
      </c>
      <c r="D831" s="9">
        <f>IFERROR(__xludf.DUMMYFUNCTION("""COMPUTED_VALUE"""),474.9)</f>
        <v>474.9</v>
      </c>
      <c r="E831" s="9">
        <f>IFERROR(__xludf.DUMMYFUNCTION("""COMPUTED_VALUE"""),464.28)</f>
        <v>464.28</v>
      </c>
      <c r="F831" s="9">
        <f>IFERROR(__xludf.DUMMYFUNCTION("""COMPUTED_VALUE"""),471.13)</f>
        <v>471.13</v>
      </c>
      <c r="G831" s="9">
        <f>IFERROR(__xludf.DUMMYFUNCTION("""COMPUTED_VALUE"""),4634001.0)</f>
        <v>4634001</v>
      </c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</row>
    <row r="832">
      <c r="A832" s="1"/>
      <c r="B832" s="22">
        <f>IFERROR(__xludf.DUMMYFUNCTION("""COMPUTED_VALUE"""),42774.64583333333)</f>
        <v>42774.64583</v>
      </c>
      <c r="C832" s="9">
        <f>IFERROR(__xludf.DUMMYFUNCTION("""COMPUTED_VALUE"""),468.0)</f>
        <v>468</v>
      </c>
      <c r="D832" s="9">
        <f>IFERROR(__xludf.DUMMYFUNCTION("""COMPUTED_VALUE"""),472.05)</f>
        <v>472.05</v>
      </c>
      <c r="E832" s="9">
        <f>IFERROR(__xludf.DUMMYFUNCTION("""COMPUTED_VALUE"""),466.23)</f>
        <v>466.23</v>
      </c>
      <c r="F832" s="9">
        <f>IFERROR(__xludf.DUMMYFUNCTION("""COMPUTED_VALUE"""),468.25)</f>
        <v>468.25</v>
      </c>
      <c r="G832" s="9">
        <f>IFERROR(__xludf.DUMMYFUNCTION("""COMPUTED_VALUE"""),3159981.0)</f>
        <v>3159981</v>
      </c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</row>
    <row r="833">
      <c r="A833" s="1"/>
      <c r="B833" s="22">
        <f>IFERROR(__xludf.DUMMYFUNCTION("""COMPUTED_VALUE"""),42775.64583333333)</f>
        <v>42775.64583</v>
      </c>
      <c r="C833" s="9">
        <f>IFERROR(__xludf.DUMMYFUNCTION("""COMPUTED_VALUE"""),468.5)</f>
        <v>468.5</v>
      </c>
      <c r="D833" s="9">
        <f>IFERROR(__xludf.DUMMYFUNCTION("""COMPUTED_VALUE"""),475.0)</f>
        <v>475</v>
      </c>
      <c r="E833" s="9">
        <f>IFERROR(__xludf.DUMMYFUNCTION("""COMPUTED_VALUE"""),468.28)</f>
        <v>468.28</v>
      </c>
      <c r="F833" s="9">
        <f>IFERROR(__xludf.DUMMYFUNCTION("""COMPUTED_VALUE"""),473.0)</f>
        <v>473</v>
      </c>
      <c r="G833" s="9">
        <f>IFERROR(__xludf.DUMMYFUNCTION("""COMPUTED_VALUE"""),5953633.0)</f>
        <v>5953633</v>
      </c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</row>
    <row r="834">
      <c r="A834" s="1"/>
      <c r="B834" s="22">
        <f>IFERROR(__xludf.DUMMYFUNCTION("""COMPUTED_VALUE"""),42776.64583333333)</f>
        <v>42776.64583</v>
      </c>
      <c r="C834" s="9">
        <f>IFERROR(__xludf.DUMMYFUNCTION("""COMPUTED_VALUE"""),473.13)</f>
        <v>473.13</v>
      </c>
      <c r="D834" s="9">
        <f>IFERROR(__xludf.DUMMYFUNCTION("""COMPUTED_VALUE"""),486.0)</f>
        <v>486</v>
      </c>
      <c r="E834" s="9">
        <f>IFERROR(__xludf.DUMMYFUNCTION("""COMPUTED_VALUE"""),471.65)</f>
        <v>471.65</v>
      </c>
      <c r="F834" s="9">
        <f>IFERROR(__xludf.DUMMYFUNCTION("""COMPUTED_VALUE"""),484.15)</f>
        <v>484.15</v>
      </c>
      <c r="G834" s="9">
        <f>IFERROR(__xludf.DUMMYFUNCTION("""COMPUTED_VALUE"""),6126226.0)</f>
        <v>6126226</v>
      </c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</row>
    <row r="835">
      <c r="A835" s="1"/>
      <c r="B835" s="22">
        <f>IFERROR(__xludf.DUMMYFUNCTION("""COMPUTED_VALUE"""),42779.64583333333)</f>
        <v>42779.64583</v>
      </c>
      <c r="C835" s="9">
        <f>IFERROR(__xludf.DUMMYFUNCTION("""COMPUTED_VALUE"""),486.43)</f>
        <v>486.43</v>
      </c>
      <c r="D835" s="9">
        <f>IFERROR(__xludf.DUMMYFUNCTION("""COMPUTED_VALUE"""),493.05)</f>
        <v>493.05</v>
      </c>
      <c r="E835" s="9">
        <f>IFERROR(__xludf.DUMMYFUNCTION("""COMPUTED_VALUE"""),481.43)</f>
        <v>481.43</v>
      </c>
      <c r="F835" s="9">
        <f>IFERROR(__xludf.DUMMYFUNCTION("""COMPUTED_VALUE"""),492.18)</f>
        <v>492.18</v>
      </c>
      <c r="G835" s="9">
        <f>IFERROR(__xludf.DUMMYFUNCTION("""COMPUTED_VALUE"""),6862134.0)</f>
        <v>6862134</v>
      </c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</row>
    <row r="836">
      <c r="A836" s="1"/>
      <c r="B836" s="22">
        <f>IFERROR(__xludf.DUMMYFUNCTION("""COMPUTED_VALUE"""),42780.64583333333)</f>
        <v>42780.64583</v>
      </c>
      <c r="C836" s="9">
        <f>IFERROR(__xludf.DUMMYFUNCTION("""COMPUTED_VALUE"""),490.0)</f>
        <v>490</v>
      </c>
      <c r="D836" s="9">
        <f>IFERROR(__xludf.DUMMYFUNCTION("""COMPUTED_VALUE"""),494.5)</f>
        <v>494.5</v>
      </c>
      <c r="E836" s="9">
        <f>IFERROR(__xludf.DUMMYFUNCTION("""COMPUTED_VALUE"""),486.18)</f>
        <v>486.18</v>
      </c>
      <c r="F836" s="9">
        <f>IFERROR(__xludf.DUMMYFUNCTION("""COMPUTED_VALUE"""),493.85)</f>
        <v>493.85</v>
      </c>
      <c r="G836" s="9">
        <f>IFERROR(__xludf.DUMMYFUNCTION("""COMPUTED_VALUE"""),4669409.0)</f>
        <v>4669409</v>
      </c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</row>
    <row r="837">
      <c r="A837" s="1"/>
      <c r="B837" s="22">
        <f>IFERROR(__xludf.DUMMYFUNCTION("""COMPUTED_VALUE"""),42781.64583333333)</f>
        <v>42781.64583</v>
      </c>
      <c r="C837" s="9">
        <f>IFERROR(__xludf.DUMMYFUNCTION("""COMPUTED_VALUE"""),494.6)</f>
        <v>494.6</v>
      </c>
      <c r="D837" s="9">
        <f>IFERROR(__xludf.DUMMYFUNCTION("""COMPUTED_VALUE"""),499.4)</f>
        <v>499.4</v>
      </c>
      <c r="E837" s="9">
        <f>IFERROR(__xludf.DUMMYFUNCTION("""COMPUTED_VALUE"""),484.4)</f>
        <v>484.4</v>
      </c>
      <c r="F837" s="9">
        <f>IFERROR(__xludf.DUMMYFUNCTION("""COMPUTED_VALUE"""),490.9)</f>
        <v>490.9</v>
      </c>
      <c r="G837" s="9">
        <f>IFERROR(__xludf.DUMMYFUNCTION("""COMPUTED_VALUE"""),3629743.0)</f>
        <v>3629743</v>
      </c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</row>
    <row r="838">
      <c r="A838" s="1"/>
      <c r="B838" s="22">
        <f>IFERROR(__xludf.DUMMYFUNCTION("""COMPUTED_VALUE"""),42782.64583333333)</f>
        <v>42782.64583</v>
      </c>
      <c r="C838" s="9">
        <f>IFERROR(__xludf.DUMMYFUNCTION("""COMPUTED_VALUE"""),495.5)</f>
        <v>495.5</v>
      </c>
      <c r="D838" s="9">
        <f>IFERROR(__xludf.DUMMYFUNCTION("""COMPUTED_VALUE"""),506.95)</f>
        <v>506.95</v>
      </c>
      <c r="E838" s="9">
        <f>IFERROR(__xludf.DUMMYFUNCTION("""COMPUTED_VALUE"""),495.03)</f>
        <v>495.03</v>
      </c>
      <c r="F838" s="9">
        <f>IFERROR(__xludf.DUMMYFUNCTION("""COMPUTED_VALUE"""),506.05)</f>
        <v>506.05</v>
      </c>
      <c r="G838" s="9">
        <f>IFERROR(__xludf.DUMMYFUNCTION("""COMPUTED_VALUE"""),6407929.0)</f>
        <v>6407929</v>
      </c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</row>
    <row r="839">
      <c r="A839" s="1"/>
      <c r="B839" s="22">
        <f>IFERROR(__xludf.DUMMYFUNCTION("""COMPUTED_VALUE"""),42783.64583333333)</f>
        <v>42783.64583</v>
      </c>
      <c r="C839" s="9">
        <f>IFERROR(__xludf.DUMMYFUNCTION("""COMPUTED_VALUE"""),506.88)</f>
        <v>506.88</v>
      </c>
      <c r="D839" s="9">
        <f>IFERROR(__xludf.DUMMYFUNCTION("""COMPUTED_VALUE"""),506.88)</f>
        <v>506.88</v>
      </c>
      <c r="E839" s="9">
        <f>IFERROR(__xludf.DUMMYFUNCTION("""COMPUTED_VALUE"""),496.35)</f>
        <v>496.35</v>
      </c>
      <c r="F839" s="9">
        <f>IFERROR(__xludf.DUMMYFUNCTION("""COMPUTED_VALUE"""),500.05)</f>
        <v>500.05</v>
      </c>
      <c r="G839" s="9">
        <f>IFERROR(__xludf.DUMMYFUNCTION("""COMPUTED_VALUE"""),2425604.0)</f>
        <v>2425604</v>
      </c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</row>
    <row r="840">
      <c r="A840" s="1"/>
      <c r="B840" s="22">
        <f>IFERROR(__xludf.DUMMYFUNCTION("""COMPUTED_VALUE"""),42786.64583333333)</f>
        <v>42786.64583</v>
      </c>
      <c r="C840" s="9">
        <f>IFERROR(__xludf.DUMMYFUNCTION("""COMPUTED_VALUE"""),498.25)</f>
        <v>498.25</v>
      </c>
      <c r="D840" s="9">
        <f>IFERROR(__xludf.DUMMYFUNCTION("""COMPUTED_VALUE"""),515.5)</f>
        <v>515.5</v>
      </c>
      <c r="E840" s="9">
        <f>IFERROR(__xludf.DUMMYFUNCTION("""COMPUTED_VALUE"""),496.75)</f>
        <v>496.75</v>
      </c>
      <c r="F840" s="9">
        <f>IFERROR(__xludf.DUMMYFUNCTION("""COMPUTED_VALUE"""),505.13)</f>
        <v>505.13</v>
      </c>
      <c r="G840" s="9">
        <f>IFERROR(__xludf.DUMMYFUNCTION("""COMPUTED_VALUE"""),2325331.0)</f>
        <v>2325331</v>
      </c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</row>
    <row r="841">
      <c r="A841" s="1"/>
      <c r="B841" s="22">
        <f>IFERROR(__xludf.DUMMYFUNCTION("""COMPUTED_VALUE"""),42787.64583333333)</f>
        <v>42787.64583</v>
      </c>
      <c r="C841" s="9">
        <f>IFERROR(__xludf.DUMMYFUNCTION("""COMPUTED_VALUE"""),511.05)</f>
        <v>511.05</v>
      </c>
      <c r="D841" s="9">
        <f>IFERROR(__xludf.DUMMYFUNCTION("""COMPUTED_VALUE"""),512.25)</f>
        <v>512.25</v>
      </c>
      <c r="E841" s="9">
        <f>IFERROR(__xludf.DUMMYFUNCTION("""COMPUTED_VALUE"""),500.03)</f>
        <v>500.03</v>
      </c>
      <c r="F841" s="9">
        <f>IFERROR(__xludf.DUMMYFUNCTION("""COMPUTED_VALUE"""),506.8)</f>
        <v>506.8</v>
      </c>
      <c r="G841" s="9">
        <f>IFERROR(__xludf.DUMMYFUNCTION("""COMPUTED_VALUE"""),3806998.0)</f>
        <v>3806998</v>
      </c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</row>
    <row r="842">
      <c r="A842" s="1"/>
      <c r="B842" s="22">
        <f>IFERROR(__xludf.DUMMYFUNCTION("""COMPUTED_VALUE"""),42788.64583333333)</f>
        <v>42788.64583</v>
      </c>
      <c r="C842" s="9">
        <f>IFERROR(__xludf.DUMMYFUNCTION("""COMPUTED_VALUE"""),507.5)</f>
        <v>507.5</v>
      </c>
      <c r="D842" s="9">
        <f>IFERROR(__xludf.DUMMYFUNCTION("""COMPUTED_VALUE"""),507.5)</f>
        <v>507.5</v>
      </c>
      <c r="E842" s="9">
        <f>IFERROR(__xludf.DUMMYFUNCTION("""COMPUTED_VALUE"""),493.2)</f>
        <v>493.2</v>
      </c>
      <c r="F842" s="9">
        <f>IFERROR(__xludf.DUMMYFUNCTION("""COMPUTED_VALUE"""),495.08)</f>
        <v>495.08</v>
      </c>
      <c r="G842" s="9">
        <f>IFERROR(__xludf.DUMMYFUNCTION("""COMPUTED_VALUE"""),3303919.0)</f>
        <v>3303919</v>
      </c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</row>
    <row r="843">
      <c r="A843" s="1"/>
      <c r="B843" s="22">
        <f>IFERROR(__xludf.DUMMYFUNCTION("""COMPUTED_VALUE"""),42789.64583333333)</f>
        <v>42789.64583</v>
      </c>
      <c r="C843" s="9">
        <f>IFERROR(__xludf.DUMMYFUNCTION("""COMPUTED_VALUE"""),499.45)</f>
        <v>499.45</v>
      </c>
      <c r="D843" s="9">
        <f>IFERROR(__xludf.DUMMYFUNCTION("""COMPUTED_VALUE"""),510.0)</f>
        <v>510</v>
      </c>
      <c r="E843" s="9">
        <f>IFERROR(__xludf.DUMMYFUNCTION("""COMPUTED_VALUE"""),496.68)</f>
        <v>496.68</v>
      </c>
      <c r="F843" s="9">
        <f>IFERROR(__xludf.DUMMYFUNCTION("""COMPUTED_VALUE"""),504.43)</f>
        <v>504.43</v>
      </c>
      <c r="G843" s="9">
        <f>IFERROR(__xludf.DUMMYFUNCTION("""COMPUTED_VALUE"""),4771328.0)</f>
        <v>4771328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</row>
    <row r="844">
      <c r="A844" s="1"/>
      <c r="B844" s="22">
        <f>IFERROR(__xludf.DUMMYFUNCTION("""COMPUTED_VALUE"""),42793.64583333333)</f>
        <v>42793.64583</v>
      </c>
      <c r="C844" s="9">
        <f>IFERROR(__xludf.DUMMYFUNCTION("""COMPUTED_VALUE"""),503.65)</f>
        <v>503.65</v>
      </c>
      <c r="D844" s="9">
        <f>IFERROR(__xludf.DUMMYFUNCTION("""COMPUTED_VALUE"""),511.5)</f>
        <v>511.5</v>
      </c>
      <c r="E844" s="9">
        <f>IFERROR(__xludf.DUMMYFUNCTION("""COMPUTED_VALUE"""),503.48)</f>
        <v>503.48</v>
      </c>
      <c r="F844" s="9">
        <f>IFERROR(__xludf.DUMMYFUNCTION("""COMPUTED_VALUE"""),506.2)</f>
        <v>506.2</v>
      </c>
      <c r="G844" s="9">
        <f>IFERROR(__xludf.DUMMYFUNCTION("""COMPUTED_VALUE"""),2664348.0)</f>
        <v>2664348</v>
      </c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</row>
    <row r="845">
      <c r="A845" s="1"/>
      <c r="B845" s="22">
        <f>IFERROR(__xludf.DUMMYFUNCTION("""COMPUTED_VALUE"""),42794.64583333333)</f>
        <v>42794.64583</v>
      </c>
      <c r="C845" s="9">
        <f>IFERROR(__xludf.DUMMYFUNCTION("""COMPUTED_VALUE"""),505.93)</f>
        <v>505.93</v>
      </c>
      <c r="D845" s="9">
        <f>IFERROR(__xludf.DUMMYFUNCTION("""COMPUTED_VALUE"""),511.35)</f>
        <v>511.35</v>
      </c>
      <c r="E845" s="9">
        <f>IFERROR(__xludf.DUMMYFUNCTION("""COMPUTED_VALUE"""),504.63)</f>
        <v>504.63</v>
      </c>
      <c r="F845" s="9">
        <f>IFERROR(__xludf.DUMMYFUNCTION("""COMPUTED_VALUE"""),506.2)</f>
        <v>506.2</v>
      </c>
      <c r="G845" s="9">
        <f>IFERROR(__xludf.DUMMYFUNCTION("""COMPUTED_VALUE"""),2970066.0)</f>
        <v>2970066</v>
      </c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</row>
    <row r="846">
      <c r="A846" s="1"/>
      <c r="B846" s="22">
        <f>IFERROR(__xludf.DUMMYFUNCTION("""COMPUTED_VALUE"""),42795.64583333333)</f>
        <v>42795.64583</v>
      </c>
      <c r="C846" s="9">
        <f>IFERROR(__xludf.DUMMYFUNCTION("""COMPUTED_VALUE"""),506.0)</f>
        <v>506</v>
      </c>
      <c r="D846" s="9">
        <f>IFERROR(__xludf.DUMMYFUNCTION("""COMPUTED_VALUE"""),513.5)</f>
        <v>513.5</v>
      </c>
      <c r="E846" s="9">
        <f>IFERROR(__xludf.DUMMYFUNCTION("""COMPUTED_VALUE"""),505.05)</f>
        <v>505.05</v>
      </c>
      <c r="F846" s="9">
        <f>IFERROR(__xludf.DUMMYFUNCTION("""COMPUTED_VALUE"""),512.58)</f>
        <v>512.58</v>
      </c>
      <c r="G846" s="9">
        <f>IFERROR(__xludf.DUMMYFUNCTION("""COMPUTED_VALUE"""),2141224.0)</f>
        <v>2141224</v>
      </c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</row>
    <row r="847">
      <c r="A847" s="1"/>
      <c r="B847" s="22">
        <f>IFERROR(__xludf.DUMMYFUNCTION("""COMPUTED_VALUE"""),42796.64583333333)</f>
        <v>42796.64583</v>
      </c>
      <c r="C847" s="9">
        <f>IFERROR(__xludf.DUMMYFUNCTION("""COMPUTED_VALUE"""),512.2)</f>
        <v>512.2</v>
      </c>
      <c r="D847" s="9">
        <f>IFERROR(__xludf.DUMMYFUNCTION("""COMPUTED_VALUE"""),514.0)</f>
        <v>514</v>
      </c>
      <c r="E847" s="9">
        <f>IFERROR(__xludf.DUMMYFUNCTION("""COMPUTED_VALUE"""),508.25)</f>
        <v>508.25</v>
      </c>
      <c r="F847" s="9">
        <f>IFERROR(__xludf.DUMMYFUNCTION("""COMPUTED_VALUE"""),511.65)</f>
        <v>511.65</v>
      </c>
      <c r="G847" s="9">
        <f>IFERROR(__xludf.DUMMYFUNCTION("""COMPUTED_VALUE"""),1474249.0)</f>
        <v>1474249</v>
      </c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</row>
    <row r="848">
      <c r="A848" s="1"/>
      <c r="B848" s="22">
        <f>IFERROR(__xludf.DUMMYFUNCTION("""COMPUTED_VALUE"""),42797.64583333333)</f>
        <v>42797.64583</v>
      </c>
      <c r="C848" s="9">
        <f>IFERROR(__xludf.DUMMYFUNCTION("""COMPUTED_VALUE"""),505.13)</f>
        <v>505.13</v>
      </c>
      <c r="D848" s="9">
        <f>IFERROR(__xludf.DUMMYFUNCTION("""COMPUTED_VALUE"""),517.15)</f>
        <v>517.15</v>
      </c>
      <c r="E848" s="9">
        <f>IFERROR(__xludf.DUMMYFUNCTION("""COMPUTED_VALUE"""),500.2)</f>
        <v>500.2</v>
      </c>
      <c r="F848" s="9">
        <f>IFERROR(__xludf.DUMMYFUNCTION("""COMPUTED_VALUE"""),515.6)</f>
        <v>515.6</v>
      </c>
      <c r="G848" s="9">
        <f>IFERROR(__xludf.DUMMYFUNCTION("""COMPUTED_VALUE"""),2700806.0)</f>
        <v>2700806</v>
      </c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</row>
    <row r="849">
      <c r="A849" s="1"/>
      <c r="B849" s="22">
        <f>IFERROR(__xludf.DUMMYFUNCTION("""COMPUTED_VALUE"""),42800.64583333333)</f>
        <v>42800.64583</v>
      </c>
      <c r="C849" s="9">
        <f>IFERROR(__xludf.DUMMYFUNCTION("""COMPUTED_VALUE"""),510.03)</f>
        <v>510.03</v>
      </c>
      <c r="D849" s="9">
        <f>IFERROR(__xludf.DUMMYFUNCTION("""COMPUTED_VALUE"""),517.98)</f>
        <v>517.98</v>
      </c>
      <c r="E849" s="9">
        <f>IFERROR(__xludf.DUMMYFUNCTION("""COMPUTED_VALUE"""),509.85)</f>
        <v>509.85</v>
      </c>
      <c r="F849" s="9">
        <f>IFERROR(__xludf.DUMMYFUNCTION("""COMPUTED_VALUE"""),516.95)</f>
        <v>516.95</v>
      </c>
      <c r="G849" s="9">
        <f>IFERROR(__xludf.DUMMYFUNCTION("""COMPUTED_VALUE"""),2643193.0)</f>
        <v>2643193</v>
      </c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</row>
    <row r="850">
      <c r="A850" s="1"/>
      <c r="B850" s="22">
        <f>IFERROR(__xludf.DUMMYFUNCTION("""COMPUTED_VALUE"""),42801.64583333333)</f>
        <v>42801.64583</v>
      </c>
      <c r="C850" s="9">
        <f>IFERROR(__xludf.DUMMYFUNCTION("""COMPUTED_VALUE"""),511.0)</f>
        <v>511</v>
      </c>
      <c r="D850" s="9">
        <f>IFERROR(__xludf.DUMMYFUNCTION("""COMPUTED_VALUE"""),512.9)</f>
        <v>512.9</v>
      </c>
      <c r="E850" s="9">
        <f>IFERROR(__xludf.DUMMYFUNCTION("""COMPUTED_VALUE"""),507.35)</f>
        <v>507.35</v>
      </c>
      <c r="F850" s="9">
        <f>IFERROR(__xludf.DUMMYFUNCTION("""COMPUTED_VALUE"""),509.9)</f>
        <v>509.9</v>
      </c>
      <c r="G850" s="9">
        <f>IFERROR(__xludf.DUMMYFUNCTION("""COMPUTED_VALUE"""),2322248.0)</f>
        <v>2322248</v>
      </c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</row>
    <row r="851">
      <c r="A851" s="1"/>
      <c r="B851" s="22">
        <f>IFERROR(__xludf.DUMMYFUNCTION("""COMPUTED_VALUE"""),42802.64583333333)</f>
        <v>42802.64583</v>
      </c>
      <c r="C851" s="9">
        <f>IFERROR(__xludf.DUMMYFUNCTION("""COMPUTED_VALUE"""),508.45)</f>
        <v>508.45</v>
      </c>
      <c r="D851" s="9">
        <f>IFERROR(__xludf.DUMMYFUNCTION("""COMPUTED_VALUE"""),508.45)</f>
        <v>508.45</v>
      </c>
      <c r="E851" s="9">
        <f>IFERROR(__xludf.DUMMYFUNCTION("""COMPUTED_VALUE"""),502.23)</f>
        <v>502.23</v>
      </c>
      <c r="F851" s="9">
        <f>IFERROR(__xludf.DUMMYFUNCTION("""COMPUTED_VALUE"""),503.9)</f>
        <v>503.9</v>
      </c>
      <c r="G851" s="9">
        <f>IFERROR(__xludf.DUMMYFUNCTION("""COMPUTED_VALUE"""),3089588.0)</f>
        <v>3089588</v>
      </c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</row>
    <row r="852">
      <c r="A852" s="1"/>
      <c r="B852" s="22">
        <f>IFERROR(__xludf.DUMMYFUNCTION("""COMPUTED_VALUE"""),42803.64583333333)</f>
        <v>42803.64583</v>
      </c>
      <c r="C852" s="9">
        <f>IFERROR(__xludf.DUMMYFUNCTION("""COMPUTED_VALUE"""),503.9)</f>
        <v>503.9</v>
      </c>
      <c r="D852" s="9">
        <f>IFERROR(__xludf.DUMMYFUNCTION("""COMPUTED_VALUE"""),506.5)</f>
        <v>506.5</v>
      </c>
      <c r="E852" s="9">
        <f>IFERROR(__xludf.DUMMYFUNCTION("""COMPUTED_VALUE"""),499.5)</f>
        <v>499.5</v>
      </c>
      <c r="F852" s="9">
        <f>IFERROR(__xludf.DUMMYFUNCTION("""COMPUTED_VALUE"""),505.78)</f>
        <v>505.78</v>
      </c>
      <c r="G852" s="9">
        <f>IFERROR(__xludf.DUMMYFUNCTION("""COMPUTED_VALUE"""),1740315.0)</f>
        <v>1740315</v>
      </c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</row>
    <row r="853">
      <c r="A853" s="1"/>
      <c r="B853" s="22">
        <f>IFERROR(__xludf.DUMMYFUNCTION("""COMPUTED_VALUE"""),42804.64583333333)</f>
        <v>42804.64583</v>
      </c>
      <c r="C853" s="9">
        <f>IFERROR(__xludf.DUMMYFUNCTION("""COMPUTED_VALUE"""),507.5)</f>
        <v>507.5</v>
      </c>
      <c r="D853" s="9">
        <f>IFERROR(__xludf.DUMMYFUNCTION("""COMPUTED_VALUE"""),513.83)</f>
        <v>513.83</v>
      </c>
      <c r="E853" s="9">
        <f>IFERROR(__xludf.DUMMYFUNCTION("""COMPUTED_VALUE"""),506.7)</f>
        <v>506.7</v>
      </c>
      <c r="F853" s="9">
        <f>IFERROR(__xludf.DUMMYFUNCTION("""COMPUTED_VALUE"""),510.93)</f>
        <v>510.93</v>
      </c>
      <c r="G853" s="9">
        <f>IFERROR(__xludf.DUMMYFUNCTION("""COMPUTED_VALUE"""),2275162.0)</f>
        <v>2275162</v>
      </c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</row>
    <row r="854">
      <c r="A854" s="1"/>
      <c r="B854" s="22">
        <f>IFERROR(__xludf.DUMMYFUNCTION("""COMPUTED_VALUE"""),42808.64583333333)</f>
        <v>42808.64583</v>
      </c>
      <c r="C854" s="9">
        <f>IFERROR(__xludf.DUMMYFUNCTION("""COMPUTED_VALUE"""),511.4)</f>
        <v>511.4</v>
      </c>
      <c r="D854" s="9">
        <f>IFERROR(__xludf.DUMMYFUNCTION("""COMPUTED_VALUE"""),520.95)</f>
        <v>520.95</v>
      </c>
      <c r="E854" s="9">
        <f>IFERROR(__xludf.DUMMYFUNCTION("""COMPUTED_VALUE"""),511.4)</f>
        <v>511.4</v>
      </c>
      <c r="F854" s="9">
        <f>IFERROR(__xludf.DUMMYFUNCTION("""COMPUTED_VALUE"""),517.4)</f>
        <v>517.4</v>
      </c>
      <c r="G854" s="9">
        <f>IFERROR(__xludf.DUMMYFUNCTION("""COMPUTED_VALUE"""),3939198.0)</f>
        <v>3939198</v>
      </c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</row>
    <row r="855">
      <c r="A855" s="1"/>
      <c r="B855" s="22">
        <f>IFERROR(__xludf.DUMMYFUNCTION("""COMPUTED_VALUE"""),42809.64583333333)</f>
        <v>42809.64583</v>
      </c>
      <c r="C855" s="9">
        <f>IFERROR(__xludf.DUMMYFUNCTION("""COMPUTED_VALUE"""),517.45)</f>
        <v>517.45</v>
      </c>
      <c r="D855" s="9">
        <f>IFERROR(__xludf.DUMMYFUNCTION("""COMPUTED_VALUE"""),517.45)</f>
        <v>517.45</v>
      </c>
      <c r="E855" s="9">
        <f>IFERROR(__xludf.DUMMYFUNCTION("""COMPUTED_VALUE"""),503.75)</f>
        <v>503.75</v>
      </c>
      <c r="F855" s="9">
        <f>IFERROR(__xludf.DUMMYFUNCTION("""COMPUTED_VALUE"""),505.98)</f>
        <v>505.98</v>
      </c>
      <c r="G855" s="9">
        <f>IFERROR(__xludf.DUMMYFUNCTION("""COMPUTED_VALUE"""),3186989.0)</f>
        <v>3186989</v>
      </c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</row>
    <row r="856">
      <c r="A856" s="1"/>
      <c r="B856" s="22">
        <f>IFERROR(__xludf.DUMMYFUNCTION("""COMPUTED_VALUE"""),42810.64583333333)</f>
        <v>42810.64583</v>
      </c>
      <c r="C856" s="9">
        <f>IFERROR(__xludf.DUMMYFUNCTION("""COMPUTED_VALUE"""),506.65)</f>
        <v>506.65</v>
      </c>
      <c r="D856" s="9">
        <f>IFERROR(__xludf.DUMMYFUNCTION("""COMPUTED_VALUE"""),515.85)</f>
        <v>515.85</v>
      </c>
      <c r="E856" s="9">
        <f>IFERROR(__xludf.DUMMYFUNCTION("""COMPUTED_VALUE"""),506.65)</f>
        <v>506.65</v>
      </c>
      <c r="F856" s="9">
        <f>IFERROR(__xludf.DUMMYFUNCTION("""COMPUTED_VALUE"""),514.42)</f>
        <v>514.42</v>
      </c>
      <c r="G856" s="9">
        <f>IFERROR(__xludf.DUMMYFUNCTION("""COMPUTED_VALUE"""),3351478.0)</f>
        <v>3351478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</row>
    <row r="857">
      <c r="A857" s="1"/>
      <c r="B857" s="22">
        <f>IFERROR(__xludf.DUMMYFUNCTION("""COMPUTED_VALUE"""),42811.64583333333)</f>
        <v>42811.64583</v>
      </c>
      <c r="C857" s="9">
        <f>IFERROR(__xludf.DUMMYFUNCTION("""COMPUTED_VALUE"""),517.7)</f>
        <v>517.7</v>
      </c>
      <c r="D857" s="9">
        <f>IFERROR(__xludf.DUMMYFUNCTION("""COMPUTED_VALUE"""),521.45)</f>
        <v>521.45</v>
      </c>
      <c r="E857" s="9">
        <f>IFERROR(__xludf.DUMMYFUNCTION("""COMPUTED_VALUE"""),509.63)</f>
        <v>509.63</v>
      </c>
      <c r="F857" s="9">
        <f>IFERROR(__xludf.DUMMYFUNCTION("""COMPUTED_VALUE"""),520.15)</f>
        <v>520.15</v>
      </c>
      <c r="G857" s="9">
        <f>IFERROR(__xludf.DUMMYFUNCTION("""COMPUTED_VALUE"""),4753923.0)</f>
        <v>4753923</v>
      </c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</row>
    <row r="858">
      <c r="A858" s="1"/>
      <c r="B858" s="22">
        <f>IFERROR(__xludf.DUMMYFUNCTION("""COMPUTED_VALUE"""),42814.64583333333)</f>
        <v>42814.64583</v>
      </c>
      <c r="C858" s="9">
        <f>IFERROR(__xludf.DUMMYFUNCTION("""COMPUTED_VALUE"""),513.28)</f>
        <v>513.28</v>
      </c>
      <c r="D858" s="9">
        <f>IFERROR(__xludf.DUMMYFUNCTION("""COMPUTED_VALUE"""),513.28)</f>
        <v>513.28</v>
      </c>
      <c r="E858" s="9">
        <f>IFERROR(__xludf.DUMMYFUNCTION("""COMPUTED_VALUE"""),507.55)</f>
        <v>507.55</v>
      </c>
      <c r="F858" s="9">
        <f>IFERROR(__xludf.DUMMYFUNCTION("""COMPUTED_VALUE"""),510.75)</f>
        <v>510.75</v>
      </c>
      <c r="G858" s="9">
        <f>IFERROR(__xludf.DUMMYFUNCTION("""COMPUTED_VALUE"""),2213694.0)</f>
        <v>2213694</v>
      </c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</row>
    <row r="859">
      <c r="A859" s="1"/>
      <c r="B859" s="22">
        <f>IFERROR(__xludf.DUMMYFUNCTION("""COMPUTED_VALUE"""),42815.64583333333)</f>
        <v>42815.64583</v>
      </c>
      <c r="C859" s="9">
        <f>IFERROR(__xludf.DUMMYFUNCTION("""COMPUTED_VALUE"""),510.45)</f>
        <v>510.45</v>
      </c>
      <c r="D859" s="9">
        <f>IFERROR(__xludf.DUMMYFUNCTION("""COMPUTED_VALUE"""),517.48)</f>
        <v>517.48</v>
      </c>
      <c r="E859" s="9">
        <f>IFERROR(__xludf.DUMMYFUNCTION("""COMPUTED_VALUE"""),509.4)</f>
        <v>509.4</v>
      </c>
      <c r="F859" s="9">
        <f>IFERROR(__xludf.DUMMYFUNCTION("""COMPUTED_VALUE"""),516.42)</f>
        <v>516.42</v>
      </c>
      <c r="G859" s="9">
        <f>IFERROR(__xludf.DUMMYFUNCTION("""COMPUTED_VALUE"""),2434792.0)</f>
        <v>2434792</v>
      </c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</row>
    <row r="860">
      <c r="A860" s="1"/>
      <c r="B860" s="22">
        <f>IFERROR(__xludf.DUMMYFUNCTION("""COMPUTED_VALUE"""),42816.64583333333)</f>
        <v>42816.64583</v>
      </c>
      <c r="C860" s="9">
        <f>IFERROR(__xludf.DUMMYFUNCTION("""COMPUTED_VALUE"""),511.23)</f>
        <v>511.23</v>
      </c>
      <c r="D860" s="9">
        <f>IFERROR(__xludf.DUMMYFUNCTION("""COMPUTED_VALUE"""),519.98)</f>
        <v>519.98</v>
      </c>
      <c r="E860" s="9">
        <f>IFERROR(__xludf.DUMMYFUNCTION("""COMPUTED_VALUE"""),510.2)</f>
        <v>510.2</v>
      </c>
      <c r="F860" s="9">
        <f>IFERROR(__xludf.DUMMYFUNCTION("""COMPUTED_VALUE"""),513.85)</f>
        <v>513.85</v>
      </c>
      <c r="G860" s="9">
        <f>IFERROR(__xludf.DUMMYFUNCTION("""COMPUTED_VALUE"""),1995426.0)</f>
        <v>1995426</v>
      </c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</row>
    <row r="861">
      <c r="A861" s="1"/>
      <c r="B861" s="22">
        <f>IFERROR(__xludf.DUMMYFUNCTION("""COMPUTED_VALUE"""),42817.64583333333)</f>
        <v>42817.64583</v>
      </c>
      <c r="C861" s="9">
        <f>IFERROR(__xludf.DUMMYFUNCTION("""COMPUTED_VALUE"""),514.13)</f>
        <v>514.13</v>
      </c>
      <c r="D861" s="9">
        <f>IFERROR(__xludf.DUMMYFUNCTION("""COMPUTED_VALUE"""),521.5)</f>
        <v>521.5</v>
      </c>
      <c r="E861" s="9">
        <f>IFERROR(__xludf.DUMMYFUNCTION("""COMPUTED_VALUE"""),513.3)</f>
        <v>513.3</v>
      </c>
      <c r="F861" s="9">
        <f>IFERROR(__xludf.DUMMYFUNCTION("""COMPUTED_VALUE"""),520.23)</f>
        <v>520.23</v>
      </c>
      <c r="G861" s="9">
        <f>IFERROR(__xludf.DUMMYFUNCTION("""COMPUTED_VALUE"""),2250831.0)</f>
        <v>2250831</v>
      </c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</row>
    <row r="862">
      <c r="A862" s="1"/>
      <c r="B862" s="22">
        <f>IFERROR(__xludf.DUMMYFUNCTION("""COMPUTED_VALUE"""),42818.64583333333)</f>
        <v>42818.64583</v>
      </c>
      <c r="C862" s="9">
        <f>IFERROR(__xludf.DUMMYFUNCTION("""COMPUTED_VALUE"""),519.0)</f>
        <v>519</v>
      </c>
      <c r="D862" s="9">
        <f>IFERROR(__xludf.DUMMYFUNCTION("""COMPUTED_VALUE"""),522.0)</f>
        <v>522</v>
      </c>
      <c r="E862" s="9">
        <f>IFERROR(__xludf.DUMMYFUNCTION("""COMPUTED_VALUE"""),513.85)</f>
        <v>513.85</v>
      </c>
      <c r="F862" s="9">
        <f>IFERROR(__xludf.DUMMYFUNCTION("""COMPUTED_VALUE"""),515.7)</f>
        <v>515.7</v>
      </c>
      <c r="G862" s="9">
        <f>IFERROR(__xludf.DUMMYFUNCTION("""COMPUTED_VALUE"""),2441948.0)</f>
        <v>2441948</v>
      </c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</row>
    <row r="863">
      <c r="A863" s="1"/>
      <c r="B863" s="22">
        <f>IFERROR(__xludf.DUMMYFUNCTION("""COMPUTED_VALUE"""),42821.64583333333)</f>
        <v>42821.64583</v>
      </c>
      <c r="C863" s="9">
        <f>IFERROR(__xludf.DUMMYFUNCTION("""COMPUTED_VALUE"""),513.6)</f>
        <v>513.6</v>
      </c>
      <c r="D863" s="9">
        <f>IFERROR(__xludf.DUMMYFUNCTION("""COMPUTED_VALUE"""),520.92)</f>
        <v>520.92</v>
      </c>
      <c r="E863" s="9">
        <f>IFERROR(__xludf.DUMMYFUNCTION("""COMPUTED_VALUE"""),512.25)</f>
        <v>512.25</v>
      </c>
      <c r="F863" s="9">
        <f>IFERROR(__xludf.DUMMYFUNCTION("""COMPUTED_VALUE"""),514.42)</f>
        <v>514.42</v>
      </c>
      <c r="G863" s="9">
        <f>IFERROR(__xludf.DUMMYFUNCTION("""COMPUTED_VALUE"""),3842412.0)</f>
        <v>3842412</v>
      </c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</row>
    <row r="864">
      <c r="A864" s="1"/>
      <c r="B864" s="22">
        <f>IFERROR(__xludf.DUMMYFUNCTION("""COMPUTED_VALUE"""),42822.64583333333)</f>
        <v>42822.64583</v>
      </c>
      <c r="C864" s="9">
        <f>IFERROR(__xludf.DUMMYFUNCTION("""COMPUTED_VALUE"""),515.75)</f>
        <v>515.75</v>
      </c>
      <c r="D864" s="9">
        <f>IFERROR(__xludf.DUMMYFUNCTION("""COMPUTED_VALUE"""),519.5)</f>
        <v>519.5</v>
      </c>
      <c r="E864" s="9">
        <f>IFERROR(__xludf.DUMMYFUNCTION("""COMPUTED_VALUE"""),515.03)</f>
        <v>515.03</v>
      </c>
      <c r="F864" s="9">
        <f>IFERROR(__xludf.DUMMYFUNCTION("""COMPUTED_VALUE"""),517.58)</f>
        <v>517.58</v>
      </c>
      <c r="G864" s="9">
        <f>IFERROR(__xludf.DUMMYFUNCTION("""COMPUTED_VALUE"""),2398398.0)</f>
        <v>2398398</v>
      </c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</row>
    <row r="865">
      <c r="A865" s="1"/>
      <c r="B865" s="22">
        <f>IFERROR(__xludf.DUMMYFUNCTION("""COMPUTED_VALUE"""),42823.64583333333)</f>
        <v>42823.64583</v>
      </c>
      <c r="C865" s="9">
        <f>IFERROR(__xludf.DUMMYFUNCTION("""COMPUTED_VALUE"""),517.15)</f>
        <v>517.15</v>
      </c>
      <c r="D865" s="9">
        <f>IFERROR(__xludf.DUMMYFUNCTION("""COMPUTED_VALUE"""),520.75)</f>
        <v>520.75</v>
      </c>
      <c r="E865" s="9">
        <f>IFERROR(__xludf.DUMMYFUNCTION("""COMPUTED_VALUE"""),512.92)</f>
        <v>512.92</v>
      </c>
      <c r="F865" s="9">
        <f>IFERROR(__xludf.DUMMYFUNCTION("""COMPUTED_VALUE"""),515.92)</f>
        <v>515.92</v>
      </c>
      <c r="G865" s="9">
        <f>IFERROR(__xludf.DUMMYFUNCTION("""COMPUTED_VALUE"""),3490593.0)</f>
        <v>3490593</v>
      </c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</row>
    <row r="866">
      <c r="A866" s="1"/>
      <c r="B866" s="22">
        <f>IFERROR(__xludf.DUMMYFUNCTION("""COMPUTED_VALUE"""),42824.64583333333)</f>
        <v>42824.64583</v>
      </c>
      <c r="C866" s="9">
        <f>IFERROR(__xludf.DUMMYFUNCTION("""COMPUTED_VALUE"""),517.0)</f>
        <v>517</v>
      </c>
      <c r="D866" s="9">
        <f>IFERROR(__xludf.DUMMYFUNCTION("""COMPUTED_VALUE"""),517.95)</f>
        <v>517.95</v>
      </c>
      <c r="E866" s="9">
        <f>IFERROR(__xludf.DUMMYFUNCTION("""COMPUTED_VALUE"""),510.13)</f>
        <v>510.13</v>
      </c>
      <c r="F866" s="9">
        <f>IFERROR(__xludf.DUMMYFUNCTION("""COMPUTED_VALUE"""),512.75)</f>
        <v>512.75</v>
      </c>
      <c r="G866" s="9">
        <f>IFERROR(__xludf.DUMMYFUNCTION("""COMPUTED_VALUE"""),6078590.0)</f>
        <v>6078590</v>
      </c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</row>
    <row r="867">
      <c r="A867" s="1"/>
      <c r="B867" s="22">
        <f>IFERROR(__xludf.DUMMYFUNCTION("""COMPUTED_VALUE"""),42825.64583333333)</f>
        <v>42825.64583</v>
      </c>
      <c r="C867" s="9">
        <f>IFERROR(__xludf.DUMMYFUNCTION("""COMPUTED_VALUE"""),511.63)</f>
        <v>511.63</v>
      </c>
      <c r="D867" s="9">
        <f>IFERROR(__xludf.DUMMYFUNCTION("""COMPUTED_VALUE"""),514.65)</f>
        <v>514.65</v>
      </c>
      <c r="E867" s="9">
        <f>IFERROR(__xludf.DUMMYFUNCTION("""COMPUTED_VALUE"""),504.0)</f>
        <v>504</v>
      </c>
      <c r="F867" s="9">
        <f>IFERROR(__xludf.DUMMYFUNCTION("""COMPUTED_VALUE"""),511.13)</f>
        <v>511.13</v>
      </c>
      <c r="G867" s="9">
        <f>IFERROR(__xludf.DUMMYFUNCTION("""COMPUTED_VALUE"""),7076927.0)</f>
        <v>7076927</v>
      </c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</row>
    <row r="868">
      <c r="A868" s="1"/>
      <c r="B868" s="22">
        <f>IFERROR(__xludf.DUMMYFUNCTION("""COMPUTED_VALUE"""),42828.64583333333)</f>
        <v>42828.64583</v>
      </c>
      <c r="C868" s="9">
        <f>IFERROR(__xludf.DUMMYFUNCTION("""COMPUTED_VALUE"""),516.08)</f>
        <v>516.08</v>
      </c>
      <c r="D868" s="9">
        <f>IFERROR(__xludf.DUMMYFUNCTION("""COMPUTED_VALUE"""),516.23)</f>
        <v>516.23</v>
      </c>
      <c r="E868" s="9">
        <f>IFERROR(__xludf.DUMMYFUNCTION("""COMPUTED_VALUE"""),503.05)</f>
        <v>503.05</v>
      </c>
      <c r="F868" s="9">
        <f>IFERROR(__xludf.DUMMYFUNCTION("""COMPUTED_VALUE"""),504.4)</f>
        <v>504.4</v>
      </c>
      <c r="G868" s="9">
        <f>IFERROR(__xludf.DUMMYFUNCTION("""COMPUTED_VALUE"""),2157800.0)</f>
        <v>2157800</v>
      </c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</row>
    <row r="869">
      <c r="A869" s="1"/>
      <c r="B869" s="22">
        <f>IFERROR(__xludf.DUMMYFUNCTION("""COMPUTED_VALUE"""),42830.64583333333)</f>
        <v>42830.64583</v>
      </c>
      <c r="C869" s="9">
        <f>IFERROR(__xludf.DUMMYFUNCTION("""COMPUTED_VALUE"""),502.5)</f>
        <v>502.5</v>
      </c>
      <c r="D869" s="9">
        <f>IFERROR(__xludf.DUMMYFUNCTION("""COMPUTED_VALUE"""),502.7)</f>
        <v>502.7</v>
      </c>
      <c r="E869" s="9">
        <f>IFERROR(__xludf.DUMMYFUNCTION("""COMPUTED_VALUE"""),495.5)</f>
        <v>495.5</v>
      </c>
      <c r="F869" s="9">
        <f>IFERROR(__xludf.DUMMYFUNCTION("""COMPUTED_VALUE"""),497.98)</f>
        <v>497.98</v>
      </c>
      <c r="G869" s="9">
        <f>IFERROR(__xludf.DUMMYFUNCTION("""COMPUTED_VALUE"""),3699169.0)</f>
        <v>3699169</v>
      </c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</row>
    <row r="870">
      <c r="A870" s="1"/>
      <c r="B870" s="22">
        <f>IFERROR(__xludf.DUMMYFUNCTION("""COMPUTED_VALUE"""),42831.64583333333)</f>
        <v>42831.64583</v>
      </c>
      <c r="C870" s="9">
        <f>IFERROR(__xludf.DUMMYFUNCTION("""COMPUTED_VALUE"""),499.08)</f>
        <v>499.08</v>
      </c>
      <c r="D870" s="9">
        <f>IFERROR(__xludf.DUMMYFUNCTION("""COMPUTED_VALUE"""),502.9)</f>
        <v>502.9</v>
      </c>
      <c r="E870" s="9">
        <f>IFERROR(__xludf.DUMMYFUNCTION("""COMPUTED_VALUE"""),496.0)</f>
        <v>496</v>
      </c>
      <c r="F870" s="9">
        <f>IFERROR(__xludf.DUMMYFUNCTION("""COMPUTED_VALUE"""),499.8)</f>
        <v>499.8</v>
      </c>
      <c r="G870" s="9">
        <f>IFERROR(__xludf.DUMMYFUNCTION("""COMPUTED_VALUE"""),2689504.0)</f>
        <v>2689504</v>
      </c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</row>
    <row r="871">
      <c r="A871" s="1"/>
      <c r="B871" s="22">
        <f>IFERROR(__xludf.DUMMYFUNCTION("""COMPUTED_VALUE"""),42832.64583333333)</f>
        <v>42832.64583</v>
      </c>
      <c r="C871" s="9">
        <f>IFERROR(__xludf.DUMMYFUNCTION("""COMPUTED_VALUE"""),500.45)</f>
        <v>500.45</v>
      </c>
      <c r="D871" s="9">
        <f>IFERROR(__xludf.DUMMYFUNCTION("""COMPUTED_VALUE"""),500.45)</f>
        <v>500.45</v>
      </c>
      <c r="E871" s="9">
        <f>IFERROR(__xludf.DUMMYFUNCTION("""COMPUTED_VALUE"""),489.5)</f>
        <v>489.5</v>
      </c>
      <c r="F871" s="9">
        <f>IFERROR(__xludf.DUMMYFUNCTION("""COMPUTED_VALUE"""),490.78)</f>
        <v>490.78</v>
      </c>
      <c r="G871" s="9">
        <f>IFERROR(__xludf.DUMMYFUNCTION("""COMPUTED_VALUE"""),3202254.0)</f>
        <v>3202254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</row>
    <row r="872">
      <c r="A872" s="1"/>
      <c r="B872" s="22">
        <f>IFERROR(__xludf.DUMMYFUNCTION("""COMPUTED_VALUE"""),42835.64583333333)</f>
        <v>42835.64583</v>
      </c>
      <c r="C872" s="9">
        <f>IFERROR(__xludf.DUMMYFUNCTION("""COMPUTED_VALUE"""),492.45)</f>
        <v>492.45</v>
      </c>
      <c r="D872" s="9">
        <f>IFERROR(__xludf.DUMMYFUNCTION("""COMPUTED_VALUE"""),494.75)</f>
        <v>494.75</v>
      </c>
      <c r="E872" s="9">
        <f>IFERROR(__xludf.DUMMYFUNCTION("""COMPUTED_VALUE"""),475.05)</f>
        <v>475.05</v>
      </c>
      <c r="F872" s="9">
        <f>IFERROR(__xludf.DUMMYFUNCTION("""COMPUTED_VALUE"""),476.7)</f>
        <v>476.7</v>
      </c>
      <c r="G872" s="9">
        <f>IFERROR(__xludf.DUMMYFUNCTION("""COMPUTED_VALUE"""),4764236.0)</f>
        <v>4764236</v>
      </c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</row>
    <row r="873">
      <c r="A873" s="1"/>
      <c r="B873" s="22">
        <f>IFERROR(__xludf.DUMMYFUNCTION("""COMPUTED_VALUE"""),42836.64583333333)</f>
        <v>42836.64583</v>
      </c>
      <c r="C873" s="9">
        <f>IFERROR(__xludf.DUMMYFUNCTION("""COMPUTED_VALUE"""),478.03)</f>
        <v>478.03</v>
      </c>
      <c r="D873" s="9">
        <f>IFERROR(__xludf.DUMMYFUNCTION("""COMPUTED_VALUE"""),485.85)</f>
        <v>485.85</v>
      </c>
      <c r="E873" s="9">
        <f>IFERROR(__xludf.DUMMYFUNCTION("""COMPUTED_VALUE"""),478.03)</f>
        <v>478.03</v>
      </c>
      <c r="F873" s="9">
        <f>IFERROR(__xludf.DUMMYFUNCTION("""COMPUTED_VALUE"""),483.58)</f>
        <v>483.58</v>
      </c>
      <c r="G873" s="9">
        <f>IFERROR(__xludf.DUMMYFUNCTION("""COMPUTED_VALUE"""),4327733.0)</f>
        <v>4327733</v>
      </c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</row>
    <row r="874">
      <c r="A874" s="1"/>
      <c r="B874" s="22">
        <f>IFERROR(__xludf.DUMMYFUNCTION("""COMPUTED_VALUE"""),42837.64583333333)</f>
        <v>42837.64583</v>
      </c>
      <c r="C874" s="9">
        <f>IFERROR(__xludf.DUMMYFUNCTION("""COMPUTED_VALUE"""),485.0)</f>
        <v>485</v>
      </c>
      <c r="D874" s="9">
        <f>IFERROR(__xludf.DUMMYFUNCTION("""COMPUTED_VALUE"""),488.45)</f>
        <v>488.45</v>
      </c>
      <c r="E874" s="9">
        <f>IFERROR(__xludf.DUMMYFUNCTION("""COMPUTED_VALUE"""),480.18)</f>
        <v>480.18</v>
      </c>
      <c r="F874" s="9">
        <f>IFERROR(__xludf.DUMMYFUNCTION("""COMPUTED_VALUE"""),484.43)</f>
        <v>484.43</v>
      </c>
      <c r="G874" s="9">
        <f>IFERROR(__xludf.DUMMYFUNCTION("""COMPUTED_VALUE"""),3348376.0)</f>
        <v>3348376</v>
      </c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</row>
    <row r="875">
      <c r="A875" s="1"/>
      <c r="B875" s="22">
        <f>IFERROR(__xludf.DUMMYFUNCTION("""COMPUTED_VALUE"""),42838.64583333333)</f>
        <v>42838.64583</v>
      </c>
      <c r="C875" s="9">
        <f>IFERROR(__xludf.DUMMYFUNCTION("""COMPUTED_VALUE"""),485.0)</f>
        <v>485</v>
      </c>
      <c r="D875" s="9">
        <f>IFERROR(__xludf.DUMMYFUNCTION("""COMPUTED_VALUE"""),495.0)</f>
        <v>495</v>
      </c>
      <c r="E875" s="9">
        <f>IFERROR(__xludf.DUMMYFUNCTION("""COMPUTED_VALUE"""),463.33)</f>
        <v>463.33</v>
      </c>
      <c r="F875" s="9">
        <f>IFERROR(__xludf.DUMMYFUNCTION("""COMPUTED_VALUE"""),465.7)</f>
        <v>465.7</v>
      </c>
      <c r="G875" s="9">
        <f>IFERROR(__xludf.DUMMYFUNCTION("""COMPUTED_VALUE"""),1.5486594E7)</f>
        <v>15486594</v>
      </c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</row>
    <row r="876">
      <c r="A876" s="1"/>
      <c r="B876" s="22">
        <f>IFERROR(__xludf.DUMMYFUNCTION("""COMPUTED_VALUE"""),42842.64583333333)</f>
        <v>42842.64583</v>
      </c>
      <c r="C876" s="9">
        <f>IFERROR(__xludf.DUMMYFUNCTION("""COMPUTED_VALUE"""),465.0)</f>
        <v>465</v>
      </c>
      <c r="D876" s="9">
        <f>IFERROR(__xludf.DUMMYFUNCTION("""COMPUTED_VALUE"""),466.05)</f>
        <v>466.05</v>
      </c>
      <c r="E876" s="9">
        <f>IFERROR(__xludf.DUMMYFUNCTION("""COMPUTED_VALUE"""),461.75)</f>
        <v>461.75</v>
      </c>
      <c r="F876" s="9">
        <f>IFERROR(__xludf.DUMMYFUNCTION("""COMPUTED_VALUE"""),462.45)</f>
        <v>462.45</v>
      </c>
      <c r="G876" s="9">
        <f>IFERROR(__xludf.DUMMYFUNCTION("""COMPUTED_VALUE"""),3606717.0)</f>
        <v>3606717</v>
      </c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</row>
    <row r="877">
      <c r="A877" s="1"/>
      <c r="B877" s="22">
        <f>IFERROR(__xludf.DUMMYFUNCTION("""COMPUTED_VALUE"""),42843.64583333333)</f>
        <v>42843.64583</v>
      </c>
      <c r="C877" s="9">
        <f>IFERROR(__xludf.DUMMYFUNCTION("""COMPUTED_VALUE"""),462.38)</f>
        <v>462.38</v>
      </c>
      <c r="D877" s="9">
        <f>IFERROR(__xludf.DUMMYFUNCTION("""COMPUTED_VALUE"""),467.0)</f>
        <v>467</v>
      </c>
      <c r="E877" s="9">
        <f>IFERROR(__xludf.DUMMYFUNCTION("""COMPUTED_VALUE"""),459.55)</f>
        <v>459.55</v>
      </c>
      <c r="F877" s="9">
        <f>IFERROR(__xludf.DUMMYFUNCTION("""COMPUTED_VALUE"""),461.33)</f>
        <v>461.33</v>
      </c>
      <c r="G877" s="9">
        <f>IFERROR(__xludf.DUMMYFUNCTION("""COMPUTED_VALUE"""),2323759.0)</f>
        <v>2323759</v>
      </c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</row>
    <row r="878">
      <c r="A878" s="1"/>
      <c r="B878" s="22">
        <f>IFERROR(__xludf.DUMMYFUNCTION("""COMPUTED_VALUE"""),42844.64583333333)</f>
        <v>42844.64583</v>
      </c>
      <c r="C878" s="9">
        <f>IFERROR(__xludf.DUMMYFUNCTION("""COMPUTED_VALUE"""),461.5)</f>
        <v>461.5</v>
      </c>
      <c r="D878" s="9">
        <f>IFERROR(__xludf.DUMMYFUNCTION("""COMPUTED_VALUE"""),465.0)</f>
        <v>465</v>
      </c>
      <c r="E878" s="9">
        <f>IFERROR(__xludf.DUMMYFUNCTION("""COMPUTED_VALUE"""),456.33)</f>
        <v>456.33</v>
      </c>
      <c r="F878" s="9">
        <f>IFERROR(__xludf.DUMMYFUNCTION("""COMPUTED_VALUE"""),459.6)</f>
        <v>459.6</v>
      </c>
      <c r="G878" s="9">
        <f>IFERROR(__xludf.DUMMYFUNCTION("""COMPUTED_VALUE"""),5035851.0)</f>
        <v>5035851</v>
      </c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</row>
    <row r="879">
      <c r="A879" s="1"/>
      <c r="B879" s="22">
        <f>IFERROR(__xludf.DUMMYFUNCTION("""COMPUTED_VALUE"""),42845.64583333333)</f>
        <v>42845.64583</v>
      </c>
      <c r="C879" s="9">
        <f>IFERROR(__xludf.DUMMYFUNCTION("""COMPUTED_VALUE"""),460.75)</f>
        <v>460.75</v>
      </c>
      <c r="D879" s="9">
        <f>IFERROR(__xludf.DUMMYFUNCTION("""COMPUTED_VALUE"""),464.85)</f>
        <v>464.85</v>
      </c>
      <c r="E879" s="9">
        <f>IFERROR(__xludf.DUMMYFUNCTION("""COMPUTED_VALUE"""),459.28)</f>
        <v>459.28</v>
      </c>
      <c r="F879" s="9">
        <f>IFERROR(__xludf.DUMMYFUNCTION("""COMPUTED_VALUE"""),463.65)</f>
        <v>463.65</v>
      </c>
      <c r="G879" s="9">
        <f>IFERROR(__xludf.DUMMYFUNCTION("""COMPUTED_VALUE"""),2274500.0)</f>
        <v>2274500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</row>
    <row r="880">
      <c r="A880" s="1"/>
      <c r="B880" s="22">
        <f>IFERROR(__xludf.DUMMYFUNCTION("""COMPUTED_VALUE"""),42846.64583333333)</f>
        <v>42846.64583</v>
      </c>
      <c r="C880" s="9">
        <f>IFERROR(__xludf.DUMMYFUNCTION("""COMPUTED_VALUE"""),467.4)</f>
        <v>467.4</v>
      </c>
      <c r="D880" s="9">
        <f>IFERROR(__xludf.DUMMYFUNCTION("""COMPUTED_VALUE"""),467.4)</f>
        <v>467.4</v>
      </c>
      <c r="E880" s="9">
        <f>IFERROR(__xludf.DUMMYFUNCTION("""COMPUTED_VALUE"""),460.55)</f>
        <v>460.55</v>
      </c>
      <c r="F880" s="9">
        <f>IFERROR(__xludf.DUMMYFUNCTION("""COMPUTED_VALUE"""),461.85)</f>
        <v>461.85</v>
      </c>
      <c r="G880" s="9">
        <f>IFERROR(__xludf.DUMMYFUNCTION("""COMPUTED_VALUE"""),1788733.0)</f>
        <v>1788733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</row>
    <row r="881">
      <c r="A881" s="1"/>
      <c r="B881" s="22">
        <f>IFERROR(__xludf.DUMMYFUNCTION("""COMPUTED_VALUE"""),42849.64583333333)</f>
        <v>42849.64583</v>
      </c>
      <c r="C881" s="9">
        <f>IFERROR(__xludf.DUMMYFUNCTION("""COMPUTED_VALUE"""),458.75)</f>
        <v>458.75</v>
      </c>
      <c r="D881" s="9">
        <f>IFERROR(__xludf.DUMMYFUNCTION("""COMPUTED_VALUE"""),464.25)</f>
        <v>464.25</v>
      </c>
      <c r="E881" s="9">
        <f>IFERROR(__xludf.DUMMYFUNCTION("""COMPUTED_VALUE"""),456.5)</f>
        <v>456.5</v>
      </c>
      <c r="F881" s="9">
        <f>IFERROR(__xludf.DUMMYFUNCTION("""COMPUTED_VALUE"""),463.28)</f>
        <v>463.28</v>
      </c>
      <c r="G881" s="9">
        <f>IFERROR(__xludf.DUMMYFUNCTION("""COMPUTED_VALUE"""),2778333.0)</f>
        <v>2778333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</row>
    <row r="882">
      <c r="A882" s="1"/>
      <c r="B882" s="22">
        <f>IFERROR(__xludf.DUMMYFUNCTION("""COMPUTED_VALUE"""),42850.64583333333)</f>
        <v>42850.64583</v>
      </c>
      <c r="C882" s="9">
        <f>IFERROR(__xludf.DUMMYFUNCTION("""COMPUTED_VALUE"""),462.95)</f>
        <v>462.95</v>
      </c>
      <c r="D882" s="9">
        <f>IFERROR(__xludf.DUMMYFUNCTION("""COMPUTED_VALUE"""),466.5)</f>
        <v>466.5</v>
      </c>
      <c r="E882" s="9">
        <f>IFERROR(__xludf.DUMMYFUNCTION("""COMPUTED_VALUE"""),460.28)</f>
        <v>460.28</v>
      </c>
      <c r="F882" s="9">
        <f>IFERROR(__xludf.DUMMYFUNCTION("""COMPUTED_VALUE"""),464.68)</f>
        <v>464.68</v>
      </c>
      <c r="G882" s="9">
        <f>IFERROR(__xludf.DUMMYFUNCTION("""COMPUTED_VALUE"""),2368530.0)</f>
        <v>2368530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</row>
    <row r="883">
      <c r="A883" s="1"/>
      <c r="B883" s="22">
        <f>IFERROR(__xludf.DUMMYFUNCTION("""COMPUTED_VALUE"""),42851.64583333333)</f>
        <v>42851.64583</v>
      </c>
      <c r="C883" s="9">
        <f>IFERROR(__xludf.DUMMYFUNCTION("""COMPUTED_VALUE"""),464.98)</f>
        <v>464.98</v>
      </c>
      <c r="D883" s="9">
        <f>IFERROR(__xludf.DUMMYFUNCTION("""COMPUTED_VALUE"""),467.78)</f>
        <v>467.78</v>
      </c>
      <c r="E883" s="9">
        <f>IFERROR(__xludf.DUMMYFUNCTION("""COMPUTED_VALUE"""),455.1)</f>
        <v>455.1</v>
      </c>
      <c r="F883" s="9">
        <f>IFERROR(__xludf.DUMMYFUNCTION("""COMPUTED_VALUE"""),457.13)</f>
        <v>457.13</v>
      </c>
      <c r="G883" s="9">
        <f>IFERROR(__xludf.DUMMYFUNCTION("""COMPUTED_VALUE"""),4542248.0)</f>
        <v>4542248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</row>
    <row r="884">
      <c r="A884" s="1"/>
      <c r="B884" s="22">
        <f>IFERROR(__xludf.DUMMYFUNCTION("""COMPUTED_VALUE"""),42852.64583333333)</f>
        <v>42852.64583</v>
      </c>
      <c r="C884" s="9">
        <f>IFERROR(__xludf.DUMMYFUNCTION("""COMPUTED_VALUE"""),458.0)</f>
        <v>458</v>
      </c>
      <c r="D884" s="9">
        <f>IFERROR(__xludf.DUMMYFUNCTION("""COMPUTED_VALUE"""),464.5)</f>
        <v>464.5</v>
      </c>
      <c r="E884" s="9">
        <f>IFERROR(__xludf.DUMMYFUNCTION("""COMPUTED_VALUE"""),458.0)</f>
        <v>458</v>
      </c>
      <c r="F884" s="9">
        <f>IFERROR(__xludf.DUMMYFUNCTION("""COMPUTED_VALUE"""),462.63)</f>
        <v>462.63</v>
      </c>
      <c r="G884" s="9">
        <f>IFERROR(__xludf.DUMMYFUNCTION("""COMPUTED_VALUE"""),3898604.0)</f>
        <v>3898604</v>
      </c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</row>
    <row r="885">
      <c r="A885" s="1"/>
      <c r="B885" s="22">
        <f>IFERROR(__xludf.DUMMYFUNCTION("""COMPUTED_VALUE"""),42853.64583333333)</f>
        <v>42853.64583</v>
      </c>
      <c r="C885" s="9">
        <f>IFERROR(__xludf.DUMMYFUNCTION("""COMPUTED_VALUE"""),463.43)</f>
        <v>463.43</v>
      </c>
      <c r="D885" s="9">
        <f>IFERROR(__xludf.DUMMYFUNCTION("""COMPUTED_VALUE"""),463.7)</f>
        <v>463.7</v>
      </c>
      <c r="E885" s="9">
        <f>IFERROR(__xludf.DUMMYFUNCTION("""COMPUTED_VALUE"""),457.8)</f>
        <v>457.8</v>
      </c>
      <c r="F885" s="9">
        <f>IFERROR(__xludf.DUMMYFUNCTION("""COMPUTED_VALUE"""),459.48)</f>
        <v>459.48</v>
      </c>
      <c r="G885" s="9">
        <f>IFERROR(__xludf.DUMMYFUNCTION("""COMPUTED_VALUE"""),2514851.0)</f>
        <v>2514851</v>
      </c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</row>
    <row r="886">
      <c r="A886" s="1"/>
      <c r="B886" s="22">
        <f>IFERROR(__xludf.DUMMYFUNCTION("""COMPUTED_VALUE"""),42857.64583333333)</f>
        <v>42857.64583</v>
      </c>
      <c r="C886" s="9">
        <f>IFERROR(__xludf.DUMMYFUNCTION("""COMPUTED_VALUE"""),462.0)</f>
        <v>462</v>
      </c>
      <c r="D886" s="9">
        <f>IFERROR(__xludf.DUMMYFUNCTION("""COMPUTED_VALUE"""),463.2)</f>
        <v>463.2</v>
      </c>
      <c r="E886" s="9">
        <f>IFERROR(__xludf.DUMMYFUNCTION("""COMPUTED_VALUE"""),457.55)</f>
        <v>457.55</v>
      </c>
      <c r="F886" s="9">
        <f>IFERROR(__xludf.DUMMYFUNCTION("""COMPUTED_VALUE"""),461.3)</f>
        <v>461.3</v>
      </c>
      <c r="G886" s="9">
        <f>IFERROR(__xludf.DUMMYFUNCTION("""COMPUTED_VALUE"""),1615563.0)</f>
        <v>1615563</v>
      </c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</row>
    <row r="887">
      <c r="A887" s="1"/>
      <c r="B887" s="22">
        <f>IFERROR(__xludf.DUMMYFUNCTION("""COMPUTED_VALUE"""),42858.64583333333)</f>
        <v>42858.64583</v>
      </c>
      <c r="C887" s="9">
        <f>IFERROR(__xludf.DUMMYFUNCTION("""COMPUTED_VALUE"""),463.25)</f>
        <v>463.25</v>
      </c>
      <c r="D887" s="9">
        <f>IFERROR(__xludf.DUMMYFUNCTION("""COMPUTED_VALUE"""),469.55)</f>
        <v>469.55</v>
      </c>
      <c r="E887" s="9">
        <f>IFERROR(__xludf.DUMMYFUNCTION("""COMPUTED_VALUE"""),458.83)</f>
        <v>458.83</v>
      </c>
      <c r="F887" s="9">
        <f>IFERROR(__xludf.DUMMYFUNCTION("""COMPUTED_VALUE"""),467.15)</f>
        <v>467.15</v>
      </c>
      <c r="G887" s="9">
        <f>IFERROR(__xludf.DUMMYFUNCTION("""COMPUTED_VALUE"""),2329724.0)</f>
        <v>2329724</v>
      </c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</row>
    <row r="888">
      <c r="A888" s="1"/>
      <c r="B888" s="22">
        <f>IFERROR(__xludf.DUMMYFUNCTION("""COMPUTED_VALUE"""),42859.64583333333)</f>
        <v>42859.64583</v>
      </c>
      <c r="C888" s="9">
        <f>IFERROR(__xludf.DUMMYFUNCTION("""COMPUTED_VALUE"""),468.5)</f>
        <v>468.5</v>
      </c>
      <c r="D888" s="9">
        <f>IFERROR(__xludf.DUMMYFUNCTION("""COMPUTED_VALUE"""),469.83)</f>
        <v>469.83</v>
      </c>
      <c r="E888" s="9">
        <f>IFERROR(__xludf.DUMMYFUNCTION("""COMPUTED_VALUE"""),464.45)</f>
        <v>464.45</v>
      </c>
      <c r="F888" s="9">
        <f>IFERROR(__xludf.DUMMYFUNCTION("""COMPUTED_VALUE"""),468.83)</f>
        <v>468.83</v>
      </c>
      <c r="G888" s="9">
        <f>IFERROR(__xludf.DUMMYFUNCTION("""COMPUTED_VALUE"""),2639903.0)</f>
        <v>2639903</v>
      </c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</row>
    <row r="889">
      <c r="A889" s="1"/>
      <c r="B889" s="22">
        <f>IFERROR(__xludf.DUMMYFUNCTION("""COMPUTED_VALUE"""),42860.64583333333)</f>
        <v>42860.64583</v>
      </c>
      <c r="C889" s="9">
        <f>IFERROR(__xludf.DUMMYFUNCTION("""COMPUTED_VALUE"""),468.0)</f>
        <v>468</v>
      </c>
      <c r="D889" s="9">
        <f>IFERROR(__xludf.DUMMYFUNCTION("""COMPUTED_VALUE"""),468.68)</f>
        <v>468.68</v>
      </c>
      <c r="E889" s="9">
        <f>IFERROR(__xludf.DUMMYFUNCTION("""COMPUTED_VALUE"""),460.0)</f>
        <v>460</v>
      </c>
      <c r="F889" s="9">
        <f>IFERROR(__xludf.DUMMYFUNCTION("""COMPUTED_VALUE"""),465.75)</f>
        <v>465.75</v>
      </c>
      <c r="G889" s="9">
        <f>IFERROR(__xludf.DUMMYFUNCTION("""COMPUTED_VALUE"""),2216394.0)</f>
        <v>2216394</v>
      </c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</row>
    <row r="890">
      <c r="A890" s="1"/>
      <c r="B890" s="22">
        <f>IFERROR(__xludf.DUMMYFUNCTION("""COMPUTED_VALUE"""),42863.64583333333)</f>
        <v>42863.64583</v>
      </c>
      <c r="C890" s="9">
        <f>IFERROR(__xludf.DUMMYFUNCTION("""COMPUTED_VALUE"""),469.0)</f>
        <v>469</v>
      </c>
      <c r="D890" s="9">
        <f>IFERROR(__xludf.DUMMYFUNCTION("""COMPUTED_VALUE"""),474.28)</f>
        <v>474.28</v>
      </c>
      <c r="E890" s="9">
        <f>IFERROR(__xludf.DUMMYFUNCTION("""COMPUTED_VALUE"""),466.0)</f>
        <v>466</v>
      </c>
      <c r="F890" s="9">
        <f>IFERROR(__xludf.DUMMYFUNCTION("""COMPUTED_VALUE"""),472.75)</f>
        <v>472.75</v>
      </c>
      <c r="G890" s="9">
        <f>IFERROR(__xludf.DUMMYFUNCTION("""COMPUTED_VALUE"""),2353549.0)</f>
        <v>2353549</v>
      </c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</row>
    <row r="891">
      <c r="A891" s="1"/>
      <c r="B891" s="22">
        <f>IFERROR(__xludf.DUMMYFUNCTION("""COMPUTED_VALUE"""),42864.64583333333)</f>
        <v>42864.64583</v>
      </c>
      <c r="C891" s="9">
        <f>IFERROR(__xludf.DUMMYFUNCTION("""COMPUTED_VALUE"""),475.3)</f>
        <v>475.3</v>
      </c>
      <c r="D891" s="9">
        <f>IFERROR(__xludf.DUMMYFUNCTION("""COMPUTED_VALUE"""),475.98)</f>
        <v>475.98</v>
      </c>
      <c r="E891" s="9">
        <f>IFERROR(__xludf.DUMMYFUNCTION("""COMPUTED_VALUE"""),471.05)</f>
        <v>471.05</v>
      </c>
      <c r="F891" s="9">
        <f>IFERROR(__xludf.DUMMYFUNCTION("""COMPUTED_VALUE"""),473.33)</f>
        <v>473.33</v>
      </c>
      <c r="G891" s="9">
        <f>IFERROR(__xludf.DUMMYFUNCTION("""COMPUTED_VALUE"""),2824686.0)</f>
        <v>2824686</v>
      </c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</row>
    <row r="892">
      <c r="A892" s="1"/>
      <c r="B892" s="22">
        <f>IFERROR(__xludf.DUMMYFUNCTION("""COMPUTED_VALUE"""),42865.64583333333)</f>
        <v>42865.64583</v>
      </c>
      <c r="C892" s="9">
        <f>IFERROR(__xludf.DUMMYFUNCTION("""COMPUTED_VALUE"""),473.58)</f>
        <v>473.58</v>
      </c>
      <c r="D892" s="9">
        <f>IFERROR(__xludf.DUMMYFUNCTION("""COMPUTED_VALUE"""),475.0)</f>
        <v>475</v>
      </c>
      <c r="E892" s="9">
        <f>IFERROR(__xludf.DUMMYFUNCTION("""COMPUTED_VALUE"""),468.58)</f>
        <v>468.58</v>
      </c>
      <c r="F892" s="9">
        <f>IFERROR(__xludf.DUMMYFUNCTION("""COMPUTED_VALUE"""),471.83)</f>
        <v>471.83</v>
      </c>
      <c r="G892" s="9">
        <f>IFERROR(__xludf.DUMMYFUNCTION("""COMPUTED_VALUE"""),1682151.0)</f>
        <v>1682151</v>
      </c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</row>
    <row r="893">
      <c r="A893" s="1"/>
      <c r="B893" s="22">
        <f>IFERROR(__xludf.DUMMYFUNCTION("""COMPUTED_VALUE"""),42866.64583333333)</f>
        <v>42866.64583</v>
      </c>
      <c r="C893" s="9">
        <f>IFERROR(__xludf.DUMMYFUNCTION("""COMPUTED_VALUE"""),473.43)</f>
        <v>473.43</v>
      </c>
      <c r="D893" s="9">
        <f>IFERROR(__xludf.DUMMYFUNCTION("""COMPUTED_VALUE"""),474.93)</f>
        <v>474.93</v>
      </c>
      <c r="E893" s="9">
        <f>IFERROR(__xludf.DUMMYFUNCTION("""COMPUTED_VALUE"""),468.78)</f>
        <v>468.78</v>
      </c>
      <c r="F893" s="9">
        <f>IFERROR(__xludf.DUMMYFUNCTION("""COMPUTED_VALUE"""),472.05)</f>
        <v>472.05</v>
      </c>
      <c r="G893" s="9">
        <f>IFERROR(__xludf.DUMMYFUNCTION("""COMPUTED_VALUE"""),1614741.0)</f>
        <v>1614741</v>
      </c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</row>
    <row r="894">
      <c r="A894" s="1"/>
      <c r="B894" s="22">
        <f>IFERROR(__xludf.DUMMYFUNCTION("""COMPUTED_VALUE"""),42867.64583333333)</f>
        <v>42867.64583</v>
      </c>
      <c r="C894" s="9">
        <f>IFERROR(__xludf.DUMMYFUNCTION("""COMPUTED_VALUE"""),476.5)</f>
        <v>476.5</v>
      </c>
      <c r="D894" s="9">
        <f>IFERROR(__xludf.DUMMYFUNCTION("""COMPUTED_VALUE"""),483.0)</f>
        <v>483</v>
      </c>
      <c r="E894" s="9">
        <f>IFERROR(__xludf.DUMMYFUNCTION("""COMPUTED_VALUE"""),475.73)</f>
        <v>475.73</v>
      </c>
      <c r="F894" s="9">
        <f>IFERROR(__xludf.DUMMYFUNCTION("""COMPUTED_VALUE"""),482.13)</f>
        <v>482.13</v>
      </c>
      <c r="G894" s="9">
        <f>IFERROR(__xludf.DUMMYFUNCTION("""COMPUTED_VALUE"""),5489998.0)</f>
        <v>5489998</v>
      </c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</row>
    <row r="895">
      <c r="A895" s="1"/>
      <c r="B895" s="22">
        <f>IFERROR(__xludf.DUMMYFUNCTION("""COMPUTED_VALUE"""),42870.64583333333)</f>
        <v>42870.64583</v>
      </c>
      <c r="C895" s="9">
        <f>IFERROR(__xludf.DUMMYFUNCTION("""COMPUTED_VALUE"""),481.75)</f>
        <v>481.75</v>
      </c>
      <c r="D895" s="9">
        <f>IFERROR(__xludf.DUMMYFUNCTION("""COMPUTED_VALUE"""),481.75)</f>
        <v>481.75</v>
      </c>
      <c r="E895" s="9">
        <f>IFERROR(__xludf.DUMMYFUNCTION("""COMPUTED_VALUE"""),474.55)</f>
        <v>474.55</v>
      </c>
      <c r="F895" s="9">
        <f>IFERROR(__xludf.DUMMYFUNCTION("""COMPUTED_VALUE"""),475.78)</f>
        <v>475.78</v>
      </c>
      <c r="G895" s="9">
        <f>IFERROR(__xludf.DUMMYFUNCTION("""COMPUTED_VALUE"""),3648582.0)</f>
        <v>3648582</v>
      </c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</row>
    <row r="896">
      <c r="A896" s="1"/>
      <c r="B896" s="22">
        <f>IFERROR(__xludf.DUMMYFUNCTION("""COMPUTED_VALUE"""),42871.64583333333)</f>
        <v>42871.64583</v>
      </c>
      <c r="C896" s="9">
        <f>IFERROR(__xludf.DUMMYFUNCTION("""COMPUTED_VALUE"""),476.55)</f>
        <v>476.55</v>
      </c>
      <c r="D896" s="9">
        <f>IFERROR(__xludf.DUMMYFUNCTION("""COMPUTED_VALUE"""),480.08)</f>
        <v>480.08</v>
      </c>
      <c r="E896" s="9">
        <f>IFERROR(__xludf.DUMMYFUNCTION("""COMPUTED_VALUE"""),473.48)</f>
        <v>473.48</v>
      </c>
      <c r="F896" s="9">
        <f>IFERROR(__xludf.DUMMYFUNCTION("""COMPUTED_VALUE"""),477.5)</f>
        <v>477.5</v>
      </c>
      <c r="G896" s="9">
        <f>IFERROR(__xludf.DUMMYFUNCTION("""COMPUTED_VALUE"""),3065084.0)</f>
        <v>3065084</v>
      </c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</row>
    <row r="897">
      <c r="A897" s="1"/>
      <c r="B897" s="22">
        <f>IFERROR(__xludf.DUMMYFUNCTION("""COMPUTED_VALUE"""),42872.64583333333)</f>
        <v>42872.64583</v>
      </c>
      <c r="C897" s="9">
        <f>IFERROR(__xludf.DUMMYFUNCTION("""COMPUTED_VALUE"""),475.8)</f>
        <v>475.8</v>
      </c>
      <c r="D897" s="9">
        <f>IFERROR(__xludf.DUMMYFUNCTION("""COMPUTED_VALUE"""),479.23)</f>
        <v>479.23</v>
      </c>
      <c r="E897" s="9">
        <f>IFERROR(__xludf.DUMMYFUNCTION("""COMPUTED_VALUE"""),471.93)</f>
        <v>471.93</v>
      </c>
      <c r="F897" s="9">
        <f>IFERROR(__xludf.DUMMYFUNCTION("""COMPUTED_VALUE"""),476.4)</f>
        <v>476.4</v>
      </c>
      <c r="G897" s="9">
        <f>IFERROR(__xludf.DUMMYFUNCTION("""COMPUTED_VALUE"""),1457754.0)</f>
        <v>1457754</v>
      </c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</row>
    <row r="898">
      <c r="A898" s="1"/>
      <c r="B898" s="22">
        <f>IFERROR(__xludf.DUMMYFUNCTION("""COMPUTED_VALUE"""),42873.64583333333)</f>
        <v>42873.64583</v>
      </c>
      <c r="C898" s="9">
        <f>IFERROR(__xludf.DUMMYFUNCTION("""COMPUTED_VALUE"""),471.5)</f>
        <v>471.5</v>
      </c>
      <c r="D898" s="9">
        <f>IFERROR(__xludf.DUMMYFUNCTION("""COMPUTED_VALUE"""),486.95)</f>
        <v>486.95</v>
      </c>
      <c r="E898" s="9">
        <f>IFERROR(__xludf.DUMMYFUNCTION("""COMPUTED_VALUE"""),471.43)</f>
        <v>471.43</v>
      </c>
      <c r="F898" s="9">
        <f>IFERROR(__xludf.DUMMYFUNCTION("""COMPUTED_VALUE"""),480.88)</f>
        <v>480.88</v>
      </c>
      <c r="G898" s="9">
        <f>IFERROR(__xludf.DUMMYFUNCTION("""COMPUTED_VALUE"""),4028924.0)</f>
        <v>4028924</v>
      </c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</row>
    <row r="899">
      <c r="A899" s="1"/>
      <c r="B899" s="22">
        <f>IFERROR(__xludf.DUMMYFUNCTION("""COMPUTED_VALUE"""),42874.64583333333)</f>
        <v>42874.64583</v>
      </c>
      <c r="C899" s="9">
        <f>IFERROR(__xludf.DUMMYFUNCTION("""COMPUTED_VALUE"""),480.75)</f>
        <v>480.75</v>
      </c>
      <c r="D899" s="9">
        <f>IFERROR(__xludf.DUMMYFUNCTION("""COMPUTED_VALUE"""),481.35)</f>
        <v>481.35</v>
      </c>
      <c r="E899" s="9">
        <f>IFERROR(__xludf.DUMMYFUNCTION("""COMPUTED_VALUE"""),473.93)</f>
        <v>473.93</v>
      </c>
      <c r="F899" s="9">
        <f>IFERROR(__xludf.DUMMYFUNCTION("""COMPUTED_VALUE"""),478.98)</f>
        <v>478.98</v>
      </c>
      <c r="G899" s="9">
        <f>IFERROR(__xludf.DUMMYFUNCTION("""COMPUTED_VALUE"""),2128698.0)</f>
        <v>2128698</v>
      </c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</row>
    <row r="900">
      <c r="A900" s="1"/>
      <c r="B900" s="22">
        <f>IFERROR(__xludf.DUMMYFUNCTION("""COMPUTED_VALUE"""),42877.64583333333)</f>
        <v>42877.64583</v>
      </c>
      <c r="C900" s="9">
        <f>IFERROR(__xludf.DUMMYFUNCTION("""COMPUTED_VALUE"""),479.2)</f>
        <v>479.2</v>
      </c>
      <c r="D900" s="9">
        <f>IFERROR(__xludf.DUMMYFUNCTION("""COMPUTED_VALUE"""),483.45)</f>
        <v>483.45</v>
      </c>
      <c r="E900" s="9">
        <f>IFERROR(__xludf.DUMMYFUNCTION("""COMPUTED_VALUE"""),478.28)</f>
        <v>478.28</v>
      </c>
      <c r="F900" s="9">
        <f>IFERROR(__xludf.DUMMYFUNCTION("""COMPUTED_VALUE"""),480.73)</f>
        <v>480.73</v>
      </c>
      <c r="G900" s="9">
        <f>IFERROR(__xludf.DUMMYFUNCTION("""COMPUTED_VALUE"""),2751526.0)</f>
        <v>2751526</v>
      </c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</row>
    <row r="901">
      <c r="A901" s="1"/>
      <c r="B901" s="22">
        <f>IFERROR(__xludf.DUMMYFUNCTION("""COMPUTED_VALUE"""),42878.64583333333)</f>
        <v>42878.64583</v>
      </c>
      <c r="C901" s="9">
        <f>IFERROR(__xludf.DUMMYFUNCTION("""COMPUTED_VALUE"""),482.33)</f>
        <v>482.33</v>
      </c>
      <c r="D901" s="9">
        <f>IFERROR(__xludf.DUMMYFUNCTION("""COMPUTED_VALUE"""),483.5)</f>
        <v>483.5</v>
      </c>
      <c r="E901" s="9">
        <f>IFERROR(__xludf.DUMMYFUNCTION("""COMPUTED_VALUE"""),477.05)</f>
        <v>477.05</v>
      </c>
      <c r="F901" s="9">
        <f>IFERROR(__xludf.DUMMYFUNCTION("""COMPUTED_VALUE"""),478.65)</f>
        <v>478.65</v>
      </c>
      <c r="G901" s="9">
        <f>IFERROR(__xludf.DUMMYFUNCTION("""COMPUTED_VALUE"""),2019991.0)</f>
        <v>2019991</v>
      </c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</row>
    <row r="902">
      <c r="A902" s="1"/>
      <c r="B902" s="22">
        <f>IFERROR(__xludf.DUMMYFUNCTION("""COMPUTED_VALUE"""),42879.64583333333)</f>
        <v>42879.64583</v>
      </c>
      <c r="C902" s="9">
        <f>IFERROR(__xludf.DUMMYFUNCTION("""COMPUTED_VALUE"""),480.0)</f>
        <v>480</v>
      </c>
      <c r="D902" s="9">
        <f>IFERROR(__xludf.DUMMYFUNCTION("""COMPUTED_VALUE"""),482.75)</f>
        <v>482.75</v>
      </c>
      <c r="E902" s="9">
        <f>IFERROR(__xludf.DUMMYFUNCTION("""COMPUTED_VALUE"""),474.8)</f>
        <v>474.8</v>
      </c>
      <c r="F902" s="9">
        <f>IFERROR(__xludf.DUMMYFUNCTION("""COMPUTED_VALUE"""),477.4)</f>
        <v>477.4</v>
      </c>
      <c r="G902" s="9">
        <f>IFERROR(__xludf.DUMMYFUNCTION("""COMPUTED_VALUE"""),2818143.0)</f>
        <v>2818143</v>
      </c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</row>
    <row r="903">
      <c r="A903" s="1"/>
      <c r="B903" s="22">
        <f>IFERROR(__xludf.DUMMYFUNCTION("""COMPUTED_VALUE"""),42880.64583333333)</f>
        <v>42880.64583</v>
      </c>
      <c r="C903" s="9">
        <f>IFERROR(__xludf.DUMMYFUNCTION("""COMPUTED_VALUE"""),480.5)</f>
        <v>480.5</v>
      </c>
      <c r="D903" s="9">
        <f>IFERROR(__xludf.DUMMYFUNCTION("""COMPUTED_VALUE"""),493.3)</f>
        <v>493.3</v>
      </c>
      <c r="E903" s="9">
        <f>IFERROR(__xludf.DUMMYFUNCTION("""COMPUTED_VALUE"""),480.5)</f>
        <v>480.5</v>
      </c>
      <c r="F903" s="9">
        <f>IFERROR(__xludf.DUMMYFUNCTION("""COMPUTED_VALUE"""),491.65)</f>
        <v>491.65</v>
      </c>
      <c r="G903" s="9">
        <f>IFERROR(__xludf.DUMMYFUNCTION("""COMPUTED_VALUE"""),5219257.0)</f>
        <v>5219257</v>
      </c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</row>
    <row r="904">
      <c r="A904" s="1"/>
      <c r="B904" s="22">
        <f>IFERROR(__xludf.DUMMYFUNCTION("""COMPUTED_VALUE"""),42881.64583333333)</f>
        <v>42881.64583</v>
      </c>
      <c r="C904" s="9">
        <f>IFERROR(__xludf.DUMMYFUNCTION("""COMPUTED_VALUE"""),493.5)</f>
        <v>493.5</v>
      </c>
      <c r="D904" s="9">
        <f>IFERROR(__xludf.DUMMYFUNCTION("""COMPUTED_VALUE"""),500.0)</f>
        <v>500</v>
      </c>
      <c r="E904" s="9">
        <f>IFERROR(__xludf.DUMMYFUNCTION("""COMPUTED_VALUE"""),490.3)</f>
        <v>490.3</v>
      </c>
      <c r="F904" s="9">
        <f>IFERROR(__xludf.DUMMYFUNCTION("""COMPUTED_VALUE"""),497.85)</f>
        <v>497.85</v>
      </c>
      <c r="G904" s="9">
        <f>IFERROR(__xludf.DUMMYFUNCTION("""COMPUTED_VALUE"""),2494002.0)</f>
        <v>2494002</v>
      </c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</row>
    <row r="905">
      <c r="A905" s="1"/>
      <c r="B905" s="22">
        <f>IFERROR(__xludf.DUMMYFUNCTION("""COMPUTED_VALUE"""),42884.64583333333)</f>
        <v>42884.64583</v>
      </c>
      <c r="C905" s="9">
        <f>IFERROR(__xludf.DUMMYFUNCTION("""COMPUTED_VALUE"""),495.45)</f>
        <v>495.45</v>
      </c>
      <c r="D905" s="9">
        <f>IFERROR(__xludf.DUMMYFUNCTION("""COMPUTED_VALUE"""),498.35)</f>
        <v>498.35</v>
      </c>
      <c r="E905" s="9">
        <f>IFERROR(__xludf.DUMMYFUNCTION("""COMPUTED_VALUE"""),487.85)</f>
        <v>487.85</v>
      </c>
      <c r="F905" s="9">
        <f>IFERROR(__xludf.DUMMYFUNCTION("""COMPUTED_VALUE"""),492.58)</f>
        <v>492.58</v>
      </c>
      <c r="G905" s="9">
        <f>IFERROR(__xludf.DUMMYFUNCTION("""COMPUTED_VALUE"""),3154217.0)</f>
        <v>3154217</v>
      </c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</row>
    <row r="906">
      <c r="A906" s="1"/>
      <c r="B906" s="22">
        <f>IFERROR(__xludf.DUMMYFUNCTION("""COMPUTED_VALUE"""),42885.64583333333)</f>
        <v>42885.64583</v>
      </c>
      <c r="C906" s="9">
        <f>IFERROR(__xludf.DUMMYFUNCTION("""COMPUTED_VALUE"""),491.0)</f>
        <v>491</v>
      </c>
      <c r="D906" s="9">
        <f>IFERROR(__xludf.DUMMYFUNCTION("""COMPUTED_VALUE"""),500.0)</f>
        <v>500</v>
      </c>
      <c r="E906" s="9">
        <f>IFERROR(__xludf.DUMMYFUNCTION("""COMPUTED_VALUE"""),489.33)</f>
        <v>489.33</v>
      </c>
      <c r="F906" s="9">
        <f>IFERROR(__xludf.DUMMYFUNCTION("""COMPUTED_VALUE"""),498.1)</f>
        <v>498.1</v>
      </c>
      <c r="G906" s="9">
        <f>IFERROR(__xludf.DUMMYFUNCTION("""COMPUTED_VALUE"""),1858455.0)</f>
        <v>1858455</v>
      </c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</row>
    <row r="907">
      <c r="A907" s="1"/>
      <c r="B907" s="22">
        <f>IFERROR(__xludf.DUMMYFUNCTION("""COMPUTED_VALUE"""),42886.64583333333)</f>
        <v>42886.64583</v>
      </c>
      <c r="C907" s="9">
        <f>IFERROR(__xludf.DUMMYFUNCTION("""COMPUTED_VALUE"""),496.78)</f>
        <v>496.78</v>
      </c>
      <c r="D907" s="9">
        <f>IFERROR(__xludf.DUMMYFUNCTION("""COMPUTED_VALUE"""),496.78)</f>
        <v>496.78</v>
      </c>
      <c r="E907" s="9">
        <f>IFERROR(__xludf.DUMMYFUNCTION("""COMPUTED_VALUE"""),487.43)</f>
        <v>487.43</v>
      </c>
      <c r="F907" s="9">
        <f>IFERROR(__xludf.DUMMYFUNCTION("""COMPUTED_VALUE"""),488.53)</f>
        <v>488.53</v>
      </c>
      <c r="G907" s="9">
        <f>IFERROR(__xludf.DUMMYFUNCTION("""COMPUTED_VALUE"""),3881950.0)</f>
        <v>3881950</v>
      </c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</row>
    <row r="908">
      <c r="A908" s="1"/>
      <c r="B908" s="22">
        <f>IFERROR(__xludf.DUMMYFUNCTION("""COMPUTED_VALUE"""),42887.64583333333)</f>
        <v>42887.64583</v>
      </c>
      <c r="C908" s="9">
        <f>IFERROR(__xludf.DUMMYFUNCTION("""COMPUTED_VALUE"""),484.65)</f>
        <v>484.65</v>
      </c>
      <c r="D908" s="9">
        <f>IFERROR(__xludf.DUMMYFUNCTION("""COMPUTED_VALUE"""),489.85)</f>
        <v>489.85</v>
      </c>
      <c r="E908" s="9">
        <f>IFERROR(__xludf.DUMMYFUNCTION("""COMPUTED_VALUE"""),479.28)</f>
        <v>479.28</v>
      </c>
      <c r="F908" s="9">
        <f>IFERROR(__xludf.DUMMYFUNCTION("""COMPUTED_VALUE"""),485.7)</f>
        <v>485.7</v>
      </c>
      <c r="G908" s="9">
        <f>IFERROR(__xludf.DUMMYFUNCTION("""COMPUTED_VALUE"""),2754303.0)</f>
        <v>2754303</v>
      </c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</row>
    <row r="909">
      <c r="A909" s="1"/>
      <c r="B909" s="22">
        <f>IFERROR(__xludf.DUMMYFUNCTION("""COMPUTED_VALUE"""),42888.64583333333)</f>
        <v>42888.64583</v>
      </c>
      <c r="C909" s="9">
        <f>IFERROR(__xludf.DUMMYFUNCTION("""COMPUTED_VALUE"""),486.7)</f>
        <v>486.7</v>
      </c>
      <c r="D909" s="9">
        <f>IFERROR(__xludf.DUMMYFUNCTION("""COMPUTED_VALUE"""),487.73)</f>
        <v>487.73</v>
      </c>
      <c r="E909" s="9">
        <f>IFERROR(__xludf.DUMMYFUNCTION("""COMPUTED_VALUE"""),482.1)</f>
        <v>482.1</v>
      </c>
      <c r="F909" s="9">
        <f>IFERROR(__xludf.DUMMYFUNCTION("""COMPUTED_VALUE"""),484.73)</f>
        <v>484.73</v>
      </c>
      <c r="G909" s="9">
        <f>IFERROR(__xludf.DUMMYFUNCTION("""COMPUTED_VALUE"""),1958983.0)</f>
        <v>1958983</v>
      </c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</row>
    <row r="910">
      <c r="A910" s="1"/>
      <c r="B910" s="22">
        <f>IFERROR(__xludf.DUMMYFUNCTION("""COMPUTED_VALUE"""),42891.64583333333)</f>
        <v>42891.64583</v>
      </c>
      <c r="C910" s="9">
        <f>IFERROR(__xludf.DUMMYFUNCTION("""COMPUTED_VALUE"""),485.0)</f>
        <v>485</v>
      </c>
      <c r="D910" s="9">
        <f>IFERROR(__xludf.DUMMYFUNCTION("""COMPUTED_VALUE"""),486.0)</f>
        <v>486</v>
      </c>
      <c r="E910" s="9">
        <f>IFERROR(__xludf.DUMMYFUNCTION("""COMPUTED_VALUE"""),478.53)</f>
        <v>478.53</v>
      </c>
      <c r="F910" s="9">
        <f>IFERROR(__xludf.DUMMYFUNCTION("""COMPUTED_VALUE"""),479.38)</f>
        <v>479.38</v>
      </c>
      <c r="G910" s="9">
        <f>IFERROR(__xludf.DUMMYFUNCTION("""COMPUTED_VALUE"""),2731349.0)</f>
        <v>2731349</v>
      </c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</row>
    <row r="911">
      <c r="A911" s="1"/>
      <c r="B911" s="22">
        <f>IFERROR(__xludf.DUMMYFUNCTION("""COMPUTED_VALUE"""),42892.64583333333)</f>
        <v>42892.64583</v>
      </c>
      <c r="C911" s="9">
        <f>IFERROR(__xludf.DUMMYFUNCTION("""COMPUTED_VALUE"""),482.5)</f>
        <v>482.5</v>
      </c>
      <c r="D911" s="9">
        <f>IFERROR(__xludf.DUMMYFUNCTION("""COMPUTED_VALUE"""),493.75)</f>
        <v>493.75</v>
      </c>
      <c r="E911" s="9">
        <f>IFERROR(__xludf.DUMMYFUNCTION("""COMPUTED_VALUE"""),482.2)</f>
        <v>482.2</v>
      </c>
      <c r="F911" s="9">
        <f>IFERROR(__xludf.DUMMYFUNCTION("""COMPUTED_VALUE"""),489.68)</f>
        <v>489.68</v>
      </c>
      <c r="G911" s="9">
        <f>IFERROR(__xludf.DUMMYFUNCTION("""COMPUTED_VALUE"""),3504343.0)</f>
        <v>3504343</v>
      </c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</row>
    <row r="912">
      <c r="A912" s="1"/>
      <c r="B912" s="22">
        <f>IFERROR(__xludf.DUMMYFUNCTION("""COMPUTED_VALUE"""),42893.64583333333)</f>
        <v>42893.64583</v>
      </c>
      <c r="C912" s="9">
        <f>IFERROR(__xludf.DUMMYFUNCTION("""COMPUTED_VALUE"""),492.5)</f>
        <v>492.5</v>
      </c>
      <c r="D912" s="9">
        <f>IFERROR(__xludf.DUMMYFUNCTION("""COMPUTED_VALUE"""),494.45)</f>
        <v>494.45</v>
      </c>
      <c r="E912" s="9">
        <f>IFERROR(__xludf.DUMMYFUNCTION("""COMPUTED_VALUE"""),472.5)</f>
        <v>472.5</v>
      </c>
      <c r="F912" s="9">
        <f>IFERROR(__xludf.DUMMYFUNCTION("""COMPUTED_VALUE"""),480.65)</f>
        <v>480.65</v>
      </c>
      <c r="G912" s="9">
        <f>IFERROR(__xludf.DUMMYFUNCTION("""COMPUTED_VALUE"""),6227523.0)</f>
        <v>6227523</v>
      </c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</row>
    <row r="913">
      <c r="A913" s="1"/>
      <c r="B913" s="22">
        <f>IFERROR(__xludf.DUMMYFUNCTION("""COMPUTED_VALUE"""),42894.64583333333)</f>
        <v>42894.64583</v>
      </c>
      <c r="C913" s="9">
        <f>IFERROR(__xludf.DUMMYFUNCTION("""COMPUTED_VALUE"""),481.48)</f>
        <v>481.48</v>
      </c>
      <c r="D913" s="9">
        <f>IFERROR(__xludf.DUMMYFUNCTION("""COMPUTED_VALUE"""),481.48)</f>
        <v>481.48</v>
      </c>
      <c r="E913" s="9">
        <f>IFERROR(__xludf.DUMMYFUNCTION("""COMPUTED_VALUE"""),474.08)</f>
        <v>474.08</v>
      </c>
      <c r="F913" s="9">
        <f>IFERROR(__xludf.DUMMYFUNCTION("""COMPUTED_VALUE"""),478.23)</f>
        <v>478.23</v>
      </c>
      <c r="G913" s="9">
        <f>IFERROR(__xludf.DUMMYFUNCTION("""COMPUTED_VALUE"""),3097676.0)</f>
        <v>3097676</v>
      </c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</row>
    <row r="914">
      <c r="A914" s="1"/>
      <c r="B914" s="22">
        <f>IFERROR(__xludf.DUMMYFUNCTION("""COMPUTED_VALUE"""),42895.64583333333)</f>
        <v>42895.64583</v>
      </c>
      <c r="C914" s="9">
        <f>IFERROR(__xludf.DUMMYFUNCTION("""COMPUTED_VALUE"""),469.28)</f>
        <v>469.28</v>
      </c>
      <c r="D914" s="9">
        <f>IFERROR(__xludf.DUMMYFUNCTION("""COMPUTED_VALUE"""),475.48)</f>
        <v>475.48</v>
      </c>
      <c r="E914" s="9">
        <f>IFERROR(__xludf.DUMMYFUNCTION("""COMPUTED_VALUE"""),461.5)</f>
        <v>461.5</v>
      </c>
      <c r="F914" s="9">
        <f>IFERROR(__xludf.DUMMYFUNCTION("""COMPUTED_VALUE"""),474.3)</f>
        <v>474.3</v>
      </c>
      <c r="G914" s="9">
        <f>IFERROR(__xludf.DUMMYFUNCTION("""COMPUTED_VALUE"""),7378831.0)</f>
        <v>7378831</v>
      </c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</row>
    <row r="915">
      <c r="A915" s="1"/>
      <c r="B915" s="22">
        <f>IFERROR(__xludf.DUMMYFUNCTION("""COMPUTED_VALUE"""),42898.64583333333)</f>
        <v>42898.64583</v>
      </c>
      <c r="C915" s="9">
        <f>IFERROR(__xludf.DUMMYFUNCTION("""COMPUTED_VALUE"""),471.68)</f>
        <v>471.68</v>
      </c>
      <c r="D915" s="9">
        <f>IFERROR(__xludf.DUMMYFUNCTION("""COMPUTED_VALUE"""),482.6)</f>
        <v>482.6</v>
      </c>
      <c r="E915" s="9">
        <f>IFERROR(__xludf.DUMMYFUNCTION("""COMPUTED_VALUE"""),470.05)</f>
        <v>470.05</v>
      </c>
      <c r="F915" s="9">
        <f>IFERROR(__xludf.DUMMYFUNCTION("""COMPUTED_VALUE"""),481.93)</f>
        <v>481.93</v>
      </c>
      <c r="G915" s="9">
        <f>IFERROR(__xludf.DUMMYFUNCTION("""COMPUTED_VALUE"""),4295838.0)</f>
        <v>4295838</v>
      </c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</row>
    <row r="916">
      <c r="A916" s="1"/>
      <c r="B916" s="22">
        <f>IFERROR(__xludf.DUMMYFUNCTION("""COMPUTED_VALUE"""),42899.64583333333)</f>
        <v>42899.64583</v>
      </c>
      <c r="C916" s="9">
        <f>IFERROR(__xludf.DUMMYFUNCTION("""COMPUTED_VALUE"""),476.75)</f>
        <v>476.75</v>
      </c>
      <c r="D916" s="9">
        <f>IFERROR(__xludf.DUMMYFUNCTION("""COMPUTED_VALUE"""),481.48)</f>
        <v>481.48</v>
      </c>
      <c r="E916" s="9">
        <f>IFERROR(__xludf.DUMMYFUNCTION("""COMPUTED_VALUE"""),475.8)</f>
        <v>475.8</v>
      </c>
      <c r="F916" s="9">
        <f>IFERROR(__xludf.DUMMYFUNCTION("""COMPUTED_VALUE"""),478.9)</f>
        <v>478.9</v>
      </c>
      <c r="G916" s="9">
        <f>IFERROR(__xludf.DUMMYFUNCTION("""COMPUTED_VALUE"""),2468897.0)</f>
        <v>2468897</v>
      </c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</row>
    <row r="917">
      <c r="A917" s="1"/>
      <c r="B917" s="22">
        <f>IFERROR(__xludf.DUMMYFUNCTION("""COMPUTED_VALUE"""),42900.64583333333)</f>
        <v>42900.64583</v>
      </c>
      <c r="C917" s="9">
        <f>IFERROR(__xludf.DUMMYFUNCTION("""COMPUTED_VALUE"""),480.0)</f>
        <v>480</v>
      </c>
      <c r="D917" s="9">
        <f>IFERROR(__xludf.DUMMYFUNCTION("""COMPUTED_VALUE"""),480.95)</f>
        <v>480.95</v>
      </c>
      <c r="E917" s="9">
        <f>IFERROR(__xludf.DUMMYFUNCTION("""COMPUTED_VALUE"""),475.6)</f>
        <v>475.6</v>
      </c>
      <c r="F917" s="9">
        <f>IFERROR(__xludf.DUMMYFUNCTION("""COMPUTED_VALUE"""),479.3)</f>
        <v>479.3</v>
      </c>
      <c r="G917" s="9">
        <f>IFERROR(__xludf.DUMMYFUNCTION("""COMPUTED_VALUE"""),3719055.0)</f>
        <v>3719055</v>
      </c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</row>
    <row r="918">
      <c r="A918" s="1"/>
      <c r="B918" s="22">
        <f>IFERROR(__xludf.DUMMYFUNCTION("""COMPUTED_VALUE"""),42901.64583333333)</f>
        <v>42901.64583</v>
      </c>
      <c r="C918" s="9">
        <f>IFERROR(__xludf.DUMMYFUNCTION("""COMPUTED_VALUE"""),479.83)</f>
        <v>479.83</v>
      </c>
      <c r="D918" s="9">
        <f>IFERROR(__xludf.DUMMYFUNCTION("""COMPUTED_VALUE"""),483.98)</f>
        <v>483.98</v>
      </c>
      <c r="E918" s="9">
        <f>IFERROR(__xludf.DUMMYFUNCTION("""COMPUTED_VALUE"""),474.8)</f>
        <v>474.8</v>
      </c>
      <c r="F918" s="9">
        <f>IFERROR(__xludf.DUMMYFUNCTION("""COMPUTED_VALUE"""),476.05)</f>
        <v>476.05</v>
      </c>
      <c r="G918" s="9">
        <f>IFERROR(__xludf.DUMMYFUNCTION("""COMPUTED_VALUE"""),2764031.0)</f>
        <v>2764031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</row>
    <row r="919">
      <c r="A919" s="1"/>
      <c r="B919" s="22">
        <f>IFERROR(__xludf.DUMMYFUNCTION("""COMPUTED_VALUE"""),42902.64583333333)</f>
        <v>42902.64583</v>
      </c>
      <c r="C919" s="9">
        <f>IFERROR(__xludf.DUMMYFUNCTION("""COMPUTED_VALUE"""),474.55)</f>
        <v>474.55</v>
      </c>
      <c r="D919" s="9">
        <f>IFERROR(__xludf.DUMMYFUNCTION("""COMPUTED_VALUE"""),476.93)</f>
        <v>476.93</v>
      </c>
      <c r="E919" s="9">
        <f>IFERROR(__xludf.DUMMYFUNCTION("""COMPUTED_VALUE"""),468.0)</f>
        <v>468</v>
      </c>
      <c r="F919" s="9">
        <f>IFERROR(__xludf.DUMMYFUNCTION("""COMPUTED_VALUE"""),470.13)</f>
        <v>470.13</v>
      </c>
      <c r="G919" s="9">
        <f>IFERROR(__xludf.DUMMYFUNCTION("""COMPUTED_VALUE"""),5474225.0)</f>
        <v>5474225</v>
      </c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</row>
    <row r="920">
      <c r="A920" s="1"/>
      <c r="B920" s="22">
        <f>IFERROR(__xludf.DUMMYFUNCTION("""COMPUTED_VALUE"""),42905.64583333333)</f>
        <v>42905.64583</v>
      </c>
      <c r="C920" s="9">
        <f>IFERROR(__xludf.DUMMYFUNCTION("""COMPUTED_VALUE"""),469.98)</f>
        <v>469.98</v>
      </c>
      <c r="D920" s="9">
        <f>IFERROR(__xludf.DUMMYFUNCTION("""COMPUTED_VALUE"""),470.13)</f>
        <v>470.13</v>
      </c>
      <c r="E920" s="9">
        <f>IFERROR(__xludf.DUMMYFUNCTION("""COMPUTED_VALUE"""),464.0)</f>
        <v>464</v>
      </c>
      <c r="F920" s="9">
        <f>IFERROR(__xludf.DUMMYFUNCTION("""COMPUTED_VALUE"""),464.93)</f>
        <v>464.93</v>
      </c>
      <c r="G920" s="9">
        <f>IFERROR(__xludf.DUMMYFUNCTION("""COMPUTED_VALUE"""),3427930.0)</f>
        <v>3427930</v>
      </c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</row>
    <row r="921">
      <c r="A921" s="1"/>
      <c r="B921" s="22">
        <f>IFERROR(__xludf.DUMMYFUNCTION("""COMPUTED_VALUE"""),42906.64583333333)</f>
        <v>42906.64583</v>
      </c>
      <c r="C921" s="9">
        <f>IFERROR(__xludf.DUMMYFUNCTION("""COMPUTED_VALUE"""),467.5)</f>
        <v>467.5</v>
      </c>
      <c r="D921" s="9">
        <f>IFERROR(__xludf.DUMMYFUNCTION("""COMPUTED_VALUE"""),473.45)</f>
        <v>473.45</v>
      </c>
      <c r="E921" s="9">
        <f>IFERROR(__xludf.DUMMYFUNCTION("""COMPUTED_VALUE"""),467.03)</f>
        <v>467.03</v>
      </c>
      <c r="F921" s="9">
        <f>IFERROR(__xludf.DUMMYFUNCTION("""COMPUTED_VALUE"""),471.78)</f>
        <v>471.78</v>
      </c>
      <c r="G921" s="9">
        <f>IFERROR(__xludf.DUMMYFUNCTION("""COMPUTED_VALUE"""),2592198.0)</f>
        <v>2592198</v>
      </c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</row>
    <row r="922">
      <c r="A922" s="1"/>
      <c r="B922" s="22">
        <f>IFERROR(__xludf.DUMMYFUNCTION("""COMPUTED_VALUE"""),42907.64583333333)</f>
        <v>42907.64583</v>
      </c>
      <c r="C922" s="9">
        <f>IFERROR(__xludf.DUMMYFUNCTION("""COMPUTED_VALUE"""),472.5)</f>
        <v>472.5</v>
      </c>
      <c r="D922" s="9">
        <f>IFERROR(__xludf.DUMMYFUNCTION("""COMPUTED_VALUE"""),474.5)</f>
        <v>474.5</v>
      </c>
      <c r="E922" s="9">
        <f>IFERROR(__xludf.DUMMYFUNCTION("""COMPUTED_VALUE"""),468.03)</f>
        <v>468.03</v>
      </c>
      <c r="F922" s="9">
        <f>IFERROR(__xludf.DUMMYFUNCTION("""COMPUTED_VALUE"""),471.68)</f>
        <v>471.68</v>
      </c>
      <c r="G922" s="9">
        <f>IFERROR(__xludf.DUMMYFUNCTION("""COMPUTED_VALUE"""),1867932.0)</f>
        <v>1867932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</row>
    <row r="923">
      <c r="A923" s="1"/>
      <c r="B923" s="22">
        <f>IFERROR(__xludf.DUMMYFUNCTION("""COMPUTED_VALUE"""),42908.64583333333)</f>
        <v>42908.64583</v>
      </c>
      <c r="C923" s="9">
        <f>IFERROR(__xludf.DUMMYFUNCTION("""COMPUTED_VALUE"""),473.85)</f>
        <v>473.85</v>
      </c>
      <c r="D923" s="9">
        <f>IFERROR(__xludf.DUMMYFUNCTION("""COMPUTED_VALUE"""),484.35)</f>
        <v>484.35</v>
      </c>
      <c r="E923" s="9">
        <f>IFERROR(__xludf.DUMMYFUNCTION("""COMPUTED_VALUE"""),467.55)</f>
        <v>467.55</v>
      </c>
      <c r="F923" s="9">
        <f>IFERROR(__xludf.DUMMYFUNCTION("""COMPUTED_VALUE"""),470.08)</f>
        <v>470.08</v>
      </c>
      <c r="G923" s="9">
        <f>IFERROR(__xludf.DUMMYFUNCTION("""COMPUTED_VALUE"""),4732621.0)</f>
        <v>4732621</v>
      </c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</row>
    <row r="924">
      <c r="A924" s="1"/>
      <c r="B924" s="22">
        <f>IFERROR(__xludf.DUMMYFUNCTION("""COMPUTED_VALUE"""),42909.64583333333)</f>
        <v>42909.64583</v>
      </c>
      <c r="C924" s="9">
        <f>IFERROR(__xludf.DUMMYFUNCTION("""COMPUTED_VALUE"""),472.5)</f>
        <v>472.5</v>
      </c>
      <c r="D924" s="9">
        <f>IFERROR(__xludf.DUMMYFUNCTION("""COMPUTED_VALUE"""),474.58)</f>
        <v>474.58</v>
      </c>
      <c r="E924" s="9">
        <f>IFERROR(__xludf.DUMMYFUNCTION("""COMPUTED_VALUE"""),469.0)</f>
        <v>469</v>
      </c>
      <c r="F924" s="9">
        <f>IFERROR(__xludf.DUMMYFUNCTION("""COMPUTED_VALUE"""),471.63)</f>
        <v>471.63</v>
      </c>
      <c r="G924" s="9">
        <f>IFERROR(__xludf.DUMMYFUNCTION("""COMPUTED_VALUE"""),3201509.0)</f>
        <v>3201509</v>
      </c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</row>
    <row r="925">
      <c r="A925" s="1"/>
      <c r="B925" s="22">
        <f>IFERROR(__xludf.DUMMYFUNCTION("""COMPUTED_VALUE"""),42913.64583333333)</f>
        <v>42913.64583</v>
      </c>
      <c r="C925" s="9">
        <f>IFERROR(__xludf.DUMMYFUNCTION("""COMPUTED_VALUE"""),472.5)</f>
        <v>472.5</v>
      </c>
      <c r="D925" s="9">
        <f>IFERROR(__xludf.DUMMYFUNCTION("""COMPUTED_VALUE"""),474.0)</f>
        <v>474</v>
      </c>
      <c r="E925" s="9">
        <f>IFERROR(__xludf.DUMMYFUNCTION("""COMPUTED_VALUE"""),461.88)</f>
        <v>461.88</v>
      </c>
      <c r="F925" s="9">
        <f>IFERROR(__xludf.DUMMYFUNCTION("""COMPUTED_VALUE"""),463.53)</f>
        <v>463.53</v>
      </c>
      <c r="G925" s="9">
        <f>IFERROR(__xludf.DUMMYFUNCTION("""COMPUTED_VALUE"""),3452330.0)</f>
        <v>3452330</v>
      </c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</row>
    <row r="926">
      <c r="A926" s="1"/>
      <c r="B926" s="22">
        <f>IFERROR(__xludf.DUMMYFUNCTION("""COMPUTED_VALUE"""),42914.64583333333)</f>
        <v>42914.64583</v>
      </c>
      <c r="C926" s="9">
        <f>IFERROR(__xludf.DUMMYFUNCTION("""COMPUTED_VALUE"""),466.4)</f>
        <v>466.4</v>
      </c>
      <c r="D926" s="9">
        <f>IFERROR(__xludf.DUMMYFUNCTION("""COMPUTED_VALUE"""),466.5)</f>
        <v>466.5</v>
      </c>
      <c r="E926" s="9">
        <f>IFERROR(__xludf.DUMMYFUNCTION("""COMPUTED_VALUE"""),460.5)</f>
        <v>460.5</v>
      </c>
      <c r="F926" s="9">
        <f>IFERROR(__xludf.DUMMYFUNCTION("""COMPUTED_VALUE"""),462.35)</f>
        <v>462.35</v>
      </c>
      <c r="G926" s="9">
        <f>IFERROR(__xludf.DUMMYFUNCTION("""COMPUTED_VALUE"""),2952612.0)</f>
        <v>2952612</v>
      </c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</row>
    <row r="927">
      <c r="A927" s="1"/>
      <c r="B927" s="22">
        <f>IFERROR(__xludf.DUMMYFUNCTION("""COMPUTED_VALUE"""),42915.64583333333)</f>
        <v>42915.64583</v>
      </c>
      <c r="C927" s="9">
        <f>IFERROR(__xludf.DUMMYFUNCTION("""COMPUTED_VALUE"""),465.1)</f>
        <v>465.1</v>
      </c>
      <c r="D927" s="9">
        <f>IFERROR(__xludf.DUMMYFUNCTION("""COMPUTED_VALUE"""),473.98)</f>
        <v>473.98</v>
      </c>
      <c r="E927" s="9">
        <f>IFERROR(__xludf.DUMMYFUNCTION("""COMPUTED_VALUE"""),463.3)</f>
        <v>463.3</v>
      </c>
      <c r="F927" s="9">
        <f>IFERROR(__xludf.DUMMYFUNCTION("""COMPUTED_VALUE"""),465.1)</f>
        <v>465.1</v>
      </c>
      <c r="G927" s="9">
        <f>IFERROR(__xludf.DUMMYFUNCTION("""COMPUTED_VALUE"""),7957020.0)</f>
        <v>7957020</v>
      </c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</row>
    <row r="928">
      <c r="A928" s="1"/>
      <c r="B928" s="22">
        <f>IFERROR(__xludf.DUMMYFUNCTION("""COMPUTED_VALUE"""),42916.64583333333)</f>
        <v>42916.64583</v>
      </c>
      <c r="C928" s="9">
        <f>IFERROR(__xludf.DUMMYFUNCTION("""COMPUTED_VALUE"""),465.4)</f>
        <v>465.4</v>
      </c>
      <c r="D928" s="9">
        <f>IFERROR(__xludf.DUMMYFUNCTION("""COMPUTED_VALUE"""),469.0)</f>
        <v>469</v>
      </c>
      <c r="E928" s="9">
        <f>IFERROR(__xludf.DUMMYFUNCTION("""COMPUTED_VALUE"""),464.5)</f>
        <v>464.5</v>
      </c>
      <c r="F928" s="9">
        <f>IFERROR(__xludf.DUMMYFUNCTION("""COMPUTED_VALUE"""),467.78)</f>
        <v>467.78</v>
      </c>
      <c r="G928" s="9">
        <f>IFERROR(__xludf.DUMMYFUNCTION("""COMPUTED_VALUE"""),2108350.0)</f>
        <v>2108350</v>
      </c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</row>
    <row r="929">
      <c r="A929" s="1"/>
      <c r="B929" s="22">
        <f>IFERROR(__xludf.DUMMYFUNCTION("""COMPUTED_VALUE"""),42919.64583333333)</f>
        <v>42919.64583</v>
      </c>
      <c r="C929" s="9">
        <f>IFERROR(__xludf.DUMMYFUNCTION("""COMPUTED_VALUE"""),470.55)</f>
        <v>470.55</v>
      </c>
      <c r="D929" s="9">
        <f>IFERROR(__xludf.DUMMYFUNCTION("""COMPUTED_VALUE"""),477.5)</f>
        <v>477.5</v>
      </c>
      <c r="E929" s="9">
        <f>IFERROR(__xludf.DUMMYFUNCTION("""COMPUTED_VALUE"""),467.3)</f>
        <v>467.3</v>
      </c>
      <c r="F929" s="9">
        <f>IFERROR(__xludf.DUMMYFUNCTION("""COMPUTED_VALUE"""),475.95)</f>
        <v>475.95</v>
      </c>
      <c r="G929" s="9">
        <f>IFERROR(__xludf.DUMMYFUNCTION("""COMPUTED_VALUE"""),2544462.0)</f>
        <v>2544462</v>
      </c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</row>
    <row r="930">
      <c r="A930" s="1"/>
      <c r="B930" s="22">
        <f>IFERROR(__xludf.DUMMYFUNCTION("""COMPUTED_VALUE"""),42920.64583333333)</f>
        <v>42920.64583</v>
      </c>
      <c r="C930" s="9">
        <f>IFERROR(__xludf.DUMMYFUNCTION("""COMPUTED_VALUE"""),476.93)</f>
        <v>476.93</v>
      </c>
      <c r="D930" s="9">
        <f>IFERROR(__xludf.DUMMYFUNCTION("""COMPUTED_VALUE"""),485.0)</f>
        <v>485</v>
      </c>
      <c r="E930" s="9">
        <f>IFERROR(__xludf.DUMMYFUNCTION("""COMPUTED_VALUE"""),474.7)</f>
        <v>474.7</v>
      </c>
      <c r="F930" s="9">
        <f>IFERROR(__xludf.DUMMYFUNCTION("""COMPUTED_VALUE"""),481.08)</f>
        <v>481.08</v>
      </c>
      <c r="G930" s="9">
        <f>IFERROR(__xludf.DUMMYFUNCTION("""COMPUTED_VALUE"""),2583863.0)</f>
        <v>2583863</v>
      </c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</row>
    <row r="931">
      <c r="A931" s="1"/>
      <c r="B931" s="22">
        <f>IFERROR(__xludf.DUMMYFUNCTION("""COMPUTED_VALUE"""),42921.64583333333)</f>
        <v>42921.64583</v>
      </c>
      <c r="C931" s="9">
        <f>IFERROR(__xludf.DUMMYFUNCTION("""COMPUTED_VALUE"""),479.5)</f>
        <v>479.5</v>
      </c>
      <c r="D931" s="9">
        <f>IFERROR(__xludf.DUMMYFUNCTION("""COMPUTED_VALUE"""),479.5)</f>
        <v>479.5</v>
      </c>
      <c r="E931" s="9">
        <f>IFERROR(__xludf.DUMMYFUNCTION("""COMPUTED_VALUE"""),472.7)</f>
        <v>472.7</v>
      </c>
      <c r="F931" s="9">
        <f>IFERROR(__xludf.DUMMYFUNCTION("""COMPUTED_VALUE"""),475.45)</f>
        <v>475.45</v>
      </c>
      <c r="G931" s="9">
        <f>IFERROR(__xludf.DUMMYFUNCTION("""COMPUTED_VALUE"""),2113114.0)</f>
        <v>2113114</v>
      </c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</row>
    <row r="932">
      <c r="A932" s="1"/>
      <c r="B932" s="22">
        <f>IFERROR(__xludf.DUMMYFUNCTION("""COMPUTED_VALUE"""),42922.64583333333)</f>
        <v>42922.64583</v>
      </c>
      <c r="C932" s="9">
        <f>IFERROR(__xludf.DUMMYFUNCTION("""COMPUTED_VALUE"""),472.5)</f>
        <v>472.5</v>
      </c>
      <c r="D932" s="9">
        <f>IFERROR(__xludf.DUMMYFUNCTION("""COMPUTED_VALUE"""),478.5)</f>
        <v>478.5</v>
      </c>
      <c r="E932" s="9">
        <f>IFERROR(__xludf.DUMMYFUNCTION("""COMPUTED_VALUE"""),472.1)</f>
        <v>472.1</v>
      </c>
      <c r="F932" s="9">
        <f>IFERROR(__xludf.DUMMYFUNCTION("""COMPUTED_VALUE"""),473.5)</f>
        <v>473.5</v>
      </c>
      <c r="G932" s="9">
        <f>IFERROR(__xludf.DUMMYFUNCTION("""COMPUTED_VALUE"""),1914860.0)</f>
        <v>1914860</v>
      </c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</row>
    <row r="933">
      <c r="A933" s="1"/>
      <c r="B933" s="22">
        <f>IFERROR(__xludf.DUMMYFUNCTION("""COMPUTED_VALUE"""),42923.64583333333)</f>
        <v>42923.64583</v>
      </c>
      <c r="C933" s="9">
        <f>IFERROR(__xludf.DUMMYFUNCTION("""COMPUTED_VALUE"""),471.93)</f>
        <v>471.93</v>
      </c>
      <c r="D933" s="9">
        <f>IFERROR(__xludf.DUMMYFUNCTION("""COMPUTED_VALUE"""),472.73)</f>
        <v>472.73</v>
      </c>
      <c r="E933" s="9">
        <f>IFERROR(__xludf.DUMMYFUNCTION("""COMPUTED_VALUE"""),466.53)</f>
        <v>466.53</v>
      </c>
      <c r="F933" s="9">
        <f>IFERROR(__xludf.DUMMYFUNCTION("""COMPUTED_VALUE"""),467.7)</f>
        <v>467.7</v>
      </c>
      <c r="G933" s="9">
        <f>IFERROR(__xludf.DUMMYFUNCTION("""COMPUTED_VALUE"""),2888443.0)</f>
        <v>2888443</v>
      </c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</row>
    <row r="934">
      <c r="A934" s="1"/>
      <c r="B934" s="22">
        <f>IFERROR(__xludf.DUMMYFUNCTION("""COMPUTED_VALUE"""),42926.64583333333)</f>
        <v>42926.64583</v>
      </c>
      <c r="C934" s="9">
        <f>IFERROR(__xludf.DUMMYFUNCTION("""COMPUTED_VALUE"""),471.6)</f>
        <v>471.6</v>
      </c>
      <c r="D934" s="9">
        <f>IFERROR(__xludf.DUMMYFUNCTION("""COMPUTED_VALUE"""),479.9)</f>
        <v>479.9</v>
      </c>
      <c r="E934" s="9">
        <f>IFERROR(__xludf.DUMMYFUNCTION("""COMPUTED_VALUE"""),470.0)</f>
        <v>470</v>
      </c>
      <c r="F934" s="9">
        <f>IFERROR(__xludf.DUMMYFUNCTION("""COMPUTED_VALUE"""),478.53)</f>
        <v>478.53</v>
      </c>
      <c r="G934" s="9">
        <f>IFERROR(__xludf.DUMMYFUNCTION("""COMPUTED_VALUE"""),732188.0)</f>
        <v>732188</v>
      </c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</row>
    <row r="935">
      <c r="A935" s="1"/>
      <c r="B935" s="22">
        <f>IFERROR(__xludf.DUMMYFUNCTION("""COMPUTED_VALUE"""),42927.64583333333)</f>
        <v>42927.64583</v>
      </c>
      <c r="C935" s="9">
        <f>IFERROR(__xludf.DUMMYFUNCTION("""COMPUTED_VALUE"""),478.33)</f>
        <v>478.33</v>
      </c>
      <c r="D935" s="9">
        <f>IFERROR(__xludf.DUMMYFUNCTION("""COMPUTED_VALUE"""),494.75)</f>
        <v>494.75</v>
      </c>
      <c r="E935" s="9">
        <f>IFERROR(__xludf.DUMMYFUNCTION("""COMPUTED_VALUE"""),478.33)</f>
        <v>478.33</v>
      </c>
      <c r="F935" s="9">
        <f>IFERROR(__xludf.DUMMYFUNCTION("""COMPUTED_VALUE"""),487.68)</f>
        <v>487.68</v>
      </c>
      <c r="G935" s="9">
        <f>IFERROR(__xludf.DUMMYFUNCTION("""COMPUTED_VALUE"""),5769854.0)</f>
        <v>5769854</v>
      </c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</row>
    <row r="936">
      <c r="A936" s="1"/>
      <c r="B936" s="22">
        <f>IFERROR(__xludf.DUMMYFUNCTION("""COMPUTED_VALUE"""),42928.64583333333)</f>
        <v>42928.64583</v>
      </c>
      <c r="C936" s="9">
        <f>IFERROR(__xludf.DUMMYFUNCTION("""COMPUTED_VALUE"""),487.48)</f>
        <v>487.48</v>
      </c>
      <c r="D936" s="9">
        <f>IFERROR(__xludf.DUMMYFUNCTION("""COMPUTED_VALUE"""),490.75)</f>
        <v>490.75</v>
      </c>
      <c r="E936" s="9">
        <f>IFERROR(__xludf.DUMMYFUNCTION("""COMPUTED_VALUE"""),484.38)</f>
        <v>484.38</v>
      </c>
      <c r="F936" s="9">
        <f>IFERROR(__xludf.DUMMYFUNCTION("""COMPUTED_VALUE"""),486.18)</f>
        <v>486.18</v>
      </c>
      <c r="G936" s="9">
        <f>IFERROR(__xludf.DUMMYFUNCTION("""COMPUTED_VALUE"""),3137988.0)</f>
        <v>3137988</v>
      </c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</row>
    <row r="937">
      <c r="A937" s="1"/>
      <c r="B937" s="22">
        <f>IFERROR(__xludf.DUMMYFUNCTION("""COMPUTED_VALUE"""),42929.64583333333)</f>
        <v>42929.64583</v>
      </c>
      <c r="C937" s="9">
        <f>IFERROR(__xludf.DUMMYFUNCTION("""COMPUTED_VALUE"""),488.63)</f>
        <v>488.63</v>
      </c>
      <c r="D937" s="9">
        <f>IFERROR(__xludf.DUMMYFUNCTION("""COMPUTED_VALUE"""),491.73)</f>
        <v>491.73</v>
      </c>
      <c r="E937" s="9">
        <f>IFERROR(__xludf.DUMMYFUNCTION("""COMPUTED_VALUE"""),482.05)</f>
        <v>482.05</v>
      </c>
      <c r="F937" s="9">
        <f>IFERROR(__xludf.DUMMYFUNCTION("""COMPUTED_VALUE"""),488.53)</f>
        <v>488.53</v>
      </c>
      <c r="G937" s="9">
        <f>IFERROR(__xludf.DUMMYFUNCTION("""COMPUTED_VALUE"""),2585196.0)</f>
        <v>2585196</v>
      </c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</row>
    <row r="938">
      <c r="A938" s="1"/>
      <c r="B938" s="22">
        <f>IFERROR(__xludf.DUMMYFUNCTION("""COMPUTED_VALUE"""),42930.64583333333)</f>
        <v>42930.64583</v>
      </c>
      <c r="C938" s="9">
        <f>IFERROR(__xludf.DUMMYFUNCTION("""COMPUTED_VALUE"""),499.73)</f>
        <v>499.73</v>
      </c>
      <c r="D938" s="9">
        <f>IFERROR(__xludf.DUMMYFUNCTION("""COMPUTED_VALUE"""),503.43)</f>
        <v>503.43</v>
      </c>
      <c r="E938" s="9">
        <f>IFERROR(__xludf.DUMMYFUNCTION("""COMPUTED_VALUE"""),483.03)</f>
        <v>483.03</v>
      </c>
      <c r="F938" s="9">
        <f>IFERROR(__xludf.DUMMYFUNCTION("""COMPUTED_VALUE"""),486.03)</f>
        <v>486.03</v>
      </c>
      <c r="G938" s="9">
        <f>IFERROR(__xludf.DUMMYFUNCTION("""COMPUTED_VALUE"""),1.123909E7)</f>
        <v>11239090</v>
      </c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</row>
    <row r="939">
      <c r="A939" s="1"/>
      <c r="B939" s="22">
        <f>IFERROR(__xludf.DUMMYFUNCTION("""COMPUTED_VALUE"""),42933.64583333333)</f>
        <v>42933.64583</v>
      </c>
      <c r="C939" s="9">
        <f>IFERROR(__xludf.DUMMYFUNCTION("""COMPUTED_VALUE"""),487.5)</f>
        <v>487.5</v>
      </c>
      <c r="D939" s="9">
        <f>IFERROR(__xludf.DUMMYFUNCTION("""COMPUTED_VALUE"""),496.0)</f>
        <v>496</v>
      </c>
      <c r="E939" s="9">
        <f>IFERROR(__xludf.DUMMYFUNCTION("""COMPUTED_VALUE"""),487.0)</f>
        <v>487</v>
      </c>
      <c r="F939" s="9">
        <f>IFERROR(__xludf.DUMMYFUNCTION("""COMPUTED_VALUE"""),492.03)</f>
        <v>492.03</v>
      </c>
      <c r="G939" s="9">
        <f>IFERROR(__xludf.DUMMYFUNCTION("""COMPUTED_VALUE"""),3849125.0)</f>
        <v>3849125</v>
      </c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</row>
    <row r="940">
      <c r="A940" s="1"/>
      <c r="B940" s="22">
        <f>IFERROR(__xludf.DUMMYFUNCTION("""COMPUTED_VALUE"""),42934.64583333333)</f>
        <v>42934.64583</v>
      </c>
      <c r="C940" s="9">
        <f>IFERROR(__xludf.DUMMYFUNCTION("""COMPUTED_VALUE"""),493.03)</f>
        <v>493.03</v>
      </c>
      <c r="D940" s="9">
        <f>IFERROR(__xludf.DUMMYFUNCTION("""COMPUTED_VALUE"""),502.4)</f>
        <v>502.4</v>
      </c>
      <c r="E940" s="9">
        <f>IFERROR(__xludf.DUMMYFUNCTION("""COMPUTED_VALUE"""),490.55)</f>
        <v>490.55</v>
      </c>
      <c r="F940" s="9">
        <f>IFERROR(__xludf.DUMMYFUNCTION("""COMPUTED_VALUE"""),492.8)</f>
        <v>492.8</v>
      </c>
      <c r="G940" s="9">
        <f>IFERROR(__xludf.DUMMYFUNCTION("""COMPUTED_VALUE"""),4130090.0)</f>
        <v>4130090</v>
      </c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</row>
    <row r="941">
      <c r="A941" s="1"/>
      <c r="B941" s="22">
        <f>IFERROR(__xludf.DUMMYFUNCTION("""COMPUTED_VALUE"""),42935.64583333333)</f>
        <v>42935.64583</v>
      </c>
      <c r="C941" s="9">
        <f>IFERROR(__xludf.DUMMYFUNCTION("""COMPUTED_VALUE"""),490.73)</f>
        <v>490.73</v>
      </c>
      <c r="D941" s="9">
        <f>IFERROR(__xludf.DUMMYFUNCTION("""COMPUTED_VALUE"""),494.33)</f>
        <v>494.33</v>
      </c>
      <c r="E941" s="9">
        <f>IFERROR(__xludf.DUMMYFUNCTION("""COMPUTED_VALUE"""),484.55)</f>
        <v>484.55</v>
      </c>
      <c r="F941" s="9">
        <f>IFERROR(__xludf.DUMMYFUNCTION("""COMPUTED_VALUE"""),489.93)</f>
        <v>489.93</v>
      </c>
      <c r="G941" s="9">
        <f>IFERROR(__xludf.DUMMYFUNCTION("""COMPUTED_VALUE"""),2945139.0)</f>
        <v>2945139</v>
      </c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</row>
    <row r="942">
      <c r="A942" s="1"/>
      <c r="B942" s="22">
        <f>IFERROR(__xludf.DUMMYFUNCTION("""COMPUTED_VALUE"""),42936.64583333333)</f>
        <v>42936.64583</v>
      </c>
      <c r="C942" s="9">
        <f>IFERROR(__xludf.DUMMYFUNCTION("""COMPUTED_VALUE"""),489.65)</f>
        <v>489.65</v>
      </c>
      <c r="D942" s="9">
        <f>IFERROR(__xludf.DUMMYFUNCTION("""COMPUTED_VALUE"""),489.93)</f>
        <v>489.93</v>
      </c>
      <c r="E942" s="9">
        <f>IFERROR(__xludf.DUMMYFUNCTION("""COMPUTED_VALUE"""),483.48)</f>
        <v>483.48</v>
      </c>
      <c r="F942" s="9">
        <f>IFERROR(__xludf.DUMMYFUNCTION("""COMPUTED_VALUE"""),484.73)</f>
        <v>484.73</v>
      </c>
      <c r="G942" s="9">
        <f>IFERROR(__xludf.DUMMYFUNCTION("""COMPUTED_VALUE"""),3404870.0)</f>
        <v>3404870</v>
      </c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</row>
    <row r="943">
      <c r="A943" s="1"/>
      <c r="B943" s="22">
        <f>IFERROR(__xludf.DUMMYFUNCTION("""COMPUTED_VALUE"""),42937.64583333333)</f>
        <v>42937.64583</v>
      </c>
      <c r="C943" s="9">
        <f>IFERROR(__xludf.DUMMYFUNCTION("""COMPUTED_VALUE"""),486.5)</f>
        <v>486.5</v>
      </c>
      <c r="D943" s="9">
        <f>IFERROR(__xludf.DUMMYFUNCTION("""COMPUTED_VALUE"""),491.28)</f>
        <v>491.28</v>
      </c>
      <c r="E943" s="9">
        <f>IFERROR(__xludf.DUMMYFUNCTION("""COMPUTED_VALUE"""),485.7)</f>
        <v>485.7</v>
      </c>
      <c r="F943" s="9">
        <f>IFERROR(__xludf.DUMMYFUNCTION("""COMPUTED_VALUE"""),490.05)</f>
        <v>490.05</v>
      </c>
      <c r="G943" s="9">
        <f>IFERROR(__xludf.DUMMYFUNCTION("""COMPUTED_VALUE"""),2990377.0)</f>
        <v>2990377</v>
      </c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</row>
    <row r="944">
      <c r="A944" s="1"/>
      <c r="B944" s="22">
        <f>IFERROR(__xludf.DUMMYFUNCTION("""COMPUTED_VALUE"""),42940.64583333333)</f>
        <v>42940.64583</v>
      </c>
      <c r="C944" s="9">
        <f>IFERROR(__xludf.DUMMYFUNCTION("""COMPUTED_VALUE"""),491.75)</f>
        <v>491.75</v>
      </c>
      <c r="D944" s="9">
        <f>IFERROR(__xludf.DUMMYFUNCTION("""COMPUTED_VALUE"""),497.0)</f>
        <v>497</v>
      </c>
      <c r="E944" s="9">
        <f>IFERROR(__xludf.DUMMYFUNCTION("""COMPUTED_VALUE"""),491.3)</f>
        <v>491.3</v>
      </c>
      <c r="F944" s="9">
        <f>IFERROR(__xludf.DUMMYFUNCTION("""COMPUTED_VALUE"""),495.28)</f>
        <v>495.28</v>
      </c>
      <c r="G944" s="9">
        <f>IFERROR(__xludf.DUMMYFUNCTION("""COMPUTED_VALUE"""),3064588.0)</f>
        <v>3064588</v>
      </c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</row>
    <row r="945">
      <c r="A945" s="1"/>
      <c r="B945" s="22">
        <f>IFERROR(__xludf.DUMMYFUNCTION("""COMPUTED_VALUE"""),42941.64583333333)</f>
        <v>42941.64583</v>
      </c>
      <c r="C945" s="9">
        <f>IFERROR(__xludf.DUMMYFUNCTION("""COMPUTED_VALUE"""),495.0)</f>
        <v>495</v>
      </c>
      <c r="D945" s="9">
        <f>IFERROR(__xludf.DUMMYFUNCTION("""COMPUTED_VALUE"""),499.5)</f>
        <v>499.5</v>
      </c>
      <c r="E945" s="9">
        <f>IFERROR(__xludf.DUMMYFUNCTION("""COMPUTED_VALUE"""),493.1)</f>
        <v>493.1</v>
      </c>
      <c r="F945" s="9">
        <f>IFERROR(__xludf.DUMMYFUNCTION("""COMPUTED_VALUE"""),496.93)</f>
        <v>496.93</v>
      </c>
      <c r="G945" s="9">
        <f>IFERROR(__xludf.DUMMYFUNCTION("""COMPUTED_VALUE"""),3572807.0)</f>
        <v>3572807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</row>
    <row r="946">
      <c r="A946" s="1"/>
      <c r="B946" s="22">
        <f>IFERROR(__xludf.DUMMYFUNCTION("""COMPUTED_VALUE"""),42942.64583333333)</f>
        <v>42942.64583</v>
      </c>
      <c r="C946" s="9">
        <f>IFERROR(__xludf.DUMMYFUNCTION("""COMPUTED_VALUE"""),499.05)</f>
        <v>499.05</v>
      </c>
      <c r="D946" s="9">
        <f>IFERROR(__xludf.DUMMYFUNCTION("""COMPUTED_VALUE"""),499.5)</f>
        <v>499.5</v>
      </c>
      <c r="E946" s="9">
        <f>IFERROR(__xludf.DUMMYFUNCTION("""COMPUTED_VALUE"""),495.2)</f>
        <v>495.2</v>
      </c>
      <c r="F946" s="9">
        <f>IFERROR(__xludf.DUMMYFUNCTION("""COMPUTED_VALUE"""),497.03)</f>
        <v>497.03</v>
      </c>
      <c r="G946" s="9">
        <f>IFERROR(__xludf.DUMMYFUNCTION("""COMPUTED_VALUE"""),3435012.0)</f>
        <v>3435012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</row>
    <row r="947">
      <c r="A947" s="1"/>
      <c r="B947" s="22">
        <f>IFERROR(__xludf.DUMMYFUNCTION("""COMPUTED_VALUE"""),42943.64583333333)</f>
        <v>42943.64583</v>
      </c>
      <c r="C947" s="9">
        <f>IFERROR(__xludf.DUMMYFUNCTION("""COMPUTED_VALUE"""),498.0)</f>
        <v>498</v>
      </c>
      <c r="D947" s="9">
        <f>IFERROR(__xludf.DUMMYFUNCTION("""COMPUTED_VALUE"""),502.0)</f>
        <v>502</v>
      </c>
      <c r="E947" s="9">
        <f>IFERROR(__xludf.DUMMYFUNCTION("""COMPUTED_VALUE"""),483.4)</f>
        <v>483.4</v>
      </c>
      <c r="F947" s="9">
        <f>IFERROR(__xludf.DUMMYFUNCTION("""COMPUTED_VALUE"""),485.53)</f>
        <v>485.53</v>
      </c>
      <c r="G947" s="9">
        <f>IFERROR(__xludf.DUMMYFUNCTION("""COMPUTED_VALUE"""),6338426.0)</f>
        <v>6338426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</row>
    <row r="948">
      <c r="A948" s="1"/>
      <c r="B948" s="22">
        <f>IFERROR(__xludf.DUMMYFUNCTION("""COMPUTED_VALUE"""),42944.64583333333)</f>
        <v>42944.64583</v>
      </c>
      <c r="C948" s="9">
        <f>IFERROR(__xludf.DUMMYFUNCTION("""COMPUTED_VALUE"""),488.0)</f>
        <v>488</v>
      </c>
      <c r="D948" s="9">
        <f>IFERROR(__xludf.DUMMYFUNCTION("""COMPUTED_VALUE"""),501.5)</f>
        <v>501.5</v>
      </c>
      <c r="E948" s="9">
        <f>IFERROR(__xludf.DUMMYFUNCTION("""COMPUTED_VALUE"""),481.15)</f>
        <v>481.15</v>
      </c>
      <c r="F948" s="9">
        <f>IFERROR(__xludf.DUMMYFUNCTION("""COMPUTED_VALUE"""),498.68)</f>
        <v>498.68</v>
      </c>
      <c r="G948" s="9">
        <f>IFERROR(__xludf.DUMMYFUNCTION("""COMPUTED_VALUE"""),5549214.0)</f>
        <v>5549214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</row>
    <row r="949">
      <c r="A949" s="1"/>
      <c r="B949" s="22">
        <f>IFERROR(__xludf.DUMMYFUNCTION("""COMPUTED_VALUE"""),42947.64583333333)</f>
        <v>42947.64583</v>
      </c>
      <c r="C949" s="9">
        <f>IFERROR(__xludf.DUMMYFUNCTION("""COMPUTED_VALUE"""),495.95)</f>
        <v>495.95</v>
      </c>
      <c r="D949" s="9">
        <f>IFERROR(__xludf.DUMMYFUNCTION("""COMPUTED_VALUE"""),510.85)</f>
        <v>510.85</v>
      </c>
      <c r="E949" s="9">
        <f>IFERROR(__xludf.DUMMYFUNCTION("""COMPUTED_VALUE"""),493.38)</f>
        <v>493.38</v>
      </c>
      <c r="F949" s="9">
        <f>IFERROR(__xludf.DUMMYFUNCTION("""COMPUTED_VALUE"""),505.6)</f>
        <v>505.6</v>
      </c>
      <c r="G949" s="9">
        <f>IFERROR(__xludf.DUMMYFUNCTION("""COMPUTED_VALUE"""),9579124.0)</f>
        <v>9579124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</row>
    <row r="950">
      <c r="A950" s="1"/>
      <c r="B950" s="22">
        <f>IFERROR(__xludf.DUMMYFUNCTION("""COMPUTED_VALUE"""),42948.64583333333)</f>
        <v>42948.64583</v>
      </c>
      <c r="C950" s="9">
        <f>IFERROR(__xludf.DUMMYFUNCTION("""COMPUTED_VALUE"""),505.5)</f>
        <v>505.5</v>
      </c>
      <c r="D950" s="9">
        <f>IFERROR(__xludf.DUMMYFUNCTION("""COMPUTED_VALUE"""),508.5)</f>
        <v>508.5</v>
      </c>
      <c r="E950" s="9">
        <f>IFERROR(__xludf.DUMMYFUNCTION("""COMPUTED_VALUE"""),499.18)</f>
        <v>499.18</v>
      </c>
      <c r="F950" s="9">
        <f>IFERROR(__xludf.DUMMYFUNCTION("""COMPUTED_VALUE"""),502.78)</f>
        <v>502.78</v>
      </c>
      <c r="G950" s="9">
        <f>IFERROR(__xludf.DUMMYFUNCTION("""COMPUTED_VALUE"""),3844699.0)</f>
        <v>3844699</v>
      </c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</row>
    <row r="951">
      <c r="A951" s="1"/>
      <c r="B951" s="22">
        <f>IFERROR(__xludf.DUMMYFUNCTION("""COMPUTED_VALUE"""),42949.64583333333)</f>
        <v>42949.64583</v>
      </c>
      <c r="C951" s="9">
        <f>IFERROR(__xludf.DUMMYFUNCTION("""COMPUTED_VALUE"""),503.0)</f>
        <v>503</v>
      </c>
      <c r="D951" s="9">
        <f>IFERROR(__xludf.DUMMYFUNCTION("""COMPUTED_VALUE"""),506.38)</f>
        <v>506.38</v>
      </c>
      <c r="E951" s="9">
        <f>IFERROR(__xludf.DUMMYFUNCTION("""COMPUTED_VALUE"""),493.6)</f>
        <v>493.6</v>
      </c>
      <c r="F951" s="9">
        <f>IFERROR(__xludf.DUMMYFUNCTION("""COMPUTED_VALUE"""),496.68)</f>
        <v>496.68</v>
      </c>
      <c r="G951" s="9">
        <f>IFERROR(__xludf.DUMMYFUNCTION("""COMPUTED_VALUE"""),2128792.0)</f>
        <v>2128792</v>
      </c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</row>
    <row r="952">
      <c r="A952" s="1"/>
      <c r="B952" s="22">
        <f>IFERROR(__xludf.DUMMYFUNCTION("""COMPUTED_VALUE"""),42950.64583333333)</f>
        <v>42950.64583</v>
      </c>
      <c r="C952" s="9">
        <f>IFERROR(__xludf.DUMMYFUNCTION("""COMPUTED_VALUE"""),495.5)</f>
        <v>495.5</v>
      </c>
      <c r="D952" s="9">
        <f>IFERROR(__xludf.DUMMYFUNCTION("""COMPUTED_VALUE"""),499.38)</f>
        <v>499.38</v>
      </c>
      <c r="E952" s="9">
        <f>IFERROR(__xludf.DUMMYFUNCTION("""COMPUTED_VALUE"""),490.13)</f>
        <v>490.13</v>
      </c>
      <c r="F952" s="9">
        <f>IFERROR(__xludf.DUMMYFUNCTION("""COMPUTED_VALUE"""),492.0)</f>
        <v>492</v>
      </c>
      <c r="G952" s="9">
        <f>IFERROR(__xludf.DUMMYFUNCTION("""COMPUTED_VALUE"""),2320174.0)</f>
        <v>2320174</v>
      </c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</row>
    <row r="953">
      <c r="A953" s="1"/>
      <c r="B953" s="22">
        <f>IFERROR(__xludf.DUMMYFUNCTION("""COMPUTED_VALUE"""),42951.64583333333)</f>
        <v>42951.64583</v>
      </c>
      <c r="C953" s="9">
        <f>IFERROR(__xludf.DUMMYFUNCTION("""COMPUTED_VALUE"""),494.0)</f>
        <v>494</v>
      </c>
      <c r="D953" s="9">
        <f>IFERROR(__xludf.DUMMYFUNCTION("""COMPUTED_VALUE"""),494.5)</f>
        <v>494.5</v>
      </c>
      <c r="E953" s="9">
        <f>IFERROR(__xludf.DUMMYFUNCTION("""COMPUTED_VALUE"""),488.03)</f>
        <v>488.03</v>
      </c>
      <c r="F953" s="9">
        <f>IFERROR(__xludf.DUMMYFUNCTION("""COMPUTED_VALUE"""),491.88)</f>
        <v>491.88</v>
      </c>
      <c r="G953" s="9">
        <f>IFERROR(__xludf.DUMMYFUNCTION("""COMPUTED_VALUE"""),2674509.0)</f>
        <v>2674509</v>
      </c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</row>
    <row r="954">
      <c r="A954" s="1"/>
      <c r="B954" s="22">
        <f>IFERROR(__xludf.DUMMYFUNCTION("""COMPUTED_VALUE"""),42954.64583333333)</f>
        <v>42954.64583</v>
      </c>
      <c r="C954" s="9">
        <f>IFERROR(__xludf.DUMMYFUNCTION("""COMPUTED_VALUE"""),491.75)</f>
        <v>491.75</v>
      </c>
      <c r="D954" s="9">
        <f>IFERROR(__xludf.DUMMYFUNCTION("""COMPUTED_VALUE"""),491.88)</f>
        <v>491.88</v>
      </c>
      <c r="E954" s="9">
        <f>IFERROR(__xludf.DUMMYFUNCTION("""COMPUTED_VALUE"""),482.85)</f>
        <v>482.85</v>
      </c>
      <c r="F954" s="9">
        <f>IFERROR(__xludf.DUMMYFUNCTION("""COMPUTED_VALUE"""),484.13)</f>
        <v>484.13</v>
      </c>
      <c r="G954" s="9">
        <f>IFERROR(__xludf.DUMMYFUNCTION("""COMPUTED_VALUE"""),3036872.0)</f>
        <v>3036872</v>
      </c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</row>
    <row r="955">
      <c r="A955" s="1"/>
      <c r="B955" s="22">
        <f>IFERROR(__xludf.DUMMYFUNCTION("""COMPUTED_VALUE"""),42955.64583333333)</f>
        <v>42955.64583</v>
      </c>
      <c r="C955" s="9">
        <f>IFERROR(__xludf.DUMMYFUNCTION("""COMPUTED_VALUE"""),484.25)</f>
        <v>484.25</v>
      </c>
      <c r="D955" s="9">
        <f>IFERROR(__xludf.DUMMYFUNCTION("""COMPUTED_VALUE"""),485.13)</f>
        <v>485.13</v>
      </c>
      <c r="E955" s="9">
        <f>IFERROR(__xludf.DUMMYFUNCTION("""COMPUTED_VALUE"""),477.53)</f>
        <v>477.53</v>
      </c>
      <c r="F955" s="9">
        <f>IFERROR(__xludf.DUMMYFUNCTION("""COMPUTED_VALUE"""),481.93)</f>
        <v>481.93</v>
      </c>
      <c r="G955" s="9">
        <f>IFERROR(__xludf.DUMMYFUNCTION("""COMPUTED_VALUE"""),3002324.0)</f>
        <v>3002324</v>
      </c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</row>
    <row r="956">
      <c r="A956" s="1"/>
      <c r="B956" s="22">
        <f>IFERROR(__xludf.DUMMYFUNCTION("""COMPUTED_VALUE"""),42956.64583333333)</f>
        <v>42956.64583</v>
      </c>
      <c r="C956" s="9">
        <f>IFERROR(__xludf.DUMMYFUNCTION("""COMPUTED_VALUE"""),483.83)</f>
        <v>483.83</v>
      </c>
      <c r="D956" s="9">
        <f>IFERROR(__xludf.DUMMYFUNCTION("""COMPUTED_VALUE"""),486.95)</f>
        <v>486.95</v>
      </c>
      <c r="E956" s="9">
        <f>IFERROR(__xludf.DUMMYFUNCTION("""COMPUTED_VALUE"""),482.28)</f>
        <v>482.28</v>
      </c>
      <c r="F956" s="9">
        <f>IFERROR(__xludf.DUMMYFUNCTION("""COMPUTED_VALUE"""),484.68)</f>
        <v>484.68</v>
      </c>
      <c r="G956" s="9">
        <f>IFERROR(__xludf.DUMMYFUNCTION("""COMPUTED_VALUE"""),1961205.0)</f>
        <v>1961205</v>
      </c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</row>
    <row r="957">
      <c r="A957" s="1"/>
      <c r="B957" s="22">
        <f>IFERROR(__xludf.DUMMYFUNCTION("""COMPUTED_VALUE"""),42957.64583333333)</f>
        <v>42957.64583</v>
      </c>
      <c r="C957" s="9">
        <f>IFERROR(__xludf.DUMMYFUNCTION("""COMPUTED_VALUE"""),484.95)</f>
        <v>484.95</v>
      </c>
      <c r="D957" s="9">
        <f>IFERROR(__xludf.DUMMYFUNCTION("""COMPUTED_VALUE"""),493.75)</f>
        <v>493.75</v>
      </c>
      <c r="E957" s="9">
        <f>IFERROR(__xludf.DUMMYFUNCTION("""COMPUTED_VALUE"""),484.68)</f>
        <v>484.68</v>
      </c>
      <c r="F957" s="9">
        <f>IFERROR(__xludf.DUMMYFUNCTION("""COMPUTED_VALUE"""),490.63)</f>
        <v>490.63</v>
      </c>
      <c r="G957" s="9">
        <f>IFERROR(__xludf.DUMMYFUNCTION("""COMPUTED_VALUE"""),4570342.0)</f>
        <v>4570342</v>
      </c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</row>
    <row r="958">
      <c r="A958" s="1"/>
      <c r="B958" s="22">
        <f>IFERROR(__xludf.DUMMYFUNCTION("""COMPUTED_VALUE"""),42958.64583333333)</f>
        <v>42958.64583</v>
      </c>
      <c r="C958" s="9">
        <f>IFERROR(__xludf.DUMMYFUNCTION("""COMPUTED_VALUE"""),488.0)</f>
        <v>488</v>
      </c>
      <c r="D958" s="9">
        <f>IFERROR(__xludf.DUMMYFUNCTION("""COMPUTED_VALUE"""),498.5)</f>
        <v>498.5</v>
      </c>
      <c r="E958" s="9">
        <f>IFERROR(__xludf.DUMMYFUNCTION("""COMPUTED_VALUE"""),484.8)</f>
        <v>484.8</v>
      </c>
      <c r="F958" s="9">
        <f>IFERROR(__xludf.DUMMYFUNCTION("""COMPUTED_VALUE"""),493.85)</f>
        <v>493.85</v>
      </c>
      <c r="G958" s="9">
        <f>IFERROR(__xludf.DUMMYFUNCTION("""COMPUTED_VALUE"""),3272078.0)</f>
        <v>3272078</v>
      </c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</row>
    <row r="959">
      <c r="A959" s="1"/>
      <c r="B959" s="22">
        <f>IFERROR(__xludf.DUMMYFUNCTION("""COMPUTED_VALUE"""),42961.64583333333)</f>
        <v>42961.64583</v>
      </c>
      <c r="C959" s="9">
        <f>IFERROR(__xludf.DUMMYFUNCTION("""COMPUTED_VALUE"""),494.0)</f>
        <v>494</v>
      </c>
      <c r="D959" s="9">
        <f>IFERROR(__xludf.DUMMYFUNCTION("""COMPUTED_VALUE"""),494.6)</f>
        <v>494.6</v>
      </c>
      <c r="E959" s="9">
        <f>IFERROR(__xludf.DUMMYFUNCTION("""COMPUTED_VALUE"""),488.58)</f>
        <v>488.58</v>
      </c>
      <c r="F959" s="9">
        <f>IFERROR(__xludf.DUMMYFUNCTION("""COMPUTED_VALUE"""),490.73)</f>
        <v>490.73</v>
      </c>
      <c r="G959" s="9">
        <f>IFERROR(__xludf.DUMMYFUNCTION("""COMPUTED_VALUE"""),1908235.0)</f>
        <v>1908235</v>
      </c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</row>
    <row r="960">
      <c r="A960" s="1"/>
      <c r="B960" s="22">
        <f>IFERROR(__xludf.DUMMYFUNCTION("""COMPUTED_VALUE"""),42963.64583333333)</f>
        <v>42963.64583</v>
      </c>
      <c r="C960" s="9">
        <f>IFERROR(__xludf.DUMMYFUNCTION("""COMPUTED_VALUE"""),491.0)</f>
        <v>491</v>
      </c>
      <c r="D960" s="9">
        <f>IFERROR(__xludf.DUMMYFUNCTION("""COMPUTED_VALUE"""),493.05)</f>
        <v>493.05</v>
      </c>
      <c r="E960" s="9">
        <f>IFERROR(__xludf.DUMMYFUNCTION("""COMPUTED_VALUE"""),484.5)</f>
        <v>484.5</v>
      </c>
      <c r="F960" s="9">
        <f>IFERROR(__xludf.DUMMYFUNCTION("""COMPUTED_VALUE"""),487.6)</f>
        <v>487.6</v>
      </c>
      <c r="G960" s="9">
        <f>IFERROR(__xludf.DUMMYFUNCTION("""COMPUTED_VALUE"""),3089040.0)</f>
        <v>3089040</v>
      </c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</row>
    <row r="961">
      <c r="A961" s="1"/>
      <c r="B961" s="22">
        <f>IFERROR(__xludf.DUMMYFUNCTION("""COMPUTED_VALUE"""),42964.64583333333)</f>
        <v>42964.64583</v>
      </c>
      <c r="C961" s="9">
        <f>IFERROR(__xludf.DUMMYFUNCTION("""COMPUTED_VALUE"""),502.5)</f>
        <v>502.5</v>
      </c>
      <c r="D961" s="9">
        <f>IFERROR(__xludf.DUMMYFUNCTION("""COMPUTED_VALUE"""),514.63)</f>
        <v>514.63</v>
      </c>
      <c r="E961" s="9">
        <f>IFERROR(__xludf.DUMMYFUNCTION("""COMPUTED_VALUE"""),499.03)</f>
        <v>499.03</v>
      </c>
      <c r="F961" s="9">
        <f>IFERROR(__xludf.DUMMYFUNCTION("""COMPUTED_VALUE"""),510.43)</f>
        <v>510.43</v>
      </c>
      <c r="G961" s="9">
        <f>IFERROR(__xludf.DUMMYFUNCTION("""COMPUTED_VALUE"""),1.289213E7)</f>
        <v>12892130</v>
      </c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</row>
    <row r="962">
      <c r="A962" s="1"/>
      <c r="B962" s="22">
        <f>IFERROR(__xludf.DUMMYFUNCTION("""COMPUTED_VALUE"""),42965.64583333333)</f>
        <v>42965.64583</v>
      </c>
      <c r="C962" s="9">
        <f>IFERROR(__xludf.DUMMYFUNCTION("""COMPUTED_VALUE"""),508.95)</f>
        <v>508.95</v>
      </c>
      <c r="D962" s="9">
        <f>IFERROR(__xludf.DUMMYFUNCTION("""COMPUTED_VALUE"""),508.95)</f>
        <v>508.95</v>
      </c>
      <c r="E962" s="9">
        <f>IFERROR(__xludf.DUMMYFUNCTION("""COMPUTED_VALUE"""),442.1)</f>
        <v>442.1</v>
      </c>
      <c r="F962" s="9">
        <f>IFERROR(__xludf.DUMMYFUNCTION("""COMPUTED_VALUE"""),461.63)</f>
        <v>461.63</v>
      </c>
      <c r="G962" s="9">
        <f>IFERROR(__xludf.DUMMYFUNCTION("""COMPUTED_VALUE"""),8.220248E7)</f>
        <v>82202480</v>
      </c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</row>
    <row r="963">
      <c r="A963" s="1"/>
      <c r="B963" s="22">
        <f>IFERROR(__xludf.DUMMYFUNCTION("""COMPUTED_VALUE"""),42968.64583333333)</f>
        <v>42968.64583</v>
      </c>
      <c r="C963" s="9">
        <f>IFERROR(__xludf.DUMMYFUNCTION("""COMPUTED_VALUE"""),462.0)</f>
        <v>462</v>
      </c>
      <c r="D963" s="9">
        <f>IFERROR(__xludf.DUMMYFUNCTION("""COMPUTED_VALUE"""),462.0)</f>
        <v>462</v>
      </c>
      <c r="E963" s="9">
        <f>IFERROR(__xludf.DUMMYFUNCTION("""COMPUTED_VALUE"""),435.0)</f>
        <v>435</v>
      </c>
      <c r="F963" s="9">
        <f>IFERROR(__xludf.DUMMYFUNCTION("""COMPUTED_VALUE"""),436.7)</f>
        <v>436.7</v>
      </c>
      <c r="G963" s="9">
        <f>IFERROR(__xludf.DUMMYFUNCTION("""COMPUTED_VALUE"""),4.5203588E7)</f>
        <v>45203588</v>
      </c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</row>
    <row r="964">
      <c r="A964" s="1"/>
      <c r="B964" s="22">
        <f>IFERROR(__xludf.DUMMYFUNCTION("""COMPUTED_VALUE"""),42969.64583333333)</f>
        <v>42969.64583</v>
      </c>
      <c r="C964" s="9">
        <f>IFERROR(__xludf.DUMMYFUNCTION("""COMPUTED_VALUE"""),447.6)</f>
        <v>447.6</v>
      </c>
      <c r="D964" s="9">
        <f>IFERROR(__xludf.DUMMYFUNCTION("""COMPUTED_VALUE"""),448.53)</f>
        <v>448.53</v>
      </c>
      <c r="E964" s="9">
        <f>IFERROR(__xludf.DUMMYFUNCTION("""COMPUTED_VALUE"""),430.0)</f>
        <v>430</v>
      </c>
      <c r="F964" s="9">
        <f>IFERROR(__xludf.DUMMYFUNCTION("""COMPUTED_VALUE"""),437.7)</f>
        <v>437.7</v>
      </c>
      <c r="G964" s="9">
        <f>IFERROR(__xludf.DUMMYFUNCTION("""COMPUTED_VALUE"""),2.4621299E7)</f>
        <v>24621299</v>
      </c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</row>
    <row r="965">
      <c r="A965" s="1"/>
      <c r="B965" s="22">
        <f>IFERROR(__xludf.DUMMYFUNCTION("""COMPUTED_VALUE"""),42970.64583333333)</f>
        <v>42970.64583</v>
      </c>
      <c r="C965" s="9">
        <f>IFERROR(__xludf.DUMMYFUNCTION("""COMPUTED_VALUE"""),440.0)</f>
        <v>440</v>
      </c>
      <c r="D965" s="9">
        <f>IFERROR(__xludf.DUMMYFUNCTION("""COMPUTED_VALUE"""),451.85)</f>
        <v>451.85</v>
      </c>
      <c r="E965" s="9">
        <f>IFERROR(__xludf.DUMMYFUNCTION("""COMPUTED_VALUE"""),436.95)</f>
        <v>436.95</v>
      </c>
      <c r="F965" s="9">
        <f>IFERROR(__xludf.DUMMYFUNCTION("""COMPUTED_VALUE"""),446.4)</f>
        <v>446.4</v>
      </c>
      <c r="G965" s="9">
        <f>IFERROR(__xludf.DUMMYFUNCTION("""COMPUTED_VALUE"""),3.0642095E7)</f>
        <v>30642095</v>
      </c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</row>
    <row r="966">
      <c r="A966" s="1"/>
      <c r="B966" s="22">
        <f>IFERROR(__xludf.DUMMYFUNCTION("""COMPUTED_VALUE"""),42971.64583333333)</f>
        <v>42971.64583</v>
      </c>
      <c r="C966" s="9">
        <f>IFERROR(__xludf.DUMMYFUNCTION("""COMPUTED_VALUE"""),455.0)</f>
        <v>455</v>
      </c>
      <c r="D966" s="9">
        <f>IFERROR(__xludf.DUMMYFUNCTION("""COMPUTED_VALUE"""),459.13)</f>
        <v>459.13</v>
      </c>
      <c r="E966" s="9">
        <f>IFERROR(__xludf.DUMMYFUNCTION("""COMPUTED_VALUE"""),451.18)</f>
        <v>451.18</v>
      </c>
      <c r="F966" s="9">
        <f>IFERROR(__xludf.DUMMYFUNCTION("""COMPUTED_VALUE"""),456.08)</f>
        <v>456.08</v>
      </c>
      <c r="G966" s="9">
        <f>IFERROR(__xludf.DUMMYFUNCTION("""COMPUTED_VALUE"""),2.1190262E7)</f>
        <v>21190262</v>
      </c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</row>
    <row r="967">
      <c r="A967" s="1"/>
      <c r="B967" s="22">
        <f>IFERROR(__xludf.DUMMYFUNCTION("""COMPUTED_VALUE"""),42975.64583333333)</f>
        <v>42975.64583</v>
      </c>
      <c r="C967" s="9">
        <f>IFERROR(__xludf.DUMMYFUNCTION("""COMPUTED_VALUE"""),471.98)</f>
        <v>471.98</v>
      </c>
      <c r="D967" s="9">
        <f>IFERROR(__xludf.DUMMYFUNCTION("""COMPUTED_VALUE"""),476.98)</f>
        <v>476.98</v>
      </c>
      <c r="E967" s="9">
        <f>IFERROR(__xludf.DUMMYFUNCTION("""COMPUTED_VALUE"""),469.0)</f>
        <v>469</v>
      </c>
      <c r="F967" s="9">
        <f>IFERROR(__xludf.DUMMYFUNCTION("""COMPUTED_VALUE"""),470.5)</f>
        <v>470.5</v>
      </c>
      <c r="G967" s="9">
        <f>IFERROR(__xludf.DUMMYFUNCTION("""COMPUTED_VALUE"""),2.0356054E7)</f>
        <v>20356054</v>
      </c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</row>
    <row r="968">
      <c r="A968" s="1"/>
      <c r="B968" s="22">
        <f>IFERROR(__xludf.DUMMYFUNCTION("""COMPUTED_VALUE"""),42976.64583333333)</f>
        <v>42976.64583</v>
      </c>
      <c r="C968" s="9">
        <f>IFERROR(__xludf.DUMMYFUNCTION("""COMPUTED_VALUE"""),470.73)</f>
        <v>470.73</v>
      </c>
      <c r="D968" s="9">
        <f>IFERROR(__xludf.DUMMYFUNCTION("""COMPUTED_VALUE"""),471.0)</f>
        <v>471</v>
      </c>
      <c r="E968" s="9">
        <f>IFERROR(__xludf.DUMMYFUNCTION("""COMPUTED_VALUE"""),462.78)</f>
        <v>462.78</v>
      </c>
      <c r="F968" s="9">
        <f>IFERROR(__xludf.DUMMYFUNCTION("""COMPUTED_VALUE"""),463.73)</f>
        <v>463.73</v>
      </c>
      <c r="G968" s="9">
        <f>IFERROR(__xludf.DUMMYFUNCTION("""COMPUTED_VALUE"""),6684696.0)</f>
        <v>6684696</v>
      </c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</row>
    <row r="969">
      <c r="A969" s="1"/>
      <c r="B969" s="22">
        <f>IFERROR(__xludf.DUMMYFUNCTION("""COMPUTED_VALUE"""),42977.64583333333)</f>
        <v>42977.64583</v>
      </c>
      <c r="C969" s="9">
        <f>IFERROR(__xludf.DUMMYFUNCTION("""COMPUTED_VALUE"""),468.6)</f>
        <v>468.6</v>
      </c>
      <c r="D969" s="9">
        <f>IFERROR(__xludf.DUMMYFUNCTION("""COMPUTED_VALUE"""),469.5)</f>
        <v>469.5</v>
      </c>
      <c r="E969" s="9">
        <f>IFERROR(__xludf.DUMMYFUNCTION("""COMPUTED_VALUE"""),462.05)</f>
        <v>462.05</v>
      </c>
      <c r="F969" s="9">
        <f>IFERROR(__xludf.DUMMYFUNCTION("""COMPUTED_VALUE"""),463.33)</f>
        <v>463.33</v>
      </c>
      <c r="G969" s="9">
        <f>IFERROR(__xludf.DUMMYFUNCTION("""COMPUTED_VALUE"""),8074832.0)</f>
        <v>8074832</v>
      </c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</row>
    <row r="970">
      <c r="A970" s="1"/>
      <c r="B970" s="22">
        <f>IFERROR(__xludf.DUMMYFUNCTION("""COMPUTED_VALUE"""),42978.64583333333)</f>
        <v>42978.64583</v>
      </c>
      <c r="C970" s="9">
        <f>IFERROR(__xludf.DUMMYFUNCTION("""COMPUTED_VALUE"""),464.4)</f>
        <v>464.4</v>
      </c>
      <c r="D970" s="9">
        <f>IFERROR(__xludf.DUMMYFUNCTION("""COMPUTED_VALUE"""),464.48)</f>
        <v>464.48</v>
      </c>
      <c r="E970" s="9">
        <f>IFERROR(__xludf.DUMMYFUNCTION("""COMPUTED_VALUE"""),456.45)</f>
        <v>456.45</v>
      </c>
      <c r="F970" s="9">
        <f>IFERROR(__xludf.DUMMYFUNCTION("""COMPUTED_VALUE"""),457.48)</f>
        <v>457.48</v>
      </c>
      <c r="G970" s="9">
        <f>IFERROR(__xludf.DUMMYFUNCTION("""COMPUTED_VALUE"""),7511226.0)</f>
        <v>7511226</v>
      </c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</row>
    <row r="971">
      <c r="A971" s="1"/>
      <c r="B971" s="22">
        <f>IFERROR(__xludf.DUMMYFUNCTION("""COMPUTED_VALUE"""),42979.64583333333)</f>
        <v>42979.64583</v>
      </c>
      <c r="C971" s="9">
        <f>IFERROR(__xludf.DUMMYFUNCTION("""COMPUTED_VALUE"""),457.98)</f>
        <v>457.98</v>
      </c>
      <c r="D971" s="9">
        <f>IFERROR(__xludf.DUMMYFUNCTION("""COMPUTED_VALUE"""),462.95)</f>
        <v>462.95</v>
      </c>
      <c r="E971" s="9">
        <f>IFERROR(__xludf.DUMMYFUNCTION("""COMPUTED_VALUE"""),455.0)</f>
        <v>455</v>
      </c>
      <c r="F971" s="9">
        <f>IFERROR(__xludf.DUMMYFUNCTION("""COMPUTED_VALUE"""),459.98)</f>
        <v>459.98</v>
      </c>
      <c r="G971" s="9">
        <f>IFERROR(__xludf.DUMMYFUNCTION("""COMPUTED_VALUE"""),4216961.0)</f>
        <v>4216961</v>
      </c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</row>
    <row r="972">
      <c r="A972" s="1"/>
      <c r="B972" s="22">
        <f>IFERROR(__xludf.DUMMYFUNCTION("""COMPUTED_VALUE"""),42982.64583333333)</f>
        <v>42982.64583</v>
      </c>
      <c r="C972" s="9">
        <f>IFERROR(__xludf.DUMMYFUNCTION("""COMPUTED_VALUE"""),460.5)</f>
        <v>460.5</v>
      </c>
      <c r="D972" s="9">
        <f>IFERROR(__xludf.DUMMYFUNCTION("""COMPUTED_VALUE"""),460.55)</f>
        <v>460.55</v>
      </c>
      <c r="E972" s="9">
        <f>IFERROR(__xludf.DUMMYFUNCTION("""COMPUTED_VALUE"""),446.75)</f>
        <v>446.75</v>
      </c>
      <c r="F972" s="9">
        <f>IFERROR(__xludf.DUMMYFUNCTION("""COMPUTED_VALUE"""),450.1)</f>
        <v>450.1</v>
      </c>
      <c r="G972" s="9">
        <f>IFERROR(__xludf.DUMMYFUNCTION("""COMPUTED_VALUE"""),5088554.0)</f>
        <v>5088554</v>
      </c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</row>
    <row r="973">
      <c r="A973" s="1"/>
      <c r="B973" s="22">
        <f>IFERROR(__xludf.DUMMYFUNCTION("""COMPUTED_VALUE"""),42983.64583333333)</f>
        <v>42983.64583</v>
      </c>
      <c r="C973" s="9">
        <f>IFERROR(__xludf.DUMMYFUNCTION("""COMPUTED_VALUE"""),451.0)</f>
        <v>451</v>
      </c>
      <c r="D973" s="9">
        <f>IFERROR(__xludf.DUMMYFUNCTION("""COMPUTED_VALUE"""),452.5)</f>
        <v>452.5</v>
      </c>
      <c r="E973" s="9">
        <f>IFERROR(__xludf.DUMMYFUNCTION("""COMPUTED_VALUE"""),448.63)</f>
        <v>448.63</v>
      </c>
      <c r="F973" s="9">
        <f>IFERROR(__xludf.DUMMYFUNCTION("""COMPUTED_VALUE"""),450.95)</f>
        <v>450.95</v>
      </c>
      <c r="G973" s="9">
        <f>IFERROR(__xludf.DUMMYFUNCTION("""COMPUTED_VALUE"""),4891696.0)</f>
        <v>4891696</v>
      </c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</row>
    <row r="974">
      <c r="A974" s="1"/>
      <c r="B974" s="22">
        <f>IFERROR(__xludf.DUMMYFUNCTION("""COMPUTED_VALUE"""),42984.64583333333)</f>
        <v>42984.64583</v>
      </c>
      <c r="C974" s="9">
        <f>IFERROR(__xludf.DUMMYFUNCTION("""COMPUTED_VALUE"""),450.0)</f>
        <v>450</v>
      </c>
      <c r="D974" s="9">
        <f>IFERROR(__xludf.DUMMYFUNCTION("""COMPUTED_VALUE"""),450.15)</f>
        <v>450.15</v>
      </c>
      <c r="E974" s="9">
        <f>IFERROR(__xludf.DUMMYFUNCTION("""COMPUTED_VALUE"""),445.0)</f>
        <v>445</v>
      </c>
      <c r="F974" s="9">
        <f>IFERROR(__xludf.DUMMYFUNCTION("""COMPUTED_VALUE"""),447.8)</f>
        <v>447.8</v>
      </c>
      <c r="G974" s="9">
        <f>IFERROR(__xludf.DUMMYFUNCTION("""COMPUTED_VALUE"""),3867955.0)</f>
        <v>3867955</v>
      </c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</row>
    <row r="975">
      <c r="A975" s="1"/>
      <c r="B975" s="22">
        <f>IFERROR(__xludf.DUMMYFUNCTION("""COMPUTED_VALUE"""),42985.64583333333)</f>
        <v>42985.64583</v>
      </c>
      <c r="C975" s="9">
        <f>IFERROR(__xludf.DUMMYFUNCTION("""COMPUTED_VALUE"""),450.0)</f>
        <v>450</v>
      </c>
      <c r="D975" s="9">
        <f>IFERROR(__xludf.DUMMYFUNCTION("""COMPUTED_VALUE"""),450.25)</f>
        <v>450.25</v>
      </c>
      <c r="E975" s="9">
        <f>IFERROR(__xludf.DUMMYFUNCTION("""COMPUTED_VALUE"""),446.18)</f>
        <v>446.18</v>
      </c>
      <c r="F975" s="9">
        <f>IFERROR(__xludf.DUMMYFUNCTION("""COMPUTED_VALUE"""),447.88)</f>
        <v>447.88</v>
      </c>
      <c r="G975" s="9">
        <f>IFERROR(__xludf.DUMMYFUNCTION("""COMPUTED_VALUE"""),3120596.0)</f>
        <v>3120596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</row>
    <row r="976">
      <c r="A976" s="1"/>
      <c r="B976" s="22">
        <f>IFERROR(__xludf.DUMMYFUNCTION("""COMPUTED_VALUE"""),42986.64583333333)</f>
        <v>42986.64583</v>
      </c>
      <c r="C976" s="9">
        <f>IFERROR(__xludf.DUMMYFUNCTION("""COMPUTED_VALUE"""),449.5)</f>
        <v>449.5</v>
      </c>
      <c r="D976" s="9">
        <f>IFERROR(__xludf.DUMMYFUNCTION("""COMPUTED_VALUE"""),449.5)</f>
        <v>449.5</v>
      </c>
      <c r="E976" s="9">
        <f>IFERROR(__xludf.DUMMYFUNCTION("""COMPUTED_VALUE"""),441.05)</f>
        <v>441.05</v>
      </c>
      <c r="F976" s="9">
        <f>IFERROR(__xludf.DUMMYFUNCTION("""COMPUTED_VALUE"""),442.15)</f>
        <v>442.15</v>
      </c>
      <c r="G976" s="9">
        <f>IFERROR(__xludf.DUMMYFUNCTION("""COMPUTED_VALUE"""),4302271.0)</f>
        <v>4302271</v>
      </c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</row>
    <row r="977">
      <c r="A977" s="1"/>
      <c r="B977" s="22">
        <f>IFERROR(__xludf.DUMMYFUNCTION("""COMPUTED_VALUE"""),42989.64583333333)</f>
        <v>42989.64583</v>
      </c>
      <c r="C977" s="9">
        <f>IFERROR(__xludf.DUMMYFUNCTION("""COMPUTED_VALUE"""),445.2)</f>
        <v>445.2</v>
      </c>
      <c r="D977" s="9">
        <f>IFERROR(__xludf.DUMMYFUNCTION("""COMPUTED_VALUE"""),445.9)</f>
        <v>445.9</v>
      </c>
      <c r="E977" s="9">
        <f>IFERROR(__xludf.DUMMYFUNCTION("""COMPUTED_VALUE"""),436.83)</f>
        <v>436.83</v>
      </c>
      <c r="F977" s="9">
        <f>IFERROR(__xludf.DUMMYFUNCTION("""COMPUTED_VALUE"""),439.35)</f>
        <v>439.35</v>
      </c>
      <c r="G977" s="9">
        <f>IFERROR(__xludf.DUMMYFUNCTION("""COMPUTED_VALUE"""),6893821.0)</f>
        <v>6893821</v>
      </c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</row>
    <row r="978">
      <c r="A978" s="1"/>
      <c r="B978" s="22">
        <f>IFERROR(__xludf.DUMMYFUNCTION("""COMPUTED_VALUE"""),42990.64583333333)</f>
        <v>42990.64583</v>
      </c>
      <c r="C978" s="9">
        <f>IFERROR(__xludf.DUMMYFUNCTION("""COMPUTED_VALUE"""),441.28)</f>
        <v>441.28</v>
      </c>
      <c r="D978" s="9">
        <f>IFERROR(__xludf.DUMMYFUNCTION("""COMPUTED_VALUE"""),443.88)</f>
        <v>443.88</v>
      </c>
      <c r="E978" s="9">
        <f>IFERROR(__xludf.DUMMYFUNCTION("""COMPUTED_VALUE"""),439.4)</f>
        <v>439.4</v>
      </c>
      <c r="F978" s="9">
        <f>IFERROR(__xludf.DUMMYFUNCTION("""COMPUTED_VALUE"""),442.03)</f>
        <v>442.03</v>
      </c>
      <c r="G978" s="9">
        <f>IFERROR(__xludf.DUMMYFUNCTION("""COMPUTED_VALUE"""),8620677.0)</f>
        <v>8620677</v>
      </c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</row>
    <row r="979">
      <c r="A979" s="1"/>
      <c r="B979" s="22">
        <f>IFERROR(__xludf.DUMMYFUNCTION("""COMPUTED_VALUE"""),42991.64583333333)</f>
        <v>42991.64583</v>
      </c>
      <c r="C979" s="9">
        <f>IFERROR(__xludf.DUMMYFUNCTION("""COMPUTED_VALUE"""),442.75)</f>
        <v>442.75</v>
      </c>
      <c r="D979" s="9">
        <f>IFERROR(__xludf.DUMMYFUNCTION("""COMPUTED_VALUE"""),443.8)</f>
        <v>443.8</v>
      </c>
      <c r="E979" s="9">
        <f>IFERROR(__xludf.DUMMYFUNCTION("""COMPUTED_VALUE"""),440.5)</f>
        <v>440.5</v>
      </c>
      <c r="F979" s="9">
        <f>IFERROR(__xludf.DUMMYFUNCTION("""COMPUTED_VALUE"""),441.88)</f>
        <v>441.88</v>
      </c>
      <c r="G979" s="9">
        <f>IFERROR(__xludf.DUMMYFUNCTION("""COMPUTED_VALUE"""),5739114.0)</f>
        <v>5739114</v>
      </c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</row>
    <row r="980">
      <c r="A980" s="1"/>
      <c r="B980" s="22">
        <f>IFERROR(__xludf.DUMMYFUNCTION("""COMPUTED_VALUE"""),42992.64583333333)</f>
        <v>42992.64583</v>
      </c>
      <c r="C980" s="9">
        <f>IFERROR(__xludf.DUMMYFUNCTION("""COMPUTED_VALUE"""),442.25)</f>
        <v>442.25</v>
      </c>
      <c r="D980" s="9">
        <f>IFERROR(__xludf.DUMMYFUNCTION("""COMPUTED_VALUE"""),448.3)</f>
        <v>448.3</v>
      </c>
      <c r="E980" s="9">
        <f>IFERROR(__xludf.DUMMYFUNCTION("""COMPUTED_VALUE"""),440.8)</f>
        <v>440.8</v>
      </c>
      <c r="F980" s="9">
        <f>IFERROR(__xludf.DUMMYFUNCTION("""COMPUTED_VALUE"""),446.2)</f>
        <v>446.2</v>
      </c>
      <c r="G980" s="9">
        <f>IFERROR(__xludf.DUMMYFUNCTION("""COMPUTED_VALUE"""),6849003.0)</f>
        <v>6849003</v>
      </c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</row>
    <row r="981">
      <c r="A981" s="1"/>
      <c r="B981" s="22">
        <f>IFERROR(__xludf.DUMMYFUNCTION("""COMPUTED_VALUE"""),42993.64583333333)</f>
        <v>42993.64583</v>
      </c>
      <c r="C981" s="9">
        <f>IFERROR(__xludf.DUMMYFUNCTION("""COMPUTED_VALUE"""),446.15)</f>
        <v>446.15</v>
      </c>
      <c r="D981" s="9">
        <f>IFERROR(__xludf.DUMMYFUNCTION("""COMPUTED_VALUE"""),456.63)</f>
        <v>456.63</v>
      </c>
      <c r="E981" s="9">
        <f>IFERROR(__xludf.DUMMYFUNCTION("""COMPUTED_VALUE"""),446.1)</f>
        <v>446.1</v>
      </c>
      <c r="F981" s="9">
        <f>IFERROR(__xludf.DUMMYFUNCTION("""COMPUTED_VALUE"""),454.13)</f>
        <v>454.13</v>
      </c>
      <c r="G981" s="9">
        <f>IFERROR(__xludf.DUMMYFUNCTION("""COMPUTED_VALUE"""),6729730.0)</f>
        <v>6729730</v>
      </c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</row>
    <row r="982">
      <c r="A982" s="1"/>
      <c r="B982" s="22">
        <f>IFERROR(__xludf.DUMMYFUNCTION("""COMPUTED_VALUE"""),42996.64583333333)</f>
        <v>42996.64583</v>
      </c>
      <c r="C982" s="9">
        <f>IFERROR(__xludf.DUMMYFUNCTION("""COMPUTED_VALUE"""),455.0)</f>
        <v>455</v>
      </c>
      <c r="D982" s="9">
        <f>IFERROR(__xludf.DUMMYFUNCTION("""COMPUTED_VALUE"""),458.88)</f>
        <v>458.88</v>
      </c>
      <c r="E982" s="9">
        <f>IFERROR(__xludf.DUMMYFUNCTION("""COMPUTED_VALUE"""),453.15)</f>
        <v>453.15</v>
      </c>
      <c r="F982" s="9">
        <f>IFERROR(__xludf.DUMMYFUNCTION("""COMPUTED_VALUE"""),454.55)</f>
        <v>454.55</v>
      </c>
      <c r="G982" s="9">
        <f>IFERROR(__xludf.DUMMYFUNCTION("""COMPUTED_VALUE"""),4237930.0)</f>
        <v>4237930</v>
      </c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</row>
    <row r="983">
      <c r="A983" s="1"/>
      <c r="B983" s="22">
        <f>IFERROR(__xludf.DUMMYFUNCTION("""COMPUTED_VALUE"""),42997.64583333333)</f>
        <v>42997.64583</v>
      </c>
      <c r="C983" s="9">
        <f>IFERROR(__xludf.DUMMYFUNCTION("""COMPUTED_VALUE"""),454.0)</f>
        <v>454</v>
      </c>
      <c r="D983" s="9">
        <f>IFERROR(__xludf.DUMMYFUNCTION("""COMPUTED_VALUE"""),458.0)</f>
        <v>458</v>
      </c>
      <c r="E983" s="9">
        <f>IFERROR(__xludf.DUMMYFUNCTION("""COMPUTED_VALUE"""),451.75)</f>
        <v>451.75</v>
      </c>
      <c r="F983" s="9">
        <f>IFERROR(__xludf.DUMMYFUNCTION("""COMPUTED_VALUE"""),456.13)</f>
        <v>456.13</v>
      </c>
      <c r="G983" s="9">
        <f>IFERROR(__xludf.DUMMYFUNCTION("""COMPUTED_VALUE"""),3016665.0)</f>
        <v>3016665</v>
      </c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</row>
    <row r="984">
      <c r="A984" s="1"/>
      <c r="B984" s="22">
        <f>IFERROR(__xludf.DUMMYFUNCTION("""COMPUTED_VALUE"""),42998.64583333333)</f>
        <v>42998.64583</v>
      </c>
      <c r="C984" s="9">
        <f>IFERROR(__xludf.DUMMYFUNCTION("""COMPUTED_VALUE"""),458.5)</f>
        <v>458.5</v>
      </c>
      <c r="D984" s="9">
        <f>IFERROR(__xludf.DUMMYFUNCTION("""COMPUTED_VALUE"""),458.5)</f>
        <v>458.5</v>
      </c>
      <c r="E984" s="9">
        <f>IFERROR(__xludf.DUMMYFUNCTION("""COMPUTED_VALUE"""),453.73)</f>
        <v>453.73</v>
      </c>
      <c r="F984" s="9">
        <f>IFERROR(__xludf.DUMMYFUNCTION("""COMPUTED_VALUE"""),456.35)</f>
        <v>456.35</v>
      </c>
      <c r="G984" s="9">
        <f>IFERROR(__xludf.DUMMYFUNCTION("""COMPUTED_VALUE"""),2883915.0)</f>
        <v>2883915</v>
      </c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</row>
    <row r="985">
      <c r="A985" s="1"/>
      <c r="B985" s="22">
        <f>IFERROR(__xludf.DUMMYFUNCTION("""COMPUTED_VALUE"""),42999.64583333333)</f>
        <v>42999.64583</v>
      </c>
      <c r="C985" s="9">
        <f>IFERROR(__xludf.DUMMYFUNCTION("""COMPUTED_VALUE"""),457.5)</f>
        <v>457.5</v>
      </c>
      <c r="D985" s="9">
        <f>IFERROR(__xludf.DUMMYFUNCTION("""COMPUTED_VALUE"""),457.63)</f>
        <v>457.63</v>
      </c>
      <c r="E985" s="9">
        <f>IFERROR(__xludf.DUMMYFUNCTION("""COMPUTED_VALUE"""),454.08)</f>
        <v>454.08</v>
      </c>
      <c r="F985" s="9">
        <f>IFERROR(__xludf.DUMMYFUNCTION("""COMPUTED_VALUE"""),454.78)</f>
        <v>454.78</v>
      </c>
      <c r="G985" s="9">
        <f>IFERROR(__xludf.DUMMYFUNCTION("""COMPUTED_VALUE"""),4102076.0)</f>
        <v>4102076</v>
      </c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</row>
    <row r="986">
      <c r="A986" s="1"/>
      <c r="B986" s="22">
        <f>IFERROR(__xludf.DUMMYFUNCTION("""COMPUTED_VALUE"""),43000.64583333333)</f>
        <v>43000.64583</v>
      </c>
      <c r="C986" s="9">
        <f>IFERROR(__xludf.DUMMYFUNCTION("""COMPUTED_VALUE"""),454.08)</f>
        <v>454.08</v>
      </c>
      <c r="D986" s="9">
        <f>IFERROR(__xludf.DUMMYFUNCTION("""COMPUTED_VALUE"""),455.13)</f>
        <v>455.13</v>
      </c>
      <c r="E986" s="9">
        <f>IFERROR(__xludf.DUMMYFUNCTION("""COMPUTED_VALUE"""),444.0)</f>
        <v>444</v>
      </c>
      <c r="F986" s="9">
        <f>IFERROR(__xludf.DUMMYFUNCTION("""COMPUTED_VALUE"""),449.15)</f>
        <v>449.15</v>
      </c>
      <c r="G986" s="9">
        <f>IFERROR(__xludf.DUMMYFUNCTION("""COMPUTED_VALUE"""),8802044.0)</f>
        <v>8802044</v>
      </c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</row>
    <row r="987">
      <c r="A987" s="1"/>
      <c r="B987" s="22">
        <f>IFERROR(__xludf.DUMMYFUNCTION("""COMPUTED_VALUE"""),43003.64583333333)</f>
        <v>43003.64583</v>
      </c>
      <c r="C987" s="9">
        <f>IFERROR(__xludf.DUMMYFUNCTION("""COMPUTED_VALUE"""),450.5)</f>
        <v>450.5</v>
      </c>
      <c r="D987" s="9">
        <f>IFERROR(__xludf.DUMMYFUNCTION("""COMPUTED_VALUE"""),450.98)</f>
        <v>450.98</v>
      </c>
      <c r="E987" s="9">
        <f>IFERROR(__xludf.DUMMYFUNCTION("""COMPUTED_VALUE"""),444.55)</f>
        <v>444.55</v>
      </c>
      <c r="F987" s="9">
        <f>IFERROR(__xludf.DUMMYFUNCTION("""COMPUTED_VALUE"""),447.68)</f>
        <v>447.68</v>
      </c>
      <c r="G987" s="9">
        <f>IFERROR(__xludf.DUMMYFUNCTION("""COMPUTED_VALUE"""),4544350.0)</f>
        <v>4544350</v>
      </c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</row>
    <row r="988">
      <c r="A988" s="1"/>
      <c r="B988" s="22">
        <f>IFERROR(__xludf.DUMMYFUNCTION("""COMPUTED_VALUE"""),43004.64583333333)</f>
        <v>43004.64583</v>
      </c>
      <c r="C988" s="9">
        <f>IFERROR(__xludf.DUMMYFUNCTION("""COMPUTED_VALUE"""),448.5)</f>
        <v>448.5</v>
      </c>
      <c r="D988" s="9">
        <f>IFERROR(__xludf.DUMMYFUNCTION("""COMPUTED_VALUE"""),454.2)</f>
        <v>454.2</v>
      </c>
      <c r="E988" s="9">
        <f>IFERROR(__xludf.DUMMYFUNCTION("""COMPUTED_VALUE"""),447.15)</f>
        <v>447.15</v>
      </c>
      <c r="F988" s="9">
        <f>IFERROR(__xludf.DUMMYFUNCTION("""COMPUTED_VALUE"""),452.95)</f>
        <v>452.95</v>
      </c>
      <c r="G988" s="9">
        <f>IFERROR(__xludf.DUMMYFUNCTION("""COMPUTED_VALUE"""),3683239.0)</f>
        <v>3683239</v>
      </c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</row>
    <row r="989">
      <c r="A989" s="1"/>
      <c r="B989" s="22">
        <f>IFERROR(__xludf.DUMMYFUNCTION("""COMPUTED_VALUE"""),43005.64583333333)</f>
        <v>43005.64583</v>
      </c>
      <c r="C989" s="9">
        <f>IFERROR(__xludf.DUMMYFUNCTION("""COMPUTED_VALUE"""),453.05)</f>
        <v>453.05</v>
      </c>
      <c r="D989" s="9">
        <f>IFERROR(__xludf.DUMMYFUNCTION("""COMPUTED_VALUE"""),453.95)</f>
        <v>453.95</v>
      </c>
      <c r="E989" s="9">
        <f>IFERROR(__xludf.DUMMYFUNCTION("""COMPUTED_VALUE"""),447.55)</f>
        <v>447.55</v>
      </c>
      <c r="F989" s="9">
        <f>IFERROR(__xludf.DUMMYFUNCTION("""COMPUTED_VALUE"""),449.9)</f>
        <v>449.9</v>
      </c>
      <c r="G989" s="9">
        <f>IFERROR(__xludf.DUMMYFUNCTION("""COMPUTED_VALUE"""),3000069.0)</f>
        <v>3000069</v>
      </c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</row>
    <row r="990">
      <c r="A990" s="1"/>
      <c r="B990" s="22">
        <f>IFERROR(__xludf.DUMMYFUNCTION("""COMPUTED_VALUE"""),43006.64583333333)</f>
        <v>43006.64583</v>
      </c>
      <c r="C990" s="9">
        <f>IFERROR(__xludf.DUMMYFUNCTION("""COMPUTED_VALUE"""),448.05)</f>
        <v>448.05</v>
      </c>
      <c r="D990" s="9">
        <f>IFERROR(__xludf.DUMMYFUNCTION("""COMPUTED_VALUE"""),451.95)</f>
        <v>451.95</v>
      </c>
      <c r="E990" s="9">
        <f>IFERROR(__xludf.DUMMYFUNCTION("""COMPUTED_VALUE"""),447.15)</f>
        <v>447.15</v>
      </c>
      <c r="F990" s="9">
        <f>IFERROR(__xludf.DUMMYFUNCTION("""COMPUTED_VALUE"""),448.0)</f>
        <v>448</v>
      </c>
      <c r="G990" s="9">
        <f>IFERROR(__xludf.DUMMYFUNCTION("""COMPUTED_VALUE"""),8768633.0)</f>
        <v>8768633</v>
      </c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</row>
    <row r="991">
      <c r="A991" s="1"/>
      <c r="B991" s="22">
        <f>IFERROR(__xludf.DUMMYFUNCTION("""COMPUTED_VALUE"""),43007.64583333333)</f>
        <v>43007.64583</v>
      </c>
      <c r="C991" s="9">
        <f>IFERROR(__xludf.DUMMYFUNCTION("""COMPUTED_VALUE"""),449.0)</f>
        <v>449</v>
      </c>
      <c r="D991" s="9">
        <f>IFERROR(__xludf.DUMMYFUNCTION("""COMPUTED_VALUE"""),451.2)</f>
        <v>451.2</v>
      </c>
      <c r="E991" s="9">
        <f>IFERROR(__xludf.DUMMYFUNCTION("""COMPUTED_VALUE"""),447.5)</f>
        <v>447.5</v>
      </c>
      <c r="F991" s="9">
        <f>IFERROR(__xludf.DUMMYFUNCTION("""COMPUTED_VALUE"""),449.95)</f>
        <v>449.95</v>
      </c>
      <c r="G991" s="9">
        <f>IFERROR(__xludf.DUMMYFUNCTION("""COMPUTED_VALUE"""),2852916.0)</f>
        <v>2852916</v>
      </c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</row>
    <row r="992">
      <c r="A992" s="1"/>
      <c r="B992" s="22">
        <f>IFERROR(__xludf.DUMMYFUNCTION("""COMPUTED_VALUE"""),43011.64583333333)</f>
        <v>43011.64583</v>
      </c>
      <c r="C992" s="9">
        <f>IFERROR(__xludf.DUMMYFUNCTION("""COMPUTED_VALUE"""),455.05)</f>
        <v>455.05</v>
      </c>
      <c r="D992" s="9">
        <f>IFERROR(__xludf.DUMMYFUNCTION("""COMPUTED_VALUE"""),456.0)</f>
        <v>456</v>
      </c>
      <c r="E992" s="9">
        <f>IFERROR(__xludf.DUMMYFUNCTION("""COMPUTED_VALUE"""),450.8)</f>
        <v>450.8</v>
      </c>
      <c r="F992" s="9">
        <f>IFERROR(__xludf.DUMMYFUNCTION("""COMPUTED_VALUE"""),451.78)</f>
        <v>451.78</v>
      </c>
      <c r="G992" s="9">
        <f>IFERROR(__xludf.DUMMYFUNCTION("""COMPUTED_VALUE"""),2473761.0)</f>
        <v>2473761</v>
      </c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</row>
    <row r="993">
      <c r="A993" s="1"/>
      <c r="B993" s="22">
        <f>IFERROR(__xludf.DUMMYFUNCTION("""COMPUTED_VALUE"""),43012.64583333333)</f>
        <v>43012.64583</v>
      </c>
      <c r="C993" s="9">
        <f>IFERROR(__xludf.DUMMYFUNCTION("""COMPUTED_VALUE"""),451.5)</f>
        <v>451.5</v>
      </c>
      <c r="D993" s="9">
        <f>IFERROR(__xludf.DUMMYFUNCTION("""COMPUTED_VALUE"""),452.7)</f>
        <v>452.7</v>
      </c>
      <c r="E993" s="9">
        <f>IFERROR(__xludf.DUMMYFUNCTION("""COMPUTED_VALUE"""),448.58)</f>
        <v>448.58</v>
      </c>
      <c r="F993" s="9">
        <f>IFERROR(__xludf.DUMMYFUNCTION("""COMPUTED_VALUE"""),449.8)</f>
        <v>449.8</v>
      </c>
      <c r="G993" s="9">
        <f>IFERROR(__xludf.DUMMYFUNCTION("""COMPUTED_VALUE"""),2495746.0)</f>
        <v>2495746</v>
      </c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</row>
    <row r="994">
      <c r="A994" s="1"/>
      <c r="B994" s="22">
        <f>IFERROR(__xludf.DUMMYFUNCTION("""COMPUTED_VALUE"""),43013.64583333333)</f>
        <v>43013.64583</v>
      </c>
      <c r="C994" s="9">
        <f>IFERROR(__xludf.DUMMYFUNCTION("""COMPUTED_VALUE"""),450.0)</f>
        <v>450</v>
      </c>
      <c r="D994" s="9">
        <f>IFERROR(__xludf.DUMMYFUNCTION("""COMPUTED_VALUE"""),452.48)</f>
        <v>452.48</v>
      </c>
      <c r="E994" s="9">
        <f>IFERROR(__xludf.DUMMYFUNCTION("""COMPUTED_VALUE"""),449.5)</f>
        <v>449.5</v>
      </c>
      <c r="F994" s="9">
        <f>IFERROR(__xludf.DUMMYFUNCTION("""COMPUTED_VALUE"""),451.53)</f>
        <v>451.53</v>
      </c>
      <c r="G994" s="9">
        <f>IFERROR(__xludf.DUMMYFUNCTION("""COMPUTED_VALUE"""),4305650.0)</f>
        <v>4305650</v>
      </c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</row>
    <row r="995">
      <c r="A995" s="1"/>
      <c r="B995" s="22">
        <f>IFERROR(__xludf.DUMMYFUNCTION("""COMPUTED_VALUE"""),43014.64583333333)</f>
        <v>43014.64583</v>
      </c>
      <c r="C995" s="9">
        <f>IFERROR(__xludf.DUMMYFUNCTION("""COMPUTED_VALUE"""),452.0)</f>
        <v>452</v>
      </c>
      <c r="D995" s="9">
        <f>IFERROR(__xludf.DUMMYFUNCTION("""COMPUTED_VALUE"""),461.0)</f>
        <v>461</v>
      </c>
      <c r="E995" s="9">
        <f>IFERROR(__xludf.DUMMYFUNCTION("""COMPUTED_VALUE"""),451.98)</f>
        <v>451.98</v>
      </c>
      <c r="F995" s="9">
        <f>IFERROR(__xludf.DUMMYFUNCTION("""COMPUTED_VALUE"""),460.08)</f>
        <v>460.08</v>
      </c>
      <c r="G995" s="9">
        <f>IFERROR(__xludf.DUMMYFUNCTION("""COMPUTED_VALUE"""),4287154.0)</f>
        <v>4287154</v>
      </c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</row>
    <row r="996">
      <c r="A996" s="1"/>
      <c r="B996" s="22">
        <f>IFERROR(__xludf.DUMMYFUNCTION("""COMPUTED_VALUE"""),43017.64583333333)</f>
        <v>43017.64583</v>
      </c>
      <c r="C996" s="9">
        <f>IFERROR(__xludf.DUMMYFUNCTION("""COMPUTED_VALUE"""),460.0)</f>
        <v>460</v>
      </c>
      <c r="D996" s="9">
        <f>IFERROR(__xludf.DUMMYFUNCTION("""COMPUTED_VALUE"""),464.5)</f>
        <v>464.5</v>
      </c>
      <c r="E996" s="9">
        <f>IFERROR(__xludf.DUMMYFUNCTION("""COMPUTED_VALUE"""),457.0)</f>
        <v>457</v>
      </c>
      <c r="F996" s="9">
        <f>IFERROR(__xludf.DUMMYFUNCTION("""COMPUTED_VALUE"""),461.95)</f>
        <v>461.95</v>
      </c>
      <c r="G996" s="9">
        <f>IFERROR(__xludf.DUMMYFUNCTION("""COMPUTED_VALUE"""),1752416.0)</f>
        <v>1752416</v>
      </c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</row>
    <row r="997">
      <c r="A997" s="1"/>
      <c r="B997" s="22">
        <f>IFERROR(__xludf.DUMMYFUNCTION("""COMPUTED_VALUE"""),43018.64583333333)</f>
        <v>43018.64583</v>
      </c>
      <c r="C997" s="9">
        <f>IFERROR(__xludf.DUMMYFUNCTION("""COMPUTED_VALUE"""),469.98)</f>
        <v>469.98</v>
      </c>
      <c r="D997" s="9">
        <f>IFERROR(__xludf.DUMMYFUNCTION("""COMPUTED_VALUE"""),469.98)</f>
        <v>469.98</v>
      </c>
      <c r="E997" s="9">
        <f>IFERROR(__xludf.DUMMYFUNCTION("""COMPUTED_VALUE"""),464.78)</f>
        <v>464.78</v>
      </c>
      <c r="F997" s="9">
        <f>IFERROR(__xludf.DUMMYFUNCTION("""COMPUTED_VALUE"""),467.73)</f>
        <v>467.73</v>
      </c>
      <c r="G997" s="9">
        <f>IFERROR(__xludf.DUMMYFUNCTION("""COMPUTED_VALUE"""),3571610.0)</f>
        <v>3571610</v>
      </c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</row>
    <row r="998">
      <c r="A998" s="1"/>
      <c r="B998" s="22">
        <f>IFERROR(__xludf.DUMMYFUNCTION("""COMPUTED_VALUE"""),43019.64583333333)</f>
        <v>43019.64583</v>
      </c>
      <c r="C998" s="9">
        <f>IFERROR(__xludf.DUMMYFUNCTION("""COMPUTED_VALUE"""),467.73)</f>
        <v>467.73</v>
      </c>
      <c r="D998" s="9">
        <f>IFERROR(__xludf.DUMMYFUNCTION("""COMPUTED_VALUE"""),469.0)</f>
        <v>469</v>
      </c>
      <c r="E998" s="9">
        <f>IFERROR(__xludf.DUMMYFUNCTION("""COMPUTED_VALUE"""),464.0)</f>
        <v>464</v>
      </c>
      <c r="F998" s="9">
        <f>IFERROR(__xludf.DUMMYFUNCTION("""COMPUTED_VALUE"""),465.35)</f>
        <v>465.35</v>
      </c>
      <c r="G998" s="9">
        <f>IFERROR(__xludf.DUMMYFUNCTION("""COMPUTED_VALUE"""),2991252.0)</f>
        <v>2991252</v>
      </c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</row>
    <row r="999">
      <c r="A999" s="1"/>
      <c r="B999" s="22">
        <f>IFERROR(__xludf.DUMMYFUNCTION("""COMPUTED_VALUE"""),43020.64583333333)</f>
        <v>43020.64583</v>
      </c>
      <c r="C999" s="9">
        <f>IFERROR(__xludf.DUMMYFUNCTION("""COMPUTED_VALUE"""),465.0)</f>
        <v>465</v>
      </c>
      <c r="D999" s="9">
        <f>IFERROR(__xludf.DUMMYFUNCTION("""COMPUTED_VALUE"""),467.18)</f>
        <v>467.18</v>
      </c>
      <c r="E999" s="9">
        <f>IFERROR(__xludf.DUMMYFUNCTION("""COMPUTED_VALUE"""),459.78)</f>
        <v>459.78</v>
      </c>
      <c r="F999" s="9">
        <f>IFERROR(__xludf.DUMMYFUNCTION("""COMPUTED_VALUE"""),463.65)</f>
        <v>463.65</v>
      </c>
      <c r="G999" s="9">
        <f>IFERROR(__xludf.DUMMYFUNCTION("""COMPUTED_VALUE"""),5140486.0)</f>
        <v>5140486</v>
      </c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</row>
    <row r="1000">
      <c r="A1000" s="1"/>
      <c r="B1000" s="22">
        <f>IFERROR(__xludf.DUMMYFUNCTION("""COMPUTED_VALUE"""),43021.64583333333)</f>
        <v>43021.64583</v>
      </c>
      <c r="C1000" s="9">
        <f>IFERROR(__xludf.DUMMYFUNCTION("""COMPUTED_VALUE"""),466.4)</f>
        <v>466.4</v>
      </c>
      <c r="D1000" s="9">
        <f>IFERROR(__xludf.DUMMYFUNCTION("""COMPUTED_VALUE"""),466.75)</f>
        <v>466.75</v>
      </c>
      <c r="E1000" s="9">
        <f>IFERROR(__xludf.DUMMYFUNCTION("""COMPUTED_VALUE"""),463.78)</f>
        <v>463.78</v>
      </c>
      <c r="F1000" s="9">
        <f>IFERROR(__xludf.DUMMYFUNCTION("""COMPUTED_VALUE"""),465.05)</f>
        <v>465.05</v>
      </c>
      <c r="G1000" s="9">
        <f>IFERROR(__xludf.DUMMYFUNCTION("""COMPUTED_VALUE"""),3590364.0)</f>
        <v>3590364</v>
      </c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</row>
    <row r="1001">
      <c r="A1001" s="1"/>
      <c r="B1001" s="22">
        <f>IFERROR(__xludf.DUMMYFUNCTION("""COMPUTED_VALUE"""),43024.64583333333)</f>
        <v>43024.64583</v>
      </c>
      <c r="C1001" s="9">
        <f>IFERROR(__xludf.DUMMYFUNCTION("""COMPUTED_VALUE"""),467.98)</f>
        <v>467.98</v>
      </c>
      <c r="D1001" s="9">
        <f>IFERROR(__xludf.DUMMYFUNCTION("""COMPUTED_VALUE"""),471.0)</f>
        <v>471</v>
      </c>
      <c r="E1001" s="9">
        <f>IFERROR(__xludf.DUMMYFUNCTION("""COMPUTED_VALUE"""),466.5)</f>
        <v>466.5</v>
      </c>
      <c r="F1001" s="9">
        <f>IFERROR(__xludf.DUMMYFUNCTION("""COMPUTED_VALUE"""),469.5)</f>
        <v>469.5</v>
      </c>
      <c r="G1001" s="9">
        <f>IFERROR(__xludf.DUMMYFUNCTION("""COMPUTED_VALUE"""),2879375.0)</f>
        <v>2879375</v>
      </c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</row>
    <row r="1002">
      <c r="A1002" s="1"/>
      <c r="B1002" s="22">
        <f>IFERROR(__xludf.DUMMYFUNCTION("""COMPUTED_VALUE"""),43025.83333333333)</f>
        <v>43025.83333</v>
      </c>
      <c r="C1002" s="9">
        <f>IFERROR(__xludf.DUMMYFUNCTION("""COMPUTED_VALUE"""),468.4)</f>
        <v>468.4</v>
      </c>
      <c r="D1002" s="9">
        <f>IFERROR(__xludf.DUMMYFUNCTION("""COMPUTED_VALUE"""),468.4)</f>
        <v>468.4</v>
      </c>
      <c r="E1002" s="9">
        <f>IFERROR(__xludf.DUMMYFUNCTION("""COMPUTED_VALUE"""),464.75)</f>
        <v>464.75</v>
      </c>
      <c r="F1002" s="9">
        <f>IFERROR(__xludf.DUMMYFUNCTION("""COMPUTED_VALUE"""),465.25)</f>
        <v>465.25</v>
      </c>
      <c r="G1002" s="9">
        <f>IFERROR(__xludf.DUMMYFUNCTION("""COMPUTED_VALUE"""),2812551.0)</f>
        <v>2812551</v>
      </c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</row>
    <row r="1003">
      <c r="A1003" s="1"/>
      <c r="B1003" s="22">
        <f>IFERROR(__xludf.DUMMYFUNCTION("""COMPUTED_VALUE"""),43026.64583333333)</f>
        <v>43026.64583</v>
      </c>
      <c r="C1003" s="9">
        <f>IFERROR(__xludf.DUMMYFUNCTION("""COMPUTED_VALUE"""),464.45)</f>
        <v>464.45</v>
      </c>
      <c r="D1003" s="9">
        <f>IFERROR(__xludf.DUMMYFUNCTION("""COMPUTED_VALUE"""),465.0)</f>
        <v>465</v>
      </c>
      <c r="E1003" s="9">
        <f>IFERROR(__xludf.DUMMYFUNCTION("""COMPUTED_VALUE"""),461.48)</f>
        <v>461.48</v>
      </c>
      <c r="F1003" s="9">
        <f>IFERROR(__xludf.DUMMYFUNCTION("""COMPUTED_VALUE"""),462.18)</f>
        <v>462.18</v>
      </c>
      <c r="G1003" s="9">
        <f>IFERROR(__xludf.DUMMYFUNCTION("""COMPUTED_VALUE"""),3615926.0)</f>
        <v>3615926</v>
      </c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</row>
    <row r="1004">
      <c r="A1004" s="1"/>
      <c r="B1004" s="22">
        <f>IFERROR(__xludf.DUMMYFUNCTION("""COMPUTED_VALUE"""),43027.83333333333)</f>
        <v>43027.83333</v>
      </c>
      <c r="C1004" s="9">
        <f>IFERROR(__xludf.DUMMYFUNCTION("""COMPUTED_VALUE"""),465.0)</f>
        <v>465</v>
      </c>
      <c r="D1004" s="9">
        <f>IFERROR(__xludf.DUMMYFUNCTION("""COMPUTED_VALUE"""),466.0)</f>
        <v>466</v>
      </c>
      <c r="E1004" s="9">
        <f>IFERROR(__xludf.DUMMYFUNCTION("""COMPUTED_VALUE"""),462.6)</f>
        <v>462.6</v>
      </c>
      <c r="F1004" s="9">
        <f>IFERROR(__xludf.DUMMYFUNCTION("""COMPUTED_VALUE"""),463.88)</f>
        <v>463.88</v>
      </c>
      <c r="G1004" s="9">
        <f>IFERROR(__xludf.DUMMYFUNCTION("""COMPUTED_VALUE"""),545717.0)</f>
        <v>545717</v>
      </c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</row>
    <row r="1005">
      <c r="A1005" s="1"/>
      <c r="B1005" s="22">
        <f>IFERROR(__xludf.DUMMYFUNCTION("""COMPUTED_VALUE"""),43031.64583333333)</f>
        <v>43031.64583</v>
      </c>
      <c r="C1005" s="9">
        <f>IFERROR(__xludf.DUMMYFUNCTION("""COMPUTED_VALUE"""),465.0)</f>
        <v>465</v>
      </c>
      <c r="D1005" s="9">
        <f>IFERROR(__xludf.DUMMYFUNCTION("""COMPUTED_VALUE"""),471.0)</f>
        <v>471</v>
      </c>
      <c r="E1005" s="9">
        <f>IFERROR(__xludf.DUMMYFUNCTION("""COMPUTED_VALUE"""),464.05)</f>
        <v>464.05</v>
      </c>
      <c r="F1005" s="9">
        <f>IFERROR(__xludf.DUMMYFUNCTION("""COMPUTED_VALUE"""),469.75)</f>
        <v>469.75</v>
      </c>
      <c r="G1005" s="9">
        <f>IFERROR(__xludf.DUMMYFUNCTION("""COMPUTED_VALUE"""),4577048.0)</f>
        <v>4577048</v>
      </c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</row>
    <row r="1006">
      <c r="A1006" s="1"/>
      <c r="B1006" s="22">
        <f>IFERROR(__xludf.DUMMYFUNCTION("""COMPUTED_VALUE"""),43032.64583333333)</f>
        <v>43032.64583</v>
      </c>
      <c r="C1006" s="9">
        <f>IFERROR(__xludf.DUMMYFUNCTION("""COMPUTED_VALUE"""),473.0)</f>
        <v>473</v>
      </c>
      <c r="D1006" s="9">
        <f>IFERROR(__xludf.DUMMYFUNCTION("""COMPUTED_VALUE"""),473.33)</f>
        <v>473.33</v>
      </c>
      <c r="E1006" s="9">
        <f>IFERROR(__xludf.DUMMYFUNCTION("""COMPUTED_VALUE"""),460.8)</f>
        <v>460.8</v>
      </c>
      <c r="F1006" s="9">
        <f>IFERROR(__xludf.DUMMYFUNCTION("""COMPUTED_VALUE"""),463.25)</f>
        <v>463.25</v>
      </c>
      <c r="G1006" s="9">
        <f>IFERROR(__xludf.DUMMYFUNCTION("""COMPUTED_VALUE"""),7264664.0)</f>
        <v>7264664</v>
      </c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</row>
    <row r="1007">
      <c r="A1007" s="1"/>
      <c r="B1007" s="22">
        <f>IFERROR(__xludf.DUMMYFUNCTION("""COMPUTED_VALUE"""),43033.64583333333)</f>
        <v>43033.64583</v>
      </c>
      <c r="C1007" s="9">
        <f>IFERROR(__xludf.DUMMYFUNCTION("""COMPUTED_VALUE"""),459.5)</f>
        <v>459.5</v>
      </c>
      <c r="D1007" s="9">
        <f>IFERROR(__xludf.DUMMYFUNCTION("""COMPUTED_VALUE"""),472.35)</f>
        <v>472.35</v>
      </c>
      <c r="E1007" s="9">
        <f>IFERROR(__xludf.DUMMYFUNCTION("""COMPUTED_VALUE"""),457.63)</f>
        <v>457.63</v>
      </c>
      <c r="F1007" s="9">
        <f>IFERROR(__xludf.DUMMYFUNCTION("""COMPUTED_VALUE"""),467.65)</f>
        <v>467.65</v>
      </c>
      <c r="G1007" s="9">
        <f>IFERROR(__xludf.DUMMYFUNCTION("""COMPUTED_VALUE"""),6992067.0)</f>
        <v>6992067</v>
      </c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</row>
    <row r="1008">
      <c r="A1008" s="1"/>
      <c r="B1008" s="22">
        <f>IFERROR(__xludf.DUMMYFUNCTION("""COMPUTED_VALUE"""),43034.64583333333)</f>
        <v>43034.64583</v>
      </c>
      <c r="C1008" s="9">
        <f>IFERROR(__xludf.DUMMYFUNCTION("""COMPUTED_VALUE"""),471.0)</f>
        <v>471</v>
      </c>
      <c r="D1008" s="9">
        <f>IFERROR(__xludf.DUMMYFUNCTION("""COMPUTED_VALUE"""),475.9)</f>
        <v>475.9</v>
      </c>
      <c r="E1008" s="9">
        <f>IFERROR(__xludf.DUMMYFUNCTION("""COMPUTED_VALUE"""),470.05)</f>
        <v>470.05</v>
      </c>
      <c r="F1008" s="9">
        <f>IFERROR(__xludf.DUMMYFUNCTION("""COMPUTED_VALUE"""),473.68)</f>
        <v>473.68</v>
      </c>
      <c r="G1008" s="9">
        <f>IFERROR(__xludf.DUMMYFUNCTION("""COMPUTED_VALUE"""),1.6829629E7)</f>
        <v>16829629</v>
      </c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</row>
    <row r="1009">
      <c r="A1009" s="1"/>
      <c r="B1009" s="22">
        <f>IFERROR(__xludf.DUMMYFUNCTION("""COMPUTED_VALUE"""),43035.64583333333)</f>
        <v>43035.64583</v>
      </c>
      <c r="C1009" s="9">
        <f>IFERROR(__xludf.DUMMYFUNCTION("""COMPUTED_VALUE"""),477.5)</f>
        <v>477.5</v>
      </c>
      <c r="D1009" s="9">
        <f>IFERROR(__xludf.DUMMYFUNCTION("""COMPUTED_VALUE"""),478.85)</f>
        <v>478.85</v>
      </c>
      <c r="E1009" s="9">
        <f>IFERROR(__xludf.DUMMYFUNCTION("""COMPUTED_VALUE"""),472.0)</f>
        <v>472</v>
      </c>
      <c r="F1009" s="9">
        <f>IFERROR(__xludf.DUMMYFUNCTION("""COMPUTED_VALUE"""),473.18)</f>
        <v>473.18</v>
      </c>
      <c r="G1009" s="9">
        <f>IFERROR(__xludf.DUMMYFUNCTION("""COMPUTED_VALUE"""),4262478.0)</f>
        <v>4262478</v>
      </c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</row>
    <row r="1010">
      <c r="A1010" s="1"/>
      <c r="B1010" s="22">
        <f>IFERROR(__xludf.DUMMYFUNCTION("""COMPUTED_VALUE"""),43038.64583333333)</f>
        <v>43038.64583</v>
      </c>
      <c r="C1010" s="9">
        <f>IFERROR(__xludf.DUMMYFUNCTION("""COMPUTED_VALUE"""),477.33)</f>
        <v>477.33</v>
      </c>
      <c r="D1010" s="9">
        <f>IFERROR(__xludf.DUMMYFUNCTION("""COMPUTED_VALUE"""),477.33)</f>
        <v>477.33</v>
      </c>
      <c r="E1010" s="9">
        <f>IFERROR(__xludf.DUMMYFUNCTION("""COMPUTED_VALUE"""),470.53)</f>
        <v>470.53</v>
      </c>
      <c r="F1010" s="9">
        <f>IFERROR(__xludf.DUMMYFUNCTION("""COMPUTED_VALUE"""),472.05)</f>
        <v>472.05</v>
      </c>
      <c r="G1010" s="9">
        <f>IFERROR(__xludf.DUMMYFUNCTION("""COMPUTED_VALUE"""),6484163.0)</f>
        <v>6484163</v>
      </c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</row>
    <row r="1011">
      <c r="A1011" s="1"/>
      <c r="B1011" s="22">
        <f>IFERROR(__xludf.DUMMYFUNCTION("""COMPUTED_VALUE"""),43039.64583333333)</f>
        <v>43039.64583</v>
      </c>
      <c r="C1011" s="9">
        <f>IFERROR(__xludf.DUMMYFUNCTION("""COMPUTED_VALUE"""),462.5)</f>
        <v>462.5</v>
      </c>
      <c r="D1011" s="9">
        <f>IFERROR(__xludf.DUMMYFUNCTION("""COMPUTED_VALUE"""),465.0)</f>
        <v>465</v>
      </c>
      <c r="E1011" s="9">
        <f>IFERROR(__xludf.DUMMYFUNCTION("""COMPUTED_VALUE"""),460.0)</f>
        <v>460</v>
      </c>
      <c r="F1011" s="9">
        <f>IFERROR(__xludf.DUMMYFUNCTION("""COMPUTED_VALUE"""),460.93)</f>
        <v>460.93</v>
      </c>
      <c r="G1011" s="9">
        <f>IFERROR(__xludf.DUMMYFUNCTION("""COMPUTED_VALUE"""),4977494.0)</f>
        <v>4977494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</row>
    <row r="1012">
      <c r="A1012" s="1"/>
      <c r="B1012" s="22">
        <f>IFERROR(__xludf.DUMMYFUNCTION("""COMPUTED_VALUE"""),43040.64583333333)</f>
        <v>43040.64583</v>
      </c>
      <c r="C1012" s="9">
        <f>IFERROR(__xludf.DUMMYFUNCTION("""COMPUTED_VALUE"""),462.5)</f>
        <v>462.5</v>
      </c>
      <c r="D1012" s="9">
        <f>IFERROR(__xludf.DUMMYFUNCTION("""COMPUTED_VALUE"""),464.7)</f>
        <v>464.7</v>
      </c>
      <c r="E1012" s="9">
        <f>IFERROR(__xludf.DUMMYFUNCTION("""COMPUTED_VALUE"""),461.65)</f>
        <v>461.65</v>
      </c>
      <c r="F1012" s="9">
        <f>IFERROR(__xludf.DUMMYFUNCTION("""COMPUTED_VALUE"""),463.53)</f>
        <v>463.53</v>
      </c>
      <c r="G1012" s="9">
        <f>IFERROR(__xludf.DUMMYFUNCTION("""COMPUTED_VALUE"""),2816567.0)</f>
        <v>2816567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</row>
    <row r="1013">
      <c r="A1013" s="1"/>
      <c r="B1013" s="22">
        <f>IFERROR(__xludf.DUMMYFUNCTION("""COMPUTED_VALUE"""),43041.64583333333)</f>
        <v>43041.64583</v>
      </c>
      <c r="C1013" s="9">
        <f>IFERROR(__xludf.DUMMYFUNCTION("""COMPUTED_VALUE"""),461.53)</f>
        <v>461.53</v>
      </c>
      <c r="D1013" s="9">
        <f>IFERROR(__xludf.DUMMYFUNCTION("""COMPUTED_VALUE"""),463.0)</f>
        <v>463</v>
      </c>
      <c r="E1013" s="9">
        <f>IFERROR(__xludf.DUMMYFUNCTION("""COMPUTED_VALUE"""),460.0)</f>
        <v>460</v>
      </c>
      <c r="F1013" s="9">
        <f>IFERROR(__xludf.DUMMYFUNCTION("""COMPUTED_VALUE"""),461.45)</f>
        <v>461.45</v>
      </c>
      <c r="G1013" s="9">
        <f>IFERROR(__xludf.DUMMYFUNCTION("""COMPUTED_VALUE"""),2343069.0)</f>
        <v>2343069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</row>
    <row r="1014">
      <c r="A1014" s="1"/>
      <c r="B1014" s="22">
        <f>IFERROR(__xludf.DUMMYFUNCTION("""COMPUTED_VALUE"""),43042.64583333333)</f>
        <v>43042.64583</v>
      </c>
      <c r="C1014" s="9">
        <f>IFERROR(__xludf.DUMMYFUNCTION("""COMPUTED_VALUE"""),458.5)</f>
        <v>458.5</v>
      </c>
      <c r="D1014" s="9">
        <f>IFERROR(__xludf.DUMMYFUNCTION("""COMPUTED_VALUE"""),464.95)</f>
        <v>464.95</v>
      </c>
      <c r="E1014" s="9">
        <f>IFERROR(__xludf.DUMMYFUNCTION("""COMPUTED_VALUE"""),458.48)</f>
        <v>458.48</v>
      </c>
      <c r="F1014" s="9">
        <f>IFERROR(__xludf.DUMMYFUNCTION("""COMPUTED_VALUE"""),463.33)</f>
        <v>463.33</v>
      </c>
      <c r="G1014" s="9">
        <f>IFERROR(__xludf.DUMMYFUNCTION("""COMPUTED_VALUE"""),1849543.0)</f>
        <v>1849543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</row>
    <row r="1015">
      <c r="A1015" s="1"/>
      <c r="B1015" s="22">
        <f>IFERROR(__xludf.DUMMYFUNCTION("""COMPUTED_VALUE"""),43045.64583333333)</f>
        <v>43045.64583</v>
      </c>
      <c r="C1015" s="9">
        <f>IFERROR(__xludf.DUMMYFUNCTION("""COMPUTED_VALUE"""),461.58)</f>
        <v>461.58</v>
      </c>
      <c r="D1015" s="9">
        <f>IFERROR(__xludf.DUMMYFUNCTION("""COMPUTED_VALUE"""),467.5)</f>
        <v>467.5</v>
      </c>
      <c r="E1015" s="9">
        <f>IFERROR(__xludf.DUMMYFUNCTION("""COMPUTED_VALUE"""),461.33)</f>
        <v>461.33</v>
      </c>
      <c r="F1015" s="9">
        <f>IFERROR(__xludf.DUMMYFUNCTION("""COMPUTED_VALUE"""),464.35)</f>
        <v>464.35</v>
      </c>
      <c r="G1015" s="9">
        <f>IFERROR(__xludf.DUMMYFUNCTION("""COMPUTED_VALUE"""),2533267.0)</f>
        <v>2533267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</row>
    <row r="1016">
      <c r="A1016" s="1"/>
      <c r="B1016" s="22">
        <f>IFERROR(__xludf.DUMMYFUNCTION("""COMPUTED_VALUE"""),43046.64583333333)</f>
        <v>43046.64583</v>
      </c>
      <c r="C1016" s="9">
        <f>IFERROR(__xludf.DUMMYFUNCTION("""COMPUTED_VALUE"""),463.13)</f>
        <v>463.13</v>
      </c>
      <c r="D1016" s="9">
        <f>IFERROR(__xludf.DUMMYFUNCTION("""COMPUTED_VALUE"""),480.0)</f>
        <v>480</v>
      </c>
      <c r="E1016" s="9">
        <f>IFERROR(__xludf.DUMMYFUNCTION("""COMPUTED_VALUE"""),462.93)</f>
        <v>462.93</v>
      </c>
      <c r="F1016" s="9">
        <f>IFERROR(__xludf.DUMMYFUNCTION("""COMPUTED_VALUE"""),477.75)</f>
        <v>477.75</v>
      </c>
      <c r="G1016" s="9">
        <f>IFERROR(__xludf.DUMMYFUNCTION("""COMPUTED_VALUE"""),6721410.0)</f>
        <v>6721410</v>
      </c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</row>
    <row r="1017">
      <c r="A1017" s="1"/>
      <c r="B1017" s="22">
        <f>IFERROR(__xludf.DUMMYFUNCTION("""COMPUTED_VALUE"""),43047.64583333333)</f>
        <v>43047.64583</v>
      </c>
      <c r="C1017" s="9">
        <f>IFERROR(__xludf.DUMMYFUNCTION("""COMPUTED_VALUE"""),480.13)</f>
        <v>480.13</v>
      </c>
      <c r="D1017" s="9">
        <f>IFERROR(__xludf.DUMMYFUNCTION("""COMPUTED_VALUE"""),480.93)</f>
        <v>480.93</v>
      </c>
      <c r="E1017" s="9">
        <f>IFERROR(__xludf.DUMMYFUNCTION("""COMPUTED_VALUE"""),473.75)</f>
        <v>473.75</v>
      </c>
      <c r="F1017" s="9">
        <f>IFERROR(__xludf.DUMMYFUNCTION("""COMPUTED_VALUE"""),476.15)</f>
        <v>476.15</v>
      </c>
      <c r="G1017" s="9">
        <f>IFERROR(__xludf.DUMMYFUNCTION("""COMPUTED_VALUE"""),2684997.0)</f>
        <v>2684997</v>
      </c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</row>
    <row r="1018">
      <c r="A1018" s="1"/>
      <c r="B1018" s="22">
        <f>IFERROR(__xludf.DUMMYFUNCTION("""COMPUTED_VALUE"""),43048.64583333333)</f>
        <v>43048.64583</v>
      </c>
      <c r="C1018" s="9">
        <f>IFERROR(__xludf.DUMMYFUNCTION("""COMPUTED_VALUE"""),476.5)</f>
        <v>476.5</v>
      </c>
      <c r="D1018" s="9">
        <f>IFERROR(__xludf.DUMMYFUNCTION("""COMPUTED_VALUE"""),481.5)</f>
        <v>481.5</v>
      </c>
      <c r="E1018" s="9">
        <f>IFERROR(__xludf.DUMMYFUNCTION("""COMPUTED_VALUE"""),474.13)</f>
        <v>474.13</v>
      </c>
      <c r="F1018" s="9">
        <f>IFERROR(__xludf.DUMMYFUNCTION("""COMPUTED_VALUE"""),477.25)</f>
        <v>477.25</v>
      </c>
      <c r="G1018" s="9">
        <f>IFERROR(__xludf.DUMMYFUNCTION("""COMPUTED_VALUE"""),2361616.0)</f>
        <v>2361616</v>
      </c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</row>
    <row r="1019">
      <c r="A1019" s="1"/>
      <c r="B1019" s="22">
        <f>IFERROR(__xludf.DUMMYFUNCTION("""COMPUTED_VALUE"""),43049.64583333333)</f>
        <v>43049.64583</v>
      </c>
      <c r="C1019" s="9">
        <f>IFERROR(__xludf.DUMMYFUNCTION("""COMPUTED_VALUE"""),479.4)</f>
        <v>479.4</v>
      </c>
      <c r="D1019" s="9">
        <f>IFERROR(__xludf.DUMMYFUNCTION("""COMPUTED_VALUE"""),482.18)</f>
        <v>482.18</v>
      </c>
      <c r="E1019" s="9">
        <f>IFERROR(__xludf.DUMMYFUNCTION("""COMPUTED_VALUE"""),475.0)</f>
        <v>475</v>
      </c>
      <c r="F1019" s="9">
        <f>IFERROR(__xludf.DUMMYFUNCTION("""COMPUTED_VALUE"""),481.03)</f>
        <v>481.03</v>
      </c>
      <c r="G1019" s="9">
        <f>IFERROR(__xludf.DUMMYFUNCTION("""COMPUTED_VALUE"""),3294714.0)</f>
        <v>3294714</v>
      </c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</row>
    <row r="1020">
      <c r="A1020" s="1"/>
      <c r="B1020" s="22">
        <f>IFERROR(__xludf.DUMMYFUNCTION("""COMPUTED_VALUE"""),43052.64583333333)</f>
        <v>43052.64583</v>
      </c>
      <c r="C1020" s="9">
        <f>IFERROR(__xludf.DUMMYFUNCTION("""COMPUTED_VALUE"""),481.03)</f>
        <v>481.03</v>
      </c>
      <c r="D1020" s="9">
        <f>IFERROR(__xludf.DUMMYFUNCTION("""COMPUTED_VALUE"""),484.7)</f>
        <v>484.7</v>
      </c>
      <c r="E1020" s="9">
        <f>IFERROR(__xludf.DUMMYFUNCTION("""COMPUTED_VALUE"""),474.68)</f>
        <v>474.68</v>
      </c>
      <c r="F1020" s="9">
        <f>IFERROR(__xludf.DUMMYFUNCTION("""COMPUTED_VALUE"""),475.98)</f>
        <v>475.98</v>
      </c>
      <c r="G1020" s="9">
        <f>IFERROR(__xludf.DUMMYFUNCTION("""COMPUTED_VALUE"""),2510608.0)</f>
        <v>2510608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</row>
    <row r="1021">
      <c r="A1021" s="1"/>
      <c r="B1021" s="22">
        <f>IFERROR(__xludf.DUMMYFUNCTION("""COMPUTED_VALUE"""),43053.64583333333)</f>
        <v>43053.64583</v>
      </c>
      <c r="C1021" s="9">
        <f>IFERROR(__xludf.DUMMYFUNCTION("""COMPUTED_VALUE"""),475.98)</f>
        <v>475.98</v>
      </c>
      <c r="D1021" s="9">
        <f>IFERROR(__xludf.DUMMYFUNCTION("""COMPUTED_VALUE"""),477.43)</f>
        <v>477.43</v>
      </c>
      <c r="E1021" s="9">
        <f>IFERROR(__xludf.DUMMYFUNCTION("""COMPUTED_VALUE"""),471.63)</f>
        <v>471.63</v>
      </c>
      <c r="F1021" s="9">
        <f>IFERROR(__xludf.DUMMYFUNCTION("""COMPUTED_VALUE"""),474.55)</f>
        <v>474.55</v>
      </c>
      <c r="G1021" s="9">
        <f>IFERROR(__xludf.DUMMYFUNCTION("""COMPUTED_VALUE"""),2866855.0)</f>
        <v>2866855</v>
      </c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</row>
    <row r="1022">
      <c r="A1022" s="1"/>
      <c r="B1022" s="22">
        <f>IFERROR(__xludf.DUMMYFUNCTION("""COMPUTED_VALUE"""),43054.64583333333)</f>
        <v>43054.64583</v>
      </c>
      <c r="C1022" s="9">
        <f>IFERROR(__xludf.DUMMYFUNCTION("""COMPUTED_VALUE"""),472.58)</f>
        <v>472.58</v>
      </c>
      <c r="D1022" s="9">
        <f>IFERROR(__xludf.DUMMYFUNCTION("""COMPUTED_VALUE"""),476.75)</f>
        <v>476.75</v>
      </c>
      <c r="E1022" s="9">
        <f>IFERROR(__xludf.DUMMYFUNCTION("""COMPUTED_VALUE"""),472.25)</f>
        <v>472.25</v>
      </c>
      <c r="F1022" s="9">
        <f>IFERROR(__xludf.DUMMYFUNCTION("""COMPUTED_VALUE"""),475.9)</f>
        <v>475.9</v>
      </c>
      <c r="G1022" s="9">
        <f>IFERROR(__xludf.DUMMYFUNCTION("""COMPUTED_VALUE"""),3511758.0)</f>
        <v>3511758</v>
      </c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</row>
    <row r="1023">
      <c r="A1023" s="1"/>
      <c r="B1023" s="22">
        <f>IFERROR(__xludf.DUMMYFUNCTION("""COMPUTED_VALUE"""),43055.64583333333)</f>
        <v>43055.64583</v>
      </c>
      <c r="C1023" s="9">
        <f>IFERROR(__xludf.DUMMYFUNCTION("""COMPUTED_VALUE"""),475.9)</f>
        <v>475.9</v>
      </c>
      <c r="D1023" s="9">
        <f>IFERROR(__xludf.DUMMYFUNCTION("""COMPUTED_VALUE"""),497.95)</f>
        <v>497.95</v>
      </c>
      <c r="E1023" s="9">
        <f>IFERROR(__xludf.DUMMYFUNCTION("""COMPUTED_VALUE"""),474.25)</f>
        <v>474.25</v>
      </c>
      <c r="F1023" s="9">
        <f>IFERROR(__xludf.DUMMYFUNCTION("""COMPUTED_VALUE"""),494.2)</f>
        <v>494.2</v>
      </c>
      <c r="G1023" s="9">
        <f>IFERROR(__xludf.DUMMYFUNCTION("""COMPUTED_VALUE"""),7843751.0)</f>
        <v>7843751</v>
      </c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</row>
    <row r="1024">
      <c r="A1024" s="1"/>
      <c r="B1024" s="22">
        <f>IFERROR(__xludf.DUMMYFUNCTION("""COMPUTED_VALUE"""),43056.64583333333)</f>
        <v>43056.64583</v>
      </c>
      <c r="C1024" s="9">
        <f>IFERROR(__xludf.DUMMYFUNCTION("""COMPUTED_VALUE"""),492.75)</f>
        <v>492.75</v>
      </c>
      <c r="D1024" s="9">
        <f>IFERROR(__xludf.DUMMYFUNCTION("""COMPUTED_VALUE"""),492.75)</f>
        <v>492.75</v>
      </c>
      <c r="E1024" s="9">
        <f>IFERROR(__xludf.DUMMYFUNCTION("""COMPUTED_VALUE"""),482.58)</f>
        <v>482.58</v>
      </c>
      <c r="F1024" s="9">
        <f>IFERROR(__xludf.DUMMYFUNCTION("""COMPUTED_VALUE"""),485.48)</f>
        <v>485.48</v>
      </c>
      <c r="G1024" s="9">
        <f>IFERROR(__xludf.DUMMYFUNCTION("""COMPUTED_VALUE"""),4028835.0)</f>
        <v>4028835</v>
      </c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</row>
    <row r="1025">
      <c r="A1025" s="1"/>
      <c r="B1025" s="22">
        <f>IFERROR(__xludf.DUMMYFUNCTION("""COMPUTED_VALUE"""),43059.64583333333)</f>
        <v>43059.64583</v>
      </c>
      <c r="C1025" s="9">
        <f>IFERROR(__xludf.DUMMYFUNCTION("""COMPUTED_VALUE"""),484.5)</f>
        <v>484.5</v>
      </c>
      <c r="D1025" s="9">
        <f>IFERROR(__xludf.DUMMYFUNCTION("""COMPUTED_VALUE"""),485.5)</f>
        <v>485.5</v>
      </c>
      <c r="E1025" s="9">
        <f>IFERROR(__xludf.DUMMYFUNCTION("""COMPUTED_VALUE"""),478.63)</f>
        <v>478.63</v>
      </c>
      <c r="F1025" s="9">
        <f>IFERROR(__xludf.DUMMYFUNCTION("""COMPUTED_VALUE"""),480.28)</f>
        <v>480.28</v>
      </c>
      <c r="G1025" s="9">
        <f>IFERROR(__xludf.DUMMYFUNCTION("""COMPUTED_VALUE"""),2830595.0)</f>
        <v>2830595</v>
      </c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</row>
    <row r="1026">
      <c r="A1026" s="1"/>
      <c r="B1026" s="22">
        <f>IFERROR(__xludf.DUMMYFUNCTION("""COMPUTED_VALUE"""),43060.64583333333)</f>
        <v>43060.64583</v>
      </c>
      <c r="C1026" s="9">
        <f>IFERROR(__xludf.DUMMYFUNCTION("""COMPUTED_VALUE"""),480.65)</f>
        <v>480.65</v>
      </c>
      <c r="D1026" s="9">
        <f>IFERROR(__xludf.DUMMYFUNCTION("""COMPUTED_VALUE"""),485.75)</f>
        <v>485.75</v>
      </c>
      <c r="E1026" s="9">
        <f>IFERROR(__xludf.DUMMYFUNCTION("""COMPUTED_VALUE"""),480.03)</f>
        <v>480.03</v>
      </c>
      <c r="F1026" s="9">
        <f>IFERROR(__xludf.DUMMYFUNCTION("""COMPUTED_VALUE"""),483.13)</f>
        <v>483.13</v>
      </c>
      <c r="G1026" s="9">
        <f>IFERROR(__xludf.DUMMYFUNCTION("""COMPUTED_VALUE"""),2682328.0)</f>
        <v>2682328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</row>
    <row r="1027">
      <c r="A1027" s="1"/>
      <c r="B1027" s="22">
        <f>IFERROR(__xludf.DUMMYFUNCTION("""COMPUTED_VALUE"""),43061.64583333333)</f>
        <v>43061.64583</v>
      </c>
      <c r="C1027" s="9">
        <f>IFERROR(__xludf.DUMMYFUNCTION("""COMPUTED_VALUE"""),483.3)</f>
        <v>483.3</v>
      </c>
      <c r="D1027" s="9">
        <f>IFERROR(__xludf.DUMMYFUNCTION("""COMPUTED_VALUE"""),485.53)</f>
        <v>485.53</v>
      </c>
      <c r="E1027" s="9">
        <f>IFERROR(__xludf.DUMMYFUNCTION("""COMPUTED_VALUE"""),481.65)</f>
        <v>481.65</v>
      </c>
      <c r="F1027" s="9">
        <f>IFERROR(__xludf.DUMMYFUNCTION("""COMPUTED_VALUE"""),483.15)</f>
        <v>483.15</v>
      </c>
      <c r="G1027" s="9">
        <f>IFERROR(__xludf.DUMMYFUNCTION("""COMPUTED_VALUE"""),3042460.0)</f>
        <v>3042460</v>
      </c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</row>
    <row r="1028">
      <c r="A1028" s="1"/>
      <c r="B1028" s="22">
        <f>IFERROR(__xludf.DUMMYFUNCTION("""COMPUTED_VALUE"""),43062.64583333333)</f>
        <v>43062.64583</v>
      </c>
      <c r="C1028" s="9">
        <f>IFERROR(__xludf.DUMMYFUNCTION("""COMPUTED_VALUE"""),485.75)</f>
        <v>485.75</v>
      </c>
      <c r="D1028" s="9">
        <f>IFERROR(__xludf.DUMMYFUNCTION("""COMPUTED_VALUE"""),497.23)</f>
        <v>497.23</v>
      </c>
      <c r="E1028" s="9">
        <f>IFERROR(__xludf.DUMMYFUNCTION("""COMPUTED_VALUE"""),484.5)</f>
        <v>484.5</v>
      </c>
      <c r="F1028" s="9">
        <f>IFERROR(__xludf.DUMMYFUNCTION("""COMPUTED_VALUE"""),495.63)</f>
        <v>495.63</v>
      </c>
      <c r="G1028" s="9">
        <f>IFERROR(__xludf.DUMMYFUNCTION("""COMPUTED_VALUE"""),5947309.0)</f>
        <v>5947309</v>
      </c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</row>
    <row r="1029">
      <c r="A1029" s="1"/>
      <c r="B1029" s="22">
        <f>IFERROR(__xludf.DUMMYFUNCTION("""COMPUTED_VALUE"""),43063.64583333333)</f>
        <v>43063.64583</v>
      </c>
      <c r="C1029" s="9">
        <f>IFERROR(__xludf.DUMMYFUNCTION("""COMPUTED_VALUE"""),495.45)</f>
        <v>495.45</v>
      </c>
      <c r="D1029" s="9">
        <f>IFERROR(__xludf.DUMMYFUNCTION("""COMPUTED_VALUE"""),509.65)</f>
        <v>509.65</v>
      </c>
      <c r="E1029" s="9">
        <f>IFERROR(__xludf.DUMMYFUNCTION("""COMPUTED_VALUE"""),495.1)</f>
        <v>495.1</v>
      </c>
      <c r="F1029" s="9">
        <f>IFERROR(__xludf.DUMMYFUNCTION("""COMPUTED_VALUE"""),504.78)</f>
        <v>504.78</v>
      </c>
      <c r="G1029" s="9">
        <f>IFERROR(__xludf.DUMMYFUNCTION("""COMPUTED_VALUE"""),9309956.0)</f>
        <v>9309956</v>
      </c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</row>
    <row r="1030">
      <c r="A1030" s="1"/>
      <c r="B1030" s="22">
        <f>IFERROR(__xludf.DUMMYFUNCTION("""COMPUTED_VALUE"""),43066.64583333333)</f>
        <v>43066.64583</v>
      </c>
      <c r="C1030" s="9">
        <f>IFERROR(__xludf.DUMMYFUNCTION("""COMPUTED_VALUE"""),503.35)</f>
        <v>503.35</v>
      </c>
      <c r="D1030" s="9">
        <f>IFERROR(__xludf.DUMMYFUNCTION("""COMPUTED_VALUE"""),503.35)</f>
        <v>503.35</v>
      </c>
      <c r="E1030" s="9">
        <f>IFERROR(__xludf.DUMMYFUNCTION("""COMPUTED_VALUE"""),496.65)</f>
        <v>496.65</v>
      </c>
      <c r="F1030" s="9">
        <f>IFERROR(__xludf.DUMMYFUNCTION("""COMPUTED_VALUE"""),499.38)</f>
        <v>499.38</v>
      </c>
      <c r="G1030" s="9">
        <f>IFERROR(__xludf.DUMMYFUNCTION("""COMPUTED_VALUE"""),3008865.0)</f>
        <v>3008865</v>
      </c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</row>
    <row r="1031">
      <c r="A1031" s="1"/>
      <c r="B1031" s="22">
        <f>IFERROR(__xludf.DUMMYFUNCTION("""COMPUTED_VALUE"""),43067.64583333333)</f>
        <v>43067.64583</v>
      </c>
      <c r="C1031" s="9">
        <f>IFERROR(__xludf.DUMMYFUNCTION("""COMPUTED_VALUE"""),497.2)</f>
        <v>497.2</v>
      </c>
      <c r="D1031" s="9">
        <f>IFERROR(__xludf.DUMMYFUNCTION("""COMPUTED_VALUE"""),499.95)</f>
        <v>499.95</v>
      </c>
      <c r="E1031" s="9">
        <f>IFERROR(__xludf.DUMMYFUNCTION("""COMPUTED_VALUE"""),490.65)</f>
        <v>490.65</v>
      </c>
      <c r="F1031" s="9">
        <f>IFERROR(__xludf.DUMMYFUNCTION("""COMPUTED_VALUE"""),492.35)</f>
        <v>492.35</v>
      </c>
      <c r="G1031" s="9">
        <f>IFERROR(__xludf.DUMMYFUNCTION("""COMPUTED_VALUE"""),2308434.0)</f>
        <v>2308434</v>
      </c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</row>
    <row r="1032">
      <c r="A1032" s="1"/>
      <c r="B1032" s="22">
        <f>IFERROR(__xludf.DUMMYFUNCTION("""COMPUTED_VALUE"""),43068.64583333333)</f>
        <v>43068.64583</v>
      </c>
      <c r="C1032" s="9">
        <f>IFERROR(__xludf.DUMMYFUNCTION("""COMPUTED_VALUE"""),493.83)</f>
        <v>493.83</v>
      </c>
      <c r="D1032" s="9">
        <f>IFERROR(__xludf.DUMMYFUNCTION("""COMPUTED_VALUE"""),495.98)</f>
        <v>495.98</v>
      </c>
      <c r="E1032" s="9">
        <f>IFERROR(__xludf.DUMMYFUNCTION("""COMPUTED_VALUE"""),490.15)</f>
        <v>490.15</v>
      </c>
      <c r="F1032" s="9">
        <f>IFERROR(__xludf.DUMMYFUNCTION("""COMPUTED_VALUE"""),491.35)</f>
        <v>491.35</v>
      </c>
      <c r="G1032" s="9">
        <f>IFERROR(__xludf.DUMMYFUNCTION("""COMPUTED_VALUE"""),1919035.0)</f>
        <v>1919035</v>
      </c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</row>
    <row r="1033">
      <c r="A1033" s="1"/>
      <c r="B1033" s="22">
        <f>IFERROR(__xludf.DUMMYFUNCTION("""COMPUTED_VALUE"""),43069.64583333333)</f>
        <v>43069.64583</v>
      </c>
      <c r="C1033" s="9">
        <f>IFERROR(__xludf.DUMMYFUNCTION("""COMPUTED_VALUE"""),494.73)</f>
        <v>494.73</v>
      </c>
      <c r="D1033" s="9">
        <f>IFERROR(__xludf.DUMMYFUNCTION("""COMPUTED_VALUE"""),494.73)</f>
        <v>494.73</v>
      </c>
      <c r="E1033" s="9">
        <f>IFERROR(__xludf.DUMMYFUNCTION("""COMPUTED_VALUE"""),484.18)</f>
        <v>484.18</v>
      </c>
      <c r="F1033" s="9">
        <f>IFERROR(__xludf.DUMMYFUNCTION("""COMPUTED_VALUE"""),488.05)</f>
        <v>488.05</v>
      </c>
      <c r="G1033" s="9">
        <f>IFERROR(__xludf.DUMMYFUNCTION("""COMPUTED_VALUE"""),8633472.0)</f>
        <v>8633472</v>
      </c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</row>
    <row r="1034">
      <c r="A1034" s="1"/>
      <c r="B1034" s="22">
        <f>IFERROR(__xludf.DUMMYFUNCTION("""COMPUTED_VALUE"""),43070.64583333333)</f>
        <v>43070.64583</v>
      </c>
      <c r="C1034" s="9">
        <f>IFERROR(__xludf.DUMMYFUNCTION("""COMPUTED_VALUE"""),489.7)</f>
        <v>489.7</v>
      </c>
      <c r="D1034" s="9">
        <f>IFERROR(__xludf.DUMMYFUNCTION("""COMPUTED_VALUE"""),491.6)</f>
        <v>491.6</v>
      </c>
      <c r="E1034" s="9">
        <f>IFERROR(__xludf.DUMMYFUNCTION("""COMPUTED_VALUE"""),478.53)</f>
        <v>478.53</v>
      </c>
      <c r="F1034" s="9">
        <f>IFERROR(__xludf.DUMMYFUNCTION("""COMPUTED_VALUE"""),479.4)</f>
        <v>479.4</v>
      </c>
      <c r="G1034" s="9">
        <f>IFERROR(__xludf.DUMMYFUNCTION("""COMPUTED_VALUE"""),2042500.0)</f>
        <v>2042500</v>
      </c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</row>
    <row r="1035">
      <c r="A1035" s="1"/>
      <c r="B1035" s="22">
        <f>IFERROR(__xludf.DUMMYFUNCTION("""COMPUTED_VALUE"""),43073.64583333333)</f>
        <v>43073.64583</v>
      </c>
      <c r="C1035" s="9">
        <f>IFERROR(__xludf.DUMMYFUNCTION("""COMPUTED_VALUE"""),490.0)</f>
        <v>490</v>
      </c>
      <c r="D1035" s="9">
        <f>IFERROR(__xludf.DUMMYFUNCTION("""COMPUTED_VALUE"""),498.4)</f>
        <v>498.4</v>
      </c>
      <c r="E1035" s="9">
        <f>IFERROR(__xludf.DUMMYFUNCTION("""COMPUTED_VALUE"""),484.28)</f>
        <v>484.28</v>
      </c>
      <c r="F1035" s="9">
        <f>IFERROR(__xludf.DUMMYFUNCTION("""COMPUTED_VALUE"""),492.68)</f>
        <v>492.68</v>
      </c>
      <c r="G1035" s="9">
        <f>IFERROR(__xludf.DUMMYFUNCTION("""COMPUTED_VALUE"""),8905803.0)</f>
        <v>8905803</v>
      </c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</row>
    <row r="1036">
      <c r="A1036" s="1"/>
      <c r="B1036" s="22">
        <f>IFERROR(__xludf.DUMMYFUNCTION("""COMPUTED_VALUE"""),43074.64583333333)</f>
        <v>43074.64583</v>
      </c>
      <c r="C1036" s="9">
        <f>IFERROR(__xludf.DUMMYFUNCTION("""COMPUTED_VALUE"""),492.68)</f>
        <v>492.68</v>
      </c>
      <c r="D1036" s="9">
        <f>IFERROR(__xludf.DUMMYFUNCTION("""COMPUTED_VALUE"""),501.5)</f>
        <v>501.5</v>
      </c>
      <c r="E1036" s="9">
        <f>IFERROR(__xludf.DUMMYFUNCTION("""COMPUTED_VALUE"""),489.5)</f>
        <v>489.5</v>
      </c>
      <c r="F1036" s="9">
        <f>IFERROR(__xludf.DUMMYFUNCTION("""COMPUTED_VALUE"""),492.18)</f>
        <v>492.18</v>
      </c>
      <c r="G1036" s="9">
        <f>IFERROR(__xludf.DUMMYFUNCTION("""COMPUTED_VALUE"""),4988369.0)</f>
        <v>4988369</v>
      </c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</row>
    <row r="1037">
      <c r="A1037" s="1"/>
      <c r="B1037" s="22">
        <f>IFERROR(__xludf.DUMMYFUNCTION("""COMPUTED_VALUE"""),43075.64583333333)</f>
        <v>43075.64583</v>
      </c>
      <c r="C1037" s="9">
        <f>IFERROR(__xludf.DUMMYFUNCTION("""COMPUTED_VALUE"""),492.5)</f>
        <v>492.5</v>
      </c>
      <c r="D1037" s="9">
        <f>IFERROR(__xludf.DUMMYFUNCTION("""COMPUTED_VALUE"""),497.05)</f>
        <v>497.05</v>
      </c>
      <c r="E1037" s="9">
        <f>IFERROR(__xludf.DUMMYFUNCTION("""COMPUTED_VALUE"""),492.0)</f>
        <v>492</v>
      </c>
      <c r="F1037" s="9">
        <f>IFERROR(__xludf.DUMMYFUNCTION("""COMPUTED_VALUE"""),495.15)</f>
        <v>495.15</v>
      </c>
      <c r="G1037" s="9">
        <f>IFERROR(__xludf.DUMMYFUNCTION("""COMPUTED_VALUE"""),3745047.0)</f>
        <v>3745047</v>
      </c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</row>
    <row r="1038">
      <c r="A1038" s="1"/>
      <c r="B1038" s="22">
        <f>IFERROR(__xludf.DUMMYFUNCTION("""COMPUTED_VALUE"""),43076.64583333333)</f>
        <v>43076.64583</v>
      </c>
      <c r="C1038" s="9">
        <f>IFERROR(__xludf.DUMMYFUNCTION("""COMPUTED_VALUE"""),494.5)</f>
        <v>494.5</v>
      </c>
      <c r="D1038" s="9">
        <f>IFERROR(__xludf.DUMMYFUNCTION("""COMPUTED_VALUE"""),501.45)</f>
        <v>501.45</v>
      </c>
      <c r="E1038" s="9">
        <f>IFERROR(__xludf.DUMMYFUNCTION("""COMPUTED_VALUE"""),492.8)</f>
        <v>492.8</v>
      </c>
      <c r="F1038" s="9">
        <f>IFERROR(__xludf.DUMMYFUNCTION("""COMPUTED_VALUE"""),499.93)</f>
        <v>499.93</v>
      </c>
      <c r="G1038" s="9">
        <f>IFERROR(__xludf.DUMMYFUNCTION("""COMPUTED_VALUE"""),3774772.0)</f>
        <v>3774772</v>
      </c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</row>
    <row r="1039">
      <c r="A1039" s="1"/>
      <c r="B1039" s="22">
        <f>IFERROR(__xludf.DUMMYFUNCTION("""COMPUTED_VALUE"""),43077.64583333333)</f>
        <v>43077.64583</v>
      </c>
      <c r="C1039" s="9">
        <f>IFERROR(__xludf.DUMMYFUNCTION("""COMPUTED_VALUE"""),500.5)</f>
        <v>500.5</v>
      </c>
      <c r="D1039" s="9">
        <f>IFERROR(__xludf.DUMMYFUNCTION("""COMPUTED_VALUE"""),503.5)</f>
        <v>503.5</v>
      </c>
      <c r="E1039" s="9">
        <f>IFERROR(__xludf.DUMMYFUNCTION("""COMPUTED_VALUE"""),497.5)</f>
        <v>497.5</v>
      </c>
      <c r="F1039" s="9">
        <f>IFERROR(__xludf.DUMMYFUNCTION("""COMPUTED_VALUE"""),500.93)</f>
        <v>500.93</v>
      </c>
      <c r="G1039" s="9">
        <f>IFERROR(__xludf.DUMMYFUNCTION("""COMPUTED_VALUE"""),2991622.0)</f>
        <v>2991622</v>
      </c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</row>
    <row r="1040">
      <c r="A1040" s="1"/>
      <c r="B1040" s="22">
        <f>IFERROR(__xludf.DUMMYFUNCTION("""COMPUTED_VALUE"""),43080.64583333333)</f>
        <v>43080.64583</v>
      </c>
      <c r="C1040" s="9">
        <f>IFERROR(__xludf.DUMMYFUNCTION("""COMPUTED_VALUE"""),497.48)</f>
        <v>497.48</v>
      </c>
      <c r="D1040" s="9">
        <f>IFERROR(__xludf.DUMMYFUNCTION("""COMPUTED_VALUE"""),503.45)</f>
        <v>503.45</v>
      </c>
      <c r="E1040" s="9">
        <f>IFERROR(__xludf.DUMMYFUNCTION("""COMPUTED_VALUE"""),496.98)</f>
        <v>496.98</v>
      </c>
      <c r="F1040" s="9">
        <f>IFERROR(__xludf.DUMMYFUNCTION("""COMPUTED_VALUE"""),502.65)</f>
        <v>502.65</v>
      </c>
      <c r="G1040" s="9">
        <f>IFERROR(__xludf.DUMMYFUNCTION("""COMPUTED_VALUE"""),2569549.0)</f>
        <v>2569549</v>
      </c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</row>
    <row r="1041">
      <c r="A1041" s="1"/>
      <c r="B1041" s="22">
        <f>IFERROR(__xludf.DUMMYFUNCTION("""COMPUTED_VALUE"""),43081.64583333333)</f>
        <v>43081.64583</v>
      </c>
      <c r="C1041" s="9">
        <f>IFERROR(__xludf.DUMMYFUNCTION("""COMPUTED_VALUE"""),501.0)</f>
        <v>501</v>
      </c>
      <c r="D1041" s="9">
        <f>IFERROR(__xludf.DUMMYFUNCTION("""COMPUTED_VALUE"""),507.0)</f>
        <v>507</v>
      </c>
      <c r="E1041" s="9">
        <f>IFERROR(__xludf.DUMMYFUNCTION("""COMPUTED_VALUE"""),501.0)</f>
        <v>501</v>
      </c>
      <c r="F1041" s="9">
        <f>IFERROR(__xludf.DUMMYFUNCTION("""COMPUTED_VALUE"""),505.25)</f>
        <v>505.25</v>
      </c>
      <c r="G1041" s="9">
        <f>IFERROR(__xludf.DUMMYFUNCTION("""COMPUTED_VALUE"""),4660217.0)</f>
        <v>4660217</v>
      </c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</row>
    <row r="1042">
      <c r="A1042" s="1"/>
      <c r="B1042" s="22">
        <f>IFERROR(__xludf.DUMMYFUNCTION("""COMPUTED_VALUE"""),43082.64583333333)</f>
        <v>43082.64583</v>
      </c>
      <c r="C1042" s="9">
        <f>IFERROR(__xludf.DUMMYFUNCTION("""COMPUTED_VALUE"""),505.45)</f>
        <v>505.45</v>
      </c>
      <c r="D1042" s="9">
        <f>IFERROR(__xludf.DUMMYFUNCTION("""COMPUTED_VALUE"""),509.5)</f>
        <v>509.5</v>
      </c>
      <c r="E1042" s="9">
        <f>IFERROR(__xludf.DUMMYFUNCTION("""COMPUTED_VALUE"""),498.83)</f>
        <v>498.83</v>
      </c>
      <c r="F1042" s="9">
        <f>IFERROR(__xludf.DUMMYFUNCTION("""COMPUTED_VALUE"""),501.88)</f>
        <v>501.88</v>
      </c>
      <c r="G1042" s="9">
        <f>IFERROR(__xludf.DUMMYFUNCTION("""COMPUTED_VALUE"""),2681199.0)</f>
        <v>2681199</v>
      </c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</row>
    <row r="1043">
      <c r="A1043" s="1"/>
      <c r="B1043" s="22">
        <f>IFERROR(__xludf.DUMMYFUNCTION("""COMPUTED_VALUE"""),43083.64583333333)</f>
        <v>43083.64583</v>
      </c>
      <c r="C1043" s="9">
        <f>IFERROR(__xludf.DUMMYFUNCTION("""COMPUTED_VALUE"""),502.63)</f>
        <v>502.63</v>
      </c>
      <c r="D1043" s="9">
        <f>IFERROR(__xludf.DUMMYFUNCTION("""COMPUTED_VALUE"""),507.5)</f>
        <v>507.5</v>
      </c>
      <c r="E1043" s="9">
        <f>IFERROR(__xludf.DUMMYFUNCTION("""COMPUTED_VALUE"""),499.65)</f>
        <v>499.65</v>
      </c>
      <c r="F1043" s="9">
        <f>IFERROR(__xludf.DUMMYFUNCTION("""COMPUTED_VALUE"""),506.55)</f>
        <v>506.55</v>
      </c>
      <c r="G1043" s="9">
        <f>IFERROR(__xludf.DUMMYFUNCTION("""COMPUTED_VALUE"""),3011786.0)</f>
        <v>3011786</v>
      </c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</row>
    <row r="1044">
      <c r="A1044" s="1"/>
      <c r="B1044" s="22">
        <f>IFERROR(__xludf.DUMMYFUNCTION("""COMPUTED_VALUE"""),43084.64583333333)</f>
        <v>43084.64583</v>
      </c>
      <c r="C1044" s="9">
        <f>IFERROR(__xludf.DUMMYFUNCTION("""COMPUTED_VALUE"""),506.5)</f>
        <v>506.5</v>
      </c>
      <c r="D1044" s="9">
        <f>IFERROR(__xludf.DUMMYFUNCTION("""COMPUTED_VALUE"""),513.2)</f>
        <v>513.2</v>
      </c>
      <c r="E1044" s="9">
        <f>IFERROR(__xludf.DUMMYFUNCTION("""COMPUTED_VALUE"""),505.93)</f>
        <v>505.93</v>
      </c>
      <c r="F1044" s="9">
        <f>IFERROR(__xludf.DUMMYFUNCTION("""COMPUTED_VALUE"""),511.45)</f>
        <v>511.45</v>
      </c>
      <c r="G1044" s="9">
        <f>IFERROR(__xludf.DUMMYFUNCTION("""COMPUTED_VALUE"""),5192067.0)</f>
        <v>5192067</v>
      </c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</row>
    <row r="1045">
      <c r="A1045" s="1"/>
      <c r="B1045" s="22">
        <f>IFERROR(__xludf.DUMMYFUNCTION("""COMPUTED_VALUE"""),43087.64583333333)</f>
        <v>43087.64583</v>
      </c>
      <c r="C1045" s="9">
        <f>IFERROR(__xludf.DUMMYFUNCTION("""COMPUTED_VALUE"""),505.95)</f>
        <v>505.95</v>
      </c>
      <c r="D1045" s="9">
        <f>IFERROR(__xludf.DUMMYFUNCTION("""COMPUTED_VALUE"""),515.35)</f>
        <v>515.35</v>
      </c>
      <c r="E1045" s="9">
        <f>IFERROR(__xludf.DUMMYFUNCTION("""COMPUTED_VALUE"""),502.9)</f>
        <v>502.9</v>
      </c>
      <c r="F1045" s="9">
        <f>IFERROR(__xludf.DUMMYFUNCTION("""COMPUTED_VALUE"""),508.3)</f>
        <v>508.3</v>
      </c>
      <c r="G1045" s="9">
        <f>IFERROR(__xludf.DUMMYFUNCTION("""COMPUTED_VALUE"""),2017724.0)</f>
        <v>2017724</v>
      </c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</row>
    <row r="1046">
      <c r="A1046" s="1"/>
      <c r="B1046" s="22">
        <f>IFERROR(__xludf.DUMMYFUNCTION("""COMPUTED_VALUE"""),43088.64583333333)</f>
        <v>43088.64583</v>
      </c>
      <c r="C1046" s="9">
        <f>IFERROR(__xludf.DUMMYFUNCTION("""COMPUTED_VALUE"""),508.73)</f>
        <v>508.73</v>
      </c>
      <c r="D1046" s="9">
        <f>IFERROR(__xludf.DUMMYFUNCTION("""COMPUTED_VALUE"""),508.98)</f>
        <v>508.98</v>
      </c>
      <c r="E1046" s="9">
        <f>IFERROR(__xludf.DUMMYFUNCTION("""COMPUTED_VALUE"""),499.78)</f>
        <v>499.78</v>
      </c>
      <c r="F1046" s="9">
        <f>IFERROR(__xludf.DUMMYFUNCTION("""COMPUTED_VALUE"""),501.98)</f>
        <v>501.98</v>
      </c>
      <c r="G1046" s="9">
        <f>IFERROR(__xludf.DUMMYFUNCTION("""COMPUTED_VALUE"""),3559449.0)</f>
        <v>3559449</v>
      </c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</row>
    <row r="1047">
      <c r="A1047" s="1"/>
      <c r="B1047" s="22">
        <f>IFERROR(__xludf.DUMMYFUNCTION("""COMPUTED_VALUE"""),43089.64583333333)</f>
        <v>43089.64583</v>
      </c>
      <c r="C1047" s="9">
        <f>IFERROR(__xludf.DUMMYFUNCTION("""COMPUTED_VALUE"""),502.55)</f>
        <v>502.55</v>
      </c>
      <c r="D1047" s="9">
        <f>IFERROR(__xludf.DUMMYFUNCTION("""COMPUTED_VALUE"""),509.3)</f>
        <v>509.3</v>
      </c>
      <c r="E1047" s="9">
        <f>IFERROR(__xludf.DUMMYFUNCTION("""COMPUTED_VALUE"""),500.5)</f>
        <v>500.5</v>
      </c>
      <c r="F1047" s="9">
        <f>IFERROR(__xludf.DUMMYFUNCTION("""COMPUTED_VALUE"""),507.93)</f>
        <v>507.93</v>
      </c>
      <c r="G1047" s="9">
        <f>IFERROR(__xludf.DUMMYFUNCTION("""COMPUTED_VALUE"""),2093163.0)</f>
        <v>2093163</v>
      </c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</row>
    <row r="1048">
      <c r="A1048" s="1"/>
      <c r="B1048" s="22">
        <f>IFERROR(__xludf.DUMMYFUNCTION("""COMPUTED_VALUE"""),43090.64583333333)</f>
        <v>43090.64583</v>
      </c>
      <c r="C1048" s="9">
        <f>IFERROR(__xludf.DUMMYFUNCTION("""COMPUTED_VALUE"""),507.4)</f>
        <v>507.4</v>
      </c>
      <c r="D1048" s="9">
        <f>IFERROR(__xludf.DUMMYFUNCTION("""COMPUTED_VALUE"""),514.48)</f>
        <v>514.48</v>
      </c>
      <c r="E1048" s="9">
        <f>IFERROR(__xludf.DUMMYFUNCTION("""COMPUTED_VALUE"""),499.2)</f>
        <v>499.2</v>
      </c>
      <c r="F1048" s="9">
        <f>IFERROR(__xludf.DUMMYFUNCTION("""COMPUTED_VALUE"""),511.03)</f>
        <v>511.03</v>
      </c>
      <c r="G1048" s="9">
        <f>IFERROR(__xludf.DUMMYFUNCTION("""COMPUTED_VALUE"""),5529581.0)</f>
        <v>5529581</v>
      </c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</row>
    <row r="1049">
      <c r="A1049" s="1"/>
      <c r="B1049" s="22">
        <f>IFERROR(__xludf.DUMMYFUNCTION("""COMPUTED_VALUE"""),43091.64583333333)</f>
        <v>43091.64583</v>
      </c>
      <c r="C1049" s="9">
        <f>IFERROR(__xludf.DUMMYFUNCTION("""COMPUTED_VALUE"""),508.0)</f>
        <v>508</v>
      </c>
      <c r="D1049" s="9">
        <f>IFERROR(__xludf.DUMMYFUNCTION("""COMPUTED_VALUE"""),522.4)</f>
        <v>522.4</v>
      </c>
      <c r="E1049" s="9">
        <f>IFERROR(__xludf.DUMMYFUNCTION("""COMPUTED_VALUE"""),508.0)</f>
        <v>508</v>
      </c>
      <c r="F1049" s="9">
        <f>IFERROR(__xludf.DUMMYFUNCTION("""COMPUTED_VALUE"""),519.67)</f>
        <v>519.67</v>
      </c>
      <c r="G1049" s="9">
        <f>IFERROR(__xludf.DUMMYFUNCTION("""COMPUTED_VALUE"""),6453470.0)</f>
        <v>6453470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</row>
    <row r="1050">
      <c r="A1050" s="1"/>
      <c r="B1050" s="22">
        <f>IFERROR(__xludf.DUMMYFUNCTION("""COMPUTED_VALUE"""),43095.64583333333)</f>
        <v>43095.64583</v>
      </c>
      <c r="C1050" s="9">
        <f>IFERROR(__xludf.DUMMYFUNCTION("""COMPUTED_VALUE"""),515.0)</f>
        <v>515</v>
      </c>
      <c r="D1050" s="9">
        <f>IFERROR(__xludf.DUMMYFUNCTION("""COMPUTED_VALUE"""),520.75)</f>
        <v>520.75</v>
      </c>
      <c r="E1050" s="9">
        <f>IFERROR(__xludf.DUMMYFUNCTION("""COMPUTED_VALUE"""),511.5)</f>
        <v>511.5</v>
      </c>
      <c r="F1050" s="9">
        <f>IFERROR(__xludf.DUMMYFUNCTION("""COMPUTED_VALUE"""),517.8)</f>
        <v>517.8</v>
      </c>
      <c r="G1050" s="9">
        <f>IFERROR(__xludf.DUMMYFUNCTION("""COMPUTED_VALUE"""),5404453.0)</f>
        <v>5404453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</row>
    <row r="1051">
      <c r="A1051" s="1"/>
      <c r="B1051" s="22">
        <f>IFERROR(__xludf.DUMMYFUNCTION("""COMPUTED_VALUE"""),43096.64583333333)</f>
        <v>43096.64583</v>
      </c>
      <c r="C1051" s="9">
        <f>IFERROR(__xludf.DUMMYFUNCTION("""COMPUTED_VALUE"""),514.0)</f>
        <v>514</v>
      </c>
      <c r="D1051" s="9">
        <f>IFERROR(__xludf.DUMMYFUNCTION("""COMPUTED_VALUE"""),519.55)</f>
        <v>519.55</v>
      </c>
      <c r="E1051" s="9">
        <f>IFERROR(__xludf.DUMMYFUNCTION("""COMPUTED_VALUE"""),513.7)</f>
        <v>513.7</v>
      </c>
      <c r="F1051" s="9">
        <f>IFERROR(__xludf.DUMMYFUNCTION("""COMPUTED_VALUE"""),517.13)</f>
        <v>517.13</v>
      </c>
      <c r="G1051" s="9">
        <f>IFERROR(__xludf.DUMMYFUNCTION("""COMPUTED_VALUE"""),3485086.0)</f>
        <v>3485086</v>
      </c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</row>
    <row r="1052">
      <c r="A1052" s="1"/>
      <c r="B1052" s="22">
        <f>IFERROR(__xludf.DUMMYFUNCTION("""COMPUTED_VALUE"""),43097.64583333333)</f>
        <v>43097.64583</v>
      </c>
      <c r="C1052" s="9">
        <f>IFERROR(__xludf.DUMMYFUNCTION("""COMPUTED_VALUE"""),515.0)</f>
        <v>515</v>
      </c>
      <c r="D1052" s="9">
        <f>IFERROR(__xludf.DUMMYFUNCTION("""COMPUTED_VALUE"""),520.0)</f>
        <v>520</v>
      </c>
      <c r="E1052" s="9">
        <f>IFERROR(__xludf.DUMMYFUNCTION("""COMPUTED_VALUE"""),511.9)</f>
        <v>511.9</v>
      </c>
      <c r="F1052" s="9">
        <f>IFERROR(__xludf.DUMMYFUNCTION("""COMPUTED_VALUE"""),516.63)</f>
        <v>516.63</v>
      </c>
      <c r="G1052" s="9">
        <f>IFERROR(__xludf.DUMMYFUNCTION("""COMPUTED_VALUE"""),4216736.0)</f>
        <v>4216736</v>
      </c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</row>
    <row r="1053">
      <c r="A1053" s="1"/>
      <c r="B1053" s="22">
        <f>IFERROR(__xludf.DUMMYFUNCTION("""COMPUTED_VALUE"""),43098.64583333333)</f>
        <v>43098.64583</v>
      </c>
      <c r="C1053" s="9">
        <f>IFERROR(__xludf.DUMMYFUNCTION("""COMPUTED_VALUE"""),515.05)</f>
        <v>515.05</v>
      </c>
      <c r="D1053" s="9">
        <f>IFERROR(__xludf.DUMMYFUNCTION("""COMPUTED_VALUE"""),524.4)</f>
        <v>524.4</v>
      </c>
      <c r="E1053" s="9">
        <f>IFERROR(__xludf.DUMMYFUNCTION("""COMPUTED_VALUE"""),515.0)</f>
        <v>515</v>
      </c>
      <c r="F1053" s="9">
        <f>IFERROR(__xludf.DUMMYFUNCTION("""COMPUTED_VALUE"""),521.03)</f>
        <v>521.03</v>
      </c>
      <c r="G1053" s="9">
        <f>IFERROR(__xludf.DUMMYFUNCTION("""COMPUTED_VALUE"""),3300884.0)</f>
        <v>3300884</v>
      </c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</row>
    <row r="1054">
      <c r="A1054" s="1"/>
      <c r="B1054" s="22">
        <f>IFERROR(__xludf.DUMMYFUNCTION("""COMPUTED_VALUE"""),43101.64583333333)</f>
        <v>43101.64583</v>
      </c>
      <c r="C1054" s="9">
        <f>IFERROR(__xludf.DUMMYFUNCTION("""COMPUTED_VALUE"""),518.85)</f>
        <v>518.85</v>
      </c>
      <c r="D1054" s="9">
        <f>IFERROR(__xludf.DUMMYFUNCTION("""COMPUTED_VALUE"""),522.25)</f>
        <v>522.25</v>
      </c>
      <c r="E1054" s="9">
        <f>IFERROR(__xludf.DUMMYFUNCTION("""COMPUTED_VALUE"""),515.0)</f>
        <v>515</v>
      </c>
      <c r="F1054" s="9">
        <f>IFERROR(__xludf.DUMMYFUNCTION("""COMPUTED_VALUE"""),516.78)</f>
        <v>516.78</v>
      </c>
      <c r="G1054" s="9">
        <f>IFERROR(__xludf.DUMMYFUNCTION("""COMPUTED_VALUE"""),2715670.0)</f>
        <v>2715670</v>
      </c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</row>
    <row r="1055">
      <c r="A1055" s="1"/>
      <c r="B1055" s="22">
        <f>IFERROR(__xludf.DUMMYFUNCTION("""COMPUTED_VALUE"""),43102.64583333333)</f>
        <v>43102.64583</v>
      </c>
      <c r="C1055" s="9">
        <f>IFERROR(__xludf.DUMMYFUNCTION("""COMPUTED_VALUE"""),518.63)</f>
        <v>518.63</v>
      </c>
      <c r="D1055" s="9">
        <f>IFERROR(__xludf.DUMMYFUNCTION("""COMPUTED_VALUE"""),521.0)</f>
        <v>521</v>
      </c>
      <c r="E1055" s="9">
        <f>IFERROR(__xludf.DUMMYFUNCTION("""COMPUTED_VALUE"""),511.5)</f>
        <v>511.5</v>
      </c>
      <c r="F1055" s="9">
        <f>IFERROR(__xludf.DUMMYFUNCTION("""COMPUTED_VALUE"""),514.85)</f>
        <v>514.85</v>
      </c>
      <c r="G1055" s="9">
        <f>IFERROR(__xludf.DUMMYFUNCTION("""COMPUTED_VALUE"""),3056124.0)</f>
        <v>3056124</v>
      </c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</row>
    <row r="1056">
      <c r="A1056" s="1"/>
      <c r="B1056" s="22">
        <f>IFERROR(__xludf.DUMMYFUNCTION("""COMPUTED_VALUE"""),43103.64583333333)</f>
        <v>43103.64583</v>
      </c>
      <c r="C1056" s="9">
        <f>IFERROR(__xludf.DUMMYFUNCTION("""COMPUTED_VALUE"""),514.25)</f>
        <v>514.25</v>
      </c>
      <c r="D1056" s="9">
        <f>IFERROR(__xludf.DUMMYFUNCTION("""COMPUTED_VALUE"""),515.8)</f>
        <v>515.8</v>
      </c>
      <c r="E1056" s="9">
        <f>IFERROR(__xludf.DUMMYFUNCTION("""COMPUTED_VALUE"""),509.3)</f>
        <v>509.3</v>
      </c>
      <c r="F1056" s="9">
        <f>IFERROR(__xludf.DUMMYFUNCTION("""COMPUTED_VALUE"""),510.65)</f>
        <v>510.65</v>
      </c>
      <c r="G1056" s="9">
        <f>IFERROR(__xludf.DUMMYFUNCTION("""COMPUTED_VALUE"""),3423276.0)</f>
        <v>3423276</v>
      </c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</row>
    <row r="1057">
      <c r="A1057" s="1"/>
      <c r="B1057" s="22">
        <f>IFERROR(__xludf.DUMMYFUNCTION("""COMPUTED_VALUE"""),43104.64583333333)</f>
        <v>43104.64583</v>
      </c>
      <c r="C1057" s="9">
        <f>IFERROR(__xludf.DUMMYFUNCTION("""COMPUTED_VALUE"""),510.5)</f>
        <v>510.5</v>
      </c>
      <c r="D1057" s="9">
        <f>IFERROR(__xludf.DUMMYFUNCTION("""COMPUTED_VALUE"""),510.5)</f>
        <v>510.5</v>
      </c>
      <c r="E1057" s="9">
        <f>IFERROR(__xludf.DUMMYFUNCTION("""COMPUTED_VALUE"""),504.8)</f>
        <v>504.8</v>
      </c>
      <c r="F1057" s="9">
        <f>IFERROR(__xludf.DUMMYFUNCTION("""COMPUTED_VALUE"""),507.7)</f>
        <v>507.7</v>
      </c>
      <c r="G1057" s="9">
        <f>IFERROR(__xludf.DUMMYFUNCTION("""COMPUTED_VALUE"""),4473807.0)</f>
        <v>4473807</v>
      </c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</row>
    <row r="1058">
      <c r="A1058" s="1"/>
      <c r="B1058" s="22">
        <f>IFERROR(__xludf.DUMMYFUNCTION("""COMPUTED_VALUE"""),43105.64583333333)</f>
        <v>43105.64583</v>
      </c>
      <c r="C1058" s="9">
        <f>IFERROR(__xludf.DUMMYFUNCTION("""COMPUTED_VALUE"""),507.65)</f>
        <v>507.65</v>
      </c>
      <c r="D1058" s="9">
        <f>IFERROR(__xludf.DUMMYFUNCTION("""COMPUTED_VALUE"""),513.2)</f>
        <v>513.2</v>
      </c>
      <c r="E1058" s="9">
        <f>IFERROR(__xludf.DUMMYFUNCTION("""COMPUTED_VALUE"""),503.0)</f>
        <v>503</v>
      </c>
      <c r="F1058" s="9">
        <f>IFERROR(__xludf.DUMMYFUNCTION("""COMPUTED_VALUE"""),506.0)</f>
        <v>506</v>
      </c>
      <c r="G1058" s="9">
        <f>IFERROR(__xludf.DUMMYFUNCTION("""COMPUTED_VALUE"""),5512988.0)</f>
        <v>5512988</v>
      </c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</row>
    <row r="1059">
      <c r="A1059" s="1"/>
      <c r="B1059" s="22">
        <f>IFERROR(__xludf.DUMMYFUNCTION("""COMPUTED_VALUE"""),43108.64583333333)</f>
        <v>43108.64583</v>
      </c>
      <c r="C1059" s="9">
        <f>IFERROR(__xludf.DUMMYFUNCTION("""COMPUTED_VALUE"""),512.45)</f>
        <v>512.45</v>
      </c>
      <c r="D1059" s="9">
        <f>IFERROR(__xludf.DUMMYFUNCTION("""COMPUTED_VALUE"""),519.5)</f>
        <v>519.5</v>
      </c>
      <c r="E1059" s="9">
        <f>IFERROR(__xludf.DUMMYFUNCTION("""COMPUTED_VALUE"""),510.03)</f>
        <v>510.03</v>
      </c>
      <c r="F1059" s="9">
        <f>IFERROR(__xludf.DUMMYFUNCTION("""COMPUTED_VALUE"""),518.03)</f>
        <v>518.03</v>
      </c>
      <c r="G1059" s="9">
        <f>IFERROR(__xludf.DUMMYFUNCTION("""COMPUTED_VALUE"""),2797345.0)</f>
        <v>2797345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</row>
    <row r="1060">
      <c r="A1060" s="1"/>
      <c r="B1060" s="22">
        <f>IFERROR(__xludf.DUMMYFUNCTION("""COMPUTED_VALUE"""),43109.64583333333)</f>
        <v>43109.64583</v>
      </c>
      <c r="C1060" s="9">
        <f>IFERROR(__xludf.DUMMYFUNCTION("""COMPUTED_VALUE"""),520.0)</f>
        <v>520</v>
      </c>
      <c r="D1060" s="9">
        <f>IFERROR(__xludf.DUMMYFUNCTION("""COMPUTED_VALUE"""),522.45)</f>
        <v>522.45</v>
      </c>
      <c r="E1060" s="9">
        <f>IFERROR(__xludf.DUMMYFUNCTION("""COMPUTED_VALUE"""),514.45)</f>
        <v>514.45</v>
      </c>
      <c r="F1060" s="9">
        <f>IFERROR(__xludf.DUMMYFUNCTION("""COMPUTED_VALUE"""),520.67)</f>
        <v>520.67</v>
      </c>
      <c r="G1060" s="9">
        <f>IFERROR(__xludf.DUMMYFUNCTION("""COMPUTED_VALUE"""),4974118.0)</f>
        <v>4974118</v>
      </c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</row>
    <row r="1061">
      <c r="A1061" s="1"/>
      <c r="B1061" s="22">
        <f>IFERROR(__xludf.DUMMYFUNCTION("""COMPUTED_VALUE"""),43110.64583333333)</f>
        <v>43110.64583</v>
      </c>
      <c r="C1061" s="9">
        <f>IFERROR(__xludf.DUMMYFUNCTION("""COMPUTED_VALUE"""),523.4)</f>
        <v>523.4</v>
      </c>
      <c r="D1061" s="9">
        <f>IFERROR(__xludf.DUMMYFUNCTION("""COMPUTED_VALUE"""),528.0)</f>
        <v>528</v>
      </c>
      <c r="E1061" s="9">
        <f>IFERROR(__xludf.DUMMYFUNCTION("""COMPUTED_VALUE"""),516.53)</f>
        <v>516.53</v>
      </c>
      <c r="F1061" s="9">
        <f>IFERROR(__xludf.DUMMYFUNCTION("""COMPUTED_VALUE"""),526.13)</f>
        <v>526.13</v>
      </c>
      <c r="G1061" s="9">
        <f>IFERROR(__xludf.DUMMYFUNCTION("""COMPUTED_VALUE"""),4734317.0)</f>
        <v>4734317</v>
      </c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</row>
    <row r="1062">
      <c r="A1062" s="1"/>
      <c r="B1062" s="22">
        <f>IFERROR(__xludf.DUMMYFUNCTION("""COMPUTED_VALUE"""),43111.64583333333)</f>
        <v>43111.64583</v>
      </c>
      <c r="C1062" s="9">
        <f>IFERROR(__xludf.DUMMYFUNCTION("""COMPUTED_VALUE"""),527.63)</f>
        <v>527.63</v>
      </c>
      <c r="D1062" s="9">
        <f>IFERROR(__xludf.DUMMYFUNCTION("""COMPUTED_VALUE"""),541.7)</f>
        <v>541.7</v>
      </c>
      <c r="E1062" s="9">
        <f>IFERROR(__xludf.DUMMYFUNCTION("""COMPUTED_VALUE"""),527.63)</f>
        <v>527.63</v>
      </c>
      <c r="F1062" s="9">
        <f>IFERROR(__xludf.DUMMYFUNCTION("""COMPUTED_VALUE"""),537.9)</f>
        <v>537.9</v>
      </c>
      <c r="G1062" s="9">
        <f>IFERROR(__xludf.DUMMYFUNCTION("""COMPUTED_VALUE"""),8387735.0)</f>
        <v>8387735</v>
      </c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</row>
    <row r="1063">
      <c r="A1063" s="1"/>
      <c r="B1063" s="22">
        <f>IFERROR(__xludf.DUMMYFUNCTION("""COMPUTED_VALUE"""),43112.64583333333)</f>
        <v>43112.64583</v>
      </c>
      <c r="C1063" s="9">
        <f>IFERROR(__xludf.DUMMYFUNCTION("""COMPUTED_VALUE"""),542.9)</f>
        <v>542.9</v>
      </c>
      <c r="D1063" s="9">
        <f>IFERROR(__xludf.DUMMYFUNCTION("""COMPUTED_VALUE"""),542.95)</f>
        <v>542.95</v>
      </c>
      <c r="E1063" s="9">
        <f>IFERROR(__xludf.DUMMYFUNCTION("""COMPUTED_VALUE"""),535.28)</f>
        <v>535.28</v>
      </c>
      <c r="F1063" s="9">
        <f>IFERROR(__xludf.DUMMYFUNCTION("""COMPUTED_VALUE"""),539.23)</f>
        <v>539.23</v>
      </c>
      <c r="G1063" s="9">
        <f>IFERROR(__xludf.DUMMYFUNCTION("""COMPUTED_VALUE"""),9008264.0)</f>
        <v>9008264</v>
      </c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</row>
    <row r="1064">
      <c r="A1064" s="1"/>
      <c r="B1064" s="22">
        <f>IFERROR(__xludf.DUMMYFUNCTION("""COMPUTED_VALUE"""),43115.64583333333)</f>
        <v>43115.64583</v>
      </c>
      <c r="C1064" s="9">
        <f>IFERROR(__xludf.DUMMYFUNCTION("""COMPUTED_VALUE"""),540.0)</f>
        <v>540</v>
      </c>
      <c r="D1064" s="9">
        <f>IFERROR(__xludf.DUMMYFUNCTION("""COMPUTED_VALUE"""),546.48)</f>
        <v>546.48</v>
      </c>
      <c r="E1064" s="9">
        <f>IFERROR(__xludf.DUMMYFUNCTION("""COMPUTED_VALUE"""),532.55)</f>
        <v>532.55</v>
      </c>
      <c r="F1064" s="9">
        <f>IFERROR(__xludf.DUMMYFUNCTION("""COMPUTED_VALUE"""),540.58)</f>
        <v>540.58</v>
      </c>
      <c r="G1064" s="9">
        <f>IFERROR(__xludf.DUMMYFUNCTION("""COMPUTED_VALUE"""),5324625.0)</f>
        <v>5324625</v>
      </c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</row>
    <row r="1065">
      <c r="A1065" s="1"/>
      <c r="B1065" s="22">
        <f>IFERROR(__xludf.DUMMYFUNCTION("""COMPUTED_VALUE"""),43116.64583333333)</f>
        <v>43116.64583</v>
      </c>
      <c r="C1065" s="9">
        <f>IFERROR(__xludf.DUMMYFUNCTION("""COMPUTED_VALUE"""),540.63)</f>
        <v>540.63</v>
      </c>
      <c r="D1065" s="9">
        <f>IFERROR(__xludf.DUMMYFUNCTION("""COMPUTED_VALUE"""),567.4)</f>
        <v>567.4</v>
      </c>
      <c r="E1065" s="9">
        <f>IFERROR(__xludf.DUMMYFUNCTION("""COMPUTED_VALUE"""),540.63)</f>
        <v>540.63</v>
      </c>
      <c r="F1065" s="9">
        <f>IFERROR(__xludf.DUMMYFUNCTION("""COMPUTED_VALUE"""),561.42)</f>
        <v>561.42</v>
      </c>
      <c r="G1065" s="9">
        <f>IFERROR(__xludf.DUMMYFUNCTION("""COMPUTED_VALUE"""),1.1323483E7)</f>
        <v>11323483</v>
      </c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</row>
    <row r="1066">
      <c r="A1066" s="1"/>
      <c r="B1066" s="22">
        <f>IFERROR(__xludf.DUMMYFUNCTION("""COMPUTED_VALUE"""),43117.64583333333)</f>
        <v>43117.64583</v>
      </c>
      <c r="C1066" s="9">
        <f>IFERROR(__xludf.DUMMYFUNCTION("""COMPUTED_VALUE"""),562.42)</f>
        <v>562.42</v>
      </c>
      <c r="D1066" s="9">
        <f>IFERROR(__xludf.DUMMYFUNCTION("""COMPUTED_VALUE"""),580.9)</f>
        <v>580.9</v>
      </c>
      <c r="E1066" s="9">
        <f>IFERROR(__xludf.DUMMYFUNCTION("""COMPUTED_VALUE"""),561.5)</f>
        <v>561.5</v>
      </c>
      <c r="F1066" s="9">
        <f>IFERROR(__xludf.DUMMYFUNCTION("""COMPUTED_VALUE"""),576.05)</f>
        <v>576.05</v>
      </c>
      <c r="G1066" s="9">
        <f>IFERROR(__xludf.DUMMYFUNCTION("""COMPUTED_VALUE"""),1.3077044E7)</f>
        <v>13077044</v>
      </c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</row>
    <row r="1067">
      <c r="A1067" s="1"/>
      <c r="B1067" s="22">
        <f>IFERROR(__xludf.DUMMYFUNCTION("""COMPUTED_VALUE"""),43118.64583333333)</f>
        <v>43118.64583</v>
      </c>
      <c r="C1067" s="9">
        <f>IFERROR(__xludf.DUMMYFUNCTION("""COMPUTED_VALUE"""),572.5)</f>
        <v>572.5</v>
      </c>
      <c r="D1067" s="9">
        <f>IFERROR(__xludf.DUMMYFUNCTION("""COMPUTED_VALUE"""),582.45)</f>
        <v>582.45</v>
      </c>
      <c r="E1067" s="9">
        <f>IFERROR(__xludf.DUMMYFUNCTION("""COMPUTED_VALUE"""),566.05)</f>
        <v>566.05</v>
      </c>
      <c r="F1067" s="9">
        <f>IFERROR(__xludf.DUMMYFUNCTION("""COMPUTED_VALUE"""),576.35)</f>
        <v>576.35</v>
      </c>
      <c r="G1067" s="9">
        <f>IFERROR(__xludf.DUMMYFUNCTION("""COMPUTED_VALUE"""),6602485.0)</f>
        <v>6602485</v>
      </c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</row>
    <row r="1068">
      <c r="A1068" s="1"/>
      <c r="B1068" s="22">
        <f>IFERROR(__xludf.DUMMYFUNCTION("""COMPUTED_VALUE"""),43119.64583333333)</f>
        <v>43119.64583</v>
      </c>
      <c r="C1068" s="9">
        <f>IFERROR(__xludf.DUMMYFUNCTION("""COMPUTED_VALUE"""),572.5)</f>
        <v>572.5</v>
      </c>
      <c r="D1068" s="9">
        <f>IFERROR(__xludf.DUMMYFUNCTION("""COMPUTED_VALUE"""),573.95)</f>
        <v>573.95</v>
      </c>
      <c r="E1068" s="9">
        <f>IFERROR(__xludf.DUMMYFUNCTION("""COMPUTED_VALUE"""),568.0)</f>
        <v>568</v>
      </c>
      <c r="F1068" s="9">
        <f>IFERROR(__xludf.DUMMYFUNCTION("""COMPUTED_VALUE"""),571.73)</f>
        <v>571.73</v>
      </c>
      <c r="G1068" s="9">
        <f>IFERROR(__xludf.DUMMYFUNCTION("""COMPUTED_VALUE"""),2994139.0)</f>
        <v>2994139</v>
      </c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</row>
    <row r="1069">
      <c r="A1069" s="1"/>
      <c r="B1069" s="22">
        <f>IFERROR(__xludf.DUMMYFUNCTION("""COMPUTED_VALUE"""),43122.64583333333)</f>
        <v>43122.64583</v>
      </c>
      <c r="C1069" s="9">
        <f>IFERROR(__xludf.DUMMYFUNCTION("""COMPUTED_VALUE"""),566.08)</f>
        <v>566.08</v>
      </c>
      <c r="D1069" s="9">
        <f>IFERROR(__xludf.DUMMYFUNCTION("""COMPUTED_VALUE"""),578.48)</f>
        <v>578.48</v>
      </c>
      <c r="E1069" s="9">
        <f>IFERROR(__xludf.DUMMYFUNCTION("""COMPUTED_VALUE"""),566.0)</f>
        <v>566</v>
      </c>
      <c r="F1069" s="9">
        <f>IFERROR(__xludf.DUMMYFUNCTION("""COMPUTED_VALUE"""),575.0)</f>
        <v>575</v>
      </c>
      <c r="G1069" s="9">
        <f>IFERROR(__xludf.DUMMYFUNCTION("""COMPUTED_VALUE"""),4825107.0)</f>
        <v>4825107</v>
      </c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</row>
    <row r="1070">
      <c r="A1070" s="1"/>
      <c r="B1070" s="22">
        <f>IFERROR(__xludf.DUMMYFUNCTION("""COMPUTED_VALUE"""),43123.64583333333)</f>
        <v>43123.64583</v>
      </c>
      <c r="C1070" s="9">
        <f>IFERROR(__xludf.DUMMYFUNCTION("""COMPUTED_VALUE"""),577.5)</f>
        <v>577.5</v>
      </c>
      <c r="D1070" s="9">
        <f>IFERROR(__xludf.DUMMYFUNCTION("""COMPUTED_VALUE"""),594.0)</f>
        <v>594</v>
      </c>
      <c r="E1070" s="9">
        <f>IFERROR(__xludf.DUMMYFUNCTION("""COMPUTED_VALUE"""),577.5)</f>
        <v>577.5</v>
      </c>
      <c r="F1070" s="9">
        <f>IFERROR(__xludf.DUMMYFUNCTION("""COMPUTED_VALUE"""),588.55)</f>
        <v>588.55</v>
      </c>
      <c r="G1070" s="9">
        <f>IFERROR(__xludf.DUMMYFUNCTION("""COMPUTED_VALUE"""),7701898.0)</f>
        <v>7701898</v>
      </c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</row>
    <row r="1071">
      <c r="A1071" s="1"/>
      <c r="B1071" s="22">
        <f>IFERROR(__xludf.DUMMYFUNCTION("""COMPUTED_VALUE"""),43124.64583333333)</f>
        <v>43124.64583</v>
      </c>
      <c r="C1071" s="9">
        <f>IFERROR(__xludf.DUMMYFUNCTION("""COMPUTED_VALUE"""),587.4)</f>
        <v>587.4</v>
      </c>
      <c r="D1071" s="9">
        <f>IFERROR(__xludf.DUMMYFUNCTION("""COMPUTED_VALUE"""),610.53)</f>
        <v>610.53</v>
      </c>
      <c r="E1071" s="9">
        <f>IFERROR(__xludf.DUMMYFUNCTION("""COMPUTED_VALUE"""),583.75)</f>
        <v>583.75</v>
      </c>
      <c r="F1071" s="9">
        <f>IFERROR(__xludf.DUMMYFUNCTION("""COMPUTED_VALUE"""),592.9)</f>
        <v>592.9</v>
      </c>
      <c r="G1071" s="9">
        <f>IFERROR(__xludf.DUMMYFUNCTION("""COMPUTED_VALUE"""),1.0302359E7)</f>
        <v>10302359</v>
      </c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</row>
    <row r="1072">
      <c r="A1072" s="1"/>
      <c r="B1072" s="22">
        <f>IFERROR(__xludf.DUMMYFUNCTION("""COMPUTED_VALUE"""),43125.64583333333)</f>
        <v>43125.64583</v>
      </c>
      <c r="C1072" s="9">
        <f>IFERROR(__xludf.DUMMYFUNCTION("""COMPUTED_VALUE"""),591.0)</f>
        <v>591</v>
      </c>
      <c r="D1072" s="9">
        <f>IFERROR(__xludf.DUMMYFUNCTION("""COMPUTED_VALUE"""),591.7)</f>
        <v>591.7</v>
      </c>
      <c r="E1072" s="9">
        <f>IFERROR(__xludf.DUMMYFUNCTION("""COMPUTED_VALUE"""),581.13)</f>
        <v>581.13</v>
      </c>
      <c r="F1072" s="9">
        <f>IFERROR(__xludf.DUMMYFUNCTION("""COMPUTED_VALUE"""),587.7)</f>
        <v>587.7</v>
      </c>
      <c r="G1072" s="9">
        <f>IFERROR(__xludf.DUMMYFUNCTION("""COMPUTED_VALUE"""),6774457.0)</f>
        <v>6774457</v>
      </c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</row>
    <row r="1073">
      <c r="A1073" s="1"/>
      <c r="B1073" s="22">
        <f>IFERROR(__xludf.DUMMYFUNCTION("""COMPUTED_VALUE"""),43129.64583333333)</f>
        <v>43129.64583</v>
      </c>
      <c r="C1073" s="9">
        <f>IFERROR(__xludf.DUMMYFUNCTION("""COMPUTED_VALUE"""),583.28)</f>
        <v>583.28</v>
      </c>
      <c r="D1073" s="9">
        <f>IFERROR(__xludf.DUMMYFUNCTION("""COMPUTED_VALUE"""),598.13)</f>
        <v>598.13</v>
      </c>
      <c r="E1073" s="9">
        <f>IFERROR(__xludf.DUMMYFUNCTION("""COMPUTED_VALUE"""),582.6)</f>
        <v>582.6</v>
      </c>
      <c r="F1073" s="9">
        <f>IFERROR(__xludf.DUMMYFUNCTION("""COMPUTED_VALUE"""),591.45)</f>
        <v>591.45</v>
      </c>
      <c r="G1073" s="9">
        <f>IFERROR(__xludf.DUMMYFUNCTION("""COMPUTED_VALUE"""),5411501.0)</f>
        <v>5411501</v>
      </c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</row>
    <row r="1074">
      <c r="A1074" s="1"/>
      <c r="B1074" s="22">
        <f>IFERROR(__xludf.DUMMYFUNCTION("""COMPUTED_VALUE"""),43130.64583333333)</f>
        <v>43130.64583</v>
      </c>
      <c r="C1074" s="9">
        <f>IFERROR(__xludf.DUMMYFUNCTION("""COMPUTED_VALUE"""),589.45)</f>
        <v>589.45</v>
      </c>
      <c r="D1074" s="9">
        <f>IFERROR(__xludf.DUMMYFUNCTION("""COMPUTED_VALUE"""),591.55)</f>
        <v>591.55</v>
      </c>
      <c r="E1074" s="9">
        <f>IFERROR(__xludf.DUMMYFUNCTION("""COMPUTED_VALUE"""),581.35)</f>
        <v>581.35</v>
      </c>
      <c r="F1074" s="9">
        <f>IFERROR(__xludf.DUMMYFUNCTION("""COMPUTED_VALUE"""),585.33)</f>
        <v>585.33</v>
      </c>
      <c r="G1074" s="9">
        <f>IFERROR(__xludf.DUMMYFUNCTION("""COMPUTED_VALUE"""),4314156.0)</f>
        <v>4314156</v>
      </c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</row>
    <row r="1075">
      <c r="A1075" s="1"/>
      <c r="B1075" s="22">
        <f>IFERROR(__xludf.DUMMYFUNCTION("""COMPUTED_VALUE"""),43131.64583333333)</f>
        <v>43131.64583</v>
      </c>
      <c r="C1075" s="9">
        <f>IFERROR(__xludf.DUMMYFUNCTION("""COMPUTED_VALUE"""),579.58)</f>
        <v>579.58</v>
      </c>
      <c r="D1075" s="9">
        <f>IFERROR(__xludf.DUMMYFUNCTION("""COMPUTED_VALUE"""),583.3)</f>
        <v>583.3</v>
      </c>
      <c r="E1075" s="9">
        <f>IFERROR(__xludf.DUMMYFUNCTION("""COMPUTED_VALUE"""),571.08)</f>
        <v>571.08</v>
      </c>
      <c r="F1075" s="9">
        <f>IFERROR(__xludf.DUMMYFUNCTION("""COMPUTED_VALUE"""),575.13)</f>
        <v>575.13</v>
      </c>
      <c r="G1075" s="9">
        <f>IFERROR(__xludf.DUMMYFUNCTION("""COMPUTED_VALUE"""),4606849.0)</f>
        <v>4606849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</row>
    <row r="1076">
      <c r="A1076" s="1"/>
      <c r="B1076" s="22">
        <f>IFERROR(__xludf.DUMMYFUNCTION("""COMPUTED_VALUE"""),43132.64583333333)</f>
        <v>43132.64583</v>
      </c>
      <c r="C1076" s="9">
        <f>IFERROR(__xludf.DUMMYFUNCTION("""COMPUTED_VALUE"""),571.1)</f>
        <v>571.1</v>
      </c>
      <c r="D1076" s="9">
        <f>IFERROR(__xludf.DUMMYFUNCTION("""COMPUTED_VALUE"""),578.95)</f>
        <v>578.95</v>
      </c>
      <c r="E1076" s="9">
        <f>IFERROR(__xludf.DUMMYFUNCTION("""COMPUTED_VALUE"""),559.28)</f>
        <v>559.28</v>
      </c>
      <c r="F1076" s="9">
        <f>IFERROR(__xludf.DUMMYFUNCTION("""COMPUTED_VALUE"""),572.3)</f>
        <v>572.3</v>
      </c>
      <c r="G1076" s="9">
        <f>IFERROR(__xludf.DUMMYFUNCTION("""COMPUTED_VALUE"""),6502727.0)</f>
        <v>6502727</v>
      </c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</row>
    <row r="1077">
      <c r="A1077" s="1"/>
      <c r="B1077" s="22">
        <f>IFERROR(__xludf.DUMMYFUNCTION("""COMPUTED_VALUE"""),43133.64583333333)</f>
        <v>43133.64583</v>
      </c>
      <c r="C1077" s="9">
        <f>IFERROR(__xludf.DUMMYFUNCTION("""COMPUTED_VALUE"""),567.63)</f>
        <v>567.63</v>
      </c>
      <c r="D1077" s="9">
        <f>IFERROR(__xludf.DUMMYFUNCTION("""COMPUTED_VALUE"""),581.45)</f>
        <v>581.45</v>
      </c>
      <c r="E1077" s="9">
        <f>IFERROR(__xludf.DUMMYFUNCTION("""COMPUTED_VALUE"""),565.05)</f>
        <v>565.05</v>
      </c>
      <c r="F1077" s="9">
        <f>IFERROR(__xludf.DUMMYFUNCTION("""COMPUTED_VALUE"""),571.63)</f>
        <v>571.63</v>
      </c>
      <c r="G1077" s="9">
        <f>IFERROR(__xludf.DUMMYFUNCTION("""COMPUTED_VALUE"""),5122243.0)</f>
        <v>5122243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</row>
    <row r="1078">
      <c r="A1078" s="1"/>
      <c r="B1078" s="22">
        <f>IFERROR(__xludf.DUMMYFUNCTION("""COMPUTED_VALUE"""),43136.64583333333)</f>
        <v>43136.64583</v>
      </c>
      <c r="C1078" s="9">
        <f>IFERROR(__xludf.DUMMYFUNCTION("""COMPUTED_VALUE"""),570.0)</f>
        <v>570</v>
      </c>
      <c r="D1078" s="9">
        <f>IFERROR(__xludf.DUMMYFUNCTION("""COMPUTED_VALUE"""),577.42)</f>
        <v>577.42</v>
      </c>
      <c r="E1078" s="9">
        <f>IFERROR(__xludf.DUMMYFUNCTION("""COMPUTED_VALUE"""),567.92)</f>
        <v>567.92</v>
      </c>
      <c r="F1078" s="9">
        <f>IFERROR(__xludf.DUMMYFUNCTION("""COMPUTED_VALUE"""),569.1)</f>
        <v>569.1</v>
      </c>
      <c r="G1078" s="9">
        <f>IFERROR(__xludf.DUMMYFUNCTION("""COMPUTED_VALUE"""),4930110.0)</f>
        <v>4930110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</row>
    <row r="1079">
      <c r="A1079" s="1"/>
      <c r="B1079" s="22">
        <f>IFERROR(__xludf.DUMMYFUNCTION("""COMPUTED_VALUE"""),43137.64583333333)</f>
        <v>43137.64583</v>
      </c>
      <c r="C1079" s="9">
        <f>IFERROR(__xludf.DUMMYFUNCTION("""COMPUTED_VALUE"""),549.98)</f>
        <v>549.98</v>
      </c>
      <c r="D1079" s="9">
        <f>IFERROR(__xludf.DUMMYFUNCTION("""COMPUTED_VALUE"""),564.17)</f>
        <v>564.17</v>
      </c>
      <c r="E1079" s="9">
        <f>IFERROR(__xludf.DUMMYFUNCTION("""COMPUTED_VALUE"""),547.58)</f>
        <v>547.58</v>
      </c>
      <c r="F1079" s="9">
        <f>IFERROR(__xludf.DUMMYFUNCTION("""COMPUTED_VALUE"""),553.88)</f>
        <v>553.88</v>
      </c>
      <c r="G1079" s="9">
        <f>IFERROR(__xludf.DUMMYFUNCTION("""COMPUTED_VALUE"""),5276039.0)</f>
        <v>5276039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</row>
    <row r="1080">
      <c r="A1080" s="1"/>
      <c r="B1080" s="22">
        <f>IFERROR(__xludf.DUMMYFUNCTION("""COMPUTED_VALUE"""),43138.64583333333)</f>
        <v>43138.64583</v>
      </c>
      <c r="C1080" s="9">
        <f>IFERROR(__xludf.DUMMYFUNCTION("""COMPUTED_VALUE"""),558.0)</f>
        <v>558</v>
      </c>
      <c r="D1080" s="9">
        <f>IFERROR(__xludf.DUMMYFUNCTION("""COMPUTED_VALUE"""),562.4)</f>
        <v>562.4</v>
      </c>
      <c r="E1080" s="9">
        <f>IFERROR(__xludf.DUMMYFUNCTION("""COMPUTED_VALUE"""),551.78)</f>
        <v>551.78</v>
      </c>
      <c r="F1080" s="9">
        <f>IFERROR(__xludf.DUMMYFUNCTION("""COMPUTED_VALUE"""),554.53)</f>
        <v>554.53</v>
      </c>
      <c r="G1080" s="9">
        <f>IFERROR(__xludf.DUMMYFUNCTION("""COMPUTED_VALUE"""),4171028.0)</f>
        <v>4171028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</row>
    <row r="1081">
      <c r="A1081" s="1"/>
      <c r="B1081" s="22">
        <f>IFERROR(__xludf.DUMMYFUNCTION("""COMPUTED_VALUE"""),43139.64583333333)</f>
        <v>43139.64583</v>
      </c>
      <c r="C1081" s="9">
        <f>IFERROR(__xludf.DUMMYFUNCTION("""COMPUTED_VALUE"""),561.4)</f>
        <v>561.4</v>
      </c>
      <c r="D1081" s="9">
        <f>IFERROR(__xludf.DUMMYFUNCTION("""COMPUTED_VALUE"""),573.2)</f>
        <v>573.2</v>
      </c>
      <c r="E1081" s="9">
        <f>IFERROR(__xludf.DUMMYFUNCTION("""COMPUTED_VALUE"""),558.28)</f>
        <v>558.28</v>
      </c>
      <c r="F1081" s="9">
        <f>IFERROR(__xludf.DUMMYFUNCTION("""COMPUTED_VALUE"""),567.13)</f>
        <v>567.13</v>
      </c>
      <c r="G1081" s="9">
        <f>IFERROR(__xludf.DUMMYFUNCTION("""COMPUTED_VALUE"""),4403622.0)</f>
        <v>4403622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</row>
    <row r="1082">
      <c r="A1082" s="1"/>
      <c r="B1082" s="22">
        <f>IFERROR(__xludf.DUMMYFUNCTION("""COMPUTED_VALUE"""),43140.64583333333)</f>
        <v>43140.64583</v>
      </c>
      <c r="C1082" s="9">
        <f>IFERROR(__xludf.DUMMYFUNCTION("""COMPUTED_VALUE"""),559.0)</f>
        <v>559</v>
      </c>
      <c r="D1082" s="9">
        <f>IFERROR(__xludf.DUMMYFUNCTION("""COMPUTED_VALUE"""),560.15)</f>
        <v>560.15</v>
      </c>
      <c r="E1082" s="9">
        <f>IFERROR(__xludf.DUMMYFUNCTION("""COMPUTED_VALUE"""),553.0)</f>
        <v>553</v>
      </c>
      <c r="F1082" s="9">
        <f>IFERROR(__xludf.DUMMYFUNCTION("""COMPUTED_VALUE"""),554.58)</f>
        <v>554.58</v>
      </c>
      <c r="G1082" s="9">
        <f>IFERROR(__xludf.DUMMYFUNCTION("""COMPUTED_VALUE"""),2191345.0)</f>
        <v>2191345</v>
      </c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</row>
    <row r="1083">
      <c r="A1083" s="1"/>
      <c r="B1083" s="22">
        <f>IFERROR(__xludf.DUMMYFUNCTION("""COMPUTED_VALUE"""),43143.64583333333)</f>
        <v>43143.64583</v>
      </c>
      <c r="C1083" s="9">
        <f>IFERROR(__xludf.DUMMYFUNCTION("""COMPUTED_VALUE"""),557.4)</f>
        <v>557.4</v>
      </c>
      <c r="D1083" s="9">
        <f>IFERROR(__xludf.DUMMYFUNCTION("""COMPUTED_VALUE"""),560.3)</f>
        <v>560.3</v>
      </c>
      <c r="E1083" s="9">
        <f>IFERROR(__xludf.DUMMYFUNCTION("""COMPUTED_VALUE"""),548.9)</f>
        <v>548.9</v>
      </c>
      <c r="F1083" s="9">
        <f>IFERROR(__xludf.DUMMYFUNCTION("""COMPUTED_VALUE"""),551.4)</f>
        <v>551.4</v>
      </c>
      <c r="G1083" s="9">
        <f>IFERROR(__xludf.DUMMYFUNCTION("""COMPUTED_VALUE"""),3145986.0)</f>
        <v>3145986</v>
      </c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</row>
    <row r="1084">
      <c r="A1084" s="1"/>
      <c r="B1084" s="22">
        <f>IFERROR(__xludf.DUMMYFUNCTION("""COMPUTED_VALUE"""),43145.64583333333)</f>
        <v>43145.64583</v>
      </c>
      <c r="C1084" s="9">
        <f>IFERROR(__xludf.DUMMYFUNCTION("""COMPUTED_VALUE"""),553.0)</f>
        <v>553</v>
      </c>
      <c r="D1084" s="9">
        <f>IFERROR(__xludf.DUMMYFUNCTION("""COMPUTED_VALUE"""),558.65)</f>
        <v>558.65</v>
      </c>
      <c r="E1084" s="9">
        <f>IFERROR(__xludf.DUMMYFUNCTION("""COMPUTED_VALUE"""),545.1)</f>
        <v>545.1</v>
      </c>
      <c r="F1084" s="9">
        <f>IFERROR(__xludf.DUMMYFUNCTION("""COMPUTED_VALUE"""),548.88)</f>
        <v>548.88</v>
      </c>
      <c r="G1084" s="9">
        <f>IFERROR(__xludf.DUMMYFUNCTION("""COMPUTED_VALUE"""),4172856.0)</f>
        <v>4172856</v>
      </c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</row>
    <row r="1085">
      <c r="A1085" s="1"/>
      <c r="B1085" s="22">
        <f>IFERROR(__xludf.DUMMYFUNCTION("""COMPUTED_VALUE"""),43146.64583333333)</f>
        <v>43146.64583</v>
      </c>
      <c r="C1085" s="9">
        <f>IFERROR(__xludf.DUMMYFUNCTION("""COMPUTED_VALUE"""),551.5)</f>
        <v>551.5</v>
      </c>
      <c r="D1085" s="9">
        <f>IFERROR(__xludf.DUMMYFUNCTION("""COMPUTED_VALUE"""),564.85)</f>
        <v>564.85</v>
      </c>
      <c r="E1085" s="9">
        <f>IFERROR(__xludf.DUMMYFUNCTION("""COMPUTED_VALUE"""),551.5)</f>
        <v>551.5</v>
      </c>
      <c r="F1085" s="9">
        <f>IFERROR(__xludf.DUMMYFUNCTION("""COMPUTED_VALUE"""),557.23)</f>
        <v>557.23</v>
      </c>
      <c r="G1085" s="9">
        <f>IFERROR(__xludf.DUMMYFUNCTION("""COMPUTED_VALUE"""),3993368.0)</f>
        <v>3993368</v>
      </c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</row>
    <row r="1086">
      <c r="A1086" s="1"/>
      <c r="B1086" s="22">
        <f>IFERROR(__xludf.DUMMYFUNCTION("""COMPUTED_VALUE"""),43147.64583333333)</f>
        <v>43147.64583</v>
      </c>
      <c r="C1086" s="9">
        <f>IFERROR(__xludf.DUMMYFUNCTION("""COMPUTED_VALUE"""),562.5)</f>
        <v>562.5</v>
      </c>
      <c r="D1086" s="9">
        <f>IFERROR(__xludf.DUMMYFUNCTION("""COMPUTED_VALUE"""),570.83)</f>
        <v>570.83</v>
      </c>
      <c r="E1086" s="9">
        <f>IFERROR(__xludf.DUMMYFUNCTION("""COMPUTED_VALUE"""),559.05)</f>
        <v>559.05</v>
      </c>
      <c r="F1086" s="9">
        <f>IFERROR(__xludf.DUMMYFUNCTION("""COMPUTED_VALUE"""),564.03)</f>
        <v>564.03</v>
      </c>
      <c r="G1086" s="9">
        <f>IFERROR(__xludf.DUMMYFUNCTION("""COMPUTED_VALUE"""),4944611.0)</f>
        <v>4944611</v>
      </c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</row>
    <row r="1087">
      <c r="A1087" s="1"/>
      <c r="B1087" s="22">
        <f>IFERROR(__xludf.DUMMYFUNCTION("""COMPUTED_VALUE"""),43150.64583333333)</f>
        <v>43150.64583</v>
      </c>
      <c r="C1087" s="9">
        <f>IFERROR(__xludf.DUMMYFUNCTION("""COMPUTED_VALUE"""),564.2)</f>
        <v>564.2</v>
      </c>
      <c r="D1087" s="9">
        <f>IFERROR(__xludf.DUMMYFUNCTION("""COMPUTED_VALUE"""),568.0)</f>
        <v>568</v>
      </c>
      <c r="E1087" s="9">
        <f>IFERROR(__xludf.DUMMYFUNCTION("""COMPUTED_VALUE"""),560.15)</f>
        <v>560.15</v>
      </c>
      <c r="F1087" s="9">
        <f>IFERROR(__xludf.DUMMYFUNCTION("""COMPUTED_VALUE"""),565.88)</f>
        <v>565.88</v>
      </c>
      <c r="G1087" s="9">
        <f>IFERROR(__xludf.DUMMYFUNCTION("""COMPUTED_VALUE"""),3230920.0)</f>
        <v>3230920</v>
      </c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</row>
    <row r="1088">
      <c r="A1088" s="1"/>
      <c r="B1088" s="22">
        <f>IFERROR(__xludf.DUMMYFUNCTION("""COMPUTED_VALUE"""),43151.64583333333)</f>
        <v>43151.64583</v>
      </c>
      <c r="C1088" s="9">
        <f>IFERROR(__xludf.DUMMYFUNCTION("""COMPUTED_VALUE"""),551.88)</f>
        <v>551.88</v>
      </c>
      <c r="D1088" s="9">
        <f>IFERROR(__xludf.DUMMYFUNCTION("""COMPUTED_VALUE"""),574.75)</f>
        <v>574.75</v>
      </c>
      <c r="E1088" s="9">
        <f>IFERROR(__xludf.DUMMYFUNCTION("""COMPUTED_VALUE"""),551.88)</f>
        <v>551.88</v>
      </c>
      <c r="F1088" s="9">
        <f>IFERROR(__xludf.DUMMYFUNCTION("""COMPUTED_VALUE"""),568.48)</f>
        <v>568.48</v>
      </c>
      <c r="G1088" s="9">
        <f>IFERROR(__xludf.DUMMYFUNCTION("""COMPUTED_VALUE"""),3594297.0)</f>
        <v>3594297</v>
      </c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</row>
    <row r="1089">
      <c r="A1089" s="1"/>
      <c r="B1089" s="22">
        <f>IFERROR(__xludf.DUMMYFUNCTION("""COMPUTED_VALUE"""),43152.64583333333)</f>
        <v>43152.64583</v>
      </c>
      <c r="C1089" s="9">
        <f>IFERROR(__xludf.DUMMYFUNCTION("""COMPUTED_VALUE"""),573.75)</f>
        <v>573.75</v>
      </c>
      <c r="D1089" s="9">
        <f>IFERROR(__xludf.DUMMYFUNCTION("""COMPUTED_VALUE"""),575.95)</f>
        <v>575.95</v>
      </c>
      <c r="E1089" s="9">
        <f>IFERROR(__xludf.DUMMYFUNCTION("""COMPUTED_VALUE"""),570.0)</f>
        <v>570</v>
      </c>
      <c r="F1089" s="9">
        <f>IFERROR(__xludf.DUMMYFUNCTION("""COMPUTED_VALUE"""),573.7)</f>
        <v>573.7</v>
      </c>
      <c r="G1089" s="9">
        <f>IFERROR(__xludf.DUMMYFUNCTION("""COMPUTED_VALUE"""),6885679.0)</f>
        <v>6885679</v>
      </c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</row>
    <row r="1090">
      <c r="A1090" s="1"/>
      <c r="B1090" s="22">
        <f>IFERROR(__xludf.DUMMYFUNCTION("""COMPUTED_VALUE"""),43153.64583333333)</f>
        <v>43153.64583</v>
      </c>
      <c r="C1090" s="9">
        <f>IFERROR(__xludf.DUMMYFUNCTION("""COMPUTED_VALUE"""),572.78)</f>
        <v>572.78</v>
      </c>
      <c r="D1090" s="9">
        <f>IFERROR(__xludf.DUMMYFUNCTION("""COMPUTED_VALUE"""),582.0)</f>
        <v>582</v>
      </c>
      <c r="E1090" s="9">
        <f>IFERROR(__xludf.DUMMYFUNCTION("""COMPUTED_VALUE"""),570.23)</f>
        <v>570.23</v>
      </c>
      <c r="F1090" s="9">
        <f>IFERROR(__xludf.DUMMYFUNCTION("""COMPUTED_VALUE"""),580.38)</f>
        <v>580.38</v>
      </c>
      <c r="G1090" s="9">
        <f>IFERROR(__xludf.DUMMYFUNCTION("""COMPUTED_VALUE"""),8929987.0)</f>
        <v>8929987</v>
      </c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</row>
    <row r="1091">
      <c r="A1091" s="1"/>
      <c r="B1091" s="22">
        <f>IFERROR(__xludf.DUMMYFUNCTION("""COMPUTED_VALUE"""),43154.64583333333)</f>
        <v>43154.64583</v>
      </c>
      <c r="C1091" s="9">
        <f>IFERROR(__xludf.DUMMYFUNCTION("""COMPUTED_VALUE"""),581.75)</f>
        <v>581.75</v>
      </c>
      <c r="D1091" s="9">
        <f>IFERROR(__xludf.DUMMYFUNCTION("""COMPUTED_VALUE"""),583.0)</f>
        <v>583</v>
      </c>
      <c r="E1091" s="9">
        <f>IFERROR(__xludf.DUMMYFUNCTION("""COMPUTED_VALUE"""),573.38)</f>
        <v>573.38</v>
      </c>
      <c r="F1091" s="9">
        <f>IFERROR(__xludf.DUMMYFUNCTION("""COMPUTED_VALUE"""),577.83)</f>
        <v>577.83</v>
      </c>
      <c r="G1091" s="9">
        <f>IFERROR(__xludf.DUMMYFUNCTION("""COMPUTED_VALUE"""),4729914.0)</f>
        <v>4729914</v>
      </c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</row>
    <row r="1092">
      <c r="A1092" s="1"/>
      <c r="B1092" s="22">
        <f>IFERROR(__xludf.DUMMYFUNCTION("""COMPUTED_VALUE"""),43157.64583333333)</f>
        <v>43157.64583</v>
      </c>
      <c r="C1092" s="9">
        <f>IFERROR(__xludf.DUMMYFUNCTION("""COMPUTED_VALUE"""),575.5)</f>
        <v>575.5</v>
      </c>
      <c r="D1092" s="9">
        <f>IFERROR(__xludf.DUMMYFUNCTION("""COMPUTED_VALUE"""),577.53)</f>
        <v>577.53</v>
      </c>
      <c r="E1092" s="9">
        <f>IFERROR(__xludf.DUMMYFUNCTION("""COMPUTED_VALUE"""),567.17)</f>
        <v>567.17</v>
      </c>
      <c r="F1092" s="9">
        <f>IFERROR(__xludf.DUMMYFUNCTION("""COMPUTED_VALUE"""),569.3)</f>
        <v>569.3</v>
      </c>
      <c r="G1092" s="9">
        <f>IFERROR(__xludf.DUMMYFUNCTION("""COMPUTED_VALUE"""),2541804.0)</f>
        <v>2541804</v>
      </c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</row>
    <row r="1093">
      <c r="A1093" s="1"/>
      <c r="B1093" s="22">
        <f>IFERROR(__xludf.DUMMYFUNCTION("""COMPUTED_VALUE"""),43158.64583333333)</f>
        <v>43158.64583</v>
      </c>
      <c r="C1093" s="9">
        <f>IFERROR(__xludf.DUMMYFUNCTION("""COMPUTED_VALUE"""),572.48)</f>
        <v>572.48</v>
      </c>
      <c r="D1093" s="9">
        <f>IFERROR(__xludf.DUMMYFUNCTION("""COMPUTED_VALUE"""),576.83)</f>
        <v>576.83</v>
      </c>
      <c r="E1093" s="9">
        <f>IFERROR(__xludf.DUMMYFUNCTION("""COMPUTED_VALUE"""),562.83)</f>
        <v>562.83</v>
      </c>
      <c r="F1093" s="9">
        <f>IFERROR(__xludf.DUMMYFUNCTION("""COMPUTED_VALUE"""),575.1)</f>
        <v>575.1</v>
      </c>
      <c r="G1093" s="9">
        <f>IFERROR(__xludf.DUMMYFUNCTION("""COMPUTED_VALUE"""),3308013.0)</f>
        <v>3308013</v>
      </c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</row>
    <row r="1094">
      <c r="A1094" s="1"/>
      <c r="B1094" s="22">
        <f>IFERROR(__xludf.DUMMYFUNCTION("""COMPUTED_VALUE"""),43159.64583333333)</f>
        <v>43159.64583</v>
      </c>
      <c r="C1094" s="9">
        <f>IFERROR(__xludf.DUMMYFUNCTION("""COMPUTED_VALUE"""),573.8)</f>
        <v>573.8</v>
      </c>
      <c r="D1094" s="9">
        <f>IFERROR(__xludf.DUMMYFUNCTION("""COMPUTED_VALUE"""),594.75)</f>
        <v>594.75</v>
      </c>
      <c r="E1094" s="9">
        <f>IFERROR(__xludf.DUMMYFUNCTION("""COMPUTED_VALUE"""),571.28)</f>
        <v>571.28</v>
      </c>
      <c r="F1094" s="9">
        <f>IFERROR(__xludf.DUMMYFUNCTION("""COMPUTED_VALUE"""),586.3)</f>
        <v>586.3</v>
      </c>
      <c r="G1094" s="9">
        <f>IFERROR(__xludf.DUMMYFUNCTION("""COMPUTED_VALUE"""),8634208.0)</f>
        <v>8634208</v>
      </c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</row>
    <row r="1095">
      <c r="A1095" s="1"/>
      <c r="B1095" s="22">
        <f>IFERROR(__xludf.DUMMYFUNCTION("""COMPUTED_VALUE"""),43160.64583333333)</f>
        <v>43160.64583</v>
      </c>
      <c r="C1095" s="9">
        <f>IFERROR(__xludf.DUMMYFUNCTION("""COMPUTED_VALUE"""),584.8)</f>
        <v>584.8</v>
      </c>
      <c r="D1095" s="9">
        <f>IFERROR(__xludf.DUMMYFUNCTION("""COMPUTED_VALUE"""),584.8)</f>
        <v>584.8</v>
      </c>
      <c r="E1095" s="9">
        <f>IFERROR(__xludf.DUMMYFUNCTION("""COMPUTED_VALUE"""),578.03)</f>
        <v>578.03</v>
      </c>
      <c r="F1095" s="9">
        <f>IFERROR(__xludf.DUMMYFUNCTION("""COMPUTED_VALUE"""),580.38)</f>
        <v>580.38</v>
      </c>
      <c r="G1095" s="9">
        <f>IFERROR(__xludf.DUMMYFUNCTION("""COMPUTED_VALUE"""),3289926.0)</f>
        <v>3289926</v>
      </c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</row>
    <row r="1096">
      <c r="A1096" s="1"/>
      <c r="B1096" s="22">
        <f>IFERROR(__xludf.DUMMYFUNCTION("""COMPUTED_VALUE"""),43164.64583333333)</f>
        <v>43164.64583</v>
      </c>
      <c r="C1096" s="9">
        <f>IFERROR(__xludf.DUMMYFUNCTION("""COMPUTED_VALUE"""),580.38)</f>
        <v>580.38</v>
      </c>
      <c r="D1096" s="9">
        <f>IFERROR(__xludf.DUMMYFUNCTION("""COMPUTED_VALUE"""),585.4)</f>
        <v>585.4</v>
      </c>
      <c r="E1096" s="9">
        <f>IFERROR(__xludf.DUMMYFUNCTION("""COMPUTED_VALUE"""),571.63)</f>
        <v>571.63</v>
      </c>
      <c r="F1096" s="9">
        <f>IFERROR(__xludf.DUMMYFUNCTION("""COMPUTED_VALUE"""),577.95)</f>
        <v>577.95</v>
      </c>
      <c r="G1096" s="9">
        <f>IFERROR(__xludf.DUMMYFUNCTION("""COMPUTED_VALUE"""),4050728.0)</f>
        <v>4050728</v>
      </c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</row>
    <row r="1097">
      <c r="A1097" s="1"/>
      <c r="B1097" s="22">
        <f>IFERROR(__xludf.DUMMYFUNCTION("""COMPUTED_VALUE"""),43165.64583333333)</f>
        <v>43165.64583</v>
      </c>
      <c r="C1097" s="9">
        <f>IFERROR(__xludf.DUMMYFUNCTION("""COMPUTED_VALUE"""),581.28)</f>
        <v>581.28</v>
      </c>
      <c r="D1097" s="9">
        <f>IFERROR(__xludf.DUMMYFUNCTION("""COMPUTED_VALUE"""),582.7)</f>
        <v>582.7</v>
      </c>
      <c r="E1097" s="9">
        <f>IFERROR(__xludf.DUMMYFUNCTION("""COMPUTED_VALUE"""),571.8)</f>
        <v>571.8</v>
      </c>
      <c r="F1097" s="9">
        <f>IFERROR(__xludf.DUMMYFUNCTION("""COMPUTED_VALUE"""),575.67)</f>
        <v>575.67</v>
      </c>
      <c r="G1097" s="9">
        <f>IFERROR(__xludf.DUMMYFUNCTION("""COMPUTED_VALUE"""),3344867.0)</f>
        <v>3344867</v>
      </c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</row>
    <row r="1098">
      <c r="A1098" s="1"/>
      <c r="B1098" s="22">
        <f>IFERROR(__xludf.DUMMYFUNCTION("""COMPUTED_VALUE"""),43166.64583333333)</f>
        <v>43166.64583</v>
      </c>
      <c r="C1098" s="9">
        <f>IFERROR(__xludf.DUMMYFUNCTION("""COMPUTED_VALUE"""),577.5)</f>
        <v>577.5</v>
      </c>
      <c r="D1098" s="9">
        <f>IFERROR(__xludf.DUMMYFUNCTION("""COMPUTED_VALUE"""),580.0)</f>
        <v>580</v>
      </c>
      <c r="E1098" s="9">
        <f>IFERROR(__xludf.DUMMYFUNCTION("""COMPUTED_VALUE"""),569.03)</f>
        <v>569.03</v>
      </c>
      <c r="F1098" s="9">
        <f>IFERROR(__xludf.DUMMYFUNCTION("""COMPUTED_VALUE"""),572.05)</f>
        <v>572.05</v>
      </c>
      <c r="G1098" s="9">
        <f>IFERROR(__xludf.DUMMYFUNCTION("""COMPUTED_VALUE"""),3185208.0)</f>
        <v>3185208</v>
      </c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</row>
    <row r="1099">
      <c r="A1099" s="1"/>
      <c r="B1099" s="22">
        <f>IFERROR(__xludf.DUMMYFUNCTION("""COMPUTED_VALUE"""),43167.64583333333)</f>
        <v>43167.64583</v>
      </c>
      <c r="C1099" s="9">
        <f>IFERROR(__xludf.DUMMYFUNCTION("""COMPUTED_VALUE"""),574.5)</f>
        <v>574.5</v>
      </c>
      <c r="D1099" s="9">
        <f>IFERROR(__xludf.DUMMYFUNCTION("""COMPUTED_VALUE"""),582.9)</f>
        <v>582.9</v>
      </c>
      <c r="E1099" s="9">
        <f>IFERROR(__xludf.DUMMYFUNCTION("""COMPUTED_VALUE"""),574.5)</f>
        <v>574.5</v>
      </c>
      <c r="F1099" s="9">
        <f>IFERROR(__xludf.DUMMYFUNCTION("""COMPUTED_VALUE"""),578.33)</f>
        <v>578.33</v>
      </c>
      <c r="G1099" s="9">
        <f>IFERROR(__xludf.DUMMYFUNCTION("""COMPUTED_VALUE"""),3046507.0)</f>
        <v>3046507</v>
      </c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</row>
    <row r="1100">
      <c r="A1100" s="1"/>
      <c r="B1100" s="22">
        <f>IFERROR(__xludf.DUMMYFUNCTION("""COMPUTED_VALUE"""),43168.64583333333)</f>
        <v>43168.64583</v>
      </c>
      <c r="C1100" s="9">
        <f>IFERROR(__xludf.DUMMYFUNCTION("""COMPUTED_VALUE"""),581.17)</f>
        <v>581.17</v>
      </c>
      <c r="D1100" s="9">
        <f>IFERROR(__xludf.DUMMYFUNCTION("""COMPUTED_VALUE"""),583.0)</f>
        <v>583</v>
      </c>
      <c r="E1100" s="9">
        <f>IFERROR(__xludf.DUMMYFUNCTION("""COMPUTED_VALUE"""),577.78)</f>
        <v>577.78</v>
      </c>
      <c r="F1100" s="9">
        <f>IFERROR(__xludf.DUMMYFUNCTION("""COMPUTED_VALUE"""),581.7)</f>
        <v>581.7</v>
      </c>
      <c r="G1100" s="9">
        <f>IFERROR(__xludf.DUMMYFUNCTION("""COMPUTED_VALUE"""),2110482.0)</f>
        <v>2110482</v>
      </c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</row>
    <row r="1101">
      <c r="A1101" s="1"/>
      <c r="B1101" s="22">
        <f>IFERROR(__xludf.DUMMYFUNCTION("""COMPUTED_VALUE"""),43171.64583333333)</f>
        <v>43171.64583</v>
      </c>
      <c r="C1101" s="9">
        <f>IFERROR(__xludf.DUMMYFUNCTION("""COMPUTED_VALUE"""),588.0)</f>
        <v>588</v>
      </c>
      <c r="D1101" s="9">
        <f>IFERROR(__xludf.DUMMYFUNCTION("""COMPUTED_VALUE"""),595.92)</f>
        <v>595.92</v>
      </c>
      <c r="E1101" s="9">
        <f>IFERROR(__xludf.DUMMYFUNCTION("""COMPUTED_VALUE"""),585.88)</f>
        <v>585.88</v>
      </c>
      <c r="F1101" s="9">
        <f>IFERROR(__xludf.DUMMYFUNCTION("""COMPUTED_VALUE"""),592.88)</f>
        <v>592.88</v>
      </c>
      <c r="G1101" s="9">
        <f>IFERROR(__xludf.DUMMYFUNCTION("""COMPUTED_VALUE"""),3838485.0)</f>
        <v>3838485</v>
      </c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</row>
    <row r="1102">
      <c r="A1102" s="1"/>
      <c r="B1102" s="22">
        <f>IFERROR(__xludf.DUMMYFUNCTION("""COMPUTED_VALUE"""),43172.64583333333)</f>
        <v>43172.64583</v>
      </c>
      <c r="C1102" s="9">
        <f>IFERROR(__xludf.DUMMYFUNCTION("""COMPUTED_VALUE"""),590.1)</f>
        <v>590.1</v>
      </c>
      <c r="D1102" s="9">
        <f>IFERROR(__xludf.DUMMYFUNCTION("""COMPUTED_VALUE"""),598.5)</f>
        <v>598.5</v>
      </c>
      <c r="E1102" s="9">
        <f>IFERROR(__xludf.DUMMYFUNCTION("""COMPUTED_VALUE"""),587.58)</f>
        <v>587.58</v>
      </c>
      <c r="F1102" s="9">
        <f>IFERROR(__xludf.DUMMYFUNCTION("""COMPUTED_VALUE"""),591.9)</f>
        <v>591.9</v>
      </c>
      <c r="G1102" s="9">
        <f>IFERROR(__xludf.DUMMYFUNCTION("""COMPUTED_VALUE"""),4290526.0)</f>
        <v>4290526</v>
      </c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</row>
    <row r="1103">
      <c r="A1103" s="1"/>
      <c r="B1103" s="22">
        <f>IFERROR(__xludf.DUMMYFUNCTION("""COMPUTED_VALUE"""),43173.64583333333)</f>
        <v>43173.64583</v>
      </c>
      <c r="C1103" s="9">
        <f>IFERROR(__xludf.DUMMYFUNCTION("""COMPUTED_VALUE"""),590.0)</f>
        <v>590</v>
      </c>
      <c r="D1103" s="9">
        <f>IFERROR(__xludf.DUMMYFUNCTION("""COMPUTED_VALUE"""),595.3)</f>
        <v>595.3</v>
      </c>
      <c r="E1103" s="9">
        <f>IFERROR(__xludf.DUMMYFUNCTION("""COMPUTED_VALUE"""),584.55)</f>
        <v>584.55</v>
      </c>
      <c r="F1103" s="9">
        <f>IFERROR(__xludf.DUMMYFUNCTION("""COMPUTED_VALUE"""),590.4)</f>
        <v>590.4</v>
      </c>
      <c r="G1103" s="9">
        <f>IFERROR(__xludf.DUMMYFUNCTION("""COMPUTED_VALUE"""),2214855.0)</f>
        <v>2214855</v>
      </c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</row>
    <row r="1104">
      <c r="A1104" s="1"/>
      <c r="B1104" s="22">
        <f>IFERROR(__xludf.DUMMYFUNCTION("""COMPUTED_VALUE"""),43174.64583333333)</f>
        <v>43174.64583</v>
      </c>
      <c r="C1104" s="9">
        <f>IFERROR(__xludf.DUMMYFUNCTION("""COMPUTED_VALUE"""),590.0)</f>
        <v>590</v>
      </c>
      <c r="D1104" s="9">
        <f>IFERROR(__xludf.DUMMYFUNCTION("""COMPUTED_VALUE"""),594.2)</f>
        <v>594.2</v>
      </c>
      <c r="E1104" s="9">
        <f>IFERROR(__xludf.DUMMYFUNCTION("""COMPUTED_VALUE"""),586.0)</f>
        <v>586</v>
      </c>
      <c r="F1104" s="9">
        <f>IFERROR(__xludf.DUMMYFUNCTION("""COMPUTED_VALUE"""),591.25)</f>
        <v>591.25</v>
      </c>
      <c r="G1104" s="9">
        <f>IFERROR(__xludf.DUMMYFUNCTION("""COMPUTED_VALUE"""),3050750.0)</f>
        <v>3050750</v>
      </c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</row>
    <row r="1105">
      <c r="A1105" s="1"/>
      <c r="B1105" s="22">
        <f>IFERROR(__xludf.DUMMYFUNCTION("""COMPUTED_VALUE"""),43175.64583333333)</f>
        <v>43175.64583</v>
      </c>
      <c r="C1105" s="9">
        <f>IFERROR(__xludf.DUMMYFUNCTION("""COMPUTED_VALUE"""),591.0)</f>
        <v>591</v>
      </c>
      <c r="D1105" s="9">
        <f>IFERROR(__xludf.DUMMYFUNCTION("""COMPUTED_VALUE"""),591.2)</f>
        <v>591.2</v>
      </c>
      <c r="E1105" s="9">
        <f>IFERROR(__xludf.DUMMYFUNCTION("""COMPUTED_VALUE"""),584.63)</f>
        <v>584.63</v>
      </c>
      <c r="F1105" s="9">
        <f>IFERROR(__xludf.DUMMYFUNCTION("""COMPUTED_VALUE"""),585.95)</f>
        <v>585.95</v>
      </c>
      <c r="G1105" s="9">
        <f>IFERROR(__xludf.DUMMYFUNCTION("""COMPUTED_VALUE"""),8977413.0)</f>
        <v>8977413</v>
      </c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</row>
    <row r="1106">
      <c r="A1106" s="1"/>
      <c r="B1106" s="22">
        <f>IFERROR(__xludf.DUMMYFUNCTION("""COMPUTED_VALUE"""),43178.64583333333)</f>
        <v>43178.64583</v>
      </c>
      <c r="C1106" s="9">
        <f>IFERROR(__xludf.DUMMYFUNCTION("""COMPUTED_VALUE"""),582.0)</f>
        <v>582</v>
      </c>
      <c r="D1106" s="9">
        <f>IFERROR(__xludf.DUMMYFUNCTION("""COMPUTED_VALUE"""),590.25)</f>
        <v>590.25</v>
      </c>
      <c r="E1106" s="9">
        <f>IFERROR(__xludf.DUMMYFUNCTION("""COMPUTED_VALUE"""),571.33)</f>
        <v>571.33</v>
      </c>
      <c r="F1106" s="9">
        <f>IFERROR(__xludf.DUMMYFUNCTION("""COMPUTED_VALUE"""),573.38)</f>
        <v>573.38</v>
      </c>
      <c r="G1106" s="9">
        <f>IFERROR(__xludf.DUMMYFUNCTION("""COMPUTED_VALUE"""),3763310.0)</f>
        <v>3763310</v>
      </c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</row>
    <row r="1107">
      <c r="A1107" s="1"/>
      <c r="B1107" s="22">
        <f>IFERROR(__xludf.DUMMYFUNCTION("""COMPUTED_VALUE"""),43179.64583333333)</f>
        <v>43179.64583</v>
      </c>
      <c r="C1107" s="9">
        <f>IFERROR(__xludf.DUMMYFUNCTION("""COMPUTED_VALUE"""),574.3)</f>
        <v>574.3</v>
      </c>
      <c r="D1107" s="9">
        <f>IFERROR(__xludf.DUMMYFUNCTION("""COMPUTED_VALUE"""),585.0)</f>
        <v>585</v>
      </c>
      <c r="E1107" s="9">
        <f>IFERROR(__xludf.DUMMYFUNCTION("""COMPUTED_VALUE"""),574.3)</f>
        <v>574.3</v>
      </c>
      <c r="F1107" s="9">
        <f>IFERROR(__xludf.DUMMYFUNCTION("""COMPUTED_VALUE"""),582.28)</f>
        <v>582.28</v>
      </c>
      <c r="G1107" s="9">
        <f>IFERROR(__xludf.DUMMYFUNCTION("""COMPUTED_VALUE"""),4276883.0)</f>
        <v>4276883</v>
      </c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</row>
    <row r="1108">
      <c r="A1108" s="1"/>
      <c r="B1108" s="22">
        <f>IFERROR(__xludf.DUMMYFUNCTION("""COMPUTED_VALUE"""),43180.64583333333)</f>
        <v>43180.64583</v>
      </c>
      <c r="C1108" s="9">
        <f>IFERROR(__xludf.DUMMYFUNCTION("""COMPUTED_VALUE"""),585.0)</f>
        <v>585</v>
      </c>
      <c r="D1108" s="9">
        <f>IFERROR(__xludf.DUMMYFUNCTION("""COMPUTED_VALUE"""),587.75)</f>
        <v>587.75</v>
      </c>
      <c r="E1108" s="9">
        <f>IFERROR(__xludf.DUMMYFUNCTION("""COMPUTED_VALUE"""),581.1)</f>
        <v>581.1</v>
      </c>
      <c r="F1108" s="9">
        <f>IFERROR(__xludf.DUMMYFUNCTION("""COMPUTED_VALUE"""),583.75)</f>
        <v>583.75</v>
      </c>
      <c r="G1108" s="9">
        <f>IFERROR(__xludf.DUMMYFUNCTION("""COMPUTED_VALUE"""),3846497.0)</f>
        <v>3846497</v>
      </c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</row>
    <row r="1109">
      <c r="A1109" s="1"/>
      <c r="B1109" s="22">
        <f>IFERROR(__xludf.DUMMYFUNCTION("""COMPUTED_VALUE"""),43181.64583333333)</f>
        <v>43181.64583</v>
      </c>
      <c r="C1109" s="9">
        <f>IFERROR(__xludf.DUMMYFUNCTION("""COMPUTED_VALUE"""),582.25)</f>
        <v>582.25</v>
      </c>
      <c r="D1109" s="9">
        <f>IFERROR(__xludf.DUMMYFUNCTION("""COMPUTED_VALUE"""),588.73)</f>
        <v>588.73</v>
      </c>
      <c r="E1109" s="9">
        <f>IFERROR(__xludf.DUMMYFUNCTION("""COMPUTED_VALUE"""),577.65)</f>
        <v>577.65</v>
      </c>
      <c r="F1109" s="9">
        <f>IFERROR(__xludf.DUMMYFUNCTION("""COMPUTED_VALUE"""),580.65)</f>
        <v>580.65</v>
      </c>
      <c r="G1109" s="9">
        <f>IFERROR(__xludf.DUMMYFUNCTION("""COMPUTED_VALUE"""),3406584.0)</f>
        <v>3406584</v>
      </c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</row>
    <row r="1110">
      <c r="A1110" s="1"/>
      <c r="B1110" s="22">
        <f>IFERROR(__xludf.DUMMYFUNCTION("""COMPUTED_VALUE"""),43182.64583333333)</f>
        <v>43182.64583</v>
      </c>
      <c r="C1110" s="9">
        <f>IFERROR(__xludf.DUMMYFUNCTION("""COMPUTED_VALUE"""),573.5)</f>
        <v>573.5</v>
      </c>
      <c r="D1110" s="9">
        <f>IFERROR(__xludf.DUMMYFUNCTION("""COMPUTED_VALUE"""),586.9)</f>
        <v>586.9</v>
      </c>
      <c r="E1110" s="9">
        <f>IFERROR(__xludf.DUMMYFUNCTION("""COMPUTED_VALUE"""),571.17)</f>
        <v>571.17</v>
      </c>
      <c r="F1110" s="9">
        <f>IFERROR(__xludf.DUMMYFUNCTION("""COMPUTED_VALUE"""),583.8)</f>
        <v>583.8</v>
      </c>
      <c r="G1110" s="9">
        <f>IFERROR(__xludf.DUMMYFUNCTION("""COMPUTED_VALUE"""),6004042.0)</f>
        <v>6004042</v>
      </c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</row>
    <row r="1111">
      <c r="A1111" s="1"/>
      <c r="B1111" s="22">
        <f>IFERROR(__xludf.DUMMYFUNCTION("""COMPUTED_VALUE"""),43185.64583333333)</f>
        <v>43185.64583</v>
      </c>
      <c r="C1111" s="9">
        <f>IFERROR(__xludf.DUMMYFUNCTION("""COMPUTED_VALUE"""),583.45)</f>
        <v>583.45</v>
      </c>
      <c r="D1111" s="9">
        <f>IFERROR(__xludf.DUMMYFUNCTION("""COMPUTED_VALUE"""),583.45)</f>
        <v>583.45</v>
      </c>
      <c r="E1111" s="9">
        <f>IFERROR(__xludf.DUMMYFUNCTION("""COMPUTED_VALUE"""),572.0)</f>
        <v>572</v>
      </c>
      <c r="F1111" s="9">
        <f>IFERROR(__xludf.DUMMYFUNCTION("""COMPUTED_VALUE"""),577.63)</f>
        <v>577.63</v>
      </c>
      <c r="G1111" s="9">
        <f>IFERROR(__xludf.DUMMYFUNCTION("""COMPUTED_VALUE"""),4465361.0)</f>
        <v>4465361</v>
      </c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</row>
    <row r="1112">
      <c r="A1112" s="1"/>
      <c r="B1112" s="22">
        <f>IFERROR(__xludf.DUMMYFUNCTION("""COMPUTED_VALUE"""),43186.64583333333)</f>
        <v>43186.64583</v>
      </c>
      <c r="C1112" s="9">
        <f>IFERROR(__xludf.DUMMYFUNCTION("""COMPUTED_VALUE"""),580.0)</f>
        <v>580</v>
      </c>
      <c r="D1112" s="9">
        <f>IFERROR(__xludf.DUMMYFUNCTION("""COMPUTED_VALUE"""),580.65)</f>
        <v>580.65</v>
      </c>
      <c r="E1112" s="9">
        <f>IFERROR(__xludf.DUMMYFUNCTION("""COMPUTED_VALUE"""),575.05)</f>
        <v>575.05</v>
      </c>
      <c r="F1112" s="9">
        <f>IFERROR(__xludf.DUMMYFUNCTION("""COMPUTED_VALUE"""),577.0)</f>
        <v>577</v>
      </c>
      <c r="G1112" s="9">
        <f>IFERROR(__xludf.DUMMYFUNCTION("""COMPUTED_VALUE"""),1901044.0)</f>
        <v>1901044</v>
      </c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</row>
    <row r="1113">
      <c r="A1113" s="1"/>
      <c r="B1113" s="22">
        <f>IFERROR(__xludf.DUMMYFUNCTION("""COMPUTED_VALUE"""),43187.64583333333)</f>
        <v>43187.64583</v>
      </c>
      <c r="C1113" s="9">
        <f>IFERROR(__xludf.DUMMYFUNCTION("""COMPUTED_VALUE"""),575.38)</f>
        <v>575.38</v>
      </c>
      <c r="D1113" s="9">
        <f>IFERROR(__xludf.DUMMYFUNCTION("""COMPUTED_VALUE"""),575.38)</f>
        <v>575.38</v>
      </c>
      <c r="E1113" s="9">
        <f>IFERROR(__xludf.DUMMYFUNCTION("""COMPUTED_VALUE"""),563.13)</f>
        <v>563.13</v>
      </c>
      <c r="F1113" s="9">
        <f>IFERROR(__xludf.DUMMYFUNCTION("""COMPUTED_VALUE"""),565.9)</f>
        <v>565.9</v>
      </c>
      <c r="G1113" s="9">
        <f>IFERROR(__xludf.DUMMYFUNCTION("""COMPUTED_VALUE"""),6279161.0)</f>
        <v>6279161</v>
      </c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</row>
    <row r="1114">
      <c r="A1114" s="1"/>
      <c r="B1114" s="22">
        <f>IFERROR(__xludf.DUMMYFUNCTION("""COMPUTED_VALUE"""),43192.64583333333)</f>
        <v>43192.64583</v>
      </c>
      <c r="C1114" s="9">
        <f>IFERROR(__xludf.DUMMYFUNCTION("""COMPUTED_VALUE"""),570.5)</f>
        <v>570.5</v>
      </c>
      <c r="D1114" s="9">
        <f>IFERROR(__xludf.DUMMYFUNCTION("""COMPUTED_VALUE"""),574.78)</f>
        <v>574.78</v>
      </c>
      <c r="E1114" s="9">
        <f>IFERROR(__xludf.DUMMYFUNCTION("""COMPUTED_VALUE"""),560.65)</f>
        <v>560.65</v>
      </c>
      <c r="F1114" s="9">
        <f>IFERROR(__xludf.DUMMYFUNCTION("""COMPUTED_VALUE"""),568.58)</f>
        <v>568.58</v>
      </c>
      <c r="G1114" s="9">
        <f>IFERROR(__xludf.DUMMYFUNCTION("""COMPUTED_VALUE"""),4036351.0)</f>
        <v>4036351</v>
      </c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</row>
    <row r="1115">
      <c r="A1115" s="1"/>
      <c r="B1115" s="22">
        <f>IFERROR(__xludf.DUMMYFUNCTION("""COMPUTED_VALUE"""),43193.64583333333)</f>
        <v>43193.64583</v>
      </c>
      <c r="C1115" s="9">
        <f>IFERROR(__xludf.DUMMYFUNCTION("""COMPUTED_VALUE"""),567.35)</f>
        <v>567.35</v>
      </c>
      <c r="D1115" s="9">
        <f>IFERROR(__xludf.DUMMYFUNCTION("""COMPUTED_VALUE"""),571.78)</f>
        <v>571.78</v>
      </c>
      <c r="E1115" s="9">
        <f>IFERROR(__xludf.DUMMYFUNCTION("""COMPUTED_VALUE"""),564.05)</f>
        <v>564.05</v>
      </c>
      <c r="F1115" s="9">
        <f>IFERROR(__xludf.DUMMYFUNCTION("""COMPUTED_VALUE"""),570.23)</f>
        <v>570.23</v>
      </c>
      <c r="G1115" s="9">
        <f>IFERROR(__xludf.DUMMYFUNCTION("""COMPUTED_VALUE"""),2038584.0)</f>
        <v>2038584</v>
      </c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</row>
    <row r="1116">
      <c r="A1116" s="1"/>
      <c r="B1116" s="22">
        <f>IFERROR(__xludf.DUMMYFUNCTION("""COMPUTED_VALUE"""),43194.64583333333)</f>
        <v>43194.64583</v>
      </c>
      <c r="C1116" s="9">
        <f>IFERROR(__xludf.DUMMYFUNCTION("""COMPUTED_VALUE"""),572.0)</f>
        <v>572</v>
      </c>
      <c r="D1116" s="9">
        <f>IFERROR(__xludf.DUMMYFUNCTION("""COMPUTED_VALUE"""),572.28)</f>
        <v>572.28</v>
      </c>
      <c r="E1116" s="9">
        <f>IFERROR(__xludf.DUMMYFUNCTION("""COMPUTED_VALUE"""),560.0)</f>
        <v>560</v>
      </c>
      <c r="F1116" s="9">
        <f>IFERROR(__xludf.DUMMYFUNCTION("""COMPUTED_VALUE"""),562.1)</f>
        <v>562.1</v>
      </c>
      <c r="G1116" s="9">
        <f>IFERROR(__xludf.DUMMYFUNCTION("""COMPUTED_VALUE"""),2406651.0)</f>
        <v>2406651</v>
      </c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</row>
    <row r="1117">
      <c r="A1117" s="1"/>
      <c r="B1117" s="22">
        <f>IFERROR(__xludf.DUMMYFUNCTION("""COMPUTED_VALUE"""),43195.64583333333)</f>
        <v>43195.64583</v>
      </c>
      <c r="C1117" s="9">
        <f>IFERROR(__xludf.DUMMYFUNCTION("""COMPUTED_VALUE"""),569.78)</f>
        <v>569.78</v>
      </c>
      <c r="D1117" s="9">
        <f>IFERROR(__xludf.DUMMYFUNCTION("""COMPUTED_VALUE"""),575.65)</f>
        <v>575.65</v>
      </c>
      <c r="E1117" s="9">
        <f>IFERROR(__xludf.DUMMYFUNCTION("""COMPUTED_VALUE"""),564.55)</f>
        <v>564.55</v>
      </c>
      <c r="F1117" s="9">
        <f>IFERROR(__xludf.DUMMYFUNCTION("""COMPUTED_VALUE"""),573.78)</f>
        <v>573.78</v>
      </c>
      <c r="G1117" s="9">
        <f>IFERROR(__xludf.DUMMYFUNCTION("""COMPUTED_VALUE"""),3881772.0)</f>
        <v>3881772</v>
      </c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</row>
    <row r="1118">
      <c r="A1118" s="1"/>
      <c r="B1118" s="22">
        <f>IFERROR(__xludf.DUMMYFUNCTION("""COMPUTED_VALUE"""),43196.64583333333)</f>
        <v>43196.64583</v>
      </c>
      <c r="C1118" s="9">
        <f>IFERROR(__xludf.DUMMYFUNCTION("""COMPUTED_VALUE"""),571.5)</f>
        <v>571.5</v>
      </c>
      <c r="D1118" s="9">
        <f>IFERROR(__xludf.DUMMYFUNCTION("""COMPUTED_VALUE"""),573.0)</f>
        <v>573</v>
      </c>
      <c r="E1118" s="9">
        <f>IFERROR(__xludf.DUMMYFUNCTION("""COMPUTED_VALUE"""),561.05)</f>
        <v>561.05</v>
      </c>
      <c r="F1118" s="9">
        <f>IFERROR(__xludf.DUMMYFUNCTION("""COMPUTED_VALUE"""),563.5)</f>
        <v>563.5</v>
      </c>
      <c r="G1118" s="9">
        <f>IFERROR(__xludf.DUMMYFUNCTION("""COMPUTED_VALUE"""),2968871.0)</f>
        <v>2968871</v>
      </c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</row>
    <row r="1119">
      <c r="A1119" s="1"/>
      <c r="B1119" s="22">
        <f>IFERROR(__xludf.DUMMYFUNCTION("""COMPUTED_VALUE"""),43199.64583333333)</f>
        <v>43199.64583</v>
      </c>
      <c r="C1119" s="9">
        <f>IFERROR(__xludf.DUMMYFUNCTION("""COMPUTED_VALUE"""),562.5)</f>
        <v>562.5</v>
      </c>
      <c r="D1119" s="9">
        <f>IFERROR(__xludf.DUMMYFUNCTION("""COMPUTED_VALUE"""),562.9)</f>
        <v>562.9</v>
      </c>
      <c r="E1119" s="9">
        <f>IFERROR(__xludf.DUMMYFUNCTION("""COMPUTED_VALUE"""),553.28)</f>
        <v>553.28</v>
      </c>
      <c r="F1119" s="9">
        <f>IFERROR(__xludf.DUMMYFUNCTION("""COMPUTED_VALUE"""),555.63)</f>
        <v>555.63</v>
      </c>
      <c r="G1119" s="9">
        <f>IFERROR(__xludf.DUMMYFUNCTION("""COMPUTED_VALUE"""),3601441.0)</f>
        <v>3601441</v>
      </c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</row>
    <row r="1120">
      <c r="A1120" s="1"/>
      <c r="B1120" s="22">
        <f>IFERROR(__xludf.DUMMYFUNCTION("""COMPUTED_VALUE"""),43200.64583333333)</f>
        <v>43200.64583</v>
      </c>
      <c r="C1120" s="9">
        <f>IFERROR(__xludf.DUMMYFUNCTION("""COMPUTED_VALUE"""),556.0)</f>
        <v>556</v>
      </c>
      <c r="D1120" s="9">
        <f>IFERROR(__xludf.DUMMYFUNCTION("""COMPUTED_VALUE"""),562.25)</f>
        <v>562.25</v>
      </c>
      <c r="E1120" s="9">
        <f>IFERROR(__xludf.DUMMYFUNCTION("""COMPUTED_VALUE"""),552.7)</f>
        <v>552.7</v>
      </c>
      <c r="F1120" s="9">
        <f>IFERROR(__xludf.DUMMYFUNCTION("""COMPUTED_VALUE"""),556.7)</f>
        <v>556.7</v>
      </c>
      <c r="G1120" s="9">
        <f>IFERROR(__xludf.DUMMYFUNCTION("""COMPUTED_VALUE"""),4463029.0)</f>
        <v>4463029</v>
      </c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</row>
    <row r="1121">
      <c r="A1121" s="1"/>
      <c r="B1121" s="22">
        <f>IFERROR(__xludf.DUMMYFUNCTION("""COMPUTED_VALUE"""),43201.64583333333)</f>
        <v>43201.64583</v>
      </c>
      <c r="C1121" s="9">
        <f>IFERROR(__xludf.DUMMYFUNCTION("""COMPUTED_VALUE"""),559.0)</f>
        <v>559</v>
      </c>
      <c r="D1121" s="9">
        <f>IFERROR(__xludf.DUMMYFUNCTION("""COMPUTED_VALUE"""),565.75)</f>
        <v>565.75</v>
      </c>
      <c r="E1121" s="9">
        <f>IFERROR(__xludf.DUMMYFUNCTION("""COMPUTED_VALUE"""),558.25)</f>
        <v>558.25</v>
      </c>
      <c r="F1121" s="9">
        <f>IFERROR(__xludf.DUMMYFUNCTION("""COMPUTED_VALUE"""),562.13)</f>
        <v>562.13</v>
      </c>
      <c r="G1121" s="9">
        <f>IFERROR(__xludf.DUMMYFUNCTION("""COMPUTED_VALUE"""),4512787.0)</f>
        <v>4512787</v>
      </c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</row>
    <row r="1122">
      <c r="A1122" s="1"/>
      <c r="B1122" s="22">
        <f>IFERROR(__xludf.DUMMYFUNCTION("""COMPUTED_VALUE"""),43202.64583333333)</f>
        <v>43202.64583</v>
      </c>
      <c r="C1122" s="9">
        <f>IFERROR(__xludf.DUMMYFUNCTION("""COMPUTED_VALUE"""),564.73)</f>
        <v>564.73</v>
      </c>
      <c r="D1122" s="9">
        <f>IFERROR(__xludf.DUMMYFUNCTION("""COMPUTED_VALUE"""),586.38)</f>
        <v>586.38</v>
      </c>
      <c r="E1122" s="9">
        <f>IFERROR(__xludf.DUMMYFUNCTION("""COMPUTED_VALUE"""),562.5)</f>
        <v>562.5</v>
      </c>
      <c r="F1122" s="9">
        <f>IFERROR(__xludf.DUMMYFUNCTION("""COMPUTED_VALUE"""),581.3)</f>
        <v>581.3</v>
      </c>
      <c r="G1122" s="9">
        <f>IFERROR(__xludf.DUMMYFUNCTION("""COMPUTED_VALUE"""),8522183.0)</f>
        <v>8522183</v>
      </c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</row>
    <row r="1123">
      <c r="A1123" s="1"/>
      <c r="B1123" s="22">
        <f>IFERROR(__xludf.DUMMYFUNCTION("""COMPUTED_VALUE"""),43203.64583333333)</f>
        <v>43203.64583</v>
      </c>
      <c r="C1123" s="9">
        <f>IFERROR(__xludf.DUMMYFUNCTION("""COMPUTED_VALUE"""),587.0)</f>
        <v>587</v>
      </c>
      <c r="D1123" s="9">
        <f>IFERROR(__xludf.DUMMYFUNCTION("""COMPUTED_VALUE"""),592.95)</f>
        <v>592.95</v>
      </c>
      <c r="E1123" s="9">
        <f>IFERROR(__xludf.DUMMYFUNCTION("""COMPUTED_VALUE"""),575.13)</f>
        <v>575.13</v>
      </c>
      <c r="F1123" s="9">
        <f>IFERROR(__xludf.DUMMYFUNCTION("""COMPUTED_VALUE"""),585.73)</f>
        <v>585.73</v>
      </c>
      <c r="G1123" s="9">
        <f>IFERROR(__xludf.DUMMYFUNCTION("""COMPUTED_VALUE"""),1.0613519E7)</f>
        <v>10613519</v>
      </c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</row>
    <row r="1124">
      <c r="A1124" s="1"/>
      <c r="B1124" s="22">
        <f>IFERROR(__xludf.DUMMYFUNCTION("""COMPUTED_VALUE"""),43206.64583333333)</f>
        <v>43206.64583</v>
      </c>
      <c r="C1124" s="9">
        <f>IFERROR(__xludf.DUMMYFUNCTION("""COMPUTED_VALUE"""),551.0)</f>
        <v>551</v>
      </c>
      <c r="D1124" s="9">
        <f>IFERROR(__xludf.DUMMYFUNCTION("""COMPUTED_VALUE"""),570.0)</f>
        <v>570</v>
      </c>
      <c r="E1124" s="9">
        <f>IFERROR(__xludf.DUMMYFUNCTION("""COMPUTED_VALUE"""),551.0)</f>
        <v>551</v>
      </c>
      <c r="F1124" s="9">
        <f>IFERROR(__xludf.DUMMYFUNCTION("""COMPUTED_VALUE"""),566.6)</f>
        <v>566.6</v>
      </c>
      <c r="G1124" s="9">
        <f>IFERROR(__xludf.DUMMYFUNCTION("""COMPUTED_VALUE"""),1.2372542E7)</f>
        <v>12372542</v>
      </c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</row>
    <row r="1125">
      <c r="A1125" s="1"/>
      <c r="B1125" s="22">
        <f>IFERROR(__xludf.DUMMYFUNCTION("""COMPUTED_VALUE"""),43207.64583333333)</f>
        <v>43207.64583</v>
      </c>
      <c r="C1125" s="9">
        <f>IFERROR(__xludf.DUMMYFUNCTION("""COMPUTED_VALUE"""),563.5)</f>
        <v>563.5</v>
      </c>
      <c r="D1125" s="9">
        <f>IFERROR(__xludf.DUMMYFUNCTION("""COMPUTED_VALUE"""),563.7)</f>
        <v>563.7</v>
      </c>
      <c r="E1125" s="9">
        <f>IFERROR(__xludf.DUMMYFUNCTION("""COMPUTED_VALUE"""),557.5)</f>
        <v>557.5</v>
      </c>
      <c r="F1125" s="9">
        <f>IFERROR(__xludf.DUMMYFUNCTION("""COMPUTED_VALUE"""),562.6)</f>
        <v>562.6</v>
      </c>
      <c r="G1125" s="9">
        <f>IFERROR(__xludf.DUMMYFUNCTION("""COMPUTED_VALUE"""),5198970.0)</f>
        <v>5198970</v>
      </c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</row>
    <row r="1126">
      <c r="A1126" s="1"/>
      <c r="B1126" s="22">
        <f>IFERROR(__xludf.DUMMYFUNCTION("""COMPUTED_VALUE"""),43208.64583333333)</f>
        <v>43208.64583</v>
      </c>
      <c r="C1126" s="9">
        <f>IFERROR(__xludf.DUMMYFUNCTION("""COMPUTED_VALUE"""),561.42)</f>
        <v>561.42</v>
      </c>
      <c r="D1126" s="9">
        <f>IFERROR(__xludf.DUMMYFUNCTION("""COMPUTED_VALUE"""),567.38)</f>
        <v>567.38</v>
      </c>
      <c r="E1126" s="9">
        <f>IFERROR(__xludf.DUMMYFUNCTION("""COMPUTED_VALUE"""),556.92)</f>
        <v>556.92</v>
      </c>
      <c r="F1126" s="9">
        <f>IFERROR(__xludf.DUMMYFUNCTION("""COMPUTED_VALUE"""),562.98)</f>
        <v>562.98</v>
      </c>
      <c r="G1126" s="9">
        <f>IFERROR(__xludf.DUMMYFUNCTION("""COMPUTED_VALUE"""),5215190.0)</f>
        <v>5215190</v>
      </c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</row>
    <row r="1127">
      <c r="A1127" s="1"/>
      <c r="B1127" s="22">
        <f>IFERROR(__xludf.DUMMYFUNCTION("""COMPUTED_VALUE"""),43209.64583333333)</f>
        <v>43209.64583</v>
      </c>
      <c r="C1127" s="9">
        <f>IFERROR(__xludf.DUMMYFUNCTION("""COMPUTED_VALUE"""),562.0)</f>
        <v>562</v>
      </c>
      <c r="D1127" s="9">
        <f>IFERROR(__xludf.DUMMYFUNCTION("""COMPUTED_VALUE"""),569.9)</f>
        <v>569.9</v>
      </c>
      <c r="E1127" s="9">
        <f>IFERROR(__xludf.DUMMYFUNCTION("""COMPUTED_VALUE"""),561.55)</f>
        <v>561.55</v>
      </c>
      <c r="F1127" s="9">
        <f>IFERROR(__xludf.DUMMYFUNCTION("""COMPUTED_VALUE"""),566.42)</f>
        <v>566.42</v>
      </c>
      <c r="G1127" s="9">
        <f>IFERROR(__xludf.DUMMYFUNCTION("""COMPUTED_VALUE"""),4262771.0)</f>
        <v>4262771</v>
      </c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</row>
    <row r="1128">
      <c r="A1128" s="1"/>
      <c r="B1128" s="22">
        <f>IFERROR(__xludf.DUMMYFUNCTION("""COMPUTED_VALUE"""),43210.64583333333)</f>
        <v>43210.64583</v>
      </c>
      <c r="C1128" s="9">
        <f>IFERROR(__xludf.DUMMYFUNCTION("""COMPUTED_VALUE"""),569.5)</f>
        <v>569.5</v>
      </c>
      <c r="D1128" s="9">
        <f>IFERROR(__xludf.DUMMYFUNCTION("""COMPUTED_VALUE"""),596.85)</f>
        <v>596.85</v>
      </c>
      <c r="E1128" s="9">
        <f>IFERROR(__xludf.DUMMYFUNCTION("""COMPUTED_VALUE"""),568.48)</f>
        <v>568.48</v>
      </c>
      <c r="F1128" s="9">
        <f>IFERROR(__xludf.DUMMYFUNCTION("""COMPUTED_VALUE"""),589.23)</f>
        <v>589.23</v>
      </c>
      <c r="G1128" s="9">
        <f>IFERROR(__xludf.DUMMYFUNCTION("""COMPUTED_VALUE"""),1.2136346E7)</f>
        <v>12136346</v>
      </c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</row>
    <row r="1129">
      <c r="A1129" s="1"/>
      <c r="B1129" s="22">
        <f>IFERROR(__xludf.DUMMYFUNCTION("""COMPUTED_VALUE"""),43213.64583333333)</f>
        <v>43213.64583</v>
      </c>
      <c r="C1129" s="9">
        <f>IFERROR(__xludf.DUMMYFUNCTION("""COMPUTED_VALUE"""),584.0)</f>
        <v>584</v>
      </c>
      <c r="D1129" s="9">
        <f>IFERROR(__xludf.DUMMYFUNCTION("""COMPUTED_VALUE"""),607.2)</f>
        <v>607.2</v>
      </c>
      <c r="E1129" s="9">
        <f>IFERROR(__xludf.DUMMYFUNCTION("""COMPUTED_VALUE"""),577.63)</f>
        <v>577.63</v>
      </c>
      <c r="F1129" s="9">
        <f>IFERROR(__xludf.DUMMYFUNCTION("""COMPUTED_VALUE"""),593.85)</f>
        <v>593.85</v>
      </c>
      <c r="G1129" s="9">
        <f>IFERROR(__xludf.DUMMYFUNCTION("""COMPUTED_VALUE"""),1.0915319E7)</f>
        <v>10915319</v>
      </c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</row>
    <row r="1130">
      <c r="A1130" s="1"/>
      <c r="B1130" s="22">
        <f>IFERROR(__xludf.DUMMYFUNCTION("""COMPUTED_VALUE"""),43214.64583333333)</f>
        <v>43214.64583</v>
      </c>
      <c r="C1130" s="9">
        <f>IFERROR(__xludf.DUMMYFUNCTION("""COMPUTED_VALUE"""),592.5)</f>
        <v>592.5</v>
      </c>
      <c r="D1130" s="9">
        <f>IFERROR(__xludf.DUMMYFUNCTION("""COMPUTED_VALUE"""),598.2)</f>
        <v>598.2</v>
      </c>
      <c r="E1130" s="9">
        <f>IFERROR(__xludf.DUMMYFUNCTION("""COMPUTED_VALUE"""),575.05)</f>
        <v>575.05</v>
      </c>
      <c r="F1130" s="9">
        <f>IFERROR(__xludf.DUMMYFUNCTION("""COMPUTED_VALUE"""),577.25)</f>
        <v>577.25</v>
      </c>
      <c r="G1130" s="9">
        <f>IFERROR(__xludf.DUMMYFUNCTION("""COMPUTED_VALUE"""),4263108.0)</f>
        <v>4263108</v>
      </c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</row>
    <row r="1131">
      <c r="A1131" s="1"/>
      <c r="B1131" s="22">
        <f>IFERROR(__xludf.DUMMYFUNCTION("""COMPUTED_VALUE"""),43215.64583333333)</f>
        <v>43215.64583</v>
      </c>
      <c r="C1131" s="9">
        <f>IFERROR(__xludf.DUMMYFUNCTION("""COMPUTED_VALUE"""),576.0)</f>
        <v>576</v>
      </c>
      <c r="D1131" s="9">
        <f>IFERROR(__xludf.DUMMYFUNCTION("""COMPUTED_VALUE"""),585.5)</f>
        <v>585.5</v>
      </c>
      <c r="E1131" s="9">
        <f>IFERROR(__xludf.DUMMYFUNCTION("""COMPUTED_VALUE"""),572.6)</f>
        <v>572.6</v>
      </c>
      <c r="F1131" s="9">
        <f>IFERROR(__xludf.DUMMYFUNCTION("""COMPUTED_VALUE"""),580.17)</f>
        <v>580.17</v>
      </c>
      <c r="G1131" s="9">
        <f>IFERROR(__xludf.DUMMYFUNCTION("""COMPUTED_VALUE"""),5797089.0)</f>
        <v>5797089</v>
      </c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</row>
    <row r="1132">
      <c r="A1132" s="1"/>
      <c r="B1132" s="22">
        <f>IFERROR(__xludf.DUMMYFUNCTION("""COMPUTED_VALUE"""),43216.64583333333)</f>
        <v>43216.64583</v>
      </c>
      <c r="C1132" s="9">
        <f>IFERROR(__xludf.DUMMYFUNCTION("""COMPUTED_VALUE"""),587.0)</f>
        <v>587</v>
      </c>
      <c r="D1132" s="9">
        <f>IFERROR(__xludf.DUMMYFUNCTION("""COMPUTED_VALUE"""),590.83)</f>
        <v>590.83</v>
      </c>
      <c r="E1132" s="9">
        <f>IFERROR(__xludf.DUMMYFUNCTION("""COMPUTED_VALUE"""),580.0)</f>
        <v>580</v>
      </c>
      <c r="F1132" s="9">
        <f>IFERROR(__xludf.DUMMYFUNCTION("""COMPUTED_VALUE"""),588.23)</f>
        <v>588.23</v>
      </c>
      <c r="G1132" s="9">
        <f>IFERROR(__xludf.DUMMYFUNCTION("""COMPUTED_VALUE"""),5651042.0)</f>
        <v>5651042</v>
      </c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</row>
    <row r="1133">
      <c r="A1133" s="1"/>
      <c r="B1133" s="22">
        <f>IFERROR(__xludf.DUMMYFUNCTION("""COMPUTED_VALUE"""),43217.64583333333)</f>
        <v>43217.64583</v>
      </c>
      <c r="C1133" s="9">
        <f>IFERROR(__xludf.DUMMYFUNCTION("""COMPUTED_VALUE"""),590.0)</f>
        <v>590</v>
      </c>
      <c r="D1133" s="9">
        <f>IFERROR(__xludf.DUMMYFUNCTION("""COMPUTED_VALUE"""),595.8)</f>
        <v>595.8</v>
      </c>
      <c r="E1133" s="9">
        <f>IFERROR(__xludf.DUMMYFUNCTION("""COMPUTED_VALUE"""),587.1)</f>
        <v>587.1</v>
      </c>
      <c r="F1133" s="9">
        <f>IFERROR(__xludf.DUMMYFUNCTION("""COMPUTED_VALUE"""),592.6)</f>
        <v>592.6</v>
      </c>
      <c r="G1133" s="9">
        <f>IFERROR(__xludf.DUMMYFUNCTION("""COMPUTED_VALUE"""),3831685.0)</f>
        <v>3831685</v>
      </c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</row>
    <row r="1134">
      <c r="A1134" s="1"/>
      <c r="B1134" s="22">
        <f>IFERROR(__xludf.DUMMYFUNCTION("""COMPUTED_VALUE"""),43220.64583333333)</f>
        <v>43220.64583</v>
      </c>
      <c r="C1134" s="9">
        <f>IFERROR(__xludf.DUMMYFUNCTION("""COMPUTED_VALUE"""),590.85)</f>
        <v>590.85</v>
      </c>
      <c r="D1134" s="9">
        <f>IFERROR(__xludf.DUMMYFUNCTION("""COMPUTED_VALUE"""),603.98)</f>
        <v>603.98</v>
      </c>
      <c r="E1134" s="9">
        <f>IFERROR(__xludf.DUMMYFUNCTION("""COMPUTED_VALUE"""),590.33)</f>
        <v>590.33</v>
      </c>
      <c r="F1134" s="9">
        <f>IFERROR(__xludf.DUMMYFUNCTION("""COMPUTED_VALUE"""),599.75)</f>
        <v>599.75</v>
      </c>
      <c r="G1134" s="9">
        <f>IFERROR(__xludf.DUMMYFUNCTION("""COMPUTED_VALUE"""),2755839.0)</f>
        <v>2755839</v>
      </c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</row>
    <row r="1135">
      <c r="A1135" s="1"/>
      <c r="B1135" s="22">
        <f>IFERROR(__xludf.DUMMYFUNCTION("""COMPUTED_VALUE"""),43222.64583333333)</f>
        <v>43222.64583</v>
      </c>
      <c r="C1135" s="9">
        <f>IFERROR(__xludf.DUMMYFUNCTION("""COMPUTED_VALUE"""),599.45)</f>
        <v>599.45</v>
      </c>
      <c r="D1135" s="9">
        <f>IFERROR(__xludf.DUMMYFUNCTION("""COMPUTED_VALUE"""),600.8)</f>
        <v>600.8</v>
      </c>
      <c r="E1135" s="9">
        <f>IFERROR(__xludf.DUMMYFUNCTION("""COMPUTED_VALUE"""),590.5)</f>
        <v>590.5</v>
      </c>
      <c r="F1135" s="9">
        <f>IFERROR(__xludf.DUMMYFUNCTION("""COMPUTED_VALUE"""),598.53)</f>
        <v>598.53</v>
      </c>
      <c r="G1135" s="9">
        <f>IFERROR(__xludf.DUMMYFUNCTION("""COMPUTED_VALUE"""),5147521.0)</f>
        <v>5147521</v>
      </c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</row>
    <row r="1136">
      <c r="A1136" s="1"/>
      <c r="B1136" s="22">
        <f>IFERROR(__xludf.DUMMYFUNCTION("""COMPUTED_VALUE"""),43223.64583333333)</f>
        <v>43223.64583</v>
      </c>
      <c r="C1136" s="9">
        <f>IFERROR(__xludf.DUMMYFUNCTION("""COMPUTED_VALUE"""),598.63)</f>
        <v>598.63</v>
      </c>
      <c r="D1136" s="9">
        <f>IFERROR(__xludf.DUMMYFUNCTION("""COMPUTED_VALUE"""),602.35)</f>
        <v>602.35</v>
      </c>
      <c r="E1136" s="9">
        <f>IFERROR(__xludf.DUMMYFUNCTION("""COMPUTED_VALUE"""),588.05)</f>
        <v>588.05</v>
      </c>
      <c r="F1136" s="9">
        <f>IFERROR(__xludf.DUMMYFUNCTION("""COMPUTED_VALUE"""),591.28)</f>
        <v>591.28</v>
      </c>
      <c r="G1136" s="9">
        <f>IFERROR(__xludf.DUMMYFUNCTION("""COMPUTED_VALUE"""),2666115.0)</f>
        <v>2666115</v>
      </c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</row>
    <row r="1137">
      <c r="A1137" s="1"/>
      <c r="B1137" s="22">
        <f>IFERROR(__xludf.DUMMYFUNCTION("""COMPUTED_VALUE"""),43224.64583333333)</f>
        <v>43224.64583</v>
      </c>
      <c r="C1137" s="9">
        <f>IFERROR(__xludf.DUMMYFUNCTION("""COMPUTED_VALUE"""),592.5)</f>
        <v>592.5</v>
      </c>
      <c r="D1137" s="9">
        <f>IFERROR(__xludf.DUMMYFUNCTION("""COMPUTED_VALUE"""),593.0)</f>
        <v>593</v>
      </c>
      <c r="E1137" s="9">
        <f>IFERROR(__xludf.DUMMYFUNCTION("""COMPUTED_VALUE"""),577.5)</f>
        <v>577.5</v>
      </c>
      <c r="F1137" s="9">
        <f>IFERROR(__xludf.DUMMYFUNCTION("""COMPUTED_VALUE"""),586.55)</f>
        <v>586.55</v>
      </c>
      <c r="G1137" s="9">
        <f>IFERROR(__xludf.DUMMYFUNCTION("""COMPUTED_VALUE"""),3011684.0)</f>
        <v>3011684</v>
      </c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</row>
    <row r="1138">
      <c r="A1138" s="1"/>
      <c r="B1138" s="22">
        <f>IFERROR(__xludf.DUMMYFUNCTION("""COMPUTED_VALUE"""),43227.64583333333)</f>
        <v>43227.64583</v>
      </c>
      <c r="C1138" s="9">
        <f>IFERROR(__xludf.DUMMYFUNCTION("""COMPUTED_VALUE"""),590.63)</f>
        <v>590.63</v>
      </c>
      <c r="D1138" s="9">
        <f>IFERROR(__xludf.DUMMYFUNCTION("""COMPUTED_VALUE"""),595.0)</f>
        <v>595</v>
      </c>
      <c r="E1138" s="9">
        <f>IFERROR(__xludf.DUMMYFUNCTION("""COMPUTED_VALUE"""),587.75)</f>
        <v>587.75</v>
      </c>
      <c r="F1138" s="9">
        <f>IFERROR(__xludf.DUMMYFUNCTION("""COMPUTED_VALUE"""),591.5)</f>
        <v>591.5</v>
      </c>
      <c r="G1138" s="9">
        <f>IFERROR(__xludf.DUMMYFUNCTION("""COMPUTED_VALUE"""),2319480.0)</f>
        <v>2319480</v>
      </c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</row>
    <row r="1139">
      <c r="A1139" s="1"/>
      <c r="B1139" s="22">
        <f>IFERROR(__xludf.DUMMYFUNCTION("""COMPUTED_VALUE"""),43228.64583333333)</f>
        <v>43228.64583</v>
      </c>
      <c r="C1139" s="9">
        <f>IFERROR(__xludf.DUMMYFUNCTION("""COMPUTED_VALUE"""),588.95)</f>
        <v>588.95</v>
      </c>
      <c r="D1139" s="9">
        <f>IFERROR(__xludf.DUMMYFUNCTION("""COMPUTED_VALUE"""),588.95)</f>
        <v>588.95</v>
      </c>
      <c r="E1139" s="9">
        <f>IFERROR(__xludf.DUMMYFUNCTION("""COMPUTED_VALUE"""),580.53)</f>
        <v>580.53</v>
      </c>
      <c r="F1139" s="9">
        <f>IFERROR(__xludf.DUMMYFUNCTION("""COMPUTED_VALUE"""),582.78)</f>
        <v>582.78</v>
      </c>
      <c r="G1139" s="9">
        <f>IFERROR(__xludf.DUMMYFUNCTION("""COMPUTED_VALUE"""),2859278.0)</f>
        <v>2859278</v>
      </c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</row>
    <row r="1140">
      <c r="A1140" s="1"/>
      <c r="B1140" s="22">
        <f>IFERROR(__xludf.DUMMYFUNCTION("""COMPUTED_VALUE"""),43229.64583333333)</f>
        <v>43229.64583</v>
      </c>
      <c r="C1140" s="9">
        <f>IFERROR(__xludf.DUMMYFUNCTION("""COMPUTED_VALUE"""),583.75)</f>
        <v>583.75</v>
      </c>
      <c r="D1140" s="9">
        <f>IFERROR(__xludf.DUMMYFUNCTION("""COMPUTED_VALUE"""),588.45)</f>
        <v>588.45</v>
      </c>
      <c r="E1140" s="9">
        <f>IFERROR(__xludf.DUMMYFUNCTION("""COMPUTED_VALUE"""),581.5)</f>
        <v>581.5</v>
      </c>
      <c r="F1140" s="9">
        <f>IFERROR(__xludf.DUMMYFUNCTION("""COMPUTED_VALUE"""),585.35)</f>
        <v>585.35</v>
      </c>
      <c r="G1140" s="9">
        <f>IFERROR(__xludf.DUMMYFUNCTION("""COMPUTED_VALUE"""),1891752.0)</f>
        <v>1891752</v>
      </c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</row>
    <row r="1141">
      <c r="A1141" s="1"/>
      <c r="B1141" s="22">
        <f>IFERROR(__xludf.DUMMYFUNCTION("""COMPUTED_VALUE"""),43230.64583333333)</f>
        <v>43230.64583</v>
      </c>
      <c r="C1141" s="9">
        <f>IFERROR(__xludf.DUMMYFUNCTION("""COMPUTED_VALUE"""),588.0)</f>
        <v>588</v>
      </c>
      <c r="D1141" s="9">
        <f>IFERROR(__xludf.DUMMYFUNCTION("""COMPUTED_VALUE"""),591.5)</f>
        <v>591.5</v>
      </c>
      <c r="E1141" s="9">
        <f>IFERROR(__xludf.DUMMYFUNCTION("""COMPUTED_VALUE"""),581.42)</f>
        <v>581.42</v>
      </c>
      <c r="F1141" s="9">
        <f>IFERROR(__xludf.DUMMYFUNCTION("""COMPUTED_VALUE"""),584.0)</f>
        <v>584</v>
      </c>
      <c r="G1141" s="9">
        <f>IFERROR(__xludf.DUMMYFUNCTION("""COMPUTED_VALUE"""),1591431.0)</f>
        <v>1591431</v>
      </c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</row>
    <row r="1142">
      <c r="A1142" s="1"/>
      <c r="B1142" s="22">
        <f>IFERROR(__xludf.DUMMYFUNCTION("""COMPUTED_VALUE"""),43231.64583333333)</f>
        <v>43231.64583</v>
      </c>
      <c r="C1142" s="9">
        <f>IFERROR(__xludf.DUMMYFUNCTION("""COMPUTED_VALUE"""),586.15)</f>
        <v>586.15</v>
      </c>
      <c r="D1142" s="9">
        <f>IFERROR(__xludf.DUMMYFUNCTION("""COMPUTED_VALUE"""),591.6)</f>
        <v>591.6</v>
      </c>
      <c r="E1142" s="9">
        <f>IFERROR(__xludf.DUMMYFUNCTION("""COMPUTED_VALUE"""),583.03)</f>
        <v>583.03</v>
      </c>
      <c r="F1142" s="9">
        <f>IFERROR(__xludf.DUMMYFUNCTION("""COMPUTED_VALUE"""),590.38)</f>
        <v>590.38</v>
      </c>
      <c r="G1142" s="9">
        <f>IFERROR(__xludf.DUMMYFUNCTION("""COMPUTED_VALUE"""),1655853.0)</f>
        <v>1655853</v>
      </c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</row>
    <row r="1143">
      <c r="A1143" s="1"/>
      <c r="B1143" s="22">
        <f>IFERROR(__xludf.DUMMYFUNCTION("""COMPUTED_VALUE"""),43234.64583333333)</f>
        <v>43234.64583</v>
      </c>
      <c r="C1143" s="9">
        <f>IFERROR(__xludf.DUMMYFUNCTION("""COMPUTED_VALUE"""),592.17)</f>
        <v>592.17</v>
      </c>
      <c r="D1143" s="9">
        <f>IFERROR(__xludf.DUMMYFUNCTION("""COMPUTED_VALUE"""),595.75)</f>
        <v>595.75</v>
      </c>
      <c r="E1143" s="9">
        <f>IFERROR(__xludf.DUMMYFUNCTION("""COMPUTED_VALUE"""),585.0)</f>
        <v>585</v>
      </c>
      <c r="F1143" s="9">
        <f>IFERROR(__xludf.DUMMYFUNCTION("""COMPUTED_VALUE"""),594.65)</f>
        <v>594.65</v>
      </c>
      <c r="G1143" s="9">
        <f>IFERROR(__xludf.DUMMYFUNCTION("""COMPUTED_VALUE"""),2216047.0)</f>
        <v>2216047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</row>
    <row r="1144">
      <c r="A1144" s="1"/>
      <c r="B1144" s="22">
        <f>IFERROR(__xludf.DUMMYFUNCTION("""COMPUTED_VALUE"""),43235.64583333333)</f>
        <v>43235.64583</v>
      </c>
      <c r="C1144" s="9">
        <f>IFERROR(__xludf.DUMMYFUNCTION("""COMPUTED_VALUE"""),594.05)</f>
        <v>594.05</v>
      </c>
      <c r="D1144" s="9">
        <f>IFERROR(__xludf.DUMMYFUNCTION("""COMPUTED_VALUE"""),604.0)</f>
        <v>604</v>
      </c>
      <c r="E1144" s="9">
        <f>IFERROR(__xludf.DUMMYFUNCTION("""COMPUTED_VALUE"""),594.05)</f>
        <v>594.05</v>
      </c>
      <c r="F1144" s="9">
        <f>IFERROR(__xludf.DUMMYFUNCTION("""COMPUTED_VALUE"""),597.28)</f>
        <v>597.28</v>
      </c>
      <c r="G1144" s="9">
        <f>IFERROR(__xludf.DUMMYFUNCTION("""COMPUTED_VALUE"""),2805987.0)</f>
        <v>2805987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</row>
    <row r="1145">
      <c r="A1145" s="1"/>
      <c r="B1145" s="22">
        <f>IFERROR(__xludf.DUMMYFUNCTION("""COMPUTED_VALUE"""),43236.64583333333)</f>
        <v>43236.64583</v>
      </c>
      <c r="C1145" s="9">
        <f>IFERROR(__xludf.DUMMYFUNCTION("""COMPUTED_VALUE"""),593.63)</f>
        <v>593.63</v>
      </c>
      <c r="D1145" s="9">
        <f>IFERROR(__xludf.DUMMYFUNCTION("""COMPUTED_VALUE"""),599.0)</f>
        <v>599</v>
      </c>
      <c r="E1145" s="9">
        <f>IFERROR(__xludf.DUMMYFUNCTION("""COMPUTED_VALUE"""),592.25)</f>
        <v>592.25</v>
      </c>
      <c r="F1145" s="9">
        <f>IFERROR(__xludf.DUMMYFUNCTION("""COMPUTED_VALUE"""),594.98)</f>
        <v>594.98</v>
      </c>
      <c r="G1145" s="9">
        <f>IFERROR(__xludf.DUMMYFUNCTION("""COMPUTED_VALUE"""),3102502.0)</f>
        <v>3102502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</row>
    <row r="1146">
      <c r="A1146" s="1"/>
      <c r="B1146" s="22">
        <f>IFERROR(__xludf.DUMMYFUNCTION("""COMPUTED_VALUE"""),43237.64583333333)</f>
        <v>43237.64583</v>
      </c>
      <c r="C1146" s="9">
        <f>IFERROR(__xludf.DUMMYFUNCTION("""COMPUTED_VALUE"""),598.0)</f>
        <v>598</v>
      </c>
      <c r="D1146" s="9">
        <f>IFERROR(__xludf.DUMMYFUNCTION("""COMPUTED_VALUE"""),598.73)</f>
        <v>598.73</v>
      </c>
      <c r="E1146" s="9">
        <f>IFERROR(__xludf.DUMMYFUNCTION("""COMPUTED_VALUE"""),586.78)</f>
        <v>586.78</v>
      </c>
      <c r="F1146" s="9">
        <f>IFERROR(__xludf.DUMMYFUNCTION("""COMPUTED_VALUE"""),591.45)</f>
        <v>591.45</v>
      </c>
      <c r="G1146" s="9">
        <f>IFERROR(__xludf.DUMMYFUNCTION("""COMPUTED_VALUE"""),4759799.0)</f>
        <v>4759799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</row>
    <row r="1147">
      <c r="A1147" s="1"/>
      <c r="B1147" s="22">
        <f>IFERROR(__xludf.DUMMYFUNCTION("""COMPUTED_VALUE"""),43238.64583333333)</f>
        <v>43238.64583</v>
      </c>
      <c r="C1147" s="9">
        <f>IFERROR(__xludf.DUMMYFUNCTION("""COMPUTED_VALUE"""),591.5)</f>
        <v>591.5</v>
      </c>
      <c r="D1147" s="9">
        <f>IFERROR(__xludf.DUMMYFUNCTION("""COMPUTED_VALUE"""),593.28)</f>
        <v>593.28</v>
      </c>
      <c r="E1147" s="9">
        <f>IFERROR(__xludf.DUMMYFUNCTION("""COMPUTED_VALUE"""),586.5)</f>
        <v>586.5</v>
      </c>
      <c r="F1147" s="9">
        <f>IFERROR(__xludf.DUMMYFUNCTION("""COMPUTED_VALUE"""),591.6)</f>
        <v>591.6</v>
      </c>
      <c r="G1147" s="9">
        <f>IFERROR(__xludf.DUMMYFUNCTION("""COMPUTED_VALUE"""),3569830.0)</f>
        <v>3569830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</row>
    <row r="1148">
      <c r="A1148" s="1"/>
      <c r="B1148" s="22">
        <f>IFERROR(__xludf.DUMMYFUNCTION("""COMPUTED_VALUE"""),43241.64583333333)</f>
        <v>43241.64583</v>
      </c>
      <c r="C1148" s="9">
        <f>IFERROR(__xludf.DUMMYFUNCTION("""COMPUTED_VALUE"""),589.78)</f>
        <v>589.78</v>
      </c>
      <c r="D1148" s="9">
        <f>IFERROR(__xludf.DUMMYFUNCTION("""COMPUTED_VALUE"""),594.2)</f>
        <v>594.2</v>
      </c>
      <c r="E1148" s="9">
        <f>IFERROR(__xludf.DUMMYFUNCTION("""COMPUTED_VALUE"""),585.0)</f>
        <v>585</v>
      </c>
      <c r="F1148" s="9">
        <f>IFERROR(__xludf.DUMMYFUNCTION("""COMPUTED_VALUE"""),589.75)</f>
        <v>589.75</v>
      </c>
      <c r="G1148" s="9">
        <f>IFERROR(__xludf.DUMMYFUNCTION("""COMPUTED_VALUE"""),4237660.0)</f>
        <v>4237660</v>
      </c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</row>
    <row r="1149">
      <c r="A1149" s="1"/>
      <c r="B1149" s="22">
        <f>IFERROR(__xludf.DUMMYFUNCTION("""COMPUTED_VALUE"""),43242.64583333333)</f>
        <v>43242.64583</v>
      </c>
      <c r="C1149" s="9">
        <f>IFERROR(__xludf.DUMMYFUNCTION("""COMPUTED_VALUE"""),587.5)</f>
        <v>587.5</v>
      </c>
      <c r="D1149" s="9">
        <f>IFERROR(__xludf.DUMMYFUNCTION("""COMPUTED_VALUE"""),599.0)</f>
        <v>599</v>
      </c>
      <c r="E1149" s="9">
        <f>IFERROR(__xludf.DUMMYFUNCTION("""COMPUTED_VALUE"""),586.95)</f>
        <v>586.95</v>
      </c>
      <c r="F1149" s="9">
        <f>IFERROR(__xludf.DUMMYFUNCTION("""COMPUTED_VALUE"""),596.92)</f>
        <v>596.92</v>
      </c>
      <c r="G1149" s="9">
        <f>IFERROR(__xludf.DUMMYFUNCTION("""COMPUTED_VALUE"""),2818402.0)</f>
        <v>2818402</v>
      </c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</row>
    <row r="1150">
      <c r="A1150" s="1"/>
      <c r="B1150" s="22">
        <f>IFERROR(__xludf.DUMMYFUNCTION("""COMPUTED_VALUE"""),43243.64583333333)</f>
        <v>43243.64583</v>
      </c>
      <c r="C1150" s="9">
        <f>IFERROR(__xludf.DUMMYFUNCTION("""COMPUTED_VALUE"""),597.5)</f>
        <v>597.5</v>
      </c>
      <c r="D1150" s="9">
        <f>IFERROR(__xludf.DUMMYFUNCTION("""COMPUTED_VALUE"""),603.83)</f>
        <v>603.83</v>
      </c>
      <c r="E1150" s="9">
        <f>IFERROR(__xludf.DUMMYFUNCTION("""COMPUTED_VALUE"""),590.75)</f>
        <v>590.75</v>
      </c>
      <c r="F1150" s="9">
        <f>IFERROR(__xludf.DUMMYFUNCTION("""COMPUTED_VALUE"""),592.45)</f>
        <v>592.45</v>
      </c>
      <c r="G1150" s="9">
        <f>IFERROR(__xludf.DUMMYFUNCTION("""COMPUTED_VALUE"""),4769221.0)</f>
        <v>4769221</v>
      </c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</row>
    <row r="1151">
      <c r="A1151" s="1"/>
      <c r="B1151" s="22">
        <f>IFERROR(__xludf.DUMMYFUNCTION("""COMPUTED_VALUE"""),43244.64583333333)</f>
        <v>43244.64583</v>
      </c>
      <c r="C1151" s="9">
        <f>IFERROR(__xludf.DUMMYFUNCTION("""COMPUTED_VALUE"""),599.0)</f>
        <v>599</v>
      </c>
      <c r="D1151" s="9">
        <f>IFERROR(__xludf.DUMMYFUNCTION("""COMPUTED_VALUE"""),613.78)</f>
        <v>613.78</v>
      </c>
      <c r="E1151" s="9">
        <f>IFERROR(__xludf.DUMMYFUNCTION("""COMPUTED_VALUE"""),599.0)</f>
        <v>599</v>
      </c>
      <c r="F1151" s="9">
        <f>IFERROR(__xludf.DUMMYFUNCTION("""COMPUTED_VALUE"""),610.5)</f>
        <v>610.5</v>
      </c>
      <c r="G1151" s="9">
        <f>IFERROR(__xludf.DUMMYFUNCTION("""COMPUTED_VALUE"""),4870285.0)</f>
        <v>4870285</v>
      </c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</row>
    <row r="1152">
      <c r="A1152" s="1"/>
      <c r="B1152" s="22">
        <f>IFERROR(__xludf.DUMMYFUNCTION("""COMPUTED_VALUE"""),43245.64583333333)</f>
        <v>43245.64583</v>
      </c>
      <c r="C1152" s="9">
        <f>IFERROR(__xludf.DUMMYFUNCTION("""COMPUTED_VALUE"""),615.05)</f>
        <v>615.05</v>
      </c>
      <c r="D1152" s="9">
        <f>IFERROR(__xludf.DUMMYFUNCTION("""COMPUTED_VALUE"""),624.33)</f>
        <v>624.33</v>
      </c>
      <c r="E1152" s="9">
        <f>IFERROR(__xludf.DUMMYFUNCTION("""COMPUTED_VALUE"""),610.4)</f>
        <v>610.4</v>
      </c>
      <c r="F1152" s="9">
        <f>IFERROR(__xludf.DUMMYFUNCTION("""COMPUTED_VALUE"""),614.15)</f>
        <v>614.15</v>
      </c>
      <c r="G1152" s="9">
        <f>IFERROR(__xludf.DUMMYFUNCTION("""COMPUTED_VALUE"""),4450719.0)</f>
        <v>4450719</v>
      </c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</row>
    <row r="1153">
      <c r="A1153" s="1"/>
      <c r="B1153" s="22">
        <f>IFERROR(__xludf.DUMMYFUNCTION("""COMPUTED_VALUE"""),43248.64583333333)</f>
        <v>43248.64583</v>
      </c>
      <c r="C1153" s="9">
        <f>IFERROR(__xludf.DUMMYFUNCTION("""COMPUTED_VALUE"""),615.5)</f>
        <v>615.5</v>
      </c>
      <c r="D1153" s="9">
        <f>IFERROR(__xludf.DUMMYFUNCTION("""COMPUTED_VALUE"""),616.3)</f>
        <v>616.3</v>
      </c>
      <c r="E1153" s="9">
        <f>IFERROR(__xludf.DUMMYFUNCTION("""COMPUTED_VALUE"""),603.0)</f>
        <v>603</v>
      </c>
      <c r="F1153" s="9">
        <f>IFERROR(__xludf.DUMMYFUNCTION("""COMPUTED_VALUE"""),607.2)</f>
        <v>607.2</v>
      </c>
      <c r="G1153" s="9">
        <f>IFERROR(__xludf.DUMMYFUNCTION("""COMPUTED_VALUE"""),2869897.0)</f>
        <v>2869897</v>
      </c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</row>
    <row r="1154">
      <c r="A1154" s="1"/>
      <c r="B1154" s="22">
        <f>IFERROR(__xludf.DUMMYFUNCTION("""COMPUTED_VALUE"""),43249.64583333333)</f>
        <v>43249.64583</v>
      </c>
      <c r="C1154" s="9">
        <f>IFERROR(__xludf.DUMMYFUNCTION("""COMPUTED_VALUE"""),607.03)</f>
        <v>607.03</v>
      </c>
      <c r="D1154" s="9">
        <f>IFERROR(__xludf.DUMMYFUNCTION("""COMPUTED_VALUE"""),613.28)</f>
        <v>613.28</v>
      </c>
      <c r="E1154" s="9">
        <f>IFERROR(__xludf.DUMMYFUNCTION("""COMPUTED_VALUE"""),603.1)</f>
        <v>603.1</v>
      </c>
      <c r="F1154" s="9">
        <f>IFERROR(__xludf.DUMMYFUNCTION("""COMPUTED_VALUE"""),608.35)</f>
        <v>608.35</v>
      </c>
      <c r="G1154" s="9">
        <f>IFERROR(__xludf.DUMMYFUNCTION("""COMPUTED_VALUE"""),1694467.0)</f>
        <v>1694467</v>
      </c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</row>
    <row r="1155">
      <c r="A1155" s="1"/>
      <c r="B1155" s="22">
        <f>IFERROR(__xludf.DUMMYFUNCTION("""COMPUTED_VALUE"""),43250.64583333333)</f>
        <v>43250.64583</v>
      </c>
      <c r="C1155" s="9">
        <f>IFERROR(__xludf.DUMMYFUNCTION("""COMPUTED_VALUE"""),608.5)</f>
        <v>608.5</v>
      </c>
      <c r="D1155" s="9">
        <f>IFERROR(__xludf.DUMMYFUNCTION("""COMPUTED_VALUE"""),614.38)</f>
        <v>614.38</v>
      </c>
      <c r="E1155" s="9">
        <f>IFERROR(__xludf.DUMMYFUNCTION("""COMPUTED_VALUE"""),602.8)</f>
        <v>602.8</v>
      </c>
      <c r="F1155" s="9">
        <f>IFERROR(__xludf.DUMMYFUNCTION("""COMPUTED_VALUE"""),605.85)</f>
        <v>605.85</v>
      </c>
      <c r="G1155" s="9">
        <f>IFERROR(__xludf.DUMMYFUNCTION("""COMPUTED_VALUE"""),3161533.0)</f>
        <v>3161533</v>
      </c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</row>
    <row r="1156">
      <c r="A1156" s="1"/>
      <c r="B1156" s="22">
        <f>IFERROR(__xludf.DUMMYFUNCTION("""COMPUTED_VALUE"""),43251.64583333333)</f>
        <v>43251.64583</v>
      </c>
      <c r="C1156" s="9">
        <f>IFERROR(__xludf.DUMMYFUNCTION("""COMPUTED_VALUE"""),605.85)</f>
        <v>605.85</v>
      </c>
      <c r="D1156" s="9">
        <f>IFERROR(__xludf.DUMMYFUNCTION("""COMPUTED_VALUE"""),621.0)</f>
        <v>621</v>
      </c>
      <c r="E1156" s="9">
        <f>IFERROR(__xludf.DUMMYFUNCTION("""COMPUTED_VALUE"""),605.13)</f>
        <v>605.13</v>
      </c>
      <c r="F1156" s="9">
        <f>IFERROR(__xludf.DUMMYFUNCTION("""COMPUTED_VALUE"""),615.9)</f>
        <v>615.9</v>
      </c>
      <c r="G1156" s="9">
        <f>IFERROR(__xludf.DUMMYFUNCTION("""COMPUTED_VALUE"""),9860170.0)</f>
        <v>9860170</v>
      </c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</row>
    <row r="1157">
      <c r="A1157" s="1"/>
      <c r="B1157" s="22">
        <f>IFERROR(__xludf.DUMMYFUNCTION("""COMPUTED_VALUE"""),43252.64583333333)</f>
        <v>43252.64583</v>
      </c>
      <c r="C1157" s="9">
        <f>IFERROR(__xludf.DUMMYFUNCTION("""COMPUTED_VALUE"""),615.2)</f>
        <v>615.2</v>
      </c>
      <c r="D1157" s="9">
        <f>IFERROR(__xludf.DUMMYFUNCTION("""COMPUTED_VALUE"""),623.13)</f>
        <v>623.13</v>
      </c>
      <c r="E1157" s="9">
        <f>IFERROR(__xludf.DUMMYFUNCTION("""COMPUTED_VALUE"""),608.6)</f>
        <v>608.6</v>
      </c>
      <c r="F1157" s="9">
        <f>IFERROR(__xludf.DUMMYFUNCTION("""COMPUTED_VALUE"""),610.4)</f>
        <v>610.4</v>
      </c>
      <c r="G1157" s="9">
        <f>IFERROR(__xludf.DUMMYFUNCTION("""COMPUTED_VALUE"""),2499178.0)</f>
        <v>2499178</v>
      </c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</row>
    <row r="1158">
      <c r="A1158" s="1"/>
      <c r="B1158" s="22">
        <f>IFERROR(__xludf.DUMMYFUNCTION("""COMPUTED_VALUE"""),43255.64583333333)</f>
        <v>43255.64583</v>
      </c>
      <c r="C1158" s="9">
        <f>IFERROR(__xludf.DUMMYFUNCTION("""COMPUTED_VALUE"""),610.55)</f>
        <v>610.55</v>
      </c>
      <c r="D1158" s="9">
        <f>IFERROR(__xludf.DUMMYFUNCTION("""COMPUTED_VALUE"""),621.5)</f>
        <v>621.5</v>
      </c>
      <c r="E1158" s="9">
        <f>IFERROR(__xludf.DUMMYFUNCTION("""COMPUTED_VALUE"""),606.0)</f>
        <v>606</v>
      </c>
      <c r="F1158" s="9">
        <f>IFERROR(__xludf.DUMMYFUNCTION("""COMPUTED_VALUE"""),619.7)</f>
        <v>619.7</v>
      </c>
      <c r="G1158" s="9">
        <f>IFERROR(__xludf.DUMMYFUNCTION("""COMPUTED_VALUE"""),2135078.0)</f>
        <v>2135078</v>
      </c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</row>
    <row r="1159">
      <c r="A1159" s="1"/>
      <c r="B1159" s="22">
        <f>IFERROR(__xludf.DUMMYFUNCTION("""COMPUTED_VALUE"""),43256.64583333333)</f>
        <v>43256.64583</v>
      </c>
      <c r="C1159" s="9">
        <f>IFERROR(__xludf.DUMMYFUNCTION("""COMPUTED_VALUE"""),621.0)</f>
        <v>621</v>
      </c>
      <c r="D1159" s="9">
        <f>IFERROR(__xludf.DUMMYFUNCTION("""COMPUTED_VALUE"""),621.0)</f>
        <v>621</v>
      </c>
      <c r="E1159" s="9">
        <f>IFERROR(__xludf.DUMMYFUNCTION("""COMPUTED_VALUE"""),608.5)</f>
        <v>608.5</v>
      </c>
      <c r="F1159" s="9">
        <f>IFERROR(__xludf.DUMMYFUNCTION("""COMPUTED_VALUE"""),610.42)</f>
        <v>610.42</v>
      </c>
      <c r="G1159" s="9">
        <f>IFERROR(__xludf.DUMMYFUNCTION("""COMPUTED_VALUE"""),2355431.0)</f>
        <v>2355431</v>
      </c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</row>
    <row r="1160">
      <c r="A1160" s="1"/>
      <c r="B1160" s="22">
        <f>IFERROR(__xludf.DUMMYFUNCTION("""COMPUTED_VALUE"""),43257.64583333333)</f>
        <v>43257.64583</v>
      </c>
      <c r="C1160" s="9">
        <f>IFERROR(__xludf.DUMMYFUNCTION("""COMPUTED_VALUE"""),612.6)</f>
        <v>612.6</v>
      </c>
      <c r="D1160" s="9">
        <f>IFERROR(__xludf.DUMMYFUNCTION("""COMPUTED_VALUE"""),620.78)</f>
        <v>620.78</v>
      </c>
      <c r="E1160" s="9">
        <f>IFERROR(__xludf.DUMMYFUNCTION("""COMPUTED_VALUE"""),610.03)</f>
        <v>610.03</v>
      </c>
      <c r="F1160" s="9">
        <f>IFERROR(__xludf.DUMMYFUNCTION("""COMPUTED_VALUE"""),618.73)</f>
        <v>618.73</v>
      </c>
      <c r="G1160" s="9">
        <f>IFERROR(__xludf.DUMMYFUNCTION("""COMPUTED_VALUE"""),2019092.0)</f>
        <v>2019092</v>
      </c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</row>
    <row r="1161">
      <c r="A1161" s="1"/>
      <c r="B1161" s="22">
        <f>IFERROR(__xludf.DUMMYFUNCTION("""COMPUTED_VALUE"""),43258.64583333333)</f>
        <v>43258.64583</v>
      </c>
      <c r="C1161" s="9">
        <f>IFERROR(__xludf.DUMMYFUNCTION("""COMPUTED_VALUE"""),619.0)</f>
        <v>619</v>
      </c>
      <c r="D1161" s="9">
        <f>IFERROR(__xludf.DUMMYFUNCTION("""COMPUTED_VALUE"""),629.0)</f>
        <v>629</v>
      </c>
      <c r="E1161" s="9">
        <f>IFERROR(__xludf.DUMMYFUNCTION("""COMPUTED_VALUE"""),619.0)</f>
        <v>619</v>
      </c>
      <c r="F1161" s="9">
        <f>IFERROR(__xludf.DUMMYFUNCTION("""COMPUTED_VALUE"""),626.23)</f>
        <v>626.23</v>
      </c>
      <c r="G1161" s="9">
        <f>IFERROR(__xludf.DUMMYFUNCTION("""COMPUTED_VALUE"""),3338113.0)</f>
        <v>3338113</v>
      </c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</row>
    <row r="1162">
      <c r="A1162" s="1"/>
      <c r="B1162" s="22">
        <f>IFERROR(__xludf.DUMMYFUNCTION("""COMPUTED_VALUE"""),43259.64583333333)</f>
        <v>43259.64583</v>
      </c>
      <c r="C1162" s="9">
        <f>IFERROR(__xludf.DUMMYFUNCTION("""COMPUTED_VALUE"""),624.0)</f>
        <v>624</v>
      </c>
      <c r="D1162" s="9">
        <f>IFERROR(__xludf.DUMMYFUNCTION("""COMPUTED_VALUE"""),631.0)</f>
        <v>631</v>
      </c>
      <c r="E1162" s="9">
        <f>IFERROR(__xludf.DUMMYFUNCTION("""COMPUTED_VALUE"""),623.03)</f>
        <v>623.03</v>
      </c>
      <c r="F1162" s="9">
        <f>IFERROR(__xludf.DUMMYFUNCTION("""COMPUTED_VALUE"""),630.03)</f>
        <v>630.03</v>
      </c>
      <c r="G1162" s="9">
        <f>IFERROR(__xludf.DUMMYFUNCTION("""COMPUTED_VALUE"""),3229939.0)</f>
        <v>3229939</v>
      </c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</row>
    <row r="1163">
      <c r="A1163" s="1"/>
      <c r="B1163" s="22">
        <f>IFERROR(__xludf.DUMMYFUNCTION("""COMPUTED_VALUE"""),43262.64583333333)</f>
        <v>43262.64583</v>
      </c>
      <c r="C1163" s="9">
        <f>IFERROR(__xludf.DUMMYFUNCTION("""COMPUTED_VALUE"""),632.78)</f>
        <v>632.78</v>
      </c>
      <c r="D1163" s="9">
        <f>IFERROR(__xludf.DUMMYFUNCTION("""COMPUTED_VALUE"""),635.0)</f>
        <v>635</v>
      </c>
      <c r="E1163" s="9">
        <f>IFERROR(__xludf.DUMMYFUNCTION("""COMPUTED_VALUE"""),627.53)</f>
        <v>627.53</v>
      </c>
      <c r="F1163" s="9">
        <f>IFERROR(__xludf.DUMMYFUNCTION("""COMPUTED_VALUE"""),631.2)</f>
        <v>631.2</v>
      </c>
      <c r="G1163" s="9">
        <f>IFERROR(__xludf.DUMMYFUNCTION("""COMPUTED_VALUE"""),2585645.0)</f>
        <v>2585645</v>
      </c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</row>
    <row r="1164">
      <c r="A1164" s="1"/>
      <c r="B1164" s="22">
        <f>IFERROR(__xludf.DUMMYFUNCTION("""COMPUTED_VALUE"""),43263.64583333333)</f>
        <v>43263.64583</v>
      </c>
      <c r="C1164" s="9">
        <f>IFERROR(__xludf.DUMMYFUNCTION("""COMPUTED_VALUE"""),632.88)</f>
        <v>632.88</v>
      </c>
      <c r="D1164" s="9">
        <f>IFERROR(__xludf.DUMMYFUNCTION("""COMPUTED_VALUE"""),635.63)</f>
        <v>635.63</v>
      </c>
      <c r="E1164" s="9">
        <f>IFERROR(__xludf.DUMMYFUNCTION("""COMPUTED_VALUE"""),625.23)</f>
        <v>625.23</v>
      </c>
      <c r="F1164" s="9">
        <f>IFERROR(__xludf.DUMMYFUNCTION("""COMPUTED_VALUE"""),629.25)</f>
        <v>629.25</v>
      </c>
      <c r="G1164" s="9">
        <f>IFERROR(__xludf.DUMMYFUNCTION("""COMPUTED_VALUE"""),3919910.0)</f>
        <v>3919910</v>
      </c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</row>
    <row r="1165">
      <c r="A1165" s="1"/>
      <c r="B1165" s="22">
        <f>IFERROR(__xludf.DUMMYFUNCTION("""COMPUTED_VALUE"""),43264.64583333333)</f>
        <v>43264.64583</v>
      </c>
      <c r="C1165" s="9">
        <f>IFERROR(__xludf.DUMMYFUNCTION("""COMPUTED_VALUE"""),633.4)</f>
        <v>633.4</v>
      </c>
      <c r="D1165" s="9">
        <f>IFERROR(__xludf.DUMMYFUNCTION("""COMPUTED_VALUE"""),642.0)</f>
        <v>642</v>
      </c>
      <c r="E1165" s="9">
        <f>IFERROR(__xludf.DUMMYFUNCTION("""COMPUTED_VALUE"""),633.4)</f>
        <v>633.4</v>
      </c>
      <c r="F1165" s="9">
        <f>IFERROR(__xludf.DUMMYFUNCTION("""COMPUTED_VALUE"""),637.4)</f>
        <v>637.4</v>
      </c>
      <c r="G1165" s="9">
        <f>IFERROR(__xludf.DUMMYFUNCTION("""COMPUTED_VALUE"""),2883464.0)</f>
        <v>2883464</v>
      </c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</row>
    <row r="1166">
      <c r="A1166" s="1"/>
      <c r="B1166" s="22">
        <f>IFERROR(__xludf.DUMMYFUNCTION("""COMPUTED_VALUE"""),43265.64583333333)</f>
        <v>43265.64583</v>
      </c>
      <c r="C1166" s="9">
        <f>IFERROR(__xludf.DUMMYFUNCTION("""COMPUTED_VALUE"""),626.5)</f>
        <v>626.5</v>
      </c>
      <c r="D1166" s="9">
        <f>IFERROR(__xludf.DUMMYFUNCTION("""COMPUTED_VALUE"""),626.5)</f>
        <v>626.5</v>
      </c>
      <c r="E1166" s="9">
        <f>IFERROR(__xludf.DUMMYFUNCTION("""COMPUTED_VALUE"""),617.05)</f>
        <v>617.05</v>
      </c>
      <c r="F1166" s="9">
        <f>IFERROR(__xludf.DUMMYFUNCTION("""COMPUTED_VALUE"""),619.85)</f>
        <v>619.85</v>
      </c>
      <c r="G1166" s="9">
        <f>IFERROR(__xludf.DUMMYFUNCTION("""COMPUTED_VALUE"""),3799424.0)</f>
        <v>3799424</v>
      </c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</row>
    <row r="1167">
      <c r="A1167" s="1"/>
      <c r="B1167" s="22">
        <f>IFERROR(__xludf.DUMMYFUNCTION("""COMPUTED_VALUE"""),43266.64583333333)</f>
        <v>43266.64583</v>
      </c>
      <c r="C1167" s="9">
        <f>IFERROR(__xludf.DUMMYFUNCTION("""COMPUTED_VALUE"""),618.5)</f>
        <v>618.5</v>
      </c>
      <c r="D1167" s="9">
        <f>IFERROR(__xludf.DUMMYFUNCTION("""COMPUTED_VALUE"""),645.75)</f>
        <v>645.75</v>
      </c>
      <c r="E1167" s="9">
        <f>IFERROR(__xludf.DUMMYFUNCTION("""COMPUTED_VALUE"""),617.5)</f>
        <v>617.5</v>
      </c>
      <c r="F1167" s="9">
        <f>IFERROR(__xludf.DUMMYFUNCTION("""COMPUTED_VALUE"""),640.63)</f>
        <v>640.63</v>
      </c>
      <c r="G1167" s="9">
        <f>IFERROR(__xludf.DUMMYFUNCTION("""COMPUTED_VALUE"""),9978880.0)</f>
        <v>9978880</v>
      </c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</row>
    <row r="1168">
      <c r="A1168" s="1"/>
      <c r="B1168" s="22">
        <f>IFERROR(__xludf.DUMMYFUNCTION("""COMPUTED_VALUE"""),43269.64583333333)</f>
        <v>43269.64583</v>
      </c>
      <c r="C1168" s="9">
        <f>IFERROR(__xludf.DUMMYFUNCTION("""COMPUTED_VALUE"""),642.0)</f>
        <v>642</v>
      </c>
      <c r="D1168" s="9">
        <f>IFERROR(__xludf.DUMMYFUNCTION("""COMPUTED_VALUE"""),645.63)</f>
        <v>645.63</v>
      </c>
      <c r="E1168" s="9">
        <f>IFERROR(__xludf.DUMMYFUNCTION("""COMPUTED_VALUE"""),631.17)</f>
        <v>631.17</v>
      </c>
      <c r="F1168" s="9">
        <f>IFERROR(__xludf.DUMMYFUNCTION("""COMPUTED_VALUE"""),633.7)</f>
        <v>633.7</v>
      </c>
      <c r="G1168" s="9">
        <f>IFERROR(__xludf.DUMMYFUNCTION("""COMPUTED_VALUE"""),4107423.0)</f>
        <v>4107423</v>
      </c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</row>
    <row r="1169">
      <c r="A1169" s="1"/>
      <c r="B1169" s="22">
        <f>IFERROR(__xludf.DUMMYFUNCTION("""COMPUTED_VALUE"""),43270.64583333333)</f>
        <v>43270.64583</v>
      </c>
      <c r="C1169" s="9">
        <f>IFERROR(__xludf.DUMMYFUNCTION("""COMPUTED_VALUE"""),631.5)</f>
        <v>631.5</v>
      </c>
      <c r="D1169" s="9">
        <f>IFERROR(__xludf.DUMMYFUNCTION("""COMPUTED_VALUE"""),631.7)</f>
        <v>631.7</v>
      </c>
      <c r="E1169" s="9">
        <f>IFERROR(__xludf.DUMMYFUNCTION("""COMPUTED_VALUE"""),619.03)</f>
        <v>619.03</v>
      </c>
      <c r="F1169" s="9">
        <f>IFERROR(__xludf.DUMMYFUNCTION("""COMPUTED_VALUE"""),620.8)</f>
        <v>620.8</v>
      </c>
      <c r="G1169" s="9">
        <f>IFERROR(__xludf.DUMMYFUNCTION("""COMPUTED_VALUE"""),3772850.0)</f>
        <v>3772850</v>
      </c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</row>
    <row r="1170">
      <c r="A1170" s="1"/>
      <c r="B1170" s="22">
        <f>IFERROR(__xludf.DUMMYFUNCTION("""COMPUTED_VALUE"""),43271.64583333333)</f>
        <v>43271.64583</v>
      </c>
      <c r="C1170" s="9">
        <f>IFERROR(__xludf.DUMMYFUNCTION("""COMPUTED_VALUE"""),624.25)</f>
        <v>624.25</v>
      </c>
      <c r="D1170" s="9">
        <f>IFERROR(__xludf.DUMMYFUNCTION("""COMPUTED_VALUE"""),626.17)</f>
        <v>626.17</v>
      </c>
      <c r="E1170" s="9">
        <f>IFERROR(__xludf.DUMMYFUNCTION("""COMPUTED_VALUE"""),619.0)</f>
        <v>619</v>
      </c>
      <c r="F1170" s="9">
        <f>IFERROR(__xludf.DUMMYFUNCTION("""COMPUTED_VALUE"""),621.58)</f>
        <v>621.58</v>
      </c>
      <c r="G1170" s="9">
        <f>IFERROR(__xludf.DUMMYFUNCTION("""COMPUTED_VALUE"""),2685901.0)</f>
        <v>2685901</v>
      </c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</row>
    <row r="1171">
      <c r="A1171" s="1"/>
      <c r="B1171" s="22">
        <f>IFERROR(__xludf.DUMMYFUNCTION("""COMPUTED_VALUE"""),43272.64583333333)</f>
        <v>43272.64583</v>
      </c>
      <c r="C1171" s="9">
        <f>IFERROR(__xludf.DUMMYFUNCTION("""COMPUTED_VALUE"""),622.98)</f>
        <v>622.98</v>
      </c>
      <c r="D1171" s="9">
        <f>IFERROR(__xludf.DUMMYFUNCTION("""COMPUTED_VALUE"""),628.25)</f>
        <v>628.25</v>
      </c>
      <c r="E1171" s="9">
        <f>IFERROR(__xludf.DUMMYFUNCTION("""COMPUTED_VALUE"""),618.0)</f>
        <v>618</v>
      </c>
      <c r="F1171" s="9">
        <f>IFERROR(__xludf.DUMMYFUNCTION("""COMPUTED_VALUE"""),623.28)</f>
        <v>623.28</v>
      </c>
      <c r="G1171" s="9">
        <f>IFERROR(__xludf.DUMMYFUNCTION("""COMPUTED_VALUE"""),2899395.0)</f>
        <v>2899395</v>
      </c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</row>
    <row r="1172">
      <c r="A1172" s="1"/>
      <c r="B1172" s="22">
        <f>IFERROR(__xludf.DUMMYFUNCTION("""COMPUTED_VALUE"""),43273.64583333333)</f>
        <v>43273.64583</v>
      </c>
      <c r="C1172" s="9">
        <f>IFERROR(__xludf.DUMMYFUNCTION("""COMPUTED_VALUE"""),621.5)</f>
        <v>621.5</v>
      </c>
      <c r="D1172" s="9">
        <f>IFERROR(__xludf.DUMMYFUNCTION("""COMPUTED_VALUE"""),627.75)</f>
        <v>627.75</v>
      </c>
      <c r="E1172" s="9">
        <f>IFERROR(__xludf.DUMMYFUNCTION("""COMPUTED_VALUE"""),620.6)</f>
        <v>620.6</v>
      </c>
      <c r="F1172" s="9">
        <f>IFERROR(__xludf.DUMMYFUNCTION("""COMPUTED_VALUE"""),623.92)</f>
        <v>623.92</v>
      </c>
      <c r="G1172" s="9">
        <f>IFERROR(__xludf.DUMMYFUNCTION("""COMPUTED_VALUE"""),2171559.0)</f>
        <v>2171559</v>
      </c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</row>
    <row r="1173">
      <c r="A1173" s="1"/>
      <c r="B1173" s="22">
        <f>IFERROR(__xludf.DUMMYFUNCTION("""COMPUTED_VALUE"""),43276.64583333333)</f>
        <v>43276.64583</v>
      </c>
      <c r="C1173" s="9">
        <f>IFERROR(__xludf.DUMMYFUNCTION("""COMPUTED_VALUE"""),628.58)</f>
        <v>628.58</v>
      </c>
      <c r="D1173" s="9">
        <f>IFERROR(__xludf.DUMMYFUNCTION("""COMPUTED_VALUE"""),639.4)</f>
        <v>639.4</v>
      </c>
      <c r="E1173" s="9">
        <f>IFERROR(__xludf.DUMMYFUNCTION("""COMPUTED_VALUE"""),627.0)</f>
        <v>627</v>
      </c>
      <c r="F1173" s="9">
        <f>IFERROR(__xludf.DUMMYFUNCTION("""COMPUTED_VALUE"""),636.23)</f>
        <v>636.23</v>
      </c>
      <c r="G1173" s="9">
        <f>IFERROR(__xludf.DUMMYFUNCTION("""COMPUTED_VALUE"""),3865589.0)</f>
        <v>3865589</v>
      </c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</row>
    <row r="1174">
      <c r="A1174" s="1"/>
      <c r="B1174" s="22">
        <f>IFERROR(__xludf.DUMMYFUNCTION("""COMPUTED_VALUE"""),43277.64583333333)</f>
        <v>43277.64583</v>
      </c>
      <c r="C1174" s="9">
        <f>IFERROR(__xludf.DUMMYFUNCTION("""COMPUTED_VALUE"""),634.5)</f>
        <v>634.5</v>
      </c>
      <c r="D1174" s="9">
        <f>IFERROR(__xludf.DUMMYFUNCTION("""COMPUTED_VALUE"""),641.95)</f>
        <v>641.95</v>
      </c>
      <c r="E1174" s="9">
        <f>IFERROR(__xludf.DUMMYFUNCTION("""COMPUTED_VALUE"""),633.13)</f>
        <v>633.13</v>
      </c>
      <c r="F1174" s="9">
        <f>IFERROR(__xludf.DUMMYFUNCTION("""COMPUTED_VALUE"""),638.92)</f>
        <v>638.92</v>
      </c>
      <c r="G1174" s="9">
        <f>IFERROR(__xludf.DUMMYFUNCTION("""COMPUTED_VALUE"""),2241752.0)</f>
        <v>2241752</v>
      </c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</row>
    <row r="1175">
      <c r="A1175" s="1"/>
      <c r="B1175" s="22">
        <f>IFERROR(__xludf.DUMMYFUNCTION("""COMPUTED_VALUE"""),43278.64583333333)</f>
        <v>43278.64583</v>
      </c>
      <c r="C1175" s="9">
        <f>IFERROR(__xludf.DUMMYFUNCTION("""COMPUTED_VALUE"""),641.98)</f>
        <v>641.98</v>
      </c>
      <c r="D1175" s="9">
        <f>IFERROR(__xludf.DUMMYFUNCTION("""COMPUTED_VALUE"""),646.73)</f>
        <v>646.73</v>
      </c>
      <c r="E1175" s="9">
        <f>IFERROR(__xludf.DUMMYFUNCTION("""COMPUTED_VALUE"""),632.8)</f>
        <v>632.8</v>
      </c>
      <c r="F1175" s="9">
        <f>IFERROR(__xludf.DUMMYFUNCTION("""COMPUTED_VALUE"""),635.0)</f>
        <v>635</v>
      </c>
      <c r="G1175" s="9">
        <f>IFERROR(__xludf.DUMMYFUNCTION("""COMPUTED_VALUE"""),3476071.0)</f>
        <v>3476071</v>
      </c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</row>
    <row r="1176">
      <c r="A1176" s="1"/>
      <c r="B1176" s="22">
        <f>IFERROR(__xludf.DUMMYFUNCTION("""COMPUTED_VALUE"""),43279.64583333333)</f>
        <v>43279.64583</v>
      </c>
      <c r="C1176" s="9">
        <f>IFERROR(__xludf.DUMMYFUNCTION("""COMPUTED_VALUE"""),638.15)</f>
        <v>638.15</v>
      </c>
      <c r="D1176" s="9">
        <f>IFERROR(__xludf.DUMMYFUNCTION("""COMPUTED_VALUE"""),649.0)</f>
        <v>649</v>
      </c>
      <c r="E1176" s="9">
        <f>IFERROR(__xludf.DUMMYFUNCTION("""COMPUTED_VALUE"""),638.13)</f>
        <v>638.13</v>
      </c>
      <c r="F1176" s="9">
        <f>IFERROR(__xludf.DUMMYFUNCTION("""COMPUTED_VALUE"""),644.8)</f>
        <v>644.8</v>
      </c>
      <c r="G1176" s="9">
        <f>IFERROR(__xludf.DUMMYFUNCTION("""COMPUTED_VALUE"""),5498409.0)</f>
        <v>5498409</v>
      </c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</row>
    <row r="1177">
      <c r="A1177" s="1"/>
      <c r="B1177" s="22">
        <f>IFERROR(__xludf.DUMMYFUNCTION("""COMPUTED_VALUE"""),43280.64583333333)</f>
        <v>43280.64583</v>
      </c>
      <c r="C1177" s="9">
        <f>IFERROR(__xludf.DUMMYFUNCTION("""COMPUTED_VALUE"""),649.03)</f>
        <v>649.03</v>
      </c>
      <c r="D1177" s="9">
        <f>IFERROR(__xludf.DUMMYFUNCTION("""COMPUTED_VALUE"""),657.5)</f>
        <v>657.5</v>
      </c>
      <c r="E1177" s="9">
        <f>IFERROR(__xludf.DUMMYFUNCTION("""COMPUTED_VALUE"""),641.63)</f>
        <v>641.63</v>
      </c>
      <c r="F1177" s="9">
        <f>IFERROR(__xludf.DUMMYFUNCTION("""COMPUTED_VALUE"""),653.6)</f>
        <v>653.6</v>
      </c>
      <c r="G1177" s="9">
        <f>IFERROR(__xludf.DUMMYFUNCTION("""COMPUTED_VALUE"""),4983300.0)</f>
        <v>4983300</v>
      </c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</row>
    <row r="1178">
      <c r="A1178" s="1"/>
      <c r="B1178" s="22">
        <f>IFERROR(__xludf.DUMMYFUNCTION("""COMPUTED_VALUE"""),43283.64583333333)</f>
        <v>43283.64583</v>
      </c>
      <c r="C1178" s="9">
        <f>IFERROR(__xludf.DUMMYFUNCTION("""COMPUTED_VALUE"""),657.0)</f>
        <v>657</v>
      </c>
      <c r="D1178" s="9">
        <f>IFERROR(__xludf.DUMMYFUNCTION("""COMPUTED_VALUE"""),670.0)</f>
        <v>670</v>
      </c>
      <c r="E1178" s="9">
        <f>IFERROR(__xludf.DUMMYFUNCTION("""COMPUTED_VALUE"""),657.0)</f>
        <v>657</v>
      </c>
      <c r="F1178" s="9">
        <f>IFERROR(__xludf.DUMMYFUNCTION("""COMPUTED_VALUE"""),667.35)</f>
        <v>667.35</v>
      </c>
      <c r="G1178" s="9">
        <f>IFERROR(__xludf.DUMMYFUNCTION("""COMPUTED_VALUE"""),2415072.0)</f>
        <v>2415072</v>
      </c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</row>
    <row r="1179">
      <c r="A1179" s="1"/>
      <c r="B1179" s="22">
        <f>IFERROR(__xludf.DUMMYFUNCTION("""COMPUTED_VALUE"""),43284.64583333333)</f>
        <v>43284.64583</v>
      </c>
      <c r="C1179" s="9">
        <f>IFERROR(__xludf.DUMMYFUNCTION("""COMPUTED_VALUE"""),665.95)</f>
        <v>665.95</v>
      </c>
      <c r="D1179" s="9">
        <f>IFERROR(__xludf.DUMMYFUNCTION("""COMPUTED_VALUE"""),678.95)</f>
        <v>678.95</v>
      </c>
      <c r="E1179" s="9">
        <f>IFERROR(__xludf.DUMMYFUNCTION("""COMPUTED_VALUE"""),665.88)</f>
        <v>665.88</v>
      </c>
      <c r="F1179" s="9">
        <f>IFERROR(__xludf.DUMMYFUNCTION("""COMPUTED_VALUE"""),676.88)</f>
        <v>676.88</v>
      </c>
      <c r="G1179" s="9">
        <f>IFERROR(__xludf.DUMMYFUNCTION("""COMPUTED_VALUE"""),4063726.0)</f>
        <v>4063726</v>
      </c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</row>
    <row r="1180">
      <c r="A1180" s="1"/>
      <c r="B1180" s="22">
        <f>IFERROR(__xludf.DUMMYFUNCTION("""COMPUTED_VALUE"""),43285.64583333333)</f>
        <v>43285.64583</v>
      </c>
      <c r="C1180" s="9">
        <f>IFERROR(__xludf.DUMMYFUNCTION("""COMPUTED_VALUE"""),676.03)</f>
        <v>676.03</v>
      </c>
      <c r="D1180" s="9">
        <f>IFERROR(__xludf.DUMMYFUNCTION("""COMPUTED_VALUE"""),676.33)</f>
        <v>676.33</v>
      </c>
      <c r="E1180" s="9">
        <f>IFERROR(__xludf.DUMMYFUNCTION("""COMPUTED_VALUE"""),669.43)</f>
        <v>669.43</v>
      </c>
      <c r="F1180" s="9">
        <f>IFERROR(__xludf.DUMMYFUNCTION("""COMPUTED_VALUE"""),672.6)</f>
        <v>672.6</v>
      </c>
      <c r="G1180" s="9">
        <f>IFERROR(__xludf.DUMMYFUNCTION("""COMPUTED_VALUE"""),2512861.0)</f>
        <v>2512861</v>
      </c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</row>
    <row r="1181">
      <c r="A1181" s="1"/>
      <c r="B1181" s="22">
        <f>IFERROR(__xludf.DUMMYFUNCTION("""COMPUTED_VALUE"""),43286.64583333333)</f>
        <v>43286.64583</v>
      </c>
      <c r="C1181" s="9">
        <f>IFERROR(__xludf.DUMMYFUNCTION("""COMPUTED_VALUE"""),673.55)</f>
        <v>673.55</v>
      </c>
      <c r="D1181" s="9">
        <f>IFERROR(__xludf.DUMMYFUNCTION("""COMPUTED_VALUE"""),673.63)</f>
        <v>673.63</v>
      </c>
      <c r="E1181" s="9">
        <f>IFERROR(__xludf.DUMMYFUNCTION("""COMPUTED_VALUE"""),634.05)</f>
        <v>634.05</v>
      </c>
      <c r="F1181" s="9">
        <f>IFERROR(__xludf.DUMMYFUNCTION("""COMPUTED_VALUE"""),642.0)</f>
        <v>642</v>
      </c>
      <c r="G1181" s="9">
        <f>IFERROR(__xludf.DUMMYFUNCTION("""COMPUTED_VALUE"""),8509951.0)</f>
        <v>8509951</v>
      </c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</row>
    <row r="1182">
      <c r="A1182" s="1"/>
      <c r="B1182" s="22">
        <f>IFERROR(__xludf.DUMMYFUNCTION("""COMPUTED_VALUE"""),43287.64583333333)</f>
        <v>43287.64583</v>
      </c>
      <c r="C1182" s="9">
        <f>IFERROR(__xludf.DUMMYFUNCTION("""COMPUTED_VALUE"""),645.13)</f>
        <v>645.13</v>
      </c>
      <c r="D1182" s="9">
        <f>IFERROR(__xludf.DUMMYFUNCTION("""COMPUTED_VALUE"""),650.92)</f>
        <v>650.92</v>
      </c>
      <c r="E1182" s="9">
        <f>IFERROR(__xludf.DUMMYFUNCTION("""COMPUTED_VALUE"""),634.5)</f>
        <v>634.5</v>
      </c>
      <c r="F1182" s="9">
        <f>IFERROR(__xludf.DUMMYFUNCTION("""COMPUTED_VALUE"""),642.13)</f>
        <v>642.13</v>
      </c>
      <c r="G1182" s="9">
        <f>IFERROR(__xludf.DUMMYFUNCTION("""COMPUTED_VALUE"""),5607678.0)</f>
        <v>5607678</v>
      </c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</row>
    <row r="1183">
      <c r="A1183" s="1"/>
      <c r="B1183" s="22">
        <f>IFERROR(__xludf.DUMMYFUNCTION("""COMPUTED_VALUE"""),43290.64583333333)</f>
        <v>43290.64583</v>
      </c>
      <c r="C1183" s="9">
        <f>IFERROR(__xludf.DUMMYFUNCTION("""COMPUTED_VALUE"""),648.5)</f>
        <v>648.5</v>
      </c>
      <c r="D1183" s="9">
        <f>IFERROR(__xludf.DUMMYFUNCTION("""COMPUTED_VALUE"""),651.5)</f>
        <v>651.5</v>
      </c>
      <c r="E1183" s="9">
        <f>IFERROR(__xludf.DUMMYFUNCTION("""COMPUTED_VALUE"""),639.53)</f>
        <v>639.53</v>
      </c>
      <c r="F1183" s="9">
        <f>IFERROR(__xludf.DUMMYFUNCTION("""COMPUTED_VALUE"""),649.42)</f>
        <v>649.42</v>
      </c>
      <c r="G1183" s="9">
        <f>IFERROR(__xludf.DUMMYFUNCTION("""COMPUTED_VALUE"""),3322499.0)</f>
        <v>3322499</v>
      </c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</row>
    <row r="1184">
      <c r="A1184" s="1"/>
      <c r="B1184" s="22">
        <f>IFERROR(__xludf.DUMMYFUNCTION("""COMPUTED_VALUE"""),43291.64583333333)</f>
        <v>43291.64583</v>
      </c>
      <c r="C1184" s="9">
        <f>IFERROR(__xludf.DUMMYFUNCTION("""COMPUTED_VALUE"""),654.25)</f>
        <v>654.25</v>
      </c>
      <c r="D1184" s="9">
        <f>IFERROR(__xludf.DUMMYFUNCTION("""COMPUTED_VALUE"""),657.73)</f>
        <v>657.73</v>
      </c>
      <c r="E1184" s="9">
        <f>IFERROR(__xludf.DUMMYFUNCTION("""COMPUTED_VALUE"""),647.15)</f>
        <v>647.15</v>
      </c>
      <c r="F1184" s="9">
        <f>IFERROR(__xludf.DUMMYFUNCTION("""COMPUTED_VALUE"""),650.7)</f>
        <v>650.7</v>
      </c>
      <c r="G1184" s="9">
        <f>IFERROR(__xludf.DUMMYFUNCTION("""COMPUTED_VALUE"""),2987244.0)</f>
        <v>2987244</v>
      </c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</row>
    <row r="1185">
      <c r="A1185" s="1"/>
      <c r="B1185" s="22">
        <f>IFERROR(__xludf.DUMMYFUNCTION("""COMPUTED_VALUE"""),43292.64583333333)</f>
        <v>43292.64583</v>
      </c>
      <c r="C1185" s="9">
        <f>IFERROR(__xludf.DUMMYFUNCTION("""COMPUTED_VALUE"""),658.78)</f>
        <v>658.78</v>
      </c>
      <c r="D1185" s="9">
        <f>IFERROR(__xludf.DUMMYFUNCTION("""COMPUTED_VALUE"""),671.05)</f>
        <v>671.05</v>
      </c>
      <c r="E1185" s="9">
        <f>IFERROR(__xludf.DUMMYFUNCTION("""COMPUTED_VALUE"""),645.67)</f>
        <v>645.67</v>
      </c>
      <c r="F1185" s="9">
        <f>IFERROR(__xludf.DUMMYFUNCTION("""COMPUTED_VALUE"""),660.23)</f>
        <v>660.23</v>
      </c>
      <c r="G1185" s="9">
        <f>IFERROR(__xludf.DUMMYFUNCTION("""COMPUTED_VALUE"""),5949916.0)</f>
        <v>5949916</v>
      </c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</row>
    <row r="1186">
      <c r="A1186" s="1"/>
      <c r="B1186" s="22">
        <f>IFERROR(__xludf.DUMMYFUNCTION("""COMPUTED_VALUE"""),43293.64583333333)</f>
        <v>43293.64583</v>
      </c>
      <c r="C1186" s="9">
        <f>IFERROR(__xludf.DUMMYFUNCTION("""COMPUTED_VALUE"""),663.05)</f>
        <v>663.05</v>
      </c>
      <c r="D1186" s="9">
        <f>IFERROR(__xludf.DUMMYFUNCTION("""COMPUTED_VALUE"""),663.55)</f>
        <v>663.55</v>
      </c>
      <c r="E1186" s="9">
        <f>IFERROR(__xludf.DUMMYFUNCTION("""COMPUTED_VALUE"""),642.23)</f>
        <v>642.23</v>
      </c>
      <c r="F1186" s="9">
        <f>IFERROR(__xludf.DUMMYFUNCTION("""COMPUTED_VALUE"""),647.17)</f>
        <v>647.17</v>
      </c>
      <c r="G1186" s="9">
        <f>IFERROR(__xludf.DUMMYFUNCTION("""COMPUTED_VALUE"""),6636120.0)</f>
        <v>6636120</v>
      </c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</row>
    <row r="1187">
      <c r="A1187" s="1"/>
      <c r="B1187" s="22">
        <f>IFERROR(__xludf.DUMMYFUNCTION("""COMPUTED_VALUE"""),43294.64583333333)</f>
        <v>43294.64583</v>
      </c>
      <c r="C1187" s="9">
        <f>IFERROR(__xludf.DUMMYFUNCTION("""COMPUTED_VALUE"""),657.5)</f>
        <v>657.5</v>
      </c>
      <c r="D1187" s="9">
        <f>IFERROR(__xludf.DUMMYFUNCTION("""COMPUTED_VALUE"""),665.8)</f>
        <v>665.8</v>
      </c>
      <c r="E1187" s="9">
        <f>IFERROR(__xludf.DUMMYFUNCTION("""COMPUTED_VALUE"""),649.17)</f>
        <v>649.17</v>
      </c>
      <c r="F1187" s="9">
        <f>IFERROR(__xludf.DUMMYFUNCTION("""COMPUTED_VALUE"""),658.7)</f>
        <v>658.7</v>
      </c>
      <c r="G1187" s="9">
        <f>IFERROR(__xludf.DUMMYFUNCTION("""COMPUTED_VALUE"""),9748079.0)</f>
        <v>9748079</v>
      </c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</row>
    <row r="1188">
      <c r="A1188" s="1"/>
      <c r="B1188" s="22">
        <f>IFERROR(__xludf.DUMMYFUNCTION("""COMPUTED_VALUE"""),43297.64583333333)</f>
        <v>43297.64583</v>
      </c>
      <c r="C1188" s="9">
        <f>IFERROR(__xludf.DUMMYFUNCTION("""COMPUTED_VALUE"""),658.7)</f>
        <v>658.7</v>
      </c>
      <c r="D1188" s="9">
        <f>IFERROR(__xludf.DUMMYFUNCTION("""COMPUTED_VALUE"""),692.2)</f>
        <v>692.2</v>
      </c>
      <c r="E1188" s="9">
        <f>IFERROR(__xludf.DUMMYFUNCTION("""COMPUTED_VALUE"""),643.85)</f>
        <v>643.85</v>
      </c>
      <c r="F1188" s="9">
        <f>IFERROR(__xludf.DUMMYFUNCTION("""COMPUTED_VALUE"""),666.43)</f>
        <v>666.43</v>
      </c>
      <c r="G1188" s="9">
        <f>IFERROR(__xludf.DUMMYFUNCTION("""COMPUTED_VALUE"""),1.767234E7)</f>
        <v>17672340</v>
      </c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</row>
    <row r="1189">
      <c r="A1189" s="1"/>
      <c r="B1189" s="22">
        <f>IFERROR(__xludf.DUMMYFUNCTION("""COMPUTED_VALUE"""),43298.64583333333)</f>
        <v>43298.64583</v>
      </c>
      <c r="C1189" s="9">
        <f>IFERROR(__xludf.DUMMYFUNCTION("""COMPUTED_VALUE"""),664.85)</f>
        <v>664.85</v>
      </c>
      <c r="D1189" s="9">
        <f>IFERROR(__xludf.DUMMYFUNCTION("""COMPUTED_VALUE"""),674.75)</f>
        <v>674.75</v>
      </c>
      <c r="E1189" s="9">
        <f>IFERROR(__xludf.DUMMYFUNCTION("""COMPUTED_VALUE"""),656.35)</f>
        <v>656.35</v>
      </c>
      <c r="F1189" s="9">
        <f>IFERROR(__xludf.DUMMYFUNCTION("""COMPUTED_VALUE"""),663.95)</f>
        <v>663.95</v>
      </c>
      <c r="G1189" s="9">
        <f>IFERROR(__xludf.DUMMYFUNCTION("""COMPUTED_VALUE"""),5580845.0)</f>
        <v>5580845</v>
      </c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</row>
    <row r="1190">
      <c r="A1190" s="1"/>
      <c r="B1190" s="22">
        <f>IFERROR(__xludf.DUMMYFUNCTION("""COMPUTED_VALUE"""),43299.64583333333)</f>
        <v>43299.64583</v>
      </c>
      <c r="C1190" s="9">
        <f>IFERROR(__xludf.DUMMYFUNCTION("""COMPUTED_VALUE"""),669.9)</f>
        <v>669.9</v>
      </c>
      <c r="D1190" s="9">
        <f>IFERROR(__xludf.DUMMYFUNCTION("""COMPUTED_VALUE"""),671.7)</f>
        <v>671.7</v>
      </c>
      <c r="E1190" s="9">
        <f>IFERROR(__xludf.DUMMYFUNCTION("""COMPUTED_VALUE"""),657.0)</f>
        <v>657</v>
      </c>
      <c r="F1190" s="9">
        <f>IFERROR(__xludf.DUMMYFUNCTION("""COMPUTED_VALUE"""),661.28)</f>
        <v>661.28</v>
      </c>
      <c r="G1190" s="9">
        <f>IFERROR(__xludf.DUMMYFUNCTION("""COMPUTED_VALUE"""),3459508.0)</f>
        <v>3459508</v>
      </c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</row>
    <row r="1191">
      <c r="A1191" s="1"/>
      <c r="B1191" s="22">
        <f>IFERROR(__xludf.DUMMYFUNCTION("""COMPUTED_VALUE"""),43300.64583333333)</f>
        <v>43300.64583</v>
      </c>
      <c r="C1191" s="9">
        <f>IFERROR(__xludf.DUMMYFUNCTION("""COMPUTED_VALUE"""),661.5)</f>
        <v>661.5</v>
      </c>
      <c r="D1191" s="9">
        <f>IFERROR(__xludf.DUMMYFUNCTION("""COMPUTED_VALUE"""),665.95)</f>
        <v>665.95</v>
      </c>
      <c r="E1191" s="9">
        <f>IFERROR(__xludf.DUMMYFUNCTION("""COMPUTED_VALUE"""),654.55)</f>
        <v>654.55</v>
      </c>
      <c r="F1191" s="9">
        <f>IFERROR(__xludf.DUMMYFUNCTION("""COMPUTED_VALUE"""),658.35)</f>
        <v>658.35</v>
      </c>
      <c r="G1191" s="9">
        <f>IFERROR(__xludf.DUMMYFUNCTION("""COMPUTED_VALUE"""),2559432.0)</f>
        <v>2559432</v>
      </c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</row>
    <row r="1192">
      <c r="A1192" s="1"/>
      <c r="B1192" s="22">
        <f>IFERROR(__xludf.DUMMYFUNCTION("""COMPUTED_VALUE"""),43301.64583333333)</f>
        <v>43301.64583</v>
      </c>
      <c r="C1192" s="9">
        <f>IFERROR(__xludf.DUMMYFUNCTION("""COMPUTED_VALUE"""),663.0)</f>
        <v>663</v>
      </c>
      <c r="D1192" s="9">
        <f>IFERROR(__xludf.DUMMYFUNCTION("""COMPUTED_VALUE"""),683.58)</f>
        <v>683.58</v>
      </c>
      <c r="E1192" s="9">
        <f>IFERROR(__xludf.DUMMYFUNCTION("""COMPUTED_VALUE"""),660.65)</f>
        <v>660.65</v>
      </c>
      <c r="F1192" s="9">
        <f>IFERROR(__xludf.DUMMYFUNCTION("""COMPUTED_VALUE"""),674.05)</f>
        <v>674.05</v>
      </c>
      <c r="G1192" s="9">
        <f>IFERROR(__xludf.DUMMYFUNCTION("""COMPUTED_VALUE"""),5852869.0)</f>
        <v>5852869</v>
      </c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</row>
    <row r="1193">
      <c r="A1193" s="1"/>
      <c r="B1193" s="22">
        <f>IFERROR(__xludf.DUMMYFUNCTION("""COMPUTED_VALUE"""),43304.64583333333)</f>
        <v>43304.64583</v>
      </c>
      <c r="C1193" s="9">
        <f>IFERROR(__xludf.DUMMYFUNCTION("""COMPUTED_VALUE"""),676.08)</f>
        <v>676.08</v>
      </c>
      <c r="D1193" s="9">
        <f>IFERROR(__xludf.DUMMYFUNCTION("""COMPUTED_VALUE"""),684.0)</f>
        <v>684</v>
      </c>
      <c r="E1193" s="9">
        <f>IFERROR(__xludf.DUMMYFUNCTION("""COMPUTED_VALUE"""),668.13)</f>
        <v>668.13</v>
      </c>
      <c r="F1193" s="9">
        <f>IFERROR(__xludf.DUMMYFUNCTION("""COMPUTED_VALUE"""),677.98)</f>
        <v>677.98</v>
      </c>
      <c r="G1193" s="9">
        <f>IFERROR(__xludf.DUMMYFUNCTION("""COMPUTED_VALUE"""),3837851.0)</f>
        <v>3837851</v>
      </c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</row>
    <row r="1194">
      <c r="A1194" s="1"/>
      <c r="B1194" s="22">
        <f>IFERROR(__xludf.DUMMYFUNCTION("""COMPUTED_VALUE"""),43305.64583333333)</f>
        <v>43305.64583</v>
      </c>
      <c r="C1194" s="9">
        <f>IFERROR(__xludf.DUMMYFUNCTION("""COMPUTED_VALUE"""),687.2)</f>
        <v>687.2</v>
      </c>
      <c r="D1194" s="9">
        <f>IFERROR(__xludf.DUMMYFUNCTION("""COMPUTED_VALUE"""),691.2)</f>
        <v>691.2</v>
      </c>
      <c r="E1194" s="9">
        <f>IFERROR(__xludf.DUMMYFUNCTION("""COMPUTED_VALUE"""),678.0)</f>
        <v>678</v>
      </c>
      <c r="F1194" s="9">
        <f>IFERROR(__xludf.DUMMYFUNCTION("""COMPUTED_VALUE"""),688.58)</f>
        <v>688.58</v>
      </c>
      <c r="G1194" s="9">
        <f>IFERROR(__xludf.DUMMYFUNCTION("""COMPUTED_VALUE"""),3086123.0)</f>
        <v>3086123</v>
      </c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</row>
    <row r="1195">
      <c r="A1195" s="1"/>
      <c r="B1195" s="22">
        <f>IFERROR(__xludf.DUMMYFUNCTION("""COMPUTED_VALUE"""),43306.64583333333)</f>
        <v>43306.64583</v>
      </c>
      <c r="C1195" s="9">
        <f>IFERROR(__xludf.DUMMYFUNCTION("""COMPUTED_VALUE"""),689.5)</f>
        <v>689.5</v>
      </c>
      <c r="D1195" s="9">
        <f>IFERROR(__xludf.DUMMYFUNCTION("""COMPUTED_VALUE"""),696.9)</f>
        <v>696.9</v>
      </c>
      <c r="E1195" s="9">
        <f>IFERROR(__xludf.DUMMYFUNCTION("""COMPUTED_VALUE"""),682.73)</f>
        <v>682.73</v>
      </c>
      <c r="F1195" s="9">
        <f>IFERROR(__xludf.DUMMYFUNCTION("""COMPUTED_VALUE"""),691.88)</f>
        <v>691.88</v>
      </c>
      <c r="G1195" s="9">
        <f>IFERROR(__xludf.DUMMYFUNCTION("""COMPUTED_VALUE"""),3468461.0)</f>
        <v>3468461</v>
      </c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</row>
    <row r="1196">
      <c r="A1196" s="1"/>
      <c r="B1196" s="22">
        <f>IFERROR(__xludf.DUMMYFUNCTION("""COMPUTED_VALUE"""),43307.64583333333)</f>
        <v>43307.64583</v>
      </c>
      <c r="C1196" s="9">
        <f>IFERROR(__xludf.DUMMYFUNCTION("""COMPUTED_VALUE"""),689.28)</f>
        <v>689.28</v>
      </c>
      <c r="D1196" s="9">
        <f>IFERROR(__xludf.DUMMYFUNCTION("""COMPUTED_VALUE"""),695.2)</f>
        <v>695.2</v>
      </c>
      <c r="E1196" s="9">
        <f>IFERROR(__xludf.DUMMYFUNCTION("""COMPUTED_VALUE"""),684.6)</f>
        <v>684.6</v>
      </c>
      <c r="F1196" s="9">
        <f>IFERROR(__xludf.DUMMYFUNCTION("""COMPUTED_VALUE"""),686.63)</f>
        <v>686.63</v>
      </c>
      <c r="G1196" s="9">
        <f>IFERROR(__xludf.DUMMYFUNCTION("""COMPUTED_VALUE"""),3681109.0)</f>
        <v>3681109</v>
      </c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</row>
    <row r="1197">
      <c r="A1197" s="1"/>
      <c r="B1197" s="22">
        <f>IFERROR(__xludf.DUMMYFUNCTION("""COMPUTED_VALUE"""),43308.64583333333)</f>
        <v>43308.64583</v>
      </c>
      <c r="C1197" s="9">
        <f>IFERROR(__xludf.DUMMYFUNCTION("""COMPUTED_VALUE"""),686.6)</f>
        <v>686.6</v>
      </c>
      <c r="D1197" s="9">
        <f>IFERROR(__xludf.DUMMYFUNCTION("""COMPUTED_VALUE"""),694.5)</f>
        <v>694.5</v>
      </c>
      <c r="E1197" s="9">
        <f>IFERROR(__xludf.DUMMYFUNCTION("""COMPUTED_VALUE"""),684.15)</f>
        <v>684.15</v>
      </c>
      <c r="F1197" s="9">
        <f>IFERROR(__xludf.DUMMYFUNCTION("""COMPUTED_VALUE"""),686.73)</f>
        <v>686.73</v>
      </c>
      <c r="G1197" s="9">
        <f>IFERROR(__xludf.DUMMYFUNCTION("""COMPUTED_VALUE"""),3246616.0)</f>
        <v>3246616</v>
      </c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</row>
    <row r="1198">
      <c r="A1198" s="1"/>
      <c r="B1198" s="22">
        <f>IFERROR(__xludf.DUMMYFUNCTION("""COMPUTED_VALUE"""),43311.64583333333)</f>
        <v>43311.64583</v>
      </c>
      <c r="C1198" s="9">
        <f>IFERROR(__xludf.DUMMYFUNCTION("""COMPUTED_VALUE"""),685.0)</f>
        <v>685</v>
      </c>
      <c r="D1198" s="9">
        <f>IFERROR(__xludf.DUMMYFUNCTION("""COMPUTED_VALUE"""),686.5)</f>
        <v>686.5</v>
      </c>
      <c r="E1198" s="9">
        <f>IFERROR(__xludf.DUMMYFUNCTION("""COMPUTED_VALUE"""),674.0)</f>
        <v>674</v>
      </c>
      <c r="F1198" s="9">
        <f>IFERROR(__xludf.DUMMYFUNCTION("""COMPUTED_VALUE"""),675.5)</f>
        <v>675.5</v>
      </c>
      <c r="G1198" s="9">
        <f>IFERROR(__xludf.DUMMYFUNCTION("""COMPUTED_VALUE"""),3204985.0)</f>
        <v>3204985</v>
      </c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</row>
    <row r="1199">
      <c r="A1199" s="1"/>
      <c r="B1199" s="22">
        <f>IFERROR(__xludf.DUMMYFUNCTION("""COMPUTED_VALUE"""),43312.64583333333)</f>
        <v>43312.64583</v>
      </c>
      <c r="C1199" s="9">
        <f>IFERROR(__xludf.DUMMYFUNCTION("""COMPUTED_VALUE"""),674.28)</f>
        <v>674.28</v>
      </c>
      <c r="D1199" s="9">
        <f>IFERROR(__xludf.DUMMYFUNCTION("""COMPUTED_VALUE"""),685.0)</f>
        <v>685</v>
      </c>
      <c r="E1199" s="9">
        <f>IFERROR(__xludf.DUMMYFUNCTION("""COMPUTED_VALUE"""),667.78)</f>
        <v>667.78</v>
      </c>
      <c r="F1199" s="9">
        <f>IFERROR(__xludf.DUMMYFUNCTION("""COMPUTED_VALUE"""),682.55)</f>
        <v>682.55</v>
      </c>
      <c r="G1199" s="9">
        <f>IFERROR(__xludf.DUMMYFUNCTION("""COMPUTED_VALUE"""),3971998.0)</f>
        <v>3971998</v>
      </c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</row>
    <row r="1200">
      <c r="A1200" s="1"/>
      <c r="B1200" s="22">
        <f>IFERROR(__xludf.DUMMYFUNCTION("""COMPUTED_VALUE"""),43313.64583333333)</f>
        <v>43313.64583</v>
      </c>
      <c r="C1200" s="9">
        <f>IFERROR(__xludf.DUMMYFUNCTION("""COMPUTED_VALUE"""),681.9)</f>
        <v>681.9</v>
      </c>
      <c r="D1200" s="9">
        <f>IFERROR(__xludf.DUMMYFUNCTION("""COMPUTED_VALUE"""),684.23)</f>
        <v>684.23</v>
      </c>
      <c r="E1200" s="9">
        <f>IFERROR(__xludf.DUMMYFUNCTION("""COMPUTED_VALUE"""),675.5)</f>
        <v>675.5</v>
      </c>
      <c r="F1200" s="9">
        <f>IFERROR(__xludf.DUMMYFUNCTION("""COMPUTED_VALUE"""),677.03)</f>
        <v>677.03</v>
      </c>
      <c r="G1200" s="9">
        <f>IFERROR(__xludf.DUMMYFUNCTION("""COMPUTED_VALUE"""),2337853.0)</f>
        <v>2337853</v>
      </c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</row>
    <row r="1201">
      <c r="A1201" s="1"/>
      <c r="B1201" s="22">
        <f>IFERROR(__xludf.DUMMYFUNCTION("""COMPUTED_VALUE"""),43314.64583333333)</f>
        <v>43314.64583</v>
      </c>
      <c r="C1201" s="9">
        <f>IFERROR(__xludf.DUMMYFUNCTION("""COMPUTED_VALUE"""),679.8)</f>
        <v>679.8</v>
      </c>
      <c r="D1201" s="9">
        <f>IFERROR(__xludf.DUMMYFUNCTION("""COMPUTED_VALUE"""),683.38)</f>
        <v>683.38</v>
      </c>
      <c r="E1201" s="9">
        <f>IFERROR(__xludf.DUMMYFUNCTION("""COMPUTED_VALUE"""),675.08)</f>
        <v>675.08</v>
      </c>
      <c r="F1201" s="9">
        <f>IFERROR(__xludf.DUMMYFUNCTION("""COMPUTED_VALUE"""),676.83)</f>
        <v>676.83</v>
      </c>
      <c r="G1201" s="9">
        <f>IFERROR(__xludf.DUMMYFUNCTION("""COMPUTED_VALUE"""),2970371.0)</f>
        <v>2970371</v>
      </c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</row>
    <row r="1202">
      <c r="A1202" s="1"/>
      <c r="B1202" s="22">
        <f>IFERROR(__xludf.DUMMYFUNCTION("""COMPUTED_VALUE"""),43315.64583333333)</f>
        <v>43315.64583</v>
      </c>
      <c r="C1202" s="9">
        <f>IFERROR(__xludf.DUMMYFUNCTION("""COMPUTED_VALUE"""),683.1)</f>
        <v>683.1</v>
      </c>
      <c r="D1202" s="9">
        <f>IFERROR(__xludf.DUMMYFUNCTION("""COMPUTED_VALUE"""),683.1)</f>
        <v>683.1</v>
      </c>
      <c r="E1202" s="9">
        <f>IFERROR(__xludf.DUMMYFUNCTION("""COMPUTED_VALUE"""),678.0)</f>
        <v>678</v>
      </c>
      <c r="F1202" s="9">
        <f>IFERROR(__xludf.DUMMYFUNCTION("""COMPUTED_VALUE"""),682.05)</f>
        <v>682.05</v>
      </c>
      <c r="G1202" s="9">
        <f>IFERROR(__xludf.DUMMYFUNCTION("""COMPUTED_VALUE"""),1985195.0)</f>
        <v>1985195</v>
      </c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</row>
    <row r="1203">
      <c r="A1203" s="1"/>
      <c r="B1203" s="22">
        <f>IFERROR(__xludf.DUMMYFUNCTION("""COMPUTED_VALUE"""),43318.64583333333)</f>
        <v>43318.64583</v>
      </c>
      <c r="C1203" s="9">
        <f>IFERROR(__xludf.DUMMYFUNCTION("""COMPUTED_VALUE"""),683.03)</f>
        <v>683.03</v>
      </c>
      <c r="D1203" s="9">
        <f>IFERROR(__xludf.DUMMYFUNCTION("""COMPUTED_VALUE"""),687.5)</f>
        <v>687.5</v>
      </c>
      <c r="E1203" s="9">
        <f>IFERROR(__xludf.DUMMYFUNCTION("""COMPUTED_VALUE"""),673.75)</f>
        <v>673.75</v>
      </c>
      <c r="F1203" s="9">
        <f>IFERROR(__xludf.DUMMYFUNCTION("""COMPUTED_VALUE"""),680.33)</f>
        <v>680.33</v>
      </c>
      <c r="G1203" s="9">
        <f>IFERROR(__xludf.DUMMYFUNCTION("""COMPUTED_VALUE"""),3089465.0)</f>
        <v>3089465</v>
      </c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</row>
    <row r="1204">
      <c r="A1204" s="1"/>
      <c r="B1204" s="22">
        <f>IFERROR(__xludf.DUMMYFUNCTION("""COMPUTED_VALUE"""),43319.64583333333)</f>
        <v>43319.64583</v>
      </c>
      <c r="C1204" s="9">
        <f>IFERROR(__xludf.DUMMYFUNCTION("""COMPUTED_VALUE"""),687.0)</f>
        <v>687</v>
      </c>
      <c r="D1204" s="9">
        <f>IFERROR(__xludf.DUMMYFUNCTION("""COMPUTED_VALUE"""),689.98)</f>
        <v>689.98</v>
      </c>
      <c r="E1204" s="9">
        <f>IFERROR(__xludf.DUMMYFUNCTION("""COMPUTED_VALUE"""),680.33)</f>
        <v>680.33</v>
      </c>
      <c r="F1204" s="9">
        <f>IFERROR(__xludf.DUMMYFUNCTION("""COMPUTED_VALUE"""),683.98)</f>
        <v>683.98</v>
      </c>
      <c r="G1204" s="9">
        <f>IFERROR(__xludf.DUMMYFUNCTION("""COMPUTED_VALUE"""),3675764.0)</f>
        <v>3675764</v>
      </c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</row>
    <row r="1205">
      <c r="A1205" s="1"/>
      <c r="B1205" s="22">
        <f>IFERROR(__xludf.DUMMYFUNCTION("""COMPUTED_VALUE"""),43320.64583333333)</f>
        <v>43320.64583</v>
      </c>
      <c r="C1205" s="9">
        <f>IFERROR(__xludf.DUMMYFUNCTION("""COMPUTED_VALUE"""),685.9)</f>
        <v>685.9</v>
      </c>
      <c r="D1205" s="9">
        <f>IFERROR(__xludf.DUMMYFUNCTION("""COMPUTED_VALUE"""),686.25)</f>
        <v>686.25</v>
      </c>
      <c r="E1205" s="9">
        <f>IFERROR(__xludf.DUMMYFUNCTION("""COMPUTED_VALUE"""),676.65)</f>
        <v>676.65</v>
      </c>
      <c r="F1205" s="9">
        <f>IFERROR(__xludf.DUMMYFUNCTION("""COMPUTED_VALUE"""),681.38)</f>
        <v>681.38</v>
      </c>
      <c r="G1205" s="9">
        <f>IFERROR(__xludf.DUMMYFUNCTION("""COMPUTED_VALUE"""),1996179.0)</f>
        <v>1996179</v>
      </c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</row>
    <row r="1206">
      <c r="A1206" s="1"/>
      <c r="B1206" s="22">
        <f>IFERROR(__xludf.DUMMYFUNCTION("""COMPUTED_VALUE"""),43321.64583333333)</f>
        <v>43321.64583</v>
      </c>
      <c r="C1206" s="9">
        <f>IFERROR(__xludf.DUMMYFUNCTION("""COMPUTED_VALUE"""),686.83)</f>
        <v>686.83</v>
      </c>
      <c r="D1206" s="9">
        <f>IFERROR(__xludf.DUMMYFUNCTION("""COMPUTED_VALUE"""),694.73)</f>
        <v>694.73</v>
      </c>
      <c r="E1206" s="9">
        <f>IFERROR(__xludf.DUMMYFUNCTION("""COMPUTED_VALUE"""),686.83)</f>
        <v>686.83</v>
      </c>
      <c r="F1206" s="9">
        <f>IFERROR(__xludf.DUMMYFUNCTION("""COMPUTED_VALUE"""),689.98)</f>
        <v>689.98</v>
      </c>
      <c r="G1206" s="9">
        <f>IFERROR(__xludf.DUMMYFUNCTION("""COMPUTED_VALUE"""),3204762.0)</f>
        <v>3204762</v>
      </c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</row>
    <row r="1207">
      <c r="A1207" s="1"/>
      <c r="B1207" s="22">
        <f>IFERROR(__xludf.DUMMYFUNCTION("""COMPUTED_VALUE"""),43322.64583333333)</f>
        <v>43322.64583</v>
      </c>
      <c r="C1207" s="9">
        <f>IFERROR(__xludf.DUMMYFUNCTION("""COMPUTED_VALUE"""),692.9)</f>
        <v>692.9</v>
      </c>
      <c r="D1207" s="9">
        <f>IFERROR(__xludf.DUMMYFUNCTION("""COMPUTED_VALUE"""),694.5)</f>
        <v>694.5</v>
      </c>
      <c r="E1207" s="9">
        <f>IFERROR(__xludf.DUMMYFUNCTION("""COMPUTED_VALUE"""),686.53)</f>
        <v>686.53</v>
      </c>
      <c r="F1207" s="9">
        <f>IFERROR(__xludf.DUMMYFUNCTION("""COMPUTED_VALUE"""),692.73)</f>
        <v>692.73</v>
      </c>
      <c r="G1207" s="9">
        <f>IFERROR(__xludf.DUMMYFUNCTION("""COMPUTED_VALUE"""),2389760.0)</f>
        <v>2389760</v>
      </c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</row>
    <row r="1208">
      <c r="A1208" s="1"/>
      <c r="B1208" s="22">
        <f>IFERROR(__xludf.DUMMYFUNCTION("""COMPUTED_VALUE"""),43325.64583333333)</f>
        <v>43325.64583</v>
      </c>
      <c r="C1208" s="9">
        <f>IFERROR(__xludf.DUMMYFUNCTION("""COMPUTED_VALUE"""),695.0)</f>
        <v>695</v>
      </c>
      <c r="D1208" s="9">
        <f>IFERROR(__xludf.DUMMYFUNCTION("""COMPUTED_VALUE"""),704.93)</f>
        <v>704.93</v>
      </c>
      <c r="E1208" s="9">
        <f>IFERROR(__xludf.DUMMYFUNCTION("""COMPUTED_VALUE"""),689.35)</f>
        <v>689.35</v>
      </c>
      <c r="F1208" s="9">
        <f>IFERROR(__xludf.DUMMYFUNCTION("""COMPUTED_VALUE"""),704.38)</f>
        <v>704.38</v>
      </c>
      <c r="G1208" s="9">
        <f>IFERROR(__xludf.DUMMYFUNCTION("""COMPUTED_VALUE"""),4989873.0)</f>
        <v>4989873</v>
      </c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</row>
    <row r="1209">
      <c r="A1209" s="1"/>
      <c r="B1209" s="22">
        <f>IFERROR(__xludf.DUMMYFUNCTION("""COMPUTED_VALUE"""),43326.64583333333)</f>
        <v>43326.64583</v>
      </c>
      <c r="C1209" s="9">
        <f>IFERROR(__xludf.DUMMYFUNCTION("""COMPUTED_VALUE"""),706.98)</f>
        <v>706.98</v>
      </c>
      <c r="D1209" s="9">
        <f>IFERROR(__xludf.DUMMYFUNCTION("""COMPUTED_VALUE"""),712.28)</f>
        <v>712.28</v>
      </c>
      <c r="E1209" s="9">
        <f>IFERROR(__xludf.DUMMYFUNCTION("""COMPUTED_VALUE"""),702.0)</f>
        <v>702</v>
      </c>
      <c r="F1209" s="9">
        <f>IFERROR(__xludf.DUMMYFUNCTION("""COMPUTED_VALUE"""),704.15)</f>
        <v>704.15</v>
      </c>
      <c r="G1209" s="9">
        <f>IFERROR(__xludf.DUMMYFUNCTION("""COMPUTED_VALUE"""),3075660.0)</f>
        <v>3075660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</row>
    <row r="1210">
      <c r="A1210" s="1"/>
      <c r="B1210" s="22">
        <f>IFERROR(__xludf.DUMMYFUNCTION("""COMPUTED_VALUE"""),43328.64583333333)</f>
        <v>43328.64583</v>
      </c>
      <c r="C1210" s="9">
        <f>IFERROR(__xludf.DUMMYFUNCTION("""COMPUTED_VALUE"""),707.48)</f>
        <v>707.48</v>
      </c>
      <c r="D1210" s="9">
        <f>IFERROR(__xludf.DUMMYFUNCTION("""COMPUTED_VALUE"""),717.45)</f>
        <v>717.45</v>
      </c>
      <c r="E1210" s="9">
        <f>IFERROR(__xludf.DUMMYFUNCTION("""COMPUTED_VALUE"""),705.63)</f>
        <v>705.63</v>
      </c>
      <c r="F1210" s="9">
        <f>IFERROR(__xludf.DUMMYFUNCTION("""COMPUTED_VALUE"""),714.78)</f>
        <v>714.78</v>
      </c>
      <c r="G1210" s="9">
        <f>IFERROR(__xludf.DUMMYFUNCTION("""COMPUTED_VALUE"""),3313387.0)</f>
        <v>3313387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</row>
    <row r="1211">
      <c r="A1211" s="1"/>
      <c r="B1211" s="22">
        <f>IFERROR(__xludf.DUMMYFUNCTION("""COMPUTED_VALUE"""),43329.64583333333)</f>
        <v>43329.64583</v>
      </c>
      <c r="C1211" s="9">
        <f>IFERROR(__xludf.DUMMYFUNCTION("""COMPUTED_VALUE"""),715.45)</f>
        <v>715.45</v>
      </c>
      <c r="D1211" s="9">
        <f>IFERROR(__xludf.DUMMYFUNCTION("""COMPUTED_VALUE"""),718.83)</f>
        <v>718.83</v>
      </c>
      <c r="E1211" s="9">
        <f>IFERROR(__xludf.DUMMYFUNCTION("""COMPUTED_VALUE"""),711.5)</f>
        <v>711.5</v>
      </c>
      <c r="F1211" s="9">
        <f>IFERROR(__xludf.DUMMYFUNCTION("""COMPUTED_VALUE"""),715.18)</f>
        <v>715.18</v>
      </c>
      <c r="G1211" s="9">
        <f>IFERROR(__xludf.DUMMYFUNCTION("""COMPUTED_VALUE"""),3195204.0)</f>
        <v>3195204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</row>
    <row r="1212">
      <c r="A1212" s="1"/>
      <c r="B1212" s="22">
        <f>IFERROR(__xludf.DUMMYFUNCTION("""COMPUTED_VALUE"""),43332.64583333333)</f>
        <v>43332.64583</v>
      </c>
      <c r="C1212" s="9">
        <f>IFERROR(__xludf.DUMMYFUNCTION("""COMPUTED_VALUE"""),694.0)</f>
        <v>694</v>
      </c>
      <c r="D1212" s="9">
        <f>IFERROR(__xludf.DUMMYFUNCTION("""COMPUTED_VALUE"""),703.98)</f>
        <v>703.98</v>
      </c>
      <c r="E1212" s="9">
        <f>IFERROR(__xludf.DUMMYFUNCTION("""COMPUTED_VALUE"""),686.75)</f>
        <v>686.75</v>
      </c>
      <c r="F1212" s="9">
        <f>IFERROR(__xludf.DUMMYFUNCTION("""COMPUTED_VALUE"""),692.13)</f>
        <v>692.13</v>
      </c>
      <c r="G1212" s="9">
        <f>IFERROR(__xludf.DUMMYFUNCTION("""COMPUTED_VALUE"""),8050938.0)</f>
        <v>8050938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</row>
    <row r="1213">
      <c r="A1213" s="1"/>
      <c r="B1213" s="22">
        <f>IFERROR(__xludf.DUMMYFUNCTION("""COMPUTED_VALUE"""),43333.64583333333)</f>
        <v>43333.64583</v>
      </c>
      <c r="C1213" s="9">
        <f>IFERROR(__xludf.DUMMYFUNCTION("""COMPUTED_VALUE"""),695.0)</f>
        <v>695</v>
      </c>
      <c r="D1213" s="9">
        <f>IFERROR(__xludf.DUMMYFUNCTION("""COMPUTED_VALUE"""),698.0)</f>
        <v>698</v>
      </c>
      <c r="E1213" s="9">
        <f>IFERROR(__xludf.DUMMYFUNCTION("""COMPUTED_VALUE"""),686.88)</f>
        <v>686.88</v>
      </c>
      <c r="F1213" s="9">
        <f>IFERROR(__xludf.DUMMYFUNCTION("""COMPUTED_VALUE"""),691.98)</f>
        <v>691.98</v>
      </c>
      <c r="G1213" s="9">
        <f>IFERROR(__xludf.DUMMYFUNCTION("""COMPUTED_VALUE"""),4180741.0)</f>
        <v>4180741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</row>
    <row r="1214">
      <c r="A1214" s="1"/>
      <c r="B1214" s="22">
        <f>IFERROR(__xludf.DUMMYFUNCTION("""COMPUTED_VALUE"""),43335.64583333333)</f>
        <v>43335.64583</v>
      </c>
      <c r="C1214" s="9">
        <f>IFERROR(__xludf.DUMMYFUNCTION("""COMPUTED_VALUE"""),696.5)</f>
        <v>696.5</v>
      </c>
      <c r="D1214" s="9">
        <f>IFERROR(__xludf.DUMMYFUNCTION("""COMPUTED_VALUE"""),700.75)</f>
        <v>700.75</v>
      </c>
      <c r="E1214" s="9">
        <f>IFERROR(__xludf.DUMMYFUNCTION("""COMPUTED_VALUE"""),692.68)</f>
        <v>692.68</v>
      </c>
      <c r="F1214" s="9">
        <f>IFERROR(__xludf.DUMMYFUNCTION("""COMPUTED_VALUE"""),698.7)</f>
        <v>698.7</v>
      </c>
      <c r="G1214" s="9">
        <f>IFERROR(__xludf.DUMMYFUNCTION("""COMPUTED_VALUE"""),3858591.0)</f>
        <v>3858591</v>
      </c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</row>
    <row r="1215">
      <c r="A1215" s="1"/>
      <c r="B1215" s="22">
        <f>IFERROR(__xludf.DUMMYFUNCTION("""COMPUTED_VALUE"""),43336.64583333333)</f>
        <v>43336.64583</v>
      </c>
      <c r="C1215" s="9">
        <f>IFERROR(__xludf.DUMMYFUNCTION("""COMPUTED_VALUE"""),698.25)</f>
        <v>698.25</v>
      </c>
      <c r="D1215" s="9">
        <f>IFERROR(__xludf.DUMMYFUNCTION("""COMPUTED_VALUE"""),700.95)</f>
        <v>700.95</v>
      </c>
      <c r="E1215" s="9">
        <f>IFERROR(__xludf.DUMMYFUNCTION("""COMPUTED_VALUE"""),688.05)</f>
        <v>688.05</v>
      </c>
      <c r="F1215" s="9">
        <f>IFERROR(__xludf.DUMMYFUNCTION("""COMPUTED_VALUE"""),689.15)</f>
        <v>689.15</v>
      </c>
      <c r="G1215" s="9">
        <f>IFERROR(__xludf.DUMMYFUNCTION("""COMPUTED_VALUE"""),3526500.0)</f>
        <v>3526500</v>
      </c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</row>
    <row r="1216">
      <c r="A1216" s="1"/>
      <c r="B1216" s="22">
        <f>IFERROR(__xludf.DUMMYFUNCTION("""COMPUTED_VALUE"""),43339.64583333333)</f>
        <v>43339.64583</v>
      </c>
      <c r="C1216" s="9">
        <f>IFERROR(__xludf.DUMMYFUNCTION("""COMPUTED_VALUE"""),691.5)</f>
        <v>691.5</v>
      </c>
      <c r="D1216" s="9">
        <f>IFERROR(__xludf.DUMMYFUNCTION("""COMPUTED_VALUE"""),709.98)</f>
        <v>709.98</v>
      </c>
      <c r="E1216" s="9">
        <f>IFERROR(__xludf.DUMMYFUNCTION("""COMPUTED_VALUE"""),690.7)</f>
        <v>690.7</v>
      </c>
      <c r="F1216" s="9">
        <f>IFERROR(__xludf.DUMMYFUNCTION("""COMPUTED_VALUE"""),707.7)</f>
        <v>707.7</v>
      </c>
      <c r="G1216" s="9">
        <f>IFERROR(__xludf.DUMMYFUNCTION("""COMPUTED_VALUE"""),3506475.0)</f>
        <v>3506475</v>
      </c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</row>
    <row r="1217">
      <c r="A1217" s="1"/>
      <c r="B1217" s="22">
        <f>IFERROR(__xludf.DUMMYFUNCTION("""COMPUTED_VALUE"""),43340.64583333333)</f>
        <v>43340.64583</v>
      </c>
      <c r="C1217" s="9">
        <f>IFERROR(__xludf.DUMMYFUNCTION("""COMPUTED_VALUE"""),708.6)</f>
        <v>708.6</v>
      </c>
      <c r="D1217" s="9">
        <f>IFERROR(__xludf.DUMMYFUNCTION("""COMPUTED_VALUE"""),719.2)</f>
        <v>719.2</v>
      </c>
      <c r="E1217" s="9">
        <f>IFERROR(__xludf.DUMMYFUNCTION("""COMPUTED_VALUE"""),705.75)</f>
        <v>705.75</v>
      </c>
      <c r="F1217" s="9">
        <f>IFERROR(__xludf.DUMMYFUNCTION("""COMPUTED_VALUE"""),712.35)</f>
        <v>712.35</v>
      </c>
      <c r="G1217" s="9">
        <f>IFERROR(__xludf.DUMMYFUNCTION("""COMPUTED_VALUE"""),3248445.0)</f>
        <v>3248445</v>
      </c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</row>
    <row r="1218">
      <c r="A1218" s="1"/>
      <c r="B1218" s="22">
        <f>IFERROR(__xludf.DUMMYFUNCTION("""COMPUTED_VALUE"""),43341.64583333333)</f>
        <v>43341.64583</v>
      </c>
      <c r="C1218" s="9">
        <f>IFERROR(__xludf.DUMMYFUNCTION("""COMPUTED_VALUE"""),716.8)</f>
        <v>716.8</v>
      </c>
      <c r="D1218" s="9">
        <f>IFERROR(__xludf.DUMMYFUNCTION("""COMPUTED_VALUE"""),716.8)</f>
        <v>716.8</v>
      </c>
      <c r="E1218" s="9">
        <f>IFERROR(__xludf.DUMMYFUNCTION("""COMPUTED_VALUE"""),702.58)</f>
        <v>702.58</v>
      </c>
      <c r="F1218" s="9">
        <f>IFERROR(__xludf.DUMMYFUNCTION("""COMPUTED_VALUE"""),705.05)</f>
        <v>705.05</v>
      </c>
      <c r="G1218" s="9">
        <f>IFERROR(__xludf.DUMMYFUNCTION("""COMPUTED_VALUE"""),2823248.0)</f>
        <v>2823248</v>
      </c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</row>
    <row r="1219">
      <c r="A1219" s="1"/>
      <c r="B1219" s="22">
        <f>IFERROR(__xludf.DUMMYFUNCTION("""COMPUTED_VALUE"""),43342.64583333333)</f>
        <v>43342.64583</v>
      </c>
      <c r="C1219" s="9">
        <f>IFERROR(__xludf.DUMMYFUNCTION("""COMPUTED_VALUE"""),706.4)</f>
        <v>706.4</v>
      </c>
      <c r="D1219" s="9">
        <f>IFERROR(__xludf.DUMMYFUNCTION("""COMPUTED_VALUE"""),710.78)</f>
        <v>710.78</v>
      </c>
      <c r="E1219" s="9">
        <f>IFERROR(__xludf.DUMMYFUNCTION("""COMPUTED_VALUE"""),698.08)</f>
        <v>698.08</v>
      </c>
      <c r="F1219" s="9">
        <f>IFERROR(__xludf.DUMMYFUNCTION("""COMPUTED_VALUE"""),708.1)</f>
        <v>708.1</v>
      </c>
      <c r="G1219" s="9">
        <f>IFERROR(__xludf.DUMMYFUNCTION("""COMPUTED_VALUE"""),5753981.0)</f>
        <v>5753981</v>
      </c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</row>
    <row r="1220">
      <c r="A1220" s="1"/>
      <c r="B1220" s="22">
        <f>IFERROR(__xludf.DUMMYFUNCTION("""COMPUTED_VALUE"""),43343.64583333333)</f>
        <v>43343.64583</v>
      </c>
      <c r="C1220" s="9">
        <f>IFERROR(__xludf.DUMMYFUNCTION("""COMPUTED_VALUE"""),712.55)</f>
        <v>712.55</v>
      </c>
      <c r="D1220" s="9">
        <f>IFERROR(__xludf.DUMMYFUNCTION("""COMPUTED_VALUE"""),727.15)</f>
        <v>727.15</v>
      </c>
      <c r="E1220" s="9">
        <f>IFERROR(__xludf.DUMMYFUNCTION("""COMPUTED_VALUE"""),710.55)</f>
        <v>710.55</v>
      </c>
      <c r="F1220" s="9">
        <f>IFERROR(__xludf.DUMMYFUNCTION("""COMPUTED_VALUE"""),720.55)</f>
        <v>720.55</v>
      </c>
      <c r="G1220" s="9">
        <f>IFERROR(__xludf.DUMMYFUNCTION("""COMPUTED_VALUE"""),5437932.0)</f>
        <v>5437932</v>
      </c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</row>
    <row r="1221">
      <c r="A1221" s="1"/>
      <c r="B1221" s="22">
        <f>IFERROR(__xludf.DUMMYFUNCTION("""COMPUTED_VALUE"""),43346.64583333333)</f>
        <v>43346.64583</v>
      </c>
      <c r="C1221" s="9">
        <f>IFERROR(__xludf.DUMMYFUNCTION("""COMPUTED_VALUE"""),724.5)</f>
        <v>724.5</v>
      </c>
      <c r="D1221" s="9">
        <f>IFERROR(__xludf.DUMMYFUNCTION("""COMPUTED_VALUE"""),733.95)</f>
        <v>733.95</v>
      </c>
      <c r="E1221" s="9">
        <f>IFERROR(__xludf.DUMMYFUNCTION("""COMPUTED_VALUE"""),715.0)</f>
        <v>715</v>
      </c>
      <c r="F1221" s="9">
        <f>IFERROR(__xludf.DUMMYFUNCTION("""COMPUTED_VALUE"""),717.13)</f>
        <v>717.13</v>
      </c>
      <c r="G1221" s="9">
        <f>IFERROR(__xludf.DUMMYFUNCTION("""COMPUTED_VALUE"""),5488164.0)</f>
        <v>5488164</v>
      </c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</row>
    <row r="1222">
      <c r="A1222" s="1"/>
      <c r="B1222" s="22">
        <f>IFERROR(__xludf.DUMMYFUNCTION("""COMPUTED_VALUE"""),43347.64583333333)</f>
        <v>43347.64583</v>
      </c>
      <c r="C1222" s="9">
        <f>IFERROR(__xludf.DUMMYFUNCTION("""COMPUTED_VALUE"""),722.0)</f>
        <v>722</v>
      </c>
      <c r="D1222" s="9">
        <f>IFERROR(__xludf.DUMMYFUNCTION("""COMPUTED_VALUE"""),748.5)</f>
        <v>748.5</v>
      </c>
      <c r="E1222" s="9">
        <f>IFERROR(__xludf.DUMMYFUNCTION("""COMPUTED_VALUE"""),716.0)</f>
        <v>716</v>
      </c>
      <c r="F1222" s="9">
        <f>IFERROR(__xludf.DUMMYFUNCTION("""COMPUTED_VALUE"""),737.15)</f>
        <v>737.15</v>
      </c>
      <c r="G1222" s="9">
        <f>IFERROR(__xludf.DUMMYFUNCTION("""COMPUTED_VALUE"""),1.5370124E7)</f>
        <v>15370124</v>
      </c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</row>
    <row r="1223">
      <c r="A1223" s="1"/>
      <c r="B1223" s="22">
        <f>IFERROR(__xludf.DUMMYFUNCTION("""COMPUTED_VALUE"""),43348.64583333333)</f>
        <v>43348.64583</v>
      </c>
      <c r="C1223" s="9">
        <f>IFERROR(__xludf.DUMMYFUNCTION("""COMPUTED_VALUE"""),741.95)</f>
        <v>741.95</v>
      </c>
      <c r="D1223" s="9">
        <f>IFERROR(__xludf.DUMMYFUNCTION("""COMPUTED_VALUE"""),744.05)</f>
        <v>744.05</v>
      </c>
      <c r="E1223" s="9">
        <f>IFERROR(__xludf.DUMMYFUNCTION("""COMPUTED_VALUE"""),725.4)</f>
        <v>725.4</v>
      </c>
      <c r="F1223" s="9">
        <f>IFERROR(__xludf.DUMMYFUNCTION("""COMPUTED_VALUE"""),729.9)</f>
        <v>729.9</v>
      </c>
      <c r="G1223" s="9">
        <f>IFERROR(__xludf.DUMMYFUNCTION("""COMPUTED_VALUE"""),8658978.0)</f>
        <v>8658978</v>
      </c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</row>
    <row r="1224">
      <c r="A1224" s="1"/>
      <c r="B1224" s="22">
        <f>IFERROR(__xludf.DUMMYFUNCTION("""COMPUTED_VALUE"""),43349.64583333333)</f>
        <v>43349.64583</v>
      </c>
      <c r="C1224" s="9">
        <f>IFERROR(__xludf.DUMMYFUNCTION("""COMPUTED_VALUE"""),732.55)</f>
        <v>732.55</v>
      </c>
      <c r="D1224" s="9">
        <f>IFERROR(__xludf.DUMMYFUNCTION("""COMPUTED_VALUE"""),735.5)</f>
        <v>735.5</v>
      </c>
      <c r="E1224" s="9">
        <f>IFERROR(__xludf.DUMMYFUNCTION("""COMPUTED_VALUE"""),724.1)</f>
        <v>724.1</v>
      </c>
      <c r="F1224" s="9">
        <f>IFERROR(__xludf.DUMMYFUNCTION("""COMPUTED_VALUE"""),727.15)</f>
        <v>727.15</v>
      </c>
      <c r="G1224" s="9">
        <f>IFERROR(__xludf.DUMMYFUNCTION("""COMPUTED_VALUE"""),5598659.0)</f>
        <v>5598659</v>
      </c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</row>
    <row r="1225">
      <c r="A1225" s="1"/>
      <c r="B1225" s="22">
        <f>IFERROR(__xludf.DUMMYFUNCTION("""COMPUTED_VALUE"""),43350.64583333333)</f>
        <v>43350.64583</v>
      </c>
      <c r="C1225" s="9">
        <f>IFERROR(__xludf.DUMMYFUNCTION("""COMPUTED_VALUE"""),734.35)</f>
        <v>734.35</v>
      </c>
      <c r="D1225" s="9">
        <f>IFERROR(__xludf.DUMMYFUNCTION("""COMPUTED_VALUE"""),735.15)</f>
        <v>735.15</v>
      </c>
      <c r="E1225" s="9">
        <f>IFERROR(__xludf.DUMMYFUNCTION("""COMPUTED_VALUE"""),723.8)</f>
        <v>723.8</v>
      </c>
      <c r="F1225" s="9">
        <f>IFERROR(__xludf.DUMMYFUNCTION("""COMPUTED_VALUE"""),732.8)</f>
        <v>732.8</v>
      </c>
      <c r="G1225" s="9">
        <f>IFERROR(__xludf.DUMMYFUNCTION("""COMPUTED_VALUE"""),6510605.0)</f>
        <v>6510605</v>
      </c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</row>
    <row r="1226">
      <c r="A1226" s="1"/>
      <c r="B1226" s="22">
        <f>IFERROR(__xludf.DUMMYFUNCTION("""COMPUTED_VALUE"""),43353.64583333333)</f>
        <v>43353.64583</v>
      </c>
      <c r="C1226" s="9">
        <f>IFERROR(__xludf.DUMMYFUNCTION("""COMPUTED_VALUE"""),737.75)</f>
        <v>737.75</v>
      </c>
      <c r="D1226" s="9">
        <f>IFERROR(__xludf.DUMMYFUNCTION("""COMPUTED_VALUE"""),747.0)</f>
        <v>747</v>
      </c>
      <c r="E1226" s="9">
        <f>IFERROR(__xludf.DUMMYFUNCTION("""COMPUTED_VALUE"""),729.4)</f>
        <v>729.4</v>
      </c>
      <c r="F1226" s="9">
        <f>IFERROR(__xludf.DUMMYFUNCTION("""COMPUTED_VALUE"""),730.85)</f>
        <v>730.85</v>
      </c>
      <c r="G1226" s="9">
        <f>IFERROR(__xludf.DUMMYFUNCTION("""COMPUTED_VALUE"""),5629871.0)</f>
        <v>5629871</v>
      </c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>
      <c r="A1227" s="1"/>
      <c r="B1227" s="22">
        <f>IFERROR(__xludf.DUMMYFUNCTION("""COMPUTED_VALUE"""),43354.64583333333)</f>
        <v>43354.64583</v>
      </c>
      <c r="C1227" s="9">
        <f>IFERROR(__xludf.DUMMYFUNCTION("""COMPUTED_VALUE"""),735.9)</f>
        <v>735.9</v>
      </c>
      <c r="D1227" s="9">
        <f>IFERROR(__xludf.DUMMYFUNCTION("""COMPUTED_VALUE"""),744.75)</f>
        <v>744.75</v>
      </c>
      <c r="E1227" s="9">
        <f>IFERROR(__xludf.DUMMYFUNCTION("""COMPUTED_VALUE"""),732.0)</f>
        <v>732</v>
      </c>
      <c r="F1227" s="9">
        <f>IFERROR(__xludf.DUMMYFUNCTION("""COMPUTED_VALUE"""),734.3)</f>
        <v>734.3</v>
      </c>
      <c r="G1227" s="9">
        <f>IFERROR(__xludf.DUMMYFUNCTION("""COMPUTED_VALUE"""),6963561.0)</f>
        <v>6963561</v>
      </c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>
      <c r="A1228" s="1"/>
      <c r="B1228" s="22">
        <f>IFERROR(__xludf.DUMMYFUNCTION("""COMPUTED_VALUE"""),43355.64583333333)</f>
        <v>43355.64583</v>
      </c>
      <c r="C1228" s="9">
        <f>IFERROR(__xludf.DUMMYFUNCTION("""COMPUTED_VALUE"""),744.4)</f>
        <v>744.4</v>
      </c>
      <c r="D1228" s="9">
        <f>IFERROR(__xludf.DUMMYFUNCTION("""COMPUTED_VALUE"""),746.5)</f>
        <v>746.5</v>
      </c>
      <c r="E1228" s="9">
        <f>IFERROR(__xludf.DUMMYFUNCTION("""COMPUTED_VALUE"""),736.25)</f>
        <v>736.25</v>
      </c>
      <c r="F1228" s="9">
        <f>IFERROR(__xludf.DUMMYFUNCTION("""COMPUTED_VALUE"""),742.9)</f>
        <v>742.9</v>
      </c>
      <c r="G1228" s="9">
        <f>IFERROR(__xludf.DUMMYFUNCTION("""COMPUTED_VALUE"""),4636617.0)</f>
        <v>4636617</v>
      </c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</row>
    <row r="1229">
      <c r="A1229" s="1"/>
      <c r="B1229" s="22">
        <f>IFERROR(__xludf.DUMMYFUNCTION("""COMPUTED_VALUE"""),43357.64583333333)</f>
        <v>43357.64583</v>
      </c>
      <c r="C1229" s="9">
        <f>IFERROR(__xludf.DUMMYFUNCTION("""COMPUTED_VALUE"""),741.9)</f>
        <v>741.9</v>
      </c>
      <c r="D1229" s="9">
        <f>IFERROR(__xludf.DUMMYFUNCTION("""COMPUTED_VALUE"""),745.0)</f>
        <v>745</v>
      </c>
      <c r="E1229" s="9">
        <f>IFERROR(__xludf.DUMMYFUNCTION("""COMPUTED_VALUE"""),729.05)</f>
        <v>729.05</v>
      </c>
      <c r="F1229" s="9">
        <f>IFERROR(__xludf.DUMMYFUNCTION("""COMPUTED_VALUE"""),733.7)</f>
        <v>733.7</v>
      </c>
      <c r="G1229" s="9">
        <f>IFERROR(__xludf.DUMMYFUNCTION("""COMPUTED_VALUE"""),7896514.0)</f>
        <v>7896514</v>
      </c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</row>
    <row r="1230">
      <c r="A1230" s="1"/>
      <c r="B1230" s="22">
        <f>IFERROR(__xludf.DUMMYFUNCTION("""COMPUTED_VALUE"""),43360.64583333333)</f>
        <v>43360.64583</v>
      </c>
      <c r="C1230" s="9">
        <f>IFERROR(__xludf.DUMMYFUNCTION("""COMPUTED_VALUE"""),735.0)</f>
        <v>735</v>
      </c>
      <c r="D1230" s="9">
        <f>IFERROR(__xludf.DUMMYFUNCTION("""COMPUTED_VALUE"""),740.0)</f>
        <v>740</v>
      </c>
      <c r="E1230" s="9">
        <f>IFERROR(__xludf.DUMMYFUNCTION("""COMPUTED_VALUE"""),724.6)</f>
        <v>724.6</v>
      </c>
      <c r="F1230" s="9">
        <f>IFERROR(__xludf.DUMMYFUNCTION("""COMPUTED_VALUE"""),725.95)</f>
        <v>725.95</v>
      </c>
      <c r="G1230" s="9">
        <f>IFERROR(__xludf.DUMMYFUNCTION("""COMPUTED_VALUE"""),5427054.0)</f>
        <v>5427054</v>
      </c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>
      <c r="A1231" s="1"/>
      <c r="B1231" s="22">
        <f>IFERROR(__xludf.DUMMYFUNCTION("""COMPUTED_VALUE"""),43361.64583333333)</f>
        <v>43361.64583</v>
      </c>
      <c r="C1231" s="9">
        <f>IFERROR(__xludf.DUMMYFUNCTION("""COMPUTED_VALUE"""),730.0)</f>
        <v>730</v>
      </c>
      <c r="D1231" s="9">
        <f>IFERROR(__xludf.DUMMYFUNCTION("""COMPUTED_VALUE"""),730.0)</f>
        <v>730</v>
      </c>
      <c r="E1231" s="9">
        <f>IFERROR(__xludf.DUMMYFUNCTION("""COMPUTED_VALUE"""),717.0)</f>
        <v>717</v>
      </c>
      <c r="F1231" s="9">
        <f>IFERROR(__xludf.DUMMYFUNCTION("""COMPUTED_VALUE"""),719.1)</f>
        <v>719.1</v>
      </c>
      <c r="G1231" s="9">
        <f>IFERROR(__xludf.DUMMYFUNCTION("""COMPUTED_VALUE"""),7729732.0)</f>
        <v>7729732</v>
      </c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</row>
    <row r="1232">
      <c r="A1232" s="1"/>
      <c r="B1232" s="22">
        <f>IFERROR(__xludf.DUMMYFUNCTION("""COMPUTED_VALUE"""),43362.64583333333)</f>
        <v>43362.64583</v>
      </c>
      <c r="C1232" s="9">
        <f>IFERROR(__xludf.DUMMYFUNCTION("""COMPUTED_VALUE"""),727.0)</f>
        <v>727</v>
      </c>
      <c r="D1232" s="9">
        <f>IFERROR(__xludf.DUMMYFUNCTION("""COMPUTED_VALUE"""),727.0)</f>
        <v>727</v>
      </c>
      <c r="E1232" s="9">
        <f>IFERROR(__xludf.DUMMYFUNCTION("""COMPUTED_VALUE"""),713.2)</f>
        <v>713.2</v>
      </c>
      <c r="F1232" s="9">
        <f>IFERROR(__xludf.DUMMYFUNCTION("""COMPUTED_VALUE"""),719.75)</f>
        <v>719.75</v>
      </c>
      <c r="G1232" s="9">
        <f>IFERROR(__xludf.DUMMYFUNCTION("""COMPUTED_VALUE"""),4849498.0)</f>
        <v>4849498</v>
      </c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>
      <c r="A1233" s="1"/>
      <c r="B1233" s="22">
        <f>IFERROR(__xludf.DUMMYFUNCTION("""COMPUTED_VALUE"""),43364.64583333333)</f>
        <v>43364.64583</v>
      </c>
      <c r="C1233" s="9">
        <f>IFERROR(__xludf.DUMMYFUNCTION("""COMPUTED_VALUE"""),713.85)</f>
        <v>713.85</v>
      </c>
      <c r="D1233" s="9">
        <f>IFERROR(__xludf.DUMMYFUNCTION("""COMPUTED_VALUE"""),717.4)</f>
        <v>717.4</v>
      </c>
      <c r="E1233" s="9">
        <f>IFERROR(__xludf.DUMMYFUNCTION("""COMPUTED_VALUE"""),692.0)</f>
        <v>692</v>
      </c>
      <c r="F1233" s="9">
        <f>IFERROR(__xludf.DUMMYFUNCTION("""COMPUTED_VALUE"""),705.3)</f>
        <v>705.3</v>
      </c>
      <c r="G1233" s="9">
        <f>IFERROR(__xludf.DUMMYFUNCTION("""COMPUTED_VALUE"""),1.4350769E7)</f>
        <v>14350769</v>
      </c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>
      <c r="A1234" s="1"/>
      <c r="B1234" s="22">
        <f>IFERROR(__xludf.DUMMYFUNCTION("""COMPUTED_VALUE"""),43367.64583333333)</f>
        <v>43367.64583</v>
      </c>
      <c r="C1234" s="9">
        <f>IFERROR(__xludf.DUMMYFUNCTION("""COMPUTED_VALUE"""),706.5)</f>
        <v>706.5</v>
      </c>
      <c r="D1234" s="9">
        <f>IFERROR(__xludf.DUMMYFUNCTION("""COMPUTED_VALUE"""),729.95)</f>
        <v>729.95</v>
      </c>
      <c r="E1234" s="9">
        <f>IFERROR(__xludf.DUMMYFUNCTION("""COMPUTED_VALUE"""),706.5)</f>
        <v>706.5</v>
      </c>
      <c r="F1234" s="9">
        <f>IFERROR(__xludf.DUMMYFUNCTION("""COMPUTED_VALUE"""),718.25)</f>
        <v>718.25</v>
      </c>
      <c r="G1234" s="9">
        <f>IFERROR(__xludf.DUMMYFUNCTION("""COMPUTED_VALUE"""),8637881.0)</f>
        <v>8637881</v>
      </c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</row>
    <row r="1235">
      <c r="A1235" s="1"/>
      <c r="B1235" s="22">
        <f>IFERROR(__xludf.DUMMYFUNCTION("""COMPUTED_VALUE"""),43368.64583333333)</f>
        <v>43368.64583</v>
      </c>
      <c r="C1235" s="9">
        <f>IFERROR(__xludf.DUMMYFUNCTION("""COMPUTED_VALUE"""),718.25)</f>
        <v>718.25</v>
      </c>
      <c r="D1235" s="9">
        <f>IFERROR(__xludf.DUMMYFUNCTION("""COMPUTED_VALUE"""),736.0)</f>
        <v>736</v>
      </c>
      <c r="E1235" s="9">
        <f>IFERROR(__xludf.DUMMYFUNCTION("""COMPUTED_VALUE"""),717.0)</f>
        <v>717</v>
      </c>
      <c r="F1235" s="9">
        <f>IFERROR(__xludf.DUMMYFUNCTION("""COMPUTED_VALUE"""),726.2)</f>
        <v>726.2</v>
      </c>
      <c r="G1235" s="9">
        <f>IFERROR(__xludf.DUMMYFUNCTION("""COMPUTED_VALUE"""),9602273.0)</f>
        <v>9602273</v>
      </c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</row>
    <row r="1236">
      <c r="A1236" s="1"/>
      <c r="B1236" s="22">
        <f>IFERROR(__xludf.DUMMYFUNCTION("""COMPUTED_VALUE"""),43369.64583333333)</f>
        <v>43369.64583</v>
      </c>
      <c r="C1236" s="9">
        <f>IFERROR(__xludf.DUMMYFUNCTION("""COMPUTED_VALUE"""),731.2)</f>
        <v>731.2</v>
      </c>
      <c r="D1236" s="9">
        <f>IFERROR(__xludf.DUMMYFUNCTION("""COMPUTED_VALUE"""),731.85)</f>
        <v>731.85</v>
      </c>
      <c r="E1236" s="9">
        <f>IFERROR(__xludf.DUMMYFUNCTION("""COMPUTED_VALUE"""),712.0)</f>
        <v>712</v>
      </c>
      <c r="F1236" s="9">
        <f>IFERROR(__xludf.DUMMYFUNCTION("""COMPUTED_VALUE"""),717.85)</f>
        <v>717.85</v>
      </c>
      <c r="G1236" s="9">
        <f>IFERROR(__xludf.DUMMYFUNCTION("""COMPUTED_VALUE"""),6599606.0)</f>
        <v>6599606</v>
      </c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</row>
    <row r="1237">
      <c r="A1237" s="1"/>
      <c r="B1237" s="22">
        <f>IFERROR(__xludf.DUMMYFUNCTION("""COMPUTED_VALUE"""),43370.64583333333)</f>
        <v>43370.64583</v>
      </c>
      <c r="C1237" s="9">
        <f>IFERROR(__xludf.DUMMYFUNCTION("""COMPUTED_VALUE"""),722.0)</f>
        <v>722</v>
      </c>
      <c r="D1237" s="9">
        <f>IFERROR(__xludf.DUMMYFUNCTION("""COMPUTED_VALUE"""),730.8)</f>
        <v>730.8</v>
      </c>
      <c r="E1237" s="9">
        <f>IFERROR(__xludf.DUMMYFUNCTION("""COMPUTED_VALUE"""),717.45)</f>
        <v>717.45</v>
      </c>
      <c r="F1237" s="9">
        <f>IFERROR(__xludf.DUMMYFUNCTION("""COMPUTED_VALUE"""),724.8)</f>
        <v>724.8</v>
      </c>
      <c r="G1237" s="9">
        <f>IFERROR(__xludf.DUMMYFUNCTION("""COMPUTED_VALUE"""),1.4592616E7)</f>
        <v>14592616</v>
      </c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</row>
    <row r="1238">
      <c r="A1238" s="1"/>
      <c r="B1238" s="22">
        <f>IFERROR(__xludf.DUMMYFUNCTION("""COMPUTED_VALUE"""),43371.64583333333)</f>
        <v>43371.64583</v>
      </c>
      <c r="C1238" s="9">
        <f>IFERROR(__xludf.DUMMYFUNCTION("""COMPUTED_VALUE"""),721.0)</f>
        <v>721</v>
      </c>
      <c r="D1238" s="9">
        <f>IFERROR(__xludf.DUMMYFUNCTION("""COMPUTED_VALUE"""),734.55)</f>
        <v>734.55</v>
      </c>
      <c r="E1238" s="9">
        <f>IFERROR(__xludf.DUMMYFUNCTION("""COMPUTED_VALUE"""),715.2)</f>
        <v>715.2</v>
      </c>
      <c r="F1238" s="9">
        <f>IFERROR(__xludf.DUMMYFUNCTION("""COMPUTED_VALUE"""),730.05)</f>
        <v>730.05</v>
      </c>
      <c r="G1238" s="9">
        <f>IFERROR(__xludf.DUMMYFUNCTION("""COMPUTED_VALUE"""),7490031.0)</f>
        <v>7490031</v>
      </c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</row>
    <row r="1239">
      <c r="A1239" s="1"/>
      <c r="B1239" s="22">
        <f>IFERROR(__xludf.DUMMYFUNCTION("""COMPUTED_VALUE"""),43374.64583333333)</f>
        <v>43374.64583</v>
      </c>
      <c r="C1239" s="9">
        <f>IFERROR(__xludf.DUMMYFUNCTION("""COMPUTED_VALUE"""),737.5)</f>
        <v>737.5</v>
      </c>
      <c r="D1239" s="9">
        <f>IFERROR(__xludf.DUMMYFUNCTION("""COMPUTED_VALUE"""),754.9)</f>
        <v>754.9</v>
      </c>
      <c r="E1239" s="9">
        <f>IFERROR(__xludf.DUMMYFUNCTION("""COMPUTED_VALUE"""),733.0)</f>
        <v>733</v>
      </c>
      <c r="F1239" s="9">
        <f>IFERROR(__xludf.DUMMYFUNCTION("""COMPUTED_VALUE"""),746.65)</f>
        <v>746.65</v>
      </c>
      <c r="G1239" s="9">
        <f>IFERROR(__xludf.DUMMYFUNCTION("""COMPUTED_VALUE"""),8252398.0)</f>
        <v>8252398</v>
      </c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</row>
    <row r="1240">
      <c r="A1240" s="1"/>
      <c r="B1240" s="22">
        <f>IFERROR(__xludf.DUMMYFUNCTION("""COMPUTED_VALUE"""),43376.64583333333)</f>
        <v>43376.64583</v>
      </c>
      <c r="C1240" s="9">
        <f>IFERROR(__xludf.DUMMYFUNCTION("""COMPUTED_VALUE"""),743.8)</f>
        <v>743.8</v>
      </c>
      <c r="D1240" s="9">
        <f>IFERROR(__xludf.DUMMYFUNCTION("""COMPUTED_VALUE"""),751.95)</f>
        <v>751.95</v>
      </c>
      <c r="E1240" s="9">
        <f>IFERROR(__xludf.DUMMYFUNCTION("""COMPUTED_VALUE"""),726.3)</f>
        <v>726.3</v>
      </c>
      <c r="F1240" s="9">
        <f>IFERROR(__xludf.DUMMYFUNCTION("""COMPUTED_VALUE"""),728.5)</f>
        <v>728.5</v>
      </c>
      <c r="G1240" s="9">
        <f>IFERROR(__xludf.DUMMYFUNCTION("""COMPUTED_VALUE"""),7792464.0)</f>
        <v>7792464</v>
      </c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</row>
    <row r="1241">
      <c r="A1241" s="1"/>
      <c r="B1241" s="22">
        <f>IFERROR(__xludf.DUMMYFUNCTION("""COMPUTED_VALUE"""),43377.64583333333)</f>
        <v>43377.64583</v>
      </c>
      <c r="C1241" s="9">
        <f>IFERROR(__xludf.DUMMYFUNCTION("""COMPUTED_VALUE"""),728.5)</f>
        <v>728.5</v>
      </c>
      <c r="D1241" s="9">
        <f>IFERROR(__xludf.DUMMYFUNCTION("""COMPUTED_VALUE"""),729.75)</f>
        <v>729.75</v>
      </c>
      <c r="E1241" s="9">
        <f>IFERROR(__xludf.DUMMYFUNCTION("""COMPUTED_VALUE"""),702.5)</f>
        <v>702.5</v>
      </c>
      <c r="F1241" s="9">
        <f>IFERROR(__xludf.DUMMYFUNCTION("""COMPUTED_VALUE"""),707.2)</f>
        <v>707.2</v>
      </c>
      <c r="G1241" s="9">
        <f>IFERROR(__xludf.DUMMYFUNCTION("""COMPUTED_VALUE"""),6173037.0)</f>
        <v>6173037</v>
      </c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</row>
    <row r="1242">
      <c r="A1242" s="1"/>
      <c r="B1242" s="22">
        <f>IFERROR(__xludf.DUMMYFUNCTION("""COMPUTED_VALUE"""),43378.64583333333)</f>
        <v>43378.64583</v>
      </c>
      <c r="C1242" s="9">
        <f>IFERROR(__xludf.DUMMYFUNCTION("""COMPUTED_VALUE"""),713.0)</f>
        <v>713</v>
      </c>
      <c r="D1242" s="9">
        <f>IFERROR(__xludf.DUMMYFUNCTION("""COMPUTED_VALUE"""),731.5)</f>
        <v>731.5</v>
      </c>
      <c r="E1242" s="9">
        <f>IFERROR(__xludf.DUMMYFUNCTION("""COMPUTED_VALUE"""),709.3)</f>
        <v>709.3</v>
      </c>
      <c r="F1242" s="9">
        <f>IFERROR(__xludf.DUMMYFUNCTION("""COMPUTED_VALUE"""),724.6)</f>
        <v>724.6</v>
      </c>
      <c r="G1242" s="9">
        <f>IFERROR(__xludf.DUMMYFUNCTION("""COMPUTED_VALUE"""),8543578.0)</f>
        <v>8543578</v>
      </c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</row>
    <row r="1243">
      <c r="A1243" s="1"/>
      <c r="B1243" s="22">
        <f>IFERROR(__xludf.DUMMYFUNCTION("""COMPUTED_VALUE"""),43381.64583333333)</f>
        <v>43381.64583</v>
      </c>
      <c r="C1243" s="9">
        <f>IFERROR(__xludf.DUMMYFUNCTION("""COMPUTED_VALUE"""),725.05)</f>
        <v>725.05</v>
      </c>
      <c r="D1243" s="9">
        <f>IFERROR(__xludf.DUMMYFUNCTION("""COMPUTED_VALUE"""),728.7)</f>
        <v>728.7</v>
      </c>
      <c r="E1243" s="9">
        <f>IFERROR(__xludf.DUMMYFUNCTION("""COMPUTED_VALUE"""),709.25)</f>
        <v>709.25</v>
      </c>
      <c r="F1243" s="9">
        <f>IFERROR(__xludf.DUMMYFUNCTION("""COMPUTED_VALUE"""),714.45)</f>
        <v>714.45</v>
      </c>
      <c r="G1243" s="9">
        <f>IFERROR(__xludf.DUMMYFUNCTION("""COMPUTED_VALUE"""),7259306.0)</f>
        <v>7259306</v>
      </c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</row>
    <row r="1244">
      <c r="A1244" s="1"/>
      <c r="B1244" s="22">
        <f>IFERROR(__xludf.DUMMYFUNCTION("""COMPUTED_VALUE"""),43382.64583333333)</f>
        <v>43382.64583</v>
      </c>
      <c r="C1244" s="9">
        <f>IFERROR(__xludf.DUMMYFUNCTION("""COMPUTED_VALUE"""),717.1)</f>
        <v>717.1</v>
      </c>
      <c r="D1244" s="9">
        <f>IFERROR(__xludf.DUMMYFUNCTION("""COMPUTED_VALUE"""),722.4)</f>
        <v>722.4</v>
      </c>
      <c r="E1244" s="9">
        <f>IFERROR(__xludf.DUMMYFUNCTION("""COMPUTED_VALUE"""),702.65)</f>
        <v>702.65</v>
      </c>
      <c r="F1244" s="9">
        <f>IFERROR(__xludf.DUMMYFUNCTION("""COMPUTED_VALUE"""),717.75)</f>
        <v>717.75</v>
      </c>
      <c r="G1244" s="9">
        <f>IFERROR(__xludf.DUMMYFUNCTION("""COMPUTED_VALUE"""),6777212.0)</f>
        <v>6777212</v>
      </c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</row>
    <row r="1245">
      <c r="A1245" s="1"/>
      <c r="B1245" s="22">
        <f>IFERROR(__xludf.DUMMYFUNCTION("""COMPUTED_VALUE"""),43383.64583333333)</f>
        <v>43383.64583</v>
      </c>
      <c r="C1245" s="9">
        <f>IFERROR(__xludf.DUMMYFUNCTION("""COMPUTED_VALUE"""),719.9)</f>
        <v>719.9</v>
      </c>
      <c r="D1245" s="9">
        <f>IFERROR(__xludf.DUMMYFUNCTION("""COMPUTED_VALUE"""),719.9)</f>
        <v>719.9</v>
      </c>
      <c r="E1245" s="9">
        <f>IFERROR(__xludf.DUMMYFUNCTION("""COMPUTED_VALUE"""),695.4)</f>
        <v>695.4</v>
      </c>
      <c r="F1245" s="9">
        <f>IFERROR(__xludf.DUMMYFUNCTION("""COMPUTED_VALUE"""),700.45)</f>
        <v>700.45</v>
      </c>
      <c r="G1245" s="9">
        <f>IFERROR(__xludf.DUMMYFUNCTION("""COMPUTED_VALUE"""),8866251.0)</f>
        <v>8866251</v>
      </c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</row>
    <row r="1246">
      <c r="A1246" s="1"/>
      <c r="B1246" s="22">
        <f>IFERROR(__xludf.DUMMYFUNCTION("""COMPUTED_VALUE"""),43384.64583333333)</f>
        <v>43384.64583</v>
      </c>
      <c r="C1246" s="9">
        <f>IFERROR(__xludf.DUMMYFUNCTION("""COMPUTED_VALUE"""),685.0)</f>
        <v>685</v>
      </c>
      <c r="D1246" s="9">
        <f>IFERROR(__xludf.DUMMYFUNCTION("""COMPUTED_VALUE"""),692.9)</f>
        <v>692.9</v>
      </c>
      <c r="E1246" s="9">
        <f>IFERROR(__xludf.DUMMYFUNCTION("""COMPUTED_VALUE"""),663.3)</f>
        <v>663.3</v>
      </c>
      <c r="F1246" s="9">
        <f>IFERROR(__xludf.DUMMYFUNCTION("""COMPUTED_VALUE"""),673.35)</f>
        <v>673.35</v>
      </c>
      <c r="G1246" s="9">
        <f>IFERROR(__xludf.DUMMYFUNCTION("""COMPUTED_VALUE"""),1.0985897E7)</f>
        <v>10985897</v>
      </c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</row>
    <row r="1247">
      <c r="A1247" s="1"/>
      <c r="B1247" s="22">
        <f>IFERROR(__xludf.DUMMYFUNCTION("""COMPUTED_VALUE"""),43385.64583333333)</f>
        <v>43385.64583</v>
      </c>
      <c r="C1247" s="9">
        <f>IFERROR(__xludf.DUMMYFUNCTION("""COMPUTED_VALUE"""),676.4)</f>
        <v>676.4</v>
      </c>
      <c r="D1247" s="9">
        <f>IFERROR(__xludf.DUMMYFUNCTION("""COMPUTED_VALUE"""),684.05)</f>
        <v>684.05</v>
      </c>
      <c r="E1247" s="9">
        <f>IFERROR(__xludf.DUMMYFUNCTION("""COMPUTED_VALUE"""),661.5)</f>
        <v>661.5</v>
      </c>
      <c r="F1247" s="9">
        <f>IFERROR(__xludf.DUMMYFUNCTION("""COMPUTED_VALUE"""),678.8)</f>
        <v>678.8</v>
      </c>
      <c r="G1247" s="9">
        <f>IFERROR(__xludf.DUMMYFUNCTION("""COMPUTED_VALUE"""),8909221.0)</f>
        <v>8909221</v>
      </c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</row>
    <row r="1248">
      <c r="A1248" s="1"/>
      <c r="B1248" s="22">
        <f>IFERROR(__xludf.DUMMYFUNCTION("""COMPUTED_VALUE"""),43388.64583333333)</f>
        <v>43388.64583</v>
      </c>
      <c r="C1248" s="9">
        <f>IFERROR(__xludf.DUMMYFUNCTION("""COMPUTED_VALUE"""),688.6)</f>
        <v>688.6</v>
      </c>
      <c r="D1248" s="9">
        <f>IFERROR(__xludf.DUMMYFUNCTION("""COMPUTED_VALUE"""),705.0)</f>
        <v>705</v>
      </c>
      <c r="E1248" s="9">
        <f>IFERROR(__xludf.DUMMYFUNCTION("""COMPUTED_VALUE"""),681.5)</f>
        <v>681.5</v>
      </c>
      <c r="F1248" s="9">
        <f>IFERROR(__xludf.DUMMYFUNCTION("""COMPUTED_VALUE"""),698.8)</f>
        <v>698.8</v>
      </c>
      <c r="G1248" s="9">
        <f>IFERROR(__xludf.DUMMYFUNCTION("""COMPUTED_VALUE"""),6222176.0)</f>
        <v>6222176</v>
      </c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</row>
    <row r="1249">
      <c r="A1249" s="1"/>
      <c r="B1249" s="22">
        <f>IFERROR(__xludf.DUMMYFUNCTION("""COMPUTED_VALUE"""),43389.64583333333)</f>
        <v>43389.64583</v>
      </c>
      <c r="C1249" s="9">
        <f>IFERROR(__xludf.DUMMYFUNCTION("""COMPUTED_VALUE"""),710.0)</f>
        <v>710</v>
      </c>
      <c r="D1249" s="9">
        <f>IFERROR(__xludf.DUMMYFUNCTION("""COMPUTED_VALUE"""),713.9)</f>
        <v>713.9</v>
      </c>
      <c r="E1249" s="9">
        <f>IFERROR(__xludf.DUMMYFUNCTION("""COMPUTED_VALUE"""),689.4)</f>
        <v>689.4</v>
      </c>
      <c r="F1249" s="9">
        <f>IFERROR(__xludf.DUMMYFUNCTION("""COMPUTED_VALUE"""),695.25)</f>
        <v>695.25</v>
      </c>
      <c r="G1249" s="9">
        <f>IFERROR(__xludf.DUMMYFUNCTION("""COMPUTED_VALUE"""),1.1588963E7)</f>
        <v>11588963</v>
      </c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</row>
    <row r="1250">
      <c r="A1250" s="1"/>
      <c r="B1250" s="22">
        <f>IFERROR(__xludf.DUMMYFUNCTION("""COMPUTED_VALUE"""),43390.64583333333)</f>
        <v>43390.64583</v>
      </c>
      <c r="C1250" s="9">
        <f>IFERROR(__xludf.DUMMYFUNCTION("""COMPUTED_VALUE"""),710.0)</f>
        <v>710</v>
      </c>
      <c r="D1250" s="9">
        <f>IFERROR(__xludf.DUMMYFUNCTION("""COMPUTED_VALUE"""),721.8)</f>
        <v>721.8</v>
      </c>
      <c r="E1250" s="9">
        <f>IFERROR(__xludf.DUMMYFUNCTION("""COMPUTED_VALUE"""),701.35)</f>
        <v>701.35</v>
      </c>
      <c r="F1250" s="9">
        <f>IFERROR(__xludf.DUMMYFUNCTION("""COMPUTED_VALUE"""),705.35)</f>
        <v>705.35</v>
      </c>
      <c r="G1250" s="9">
        <f>IFERROR(__xludf.DUMMYFUNCTION("""COMPUTED_VALUE"""),2.0360697E7)</f>
        <v>20360697</v>
      </c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</row>
    <row r="1251">
      <c r="A1251" s="1"/>
      <c r="B1251" s="22">
        <f>IFERROR(__xludf.DUMMYFUNCTION("""COMPUTED_VALUE"""),43392.64583333333)</f>
        <v>43392.64583</v>
      </c>
      <c r="C1251" s="9">
        <f>IFERROR(__xludf.DUMMYFUNCTION("""COMPUTED_VALUE"""),687.0)</f>
        <v>687</v>
      </c>
      <c r="D1251" s="9">
        <f>IFERROR(__xludf.DUMMYFUNCTION("""COMPUTED_VALUE"""),687.7)</f>
        <v>687.7</v>
      </c>
      <c r="E1251" s="9">
        <f>IFERROR(__xludf.DUMMYFUNCTION("""COMPUTED_VALUE"""),678.0)</f>
        <v>678</v>
      </c>
      <c r="F1251" s="9">
        <f>IFERROR(__xludf.DUMMYFUNCTION("""COMPUTED_VALUE"""),683.55)</f>
        <v>683.55</v>
      </c>
      <c r="G1251" s="9">
        <f>IFERROR(__xludf.DUMMYFUNCTION("""COMPUTED_VALUE"""),1.0421001E7)</f>
        <v>10421001</v>
      </c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</row>
    <row r="1252">
      <c r="A1252" s="1"/>
      <c r="B1252" s="22">
        <f>IFERROR(__xludf.DUMMYFUNCTION("""COMPUTED_VALUE"""),43395.64583333333)</f>
        <v>43395.64583</v>
      </c>
      <c r="C1252" s="9">
        <f>IFERROR(__xludf.DUMMYFUNCTION("""COMPUTED_VALUE"""),688.7)</f>
        <v>688.7</v>
      </c>
      <c r="D1252" s="9">
        <f>IFERROR(__xludf.DUMMYFUNCTION("""COMPUTED_VALUE"""),695.05)</f>
        <v>695.05</v>
      </c>
      <c r="E1252" s="9">
        <f>IFERROR(__xludf.DUMMYFUNCTION("""COMPUTED_VALUE"""),673.8)</f>
        <v>673.8</v>
      </c>
      <c r="F1252" s="9">
        <f>IFERROR(__xludf.DUMMYFUNCTION("""COMPUTED_VALUE"""),679.95)</f>
        <v>679.95</v>
      </c>
      <c r="G1252" s="9">
        <f>IFERROR(__xludf.DUMMYFUNCTION("""COMPUTED_VALUE"""),6672840.0)</f>
        <v>6672840</v>
      </c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</row>
    <row r="1253">
      <c r="A1253" s="1"/>
      <c r="B1253" s="22">
        <f>IFERROR(__xludf.DUMMYFUNCTION("""COMPUTED_VALUE"""),43396.64583333333)</f>
        <v>43396.64583</v>
      </c>
      <c r="C1253" s="9">
        <f>IFERROR(__xludf.DUMMYFUNCTION("""COMPUTED_VALUE"""),675.95)</f>
        <v>675.95</v>
      </c>
      <c r="D1253" s="9">
        <f>IFERROR(__xludf.DUMMYFUNCTION("""COMPUTED_VALUE"""),682.0)</f>
        <v>682</v>
      </c>
      <c r="E1253" s="9">
        <f>IFERROR(__xludf.DUMMYFUNCTION("""COMPUTED_VALUE"""),653.3)</f>
        <v>653.3</v>
      </c>
      <c r="F1253" s="9">
        <f>IFERROR(__xludf.DUMMYFUNCTION("""COMPUTED_VALUE"""),657.6)</f>
        <v>657.6</v>
      </c>
      <c r="G1253" s="9">
        <f>IFERROR(__xludf.DUMMYFUNCTION("""COMPUTED_VALUE"""),9041701.0)</f>
        <v>9041701</v>
      </c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</row>
    <row r="1254">
      <c r="A1254" s="1"/>
      <c r="B1254" s="22">
        <f>IFERROR(__xludf.DUMMYFUNCTION("""COMPUTED_VALUE"""),43397.64583333333)</f>
        <v>43397.64583</v>
      </c>
      <c r="C1254" s="9">
        <f>IFERROR(__xludf.DUMMYFUNCTION("""COMPUTED_VALUE"""),663.0)</f>
        <v>663</v>
      </c>
      <c r="D1254" s="9">
        <f>IFERROR(__xludf.DUMMYFUNCTION("""COMPUTED_VALUE"""),666.5)</f>
        <v>666.5</v>
      </c>
      <c r="E1254" s="9">
        <f>IFERROR(__xludf.DUMMYFUNCTION("""COMPUTED_VALUE"""),647.15)</f>
        <v>647.15</v>
      </c>
      <c r="F1254" s="9">
        <f>IFERROR(__xludf.DUMMYFUNCTION("""COMPUTED_VALUE"""),649.8)</f>
        <v>649.8</v>
      </c>
      <c r="G1254" s="9">
        <f>IFERROR(__xludf.DUMMYFUNCTION("""COMPUTED_VALUE"""),7058164.0)</f>
        <v>7058164</v>
      </c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</row>
    <row r="1255">
      <c r="A1255" s="1"/>
      <c r="B1255" s="22">
        <f>IFERROR(__xludf.DUMMYFUNCTION("""COMPUTED_VALUE"""),43398.64583333333)</f>
        <v>43398.64583</v>
      </c>
      <c r="C1255" s="9">
        <f>IFERROR(__xludf.DUMMYFUNCTION("""COMPUTED_VALUE"""),643.0)</f>
        <v>643</v>
      </c>
      <c r="D1255" s="9">
        <f>IFERROR(__xludf.DUMMYFUNCTION("""COMPUTED_VALUE"""),656.35)</f>
        <v>656.35</v>
      </c>
      <c r="E1255" s="9">
        <f>IFERROR(__xludf.DUMMYFUNCTION("""COMPUTED_VALUE"""),636.25)</f>
        <v>636.25</v>
      </c>
      <c r="F1255" s="9">
        <f>IFERROR(__xludf.DUMMYFUNCTION("""COMPUTED_VALUE"""),648.75)</f>
        <v>648.75</v>
      </c>
      <c r="G1255" s="9">
        <f>IFERROR(__xludf.DUMMYFUNCTION("""COMPUTED_VALUE"""),8270469.0)</f>
        <v>8270469</v>
      </c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</row>
    <row r="1256">
      <c r="A1256" s="1"/>
      <c r="B1256" s="22">
        <f>IFERROR(__xludf.DUMMYFUNCTION("""COMPUTED_VALUE"""),43399.64583333333)</f>
        <v>43399.64583</v>
      </c>
      <c r="C1256" s="9">
        <f>IFERROR(__xludf.DUMMYFUNCTION("""COMPUTED_VALUE"""),645.3)</f>
        <v>645.3</v>
      </c>
      <c r="D1256" s="9">
        <f>IFERROR(__xludf.DUMMYFUNCTION("""COMPUTED_VALUE"""),648.7)</f>
        <v>648.7</v>
      </c>
      <c r="E1256" s="9">
        <f>IFERROR(__xludf.DUMMYFUNCTION("""COMPUTED_VALUE"""),629.9)</f>
        <v>629.9</v>
      </c>
      <c r="F1256" s="9">
        <f>IFERROR(__xludf.DUMMYFUNCTION("""COMPUTED_VALUE"""),633.6)</f>
        <v>633.6</v>
      </c>
      <c r="G1256" s="9">
        <f>IFERROR(__xludf.DUMMYFUNCTION("""COMPUTED_VALUE"""),5464141.0)</f>
        <v>5464141</v>
      </c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</row>
    <row r="1257">
      <c r="A1257" s="1"/>
      <c r="B1257" s="22">
        <f>IFERROR(__xludf.DUMMYFUNCTION("""COMPUTED_VALUE"""),43402.64583333333)</f>
        <v>43402.64583</v>
      </c>
      <c r="C1257" s="9">
        <f>IFERROR(__xludf.DUMMYFUNCTION("""COMPUTED_VALUE"""),633.7)</f>
        <v>633.7</v>
      </c>
      <c r="D1257" s="9">
        <f>IFERROR(__xludf.DUMMYFUNCTION("""COMPUTED_VALUE"""),650.55)</f>
        <v>650.55</v>
      </c>
      <c r="E1257" s="9">
        <f>IFERROR(__xludf.DUMMYFUNCTION("""COMPUTED_VALUE"""),631.5)</f>
        <v>631.5</v>
      </c>
      <c r="F1257" s="9">
        <f>IFERROR(__xludf.DUMMYFUNCTION("""COMPUTED_VALUE"""),644.75)</f>
        <v>644.75</v>
      </c>
      <c r="G1257" s="9">
        <f>IFERROR(__xludf.DUMMYFUNCTION("""COMPUTED_VALUE"""),7137446.0)</f>
        <v>7137446</v>
      </c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</row>
    <row r="1258">
      <c r="A1258" s="1"/>
      <c r="B1258" s="22">
        <f>IFERROR(__xludf.DUMMYFUNCTION("""COMPUTED_VALUE"""),43403.64583333333)</f>
        <v>43403.64583</v>
      </c>
      <c r="C1258" s="9">
        <f>IFERROR(__xludf.DUMMYFUNCTION("""COMPUTED_VALUE"""),641.1)</f>
        <v>641.1</v>
      </c>
      <c r="D1258" s="9">
        <f>IFERROR(__xludf.DUMMYFUNCTION("""COMPUTED_VALUE"""),663.8)</f>
        <v>663.8</v>
      </c>
      <c r="E1258" s="9">
        <f>IFERROR(__xludf.DUMMYFUNCTION("""COMPUTED_VALUE"""),637.45)</f>
        <v>637.45</v>
      </c>
      <c r="F1258" s="9">
        <f>IFERROR(__xludf.DUMMYFUNCTION("""COMPUTED_VALUE"""),659.6)</f>
        <v>659.6</v>
      </c>
      <c r="G1258" s="9">
        <f>IFERROR(__xludf.DUMMYFUNCTION("""COMPUTED_VALUE"""),8793411.0)</f>
        <v>8793411</v>
      </c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</row>
    <row r="1259">
      <c r="A1259" s="1"/>
      <c r="B1259" s="22">
        <f>IFERROR(__xludf.DUMMYFUNCTION("""COMPUTED_VALUE"""),43404.64583333333)</f>
        <v>43404.64583</v>
      </c>
      <c r="C1259" s="9">
        <f>IFERROR(__xludf.DUMMYFUNCTION("""COMPUTED_VALUE"""),663.9)</f>
        <v>663.9</v>
      </c>
      <c r="D1259" s="9">
        <f>IFERROR(__xludf.DUMMYFUNCTION("""COMPUTED_VALUE"""),692.95)</f>
        <v>692.95</v>
      </c>
      <c r="E1259" s="9">
        <f>IFERROR(__xludf.DUMMYFUNCTION("""COMPUTED_VALUE"""),663.05)</f>
        <v>663.05</v>
      </c>
      <c r="F1259" s="9">
        <f>IFERROR(__xludf.DUMMYFUNCTION("""COMPUTED_VALUE"""),686.4)</f>
        <v>686.4</v>
      </c>
      <c r="G1259" s="9">
        <f>IFERROR(__xludf.DUMMYFUNCTION("""COMPUTED_VALUE"""),1.1947995E7)</f>
        <v>11947995</v>
      </c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</row>
    <row r="1260">
      <c r="A1260" s="1"/>
      <c r="B1260" s="22">
        <f>IFERROR(__xludf.DUMMYFUNCTION("""COMPUTED_VALUE"""),43405.64583333333)</f>
        <v>43405.64583</v>
      </c>
      <c r="C1260" s="9">
        <f>IFERROR(__xludf.DUMMYFUNCTION("""COMPUTED_VALUE"""),689.7)</f>
        <v>689.7</v>
      </c>
      <c r="D1260" s="9">
        <f>IFERROR(__xludf.DUMMYFUNCTION("""COMPUTED_VALUE"""),689.7)</f>
        <v>689.7</v>
      </c>
      <c r="E1260" s="9">
        <f>IFERROR(__xludf.DUMMYFUNCTION("""COMPUTED_VALUE"""),659.6)</f>
        <v>659.6</v>
      </c>
      <c r="F1260" s="9">
        <f>IFERROR(__xludf.DUMMYFUNCTION("""COMPUTED_VALUE"""),666.7)</f>
        <v>666.7</v>
      </c>
      <c r="G1260" s="9">
        <f>IFERROR(__xludf.DUMMYFUNCTION("""COMPUTED_VALUE"""),5860244.0)</f>
        <v>5860244</v>
      </c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</row>
    <row r="1261">
      <c r="A1261" s="1"/>
      <c r="B1261" s="22">
        <f>IFERROR(__xludf.DUMMYFUNCTION("""COMPUTED_VALUE"""),43406.64583333333)</f>
        <v>43406.64583</v>
      </c>
      <c r="C1261" s="9">
        <f>IFERROR(__xludf.DUMMYFUNCTION("""COMPUTED_VALUE"""),665.95)</f>
        <v>665.95</v>
      </c>
      <c r="D1261" s="9">
        <f>IFERROR(__xludf.DUMMYFUNCTION("""COMPUTED_VALUE"""),675.8)</f>
        <v>675.8</v>
      </c>
      <c r="E1261" s="9">
        <f>IFERROR(__xludf.DUMMYFUNCTION("""COMPUTED_VALUE"""),660.1)</f>
        <v>660.1</v>
      </c>
      <c r="F1261" s="9">
        <f>IFERROR(__xludf.DUMMYFUNCTION("""COMPUTED_VALUE"""),662.25)</f>
        <v>662.25</v>
      </c>
      <c r="G1261" s="9">
        <f>IFERROR(__xludf.DUMMYFUNCTION("""COMPUTED_VALUE"""),6654067.0)</f>
        <v>6654067</v>
      </c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</row>
    <row r="1262">
      <c r="A1262" s="1"/>
      <c r="B1262" s="22">
        <f>IFERROR(__xludf.DUMMYFUNCTION("""COMPUTED_VALUE"""),43409.79166666667)</f>
        <v>43409.79167</v>
      </c>
      <c r="C1262" s="9">
        <f>IFERROR(__xludf.DUMMYFUNCTION("""COMPUTED_VALUE"""),663.5)</f>
        <v>663.5</v>
      </c>
      <c r="D1262" s="9">
        <f>IFERROR(__xludf.DUMMYFUNCTION("""COMPUTED_VALUE"""),668.6)</f>
        <v>668.6</v>
      </c>
      <c r="E1262" s="9">
        <f>IFERROR(__xludf.DUMMYFUNCTION("""COMPUTED_VALUE"""),657.0)</f>
        <v>657</v>
      </c>
      <c r="F1262" s="9">
        <f>IFERROR(__xludf.DUMMYFUNCTION("""COMPUTED_VALUE"""),663.7)</f>
        <v>663.7</v>
      </c>
      <c r="G1262" s="9">
        <f>IFERROR(__xludf.DUMMYFUNCTION("""COMPUTED_VALUE"""),5799426.0)</f>
        <v>5799426</v>
      </c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</row>
    <row r="1263">
      <c r="A1263" s="1"/>
      <c r="B1263" s="22">
        <f>IFERROR(__xludf.DUMMYFUNCTION("""COMPUTED_VALUE"""),43410.64583333333)</f>
        <v>43410.64583</v>
      </c>
      <c r="C1263" s="9">
        <f>IFERROR(__xludf.DUMMYFUNCTION("""COMPUTED_VALUE"""),667.9)</f>
        <v>667.9</v>
      </c>
      <c r="D1263" s="9">
        <f>IFERROR(__xludf.DUMMYFUNCTION("""COMPUTED_VALUE"""),675.0)</f>
        <v>675</v>
      </c>
      <c r="E1263" s="9">
        <f>IFERROR(__xludf.DUMMYFUNCTION("""COMPUTED_VALUE"""),660.65)</f>
        <v>660.65</v>
      </c>
      <c r="F1263" s="9">
        <f>IFERROR(__xludf.DUMMYFUNCTION("""COMPUTED_VALUE"""),666.45)</f>
        <v>666.45</v>
      </c>
      <c r="G1263" s="9">
        <f>IFERROR(__xludf.DUMMYFUNCTION("""COMPUTED_VALUE"""),6975525.0)</f>
        <v>6975525</v>
      </c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</row>
    <row r="1264">
      <c r="A1264" s="1"/>
      <c r="B1264" s="22">
        <f>IFERROR(__xludf.DUMMYFUNCTION("""COMPUTED_VALUE"""),43413.64583333333)</f>
        <v>43413.64583</v>
      </c>
      <c r="C1264" s="9">
        <f>IFERROR(__xludf.DUMMYFUNCTION("""COMPUTED_VALUE"""),679.0)</f>
        <v>679</v>
      </c>
      <c r="D1264" s="9">
        <f>IFERROR(__xludf.DUMMYFUNCTION("""COMPUTED_VALUE"""),679.0)</f>
        <v>679</v>
      </c>
      <c r="E1264" s="9">
        <f>IFERROR(__xludf.DUMMYFUNCTION("""COMPUTED_VALUE"""),655.5)</f>
        <v>655.5</v>
      </c>
      <c r="F1264" s="9">
        <f>IFERROR(__xludf.DUMMYFUNCTION("""COMPUTED_VALUE"""),659.5)</f>
        <v>659.5</v>
      </c>
      <c r="G1264" s="9">
        <f>IFERROR(__xludf.DUMMYFUNCTION("""COMPUTED_VALUE"""),9694143.0)</f>
        <v>9694143</v>
      </c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</row>
    <row r="1265">
      <c r="A1265" s="1"/>
      <c r="B1265" s="22">
        <f>IFERROR(__xludf.DUMMYFUNCTION("""COMPUTED_VALUE"""),43416.64583333333)</f>
        <v>43416.64583</v>
      </c>
      <c r="C1265" s="9">
        <f>IFERROR(__xludf.DUMMYFUNCTION("""COMPUTED_VALUE"""),666.0)</f>
        <v>666</v>
      </c>
      <c r="D1265" s="9">
        <f>IFERROR(__xludf.DUMMYFUNCTION("""COMPUTED_VALUE"""),676.4)</f>
        <v>676.4</v>
      </c>
      <c r="E1265" s="9">
        <f>IFERROR(__xludf.DUMMYFUNCTION("""COMPUTED_VALUE"""),662.3)</f>
        <v>662.3</v>
      </c>
      <c r="F1265" s="9">
        <f>IFERROR(__xludf.DUMMYFUNCTION("""COMPUTED_VALUE"""),664.2)</f>
        <v>664.2</v>
      </c>
      <c r="G1265" s="9">
        <f>IFERROR(__xludf.DUMMYFUNCTION("""COMPUTED_VALUE"""),7118080.0)</f>
        <v>7118080</v>
      </c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</row>
    <row r="1266">
      <c r="A1266" s="1"/>
      <c r="B1266" s="22">
        <f>IFERROR(__xludf.DUMMYFUNCTION("""COMPUTED_VALUE"""),43417.64583333333)</f>
        <v>43417.64583</v>
      </c>
      <c r="C1266" s="9">
        <f>IFERROR(__xludf.DUMMYFUNCTION("""COMPUTED_VALUE"""),663.5)</f>
        <v>663.5</v>
      </c>
      <c r="D1266" s="9">
        <f>IFERROR(__xludf.DUMMYFUNCTION("""COMPUTED_VALUE"""),667.75)</f>
        <v>667.75</v>
      </c>
      <c r="E1266" s="9">
        <f>IFERROR(__xludf.DUMMYFUNCTION("""COMPUTED_VALUE"""),656.3)</f>
        <v>656.3</v>
      </c>
      <c r="F1266" s="9">
        <f>IFERROR(__xludf.DUMMYFUNCTION("""COMPUTED_VALUE"""),665.7)</f>
        <v>665.7</v>
      </c>
      <c r="G1266" s="9">
        <f>IFERROR(__xludf.DUMMYFUNCTION("""COMPUTED_VALUE"""),4137808.0)</f>
        <v>4137808</v>
      </c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</row>
    <row r="1267">
      <c r="A1267" s="1"/>
      <c r="B1267" s="22">
        <f>IFERROR(__xludf.DUMMYFUNCTION("""COMPUTED_VALUE"""),43418.64583333333)</f>
        <v>43418.64583</v>
      </c>
      <c r="C1267" s="9">
        <f>IFERROR(__xludf.DUMMYFUNCTION("""COMPUTED_VALUE"""),665.7)</f>
        <v>665.7</v>
      </c>
      <c r="D1267" s="9">
        <f>IFERROR(__xludf.DUMMYFUNCTION("""COMPUTED_VALUE"""),665.7)</f>
        <v>665.7</v>
      </c>
      <c r="E1267" s="9">
        <f>IFERROR(__xludf.DUMMYFUNCTION("""COMPUTED_VALUE"""),640.5)</f>
        <v>640.5</v>
      </c>
      <c r="F1267" s="9">
        <f>IFERROR(__xludf.DUMMYFUNCTION("""COMPUTED_VALUE"""),653.2)</f>
        <v>653.2</v>
      </c>
      <c r="G1267" s="9">
        <f>IFERROR(__xludf.DUMMYFUNCTION("""COMPUTED_VALUE"""),7323026.0)</f>
        <v>7323026</v>
      </c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</row>
    <row r="1268">
      <c r="A1268" s="1"/>
      <c r="B1268" s="22">
        <f>IFERROR(__xludf.DUMMYFUNCTION("""COMPUTED_VALUE"""),43419.64583333333)</f>
        <v>43419.64583</v>
      </c>
      <c r="C1268" s="9">
        <f>IFERROR(__xludf.DUMMYFUNCTION("""COMPUTED_VALUE"""),654.0)</f>
        <v>654</v>
      </c>
      <c r="D1268" s="9">
        <f>IFERROR(__xludf.DUMMYFUNCTION("""COMPUTED_VALUE"""),666.0)</f>
        <v>666</v>
      </c>
      <c r="E1268" s="9">
        <f>IFERROR(__xludf.DUMMYFUNCTION("""COMPUTED_VALUE"""),646.7)</f>
        <v>646.7</v>
      </c>
      <c r="F1268" s="9">
        <f>IFERROR(__xludf.DUMMYFUNCTION("""COMPUTED_VALUE"""),656.4)</f>
        <v>656.4</v>
      </c>
      <c r="G1268" s="9">
        <f>IFERROR(__xludf.DUMMYFUNCTION("""COMPUTED_VALUE"""),5513390.0)</f>
        <v>5513390</v>
      </c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</row>
    <row r="1269">
      <c r="A1269" s="1"/>
      <c r="B1269" s="22">
        <f>IFERROR(__xludf.DUMMYFUNCTION("""COMPUTED_VALUE"""),43420.64583333333)</f>
        <v>43420.64583</v>
      </c>
      <c r="C1269" s="9">
        <f>IFERROR(__xludf.DUMMYFUNCTION("""COMPUTED_VALUE"""),659.9)</f>
        <v>659.9</v>
      </c>
      <c r="D1269" s="9">
        <f>IFERROR(__xludf.DUMMYFUNCTION("""COMPUTED_VALUE"""),662.5)</f>
        <v>662.5</v>
      </c>
      <c r="E1269" s="9">
        <f>IFERROR(__xludf.DUMMYFUNCTION("""COMPUTED_VALUE"""),644.2)</f>
        <v>644.2</v>
      </c>
      <c r="F1269" s="9">
        <f>IFERROR(__xludf.DUMMYFUNCTION("""COMPUTED_VALUE"""),650.85)</f>
        <v>650.85</v>
      </c>
      <c r="G1269" s="9">
        <f>IFERROR(__xludf.DUMMYFUNCTION("""COMPUTED_VALUE"""),8583785.0)</f>
        <v>8583785</v>
      </c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</row>
    <row r="1270">
      <c r="A1270" s="1"/>
      <c r="B1270" s="22">
        <f>IFERROR(__xludf.DUMMYFUNCTION("""COMPUTED_VALUE"""),43423.64583333333)</f>
        <v>43423.64583</v>
      </c>
      <c r="C1270" s="9">
        <f>IFERROR(__xludf.DUMMYFUNCTION("""COMPUTED_VALUE"""),659.0)</f>
        <v>659</v>
      </c>
      <c r="D1270" s="9">
        <f>IFERROR(__xludf.DUMMYFUNCTION("""COMPUTED_VALUE"""),662.0)</f>
        <v>662</v>
      </c>
      <c r="E1270" s="9">
        <f>IFERROR(__xludf.DUMMYFUNCTION("""COMPUTED_VALUE"""),649.25)</f>
        <v>649.25</v>
      </c>
      <c r="F1270" s="9">
        <f>IFERROR(__xludf.DUMMYFUNCTION("""COMPUTED_VALUE"""),651.7)</f>
        <v>651.7</v>
      </c>
      <c r="G1270" s="9">
        <f>IFERROR(__xludf.DUMMYFUNCTION("""COMPUTED_VALUE"""),6018930.0)</f>
        <v>6018930</v>
      </c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</row>
    <row r="1271">
      <c r="A1271" s="1"/>
      <c r="B1271" s="22">
        <f>IFERROR(__xludf.DUMMYFUNCTION("""COMPUTED_VALUE"""),43424.64583333333)</f>
        <v>43424.64583</v>
      </c>
      <c r="C1271" s="9">
        <f>IFERROR(__xludf.DUMMYFUNCTION("""COMPUTED_VALUE"""),651.7)</f>
        <v>651.7</v>
      </c>
      <c r="D1271" s="9">
        <f>IFERROR(__xludf.DUMMYFUNCTION("""COMPUTED_VALUE"""),656.0)</f>
        <v>656</v>
      </c>
      <c r="E1271" s="9">
        <f>IFERROR(__xludf.DUMMYFUNCTION("""COMPUTED_VALUE"""),640.1)</f>
        <v>640.1</v>
      </c>
      <c r="F1271" s="9">
        <f>IFERROR(__xludf.DUMMYFUNCTION("""COMPUTED_VALUE"""),641.4)</f>
        <v>641.4</v>
      </c>
      <c r="G1271" s="9">
        <f>IFERROR(__xludf.DUMMYFUNCTION("""COMPUTED_VALUE"""),5384830.0)</f>
        <v>5384830</v>
      </c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</row>
    <row r="1272">
      <c r="A1272" s="1"/>
      <c r="B1272" s="22">
        <f>IFERROR(__xludf.DUMMYFUNCTION("""COMPUTED_VALUE"""),43425.64583333333)</f>
        <v>43425.64583</v>
      </c>
      <c r="C1272" s="9">
        <f>IFERROR(__xludf.DUMMYFUNCTION("""COMPUTED_VALUE"""),640.0)</f>
        <v>640</v>
      </c>
      <c r="D1272" s="9">
        <f>IFERROR(__xludf.DUMMYFUNCTION("""COMPUTED_VALUE"""),640.05)</f>
        <v>640.05</v>
      </c>
      <c r="E1272" s="9">
        <f>IFERROR(__xludf.DUMMYFUNCTION("""COMPUTED_VALUE"""),612.1)</f>
        <v>612.1</v>
      </c>
      <c r="F1272" s="9">
        <f>IFERROR(__xludf.DUMMYFUNCTION("""COMPUTED_VALUE"""),619.1)</f>
        <v>619.1</v>
      </c>
      <c r="G1272" s="9">
        <f>IFERROR(__xludf.DUMMYFUNCTION("""COMPUTED_VALUE"""),1.4359086E7)</f>
        <v>14359086</v>
      </c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</row>
    <row r="1273">
      <c r="A1273" s="1"/>
      <c r="B1273" s="22">
        <f>IFERROR(__xludf.DUMMYFUNCTION("""COMPUTED_VALUE"""),43426.64583333333)</f>
        <v>43426.64583</v>
      </c>
      <c r="C1273" s="9">
        <f>IFERROR(__xludf.DUMMYFUNCTION("""COMPUTED_VALUE"""),622.25)</f>
        <v>622.25</v>
      </c>
      <c r="D1273" s="9">
        <f>IFERROR(__xludf.DUMMYFUNCTION("""COMPUTED_VALUE"""),628.15)</f>
        <v>628.15</v>
      </c>
      <c r="E1273" s="9">
        <f>IFERROR(__xludf.DUMMYFUNCTION("""COMPUTED_VALUE"""),616.75)</f>
        <v>616.75</v>
      </c>
      <c r="F1273" s="9">
        <f>IFERROR(__xludf.DUMMYFUNCTION("""COMPUTED_VALUE"""),620.75)</f>
        <v>620.75</v>
      </c>
      <c r="G1273" s="9">
        <f>IFERROR(__xludf.DUMMYFUNCTION("""COMPUTED_VALUE"""),6632975.0)</f>
        <v>6632975</v>
      </c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</row>
    <row r="1274">
      <c r="A1274" s="1"/>
      <c r="B1274" s="22">
        <f>IFERROR(__xludf.DUMMYFUNCTION("""COMPUTED_VALUE"""),43430.64583333333)</f>
        <v>43430.64583</v>
      </c>
      <c r="C1274" s="9">
        <f>IFERROR(__xludf.DUMMYFUNCTION("""COMPUTED_VALUE"""),621.0)</f>
        <v>621</v>
      </c>
      <c r="D1274" s="9">
        <f>IFERROR(__xludf.DUMMYFUNCTION("""COMPUTED_VALUE"""),628.0)</f>
        <v>628</v>
      </c>
      <c r="E1274" s="9">
        <f>IFERROR(__xludf.DUMMYFUNCTION("""COMPUTED_VALUE"""),599.85)</f>
        <v>599.85</v>
      </c>
      <c r="F1274" s="9">
        <f>IFERROR(__xludf.DUMMYFUNCTION("""COMPUTED_VALUE"""),621.45)</f>
        <v>621.45</v>
      </c>
      <c r="G1274" s="9">
        <f>IFERROR(__xludf.DUMMYFUNCTION("""COMPUTED_VALUE"""),1.5075209E7)</f>
        <v>15075209</v>
      </c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</row>
    <row r="1275">
      <c r="A1275" s="1"/>
      <c r="B1275" s="22">
        <f>IFERROR(__xludf.DUMMYFUNCTION("""COMPUTED_VALUE"""),43431.64583333333)</f>
        <v>43431.64583</v>
      </c>
      <c r="C1275" s="9">
        <f>IFERROR(__xludf.DUMMYFUNCTION("""COMPUTED_VALUE"""),625.5)</f>
        <v>625.5</v>
      </c>
      <c r="D1275" s="9">
        <f>IFERROR(__xludf.DUMMYFUNCTION("""COMPUTED_VALUE"""),641.0)</f>
        <v>641</v>
      </c>
      <c r="E1275" s="9">
        <f>IFERROR(__xludf.DUMMYFUNCTION("""COMPUTED_VALUE"""),625.3)</f>
        <v>625.3</v>
      </c>
      <c r="F1275" s="9">
        <f>IFERROR(__xludf.DUMMYFUNCTION("""COMPUTED_VALUE"""),638.9)</f>
        <v>638.9</v>
      </c>
      <c r="G1275" s="9">
        <f>IFERROR(__xludf.DUMMYFUNCTION("""COMPUTED_VALUE"""),1.2285851E7)</f>
        <v>12285851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</row>
    <row r="1276">
      <c r="A1276" s="1"/>
      <c r="B1276" s="22">
        <f>IFERROR(__xludf.DUMMYFUNCTION("""COMPUTED_VALUE"""),43432.64583333333)</f>
        <v>43432.64583</v>
      </c>
      <c r="C1276" s="9">
        <f>IFERROR(__xludf.DUMMYFUNCTION("""COMPUTED_VALUE"""),640.95)</f>
        <v>640.95</v>
      </c>
      <c r="D1276" s="9">
        <f>IFERROR(__xludf.DUMMYFUNCTION("""COMPUTED_VALUE"""),668.7)</f>
        <v>668.7</v>
      </c>
      <c r="E1276" s="9">
        <f>IFERROR(__xludf.DUMMYFUNCTION("""COMPUTED_VALUE"""),640.0)</f>
        <v>640</v>
      </c>
      <c r="F1276" s="9">
        <f>IFERROR(__xludf.DUMMYFUNCTION("""COMPUTED_VALUE"""),666.4)</f>
        <v>666.4</v>
      </c>
      <c r="G1276" s="9">
        <f>IFERROR(__xludf.DUMMYFUNCTION("""COMPUTED_VALUE"""),1.771989E7)</f>
        <v>17719890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</row>
    <row r="1277">
      <c r="A1277" s="1"/>
      <c r="B1277" s="22">
        <f>IFERROR(__xludf.DUMMYFUNCTION("""COMPUTED_VALUE"""),43433.64583333333)</f>
        <v>43433.64583</v>
      </c>
      <c r="C1277" s="9">
        <f>IFERROR(__xludf.DUMMYFUNCTION("""COMPUTED_VALUE"""),671.0)</f>
        <v>671</v>
      </c>
      <c r="D1277" s="9">
        <f>IFERROR(__xludf.DUMMYFUNCTION("""COMPUTED_VALUE"""),674.9)</f>
        <v>674.9</v>
      </c>
      <c r="E1277" s="9">
        <f>IFERROR(__xludf.DUMMYFUNCTION("""COMPUTED_VALUE"""),658.8)</f>
        <v>658.8</v>
      </c>
      <c r="F1277" s="9">
        <f>IFERROR(__xludf.DUMMYFUNCTION("""COMPUTED_VALUE"""),661.05)</f>
        <v>661.05</v>
      </c>
      <c r="G1277" s="9">
        <f>IFERROR(__xludf.DUMMYFUNCTION("""COMPUTED_VALUE"""),1.339907E7)</f>
        <v>13399070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</row>
    <row r="1278">
      <c r="A1278" s="1"/>
      <c r="B1278" s="22">
        <f>IFERROR(__xludf.DUMMYFUNCTION("""COMPUTED_VALUE"""),43434.64583333333)</f>
        <v>43434.64583</v>
      </c>
      <c r="C1278" s="9">
        <f>IFERROR(__xludf.DUMMYFUNCTION("""COMPUTED_VALUE"""),661.0)</f>
        <v>661</v>
      </c>
      <c r="D1278" s="9">
        <f>IFERROR(__xludf.DUMMYFUNCTION("""COMPUTED_VALUE"""),672.0)</f>
        <v>672</v>
      </c>
      <c r="E1278" s="9">
        <f>IFERROR(__xludf.DUMMYFUNCTION("""COMPUTED_VALUE"""),660.95)</f>
        <v>660.95</v>
      </c>
      <c r="F1278" s="9">
        <f>IFERROR(__xludf.DUMMYFUNCTION("""COMPUTED_VALUE"""),667.45)</f>
        <v>667.45</v>
      </c>
      <c r="G1278" s="9">
        <f>IFERROR(__xludf.DUMMYFUNCTION("""COMPUTED_VALUE"""),1.0445773E7)</f>
        <v>10445773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</row>
    <row r="1279">
      <c r="A1279" s="1"/>
      <c r="B1279" s="22">
        <f>IFERROR(__xludf.DUMMYFUNCTION("""COMPUTED_VALUE"""),43437.64583333333)</f>
        <v>43437.64583</v>
      </c>
      <c r="C1279" s="9">
        <f>IFERROR(__xludf.DUMMYFUNCTION("""COMPUTED_VALUE"""),673.15)</f>
        <v>673.15</v>
      </c>
      <c r="D1279" s="9">
        <f>IFERROR(__xludf.DUMMYFUNCTION("""COMPUTED_VALUE"""),679.0)</f>
        <v>679</v>
      </c>
      <c r="E1279" s="9">
        <f>IFERROR(__xludf.DUMMYFUNCTION("""COMPUTED_VALUE"""),665.95)</f>
        <v>665.95</v>
      </c>
      <c r="F1279" s="9">
        <f>IFERROR(__xludf.DUMMYFUNCTION("""COMPUTED_VALUE"""),670.35)</f>
        <v>670.35</v>
      </c>
      <c r="G1279" s="9">
        <f>IFERROR(__xludf.DUMMYFUNCTION("""COMPUTED_VALUE"""),8260890.0)</f>
        <v>8260890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</row>
    <row r="1280">
      <c r="A1280" s="1"/>
      <c r="B1280" s="22">
        <f>IFERROR(__xludf.DUMMYFUNCTION("""COMPUTED_VALUE"""),43438.64583333333)</f>
        <v>43438.64583</v>
      </c>
      <c r="C1280" s="9">
        <f>IFERROR(__xludf.DUMMYFUNCTION("""COMPUTED_VALUE"""),672.55)</f>
        <v>672.55</v>
      </c>
      <c r="D1280" s="9">
        <f>IFERROR(__xludf.DUMMYFUNCTION("""COMPUTED_VALUE"""),688.25)</f>
        <v>688.25</v>
      </c>
      <c r="E1280" s="9">
        <f>IFERROR(__xludf.DUMMYFUNCTION("""COMPUTED_VALUE"""),671.3)</f>
        <v>671.3</v>
      </c>
      <c r="F1280" s="9">
        <f>IFERROR(__xludf.DUMMYFUNCTION("""COMPUTED_VALUE"""),685.25)</f>
        <v>685.25</v>
      </c>
      <c r="G1280" s="9">
        <f>IFERROR(__xludf.DUMMYFUNCTION("""COMPUTED_VALUE"""),7827923.0)</f>
        <v>7827923</v>
      </c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</row>
    <row r="1281">
      <c r="A1281" s="1"/>
      <c r="B1281" s="22">
        <f>IFERROR(__xludf.DUMMYFUNCTION("""COMPUTED_VALUE"""),43439.64583333333)</f>
        <v>43439.64583</v>
      </c>
      <c r="C1281" s="9">
        <f>IFERROR(__xludf.DUMMYFUNCTION("""COMPUTED_VALUE"""),683.0)</f>
        <v>683</v>
      </c>
      <c r="D1281" s="9">
        <f>IFERROR(__xludf.DUMMYFUNCTION("""COMPUTED_VALUE"""),683.65)</f>
        <v>683.65</v>
      </c>
      <c r="E1281" s="9">
        <f>IFERROR(__xludf.DUMMYFUNCTION("""COMPUTED_VALUE"""),672.5)</f>
        <v>672.5</v>
      </c>
      <c r="F1281" s="9">
        <f>IFERROR(__xludf.DUMMYFUNCTION("""COMPUTED_VALUE"""),681.4)</f>
        <v>681.4</v>
      </c>
      <c r="G1281" s="9">
        <f>IFERROR(__xludf.DUMMYFUNCTION("""COMPUTED_VALUE"""),5177288.0)</f>
        <v>5177288</v>
      </c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</row>
    <row r="1282">
      <c r="A1282" s="1"/>
      <c r="B1282" s="22">
        <f>IFERROR(__xludf.DUMMYFUNCTION("""COMPUTED_VALUE"""),43440.64583333333)</f>
        <v>43440.64583</v>
      </c>
      <c r="C1282" s="9">
        <f>IFERROR(__xludf.DUMMYFUNCTION("""COMPUTED_VALUE"""),676.1)</f>
        <v>676.1</v>
      </c>
      <c r="D1282" s="9">
        <f>IFERROR(__xludf.DUMMYFUNCTION("""COMPUTED_VALUE"""),685.45)</f>
        <v>685.45</v>
      </c>
      <c r="E1282" s="9">
        <f>IFERROR(__xludf.DUMMYFUNCTION("""COMPUTED_VALUE"""),664.55)</f>
        <v>664.55</v>
      </c>
      <c r="F1282" s="9">
        <f>IFERROR(__xludf.DUMMYFUNCTION("""COMPUTED_VALUE"""),668.5)</f>
        <v>668.5</v>
      </c>
      <c r="G1282" s="9">
        <f>IFERROR(__xludf.DUMMYFUNCTION("""COMPUTED_VALUE"""),8039771.0)</f>
        <v>8039771</v>
      </c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</row>
    <row r="1283">
      <c r="A1283" s="1"/>
      <c r="B1283" s="22">
        <f>IFERROR(__xludf.DUMMYFUNCTION("""COMPUTED_VALUE"""),43441.64583333333)</f>
        <v>43441.64583</v>
      </c>
      <c r="C1283" s="9">
        <f>IFERROR(__xludf.DUMMYFUNCTION("""COMPUTED_VALUE"""),672.0)</f>
        <v>672</v>
      </c>
      <c r="D1283" s="9">
        <f>IFERROR(__xludf.DUMMYFUNCTION("""COMPUTED_VALUE"""),685.75)</f>
        <v>685.75</v>
      </c>
      <c r="E1283" s="9">
        <f>IFERROR(__xludf.DUMMYFUNCTION("""COMPUTED_VALUE"""),665.6)</f>
        <v>665.6</v>
      </c>
      <c r="F1283" s="9">
        <f>IFERROR(__xludf.DUMMYFUNCTION("""COMPUTED_VALUE"""),682.8)</f>
        <v>682.8</v>
      </c>
      <c r="G1283" s="9">
        <f>IFERROR(__xludf.DUMMYFUNCTION("""COMPUTED_VALUE"""),5553948.0)</f>
        <v>5553948</v>
      </c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</row>
    <row r="1284">
      <c r="A1284" s="1"/>
      <c r="B1284" s="22">
        <f>IFERROR(__xludf.DUMMYFUNCTION("""COMPUTED_VALUE"""),43444.64583333333)</f>
        <v>43444.64583</v>
      </c>
      <c r="C1284" s="9">
        <f>IFERROR(__xludf.DUMMYFUNCTION("""COMPUTED_VALUE"""),669.9)</f>
        <v>669.9</v>
      </c>
      <c r="D1284" s="9">
        <f>IFERROR(__xludf.DUMMYFUNCTION("""COMPUTED_VALUE"""),683.8)</f>
        <v>683.8</v>
      </c>
      <c r="E1284" s="9">
        <f>IFERROR(__xludf.DUMMYFUNCTION("""COMPUTED_VALUE"""),665.2)</f>
        <v>665.2</v>
      </c>
      <c r="F1284" s="9">
        <f>IFERROR(__xludf.DUMMYFUNCTION("""COMPUTED_VALUE"""),669.2)</f>
        <v>669.2</v>
      </c>
      <c r="G1284" s="9">
        <f>IFERROR(__xludf.DUMMYFUNCTION("""COMPUTED_VALUE"""),5121196.0)</f>
        <v>5121196</v>
      </c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</row>
    <row r="1285">
      <c r="A1285" s="1"/>
      <c r="B1285" s="22">
        <f>IFERROR(__xludf.DUMMYFUNCTION("""COMPUTED_VALUE"""),43445.64583333333)</f>
        <v>43445.64583</v>
      </c>
      <c r="C1285" s="9">
        <f>IFERROR(__xludf.DUMMYFUNCTION("""COMPUTED_VALUE"""),669.2)</f>
        <v>669.2</v>
      </c>
      <c r="D1285" s="9">
        <f>IFERROR(__xludf.DUMMYFUNCTION("""COMPUTED_VALUE"""),681.9)</f>
        <v>681.9</v>
      </c>
      <c r="E1285" s="9">
        <f>IFERROR(__xludf.DUMMYFUNCTION("""COMPUTED_VALUE"""),660.6)</f>
        <v>660.6</v>
      </c>
      <c r="F1285" s="9">
        <f>IFERROR(__xludf.DUMMYFUNCTION("""COMPUTED_VALUE"""),674.5)</f>
        <v>674.5</v>
      </c>
      <c r="G1285" s="9">
        <f>IFERROR(__xludf.DUMMYFUNCTION("""COMPUTED_VALUE"""),7120933.0)</f>
        <v>7120933</v>
      </c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</row>
    <row r="1286">
      <c r="A1286" s="1"/>
      <c r="B1286" s="22">
        <f>IFERROR(__xludf.DUMMYFUNCTION("""COMPUTED_VALUE"""),43446.64583333333)</f>
        <v>43446.64583</v>
      </c>
      <c r="C1286" s="9">
        <f>IFERROR(__xludf.DUMMYFUNCTION("""COMPUTED_VALUE"""),677.1)</f>
        <v>677.1</v>
      </c>
      <c r="D1286" s="9">
        <f>IFERROR(__xludf.DUMMYFUNCTION("""COMPUTED_VALUE"""),680.65)</f>
        <v>680.65</v>
      </c>
      <c r="E1286" s="9">
        <f>IFERROR(__xludf.DUMMYFUNCTION("""COMPUTED_VALUE"""),670.6)</f>
        <v>670.6</v>
      </c>
      <c r="F1286" s="9">
        <f>IFERROR(__xludf.DUMMYFUNCTION("""COMPUTED_VALUE"""),678.5)</f>
        <v>678.5</v>
      </c>
      <c r="G1286" s="9">
        <f>IFERROR(__xludf.DUMMYFUNCTION("""COMPUTED_VALUE"""),6926183.0)</f>
        <v>6926183</v>
      </c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</row>
    <row r="1287">
      <c r="A1287" s="1"/>
      <c r="B1287" s="22">
        <f>IFERROR(__xludf.DUMMYFUNCTION("""COMPUTED_VALUE"""),43447.64583333333)</f>
        <v>43447.64583</v>
      </c>
      <c r="C1287" s="9">
        <f>IFERROR(__xludf.DUMMYFUNCTION("""COMPUTED_VALUE"""),682.0)</f>
        <v>682</v>
      </c>
      <c r="D1287" s="9">
        <f>IFERROR(__xludf.DUMMYFUNCTION("""COMPUTED_VALUE"""),700.0)</f>
        <v>700</v>
      </c>
      <c r="E1287" s="9">
        <f>IFERROR(__xludf.DUMMYFUNCTION("""COMPUTED_VALUE"""),680.0)</f>
        <v>680</v>
      </c>
      <c r="F1287" s="9">
        <f>IFERROR(__xludf.DUMMYFUNCTION("""COMPUTED_VALUE"""),697.75)</f>
        <v>697.75</v>
      </c>
      <c r="G1287" s="9">
        <f>IFERROR(__xludf.DUMMYFUNCTION("""COMPUTED_VALUE"""),7521474.0)</f>
        <v>7521474</v>
      </c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</row>
    <row r="1288">
      <c r="A1288" s="1"/>
      <c r="B1288" s="22">
        <f>IFERROR(__xludf.DUMMYFUNCTION("""COMPUTED_VALUE"""),43448.64583333333)</f>
        <v>43448.64583</v>
      </c>
      <c r="C1288" s="9">
        <f>IFERROR(__xludf.DUMMYFUNCTION("""COMPUTED_VALUE"""),697.45)</f>
        <v>697.45</v>
      </c>
      <c r="D1288" s="9">
        <f>IFERROR(__xludf.DUMMYFUNCTION("""COMPUTED_VALUE"""),713.7)</f>
        <v>713.7</v>
      </c>
      <c r="E1288" s="9">
        <f>IFERROR(__xludf.DUMMYFUNCTION("""COMPUTED_VALUE"""),694.4)</f>
        <v>694.4</v>
      </c>
      <c r="F1288" s="9">
        <f>IFERROR(__xludf.DUMMYFUNCTION("""COMPUTED_VALUE"""),706.05)</f>
        <v>706.05</v>
      </c>
      <c r="G1288" s="9">
        <f>IFERROR(__xludf.DUMMYFUNCTION("""COMPUTED_VALUE"""),9560576.0)</f>
        <v>9560576</v>
      </c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</row>
    <row r="1289">
      <c r="A1289" s="1"/>
      <c r="B1289" s="22">
        <f>IFERROR(__xludf.DUMMYFUNCTION("""COMPUTED_VALUE"""),43451.64583333333)</f>
        <v>43451.64583</v>
      </c>
      <c r="C1289" s="9">
        <f>IFERROR(__xludf.DUMMYFUNCTION("""COMPUTED_VALUE"""),711.85)</f>
        <v>711.85</v>
      </c>
      <c r="D1289" s="9">
        <f>IFERROR(__xludf.DUMMYFUNCTION("""COMPUTED_VALUE"""),711.85)</f>
        <v>711.85</v>
      </c>
      <c r="E1289" s="9">
        <f>IFERROR(__xludf.DUMMYFUNCTION("""COMPUTED_VALUE"""),692.75)</f>
        <v>692.75</v>
      </c>
      <c r="F1289" s="9">
        <f>IFERROR(__xludf.DUMMYFUNCTION("""COMPUTED_VALUE"""),694.4)</f>
        <v>694.4</v>
      </c>
      <c r="G1289" s="9">
        <f>IFERROR(__xludf.DUMMYFUNCTION("""COMPUTED_VALUE"""),4778465.0)</f>
        <v>4778465</v>
      </c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</row>
    <row r="1290">
      <c r="A1290" s="1"/>
      <c r="B1290" s="22">
        <f>IFERROR(__xludf.DUMMYFUNCTION("""COMPUTED_VALUE"""),43452.64583333333)</f>
        <v>43452.64583</v>
      </c>
      <c r="C1290" s="9">
        <f>IFERROR(__xludf.DUMMYFUNCTION("""COMPUTED_VALUE"""),686.5)</f>
        <v>686.5</v>
      </c>
      <c r="D1290" s="9">
        <f>IFERROR(__xludf.DUMMYFUNCTION("""COMPUTED_VALUE"""),686.5)</f>
        <v>686.5</v>
      </c>
      <c r="E1290" s="9">
        <f>IFERROR(__xludf.DUMMYFUNCTION("""COMPUTED_VALUE"""),674.55)</f>
        <v>674.55</v>
      </c>
      <c r="F1290" s="9">
        <f>IFERROR(__xludf.DUMMYFUNCTION("""COMPUTED_VALUE"""),676.6)</f>
        <v>676.6</v>
      </c>
      <c r="G1290" s="9">
        <f>IFERROR(__xludf.DUMMYFUNCTION("""COMPUTED_VALUE"""),8021298.0)</f>
        <v>8021298</v>
      </c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</row>
    <row r="1291">
      <c r="A1291" s="1"/>
      <c r="B1291" s="22">
        <f>IFERROR(__xludf.DUMMYFUNCTION("""COMPUTED_VALUE"""),43453.64583333333)</f>
        <v>43453.64583</v>
      </c>
      <c r="C1291" s="9">
        <f>IFERROR(__xludf.DUMMYFUNCTION("""COMPUTED_VALUE"""),671.55)</f>
        <v>671.55</v>
      </c>
      <c r="D1291" s="9">
        <f>IFERROR(__xludf.DUMMYFUNCTION("""COMPUTED_VALUE"""),671.55)</f>
        <v>671.55</v>
      </c>
      <c r="E1291" s="9">
        <f>IFERROR(__xludf.DUMMYFUNCTION("""COMPUTED_VALUE"""),661.1)</f>
        <v>661.1</v>
      </c>
      <c r="F1291" s="9">
        <f>IFERROR(__xludf.DUMMYFUNCTION("""COMPUTED_VALUE"""),664.85)</f>
        <v>664.85</v>
      </c>
      <c r="G1291" s="9">
        <f>IFERROR(__xludf.DUMMYFUNCTION("""COMPUTED_VALUE"""),8295459.0)</f>
        <v>8295459</v>
      </c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</row>
    <row r="1292">
      <c r="A1292" s="1"/>
      <c r="B1292" s="22">
        <f>IFERROR(__xludf.DUMMYFUNCTION("""COMPUTED_VALUE"""),43454.64583333333)</f>
        <v>43454.64583</v>
      </c>
      <c r="C1292" s="9">
        <f>IFERROR(__xludf.DUMMYFUNCTION("""COMPUTED_VALUE"""),660.0)</f>
        <v>660</v>
      </c>
      <c r="D1292" s="9">
        <f>IFERROR(__xludf.DUMMYFUNCTION("""COMPUTED_VALUE"""),671.55)</f>
        <v>671.55</v>
      </c>
      <c r="E1292" s="9">
        <f>IFERROR(__xludf.DUMMYFUNCTION("""COMPUTED_VALUE"""),656.4)</f>
        <v>656.4</v>
      </c>
      <c r="F1292" s="9">
        <f>IFERROR(__xludf.DUMMYFUNCTION("""COMPUTED_VALUE"""),667.05)</f>
        <v>667.05</v>
      </c>
      <c r="G1292" s="9">
        <f>IFERROR(__xludf.DUMMYFUNCTION("""COMPUTED_VALUE"""),1.170526E7)</f>
        <v>11705260</v>
      </c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</row>
    <row r="1293">
      <c r="A1293" s="1"/>
      <c r="B1293" s="22">
        <f>IFERROR(__xludf.DUMMYFUNCTION("""COMPUTED_VALUE"""),43455.64583333333)</f>
        <v>43455.64583</v>
      </c>
      <c r="C1293" s="9">
        <f>IFERROR(__xludf.DUMMYFUNCTION("""COMPUTED_VALUE"""),659.5)</f>
        <v>659.5</v>
      </c>
      <c r="D1293" s="9">
        <f>IFERROR(__xludf.DUMMYFUNCTION("""COMPUTED_VALUE"""),659.5)</f>
        <v>659.5</v>
      </c>
      <c r="E1293" s="9">
        <f>IFERROR(__xludf.DUMMYFUNCTION("""COMPUTED_VALUE"""),643.45)</f>
        <v>643.45</v>
      </c>
      <c r="F1293" s="9">
        <f>IFERROR(__xludf.DUMMYFUNCTION("""COMPUTED_VALUE"""),646.2)</f>
        <v>646.2</v>
      </c>
      <c r="G1293" s="9">
        <f>IFERROR(__xludf.DUMMYFUNCTION("""COMPUTED_VALUE"""),1.2802132E7)</f>
        <v>12802132</v>
      </c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</row>
    <row r="1294">
      <c r="A1294" s="1"/>
      <c r="B1294" s="22">
        <f>IFERROR(__xludf.DUMMYFUNCTION("""COMPUTED_VALUE"""),43458.64583333333)</f>
        <v>43458.64583</v>
      </c>
      <c r="C1294" s="9">
        <f>IFERROR(__xludf.DUMMYFUNCTION("""COMPUTED_VALUE"""),657.0)</f>
        <v>657</v>
      </c>
      <c r="D1294" s="9">
        <f>IFERROR(__xludf.DUMMYFUNCTION("""COMPUTED_VALUE"""),658.8)</f>
        <v>658.8</v>
      </c>
      <c r="E1294" s="9">
        <f>IFERROR(__xludf.DUMMYFUNCTION("""COMPUTED_VALUE"""),647.6)</f>
        <v>647.6</v>
      </c>
      <c r="F1294" s="9">
        <f>IFERROR(__xludf.DUMMYFUNCTION("""COMPUTED_VALUE"""),649.0)</f>
        <v>649</v>
      </c>
      <c r="G1294" s="9">
        <f>IFERROR(__xludf.DUMMYFUNCTION("""COMPUTED_VALUE"""),8379825.0)</f>
        <v>8379825</v>
      </c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</row>
    <row r="1295">
      <c r="A1295" s="1"/>
      <c r="B1295" s="22">
        <f>IFERROR(__xludf.DUMMYFUNCTION("""COMPUTED_VALUE"""),43460.64583333333)</f>
        <v>43460.64583</v>
      </c>
      <c r="C1295" s="9">
        <f>IFERROR(__xludf.DUMMYFUNCTION("""COMPUTED_VALUE"""),647.0)</f>
        <v>647</v>
      </c>
      <c r="D1295" s="9">
        <f>IFERROR(__xludf.DUMMYFUNCTION("""COMPUTED_VALUE"""),647.0)</f>
        <v>647</v>
      </c>
      <c r="E1295" s="9">
        <f>IFERROR(__xludf.DUMMYFUNCTION("""COMPUTED_VALUE"""),637.35)</f>
        <v>637.35</v>
      </c>
      <c r="F1295" s="9">
        <f>IFERROR(__xludf.DUMMYFUNCTION("""COMPUTED_VALUE"""),644.05)</f>
        <v>644.05</v>
      </c>
      <c r="G1295" s="9">
        <f>IFERROR(__xludf.DUMMYFUNCTION("""COMPUTED_VALUE"""),6178552.0)</f>
        <v>6178552</v>
      </c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</row>
    <row r="1296">
      <c r="A1296" s="1"/>
      <c r="B1296" s="22">
        <f>IFERROR(__xludf.DUMMYFUNCTION("""COMPUTED_VALUE"""),43461.64583333333)</f>
        <v>43461.64583</v>
      </c>
      <c r="C1296" s="9">
        <f>IFERROR(__xludf.DUMMYFUNCTION("""COMPUTED_VALUE"""),652.75)</f>
        <v>652.75</v>
      </c>
      <c r="D1296" s="9">
        <f>IFERROR(__xludf.DUMMYFUNCTION("""COMPUTED_VALUE"""),663.25)</f>
        <v>663.25</v>
      </c>
      <c r="E1296" s="9">
        <f>IFERROR(__xludf.DUMMYFUNCTION("""COMPUTED_VALUE"""),649.0)</f>
        <v>649</v>
      </c>
      <c r="F1296" s="9">
        <f>IFERROR(__xludf.DUMMYFUNCTION("""COMPUTED_VALUE"""),656.8)</f>
        <v>656.8</v>
      </c>
      <c r="G1296" s="9">
        <f>IFERROR(__xludf.DUMMYFUNCTION("""COMPUTED_VALUE"""),1.5333902E7)</f>
        <v>15333902</v>
      </c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</row>
    <row r="1297">
      <c r="A1297" s="1"/>
      <c r="B1297" s="22">
        <f>IFERROR(__xludf.DUMMYFUNCTION("""COMPUTED_VALUE"""),43462.64583333333)</f>
        <v>43462.64583</v>
      </c>
      <c r="C1297" s="9">
        <f>IFERROR(__xludf.DUMMYFUNCTION("""COMPUTED_VALUE"""),663.35)</f>
        <v>663.35</v>
      </c>
      <c r="D1297" s="9">
        <f>IFERROR(__xludf.DUMMYFUNCTION("""COMPUTED_VALUE"""),663.5)</f>
        <v>663.5</v>
      </c>
      <c r="E1297" s="9">
        <f>IFERROR(__xludf.DUMMYFUNCTION("""COMPUTED_VALUE"""),653.3)</f>
        <v>653.3</v>
      </c>
      <c r="F1297" s="9">
        <f>IFERROR(__xludf.DUMMYFUNCTION("""COMPUTED_VALUE"""),656.95)</f>
        <v>656.95</v>
      </c>
      <c r="G1297" s="9">
        <f>IFERROR(__xludf.DUMMYFUNCTION("""COMPUTED_VALUE"""),4736598.0)</f>
        <v>4736598</v>
      </c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</row>
    <row r="1298">
      <c r="A1298" s="1"/>
      <c r="B1298" s="22">
        <f>IFERROR(__xludf.DUMMYFUNCTION("""COMPUTED_VALUE"""),43465.64583333333)</f>
        <v>43465.64583</v>
      </c>
      <c r="C1298" s="9">
        <f>IFERROR(__xludf.DUMMYFUNCTION("""COMPUTED_VALUE"""),660.0)</f>
        <v>660</v>
      </c>
      <c r="D1298" s="9">
        <f>IFERROR(__xludf.DUMMYFUNCTION("""COMPUTED_VALUE"""),662.0)</f>
        <v>662</v>
      </c>
      <c r="E1298" s="9">
        <f>IFERROR(__xludf.DUMMYFUNCTION("""COMPUTED_VALUE"""),655.8)</f>
        <v>655.8</v>
      </c>
      <c r="F1298" s="9">
        <f>IFERROR(__xludf.DUMMYFUNCTION("""COMPUTED_VALUE"""),658.95)</f>
        <v>658.95</v>
      </c>
      <c r="G1298" s="9">
        <f>IFERROR(__xludf.DUMMYFUNCTION("""COMPUTED_VALUE"""),3373319.0)</f>
        <v>3373319</v>
      </c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</row>
    <row r="1299">
      <c r="A1299" s="1"/>
      <c r="B1299" s="22">
        <f>IFERROR(__xludf.DUMMYFUNCTION("""COMPUTED_VALUE"""),43466.64583333333)</f>
        <v>43466.64583</v>
      </c>
      <c r="C1299" s="9">
        <f>IFERROR(__xludf.DUMMYFUNCTION("""COMPUTED_VALUE"""),660.95)</f>
        <v>660.95</v>
      </c>
      <c r="D1299" s="9">
        <f>IFERROR(__xludf.DUMMYFUNCTION("""COMPUTED_VALUE"""),666.3)</f>
        <v>666.3</v>
      </c>
      <c r="E1299" s="9">
        <f>IFERROR(__xludf.DUMMYFUNCTION("""COMPUTED_VALUE"""),654.15)</f>
        <v>654.15</v>
      </c>
      <c r="F1299" s="9">
        <f>IFERROR(__xludf.DUMMYFUNCTION("""COMPUTED_VALUE"""),665.05)</f>
        <v>665.05</v>
      </c>
      <c r="G1299" s="9">
        <f>IFERROR(__xludf.DUMMYFUNCTION("""COMPUTED_VALUE"""),2943390.0)</f>
        <v>2943390</v>
      </c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</row>
    <row r="1300">
      <c r="A1300" s="1"/>
      <c r="B1300" s="22">
        <f>IFERROR(__xludf.DUMMYFUNCTION("""COMPUTED_VALUE"""),43467.64583333333)</f>
        <v>43467.64583</v>
      </c>
      <c r="C1300" s="9">
        <f>IFERROR(__xludf.DUMMYFUNCTION("""COMPUTED_VALUE"""),666.0)</f>
        <v>666</v>
      </c>
      <c r="D1300" s="9">
        <f>IFERROR(__xludf.DUMMYFUNCTION("""COMPUTED_VALUE"""),674.0)</f>
        <v>674</v>
      </c>
      <c r="E1300" s="9">
        <f>IFERROR(__xludf.DUMMYFUNCTION("""COMPUTED_VALUE"""),662.05)</f>
        <v>662.05</v>
      </c>
      <c r="F1300" s="9">
        <f>IFERROR(__xludf.DUMMYFUNCTION("""COMPUTED_VALUE"""),669.05)</f>
        <v>669.05</v>
      </c>
      <c r="G1300" s="9">
        <f>IFERROR(__xludf.DUMMYFUNCTION("""COMPUTED_VALUE"""),7416655.0)</f>
        <v>7416655</v>
      </c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</row>
    <row r="1301">
      <c r="A1301" s="1"/>
      <c r="B1301" s="22">
        <f>IFERROR(__xludf.DUMMYFUNCTION("""COMPUTED_VALUE"""),43468.64583333333)</f>
        <v>43468.64583</v>
      </c>
      <c r="C1301" s="9">
        <f>IFERROR(__xludf.DUMMYFUNCTION("""COMPUTED_VALUE"""),672.0)</f>
        <v>672</v>
      </c>
      <c r="D1301" s="9">
        <f>IFERROR(__xludf.DUMMYFUNCTION("""COMPUTED_VALUE"""),677.0)</f>
        <v>677</v>
      </c>
      <c r="E1301" s="9">
        <f>IFERROR(__xludf.DUMMYFUNCTION("""COMPUTED_VALUE"""),663.1)</f>
        <v>663.1</v>
      </c>
      <c r="F1301" s="9">
        <f>IFERROR(__xludf.DUMMYFUNCTION("""COMPUTED_VALUE"""),669.15)</f>
        <v>669.15</v>
      </c>
      <c r="G1301" s="9">
        <f>IFERROR(__xludf.DUMMYFUNCTION("""COMPUTED_VALUE"""),6827249.0)</f>
        <v>6827249</v>
      </c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</row>
    <row r="1302">
      <c r="A1302" s="1"/>
      <c r="B1302" s="22">
        <f>IFERROR(__xludf.DUMMYFUNCTION("""COMPUTED_VALUE"""),43469.64583333333)</f>
        <v>43469.64583</v>
      </c>
      <c r="C1302" s="9">
        <f>IFERROR(__xludf.DUMMYFUNCTION("""COMPUTED_VALUE"""),671.75)</f>
        <v>671.75</v>
      </c>
      <c r="D1302" s="9">
        <f>IFERROR(__xludf.DUMMYFUNCTION("""COMPUTED_VALUE"""),673.9)</f>
        <v>673.9</v>
      </c>
      <c r="E1302" s="9">
        <f>IFERROR(__xludf.DUMMYFUNCTION("""COMPUTED_VALUE"""),651.0)</f>
        <v>651</v>
      </c>
      <c r="F1302" s="9">
        <f>IFERROR(__xludf.DUMMYFUNCTION("""COMPUTED_VALUE"""),661.05)</f>
        <v>661.05</v>
      </c>
      <c r="G1302" s="9">
        <f>IFERROR(__xludf.DUMMYFUNCTION("""COMPUTED_VALUE"""),7889310.0)</f>
        <v>7889310</v>
      </c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</row>
    <row r="1303">
      <c r="A1303" s="1"/>
      <c r="B1303" s="22">
        <f>IFERROR(__xludf.DUMMYFUNCTION("""COMPUTED_VALUE"""),43472.64583333333)</f>
        <v>43472.64583</v>
      </c>
      <c r="C1303" s="9">
        <f>IFERROR(__xludf.DUMMYFUNCTION("""COMPUTED_VALUE"""),665.0)</f>
        <v>665</v>
      </c>
      <c r="D1303" s="9">
        <f>IFERROR(__xludf.DUMMYFUNCTION("""COMPUTED_VALUE"""),673.6)</f>
        <v>673.6</v>
      </c>
      <c r="E1303" s="9">
        <f>IFERROR(__xludf.DUMMYFUNCTION("""COMPUTED_VALUE"""),661.5)</f>
        <v>661.5</v>
      </c>
      <c r="F1303" s="9">
        <f>IFERROR(__xludf.DUMMYFUNCTION("""COMPUTED_VALUE"""),671.7)</f>
        <v>671.7</v>
      </c>
      <c r="G1303" s="9">
        <f>IFERROR(__xludf.DUMMYFUNCTION("""COMPUTED_VALUE"""),8046340.0)</f>
        <v>8046340</v>
      </c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</row>
    <row r="1304">
      <c r="A1304" s="1"/>
      <c r="B1304" s="22">
        <f>IFERROR(__xludf.DUMMYFUNCTION("""COMPUTED_VALUE"""),43473.64583333333)</f>
        <v>43473.64583</v>
      </c>
      <c r="C1304" s="9">
        <f>IFERROR(__xludf.DUMMYFUNCTION("""COMPUTED_VALUE"""),674.95)</f>
        <v>674.95</v>
      </c>
      <c r="D1304" s="9">
        <f>IFERROR(__xludf.DUMMYFUNCTION("""COMPUTED_VALUE"""),677.45)</f>
        <v>677.45</v>
      </c>
      <c r="E1304" s="9">
        <f>IFERROR(__xludf.DUMMYFUNCTION("""COMPUTED_VALUE"""),668.55)</f>
        <v>668.55</v>
      </c>
      <c r="F1304" s="9">
        <f>IFERROR(__xludf.DUMMYFUNCTION("""COMPUTED_VALUE"""),670.05)</f>
        <v>670.05</v>
      </c>
      <c r="G1304" s="9">
        <f>IFERROR(__xludf.DUMMYFUNCTION("""COMPUTED_VALUE"""),8621545.0)</f>
        <v>8621545</v>
      </c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</row>
    <row r="1305">
      <c r="A1305" s="1"/>
      <c r="B1305" s="22">
        <f>IFERROR(__xludf.DUMMYFUNCTION("""COMPUTED_VALUE"""),43474.64583333333)</f>
        <v>43474.64583</v>
      </c>
      <c r="C1305" s="9">
        <f>IFERROR(__xludf.DUMMYFUNCTION("""COMPUTED_VALUE"""),686.2)</f>
        <v>686.2</v>
      </c>
      <c r="D1305" s="9">
        <f>IFERROR(__xludf.DUMMYFUNCTION("""COMPUTED_VALUE"""),689.8)</f>
        <v>689.8</v>
      </c>
      <c r="E1305" s="9">
        <f>IFERROR(__xludf.DUMMYFUNCTION("""COMPUTED_VALUE"""),664.0)</f>
        <v>664</v>
      </c>
      <c r="F1305" s="9">
        <f>IFERROR(__xludf.DUMMYFUNCTION("""COMPUTED_VALUE"""),676.1)</f>
        <v>676.1</v>
      </c>
      <c r="G1305" s="9">
        <f>IFERROR(__xludf.DUMMYFUNCTION("""COMPUTED_VALUE"""),1.8130292E7)</f>
        <v>18130292</v>
      </c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</row>
    <row r="1306">
      <c r="A1306" s="1"/>
      <c r="B1306" s="22">
        <f>IFERROR(__xludf.DUMMYFUNCTION("""COMPUTED_VALUE"""),43475.64583333333)</f>
        <v>43475.64583</v>
      </c>
      <c r="C1306" s="9">
        <f>IFERROR(__xludf.DUMMYFUNCTION("""COMPUTED_VALUE"""),681.6)</f>
        <v>681.6</v>
      </c>
      <c r="D1306" s="9">
        <f>IFERROR(__xludf.DUMMYFUNCTION("""COMPUTED_VALUE"""),682.0)</f>
        <v>682</v>
      </c>
      <c r="E1306" s="9">
        <f>IFERROR(__xludf.DUMMYFUNCTION("""COMPUTED_VALUE"""),672.55)</f>
        <v>672.55</v>
      </c>
      <c r="F1306" s="9">
        <f>IFERROR(__xludf.DUMMYFUNCTION("""COMPUTED_VALUE"""),679.7)</f>
        <v>679.7</v>
      </c>
      <c r="G1306" s="9">
        <f>IFERROR(__xludf.DUMMYFUNCTION("""COMPUTED_VALUE"""),9572493.0)</f>
        <v>9572493</v>
      </c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</row>
    <row r="1307">
      <c r="A1307" s="1"/>
      <c r="B1307" s="22">
        <f>IFERROR(__xludf.DUMMYFUNCTION("""COMPUTED_VALUE"""),43476.64583333333)</f>
        <v>43476.64583</v>
      </c>
      <c r="C1307" s="9">
        <f>IFERROR(__xludf.DUMMYFUNCTION("""COMPUTED_VALUE"""),680.2)</f>
        <v>680.2</v>
      </c>
      <c r="D1307" s="9">
        <f>IFERROR(__xludf.DUMMYFUNCTION("""COMPUTED_VALUE"""),685.5)</f>
        <v>685.5</v>
      </c>
      <c r="E1307" s="9">
        <f>IFERROR(__xludf.DUMMYFUNCTION("""COMPUTED_VALUE"""),672.5)</f>
        <v>672.5</v>
      </c>
      <c r="F1307" s="9">
        <f>IFERROR(__xludf.DUMMYFUNCTION("""COMPUTED_VALUE"""),683.5)</f>
        <v>683.5</v>
      </c>
      <c r="G1307" s="9">
        <f>IFERROR(__xludf.DUMMYFUNCTION("""COMPUTED_VALUE"""),1.2281903E7)</f>
        <v>12281903</v>
      </c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</row>
    <row r="1308">
      <c r="A1308" s="1"/>
      <c r="B1308" s="22">
        <f>IFERROR(__xludf.DUMMYFUNCTION("""COMPUTED_VALUE"""),43479.64583333333)</f>
        <v>43479.64583</v>
      </c>
      <c r="C1308" s="9">
        <f>IFERROR(__xludf.DUMMYFUNCTION("""COMPUTED_VALUE"""),707.0)</f>
        <v>707</v>
      </c>
      <c r="D1308" s="9">
        <f>IFERROR(__xludf.DUMMYFUNCTION("""COMPUTED_VALUE"""),710.2)</f>
        <v>710.2</v>
      </c>
      <c r="E1308" s="9">
        <f>IFERROR(__xludf.DUMMYFUNCTION("""COMPUTED_VALUE"""),695.95)</f>
        <v>695.95</v>
      </c>
      <c r="F1308" s="9">
        <f>IFERROR(__xludf.DUMMYFUNCTION("""COMPUTED_VALUE"""),701.9)</f>
        <v>701.9</v>
      </c>
      <c r="G1308" s="9">
        <f>IFERROR(__xludf.DUMMYFUNCTION("""COMPUTED_VALUE"""),1.9312937E7)</f>
        <v>19312937</v>
      </c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</row>
    <row r="1309">
      <c r="A1309" s="1"/>
      <c r="B1309" s="22">
        <f>IFERROR(__xludf.DUMMYFUNCTION("""COMPUTED_VALUE"""),43480.64583333333)</f>
        <v>43480.64583</v>
      </c>
      <c r="C1309" s="9">
        <f>IFERROR(__xludf.DUMMYFUNCTION("""COMPUTED_VALUE"""),707.2)</f>
        <v>707.2</v>
      </c>
      <c r="D1309" s="9">
        <f>IFERROR(__xludf.DUMMYFUNCTION("""COMPUTED_VALUE"""),730.0)</f>
        <v>730</v>
      </c>
      <c r="E1309" s="9">
        <f>IFERROR(__xludf.DUMMYFUNCTION("""COMPUTED_VALUE"""),707.2)</f>
        <v>707.2</v>
      </c>
      <c r="F1309" s="9">
        <f>IFERROR(__xludf.DUMMYFUNCTION("""COMPUTED_VALUE"""),726.6)</f>
        <v>726.6</v>
      </c>
      <c r="G1309" s="9">
        <f>IFERROR(__xludf.DUMMYFUNCTION("""COMPUTED_VALUE"""),1.9671304E7)</f>
        <v>19671304</v>
      </c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</row>
    <row r="1310">
      <c r="A1310" s="1"/>
      <c r="B1310" s="22">
        <f>IFERROR(__xludf.DUMMYFUNCTION("""COMPUTED_VALUE"""),43481.64583333333)</f>
        <v>43481.64583</v>
      </c>
      <c r="C1310" s="9">
        <f>IFERROR(__xludf.DUMMYFUNCTION("""COMPUTED_VALUE"""),729.9)</f>
        <v>729.9</v>
      </c>
      <c r="D1310" s="9">
        <f>IFERROR(__xludf.DUMMYFUNCTION("""COMPUTED_VALUE"""),737.8)</f>
        <v>737.8</v>
      </c>
      <c r="E1310" s="9">
        <f>IFERROR(__xludf.DUMMYFUNCTION("""COMPUTED_VALUE"""),728.5)</f>
        <v>728.5</v>
      </c>
      <c r="F1310" s="9">
        <f>IFERROR(__xludf.DUMMYFUNCTION("""COMPUTED_VALUE"""),736.8)</f>
        <v>736.8</v>
      </c>
      <c r="G1310" s="9">
        <f>IFERROR(__xludf.DUMMYFUNCTION("""COMPUTED_VALUE"""),9658944.0)</f>
        <v>9658944</v>
      </c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</row>
    <row r="1311">
      <c r="A1311" s="1"/>
      <c r="B1311" s="22">
        <f>IFERROR(__xludf.DUMMYFUNCTION("""COMPUTED_VALUE"""),43482.64583333333)</f>
        <v>43482.64583</v>
      </c>
      <c r="C1311" s="9">
        <f>IFERROR(__xludf.DUMMYFUNCTION("""COMPUTED_VALUE"""),735.8)</f>
        <v>735.8</v>
      </c>
      <c r="D1311" s="9">
        <f>IFERROR(__xludf.DUMMYFUNCTION("""COMPUTED_VALUE"""),739.0)</f>
        <v>739</v>
      </c>
      <c r="E1311" s="9">
        <f>IFERROR(__xludf.DUMMYFUNCTION("""COMPUTED_VALUE"""),729.1)</f>
        <v>729.1</v>
      </c>
      <c r="F1311" s="9">
        <f>IFERROR(__xludf.DUMMYFUNCTION("""COMPUTED_VALUE"""),733.35)</f>
        <v>733.35</v>
      </c>
      <c r="G1311" s="9">
        <f>IFERROR(__xludf.DUMMYFUNCTION("""COMPUTED_VALUE"""),6903771.0)</f>
        <v>6903771</v>
      </c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</row>
    <row r="1312">
      <c r="A1312" s="1"/>
      <c r="B1312" s="22">
        <f>IFERROR(__xludf.DUMMYFUNCTION("""COMPUTED_VALUE"""),43483.64583333333)</f>
        <v>43483.64583</v>
      </c>
      <c r="C1312" s="9">
        <f>IFERROR(__xludf.DUMMYFUNCTION("""COMPUTED_VALUE"""),730.0)</f>
        <v>730</v>
      </c>
      <c r="D1312" s="9">
        <f>IFERROR(__xludf.DUMMYFUNCTION("""COMPUTED_VALUE"""),736.2)</f>
        <v>736.2</v>
      </c>
      <c r="E1312" s="9">
        <f>IFERROR(__xludf.DUMMYFUNCTION("""COMPUTED_VALUE"""),726.3)</f>
        <v>726.3</v>
      </c>
      <c r="F1312" s="9">
        <f>IFERROR(__xludf.DUMMYFUNCTION("""COMPUTED_VALUE"""),730.95)</f>
        <v>730.95</v>
      </c>
      <c r="G1312" s="9">
        <f>IFERROR(__xludf.DUMMYFUNCTION("""COMPUTED_VALUE"""),5902151.0)</f>
        <v>5902151</v>
      </c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</row>
    <row r="1313">
      <c r="A1313" s="1"/>
      <c r="B1313" s="22">
        <f>IFERROR(__xludf.DUMMYFUNCTION("""COMPUTED_VALUE"""),43486.64583333333)</f>
        <v>43486.64583</v>
      </c>
      <c r="C1313" s="9">
        <f>IFERROR(__xludf.DUMMYFUNCTION("""COMPUTED_VALUE"""),738.2)</f>
        <v>738.2</v>
      </c>
      <c r="D1313" s="9">
        <f>IFERROR(__xludf.DUMMYFUNCTION("""COMPUTED_VALUE"""),751.0)</f>
        <v>751</v>
      </c>
      <c r="E1313" s="9">
        <f>IFERROR(__xludf.DUMMYFUNCTION("""COMPUTED_VALUE"""),734.0)</f>
        <v>734</v>
      </c>
      <c r="F1313" s="9">
        <f>IFERROR(__xludf.DUMMYFUNCTION("""COMPUTED_VALUE"""),745.0)</f>
        <v>745</v>
      </c>
      <c r="G1313" s="9">
        <f>IFERROR(__xludf.DUMMYFUNCTION("""COMPUTED_VALUE"""),8129422.0)</f>
        <v>8129422</v>
      </c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</row>
    <row r="1314">
      <c r="A1314" s="1"/>
      <c r="B1314" s="22">
        <f>IFERROR(__xludf.DUMMYFUNCTION("""COMPUTED_VALUE"""),43487.64583333333)</f>
        <v>43487.64583</v>
      </c>
      <c r="C1314" s="9">
        <f>IFERROR(__xludf.DUMMYFUNCTION("""COMPUTED_VALUE"""),741.25)</f>
        <v>741.25</v>
      </c>
      <c r="D1314" s="9">
        <f>IFERROR(__xludf.DUMMYFUNCTION("""COMPUTED_VALUE"""),749.0)</f>
        <v>749</v>
      </c>
      <c r="E1314" s="9">
        <f>IFERROR(__xludf.DUMMYFUNCTION("""COMPUTED_VALUE"""),734.0)</f>
        <v>734</v>
      </c>
      <c r="F1314" s="9">
        <f>IFERROR(__xludf.DUMMYFUNCTION("""COMPUTED_VALUE"""),745.35)</f>
        <v>745.35</v>
      </c>
      <c r="G1314" s="9">
        <f>IFERROR(__xludf.DUMMYFUNCTION("""COMPUTED_VALUE"""),6723375.0)</f>
        <v>6723375</v>
      </c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</row>
    <row r="1315">
      <c r="A1315" s="1"/>
      <c r="B1315" s="22">
        <f>IFERROR(__xludf.DUMMYFUNCTION("""COMPUTED_VALUE"""),43488.64583333333)</f>
        <v>43488.64583</v>
      </c>
      <c r="C1315" s="9">
        <f>IFERROR(__xludf.DUMMYFUNCTION("""COMPUTED_VALUE"""),742.35)</f>
        <v>742.35</v>
      </c>
      <c r="D1315" s="9">
        <f>IFERROR(__xludf.DUMMYFUNCTION("""COMPUTED_VALUE"""),742.6)</f>
        <v>742.6</v>
      </c>
      <c r="E1315" s="9">
        <f>IFERROR(__xludf.DUMMYFUNCTION("""COMPUTED_VALUE"""),729.2)</f>
        <v>729.2</v>
      </c>
      <c r="F1315" s="9">
        <f>IFERROR(__xludf.DUMMYFUNCTION("""COMPUTED_VALUE"""),731.65)</f>
        <v>731.65</v>
      </c>
      <c r="G1315" s="9">
        <f>IFERROR(__xludf.DUMMYFUNCTION("""COMPUTED_VALUE"""),7212099.0)</f>
        <v>7212099</v>
      </c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</row>
    <row r="1316">
      <c r="A1316" s="1"/>
      <c r="B1316" s="22">
        <f>IFERROR(__xludf.DUMMYFUNCTION("""COMPUTED_VALUE"""),43489.64583333333)</f>
        <v>43489.64583</v>
      </c>
      <c r="C1316" s="9">
        <f>IFERROR(__xludf.DUMMYFUNCTION("""COMPUTED_VALUE"""),728.1)</f>
        <v>728.1</v>
      </c>
      <c r="D1316" s="9">
        <f>IFERROR(__xludf.DUMMYFUNCTION("""COMPUTED_VALUE"""),736.1)</f>
        <v>736.1</v>
      </c>
      <c r="E1316" s="9">
        <f>IFERROR(__xludf.DUMMYFUNCTION("""COMPUTED_VALUE"""),721.0)</f>
        <v>721</v>
      </c>
      <c r="F1316" s="9">
        <f>IFERROR(__xludf.DUMMYFUNCTION("""COMPUTED_VALUE"""),732.0)</f>
        <v>732</v>
      </c>
      <c r="G1316" s="9">
        <f>IFERROR(__xludf.DUMMYFUNCTION("""COMPUTED_VALUE"""),7429783.0)</f>
        <v>7429783</v>
      </c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</row>
    <row r="1317">
      <c r="A1317" s="1"/>
      <c r="B1317" s="22">
        <f>IFERROR(__xludf.DUMMYFUNCTION("""COMPUTED_VALUE"""),43490.64583333333)</f>
        <v>43490.64583</v>
      </c>
      <c r="C1317" s="9">
        <f>IFERROR(__xludf.DUMMYFUNCTION("""COMPUTED_VALUE"""),728.0)</f>
        <v>728</v>
      </c>
      <c r="D1317" s="9">
        <f>IFERROR(__xludf.DUMMYFUNCTION("""COMPUTED_VALUE"""),737.9)</f>
        <v>737.9</v>
      </c>
      <c r="E1317" s="9">
        <f>IFERROR(__xludf.DUMMYFUNCTION("""COMPUTED_VALUE"""),724.25)</f>
        <v>724.25</v>
      </c>
      <c r="F1317" s="9">
        <f>IFERROR(__xludf.DUMMYFUNCTION("""COMPUTED_VALUE"""),730.35)</f>
        <v>730.35</v>
      </c>
      <c r="G1317" s="9">
        <f>IFERROR(__xludf.DUMMYFUNCTION("""COMPUTED_VALUE"""),5543112.0)</f>
        <v>5543112</v>
      </c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</row>
    <row r="1318">
      <c r="A1318" s="1"/>
      <c r="B1318" s="22">
        <f>IFERROR(__xludf.DUMMYFUNCTION("""COMPUTED_VALUE"""),43493.64583333333)</f>
        <v>43493.64583</v>
      </c>
      <c r="C1318" s="9">
        <f>IFERROR(__xludf.DUMMYFUNCTION("""COMPUTED_VALUE"""),731.0)</f>
        <v>731</v>
      </c>
      <c r="D1318" s="9">
        <f>IFERROR(__xludf.DUMMYFUNCTION("""COMPUTED_VALUE"""),732.6)</f>
        <v>732.6</v>
      </c>
      <c r="E1318" s="9">
        <f>IFERROR(__xludf.DUMMYFUNCTION("""COMPUTED_VALUE"""),719.0)</f>
        <v>719</v>
      </c>
      <c r="F1318" s="9">
        <f>IFERROR(__xludf.DUMMYFUNCTION("""COMPUTED_VALUE"""),727.95)</f>
        <v>727.95</v>
      </c>
      <c r="G1318" s="9">
        <f>IFERROR(__xludf.DUMMYFUNCTION("""COMPUTED_VALUE"""),7944693.0)</f>
        <v>7944693</v>
      </c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</row>
    <row r="1319">
      <c r="A1319" s="1"/>
      <c r="B1319" s="22">
        <f>IFERROR(__xludf.DUMMYFUNCTION("""COMPUTED_VALUE"""),43494.64583333333)</f>
        <v>43494.64583</v>
      </c>
      <c r="C1319" s="9">
        <f>IFERROR(__xludf.DUMMYFUNCTION("""COMPUTED_VALUE"""),725.5)</f>
        <v>725.5</v>
      </c>
      <c r="D1319" s="9">
        <f>IFERROR(__xludf.DUMMYFUNCTION("""COMPUTED_VALUE"""),732.85)</f>
        <v>732.85</v>
      </c>
      <c r="E1319" s="9">
        <f>IFERROR(__xludf.DUMMYFUNCTION("""COMPUTED_VALUE"""),716.5)</f>
        <v>716.5</v>
      </c>
      <c r="F1319" s="9">
        <f>IFERROR(__xludf.DUMMYFUNCTION("""COMPUTED_VALUE"""),727.9)</f>
        <v>727.9</v>
      </c>
      <c r="G1319" s="9">
        <f>IFERROR(__xludf.DUMMYFUNCTION("""COMPUTED_VALUE"""),6760819.0)</f>
        <v>6760819</v>
      </c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</row>
    <row r="1320">
      <c r="A1320" s="1"/>
      <c r="B1320" s="22">
        <f>IFERROR(__xludf.DUMMYFUNCTION("""COMPUTED_VALUE"""),43495.64583333333)</f>
        <v>43495.64583</v>
      </c>
      <c r="C1320" s="9">
        <f>IFERROR(__xludf.DUMMYFUNCTION("""COMPUTED_VALUE"""),727.9)</f>
        <v>727.9</v>
      </c>
      <c r="D1320" s="9">
        <f>IFERROR(__xludf.DUMMYFUNCTION("""COMPUTED_VALUE"""),734.8)</f>
        <v>734.8</v>
      </c>
      <c r="E1320" s="9">
        <f>IFERROR(__xludf.DUMMYFUNCTION("""COMPUTED_VALUE"""),721.1)</f>
        <v>721.1</v>
      </c>
      <c r="F1320" s="9">
        <f>IFERROR(__xludf.DUMMYFUNCTION("""COMPUTED_VALUE"""),725.9)</f>
        <v>725.9</v>
      </c>
      <c r="G1320" s="9">
        <f>IFERROR(__xludf.DUMMYFUNCTION("""COMPUTED_VALUE"""),5763026.0)</f>
        <v>5763026</v>
      </c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</row>
    <row r="1321">
      <c r="A1321" s="1"/>
      <c r="B1321" s="22">
        <f>IFERROR(__xludf.DUMMYFUNCTION("""COMPUTED_VALUE"""),43496.64583333333)</f>
        <v>43496.64583</v>
      </c>
      <c r="C1321" s="9">
        <f>IFERROR(__xludf.DUMMYFUNCTION("""COMPUTED_VALUE"""),726.0)</f>
        <v>726</v>
      </c>
      <c r="D1321" s="9">
        <f>IFERROR(__xludf.DUMMYFUNCTION("""COMPUTED_VALUE"""),751.3)</f>
        <v>751.3</v>
      </c>
      <c r="E1321" s="9">
        <f>IFERROR(__xludf.DUMMYFUNCTION("""COMPUTED_VALUE"""),726.0)</f>
        <v>726</v>
      </c>
      <c r="F1321" s="9">
        <f>IFERROR(__xludf.DUMMYFUNCTION("""COMPUTED_VALUE"""),749.55)</f>
        <v>749.55</v>
      </c>
      <c r="G1321" s="9">
        <f>IFERROR(__xludf.DUMMYFUNCTION("""COMPUTED_VALUE"""),1.3825233E7)</f>
        <v>13825233</v>
      </c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</row>
    <row r="1322">
      <c r="A1322" s="1"/>
      <c r="B1322" s="22">
        <f>IFERROR(__xludf.DUMMYFUNCTION("""COMPUTED_VALUE"""),43497.64583333333)</f>
        <v>43497.64583</v>
      </c>
      <c r="C1322" s="9">
        <f>IFERROR(__xludf.DUMMYFUNCTION("""COMPUTED_VALUE"""),751.35)</f>
        <v>751.35</v>
      </c>
      <c r="D1322" s="9">
        <f>IFERROR(__xludf.DUMMYFUNCTION("""COMPUTED_VALUE"""),762.5)</f>
        <v>762.5</v>
      </c>
      <c r="E1322" s="9">
        <f>IFERROR(__xludf.DUMMYFUNCTION("""COMPUTED_VALUE"""),744.5)</f>
        <v>744.5</v>
      </c>
      <c r="F1322" s="9">
        <f>IFERROR(__xludf.DUMMYFUNCTION("""COMPUTED_VALUE"""),757.05)</f>
        <v>757.05</v>
      </c>
      <c r="G1322" s="9">
        <f>IFERROR(__xludf.DUMMYFUNCTION("""COMPUTED_VALUE"""),6276585.0)</f>
        <v>6276585</v>
      </c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</row>
    <row r="1323">
      <c r="A1323" s="1"/>
      <c r="B1323" s="22">
        <f>IFERROR(__xludf.DUMMYFUNCTION("""COMPUTED_VALUE"""),43500.64583333333)</f>
        <v>43500.64583</v>
      </c>
      <c r="C1323" s="9">
        <f>IFERROR(__xludf.DUMMYFUNCTION("""COMPUTED_VALUE"""),757.0)</f>
        <v>757</v>
      </c>
      <c r="D1323" s="9">
        <f>IFERROR(__xludf.DUMMYFUNCTION("""COMPUTED_VALUE"""),762.5)</f>
        <v>762.5</v>
      </c>
      <c r="E1323" s="9">
        <f>IFERROR(__xludf.DUMMYFUNCTION("""COMPUTED_VALUE"""),749.2)</f>
        <v>749.2</v>
      </c>
      <c r="F1323" s="9">
        <f>IFERROR(__xludf.DUMMYFUNCTION("""COMPUTED_VALUE"""),755.9)</f>
        <v>755.9</v>
      </c>
      <c r="G1323" s="9">
        <f>IFERROR(__xludf.DUMMYFUNCTION("""COMPUTED_VALUE"""),3945391.0)</f>
        <v>3945391</v>
      </c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</row>
    <row r="1324">
      <c r="A1324" s="1"/>
      <c r="B1324" s="22">
        <f>IFERROR(__xludf.DUMMYFUNCTION("""COMPUTED_VALUE"""),43501.64583333333)</f>
        <v>43501.64583</v>
      </c>
      <c r="C1324" s="9">
        <f>IFERROR(__xludf.DUMMYFUNCTION("""COMPUTED_VALUE"""),747.0)</f>
        <v>747</v>
      </c>
      <c r="D1324" s="9">
        <f>IFERROR(__xludf.DUMMYFUNCTION("""COMPUTED_VALUE"""),759.95)</f>
        <v>759.95</v>
      </c>
      <c r="E1324" s="9">
        <f>IFERROR(__xludf.DUMMYFUNCTION("""COMPUTED_VALUE"""),747.0)</f>
        <v>747</v>
      </c>
      <c r="F1324" s="9">
        <f>IFERROR(__xludf.DUMMYFUNCTION("""COMPUTED_VALUE"""),754.85)</f>
        <v>754.85</v>
      </c>
      <c r="G1324" s="9">
        <f>IFERROR(__xludf.DUMMYFUNCTION("""COMPUTED_VALUE"""),4694366.0)</f>
        <v>4694366</v>
      </c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</row>
    <row r="1325">
      <c r="A1325" s="1"/>
      <c r="B1325" s="22">
        <f>IFERROR(__xludf.DUMMYFUNCTION("""COMPUTED_VALUE"""),43502.64583333333)</f>
        <v>43502.64583</v>
      </c>
      <c r="C1325" s="9">
        <f>IFERROR(__xludf.DUMMYFUNCTION("""COMPUTED_VALUE"""),755.55)</f>
        <v>755.55</v>
      </c>
      <c r="D1325" s="9">
        <f>IFERROR(__xludf.DUMMYFUNCTION("""COMPUTED_VALUE"""),766.95)</f>
        <v>766.95</v>
      </c>
      <c r="E1325" s="9">
        <f>IFERROR(__xludf.DUMMYFUNCTION("""COMPUTED_VALUE"""),754.35)</f>
        <v>754.35</v>
      </c>
      <c r="F1325" s="9">
        <f>IFERROR(__xludf.DUMMYFUNCTION("""COMPUTED_VALUE"""),763.3)</f>
        <v>763.3</v>
      </c>
      <c r="G1325" s="9">
        <f>IFERROR(__xludf.DUMMYFUNCTION("""COMPUTED_VALUE"""),5880482.0)</f>
        <v>5880482</v>
      </c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</row>
    <row r="1326">
      <c r="A1326" s="1"/>
      <c r="B1326" s="22">
        <f>IFERROR(__xludf.DUMMYFUNCTION("""COMPUTED_VALUE"""),43503.64583333333)</f>
        <v>43503.64583</v>
      </c>
      <c r="C1326" s="9">
        <f>IFERROR(__xludf.DUMMYFUNCTION("""COMPUTED_VALUE"""),763.05)</f>
        <v>763.05</v>
      </c>
      <c r="D1326" s="9">
        <f>IFERROR(__xludf.DUMMYFUNCTION("""COMPUTED_VALUE"""),769.45)</f>
        <v>769.45</v>
      </c>
      <c r="E1326" s="9">
        <f>IFERROR(__xludf.DUMMYFUNCTION("""COMPUTED_VALUE"""),761.0)</f>
        <v>761</v>
      </c>
      <c r="F1326" s="9">
        <f>IFERROR(__xludf.DUMMYFUNCTION("""COMPUTED_VALUE"""),764.0)</f>
        <v>764</v>
      </c>
      <c r="G1326" s="9">
        <f>IFERROR(__xludf.DUMMYFUNCTION("""COMPUTED_VALUE"""),3961797.0)</f>
        <v>3961797</v>
      </c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</row>
    <row r="1327">
      <c r="A1327" s="1"/>
      <c r="B1327" s="22">
        <f>IFERROR(__xludf.DUMMYFUNCTION("""COMPUTED_VALUE"""),43504.64583333333)</f>
        <v>43504.64583</v>
      </c>
      <c r="C1327" s="9">
        <f>IFERROR(__xludf.DUMMYFUNCTION("""COMPUTED_VALUE"""),760.0)</f>
        <v>760</v>
      </c>
      <c r="D1327" s="9">
        <f>IFERROR(__xludf.DUMMYFUNCTION("""COMPUTED_VALUE"""),772.25)</f>
        <v>772.25</v>
      </c>
      <c r="E1327" s="9">
        <f>IFERROR(__xludf.DUMMYFUNCTION("""COMPUTED_VALUE"""),754.9)</f>
        <v>754.9</v>
      </c>
      <c r="F1327" s="9">
        <f>IFERROR(__xludf.DUMMYFUNCTION("""COMPUTED_VALUE"""),760.9)</f>
        <v>760.9</v>
      </c>
      <c r="G1327" s="9">
        <f>IFERROR(__xludf.DUMMYFUNCTION("""COMPUTED_VALUE"""),5915169.0)</f>
        <v>5915169</v>
      </c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</row>
    <row r="1328">
      <c r="A1328" s="1"/>
      <c r="B1328" s="22">
        <f>IFERROR(__xludf.DUMMYFUNCTION("""COMPUTED_VALUE"""),43507.64583333333)</f>
        <v>43507.64583</v>
      </c>
      <c r="C1328" s="9">
        <f>IFERROR(__xludf.DUMMYFUNCTION("""COMPUTED_VALUE"""),766.9)</f>
        <v>766.9</v>
      </c>
      <c r="D1328" s="9">
        <f>IFERROR(__xludf.DUMMYFUNCTION("""COMPUTED_VALUE"""),768.75)</f>
        <v>768.75</v>
      </c>
      <c r="E1328" s="9">
        <f>IFERROR(__xludf.DUMMYFUNCTION("""COMPUTED_VALUE"""),759.0)</f>
        <v>759</v>
      </c>
      <c r="F1328" s="9">
        <f>IFERROR(__xludf.DUMMYFUNCTION("""COMPUTED_VALUE"""),762.8)</f>
        <v>762.8</v>
      </c>
      <c r="G1328" s="9">
        <f>IFERROR(__xludf.DUMMYFUNCTION("""COMPUTED_VALUE"""),5500216.0)</f>
        <v>5500216</v>
      </c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</row>
    <row r="1329">
      <c r="A1329" s="1"/>
      <c r="B1329" s="22">
        <f>IFERROR(__xludf.DUMMYFUNCTION("""COMPUTED_VALUE"""),43508.64583333333)</f>
        <v>43508.64583</v>
      </c>
      <c r="C1329" s="9">
        <f>IFERROR(__xludf.DUMMYFUNCTION("""COMPUTED_VALUE"""),760.35)</f>
        <v>760.35</v>
      </c>
      <c r="D1329" s="9">
        <f>IFERROR(__xludf.DUMMYFUNCTION("""COMPUTED_VALUE"""),760.35)</f>
        <v>760.35</v>
      </c>
      <c r="E1329" s="9">
        <f>IFERROR(__xludf.DUMMYFUNCTION("""COMPUTED_VALUE"""),741.0)</f>
        <v>741</v>
      </c>
      <c r="F1329" s="9">
        <f>IFERROR(__xludf.DUMMYFUNCTION("""COMPUTED_VALUE"""),750.45)</f>
        <v>750.45</v>
      </c>
      <c r="G1329" s="9">
        <f>IFERROR(__xludf.DUMMYFUNCTION("""COMPUTED_VALUE"""),7310690.0)</f>
        <v>7310690</v>
      </c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</row>
    <row r="1330">
      <c r="A1330" s="1"/>
      <c r="B1330" s="22">
        <f>IFERROR(__xludf.DUMMYFUNCTION("""COMPUTED_VALUE"""),43509.64583333333)</f>
        <v>43509.64583</v>
      </c>
      <c r="C1330" s="9">
        <f>IFERROR(__xludf.DUMMYFUNCTION("""COMPUTED_VALUE"""),750.1)</f>
        <v>750.1</v>
      </c>
      <c r="D1330" s="9">
        <f>IFERROR(__xludf.DUMMYFUNCTION("""COMPUTED_VALUE"""),759.7)</f>
        <v>759.7</v>
      </c>
      <c r="E1330" s="9">
        <f>IFERROR(__xludf.DUMMYFUNCTION("""COMPUTED_VALUE"""),743.65)</f>
        <v>743.65</v>
      </c>
      <c r="F1330" s="9">
        <f>IFERROR(__xludf.DUMMYFUNCTION("""COMPUTED_VALUE"""),754.9)</f>
        <v>754.9</v>
      </c>
      <c r="G1330" s="9">
        <f>IFERROR(__xludf.DUMMYFUNCTION("""COMPUTED_VALUE"""),5050182.0)</f>
        <v>5050182</v>
      </c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</row>
    <row r="1331">
      <c r="A1331" s="1"/>
      <c r="B1331" s="22">
        <f>IFERROR(__xludf.DUMMYFUNCTION("""COMPUTED_VALUE"""),43510.64583333333)</f>
        <v>43510.64583</v>
      </c>
      <c r="C1331" s="9">
        <f>IFERROR(__xludf.DUMMYFUNCTION("""COMPUTED_VALUE"""),751.0)</f>
        <v>751</v>
      </c>
      <c r="D1331" s="9">
        <f>IFERROR(__xludf.DUMMYFUNCTION("""COMPUTED_VALUE"""),753.0)</f>
        <v>753</v>
      </c>
      <c r="E1331" s="9">
        <f>IFERROR(__xludf.DUMMYFUNCTION("""COMPUTED_VALUE"""),737.25)</f>
        <v>737.25</v>
      </c>
      <c r="F1331" s="9">
        <f>IFERROR(__xludf.DUMMYFUNCTION("""COMPUTED_VALUE"""),740.05)</f>
        <v>740.05</v>
      </c>
      <c r="G1331" s="9">
        <f>IFERROR(__xludf.DUMMYFUNCTION("""COMPUTED_VALUE"""),4610535.0)</f>
        <v>4610535</v>
      </c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</row>
    <row r="1332">
      <c r="A1332" s="1"/>
      <c r="B1332" s="22">
        <f>IFERROR(__xludf.DUMMYFUNCTION("""COMPUTED_VALUE"""),43511.64583333333)</f>
        <v>43511.64583</v>
      </c>
      <c r="C1332" s="9">
        <f>IFERROR(__xludf.DUMMYFUNCTION("""COMPUTED_VALUE"""),742.3)</f>
        <v>742.3</v>
      </c>
      <c r="D1332" s="9">
        <f>IFERROR(__xludf.DUMMYFUNCTION("""COMPUTED_VALUE"""),746.5)</f>
        <v>746.5</v>
      </c>
      <c r="E1332" s="9">
        <f>IFERROR(__xludf.DUMMYFUNCTION("""COMPUTED_VALUE"""),732.6)</f>
        <v>732.6</v>
      </c>
      <c r="F1332" s="9">
        <f>IFERROR(__xludf.DUMMYFUNCTION("""COMPUTED_VALUE"""),741.95)</f>
        <v>741.95</v>
      </c>
      <c r="G1332" s="9">
        <f>IFERROR(__xludf.DUMMYFUNCTION("""COMPUTED_VALUE"""),5586389.0)</f>
        <v>5586389</v>
      </c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</row>
    <row r="1333">
      <c r="A1333" s="1"/>
      <c r="B1333" s="22">
        <f>IFERROR(__xludf.DUMMYFUNCTION("""COMPUTED_VALUE"""),43514.64583333333)</f>
        <v>43514.64583</v>
      </c>
      <c r="C1333" s="9">
        <f>IFERROR(__xludf.DUMMYFUNCTION("""COMPUTED_VALUE"""),742.35)</f>
        <v>742.35</v>
      </c>
      <c r="D1333" s="9">
        <f>IFERROR(__xludf.DUMMYFUNCTION("""COMPUTED_VALUE"""),747.65)</f>
        <v>747.65</v>
      </c>
      <c r="E1333" s="9">
        <f>IFERROR(__xludf.DUMMYFUNCTION("""COMPUTED_VALUE"""),736.0)</f>
        <v>736</v>
      </c>
      <c r="F1333" s="9">
        <f>IFERROR(__xludf.DUMMYFUNCTION("""COMPUTED_VALUE"""),741.05)</f>
        <v>741.05</v>
      </c>
      <c r="G1333" s="9">
        <f>IFERROR(__xludf.DUMMYFUNCTION("""COMPUTED_VALUE"""),5346825.0)</f>
        <v>5346825</v>
      </c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</row>
    <row r="1334">
      <c r="A1334" s="1"/>
      <c r="B1334" s="22">
        <f>IFERROR(__xludf.DUMMYFUNCTION("""COMPUTED_VALUE"""),43515.64583333333)</f>
        <v>43515.64583</v>
      </c>
      <c r="C1334" s="9">
        <f>IFERROR(__xludf.DUMMYFUNCTION("""COMPUTED_VALUE"""),739.1)</f>
        <v>739.1</v>
      </c>
      <c r="D1334" s="9">
        <f>IFERROR(__xludf.DUMMYFUNCTION("""COMPUTED_VALUE"""),740.55)</f>
        <v>740.55</v>
      </c>
      <c r="E1334" s="9">
        <f>IFERROR(__xludf.DUMMYFUNCTION("""COMPUTED_VALUE"""),721.3)</f>
        <v>721.3</v>
      </c>
      <c r="F1334" s="9">
        <f>IFERROR(__xludf.DUMMYFUNCTION("""COMPUTED_VALUE"""),724.3)</f>
        <v>724.3</v>
      </c>
      <c r="G1334" s="9">
        <f>IFERROR(__xludf.DUMMYFUNCTION("""COMPUTED_VALUE"""),9401334.0)</f>
        <v>9401334</v>
      </c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</row>
    <row r="1335">
      <c r="A1335" s="1"/>
      <c r="B1335" s="22">
        <f>IFERROR(__xludf.DUMMYFUNCTION("""COMPUTED_VALUE"""),43516.64583333333)</f>
        <v>43516.64583</v>
      </c>
      <c r="C1335" s="9">
        <f>IFERROR(__xludf.DUMMYFUNCTION("""COMPUTED_VALUE"""),727.0)</f>
        <v>727</v>
      </c>
      <c r="D1335" s="9">
        <f>IFERROR(__xludf.DUMMYFUNCTION("""COMPUTED_VALUE"""),743.0)</f>
        <v>743</v>
      </c>
      <c r="E1335" s="9">
        <f>IFERROR(__xludf.DUMMYFUNCTION("""COMPUTED_VALUE"""),726.05)</f>
        <v>726.05</v>
      </c>
      <c r="F1335" s="9">
        <f>IFERROR(__xludf.DUMMYFUNCTION("""COMPUTED_VALUE"""),740.7)</f>
        <v>740.7</v>
      </c>
      <c r="G1335" s="9">
        <f>IFERROR(__xludf.DUMMYFUNCTION("""COMPUTED_VALUE"""),5210675.0)</f>
        <v>5210675</v>
      </c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</row>
    <row r="1336">
      <c r="A1336" s="1"/>
      <c r="B1336" s="22">
        <f>IFERROR(__xludf.DUMMYFUNCTION("""COMPUTED_VALUE"""),43517.64583333333)</f>
        <v>43517.64583</v>
      </c>
      <c r="C1336" s="9">
        <f>IFERROR(__xludf.DUMMYFUNCTION("""COMPUTED_VALUE"""),738.0)</f>
        <v>738</v>
      </c>
      <c r="D1336" s="9">
        <f>IFERROR(__xludf.DUMMYFUNCTION("""COMPUTED_VALUE"""),738.0)</f>
        <v>738</v>
      </c>
      <c r="E1336" s="9">
        <f>IFERROR(__xludf.DUMMYFUNCTION("""COMPUTED_VALUE"""),727.1)</f>
        <v>727.1</v>
      </c>
      <c r="F1336" s="9">
        <f>IFERROR(__xludf.DUMMYFUNCTION("""COMPUTED_VALUE"""),733.45)</f>
        <v>733.45</v>
      </c>
      <c r="G1336" s="9">
        <f>IFERROR(__xludf.DUMMYFUNCTION("""COMPUTED_VALUE"""),7202786.0)</f>
        <v>7202786</v>
      </c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</row>
    <row r="1337">
      <c r="A1337" s="1"/>
      <c r="B1337" s="22">
        <f>IFERROR(__xludf.DUMMYFUNCTION("""COMPUTED_VALUE"""),43518.64583333333)</f>
        <v>43518.64583</v>
      </c>
      <c r="C1337" s="9">
        <f>IFERROR(__xludf.DUMMYFUNCTION("""COMPUTED_VALUE"""),732.5)</f>
        <v>732.5</v>
      </c>
      <c r="D1337" s="9">
        <f>IFERROR(__xludf.DUMMYFUNCTION("""COMPUTED_VALUE"""),738.2)</f>
        <v>738.2</v>
      </c>
      <c r="E1337" s="9">
        <f>IFERROR(__xludf.DUMMYFUNCTION("""COMPUTED_VALUE"""),728.0)</f>
        <v>728</v>
      </c>
      <c r="F1337" s="9">
        <f>IFERROR(__xludf.DUMMYFUNCTION("""COMPUTED_VALUE"""),734.95)</f>
        <v>734.95</v>
      </c>
      <c r="G1337" s="9">
        <f>IFERROR(__xludf.DUMMYFUNCTION("""COMPUTED_VALUE"""),3750833.0)</f>
        <v>3750833</v>
      </c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</row>
    <row r="1338">
      <c r="A1338" s="1"/>
      <c r="B1338" s="22">
        <f>IFERROR(__xludf.DUMMYFUNCTION("""COMPUTED_VALUE"""),43521.64583333333)</f>
        <v>43521.64583</v>
      </c>
      <c r="C1338" s="9">
        <f>IFERROR(__xludf.DUMMYFUNCTION("""COMPUTED_VALUE"""),735.55)</f>
        <v>735.55</v>
      </c>
      <c r="D1338" s="9">
        <f>IFERROR(__xludf.DUMMYFUNCTION("""COMPUTED_VALUE"""),758.0)</f>
        <v>758</v>
      </c>
      <c r="E1338" s="9">
        <f>IFERROR(__xludf.DUMMYFUNCTION("""COMPUTED_VALUE"""),735.55)</f>
        <v>735.55</v>
      </c>
      <c r="F1338" s="9">
        <f>IFERROR(__xludf.DUMMYFUNCTION("""COMPUTED_VALUE"""),754.9)</f>
        <v>754.9</v>
      </c>
      <c r="G1338" s="9">
        <f>IFERROR(__xludf.DUMMYFUNCTION("""COMPUTED_VALUE"""),6547552.0)</f>
        <v>6547552</v>
      </c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</row>
    <row r="1339">
      <c r="A1339" s="1"/>
      <c r="B1339" s="22">
        <f>IFERROR(__xludf.DUMMYFUNCTION("""COMPUTED_VALUE"""),43522.64583333333)</f>
        <v>43522.64583</v>
      </c>
      <c r="C1339" s="9">
        <f>IFERROR(__xludf.DUMMYFUNCTION("""COMPUTED_VALUE"""),748.6)</f>
        <v>748.6</v>
      </c>
      <c r="D1339" s="9">
        <f>IFERROR(__xludf.DUMMYFUNCTION("""COMPUTED_VALUE"""),752.6)</f>
        <v>752.6</v>
      </c>
      <c r="E1339" s="9">
        <f>IFERROR(__xludf.DUMMYFUNCTION("""COMPUTED_VALUE"""),740.15)</f>
        <v>740.15</v>
      </c>
      <c r="F1339" s="9">
        <f>IFERROR(__xludf.DUMMYFUNCTION("""COMPUTED_VALUE"""),742.5)</f>
        <v>742.5</v>
      </c>
      <c r="G1339" s="9">
        <f>IFERROR(__xludf.DUMMYFUNCTION("""COMPUTED_VALUE"""),8319610.0)</f>
        <v>8319610</v>
      </c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</row>
    <row r="1340">
      <c r="A1340" s="1"/>
      <c r="B1340" s="22">
        <f>IFERROR(__xludf.DUMMYFUNCTION("""COMPUTED_VALUE"""),43523.64583333333)</f>
        <v>43523.64583</v>
      </c>
      <c r="C1340" s="9">
        <f>IFERROR(__xludf.DUMMYFUNCTION("""COMPUTED_VALUE"""),745.0)</f>
        <v>745</v>
      </c>
      <c r="D1340" s="9">
        <f>IFERROR(__xludf.DUMMYFUNCTION("""COMPUTED_VALUE"""),746.4)</f>
        <v>746.4</v>
      </c>
      <c r="E1340" s="9">
        <f>IFERROR(__xludf.DUMMYFUNCTION("""COMPUTED_VALUE"""),732.75)</f>
        <v>732.75</v>
      </c>
      <c r="F1340" s="9">
        <f>IFERROR(__xludf.DUMMYFUNCTION("""COMPUTED_VALUE"""),735.25)</f>
        <v>735.25</v>
      </c>
      <c r="G1340" s="9">
        <f>IFERROR(__xludf.DUMMYFUNCTION("""COMPUTED_VALUE"""),5936354.0)</f>
        <v>5936354</v>
      </c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</row>
    <row r="1341">
      <c r="A1341" s="1"/>
      <c r="B1341" s="22">
        <f>IFERROR(__xludf.DUMMYFUNCTION("""COMPUTED_VALUE"""),43524.64583333333)</f>
        <v>43524.64583</v>
      </c>
      <c r="C1341" s="9">
        <f>IFERROR(__xludf.DUMMYFUNCTION("""COMPUTED_VALUE"""),738.7)</f>
        <v>738.7</v>
      </c>
      <c r="D1341" s="9">
        <f>IFERROR(__xludf.DUMMYFUNCTION("""COMPUTED_VALUE"""),742.4)</f>
        <v>742.4</v>
      </c>
      <c r="E1341" s="9">
        <f>IFERROR(__xludf.DUMMYFUNCTION("""COMPUTED_VALUE"""),732.3)</f>
        <v>732.3</v>
      </c>
      <c r="F1341" s="9">
        <f>IFERROR(__xludf.DUMMYFUNCTION("""COMPUTED_VALUE"""),734.3)</f>
        <v>734.3</v>
      </c>
      <c r="G1341" s="9">
        <f>IFERROR(__xludf.DUMMYFUNCTION("""COMPUTED_VALUE"""),8559921.0)</f>
        <v>8559921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</row>
    <row r="1342">
      <c r="A1342" s="1"/>
      <c r="B1342" s="22">
        <f>IFERROR(__xludf.DUMMYFUNCTION("""COMPUTED_VALUE"""),43525.64583333333)</f>
        <v>43525.64583</v>
      </c>
      <c r="C1342" s="9">
        <f>IFERROR(__xludf.DUMMYFUNCTION("""COMPUTED_VALUE"""),735.5)</f>
        <v>735.5</v>
      </c>
      <c r="D1342" s="9">
        <f>IFERROR(__xludf.DUMMYFUNCTION("""COMPUTED_VALUE"""),743.4)</f>
        <v>743.4</v>
      </c>
      <c r="E1342" s="9">
        <f>IFERROR(__xludf.DUMMYFUNCTION("""COMPUTED_VALUE"""),735.5)</f>
        <v>735.5</v>
      </c>
      <c r="F1342" s="9">
        <f>IFERROR(__xludf.DUMMYFUNCTION("""COMPUTED_VALUE"""),741.9)</f>
        <v>741.9</v>
      </c>
      <c r="G1342" s="9">
        <f>IFERROR(__xludf.DUMMYFUNCTION("""COMPUTED_VALUE"""),3998826.0)</f>
        <v>3998826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</row>
    <row r="1343">
      <c r="A1343" s="1"/>
      <c r="B1343" s="22">
        <f>IFERROR(__xludf.DUMMYFUNCTION("""COMPUTED_VALUE"""),43529.64583333333)</f>
        <v>43529.64583</v>
      </c>
      <c r="C1343" s="9">
        <f>IFERROR(__xludf.DUMMYFUNCTION("""COMPUTED_VALUE"""),740.5)</f>
        <v>740.5</v>
      </c>
      <c r="D1343" s="9">
        <f>IFERROR(__xludf.DUMMYFUNCTION("""COMPUTED_VALUE"""),742.5)</f>
        <v>742.5</v>
      </c>
      <c r="E1343" s="9">
        <f>IFERROR(__xludf.DUMMYFUNCTION("""COMPUTED_VALUE"""),730.25)</f>
        <v>730.25</v>
      </c>
      <c r="F1343" s="9">
        <f>IFERROR(__xludf.DUMMYFUNCTION("""COMPUTED_VALUE"""),732.5)</f>
        <v>732.5</v>
      </c>
      <c r="G1343" s="9">
        <f>IFERROR(__xludf.DUMMYFUNCTION("""COMPUTED_VALUE"""),4826505.0)</f>
        <v>4826505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</row>
    <row r="1344">
      <c r="A1344" s="1"/>
      <c r="B1344" s="22">
        <f>IFERROR(__xludf.DUMMYFUNCTION("""COMPUTED_VALUE"""),43530.64583333333)</f>
        <v>43530.64583</v>
      </c>
      <c r="C1344" s="9">
        <f>IFERROR(__xludf.DUMMYFUNCTION("""COMPUTED_VALUE"""),736.1)</f>
        <v>736.1</v>
      </c>
      <c r="D1344" s="9">
        <f>IFERROR(__xludf.DUMMYFUNCTION("""COMPUTED_VALUE"""),736.1)</f>
        <v>736.1</v>
      </c>
      <c r="E1344" s="9">
        <f>IFERROR(__xludf.DUMMYFUNCTION("""COMPUTED_VALUE"""),727.0)</f>
        <v>727</v>
      </c>
      <c r="F1344" s="9">
        <f>IFERROR(__xludf.DUMMYFUNCTION("""COMPUTED_VALUE"""),732.5)</f>
        <v>732.5</v>
      </c>
      <c r="G1344" s="9">
        <f>IFERROR(__xludf.DUMMYFUNCTION("""COMPUTED_VALUE"""),6076668.0)</f>
        <v>6076668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</row>
    <row r="1345">
      <c r="A1345" s="1"/>
      <c r="B1345" s="22">
        <f>IFERROR(__xludf.DUMMYFUNCTION("""COMPUTED_VALUE"""),43531.64583333333)</f>
        <v>43531.64583</v>
      </c>
      <c r="C1345" s="9">
        <f>IFERROR(__xludf.DUMMYFUNCTION("""COMPUTED_VALUE"""),734.0)</f>
        <v>734</v>
      </c>
      <c r="D1345" s="9">
        <f>IFERROR(__xludf.DUMMYFUNCTION("""COMPUTED_VALUE"""),734.5)</f>
        <v>734.5</v>
      </c>
      <c r="E1345" s="9">
        <f>IFERROR(__xludf.DUMMYFUNCTION("""COMPUTED_VALUE"""),720.55)</f>
        <v>720.55</v>
      </c>
      <c r="F1345" s="9">
        <f>IFERROR(__xludf.DUMMYFUNCTION("""COMPUTED_VALUE"""),722.95)</f>
        <v>722.95</v>
      </c>
      <c r="G1345" s="9">
        <f>IFERROR(__xludf.DUMMYFUNCTION("""COMPUTED_VALUE"""),5951551.0)</f>
        <v>5951551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</row>
    <row r="1346">
      <c r="A1346" s="1"/>
      <c r="B1346" s="22">
        <f>IFERROR(__xludf.DUMMYFUNCTION("""COMPUTED_VALUE"""),43532.64583333333)</f>
        <v>43532.64583</v>
      </c>
      <c r="C1346" s="9">
        <f>IFERROR(__xludf.DUMMYFUNCTION("""COMPUTED_VALUE"""),722.95)</f>
        <v>722.95</v>
      </c>
      <c r="D1346" s="9">
        <f>IFERROR(__xludf.DUMMYFUNCTION("""COMPUTED_VALUE"""),722.95)</f>
        <v>722.95</v>
      </c>
      <c r="E1346" s="9">
        <f>IFERROR(__xludf.DUMMYFUNCTION("""COMPUTED_VALUE"""),710.65)</f>
        <v>710.65</v>
      </c>
      <c r="F1346" s="9">
        <f>IFERROR(__xludf.DUMMYFUNCTION("""COMPUTED_VALUE"""),712.35)</f>
        <v>712.35</v>
      </c>
      <c r="G1346" s="9">
        <f>IFERROR(__xludf.DUMMYFUNCTION("""COMPUTED_VALUE"""),7193994.0)</f>
        <v>7193994</v>
      </c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</row>
    <row r="1347">
      <c r="A1347" s="1"/>
      <c r="B1347" s="22">
        <f>IFERROR(__xludf.DUMMYFUNCTION("""COMPUTED_VALUE"""),43535.64583333333)</f>
        <v>43535.64583</v>
      </c>
      <c r="C1347" s="9">
        <f>IFERROR(__xludf.DUMMYFUNCTION("""COMPUTED_VALUE"""),713.3)</f>
        <v>713.3</v>
      </c>
      <c r="D1347" s="9">
        <f>IFERROR(__xludf.DUMMYFUNCTION("""COMPUTED_VALUE"""),718.5)</f>
        <v>718.5</v>
      </c>
      <c r="E1347" s="9">
        <f>IFERROR(__xludf.DUMMYFUNCTION("""COMPUTED_VALUE"""),709.4)</f>
        <v>709.4</v>
      </c>
      <c r="F1347" s="9">
        <f>IFERROR(__xludf.DUMMYFUNCTION("""COMPUTED_VALUE"""),711.25)</f>
        <v>711.25</v>
      </c>
      <c r="G1347" s="9">
        <f>IFERROR(__xludf.DUMMYFUNCTION("""COMPUTED_VALUE"""),9932198.0)</f>
        <v>9932198</v>
      </c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</row>
    <row r="1348">
      <c r="A1348" s="1"/>
      <c r="B1348" s="22">
        <f>IFERROR(__xludf.DUMMYFUNCTION("""COMPUTED_VALUE"""),43536.64583333333)</f>
        <v>43536.64583</v>
      </c>
      <c r="C1348" s="9">
        <f>IFERROR(__xludf.DUMMYFUNCTION("""COMPUTED_VALUE"""),709.0)</f>
        <v>709</v>
      </c>
      <c r="D1348" s="9">
        <f>IFERROR(__xludf.DUMMYFUNCTION("""COMPUTED_VALUE"""),714.95)</f>
        <v>714.95</v>
      </c>
      <c r="E1348" s="9">
        <f>IFERROR(__xludf.DUMMYFUNCTION("""COMPUTED_VALUE"""),705.6)</f>
        <v>705.6</v>
      </c>
      <c r="F1348" s="9">
        <f>IFERROR(__xludf.DUMMYFUNCTION("""COMPUTED_VALUE"""),706.95)</f>
        <v>706.95</v>
      </c>
      <c r="G1348" s="9">
        <f>IFERROR(__xludf.DUMMYFUNCTION("""COMPUTED_VALUE"""),1.1997387E7)</f>
        <v>11997387</v>
      </c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</row>
    <row r="1349">
      <c r="A1349" s="1"/>
      <c r="B1349" s="22">
        <f>IFERROR(__xludf.DUMMYFUNCTION("""COMPUTED_VALUE"""),43537.64583333333)</f>
        <v>43537.64583</v>
      </c>
      <c r="C1349" s="9">
        <f>IFERROR(__xludf.DUMMYFUNCTION("""COMPUTED_VALUE"""),710.0)</f>
        <v>710</v>
      </c>
      <c r="D1349" s="9">
        <f>IFERROR(__xludf.DUMMYFUNCTION("""COMPUTED_VALUE"""),718.6)</f>
        <v>718.6</v>
      </c>
      <c r="E1349" s="9">
        <f>IFERROR(__xludf.DUMMYFUNCTION("""COMPUTED_VALUE"""),706.3)</f>
        <v>706.3</v>
      </c>
      <c r="F1349" s="9">
        <f>IFERROR(__xludf.DUMMYFUNCTION("""COMPUTED_VALUE"""),708.45)</f>
        <v>708.45</v>
      </c>
      <c r="G1349" s="9">
        <f>IFERROR(__xludf.DUMMYFUNCTION("""COMPUTED_VALUE"""),1.1348867E7)</f>
        <v>11348867</v>
      </c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</row>
    <row r="1350">
      <c r="A1350" s="1"/>
      <c r="B1350" s="22">
        <f>IFERROR(__xludf.DUMMYFUNCTION("""COMPUTED_VALUE"""),43538.64583333333)</f>
        <v>43538.64583</v>
      </c>
      <c r="C1350" s="9">
        <f>IFERROR(__xludf.DUMMYFUNCTION("""COMPUTED_VALUE"""),714.0)</f>
        <v>714</v>
      </c>
      <c r="D1350" s="9">
        <f>IFERROR(__xludf.DUMMYFUNCTION("""COMPUTED_VALUE"""),714.9)</f>
        <v>714.9</v>
      </c>
      <c r="E1350" s="9">
        <f>IFERROR(__xludf.DUMMYFUNCTION("""COMPUTED_VALUE"""),706.2)</f>
        <v>706.2</v>
      </c>
      <c r="F1350" s="9">
        <f>IFERROR(__xludf.DUMMYFUNCTION("""COMPUTED_VALUE"""),708.35)</f>
        <v>708.35</v>
      </c>
      <c r="G1350" s="9">
        <f>IFERROR(__xludf.DUMMYFUNCTION("""COMPUTED_VALUE"""),6415187.0)</f>
        <v>6415187</v>
      </c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</row>
    <row r="1351">
      <c r="A1351" s="1"/>
      <c r="B1351" s="22">
        <f>IFERROR(__xludf.DUMMYFUNCTION("""COMPUTED_VALUE"""),43539.64583333333)</f>
        <v>43539.64583</v>
      </c>
      <c r="C1351" s="9">
        <f>IFERROR(__xludf.DUMMYFUNCTION("""COMPUTED_VALUE"""),712.0)</f>
        <v>712</v>
      </c>
      <c r="D1351" s="9">
        <f>IFERROR(__xludf.DUMMYFUNCTION("""COMPUTED_VALUE"""),723.75)</f>
        <v>723.75</v>
      </c>
      <c r="E1351" s="9">
        <f>IFERROR(__xludf.DUMMYFUNCTION("""COMPUTED_VALUE"""),709.6)</f>
        <v>709.6</v>
      </c>
      <c r="F1351" s="9">
        <f>IFERROR(__xludf.DUMMYFUNCTION("""COMPUTED_VALUE"""),718.55)</f>
        <v>718.55</v>
      </c>
      <c r="G1351" s="9">
        <f>IFERROR(__xludf.DUMMYFUNCTION("""COMPUTED_VALUE"""),1.4638664E7)</f>
        <v>14638664</v>
      </c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</row>
    <row r="1352">
      <c r="A1352" s="1"/>
      <c r="B1352" s="22">
        <f>IFERROR(__xludf.DUMMYFUNCTION("""COMPUTED_VALUE"""),43542.64583333333)</f>
        <v>43542.64583</v>
      </c>
      <c r="C1352" s="9">
        <f>IFERROR(__xludf.DUMMYFUNCTION("""COMPUTED_VALUE"""),721.55)</f>
        <v>721.55</v>
      </c>
      <c r="D1352" s="9">
        <f>IFERROR(__xludf.DUMMYFUNCTION("""COMPUTED_VALUE"""),723.7)</f>
        <v>723.7</v>
      </c>
      <c r="E1352" s="9">
        <f>IFERROR(__xludf.DUMMYFUNCTION("""COMPUTED_VALUE"""),705.35)</f>
        <v>705.35</v>
      </c>
      <c r="F1352" s="9">
        <f>IFERROR(__xludf.DUMMYFUNCTION("""COMPUTED_VALUE"""),710.2)</f>
        <v>710.2</v>
      </c>
      <c r="G1352" s="9">
        <f>IFERROR(__xludf.DUMMYFUNCTION("""COMPUTED_VALUE"""),8065544.0)</f>
        <v>8065544</v>
      </c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</row>
    <row r="1353">
      <c r="A1353" s="1"/>
      <c r="B1353" s="22">
        <f>IFERROR(__xludf.DUMMYFUNCTION("""COMPUTED_VALUE"""),43543.64583333333)</f>
        <v>43543.64583</v>
      </c>
      <c r="C1353" s="9">
        <f>IFERROR(__xludf.DUMMYFUNCTION("""COMPUTED_VALUE"""),712.8)</f>
        <v>712.8</v>
      </c>
      <c r="D1353" s="9">
        <f>IFERROR(__xludf.DUMMYFUNCTION("""COMPUTED_VALUE"""),726.5)</f>
        <v>726.5</v>
      </c>
      <c r="E1353" s="9">
        <f>IFERROR(__xludf.DUMMYFUNCTION("""COMPUTED_VALUE"""),707.4)</f>
        <v>707.4</v>
      </c>
      <c r="F1353" s="9">
        <f>IFERROR(__xludf.DUMMYFUNCTION("""COMPUTED_VALUE"""),722.25)</f>
        <v>722.25</v>
      </c>
      <c r="G1353" s="9">
        <f>IFERROR(__xludf.DUMMYFUNCTION("""COMPUTED_VALUE"""),8917337.0)</f>
        <v>8917337</v>
      </c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</row>
    <row r="1354">
      <c r="A1354" s="1"/>
      <c r="B1354" s="22">
        <f>IFERROR(__xludf.DUMMYFUNCTION("""COMPUTED_VALUE"""),43544.64583333333)</f>
        <v>43544.64583</v>
      </c>
      <c r="C1354" s="9">
        <f>IFERROR(__xludf.DUMMYFUNCTION("""COMPUTED_VALUE"""),727.25)</f>
        <v>727.25</v>
      </c>
      <c r="D1354" s="9">
        <f>IFERROR(__xludf.DUMMYFUNCTION("""COMPUTED_VALUE"""),742.3)</f>
        <v>742.3</v>
      </c>
      <c r="E1354" s="9">
        <f>IFERROR(__xludf.DUMMYFUNCTION("""COMPUTED_VALUE"""),727.15)</f>
        <v>727.15</v>
      </c>
      <c r="F1354" s="9">
        <f>IFERROR(__xludf.DUMMYFUNCTION("""COMPUTED_VALUE"""),738.95)</f>
        <v>738.95</v>
      </c>
      <c r="G1354" s="9">
        <f>IFERROR(__xludf.DUMMYFUNCTION("""COMPUTED_VALUE"""),1.3471173E7)</f>
        <v>13471173</v>
      </c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</row>
    <row r="1355">
      <c r="A1355" s="1"/>
      <c r="B1355" s="22">
        <f>IFERROR(__xludf.DUMMYFUNCTION("""COMPUTED_VALUE"""),43546.64583333333)</f>
        <v>43546.64583</v>
      </c>
      <c r="C1355" s="9">
        <f>IFERROR(__xludf.DUMMYFUNCTION("""COMPUTED_VALUE"""),745.0)</f>
        <v>745</v>
      </c>
      <c r="D1355" s="9">
        <f>IFERROR(__xludf.DUMMYFUNCTION("""COMPUTED_VALUE"""),746.35)</f>
        <v>746.35</v>
      </c>
      <c r="E1355" s="9">
        <f>IFERROR(__xludf.DUMMYFUNCTION("""COMPUTED_VALUE"""),732.3)</f>
        <v>732.3</v>
      </c>
      <c r="F1355" s="9">
        <f>IFERROR(__xludf.DUMMYFUNCTION("""COMPUTED_VALUE"""),743.1)</f>
        <v>743.1</v>
      </c>
      <c r="G1355" s="9">
        <f>IFERROR(__xludf.DUMMYFUNCTION("""COMPUTED_VALUE"""),8883260.0)</f>
        <v>8883260</v>
      </c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</row>
    <row r="1356">
      <c r="A1356" s="1"/>
      <c r="B1356" s="22">
        <f>IFERROR(__xludf.DUMMYFUNCTION("""COMPUTED_VALUE"""),43549.64583333333)</f>
        <v>43549.64583</v>
      </c>
      <c r="C1356" s="9">
        <f>IFERROR(__xludf.DUMMYFUNCTION("""COMPUTED_VALUE"""),742.4)</f>
        <v>742.4</v>
      </c>
      <c r="D1356" s="9">
        <f>IFERROR(__xludf.DUMMYFUNCTION("""COMPUTED_VALUE"""),742.4)</f>
        <v>742.4</v>
      </c>
      <c r="E1356" s="9">
        <f>IFERROR(__xludf.DUMMYFUNCTION("""COMPUTED_VALUE"""),730.55)</f>
        <v>730.55</v>
      </c>
      <c r="F1356" s="9">
        <f>IFERROR(__xludf.DUMMYFUNCTION("""COMPUTED_VALUE"""),735.25)</f>
        <v>735.25</v>
      </c>
      <c r="G1356" s="9">
        <f>IFERROR(__xludf.DUMMYFUNCTION("""COMPUTED_VALUE"""),7644966.0)</f>
        <v>7644966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</row>
    <row r="1357">
      <c r="A1357" s="1"/>
      <c r="B1357" s="22">
        <f>IFERROR(__xludf.DUMMYFUNCTION("""COMPUTED_VALUE"""),43550.64583333333)</f>
        <v>43550.64583</v>
      </c>
      <c r="C1357" s="9">
        <f>IFERROR(__xludf.DUMMYFUNCTION("""COMPUTED_VALUE"""),735.25)</f>
        <v>735.25</v>
      </c>
      <c r="D1357" s="9">
        <f>IFERROR(__xludf.DUMMYFUNCTION("""COMPUTED_VALUE"""),735.25)</f>
        <v>735.25</v>
      </c>
      <c r="E1357" s="9">
        <f>IFERROR(__xludf.DUMMYFUNCTION("""COMPUTED_VALUE"""),719.1)</f>
        <v>719.1</v>
      </c>
      <c r="F1357" s="9">
        <f>IFERROR(__xludf.DUMMYFUNCTION("""COMPUTED_VALUE"""),727.75)</f>
        <v>727.75</v>
      </c>
      <c r="G1357" s="9">
        <f>IFERROR(__xludf.DUMMYFUNCTION("""COMPUTED_VALUE"""),9406261.0)</f>
        <v>9406261</v>
      </c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</row>
    <row r="1358">
      <c r="A1358" s="1"/>
      <c r="B1358" s="22">
        <f>IFERROR(__xludf.DUMMYFUNCTION("""COMPUTED_VALUE"""),43551.64583333333)</f>
        <v>43551.64583</v>
      </c>
      <c r="C1358" s="9">
        <f>IFERROR(__xludf.DUMMYFUNCTION("""COMPUTED_VALUE"""),730.0)</f>
        <v>730</v>
      </c>
      <c r="D1358" s="9">
        <f>IFERROR(__xludf.DUMMYFUNCTION("""COMPUTED_VALUE"""),732.3)</f>
        <v>732.3</v>
      </c>
      <c r="E1358" s="9">
        <f>IFERROR(__xludf.DUMMYFUNCTION("""COMPUTED_VALUE"""),727.15)</f>
        <v>727.15</v>
      </c>
      <c r="F1358" s="9">
        <f>IFERROR(__xludf.DUMMYFUNCTION("""COMPUTED_VALUE"""),729.7)</f>
        <v>729.7</v>
      </c>
      <c r="G1358" s="9">
        <f>IFERROR(__xludf.DUMMYFUNCTION("""COMPUTED_VALUE"""),7387487.0)</f>
        <v>7387487</v>
      </c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</row>
    <row r="1359">
      <c r="A1359" s="1"/>
      <c r="B1359" s="22">
        <f>IFERROR(__xludf.DUMMYFUNCTION("""COMPUTED_VALUE"""),43552.64583333333)</f>
        <v>43552.64583</v>
      </c>
      <c r="C1359" s="9">
        <f>IFERROR(__xludf.DUMMYFUNCTION("""COMPUTED_VALUE"""),730.0)</f>
        <v>730</v>
      </c>
      <c r="D1359" s="9">
        <f>IFERROR(__xludf.DUMMYFUNCTION("""COMPUTED_VALUE"""),745.0)</f>
        <v>745</v>
      </c>
      <c r="E1359" s="9">
        <f>IFERROR(__xludf.DUMMYFUNCTION("""COMPUTED_VALUE"""),730.0)</f>
        <v>730</v>
      </c>
      <c r="F1359" s="9">
        <f>IFERROR(__xludf.DUMMYFUNCTION("""COMPUTED_VALUE"""),737.8)</f>
        <v>737.8</v>
      </c>
      <c r="G1359" s="9">
        <f>IFERROR(__xludf.DUMMYFUNCTION("""COMPUTED_VALUE"""),9277241.0)</f>
        <v>9277241</v>
      </c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</row>
    <row r="1360">
      <c r="A1360" s="1"/>
      <c r="B1360" s="22">
        <f>IFERROR(__xludf.DUMMYFUNCTION("""COMPUTED_VALUE"""),43553.64583333333)</f>
        <v>43553.64583</v>
      </c>
      <c r="C1360" s="9">
        <f>IFERROR(__xludf.DUMMYFUNCTION("""COMPUTED_VALUE"""),743.9)</f>
        <v>743.9</v>
      </c>
      <c r="D1360" s="9">
        <f>IFERROR(__xludf.DUMMYFUNCTION("""COMPUTED_VALUE"""),747.95)</f>
        <v>747.95</v>
      </c>
      <c r="E1360" s="9">
        <f>IFERROR(__xludf.DUMMYFUNCTION("""COMPUTED_VALUE"""),740.0)</f>
        <v>740</v>
      </c>
      <c r="F1360" s="9">
        <f>IFERROR(__xludf.DUMMYFUNCTION("""COMPUTED_VALUE"""),743.85)</f>
        <v>743.85</v>
      </c>
      <c r="G1360" s="9">
        <f>IFERROR(__xludf.DUMMYFUNCTION("""COMPUTED_VALUE"""),6924061.0)</f>
        <v>6924061</v>
      </c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</row>
    <row r="1361">
      <c r="A1361" s="1"/>
      <c r="B1361" s="22">
        <f>IFERROR(__xludf.DUMMYFUNCTION("""COMPUTED_VALUE"""),43556.64583333333)</f>
        <v>43556.64583</v>
      </c>
      <c r="C1361" s="9">
        <f>IFERROR(__xludf.DUMMYFUNCTION("""COMPUTED_VALUE"""),742.0)</f>
        <v>742</v>
      </c>
      <c r="D1361" s="9">
        <f>IFERROR(__xludf.DUMMYFUNCTION("""COMPUTED_VALUE"""),760.0)</f>
        <v>760</v>
      </c>
      <c r="E1361" s="9">
        <f>IFERROR(__xludf.DUMMYFUNCTION("""COMPUTED_VALUE"""),742.0)</f>
        <v>742</v>
      </c>
      <c r="F1361" s="9">
        <f>IFERROR(__xludf.DUMMYFUNCTION("""COMPUTED_VALUE"""),755.1)</f>
        <v>755.1</v>
      </c>
      <c r="G1361" s="9">
        <f>IFERROR(__xludf.DUMMYFUNCTION("""COMPUTED_VALUE"""),6584982.0)</f>
        <v>6584982</v>
      </c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</row>
    <row r="1362">
      <c r="A1362" s="1"/>
      <c r="B1362" s="22">
        <f>IFERROR(__xludf.DUMMYFUNCTION("""COMPUTED_VALUE"""),43557.64583333333)</f>
        <v>43557.64583</v>
      </c>
      <c r="C1362" s="9">
        <f>IFERROR(__xludf.DUMMYFUNCTION("""COMPUTED_VALUE"""),759.0)</f>
        <v>759</v>
      </c>
      <c r="D1362" s="9">
        <f>IFERROR(__xludf.DUMMYFUNCTION("""COMPUTED_VALUE"""),765.8)</f>
        <v>765.8</v>
      </c>
      <c r="E1362" s="9">
        <f>IFERROR(__xludf.DUMMYFUNCTION("""COMPUTED_VALUE"""),754.6)</f>
        <v>754.6</v>
      </c>
      <c r="F1362" s="9">
        <f>IFERROR(__xludf.DUMMYFUNCTION("""COMPUTED_VALUE"""),759.4)</f>
        <v>759.4</v>
      </c>
      <c r="G1362" s="9">
        <f>IFERROR(__xludf.DUMMYFUNCTION("""COMPUTED_VALUE"""),7283600.0)</f>
        <v>7283600</v>
      </c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</row>
    <row r="1363">
      <c r="A1363" s="1"/>
      <c r="B1363" s="22">
        <f>IFERROR(__xludf.DUMMYFUNCTION("""COMPUTED_VALUE"""),43558.64583333333)</f>
        <v>43558.64583</v>
      </c>
      <c r="C1363" s="9">
        <f>IFERROR(__xludf.DUMMYFUNCTION("""COMPUTED_VALUE"""),756.0)</f>
        <v>756</v>
      </c>
      <c r="D1363" s="9">
        <f>IFERROR(__xludf.DUMMYFUNCTION("""COMPUTED_VALUE"""),758.5)</f>
        <v>758.5</v>
      </c>
      <c r="E1363" s="9">
        <f>IFERROR(__xludf.DUMMYFUNCTION("""COMPUTED_VALUE"""),746.8)</f>
        <v>746.8</v>
      </c>
      <c r="F1363" s="9">
        <f>IFERROR(__xludf.DUMMYFUNCTION("""COMPUTED_VALUE"""),753.3)</f>
        <v>753.3</v>
      </c>
      <c r="G1363" s="9">
        <f>IFERROR(__xludf.DUMMYFUNCTION("""COMPUTED_VALUE"""),6897127.0)</f>
        <v>6897127</v>
      </c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</row>
    <row r="1364">
      <c r="A1364" s="1"/>
      <c r="B1364" s="22">
        <f>IFERROR(__xludf.DUMMYFUNCTION("""COMPUTED_VALUE"""),43559.64583333333)</f>
        <v>43559.64583</v>
      </c>
      <c r="C1364" s="9">
        <f>IFERROR(__xludf.DUMMYFUNCTION("""COMPUTED_VALUE"""),751.4)</f>
        <v>751.4</v>
      </c>
      <c r="D1364" s="9">
        <f>IFERROR(__xludf.DUMMYFUNCTION("""COMPUTED_VALUE"""),753.8)</f>
        <v>753.8</v>
      </c>
      <c r="E1364" s="9">
        <f>IFERROR(__xludf.DUMMYFUNCTION("""COMPUTED_VALUE"""),745.1)</f>
        <v>745.1</v>
      </c>
      <c r="F1364" s="9">
        <f>IFERROR(__xludf.DUMMYFUNCTION("""COMPUTED_VALUE"""),747.9)</f>
        <v>747.9</v>
      </c>
      <c r="G1364" s="9">
        <f>IFERROR(__xludf.DUMMYFUNCTION("""COMPUTED_VALUE"""),7688525.0)</f>
        <v>7688525</v>
      </c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</row>
    <row r="1365">
      <c r="A1365" s="1"/>
      <c r="B1365" s="22">
        <f>IFERROR(__xludf.DUMMYFUNCTION("""COMPUTED_VALUE"""),43560.64583333333)</f>
        <v>43560.64583</v>
      </c>
      <c r="C1365" s="9">
        <f>IFERROR(__xludf.DUMMYFUNCTION("""COMPUTED_VALUE"""),750.9)</f>
        <v>750.9</v>
      </c>
      <c r="D1365" s="9">
        <f>IFERROR(__xludf.DUMMYFUNCTION("""COMPUTED_VALUE"""),760.95)</f>
        <v>760.95</v>
      </c>
      <c r="E1365" s="9">
        <f>IFERROR(__xludf.DUMMYFUNCTION("""COMPUTED_VALUE"""),748.0)</f>
        <v>748</v>
      </c>
      <c r="F1365" s="9">
        <f>IFERROR(__xludf.DUMMYFUNCTION("""COMPUTED_VALUE"""),759.3)</f>
        <v>759.3</v>
      </c>
      <c r="G1365" s="9">
        <f>IFERROR(__xludf.DUMMYFUNCTION("""COMPUTED_VALUE"""),6276040.0)</f>
        <v>6276040</v>
      </c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</row>
    <row r="1366">
      <c r="A1366" s="1"/>
      <c r="B1366" s="22">
        <f>IFERROR(__xludf.DUMMYFUNCTION("""COMPUTED_VALUE"""),43563.64583333333)</f>
        <v>43563.64583</v>
      </c>
      <c r="C1366" s="9">
        <f>IFERROR(__xludf.DUMMYFUNCTION("""COMPUTED_VALUE"""),763.05)</f>
        <v>763.05</v>
      </c>
      <c r="D1366" s="9">
        <f>IFERROR(__xludf.DUMMYFUNCTION("""COMPUTED_VALUE"""),770.0)</f>
        <v>770</v>
      </c>
      <c r="E1366" s="9">
        <f>IFERROR(__xludf.DUMMYFUNCTION("""COMPUTED_VALUE"""),755.4)</f>
        <v>755.4</v>
      </c>
      <c r="F1366" s="9">
        <f>IFERROR(__xludf.DUMMYFUNCTION("""COMPUTED_VALUE"""),767.25)</f>
        <v>767.25</v>
      </c>
      <c r="G1366" s="9">
        <f>IFERROR(__xludf.DUMMYFUNCTION("""COMPUTED_VALUE"""),4919911.0)</f>
        <v>4919911</v>
      </c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</row>
    <row r="1367">
      <c r="A1367" s="1"/>
      <c r="B1367" s="22">
        <f>IFERROR(__xludf.DUMMYFUNCTION("""COMPUTED_VALUE"""),43564.64583333333)</f>
        <v>43564.64583</v>
      </c>
      <c r="C1367" s="9">
        <f>IFERROR(__xludf.DUMMYFUNCTION("""COMPUTED_VALUE"""),770.0)</f>
        <v>770</v>
      </c>
      <c r="D1367" s="9">
        <f>IFERROR(__xludf.DUMMYFUNCTION("""COMPUTED_VALUE"""),773.0)</f>
        <v>773</v>
      </c>
      <c r="E1367" s="9">
        <f>IFERROR(__xludf.DUMMYFUNCTION("""COMPUTED_VALUE"""),758.2)</f>
        <v>758.2</v>
      </c>
      <c r="F1367" s="9">
        <f>IFERROR(__xludf.DUMMYFUNCTION("""COMPUTED_VALUE"""),760.6)</f>
        <v>760.6</v>
      </c>
      <c r="G1367" s="9">
        <f>IFERROR(__xludf.DUMMYFUNCTION("""COMPUTED_VALUE"""),6730692.0)</f>
        <v>6730692</v>
      </c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</row>
    <row r="1368">
      <c r="A1368" s="1"/>
      <c r="B1368" s="22">
        <f>IFERROR(__xludf.DUMMYFUNCTION("""COMPUTED_VALUE"""),43565.64583333333)</f>
        <v>43565.64583</v>
      </c>
      <c r="C1368" s="9">
        <f>IFERROR(__xludf.DUMMYFUNCTION("""COMPUTED_VALUE"""),764.0)</f>
        <v>764</v>
      </c>
      <c r="D1368" s="9">
        <f>IFERROR(__xludf.DUMMYFUNCTION("""COMPUTED_VALUE"""),766.7)</f>
        <v>766.7</v>
      </c>
      <c r="E1368" s="9">
        <f>IFERROR(__xludf.DUMMYFUNCTION("""COMPUTED_VALUE"""),751.3)</f>
        <v>751.3</v>
      </c>
      <c r="F1368" s="9">
        <f>IFERROR(__xludf.DUMMYFUNCTION("""COMPUTED_VALUE"""),752.7)</f>
        <v>752.7</v>
      </c>
      <c r="G1368" s="9">
        <f>IFERROR(__xludf.DUMMYFUNCTION("""COMPUTED_VALUE"""),7031088.0)</f>
        <v>7031088</v>
      </c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</row>
    <row r="1369">
      <c r="A1369" s="1"/>
      <c r="B1369" s="22">
        <f>IFERROR(__xludf.DUMMYFUNCTION("""COMPUTED_VALUE"""),43566.64583333333)</f>
        <v>43566.64583</v>
      </c>
      <c r="C1369" s="9">
        <f>IFERROR(__xludf.DUMMYFUNCTION("""COMPUTED_VALUE"""),751.75)</f>
        <v>751.75</v>
      </c>
      <c r="D1369" s="9">
        <f>IFERROR(__xludf.DUMMYFUNCTION("""COMPUTED_VALUE"""),751.75)</f>
        <v>751.75</v>
      </c>
      <c r="E1369" s="9">
        <f>IFERROR(__xludf.DUMMYFUNCTION("""COMPUTED_VALUE"""),740.05)</f>
        <v>740.05</v>
      </c>
      <c r="F1369" s="9">
        <f>IFERROR(__xludf.DUMMYFUNCTION("""COMPUTED_VALUE"""),742.7)</f>
        <v>742.7</v>
      </c>
      <c r="G1369" s="9">
        <f>IFERROR(__xludf.DUMMYFUNCTION("""COMPUTED_VALUE"""),8200995.0)</f>
        <v>8200995</v>
      </c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</row>
    <row r="1370">
      <c r="A1370" s="1"/>
      <c r="B1370" s="22">
        <f>IFERROR(__xludf.DUMMYFUNCTION("""COMPUTED_VALUE"""),43567.64583333333)</f>
        <v>43567.64583</v>
      </c>
      <c r="C1370" s="9">
        <f>IFERROR(__xludf.DUMMYFUNCTION("""COMPUTED_VALUE"""),743.1)</f>
        <v>743.1</v>
      </c>
      <c r="D1370" s="9">
        <f>IFERROR(__xludf.DUMMYFUNCTION("""COMPUTED_VALUE"""),751.55)</f>
        <v>751.55</v>
      </c>
      <c r="E1370" s="9">
        <f>IFERROR(__xludf.DUMMYFUNCTION("""COMPUTED_VALUE"""),740.6)</f>
        <v>740.6</v>
      </c>
      <c r="F1370" s="9">
        <f>IFERROR(__xludf.DUMMYFUNCTION("""COMPUTED_VALUE"""),747.75)</f>
        <v>747.75</v>
      </c>
      <c r="G1370" s="9">
        <f>IFERROR(__xludf.DUMMYFUNCTION("""COMPUTED_VALUE"""),7043212.0)</f>
        <v>7043212</v>
      </c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</row>
    <row r="1371">
      <c r="A1371" s="1"/>
      <c r="B1371" s="22">
        <f>IFERROR(__xludf.DUMMYFUNCTION("""COMPUTED_VALUE"""),43570.64583333333)</f>
        <v>43570.64583</v>
      </c>
      <c r="C1371" s="9">
        <f>IFERROR(__xludf.DUMMYFUNCTION("""COMPUTED_VALUE"""),724.7)</f>
        <v>724.7</v>
      </c>
      <c r="D1371" s="9">
        <f>IFERROR(__xludf.DUMMYFUNCTION("""COMPUTED_VALUE"""),731.35)</f>
        <v>731.35</v>
      </c>
      <c r="E1371" s="9">
        <f>IFERROR(__xludf.DUMMYFUNCTION("""COMPUTED_VALUE"""),712.6)</f>
        <v>712.6</v>
      </c>
      <c r="F1371" s="9">
        <f>IFERROR(__xludf.DUMMYFUNCTION("""COMPUTED_VALUE"""),727.5)</f>
        <v>727.5</v>
      </c>
      <c r="G1371" s="9">
        <f>IFERROR(__xludf.DUMMYFUNCTION("""COMPUTED_VALUE"""),3.1574803E7)</f>
        <v>31574803</v>
      </c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</row>
    <row r="1372">
      <c r="A1372" s="1"/>
      <c r="B1372" s="22">
        <f>IFERROR(__xludf.DUMMYFUNCTION("""COMPUTED_VALUE"""),43571.64583333333)</f>
        <v>43571.64583</v>
      </c>
      <c r="C1372" s="9">
        <f>IFERROR(__xludf.DUMMYFUNCTION("""COMPUTED_VALUE"""),727.9)</f>
        <v>727.9</v>
      </c>
      <c r="D1372" s="9">
        <f>IFERROR(__xludf.DUMMYFUNCTION("""COMPUTED_VALUE"""),727.9)</f>
        <v>727.9</v>
      </c>
      <c r="E1372" s="9">
        <f>IFERROR(__xludf.DUMMYFUNCTION("""COMPUTED_VALUE"""),714.1)</f>
        <v>714.1</v>
      </c>
      <c r="F1372" s="9">
        <f>IFERROR(__xludf.DUMMYFUNCTION("""COMPUTED_VALUE"""),724.1)</f>
        <v>724.1</v>
      </c>
      <c r="G1372" s="9">
        <f>IFERROR(__xludf.DUMMYFUNCTION("""COMPUTED_VALUE"""),1.2524411E7)</f>
        <v>12524411</v>
      </c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</row>
    <row r="1373">
      <c r="A1373" s="1"/>
      <c r="B1373" s="22">
        <f>IFERROR(__xludf.DUMMYFUNCTION("""COMPUTED_VALUE"""),43573.64583333333)</f>
        <v>43573.64583</v>
      </c>
      <c r="C1373" s="9">
        <f>IFERROR(__xludf.DUMMYFUNCTION("""COMPUTED_VALUE"""),722.5)</f>
        <v>722.5</v>
      </c>
      <c r="D1373" s="9">
        <f>IFERROR(__xludf.DUMMYFUNCTION("""COMPUTED_VALUE"""),722.5)</f>
        <v>722.5</v>
      </c>
      <c r="E1373" s="9">
        <f>IFERROR(__xludf.DUMMYFUNCTION("""COMPUTED_VALUE"""),712.75)</f>
        <v>712.75</v>
      </c>
      <c r="F1373" s="9">
        <f>IFERROR(__xludf.DUMMYFUNCTION("""COMPUTED_VALUE"""),717.05)</f>
        <v>717.05</v>
      </c>
      <c r="G1373" s="9">
        <f>IFERROR(__xludf.DUMMYFUNCTION("""COMPUTED_VALUE"""),1.3801105E7)</f>
        <v>13801105</v>
      </c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</row>
    <row r="1374">
      <c r="A1374" s="1"/>
      <c r="B1374" s="22">
        <f>IFERROR(__xludf.DUMMYFUNCTION("""COMPUTED_VALUE"""),43577.64583333333)</f>
        <v>43577.64583</v>
      </c>
      <c r="C1374" s="9">
        <f>IFERROR(__xludf.DUMMYFUNCTION("""COMPUTED_VALUE"""),717.05)</f>
        <v>717.05</v>
      </c>
      <c r="D1374" s="9">
        <f>IFERROR(__xludf.DUMMYFUNCTION("""COMPUTED_VALUE"""),725.75)</f>
        <v>725.75</v>
      </c>
      <c r="E1374" s="9">
        <f>IFERROR(__xludf.DUMMYFUNCTION("""COMPUTED_VALUE"""),715.0)</f>
        <v>715</v>
      </c>
      <c r="F1374" s="9">
        <f>IFERROR(__xludf.DUMMYFUNCTION("""COMPUTED_VALUE"""),721.05)</f>
        <v>721.05</v>
      </c>
      <c r="G1374" s="9">
        <f>IFERROR(__xludf.DUMMYFUNCTION("""COMPUTED_VALUE"""),6455426.0)</f>
        <v>6455426</v>
      </c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</row>
    <row r="1375">
      <c r="A1375" s="1"/>
      <c r="B1375" s="22">
        <f>IFERROR(__xludf.DUMMYFUNCTION("""COMPUTED_VALUE"""),43578.64583333333)</f>
        <v>43578.64583</v>
      </c>
      <c r="C1375" s="9">
        <f>IFERROR(__xludf.DUMMYFUNCTION("""COMPUTED_VALUE"""),723.9)</f>
        <v>723.9</v>
      </c>
      <c r="D1375" s="9">
        <f>IFERROR(__xludf.DUMMYFUNCTION("""COMPUTED_VALUE"""),730.0)</f>
        <v>730</v>
      </c>
      <c r="E1375" s="9">
        <f>IFERROR(__xludf.DUMMYFUNCTION("""COMPUTED_VALUE"""),718.4)</f>
        <v>718.4</v>
      </c>
      <c r="F1375" s="9">
        <f>IFERROR(__xludf.DUMMYFUNCTION("""COMPUTED_VALUE"""),728.2)</f>
        <v>728.2</v>
      </c>
      <c r="G1375" s="9">
        <f>IFERROR(__xludf.DUMMYFUNCTION("""COMPUTED_VALUE"""),5516668.0)</f>
        <v>5516668</v>
      </c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</row>
    <row r="1376">
      <c r="A1376" s="1"/>
      <c r="B1376" s="22">
        <f>IFERROR(__xludf.DUMMYFUNCTION("""COMPUTED_VALUE"""),43579.64583333333)</f>
        <v>43579.64583</v>
      </c>
      <c r="C1376" s="9">
        <f>IFERROR(__xludf.DUMMYFUNCTION("""COMPUTED_VALUE"""),728.2)</f>
        <v>728.2</v>
      </c>
      <c r="D1376" s="9">
        <f>IFERROR(__xludf.DUMMYFUNCTION("""COMPUTED_VALUE"""),737.9)</f>
        <v>737.9</v>
      </c>
      <c r="E1376" s="9">
        <f>IFERROR(__xludf.DUMMYFUNCTION("""COMPUTED_VALUE"""),724.0)</f>
        <v>724</v>
      </c>
      <c r="F1376" s="9">
        <f>IFERROR(__xludf.DUMMYFUNCTION("""COMPUTED_VALUE"""),736.45)</f>
        <v>736.45</v>
      </c>
      <c r="G1376" s="9">
        <f>IFERROR(__xludf.DUMMYFUNCTION("""COMPUTED_VALUE"""),8285120.0)</f>
        <v>8285120</v>
      </c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</row>
    <row r="1377">
      <c r="A1377" s="1"/>
      <c r="B1377" s="22">
        <f>IFERROR(__xludf.DUMMYFUNCTION("""COMPUTED_VALUE"""),43580.64583333333)</f>
        <v>43580.64583</v>
      </c>
      <c r="C1377" s="9">
        <f>IFERROR(__xludf.DUMMYFUNCTION("""COMPUTED_VALUE"""),736.45)</f>
        <v>736.45</v>
      </c>
      <c r="D1377" s="9">
        <f>IFERROR(__xludf.DUMMYFUNCTION("""COMPUTED_VALUE"""),737.65)</f>
        <v>737.65</v>
      </c>
      <c r="E1377" s="9">
        <f>IFERROR(__xludf.DUMMYFUNCTION("""COMPUTED_VALUE"""),727.05)</f>
        <v>727.05</v>
      </c>
      <c r="F1377" s="9">
        <f>IFERROR(__xludf.DUMMYFUNCTION("""COMPUTED_VALUE"""),728.55)</f>
        <v>728.55</v>
      </c>
      <c r="G1377" s="9">
        <f>IFERROR(__xludf.DUMMYFUNCTION("""COMPUTED_VALUE"""),8005235.0)</f>
        <v>8005235</v>
      </c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</row>
    <row r="1378">
      <c r="A1378" s="1"/>
      <c r="B1378" s="22">
        <f>IFERROR(__xludf.DUMMYFUNCTION("""COMPUTED_VALUE"""),43581.64583333333)</f>
        <v>43581.64583</v>
      </c>
      <c r="C1378" s="9">
        <f>IFERROR(__xludf.DUMMYFUNCTION("""COMPUTED_VALUE"""),731.0)</f>
        <v>731</v>
      </c>
      <c r="D1378" s="9">
        <f>IFERROR(__xludf.DUMMYFUNCTION("""COMPUTED_VALUE"""),739.8)</f>
        <v>739.8</v>
      </c>
      <c r="E1378" s="9">
        <f>IFERROR(__xludf.DUMMYFUNCTION("""COMPUTED_VALUE"""),729.0)</f>
        <v>729</v>
      </c>
      <c r="F1378" s="9">
        <f>IFERROR(__xludf.DUMMYFUNCTION("""COMPUTED_VALUE"""),738.0)</f>
        <v>738</v>
      </c>
      <c r="G1378" s="9">
        <f>IFERROR(__xludf.DUMMYFUNCTION("""COMPUTED_VALUE"""),6895168.0)</f>
        <v>6895168</v>
      </c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</row>
    <row r="1379">
      <c r="A1379" s="1"/>
      <c r="B1379" s="22">
        <f>IFERROR(__xludf.DUMMYFUNCTION("""COMPUTED_VALUE"""),43585.64583333333)</f>
        <v>43585.64583</v>
      </c>
      <c r="C1379" s="9">
        <f>IFERROR(__xludf.DUMMYFUNCTION("""COMPUTED_VALUE"""),738.0)</f>
        <v>738</v>
      </c>
      <c r="D1379" s="9">
        <f>IFERROR(__xludf.DUMMYFUNCTION("""COMPUTED_VALUE"""),753.8)</f>
        <v>753.8</v>
      </c>
      <c r="E1379" s="9">
        <f>IFERROR(__xludf.DUMMYFUNCTION("""COMPUTED_VALUE"""),738.0)</f>
        <v>738</v>
      </c>
      <c r="F1379" s="9">
        <f>IFERROR(__xludf.DUMMYFUNCTION("""COMPUTED_VALUE"""),751.35)</f>
        <v>751.35</v>
      </c>
      <c r="G1379" s="9">
        <f>IFERROR(__xludf.DUMMYFUNCTION("""COMPUTED_VALUE"""),9920046.0)</f>
        <v>9920046</v>
      </c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</row>
    <row r="1380">
      <c r="A1380" s="1"/>
      <c r="B1380" s="22">
        <f>IFERROR(__xludf.DUMMYFUNCTION("""COMPUTED_VALUE"""),43587.64583333333)</f>
        <v>43587.64583</v>
      </c>
      <c r="C1380" s="9">
        <f>IFERROR(__xludf.DUMMYFUNCTION("""COMPUTED_VALUE"""),747.0)</f>
        <v>747</v>
      </c>
      <c r="D1380" s="9">
        <f>IFERROR(__xludf.DUMMYFUNCTION("""COMPUTED_VALUE"""),748.4)</f>
        <v>748.4</v>
      </c>
      <c r="E1380" s="9">
        <f>IFERROR(__xludf.DUMMYFUNCTION("""COMPUTED_VALUE"""),729.5)</f>
        <v>729.5</v>
      </c>
      <c r="F1380" s="9">
        <f>IFERROR(__xludf.DUMMYFUNCTION("""COMPUTED_VALUE"""),730.8)</f>
        <v>730.8</v>
      </c>
      <c r="G1380" s="9">
        <f>IFERROR(__xludf.DUMMYFUNCTION("""COMPUTED_VALUE"""),6351352.0)</f>
        <v>6351352</v>
      </c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</row>
    <row r="1381">
      <c r="A1381" s="1"/>
      <c r="B1381" s="22">
        <f>IFERROR(__xludf.DUMMYFUNCTION("""COMPUTED_VALUE"""),43588.64583333333)</f>
        <v>43588.64583</v>
      </c>
      <c r="C1381" s="9">
        <f>IFERROR(__xludf.DUMMYFUNCTION("""COMPUTED_VALUE"""),722.9)</f>
        <v>722.9</v>
      </c>
      <c r="D1381" s="9">
        <f>IFERROR(__xludf.DUMMYFUNCTION("""COMPUTED_VALUE"""),731.0)</f>
        <v>731</v>
      </c>
      <c r="E1381" s="9">
        <f>IFERROR(__xludf.DUMMYFUNCTION("""COMPUTED_VALUE"""),718.2)</f>
        <v>718.2</v>
      </c>
      <c r="F1381" s="9">
        <f>IFERROR(__xludf.DUMMYFUNCTION("""COMPUTED_VALUE"""),723.6)</f>
        <v>723.6</v>
      </c>
      <c r="G1381" s="9">
        <f>IFERROR(__xludf.DUMMYFUNCTION("""COMPUTED_VALUE"""),6348116.0)</f>
        <v>6348116</v>
      </c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</row>
    <row r="1382">
      <c r="A1382" s="1"/>
      <c r="B1382" s="22">
        <f>IFERROR(__xludf.DUMMYFUNCTION("""COMPUTED_VALUE"""),43591.64583333333)</f>
        <v>43591.64583</v>
      </c>
      <c r="C1382" s="9">
        <f>IFERROR(__xludf.DUMMYFUNCTION("""COMPUTED_VALUE"""),715.0)</f>
        <v>715</v>
      </c>
      <c r="D1382" s="9">
        <f>IFERROR(__xludf.DUMMYFUNCTION("""COMPUTED_VALUE"""),721.8)</f>
        <v>721.8</v>
      </c>
      <c r="E1382" s="9">
        <f>IFERROR(__xludf.DUMMYFUNCTION("""COMPUTED_VALUE"""),710.65)</f>
        <v>710.65</v>
      </c>
      <c r="F1382" s="9">
        <f>IFERROR(__xludf.DUMMYFUNCTION("""COMPUTED_VALUE"""),718.4)</f>
        <v>718.4</v>
      </c>
      <c r="G1382" s="9">
        <f>IFERROR(__xludf.DUMMYFUNCTION("""COMPUTED_VALUE"""),8858265.0)</f>
        <v>8858265</v>
      </c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</row>
    <row r="1383">
      <c r="A1383" s="1"/>
      <c r="B1383" s="22">
        <f>IFERROR(__xludf.DUMMYFUNCTION("""COMPUTED_VALUE"""),43592.79166666667)</f>
        <v>43592.79167</v>
      </c>
      <c r="C1383" s="9">
        <f>IFERROR(__xludf.DUMMYFUNCTION("""COMPUTED_VALUE"""),720.4)</f>
        <v>720.4</v>
      </c>
      <c r="D1383" s="9">
        <f>IFERROR(__xludf.DUMMYFUNCTION("""COMPUTED_VALUE"""),727.9)</f>
        <v>727.9</v>
      </c>
      <c r="E1383" s="9">
        <f>IFERROR(__xludf.DUMMYFUNCTION("""COMPUTED_VALUE"""),718.7)</f>
        <v>718.7</v>
      </c>
      <c r="F1383" s="9">
        <f>IFERROR(__xludf.DUMMYFUNCTION("""COMPUTED_VALUE"""),724.55)</f>
        <v>724.55</v>
      </c>
      <c r="G1383" s="9">
        <f>IFERROR(__xludf.DUMMYFUNCTION("""COMPUTED_VALUE"""),5747536.0)</f>
        <v>5747536</v>
      </c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</row>
    <row r="1384">
      <c r="A1384" s="1"/>
      <c r="B1384" s="22">
        <f>IFERROR(__xludf.DUMMYFUNCTION("""COMPUTED_VALUE"""),43593.64583333333)</f>
        <v>43593.64583</v>
      </c>
      <c r="C1384" s="9">
        <f>IFERROR(__xludf.DUMMYFUNCTION("""COMPUTED_VALUE"""),721.0)</f>
        <v>721</v>
      </c>
      <c r="D1384" s="9">
        <f>IFERROR(__xludf.DUMMYFUNCTION("""COMPUTED_VALUE"""),726.0)</f>
        <v>726</v>
      </c>
      <c r="E1384" s="9">
        <f>IFERROR(__xludf.DUMMYFUNCTION("""COMPUTED_VALUE"""),716.5)</f>
        <v>716.5</v>
      </c>
      <c r="F1384" s="9">
        <f>IFERROR(__xludf.DUMMYFUNCTION("""COMPUTED_VALUE"""),719.35)</f>
        <v>719.35</v>
      </c>
      <c r="G1384" s="9">
        <f>IFERROR(__xludf.DUMMYFUNCTION("""COMPUTED_VALUE"""),6247642.0)</f>
        <v>6247642</v>
      </c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</row>
    <row r="1385">
      <c r="A1385" s="1"/>
      <c r="B1385" s="22">
        <f>IFERROR(__xludf.DUMMYFUNCTION("""COMPUTED_VALUE"""),43594.64583333333)</f>
        <v>43594.64583</v>
      </c>
      <c r="C1385" s="9">
        <f>IFERROR(__xludf.DUMMYFUNCTION("""COMPUTED_VALUE"""),719.15)</f>
        <v>719.15</v>
      </c>
      <c r="D1385" s="9">
        <f>IFERROR(__xludf.DUMMYFUNCTION("""COMPUTED_VALUE"""),730.3)</f>
        <v>730.3</v>
      </c>
      <c r="E1385" s="9">
        <f>IFERROR(__xludf.DUMMYFUNCTION("""COMPUTED_VALUE"""),715.8)</f>
        <v>715.8</v>
      </c>
      <c r="F1385" s="9">
        <f>IFERROR(__xludf.DUMMYFUNCTION("""COMPUTED_VALUE"""),721.05)</f>
        <v>721.05</v>
      </c>
      <c r="G1385" s="9">
        <f>IFERROR(__xludf.DUMMYFUNCTION("""COMPUTED_VALUE"""),7396525.0)</f>
        <v>7396525</v>
      </c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</row>
    <row r="1386">
      <c r="A1386" s="1"/>
      <c r="B1386" s="22">
        <f>IFERROR(__xludf.DUMMYFUNCTION("""COMPUTED_VALUE"""),43595.64583333333)</f>
        <v>43595.64583</v>
      </c>
      <c r="C1386" s="9">
        <f>IFERROR(__xludf.DUMMYFUNCTION("""COMPUTED_VALUE"""),720.8)</f>
        <v>720.8</v>
      </c>
      <c r="D1386" s="9">
        <f>IFERROR(__xludf.DUMMYFUNCTION("""COMPUTED_VALUE"""),726.0)</f>
        <v>726</v>
      </c>
      <c r="E1386" s="9">
        <f>IFERROR(__xludf.DUMMYFUNCTION("""COMPUTED_VALUE"""),715.0)</f>
        <v>715</v>
      </c>
      <c r="F1386" s="9">
        <f>IFERROR(__xludf.DUMMYFUNCTION("""COMPUTED_VALUE"""),716.85)</f>
        <v>716.85</v>
      </c>
      <c r="G1386" s="9">
        <f>IFERROR(__xludf.DUMMYFUNCTION("""COMPUTED_VALUE"""),8352335.0)</f>
        <v>8352335</v>
      </c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</row>
    <row r="1387">
      <c r="A1387" s="1"/>
      <c r="B1387" s="22">
        <f>IFERROR(__xludf.DUMMYFUNCTION("""COMPUTED_VALUE"""),43598.64583333333)</f>
        <v>43598.64583</v>
      </c>
      <c r="C1387" s="9">
        <f>IFERROR(__xludf.DUMMYFUNCTION("""COMPUTED_VALUE"""),716.55)</f>
        <v>716.55</v>
      </c>
      <c r="D1387" s="9">
        <f>IFERROR(__xludf.DUMMYFUNCTION("""COMPUTED_VALUE"""),726.45)</f>
        <v>726.45</v>
      </c>
      <c r="E1387" s="9">
        <f>IFERROR(__xludf.DUMMYFUNCTION("""COMPUTED_VALUE"""),712.1)</f>
        <v>712.1</v>
      </c>
      <c r="F1387" s="9">
        <f>IFERROR(__xludf.DUMMYFUNCTION("""COMPUTED_VALUE"""),719.7)</f>
        <v>719.7</v>
      </c>
      <c r="G1387" s="9">
        <f>IFERROR(__xludf.DUMMYFUNCTION("""COMPUTED_VALUE"""),6808993.0)</f>
        <v>6808993</v>
      </c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</row>
    <row r="1388">
      <c r="A1388" s="1"/>
      <c r="B1388" s="22">
        <f>IFERROR(__xludf.DUMMYFUNCTION("""COMPUTED_VALUE"""),43599.64583333333)</f>
        <v>43599.64583</v>
      </c>
      <c r="C1388" s="9">
        <f>IFERROR(__xludf.DUMMYFUNCTION("""COMPUTED_VALUE"""),716.5)</f>
        <v>716.5</v>
      </c>
      <c r="D1388" s="9">
        <f>IFERROR(__xludf.DUMMYFUNCTION("""COMPUTED_VALUE"""),717.75)</f>
        <v>717.75</v>
      </c>
      <c r="E1388" s="9">
        <f>IFERROR(__xludf.DUMMYFUNCTION("""COMPUTED_VALUE"""),703.6)</f>
        <v>703.6</v>
      </c>
      <c r="F1388" s="9">
        <f>IFERROR(__xludf.DUMMYFUNCTION("""COMPUTED_VALUE"""),713.85)</f>
        <v>713.85</v>
      </c>
      <c r="G1388" s="9">
        <f>IFERROR(__xludf.DUMMYFUNCTION("""COMPUTED_VALUE"""),1.0513001E7)</f>
        <v>10513001</v>
      </c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</row>
    <row r="1389">
      <c r="A1389" s="1"/>
      <c r="B1389" s="22">
        <f>IFERROR(__xludf.DUMMYFUNCTION("""COMPUTED_VALUE"""),43600.64583333333)</f>
        <v>43600.64583</v>
      </c>
      <c r="C1389" s="9">
        <f>IFERROR(__xludf.DUMMYFUNCTION("""COMPUTED_VALUE"""),714.9)</f>
        <v>714.9</v>
      </c>
      <c r="D1389" s="9">
        <f>IFERROR(__xludf.DUMMYFUNCTION("""COMPUTED_VALUE"""),725.2)</f>
        <v>725.2</v>
      </c>
      <c r="E1389" s="9">
        <f>IFERROR(__xludf.DUMMYFUNCTION("""COMPUTED_VALUE"""),712.6)</f>
        <v>712.6</v>
      </c>
      <c r="F1389" s="9">
        <f>IFERROR(__xludf.DUMMYFUNCTION("""COMPUTED_VALUE"""),716.1)</f>
        <v>716.1</v>
      </c>
      <c r="G1389" s="9">
        <f>IFERROR(__xludf.DUMMYFUNCTION("""COMPUTED_VALUE"""),6668929.0)</f>
        <v>6668929</v>
      </c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</row>
    <row r="1390">
      <c r="A1390" s="1"/>
      <c r="B1390" s="22">
        <f>IFERROR(__xludf.DUMMYFUNCTION("""COMPUTED_VALUE"""),43601.64583333333)</f>
        <v>43601.64583</v>
      </c>
      <c r="C1390" s="9">
        <f>IFERROR(__xludf.DUMMYFUNCTION("""COMPUTED_VALUE"""),720.0)</f>
        <v>720</v>
      </c>
      <c r="D1390" s="9">
        <f>IFERROR(__xludf.DUMMYFUNCTION("""COMPUTED_VALUE"""),737.0)</f>
        <v>737</v>
      </c>
      <c r="E1390" s="9">
        <f>IFERROR(__xludf.DUMMYFUNCTION("""COMPUTED_VALUE"""),719.1)</f>
        <v>719.1</v>
      </c>
      <c r="F1390" s="9">
        <f>IFERROR(__xludf.DUMMYFUNCTION("""COMPUTED_VALUE"""),733.1)</f>
        <v>733.1</v>
      </c>
      <c r="G1390" s="9">
        <f>IFERROR(__xludf.DUMMYFUNCTION("""COMPUTED_VALUE"""),6468556.0)</f>
        <v>6468556</v>
      </c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</row>
    <row r="1391">
      <c r="A1391" s="1"/>
      <c r="B1391" s="22">
        <f>IFERROR(__xludf.DUMMYFUNCTION("""COMPUTED_VALUE"""),43602.64583333333)</f>
        <v>43602.64583</v>
      </c>
      <c r="C1391" s="9">
        <f>IFERROR(__xludf.DUMMYFUNCTION("""COMPUTED_VALUE"""),733.15)</f>
        <v>733.15</v>
      </c>
      <c r="D1391" s="9">
        <f>IFERROR(__xludf.DUMMYFUNCTION("""COMPUTED_VALUE"""),735.8)</f>
        <v>735.8</v>
      </c>
      <c r="E1391" s="9">
        <f>IFERROR(__xludf.DUMMYFUNCTION("""COMPUTED_VALUE"""),720.1)</f>
        <v>720.1</v>
      </c>
      <c r="F1391" s="9">
        <f>IFERROR(__xludf.DUMMYFUNCTION("""COMPUTED_VALUE"""),723.9)</f>
        <v>723.9</v>
      </c>
      <c r="G1391" s="9">
        <f>IFERROR(__xludf.DUMMYFUNCTION("""COMPUTED_VALUE"""),8155948.0)</f>
        <v>8155948</v>
      </c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</row>
    <row r="1392">
      <c r="A1392" s="1"/>
      <c r="B1392" s="22">
        <f>IFERROR(__xludf.DUMMYFUNCTION("""COMPUTED_VALUE"""),43605.64583333333)</f>
        <v>43605.64583</v>
      </c>
      <c r="C1392" s="9">
        <f>IFERROR(__xludf.DUMMYFUNCTION("""COMPUTED_VALUE"""),719.7)</f>
        <v>719.7</v>
      </c>
      <c r="D1392" s="9">
        <f>IFERROR(__xludf.DUMMYFUNCTION("""COMPUTED_VALUE"""),726.4)</f>
        <v>726.4</v>
      </c>
      <c r="E1392" s="9">
        <f>IFERROR(__xludf.DUMMYFUNCTION("""COMPUTED_VALUE"""),706.0)</f>
        <v>706</v>
      </c>
      <c r="F1392" s="9">
        <f>IFERROR(__xludf.DUMMYFUNCTION("""COMPUTED_VALUE"""),722.4)</f>
        <v>722.4</v>
      </c>
      <c r="G1392" s="9">
        <f>IFERROR(__xludf.DUMMYFUNCTION("""COMPUTED_VALUE"""),1.1213708E7)</f>
        <v>11213708</v>
      </c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</row>
    <row r="1393">
      <c r="A1393" s="1"/>
      <c r="B1393" s="22">
        <f>IFERROR(__xludf.DUMMYFUNCTION("""COMPUTED_VALUE"""),43606.64583333333)</f>
        <v>43606.64583</v>
      </c>
      <c r="C1393" s="9">
        <f>IFERROR(__xludf.DUMMYFUNCTION("""COMPUTED_VALUE"""),722.65)</f>
        <v>722.65</v>
      </c>
      <c r="D1393" s="9">
        <f>IFERROR(__xludf.DUMMYFUNCTION("""COMPUTED_VALUE"""),722.65)</f>
        <v>722.65</v>
      </c>
      <c r="E1393" s="9">
        <f>IFERROR(__xludf.DUMMYFUNCTION("""COMPUTED_VALUE"""),707.7)</f>
        <v>707.7</v>
      </c>
      <c r="F1393" s="9">
        <f>IFERROR(__xludf.DUMMYFUNCTION("""COMPUTED_VALUE"""),709.3)</f>
        <v>709.3</v>
      </c>
      <c r="G1393" s="9">
        <f>IFERROR(__xludf.DUMMYFUNCTION("""COMPUTED_VALUE"""),8645535.0)</f>
        <v>8645535</v>
      </c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</row>
    <row r="1394">
      <c r="A1394" s="1"/>
      <c r="B1394" s="22">
        <f>IFERROR(__xludf.DUMMYFUNCTION("""COMPUTED_VALUE"""),43607.64583333333)</f>
        <v>43607.64583</v>
      </c>
      <c r="C1394" s="9">
        <f>IFERROR(__xludf.DUMMYFUNCTION("""COMPUTED_VALUE"""),710.0)</f>
        <v>710</v>
      </c>
      <c r="D1394" s="9">
        <f>IFERROR(__xludf.DUMMYFUNCTION("""COMPUTED_VALUE"""),718.25)</f>
        <v>718.25</v>
      </c>
      <c r="E1394" s="9">
        <f>IFERROR(__xludf.DUMMYFUNCTION("""COMPUTED_VALUE"""),707.0)</f>
        <v>707</v>
      </c>
      <c r="F1394" s="9">
        <f>IFERROR(__xludf.DUMMYFUNCTION("""COMPUTED_VALUE"""),709.75)</f>
        <v>709.75</v>
      </c>
      <c r="G1394" s="9">
        <f>IFERROR(__xludf.DUMMYFUNCTION("""COMPUTED_VALUE"""),5795713.0)</f>
        <v>5795713</v>
      </c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</row>
    <row r="1395">
      <c r="A1395" s="1"/>
      <c r="B1395" s="22">
        <f>IFERROR(__xludf.DUMMYFUNCTION("""COMPUTED_VALUE"""),43608.64583333333)</f>
        <v>43608.64583</v>
      </c>
      <c r="C1395" s="9">
        <f>IFERROR(__xludf.DUMMYFUNCTION("""COMPUTED_VALUE"""),715.0)</f>
        <v>715</v>
      </c>
      <c r="D1395" s="9">
        <f>IFERROR(__xludf.DUMMYFUNCTION("""COMPUTED_VALUE"""),716.7)</f>
        <v>716.7</v>
      </c>
      <c r="E1395" s="9">
        <f>IFERROR(__xludf.DUMMYFUNCTION("""COMPUTED_VALUE"""),697.45)</f>
        <v>697.45</v>
      </c>
      <c r="F1395" s="9">
        <f>IFERROR(__xludf.DUMMYFUNCTION("""COMPUTED_VALUE"""),701.05)</f>
        <v>701.05</v>
      </c>
      <c r="G1395" s="9">
        <f>IFERROR(__xludf.DUMMYFUNCTION("""COMPUTED_VALUE"""),7233736.0)</f>
        <v>7233736</v>
      </c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</row>
    <row r="1396">
      <c r="A1396" s="1"/>
      <c r="B1396" s="22">
        <f>IFERROR(__xludf.DUMMYFUNCTION("""COMPUTED_VALUE"""),43609.64583333333)</f>
        <v>43609.64583</v>
      </c>
      <c r="C1396" s="9">
        <f>IFERROR(__xludf.DUMMYFUNCTION("""COMPUTED_VALUE"""),703.8)</f>
        <v>703.8</v>
      </c>
      <c r="D1396" s="9">
        <f>IFERROR(__xludf.DUMMYFUNCTION("""COMPUTED_VALUE"""),711.75)</f>
        <v>711.75</v>
      </c>
      <c r="E1396" s="9">
        <f>IFERROR(__xludf.DUMMYFUNCTION("""COMPUTED_VALUE"""),700.45)</f>
        <v>700.45</v>
      </c>
      <c r="F1396" s="9">
        <f>IFERROR(__xludf.DUMMYFUNCTION("""COMPUTED_VALUE"""),709.2)</f>
        <v>709.2</v>
      </c>
      <c r="G1396" s="9">
        <f>IFERROR(__xludf.DUMMYFUNCTION("""COMPUTED_VALUE"""),7016424.0)</f>
        <v>7016424</v>
      </c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</row>
    <row r="1397">
      <c r="A1397" s="1"/>
      <c r="B1397" s="22">
        <f>IFERROR(__xludf.DUMMYFUNCTION("""COMPUTED_VALUE"""),43612.64583333333)</f>
        <v>43612.64583</v>
      </c>
      <c r="C1397" s="9">
        <f>IFERROR(__xludf.DUMMYFUNCTION("""COMPUTED_VALUE"""),707.4)</f>
        <v>707.4</v>
      </c>
      <c r="D1397" s="9">
        <f>IFERROR(__xludf.DUMMYFUNCTION("""COMPUTED_VALUE"""),713.8)</f>
        <v>713.8</v>
      </c>
      <c r="E1397" s="9">
        <f>IFERROR(__xludf.DUMMYFUNCTION("""COMPUTED_VALUE"""),705.5)</f>
        <v>705.5</v>
      </c>
      <c r="F1397" s="9">
        <f>IFERROR(__xludf.DUMMYFUNCTION("""COMPUTED_VALUE"""),708.1)</f>
        <v>708.1</v>
      </c>
      <c r="G1397" s="9">
        <f>IFERROR(__xludf.DUMMYFUNCTION("""COMPUTED_VALUE"""),1.0247544E7)</f>
        <v>10247544</v>
      </c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</row>
    <row r="1398">
      <c r="A1398" s="1"/>
      <c r="B1398" s="22">
        <f>IFERROR(__xludf.DUMMYFUNCTION("""COMPUTED_VALUE"""),43613.64583333333)</f>
        <v>43613.64583</v>
      </c>
      <c r="C1398" s="9">
        <f>IFERROR(__xludf.DUMMYFUNCTION("""COMPUTED_VALUE"""),712.0)</f>
        <v>712</v>
      </c>
      <c r="D1398" s="9">
        <f>IFERROR(__xludf.DUMMYFUNCTION("""COMPUTED_VALUE"""),733.45)</f>
        <v>733.45</v>
      </c>
      <c r="E1398" s="9">
        <f>IFERROR(__xludf.DUMMYFUNCTION("""COMPUTED_VALUE"""),709.8)</f>
        <v>709.8</v>
      </c>
      <c r="F1398" s="9">
        <f>IFERROR(__xludf.DUMMYFUNCTION("""COMPUTED_VALUE"""),728.1)</f>
        <v>728.1</v>
      </c>
      <c r="G1398" s="9">
        <f>IFERROR(__xludf.DUMMYFUNCTION("""COMPUTED_VALUE"""),2.386049E7)</f>
        <v>23860490</v>
      </c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</row>
    <row r="1399">
      <c r="A1399" s="1"/>
      <c r="B1399" s="22">
        <f>IFERROR(__xludf.DUMMYFUNCTION("""COMPUTED_VALUE"""),43614.64583333333)</f>
        <v>43614.64583</v>
      </c>
      <c r="C1399" s="9">
        <f>IFERROR(__xludf.DUMMYFUNCTION("""COMPUTED_VALUE"""),725.5)</f>
        <v>725.5</v>
      </c>
      <c r="D1399" s="9">
        <f>IFERROR(__xludf.DUMMYFUNCTION("""COMPUTED_VALUE"""),733.65)</f>
        <v>733.65</v>
      </c>
      <c r="E1399" s="9">
        <f>IFERROR(__xludf.DUMMYFUNCTION("""COMPUTED_VALUE"""),723.65)</f>
        <v>723.65</v>
      </c>
      <c r="F1399" s="9">
        <f>IFERROR(__xludf.DUMMYFUNCTION("""COMPUTED_VALUE"""),727.8)</f>
        <v>727.8</v>
      </c>
      <c r="G1399" s="9">
        <f>IFERROR(__xludf.DUMMYFUNCTION("""COMPUTED_VALUE"""),1.0293077E7)</f>
        <v>10293077</v>
      </c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</row>
    <row r="1400">
      <c r="A1400" s="1"/>
      <c r="B1400" s="22">
        <f>IFERROR(__xludf.DUMMYFUNCTION("""COMPUTED_VALUE"""),43615.64583333333)</f>
        <v>43615.64583</v>
      </c>
      <c r="C1400" s="9">
        <f>IFERROR(__xludf.DUMMYFUNCTION("""COMPUTED_VALUE"""),727.0)</f>
        <v>727</v>
      </c>
      <c r="D1400" s="9">
        <f>IFERROR(__xludf.DUMMYFUNCTION("""COMPUTED_VALUE"""),737.25)</f>
        <v>737.25</v>
      </c>
      <c r="E1400" s="9">
        <f>IFERROR(__xludf.DUMMYFUNCTION("""COMPUTED_VALUE"""),722.55)</f>
        <v>722.55</v>
      </c>
      <c r="F1400" s="9">
        <f>IFERROR(__xludf.DUMMYFUNCTION("""COMPUTED_VALUE"""),733.55)</f>
        <v>733.55</v>
      </c>
      <c r="G1400" s="9">
        <f>IFERROR(__xludf.DUMMYFUNCTION("""COMPUTED_VALUE"""),1.5089296E7)</f>
        <v>15089296</v>
      </c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</row>
    <row r="1401">
      <c r="A1401" s="1"/>
      <c r="B1401" s="22">
        <f>IFERROR(__xludf.DUMMYFUNCTION("""COMPUTED_VALUE"""),43616.64583333333)</f>
        <v>43616.64583</v>
      </c>
      <c r="C1401" s="9">
        <f>IFERROR(__xludf.DUMMYFUNCTION("""COMPUTED_VALUE"""),736.5)</f>
        <v>736.5</v>
      </c>
      <c r="D1401" s="9">
        <f>IFERROR(__xludf.DUMMYFUNCTION("""COMPUTED_VALUE"""),742.95)</f>
        <v>742.95</v>
      </c>
      <c r="E1401" s="9">
        <f>IFERROR(__xludf.DUMMYFUNCTION("""COMPUTED_VALUE"""),733.2)</f>
        <v>733.2</v>
      </c>
      <c r="F1401" s="9">
        <f>IFERROR(__xludf.DUMMYFUNCTION("""COMPUTED_VALUE"""),737.75)</f>
        <v>737.75</v>
      </c>
      <c r="G1401" s="9">
        <f>IFERROR(__xludf.DUMMYFUNCTION("""COMPUTED_VALUE"""),8290306.0)</f>
        <v>8290306</v>
      </c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</row>
    <row r="1402">
      <c r="A1402" s="1"/>
      <c r="B1402" s="22">
        <f>IFERROR(__xludf.DUMMYFUNCTION("""COMPUTED_VALUE"""),43619.64583333333)</f>
        <v>43619.64583</v>
      </c>
      <c r="C1402" s="9">
        <f>IFERROR(__xludf.DUMMYFUNCTION("""COMPUTED_VALUE"""),729.8)</f>
        <v>729.8</v>
      </c>
      <c r="D1402" s="9">
        <f>IFERROR(__xludf.DUMMYFUNCTION("""COMPUTED_VALUE"""),750.9)</f>
        <v>750.9</v>
      </c>
      <c r="E1402" s="9">
        <f>IFERROR(__xludf.DUMMYFUNCTION("""COMPUTED_VALUE"""),729.0)</f>
        <v>729</v>
      </c>
      <c r="F1402" s="9">
        <f>IFERROR(__xludf.DUMMYFUNCTION("""COMPUTED_VALUE"""),744.65)</f>
        <v>744.65</v>
      </c>
      <c r="G1402" s="9">
        <f>IFERROR(__xludf.DUMMYFUNCTION("""COMPUTED_VALUE"""),7744761.0)</f>
        <v>7744761</v>
      </c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</row>
    <row r="1403">
      <c r="A1403" s="1"/>
      <c r="B1403" s="22">
        <f>IFERROR(__xludf.DUMMYFUNCTION("""COMPUTED_VALUE"""),43620.64583333333)</f>
        <v>43620.64583</v>
      </c>
      <c r="C1403" s="9">
        <f>IFERROR(__xludf.DUMMYFUNCTION("""COMPUTED_VALUE"""),737.25)</f>
        <v>737.25</v>
      </c>
      <c r="D1403" s="9">
        <f>IFERROR(__xludf.DUMMYFUNCTION("""COMPUTED_VALUE"""),739.45)</f>
        <v>739.45</v>
      </c>
      <c r="E1403" s="9">
        <f>IFERROR(__xludf.DUMMYFUNCTION("""COMPUTED_VALUE"""),733.15)</f>
        <v>733.15</v>
      </c>
      <c r="F1403" s="9">
        <f>IFERROR(__xludf.DUMMYFUNCTION("""COMPUTED_VALUE"""),735.3)</f>
        <v>735.3</v>
      </c>
      <c r="G1403" s="9">
        <f>IFERROR(__xludf.DUMMYFUNCTION("""COMPUTED_VALUE"""),1.1733702E7)</f>
        <v>11733702</v>
      </c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</row>
    <row r="1404">
      <c r="A1404" s="1"/>
      <c r="B1404" s="22">
        <f>IFERROR(__xludf.DUMMYFUNCTION("""COMPUTED_VALUE"""),43622.64583333333)</f>
        <v>43622.64583</v>
      </c>
      <c r="C1404" s="9">
        <f>IFERROR(__xludf.DUMMYFUNCTION("""COMPUTED_VALUE"""),736.5)</f>
        <v>736.5</v>
      </c>
      <c r="D1404" s="9">
        <f>IFERROR(__xludf.DUMMYFUNCTION("""COMPUTED_VALUE"""),744.65)</f>
        <v>744.65</v>
      </c>
      <c r="E1404" s="9">
        <f>IFERROR(__xludf.DUMMYFUNCTION("""COMPUTED_VALUE"""),733.65)</f>
        <v>733.65</v>
      </c>
      <c r="F1404" s="9">
        <f>IFERROR(__xludf.DUMMYFUNCTION("""COMPUTED_VALUE"""),735.6)</f>
        <v>735.6</v>
      </c>
      <c r="G1404" s="9">
        <f>IFERROR(__xludf.DUMMYFUNCTION("""COMPUTED_VALUE"""),7563925.0)</f>
        <v>7563925</v>
      </c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</row>
    <row r="1405">
      <c r="A1405" s="1"/>
      <c r="B1405" s="22">
        <f>IFERROR(__xludf.DUMMYFUNCTION("""COMPUTED_VALUE"""),43623.64583333333)</f>
        <v>43623.64583</v>
      </c>
      <c r="C1405" s="9">
        <f>IFERROR(__xludf.DUMMYFUNCTION("""COMPUTED_VALUE"""),735.85)</f>
        <v>735.85</v>
      </c>
      <c r="D1405" s="9">
        <f>IFERROR(__xludf.DUMMYFUNCTION("""COMPUTED_VALUE"""),743.95)</f>
        <v>743.95</v>
      </c>
      <c r="E1405" s="9">
        <f>IFERROR(__xludf.DUMMYFUNCTION("""COMPUTED_VALUE"""),735.85)</f>
        <v>735.85</v>
      </c>
      <c r="F1405" s="9">
        <f>IFERROR(__xludf.DUMMYFUNCTION("""COMPUTED_VALUE"""),739.1)</f>
        <v>739.1</v>
      </c>
      <c r="G1405" s="9">
        <f>IFERROR(__xludf.DUMMYFUNCTION("""COMPUTED_VALUE"""),3218358.0)</f>
        <v>3218358</v>
      </c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</row>
    <row r="1406">
      <c r="A1406" s="1"/>
      <c r="B1406" s="22">
        <f>IFERROR(__xludf.DUMMYFUNCTION("""COMPUTED_VALUE"""),43626.64583333333)</f>
        <v>43626.64583</v>
      </c>
      <c r="C1406" s="9">
        <f>IFERROR(__xludf.DUMMYFUNCTION("""COMPUTED_VALUE"""),740.1)</f>
        <v>740.1</v>
      </c>
      <c r="D1406" s="9">
        <f>IFERROR(__xludf.DUMMYFUNCTION("""COMPUTED_VALUE"""),754.1)</f>
        <v>754.1</v>
      </c>
      <c r="E1406" s="9">
        <f>IFERROR(__xludf.DUMMYFUNCTION("""COMPUTED_VALUE"""),740.1)</f>
        <v>740.1</v>
      </c>
      <c r="F1406" s="9">
        <f>IFERROR(__xludf.DUMMYFUNCTION("""COMPUTED_VALUE"""),753.5)</f>
        <v>753.5</v>
      </c>
      <c r="G1406" s="9">
        <f>IFERROR(__xludf.DUMMYFUNCTION("""COMPUTED_VALUE"""),4435148.0)</f>
        <v>4435148</v>
      </c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</row>
    <row r="1407">
      <c r="A1407" s="1"/>
      <c r="B1407" s="22">
        <f>IFERROR(__xludf.DUMMYFUNCTION("""COMPUTED_VALUE"""),43627.64583333333)</f>
        <v>43627.64583</v>
      </c>
      <c r="C1407" s="9">
        <f>IFERROR(__xludf.DUMMYFUNCTION("""COMPUTED_VALUE"""),755.0)</f>
        <v>755</v>
      </c>
      <c r="D1407" s="9">
        <f>IFERROR(__xludf.DUMMYFUNCTION("""COMPUTED_VALUE"""),759.0)</f>
        <v>759</v>
      </c>
      <c r="E1407" s="9">
        <f>IFERROR(__xludf.DUMMYFUNCTION("""COMPUTED_VALUE"""),750.5)</f>
        <v>750.5</v>
      </c>
      <c r="F1407" s="9">
        <f>IFERROR(__xludf.DUMMYFUNCTION("""COMPUTED_VALUE"""),754.9)</f>
        <v>754.9</v>
      </c>
      <c r="G1407" s="9">
        <f>IFERROR(__xludf.DUMMYFUNCTION("""COMPUTED_VALUE"""),5733127.0)</f>
        <v>5733127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</row>
    <row r="1408">
      <c r="A1408" s="1"/>
      <c r="B1408" s="22">
        <f>IFERROR(__xludf.DUMMYFUNCTION("""COMPUTED_VALUE"""),43628.64583333333)</f>
        <v>43628.64583</v>
      </c>
      <c r="C1408" s="9">
        <f>IFERROR(__xludf.DUMMYFUNCTION("""COMPUTED_VALUE"""),756.95)</f>
        <v>756.95</v>
      </c>
      <c r="D1408" s="9">
        <f>IFERROR(__xludf.DUMMYFUNCTION("""COMPUTED_VALUE"""),756.95)</f>
        <v>756.95</v>
      </c>
      <c r="E1408" s="9">
        <f>IFERROR(__xludf.DUMMYFUNCTION("""COMPUTED_VALUE"""),745.0)</f>
        <v>745</v>
      </c>
      <c r="F1408" s="9">
        <f>IFERROR(__xludf.DUMMYFUNCTION("""COMPUTED_VALUE"""),753.8)</f>
        <v>753.8</v>
      </c>
      <c r="G1408" s="9">
        <f>IFERROR(__xludf.DUMMYFUNCTION("""COMPUTED_VALUE"""),8738342.0)</f>
        <v>8738342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</row>
    <row r="1409">
      <c r="A1409" s="1"/>
      <c r="B1409" s="22">
        <f>IFERROR(__xludf.DUMMYFUNCTION("""COMPUTED_VALUE"""),43629.64583333333)</f>
        <v>43629.64583</v>
      </c>
      <c r="C1409" s="9">
        <f>IFERROR(__xludf.DUMMYFUNCTION("""COMPUTED_VALUE"""),740.0)</f>
        <v>740</v>
      </c>
      <c r="D1409" s="9">
        <f>IFERROR(__xludf.DUMMYFUNCTION("""COMPUTED_VALUE"""),747.2)</f>
        <v>747.2</v>
      </c>
      <c r="E1409" s="9">
        <f>IFERROR(__xludf.DUMMYFUNCTION("""COMPUTED_VALUE"""),740.0)</f>
        <v>740</v>
      </c>
      <c r="F1409" s="9">
        <f>IFERROR(__xludf.DUMMYFUNCTION("""COMPUTED_VALUE"""),742.65)</f>
        <v>742.65</v>
      </c>
      <c r="G1409" s="9">
        <f>IFERROR(__xludf.DUMMYFUNCTION("""COMPUTED_VALUE"""),4808577.0)</f>
        <v>4808577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</row>
    <row r="1410">
      <c r="A1410" s="1"/>
      <c r="B1410" s="22">
        <f>IFERROR(__xludf.DUMMYFUNCTION("""COMPUTED_VALUE"""),43630.64583333333)</f>
        <v>43630.64583</v>
      </c>
      <c r="C1410" s="9">
        <f>IFERROR(__xludf.DUMMYFUNCTION("""COMPUTED_VALUE"""),743.85)</f>
        <v>743.85</v>
      </c>
      <c r="D1410" s="9">
        <f>IFERROR(__xludf.DUMMYFUNCTION("""COMPUTED_VALUE"""),745.5)</f>
        <v>745.5</v>
      </c>
      <c r="E1410" s="9">
        <f>IFERROR(__xludf.DUMMYFUNCTION("""COMPUTED_VALUE"""),738.25)</f>
        <v>738.25</v>
      </c>
      <c r="F1410" s="9">
        <f>IFERROR(__xludf.DUMMYFUNCTION("""COMPUTED_VALUE"""),740.45)</f>
        <v>740.45</v>
      </c>
      <c r="G1410" s="9">
        <f>IFERROR(__xludf.DUMMYFUNCTION("""COMPUTED_VALUE"""),5556353.0)</f>
        <v>5556353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</row>
    <row r="1411">
      <c r="A1411" s="1"/>
      <c r="B1411" s="22">
        <f>IFERROR(__xludf.DUMMYFUNCTION("""COMPUTED_VALUE"""),43633.64583333333)</f>
        <v>43633.64583</v>
      </c>
      <c r="C1411" s="9">
        <f>IFERROR(__xludf.DUMMYFUNCTION("""COMPUTED_VALUE"""),743.0)</f>
        <v>743</v>
      </c>
      <c r="D1411" s="9">
        <f>IFERROR(__xludf.DUMMYFUNCTION("""COMPUTED_VALUE"""),744.5)</f>
        <v>744.5</v>
      </c>
      <c r="E1411" s="9">
        <f>IFERROR(__xludf.DUMMYFUNCTION("""COMPUTED_VALUE"""),737.8)</f>
        <v>737.8</v>
      </c>
      <c r="F1411" s="9">
        <f>IFERROR(__xludf.DUMMYFUNCTION("""COMPUTED_VALUE"""),740.55)</f>
        <v>740.55</v>
      </c>
      <c r="G1411" s="9">
        <f>IFERROR(__xludf.DUMMYFUNCTION("""COMPUTED_VALUE"""),3085588.0)</f>
        <v>3085588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</row>
    <row r="1412">
      <c r="A1412" s="1"/>
      <c r="B1412" s="22">
        <f>IFERROR(__xludf.DUMMYFUNCTION("""COMPUTED_VALUE"""),43634.64583333333)</f>
        <v>43634.64583</v>
      </c>
      <c r="C1412" s="9">
        <f>IFERROR(__xludf.DUMMYFUNCTION("""COMPUTED_VALUE"""),740.2)</f>
        <v>740.2</v>
      </c>
      <c r="D1412" s="9">
        <f>IFERROR(__xludf.DUMMYFUNCTION("""COMPUTED_VALUE"""),752.45)</f>
        <v>752.45</v>
      </c>
      <c r="E1412" s="9">
        <f>IFERROR(__xludf.DUMMYFUNCTION("""COMPUTED_VALUE"""),740.2)</f>
        <v>740.2</v>
      </c>
      <c r="F1412" s="9">
        <f>IFERROR(__xludf.DUMMYFUNCTION("""COMPUTED_VALUE"""),750.15)</f>
        <v>750.15</v>
      </c>
      <c r="G1412" s="9">
        <f>IFERROR(__xludf.DUMMYFUNCTION("""COMPUTED_VALUE"""),6202838.0)</f>
        <v>6202838</v>
      </c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</row>
    <row r="1413">
      <c r="A1413" s="1"/>
      <c r="B1413" s="22">
        <f>IFERROR(__xludf.DUMMYFUNCTION("""COMPUTED_VALUE"""),43635.64583333333)</f>
        <v>43635.64583</v>
      </c>
      <c r="C1413" s="9">
        <f>IFERROR(__xludf.DUMMYFUNCTION("""COMPUTED_VALUE"""),752.5)</f>
        <v>752.5</v>
      </c>
      <c r="D1413" s="9">
        <f>IFERROR(__xludf.DUMMYFUNCTION("""COMPUTED_VALUE"""),755.4)</f>
        <v>755.4</v>
      </c>
      <c r="E1413" s="9">
        <f>IFERROR(__xludf.DUMMYFUNCTION("""COMPUTED_VALUE"""),748.6)</f>
        <v>748.6</v>
      </c>
      <c r="F1413" s="9">
        <f>IFERROR(__xludf.DUMMYFUNCTION("""COMPUTED_VALUE"""),751.9)</f>
        <v>751.9</v>
      </c>
      <c r="G1413" s="9">
        <f>IFERROR(__xludf.DUMMYFUNCTION("""COMPUTED_VALUE"""),4596253.0)</f>
        <v>4596253</v>
      </c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</row>
    <row r="1414">
      <c r="A1414" s="1"/>
      <c r="B1414" s="22">
        <f>IFERROR(__xludf.DUMMYFUNCTION("""COMPUTED_VALUE"""),43636.64583333333)</f>
        <v>43636.64583</v>
      </c>
      <c r="C1414" s="9">
        <f>IFERROR(__xludf.DUMMYFUNCTION("""COMPUTED_VALUE"""),737.8)</f>
        <v>737.8</v>
      </c>
      <c r="D1414" s="9">
        <f>IFERROR(__xludf.DUMMYFUNCTION("""COMPUTED_VALUE"""),756.9)</f>
        <v>756.9</v>
      </c>
      <c r="E1414" s="9">
        <f>IFERROR(__xludf.DUMMYFUNCTION("""COMPUTED_VALUE"""),735.9)</f>
        <v>735.9</v>
      </c>
      <c r="F1414" s="9">
        <f>IFERROR(__xludf.DUMMYFUNCTION("""COMPUTED_VALUE"""),754.9)</f>
        <v>754.9</v>
      </c>
      <c r="G1414" s="9">
        <f>IFERROR(__xludf.DUMMYFUNCTION("""COMPUTED_VALUE"""),7148684.0)</f>
        <v>7148684</v>
      </c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</row>
    <row r="1415">
      <c r="A1415" s="1"/>
      <c r="B1415" s="22">
        <f>IFERROR(__xludf.DUMMYFUNCTION("""COMPUTED_VALUE"""),43637.64583333333)</f>
        <v>43637.64583</v>
      </c>
      <c r="C1415" s="9">
        <f>IFERROR(__xludf.DUMMYFUNCTION("""COMPUTED_VALUE"""),755.0)</f>
        <v>755</v>
      </c>
      <c r="D1415" s="9">
        <f>IFERROR(__xludf.DUMMYFUNCTION("""COMPUTED_VALUE"""),755.0)</f>
        <v>755</v>
      </c>
      <c r="E1415" s="9">
        <f>IFERROR(__xludf.DUMMYFUNCTION("""COMPUTED_VALUE"""),747.15)</f>
        <v>747.15</v>
      </c>
      <c r="F1415" s="9">
        <f>IFERROR(__xludf.DUMMYFUNCTION("""COMPUTED_VALUE"""),750.2)</f>
        <v>750.2</v>
      </c>
      <c r="G1415" s="9">
        <f>IFERROR(__xludf.DUMMYFUNCTION("""COMPUTED_VALUE"""),1.3200318E7)</f>
        <v>13200318</v>
      </c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</row>
    <row r="1416">
      <c r="A1416" s="1"/>
      <c r="B1416" s="22">
        <f>IFERROR(__xludf.DUMMYFUNCTION("""COMPUTED_VALUE"""),43640.64583333333)</f>
        <v>43640.64583</v>
      </c>
      <c r="C1416" s="9">
        <f>IFERROR(__xludf.DUMMYFUNCTION("""COMPUTED_VALUE"""),751.9)</f>
        <v>751.9</v>
      </c>
      <c r="D1416" s="9">
        <f>IFERROR(__xludf.DUMMYFUNCTION("""COMPUTED_VALUE"""),751.9)</f>
        <v>751.9</v>
      </c>
      <c r="E1416" s="9">
        <f>IFERROR(__xludf.DUMMYFUNCTION("""COMPUTED_VALUE"""),742.65)</f>
        <v>742.65</v>
      </c>
      <c r="F1416" s="9">
        <f>IFERROR(__xludf.DUMMYFUNCTION("""COMPUTED_VALUE"""),745.5)</f>
        <v>745.5</v>
      </c>
      <c r="G1416" s="9">
        <f>IFERROR(__xludf.DUMMYFUNCTION("""COMPUTED_VALUE"""),4758178.0)</f>
        <v>4758178</v>
      </c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</row>
    <row r="1417">
      <c r="A1417" s="1"/>
      <c r="B1417" s="22">
        <f>IFERROR(__xludf.DUMMYFUNCTION("""COMPUTED_VALUE"""),43641.64583333333)</f>
        <v>43641.64583</v>
      </c>
      <c r="C1417" s="9">
        <f>IFERROR(__xludf.DUMMYFUNCTION("""COMPUTED_VALUE"""),744.0)</f>
        <v>744</v>
      </c>
      <c r="D1417" s="9">
        <f>IFERROR(__xludf.DUMMYFUNCTION("""COMPUTED_VALUE"""),750.9)</f>
        <v>750.9</v>
      </c>
      <c r="E1417" s="9">
        <f>IFERROR(__xludf.DUMMYFUNCTION("""COMPUTED_VALUE"""),737.3)</f>
        <v>737.3</v>
      </c>
      <c r="F1417" s="9">
        <f>IFERROR(__xludf.DUMMYFUNCTION("""COMPUTED_VALUE"""),748.1)</f>
        <v>748.1</v>
      </c>
      <c r="G1417" s="9">
        <f>IFERROR(__xludf.DUMMYFUNCTION("""COMPUTED_VALUE"""),3677911.0)</f>
        <v>3677911</v>
      </c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</row>
    <row r="1418">
      <c r="A1418" s="1"/>
      <c r="B1418" s="22">
        <f>IFERROR(__xludf.DUMMYFUNCTION("""COMPUTED_VALUE"""),43642.64583333333)</f>
        <v>43642.64583</v>
      </c>
      <c r="C1418" s="9">
        <f>IFERROR(__xludf.DUMMYFUNCTION("""COMPUTED_VALUE"""),743.0)</f>
        <v>743</v>
      </c>
      <c r="D1418" s="9">
        <f>IFERROR(__xludf.DUMMYFUNCTION("""COMPUTED_VALUE"""),751.45)</f>
        <v>751.45</v>
      </c>
      <c r="E1418" s="9">
        <f>IFERROR(__xludf.DUMMYFUNCTION("""COMPUTED_VALUE"""),738.0)</f>
        <v>738</v>
      </c>
      <c r="F1418" s="9">
        <f>IFERROR(__xludf.DUMMYFUNCTION("""COMPUTED_VALUE"""),739.2)</f>
        <v>739.2</v>
      </c>
      <c r="G1418" s="9">
        <f>IFERROR(__xludf.DUMMYFUNCTION("""COMPUTED_VALUE"""),5447130.0)</f>
        <v>5447130</v>
      </c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</row>
    <row r="1419">
      <c r="A1419" s="1"/>
      <c r="B1419" s="22">
        <f>IFERROR(__xludf.DUMMYFUNCTION("""COMPUTED_VALUE"""),43643.64583333333)</f>
        <v>43643.64583</v>
      </c>
      <c r="C1419" s="9">
        <f>IFERROR(__xludf.DUMMYFUNCTION("""COMPUTED_VALUE"""),742.0)</f>
        <v>742</v>
      </c>
      <c r="D1419" s="9">
        <f>IFERROR(__xludf.DUMMYFUNCTION("""COMPUTED_VALUE"""),744.7)</f>
        <v>744.7</v>
      </c>
      <c r="E1419" s="9">
        <f>IFERROR(__xludf.DUMMYFUNCTION("""COMPUTED_VALUE"""),728.15)</f>
        <v>728.15</v>
      </c>
      <c r="F1419" s="9">
        <f>IFERROR(__xludf.DUMMYFUNCTION("""COMPUTED_VALUE"""),730.55)</f>
        <v>730.55</v>
      </c>
      <c r="G1419" s="9">
        <f>IFERROR(__xludf.DUMMYFUNCTION("""COMPUTED_VALUE"""),1.1122346E7)</f>
        <v>11122346</v>
      </c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</row>
    <row r="1420">
      <c r="A1420" s="1"/>
      <c r="B1420" s="22">
        <f>IFERROR(__xludf.DUMMYFUNCTION("""COMPUTED_VALUE"""),43644.64583333333)</f>
        <v>43644.64583</v>
      </c>
      <c r="C1420" s="9">
        <f>IFERROR(__xludf.DUMMYFUNCTION("""COMPUTED_VALUE"""),735.5)</f>
        <v>735.5</v>
      </c>
      <c r="D1420" s="9">
        <f>IFERROR(__xludf.DUMMYFUNCTION("""COMPUTED_VALUE"""),739.5)</f>
        <v>739.5</v>
      </c>
      <c r="E1420" s="9">
        <f>IFERROR(__xludf.DUMMYFUNCTION("""COMPUTED_VALUE"""),728.5)</f>
        <v>728.5</v>
      </c>
      <c r="F1420" s="9">
        <f>IFERROR(__xludf.DUMMYFUNCTION("""COMPUTED_VALUE"""),732.0)</f>
        <v>732</v>
      </c>
      <c r="G1420" s="9">
        <f>IFERROR(__xludf.DUMMYFUNCTION("""COMPUTED_VALUE"""),5919494.0)</f>
        <v>5919494</v>
      </c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</row>
    <row r="1421">
      <c r="A1421" s="1"/>
      <c r="B1421" s="22">
        <f>IFERROR(__xludf.DUMMYFUNCTION("""COMPUTED_VALUE"""),43647.64583333333)</f>
        <v>43647.64583</v>
      </c>
      <c r="C1421" s="9">
        <f>IFERROR(__xludf.DUMMYFUNCTION("""COMPUTED_VALUE"""),735.0)</f>
        <v>735</v>
      </c>
      <c r="D1421" s="9">
        <f>IFERROR(__xludf.DUMMYFUNCTION("""COMPUTED_VALUE"""),737.5)</f>
        <v>737.5</v>
      </c>
      <c r="E1421" s="9">
        <f>IFERROR(__xludf.DUMMYFUNCTION("""COMPUTED_VALUE"""),729.85)</f>
        <v>729.85</v>
      </c>
      <c r="F1421" s="9">
        <f>IFERROR(__xludf.DUMMYFUNCTION("""COMPUTED_VALUE"""),731.3)</f>
        <v>731.3</v>
      </c>
      <c r="G1421" s="9">
        <f>IFERROR(__xludf.DUMMYFUNCTION("""COMPUTED_VALUE"""),3224968.0)</f>
        <v>3224968</v>
      </c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</row>
    <row r="1422">
      <c r="A1422" s="1"/>
      <c r="B1422" s="22">
        <f>IFERROR(__xludf.DUMMYFUNCTION("""COMPUTED_VALUE"""),43648.64583333333)</f>
        <v>43648.64583</v>
      </c>
      <c r="C1422" s="9">
        <f>IFERROR(__xludf.DUMMYFUNCTION("""COMPUTED_VALUE"""),734.0)</f>
        <v>734</v>
      </c>
      <c r="D1422" s="9">
        <f>IFERROR(__xludf.DUMMYFUNCTION("""COMPUTED_VALUE"""),741.65)</f>
        <v>741.65</v>
      </c>
      <c r="E1422" s="9">
        <f>IFERROR(__xludf.DUMMYFUNCTION("""COMPUTED_VALUE"""),730.1)</f>
        <v>730.1</v>
      </c>
      <c r="F1422" s="9">
        <f>IFERROR(__xludf.DUMMYFUNCTION("""COMPUTED_VALUE"""),740.0)</f>
        <v>740</v>
      </c>
      <c r="G1422" s="9">
        <f>IFERROR(__xludf.DUMMYFUNCTION("""COMPUTED_VALUE"""),4837606.0)</f>
        <v>4837606</v>
      </c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</row>
    <row r="1423">
      <c r="A1423" s="1"/>
      <c r="B1423" s="22">
        <f>IFERROR(__xludf.DUMMYFUNCTION("""COMPUTED_VALUE"""),43649.64583333333)</f>
        <v>43649.64583</v>
      </c>
      <c r="C1423" s="9">
        <f>IFERROR(__xludf.DUMMYFUNCTION("""COMPUTED_VALUE"""),741.0)</f>
        <v>741</v>
      </c>
      <c r="D1423" s="9">
        <f>IFERROR(__xludf.DUMMYFUNCTION("""COMPUTED_VALUE"""),743.2)</f>
        <v>743.2</v>
      </c>
      <c r="E1423" s="9">
        <f>IFERROR(__xludf.DUMMYFUNCTION("""COMPUTED_VALUE"""),730.0)</f>
        <v>730</v>
      </c>
      <c r="F1423" s="9">
        <f>IFERROR(__xludf.DUMMYFUNCTION("""COMPUTED_VALUE"""),731.3)</f>
        <v>731.3</v>
      </c>
      <c r="G1423" s="9">
        <f>IFERROR(__xludf.DUMMYFUNCTION("""COMPUTED_VALUE"""),5958379.0)</f>
        <v>5958379</v>
      </c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</row>
    <row r="1424">
      <c r="A1424" s="1"/>
      <c r="B1424" s="22">
        <f>IFERROR(__xludf.DUMMYFUNCTION("""COMPUTED_VALUE"""),43650.64583333333)</f>
        <v>43650.64583</v>
      </c>
      <c r="C1424" s="9">
        <f>IFERROR(__xludf.DUMMYFUNCTION("""COMPUTED_VALUE"""),729.0)</f>
        <v>729</v>
      </c>
      <c r="D1424" s="9">
        <f>IFERROR(__xludf.DUMMYFUNCTION("""COMPUTED_VALUE"""),736.4)</f>
        <v>736.4</v>
      </c>
      <c r="E1424" s="9">
        <f>IFERROR(__xludf.DUMMYFUNCTION("""COMPUTED_VALUE"""),728.6)</f>
        <v>728.6</v>
      </c>
      <c r="F1424" s="9">
        <f>IFERROR(__xludf.DUMMYFUNCTION("""COMPUTED_VALUE"""),733.8)</f>
        <v>733.8</v>
      </c>
      <c r="G1424" s="9">
        <f>IFERROR(__xludf.DUMMYFUNCTION("""COMPUTED_VALUE"""),3274064.0)</f>
        <v>3274064</v>
      </c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</row>
    <row r="1425">
      <c r="A1425" s="1"/>
      <c r="B1425" s="22">
        <f>IFERROR(__xludf.DUMMYFUNCTION("""COMPUTED_VALUE"""),43651.64583333333)</f>
        <v>43651.64583</v>
      </c>
      <c r="C1425" s="9">
        <f>IFERROR(__xludf.DUMMYFUNCTION("""COMPUTED_VALUE"""),735.0)</f>
        <v>735</v>
      </c>
      <c r="D1425" s="9">
        <f>IFERROR(__xludf.DUMMYFUNCTION("""COMPUTED_VALUE"""),736.4)</f>
        <v>736.4</v>
      </c>
      <c r="E1425" s="9">
        <f>IFERROR(__xludf.DUMMYFUNCTION("""COMPUTED_VALUE"""),713.5)</f>
        <v>713.5</v>
      </c>
      <c r="F1425" s="9">
        <f>IFERROR(__xludf.DUMMYFUNCTION("""COMPUTED_VALUE"""),718.0)</f>
        <v>718</v>
      </c>
      <c r="G1425" s="9">
        <f>IFERROR(__xludf.DUMMYFUNCTION("""COMPUTED_VALUE"""),4926289.0)</f>
        <v>4926289</v>
      </c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</row>
    <row r="1426">
      <c r="A1426" s="1"/>
      <c r="B1426" s="22">
        <f>IFERROR(__xludf.DUMMYFUNCTION("""COMPUTED_VALUE"""),43654.64583333333)</f>
        <v>43654.64583</v>
      </c>
      <c r="C1426" s="9">
        <f>IFERROR(__xludf.DUMMYFUNCTION("""COMPUTED_VALUE"""),716.45)</f>
        <v>716.45</v>
      </c>
      <c r="D1426" s="9">
        <f>IFERROR(__xludf.DUMMYFUNCTION("""COMPUTED_VALUE"""),724.95)</f>
        <v>724.95</v>
      </c>
      <c r="E1426" s="9">
        <f>IFERROR(__xludf.DUMMYFUNCTION("""COMPUTED_VALUE"""),712.3)</f>
        <v>712.3</v>
      </c>
      <c r="F1426" s="9">
        <f>IFERROR(__xludf.DUMMYFUNCTION("""COMPUTED_VALUE"""),717.6)</f>
        <v>717.6</v>
      </c>
      <c r="G1426" s="9">
        <f>IFERROR(__xludf.DUMMYFUNCTION("""COMPUTED_VALUE"""),7177092.0)</f>
        <v>7177092</v>
      </c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</row>
    <row r="1427">
      <c r="A1427" s="1"/>
      <c r="B1427" s="22">
        <f>IFERROR(__xludf.DUMMYFUNCTION("""COMPUTED_VALUE"""),43655.64583333333)</f>
        <v>43655.64583</v>
      </c>
      <c r="C1427" s="9">
        <f>IFERROR(__xludf.DUMMYFUNCTION("""COMPUTED_VALUE"""),718.0)</f>
        <v>718</v>
      </c>
      <c r="D1427" s="9">
        <f>IFERROR(__xludf.DUMMYFUNCTION("""COMPUTED_VALUE"""),719.85)</f>
        <v>719.85</v>
      </c>
      <c r="E1427" s="9">
        <f>IFERROR(__xludf.DUMMYFUNCTION("""COMPUTED_VALUE"""),709.05)</f>
        <v>709.05</v>
      </c>
      <c r="F1427" s="9">
        <f>IFERROR(__xludf.DUMMYFUNCTION("""COMPUTED_VALUE"""),715.5)</f>
        <v>715.5</v>
      </c>
      <c r="G1427" s="9">
        <f>IFERROR(__xludf.DUMMYFUNCTION("""COMPUTED_VALUE"""),5022638.0)</f>
        <v>5022638</v>
      </c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</row>
    <row r="1428">
      <c r="A1428" s="1"/>
      <c r="B1428" s="22">
        <f>IFERROR(__xludf.DUMMYFUNCTION("""COMPUTED_VALUE"""),43656.64583333333)</f>
        <v>43656.64583</v>
      </c>
      <c r="C1428" s="9">
        <f>IFERROR(__xludf.DUMMYFUNCTION("""COMPUTED_VALUE"""),709.0)</f>
        <v>709</v>
      </c>
      <c r="D1428" s="9">
        <f>IFERROR(__xludf.DUMMYFUNCTION("""COMPUTED_VALUE"""),722.7)</f>
        <v>722.7</v>
      </c>
      <c r="E1428" s="9">
        <f>IFERROR(__xludf.DUMMYFUNCTION("""COMPUTED_VALUE"""),706.5)</f>
        <v>706.5</v>
      </c>
      <c r="F1428" s="9">
        <f>IFERROR(__xludf.DUMMYFUNCTION("""COMPUTED_VALUE"""),717.25)</f>
        <v>717.25</v>
      </c>
      <c r="G1428" s="9">
        <f>IFERROR(__xludf.DUMMYFUNCTION("""COMPUTED_VALUE"""),7573816.0)</f>
        <v>7573816</v>
      </c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</row>
    <row r="1429">
      <c r="A1429" s="1"/>
      <c r="B1429" s="22">
        <f>IFERROR(__xludf.DUMMYFUNCTION("""COMPUTED_VALUE"""),43657.64583333333)</f>
        <v>43657.64583</v>
      </c>
      <c r="C1429" s="9">
        <f>IFERROR(__xludf.DUMMYFUNCTION("""COMPUTED_VALUE"""),719.45)</f>
        <v>719.45</v>
      </c>
      <c r="D1429" s="9">
        <f>IFERROR(__xludf.DUMMYFUNCTION("""COMPUTED_VALUE"""),723.5)</f>
        <v>723.5</v>
      </c>
      <c r="E1429" s="9">
        <f>IFERROR(__xludf.DUMMYFUNCTION("""COMPUTED_VALUE"""),709.6)</f>
        <v>709.6</v>
      </c>
      <c r="F1429" s="9">
        <f>IFERROR(__xludf.DUMMYFUNCTION("""COMPUTED_VALUE"""),721.5)</f>
        <v>721.5</v>
      </c>
      <c r="G1429" s="9">
        <f>IFERROR(__xludf.DUMMYFUNCTION("""COMPUTED_VALUE"""),6252688.0)</f>
        <v>6252688</v>
      </c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</row>
    <row r="1430">
      <c r="A1430" s="1"/>
      <c r="B1430" s="22">
        <f>IFERROR(__xludf.DUMMYFUNCTION("""COMPUTED_VALUE"""),43658.64583333333)</f>
        <v>43658.64583</v>
      </c>
      <c r="C1430" s="9">
        <f>IFERROR(__xludf.DUMMYFUNCTION("""COMPUTED_VALUE"""),722.5)</f>
        <v>722.5</v>
      </c>
      <c r="D1430" s="9">
        <f>IFERROR(__xludf.DUMMYFUNCTION("""COMPUTED_VALUE"""),730.6)</f>
        <v>730.6</v>
      </c>
      <c r="E1430" s="9">
        <f>IFERROR(__xludf.DUMMYFUNCTION("""COMPUTED_VALUE"""),719.6)</f>
        <v>719.6</v>
      </c>
      <c r="F1430" s="9">
        <f>IFERROR(__xludf.DUMMYFUNCTION("""COMPUTED_VALUE"""),726.75)</f>
        <v>726.75</v>
      </c>
      <c r="G1430" s="9">
        <f>IFERROR(__xludf.DUMMYFUNCTION("""COMPUTED_VALUE"""),7874441.0)</f>
        <v>7874441</v>
      </c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</row>
    <row r="1431">
      <c r="A1431" s="1"/>
      <c r="B1431" s="22">
        <f>IFERROR(__xludf.DUMMYFUNCTION("""COMPUTED_VALUE"""),43661.64583333333)</f>
        <v>43661.64583</v>
      </c>
      <c r="C1431" s="9">
        <f>IFERROR(__xludf.DUMMYFUNCTION("""COMPUTED_VALUE"""),763.0)</f>
        <v>763</v>
      </c>
      <c r="D1431" s="9">
        <f>IFERROR(__xludf.DUMMYFUNCTION("""COMPUTED_VALUE"""),781.65)</f>
        <v>781.65</v>
      </c>
      <c r="E1431" s="9">
        <f>IFERROR(__xludf.DUMMYFUNCTION("""COMPUTED_VALUE"""),754.2)</f>
        <v>754.2</v>
      </c>
      <c r="F1431" s="9">
        <f>IFERROR(__xludf.DUMMYFUNCTION("""COMPUTED_VALUE"""),779.35)</f>
        <v>779.35</v>
      </c>
      <c r="G1431" s="9">
        <f>IFERROR(__xludf.DUMMYFUNCTION("""COMPUTED_VALUE"""),3.1064152E7)</f>
        <v>31064152</v>
      </c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</row>
    <row r="1432">
      <c r="A1432" s="1"/>
      <c r="B1432" s="22">
        <f>IFERROR(__xludf.DUMMYFUNCTION("""COMPUTED_VALUE"""),43662.64583333333)</f>
        <v>43662.64583</v>
      </c>
      <c r="C1432" s="9">
        <f>IFERROR(__xludf.DUMMYFUNCTION("""COMPUTED_VALUE"""),777.0)</f>
        <v>777</v>
      </c>
      <c r="D1432" s="9">
        <f>IFERROR(__xludf.DUMMYFUNCTION("""COMPUTED_VALUE"""),787.8)</f>
        <v>787.8</v>
      </c>
      <c r="E1432" s="9">
        <f>IFERROR(__xludf.DUMMYFUNCTION("""COMPUTED_VALUE"""),776.0)</f>
        <v>776</v>
      </c>
      <c r="F1432" s="9">
        <f>IFERROR(__xludf.DUMMYFUNCTION("""COMPUTED_VALUE"""),784.85)</f>
        <v>784.85</v>
      </c>
      <c r="G1432" s="9">
        <f>IFERROR(__xludf.DUMMYFUNCTION("""COMPUTED_VALUE"""),9924322.0)</f>
        <v>9924322</v>
      </c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</row>
    <row r="1433">
      <c r="A1433" s="1"/>
      <c r="B1433" s="22">
        <f>IFERROR(__xludf.DUMMYFUNCTION("""COMPUTED_VALUE"""),43663.64583333333)</f>
        <v>43663.64583</v>
      </c>
      <c r="C1433" s="9">
        <f>IFERROR(__xludf.DUMMYFUNCTION("""COMPUTED_VALUE"""),783.9)</f>
        <v>783.9</v>
      </c>
      <c r="D1433" s="9">
        <f>IFERROR(__xludf.DUMMYFUNCTION("""COMPUTED_VALUE"""),795.0)</f>
        <v>795</v>
      </c>
      <c r="E1433" s="9">
        <f>IFERROR(__xludf.DUMMYFUNCTION("""COMPUTED_VALUE"""),776.75)</f>
        <v>776.75</v>
      </c>
      <c r="F1433" s="9">
        <f>IFERROR(__xludf.DUMMYFUNCTION("""COMPUTED_VALUE"""),794.15)</f>
        <v>794.15</v>
      </c>
      <c r="G1433" s="9">
        <f>IFERROR(__xludf.DUMMYFUNCTION("""COMPUTED_VALUE"""),6754348.0)</f>
        <v>6754348</v>
      </c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</row>
    <row r="1434">
      <c r="A1434" s="1"/>
      <c r="B1434" s="22">
        <f>IFERROR(__xludf.DUMMYFUNCTION("""COMPUTED_VALUE"""),43664.64583333333)</f>
        <v>43664.64583</v>
      </c>
      <c r="C1434" s="9">
        <f>IFERROR(__xludf.DUMMYFUNCTION("""COMPUTED_VALUE"""),789.05)</f>
        <v>789.05</v>
      </c>
      <c r="D1434" s="9">
        <f>IFERROR(__xludf.DUMMYFUNCTION("""COMPUTED_VALUE"""),798.5)</f>
        <v>798.5</v>
      </c>
      <c r="E1434" s="9">
        <f>IFERROR(__xludf.DUMMYFUNCTION("""COMPUTED_VALUE"""),786.2)</f>
        <v>786.2</v>
      </c>
      <c r="F1434" s="9">
        <f>IFERROR(__xludf.DUMMYFUNCTION("""COMPUTED_VALUE"""),792.7)</f>
        <v>792.7</v>
      </c>
      <c r="G1434" s="9">
        <f>IFERROR(__xludf.DUMMYFUNCTION("""COMPUTED_VALUE"""),6534471.0)</f>
        <v>6534471</v>
      </c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</row>
    <row r="1435">
      <c r="A1435" s="1"/>
      <c r="B1435" s="22">
        <f>IFERROR(__xludf.DUMMYFUNCTION("""COMPUTED_VALUE"""),43665.64583333333)</f>
        <v>43665.64583</v>
      </c>
      <c r="C1435" s="9">
        <f>IFERROR(__xludf.DUMMYFUNCTION("""COMPUTED_VALUE"""),788.7)</f>
        <v>788.7</v>
      </c>
      <c r="D1435" s="9">
        <f>IFERROR(__xludf.DUMMYFUNCTION("""COMPUTED_VALUE"""),794.5)</f>
        <v>794.5</v>
      </c>
      <c r="E1435" s="9">
        <f>IFERROR(__xludf.DUMMYFUNCTION("""COMPUTED_VALUE"""),781.25)</f>
        <v>781.25</v>
      </c>
      <c r="F1435" s="9">
        <f>IFERROR(__xludf.DUMMYFUNCTION("""COMPUTED_VALUE"""),785.4)</f>
        <v>785.4</v>
      </c>
      <c r="G1435" s="9">
        <f>IFERROR(__xludf.DUMMYFUNCTION("""COMPUTED_VALUE"""),6812754.0)</f>
        <v>6812754</v>
      </c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</row>
    <row r="1436">
      <c r="A1436" s="1"/>
      <c r="B1436" s="22">
        <f>IFERROR(__xludf.DUMMYFUNCTION("""COMPUTED_VALUE"""),43668.64583333333)</f>
        <v>43668.64583</v>
      </c>
      <c r="C1436" s="9">
        <f>IFERROR(__xludf.DUMMYFUNCTION("""COMPUTED_VALUE"""),785.95)</f>
        <v>785.95</v>
      </c>
      <c r="D1436" s="9">
        <f>IFERROR(__xludf.DUMMYFUNCTION("""COMPUTED_VALUE"""),792.0)</f>
        <v>792</v>
      </c>
      <c r="E1436" s="9">
        <f>IFERROR(__xludf.DUMMYFUNCTION("""COMPUTED_VALUE"""),782.05)</f>
        <v>782.05</v>
      </c>
      <c r="F1436" s="9">
        <f>IFERROR(__xludf.DUMMYFUNCTION("""COMPUTED_VALUE"""),784.4)</f>
        <v>784.4</v>
      </c>
      <c r="G1436" s="9">
        <f>IFERROR(__xludf.DUMMYFUNCTION("""COMPUTED_VALUE"""),7107151.0)</f>
        <v>7107151</v>
      </c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</row>
    <row r="1437">
      <c r="A1437" s="1"/>
      <c r="B1437" s="22">
        <f>IFERROR(__xludf.DUMMYFUNCTION("""COMPUTED_VALUE"""),43669.64583333333)</f>
        <v>43669.64583</v>
      </c>
      <c r="C1437" s="9">
        <f>IFERROR(__xludf.DUMMYFUNCTION("""COMPUTED_VALUE"""),787.0)</f>
        <v>787</v>
      </c>
      <c r="D1437" s="9">
        <f>IFERROR(__xludf.DUMMYFUNCTION("""COMPUTED_VALUE"""),804.0)</f>
        <v>804</v>
      </c>
      <c r="E1437" s="9">
        <f>IFERROR(__xludf.DUMMYFUNCTION("""COMPUTED_VALUE"""),785.55)</f>
        <v>785.55</v>
      </c>
      <c r="F1437" s="9">
        <f>IFERROR(__xludf.DUMMYFUNCTION("""COMPUTED_VALUE"""),790.05)</f>
        <v>790.05</v>
      </c>
      <c r="G1437" s="9">
        <f>IFERROR(__xludf.DUMMYFUNCTION("""COMPUTED_VALUE"""),1.0782564E7)</f>
        <v>10782564</v>
      </c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</row>
    <row r="1438">
      <c r="A1438" s="1"/>
      <c r="B1438" s="22">
        <f>IFERROR(__xludf.DUMMYFUNCTION("""COMPUTED_VALUE"""),43670.64583333333)</f>
        <v>43670.64583</v>
      </c>
      <c r="C1438" s="9">
        <f>IFERROR(__xludf.DUMMYFUNCTION("""COMPUTED_VALUE"""),788.0)</f>
        <v>788</v>
      </c>
      <c r="D1438" s="9">
        <f>IFERROR(__xludf.DUMMYFUNCTION("""COMPUTED_VALUE"""),793.75)</f>
        <v>793.75</v>
      </c>
      <c r="E1438" s="9">
        <f>IFERROR(__xludf.DUMMYFUNCTION("""COMPUTED_VALUE"""),783.6)</f>
        <v>783.6</v>
      </c>
      <c r="F1438" s="9">
        <f>IFERROR(__xludf.DUMMYFUNCTION("""COMPUTED_VALUE"""),786.3)</f>
        <v>786.3</v>
      </c>
      <c r="G1438" s="9">
        <f>IFERROR(__xludf.DUMMYFUNCTION("""COMPUTED_VALUE"""),5745146.0)</f>
        <v>5745146</v>
      </c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</row>
    <row r="1439">
      <c r="A1439" s="1"/>
      <c r="B1439" s="22">
        <f>IFERROR(__xludf.DUMMYFUNCTION("""COMPUTED_VALUE"""),43671.64583333333)</f>
        <v>43671.64583</v>
      </c>
      <c r="C1439" s="9">
        <f>IFERROR(__xludf.DUMMYFUNCTION("""COMPUTED_VALUE"""),788.25)</f>
        <v>788.25</v>
      </c>
      <c r="D1439" s="9">
        <f>IFERROR(__xludf.DUMMYFUNCTION("""COMPUTED_VALUE"""),800.2)</f>
        <v>800.2</v>
      </c>
      <c r="E1439" s="9">
        <f>IFERROR(__xludf.DUMMYFUNCTION("""COMPUTED_VALUE"""),787.65)</f>
        <v>787.65</v>
      </c>
      <c r="F1439" s="9">
        <f>IFERROR(__xludf.DUMMYFUNCTION("""COMPUTED_VALUE"""),794.5)</f>
        <v>794.5</v>
      </c>
      <c r="G1439" s="9">
        <f>IFERROR(__xludf.DUMMYFUNCTION("""COMPUTED_VALUE"""),9773568.0)</f>
        <v>9773568</v>
      </c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</row>
    <row r="1440">
      <c r="A1440" s="1"/>
      <c r="B1440" s="22">
        <f>IFERROR(__xludf.DUMMYFUNCTION("""COMPUTED_VALUE"""),43672.64583333333)</f>
        <v>43672.64583</v>
      </c>
      <c r="C1440" s="9">
        <f>IFERROR(__xludf.DUMMYFUNCTION("""COMPUTED_VALUE"""),792.3)</f>
        <v>792.3</v>
      </c>
      <c r="D1440" s="9">
        <f>IFERROR(__xludf.DUMMYFUNCTION("""COMPUTED_VALUE"""),795.0)</f>
        <v>795</v>
      </c>
      <c r="E1440" s="9">
        <f>IFERROR(__xludf.DUMMYFUNCTION("""COMPUTED_VALUE"""),782.2)</f>
        <v>782.2</v>
      </c>
      <c r="F1440" s="9">
        <f>IFERROR(__xludf.DUMMYFUNCTION("""COMPUTED_VALUE"""),787.0)</f>
        <v>787</v>
      </c>
      <c r="G1440" s="9">
        <f>IFERROR(__xludf.DUMMYFUNCTION("""COMPUTED_VALUE"""),4941763.0)</f>
        <v>4941763</v>
      </c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</row>
    <row r="1441">
      <c r="A1441" s="1"/>
      <c r="B1441" s="22">
        <f>IFERROR(__xludf.DUMMYFUNCTION("""COMPUTED_VALUE"""),43675.64583333333)</f>
        <v>43675.64583</v>
      </c>
      <c r="C1441" s="9">
        <f>IFERROR(__xludf.DUMMYFUNCTION("""COMPUTED_VALUE"""),789.5)</f>
        <v>789.5</v>
      </c>
      <c r="D1441" s="9">
        <f>IFERROR(__xludf.DUMMYFUNCTION("""COMPUTED_VALUE"""),796.95)</f>
        <v>796.95</v>
      </c>
      <c r="E1441" s="9">
        <f>IFERROR(__xludf.DUMMYFUNCTION("""COMPUTED_VALUE"""),786.2)</f>
        <v>786.2</v>
      </c>
      <c r="F1441" s="9">
        <f>IFERROR(__xludf.DUMMYFUNCTION("""COMPUTED_VALUE"""),791.45)</f>
        <v>791.45</v>
      </c>
      <c r="G1441" s="9">
        <f>IFERROR(__xludf.DUMMYFUNCTION("""COMPUTED_VALUE"""),6244316.0)</f>
        <v>6244316</v>
      </c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</row>
    <row r="1442">
      <c r="A1442" s="1"/>
      <c r="B1442" s="22">
        <f>IFERROR(__xludf.DUMMYFUNCTION("""COMPUTED_VALUE"""),43676.64583333333)</f>
        <v>43676.64583</v>
      </c>
      <c r="C1442" s="9">
        <f>IFERROR(__xludf.DUMMYFUNCTION("""COMPUTED_VALUE"""),791.9)</f>
        <v>791.9</v>
      </c>
      <c r="D1442" s="9">
        <f>IFERROR(__xludf.DUMMYFUNCTION("""COMPUTED_VALUE"""),797.8)</f>
        <v>797.8</v>
      </c>
      <c r="E1442" s="9">
        <f>IFERROR(__xludf.DUMMYFUNCTION("""COMPUTED_VALUE"""),788.55)</f>
        <v>788.55</v>
      </c>
      <c r="F1442" s="9">
        <f>IFERROR(__xludf.DUMMYFUNCTION("""COMPUTED_VALUE"""),792.7)</f>
        <v>792.7</v>
      </c>
      <c r="G1442" s="9">
        <f>IFERROR(__xludf.DUMMYFUNCTION("""COMPUTED_VALUE"""),8673253.0)</f>
        <v>8673253</v>
      </c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</row>
    <row r="1443">
      <c r="A1443" s="1"/>
      <c r="B1443" s="22">
        <f>IFERROR(__xludf.DUMMYFUNCTION("""COMPUTED_VALUE"""),43677.64583333333)</f>
        <v>43677.64583</v>
      </c>
      <c r="C1443" s="9">
        <f>IFERROR(__xludf.DUMMYFUNCTION("""COMPUTED_VALUE"""),790.85)</f>
        <v>790.85</v>
      </c>
      <c r="D1443" s="9">
        <f>IFERROR(__xludf.DUMMYFUNCTION("""COMPUTED_VALUE"""),799.8)</f>
        <v>799.8</v>
      </c>
      <c r="E1443" s="9">
        <f>IFERROR(__xludf.DUMMYFUNCTION("""COMPUTED_VALUE"""),781.6)</f>
        <v>781.6</v>
      </c>
      <c r="F1443" s="9">
        <f>IFERROR(__xludf.DUMMYFUNCTION("""COMPUTED_VALUE"""),793.65)</f>
        <v>793.65</v>
      </c>
      <c r="G1443" s="9">
        <f>IFERROR(__xludf.DUMMYFUNCTION("""COMPUTED_VALUE"""),7350584.0)</f>
        <v>7350584</v>
      </c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</row>
    <row r="1444">
      <c r="A1444" s="1"/>
      <c r="B1444" s="22">
        <f>IFERROR(__xludf.DUMMYFUNCTION("""COMPUTED_VALUE"""),43678.64583333333)</f>
        <v>43678.64583</v>
      </c>
      <c r="C1444" s="9">
        <f>IFERROR(__xludf.DUMMYFUNCTION("""COMPUTED_VALUE"""),786.45)</f>
        <v>786.45</v>
      </c>
      <c r="D1444" s="9">
        <f>IFERROR(__xludf.DUMMYFUNCTION("""COMPUTED_VALUE"""),788.4)</f>
        <v>788.4</v>
      </c>
      <c r="E1444" s="9">
        <f>IFERROR(__xludf.DUMMYFUNCTION("""COMPUTED_VALUE"""),764.4)</f>
        <v>764.4</v>
      </c>
      <c r="F1444" s="9">
        <f>IFERROR(__xludf.DUMMYFUNCTION("""COMPUTED_VALUE"""),768.85)</f>
        <v>768.85</v>
      </c>
      <c r="G1444" s="9">
        <f>IFERROR(__xludf.DUMMYFUNCTION("""COMPUTED_VALUE"""),1.0066407E7)</f>
        <v>10066407</v>
      </c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</row>
    <row r="1445">
      <c r="A1445" s="1"/>
      <c r="B1445" s="22">
        <f>IFERROR(__xludf.DUMMYFUNCTION("""COMPUTED_VALUE"""),43679.64583333333)</f>
        <v>43679.64583</v>
      </c>
      <c r="C1445" s="9">
        <f>IFERROR(__xludf.DUMMYFUNCTION("""COMPUTED_VALUE"""),765.05)</f>
        <v>765.05</v>
      </c>
      <c r="D1445" s="9">
        <f>IFERROR(__xludf.DUMMYFUNCTION("""COMPUTED_VALUE"""),779.9)</f>
        <v>779.9</v>
      </c>
      <c r="E1445" s="9">
        <f>IFERROR(__xludf.DUMMYFUNCTION("""COMPUTED_VALUE"""),762.25)</f>
        <v>762.25</v>
      </c>
      <c r="F1445" s="9">
        <f>IFERROR(__xludf.DUMMYFUNCTION("""COMPUTED_VALUE"""),775.6)</f>
        <v>775.6</v>
      </c>
      <c r="G1445" s="9">
        <f>IFERROR(__xludf.DUMMYFUNCTION("""COMPUTED_VALUE"""),1.0838336E7)</f>
        <v>10838336</v>
      </c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</row>
    <row r="1446">
      <c r="A1446" s="1"/>
      <c r="B1446" s="22">
        <f>IFERROR(__xludf.DUMMYFUNCTION("""COMPUTED_VALUE"""),43682.64583333333)</f>
        <v>43682.64583</v>
      </c>
      <c r="C1446" s="9">
        <f>IFERROR(__xludf.DUMMYFUNCTION("""COMPUTED_VALUE"""),772.6)</f>
        <v>772.6</v>
      </c>
      <c r="D1446" s="9">
        <f>IFERROR(__xludf.DUMMYFUNCTION("""COMPUTED_VALUE"""),785.9)</f>
        <v>785.9</v>
      </c>
      <c r="E1446" s="9">
        <f>IFERROR(__xludf.DUMMYFUNCTION("""COMPUTED_VALUE"""),768.65)</f>
        <v>768.65</v>
      </c>
      <c r="F1446" s="9">
        <f>IFERROR(__xludf.DUMMYFUNCTION("""COMPUTED_VALUE"""),776.7)</f>
        <v>776.7</v>
      </c>
      <c r="G1446" s="9">
        <f>IFERROR(__xludf.DUMMYFUNCTION("""COMPUTED_VALUE"""),9976238.0)</f>
        <v>9976238</v>
      </c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</row>
    <row r="1447">
      <c r="A1447" s="1"/>
      <c r="B1447" s="22">
        <f>IFERROR(__xludf.DUMMYFUNCTION("""COMPUTED_VALUE"""),43683.64583333333)</f>
        <v>43683.64583</v>
      </c>
      <c r="C1447" s="9">
        <f>IFERROR(__xludf.DUMMYFUNCTION("""COMPUTED_VALUE"""),778.8)</f>
        <v>778.8</v>
      </c>
      <c r="D1447" s="9">
        <f>IFERROR(__xludf.DUMMYFUNCTION("""COMPUTED_VALUE"""),783.7)</f>
        <v>783.7</v>
      </c>
      <c r="E1447" s="9">
        <f>IFERROR(__xludf.DUMMYFUNCTION("""COMPUTED_VALUE"""),769.8)</f>
        <v>769.8</v>
      </c>
      <c r="F1447" s="9">
        <f>IFERROR(__xludf.DUMMYFUNCTION("""COMPUTED_VALUE"""),774.45)</f>
        <v>774.45</v>
      </c>
      <c r="G1447" s="9">
        <f>IFERROR(__xludf.DUMMYFUNCTION("""COMPUTED_VALUE"""),9331718.0)</f>
        <v>9331718</v>
      </c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</row>
    <row r="1448">
      <c r="A1448" s="1"/>
      <c r="B1448" s="22">
        <f>IFERROR(__xludf.DUMMYFUNCTION("""COMPUTED_VALUE"""),43684.64583333333)</f>
        <v>43684.64583</v>
      </c>
      <c r="C1448" s="9">
        <f>IFERROR(__xludf.DUMMYFUNCTION("""COMPUTED_VALUE"""),778.9)</f>
        <v>778.9</v>
      </c>
      <c r="D1448" s="9">
        <f>IFERROR(__xludf.DUMMYFUNCTION("""COMPUTED_VALUE"""),783.45)</f>
        <v>783.45</v>
      </c>
      <c r="E1448" s="9">
        <f>IFERROR(__xludf.DUMMYFUNCTION("""COMPUTED_VALUE"""),772.35)</f>
        <v>772.35</v>
      </c>
      <c r="F1448" s="9">
        <f>IFERROR(__xludf.DUMMYFUNCTION("""COMPUTED_VALUE"""),776.1)</f>
        <v>776.1</v>
      </c>
      <c r="G1448" s="9">
        <f>IFERROR(__xludf.DUMMYFUNCTION("""COMPUTED_VALUE"""),5130457.0)</f>
        <v>5130457</v>
      </c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</row>
    <row r="1449">
      <c r="A1449" s="1"/>
      <c r="B1449" s="22">
        <f>IFERROR(__xludf.DUMMYFUNCTION("""COMPUTED_VALUE"""),43685.64583333333)</f>
        <v>43685.64583</v>
      </c>
      <c r="C1449" s="9">
        <f>IFERROR(__xludf.DUMMYFUNCTION("""COMPUTED_VALUE"""),782.7)</f>
        <v>782.7</v>
      </c>
      <c r="D1449" s="9">
        <f>IFERROR(__xludf.DUMMYFUNCTION("""COMPUTED_VALUE"""),792.75)</f>
        <v>792.75</v>
      </c>
      <c r="E1449" s="9">
        <f>IFERROR(__xludf.DUMMYFUNCTION("""COMPUTED_VALUE"""),781.25)</f>
        <v>781.25</v>
      </c>
      <c r="F1449" s="9">
        <f>IFERROR(__xludf.DUMMYFUNCTION("""COMPUTED_VALUE"""),788.75)</f>
        <v>788.75</v>
      </c>
      <c r="G1449" s="9">
        <f>IFERROR(__xludf.DUMMYFUNCTION("""COMPUTED_VALUE"""),8009009.0)</f>
        <v>8009009</v>
      </c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</row>
    <row r="1450">
      <c r="A1450" s="1"/>
      <c r="B1450" s="22">
        <f>IFERROR(__xludf.DUMMYFUNCTION("""COMPUTED_VALUE"""),43686.64583333333)</f>
        <v>43686.64583</v>
      </c>
      <c r="C1450" s="9">
        <f>IFERROR(__xludf.DUMMYFUNCTION("""COMPUTED_VALUE"""),792.0)</f>
        <v>792</v>
      </c>
      <c r="D1450" s="9">
        <f>IFERROR(__xludf.DUMMYFUNCTION("""COMPUTED_VALUE"""),796.75)</f>
        <v>796.75</v>
      </c>
      <c r="E1450" s="9">
        <f>IFERROR(__xludf.DUMMYFUNCTION("""COMPUTED_VALUE"""),784.8)</f>
        <v>784.8</v>
      </c>
      <c r="F1450" s="9">
        <f>IFERROR(__xludf.DUMMYFUNCTION("""COMPUTED_VALUE"""),789.85)</f>
        <v>789.85</v>
      </c>
      <c r="G1450" s="9">
        <f>IFERROR(__xludf.DUMMYFUNCTION("""COMPUTED_VALUE"""),4362520.0)</f>
        <v>4362520</v>
      </c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</row>
    <row r="1451">
      <c r="A1451" s="1"/>
      <c r="B1451" s="22">
        <f>IFERROR(__xludf.DUMMYFUNCTION("""COMPUTED_VALUE"""),43690.64583333333)</f>
        <v>43690.64583</v>
      </c>
      <c r="C1451" s="9">
        <f>IFERROR(__xludf.DUMMYFUNCTION("""COMPUTED_VALUE"""),784.15)</f>
        <v>784.15</v>
      </c>
      <c r="D1451" s="9">
        <f>IFERROR(__xludf.DUMMYFUNCTION("""COMPUTED_VALUE"""),786.0)</f>
        <v>786</v>
      </c>
      <c r="E1451" s="9">
        <f>IFERROR(__xludf.DUMMYFUNCTION("""COMPUTED_VALUE"""),760.15)</f>
        <v>760.15</v>
      </c>
      <c r="F1451" s="9">
        <f>IFERROR(__xludf.DUMMYFUNCTION("""COMPUTED_VALUE"""),764.75)</f>
        <v>764.75</v>
      </c>
      <c r="G1451" s="9">
        <f>IFERROR(__xludf.DUMMYFUNCTION("""COMPUTED_VALUE"""),7517099.0)</f>
        <v>7517099</v>
      </c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</row>
    <row r="1452">
      <c r="A1452" s="1"/>
      <c r="B1452" s="22">
        <f>IFERROR(__xludf.DUMMYFUNCTION("""COMPUTED_VALUE"""),43691.64583333333)</f>
        <v>43691.64583</v>
      </c>
      <c r="C1452" s="9">
        <f>IFERROR(__xludf.DUMMYFUNCTION("""COMPUTED_VALUE"""),775.1)</f>
        <v>775.1</v>
      </c>
      <c r="D1452" s="9">
        <f>IFERROR(__xludf.DUMMYFUNCTION("""COMPUTED_VALUE"""),778.25)</f>
        <v>778.25</v>
      </c>
      <c r="E1452" s="9">
        <f>IFERROR(__xludf.DUMMYFUNCTION("""COMPUTED_VALUE"""),768.0)</f>
        <v>768</v>
      </c>
      <c r="F1452" s="9">
        <f>IFERROR(__xludf.DUMMYFUNCTION("""COMPUTED_VALUE"""),774.8)</f>
        <v>774.8</v>
      </c>
      <c r="G1452" s="9">
        <f>IFERROR(__xludf.DUMMYFUNCTION("""COMPUTED_VALUE"""),5940968.0)</f>
        <v>5940968</v>
      </c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</row>
    <row r="1453">
      <c r="A1453" s="1"/>
      <c r="B1453" s="22">
        <f>IFERROR(__xludf.DUMMYFUNCTION("""COMPUTED_VALUE"""),43693.64583333333)</f>
        <v>43693.64583</v>
      </c>
      <c r="C1453" s="9">
        <f>IFERROR(__xludf.DUMMYFUNCTION("""COMPUTED_VALUE"""),780.0)</f>
        <v>780</v>
      </c>
      <c r="D1453" s="9">
        <f>IFERROR(__xludf.DUMMYFUNCTION("""COMPUTED_VALUE"""),780.05)</f>
        <v>780.05</v>
      </c>
      <c r="E1453" s="9">
        <f>IFERROR(__xludf.DUMMYFUNCTION("""COMPUTED_VALUE"""),762.5)</f>
        <v>762.5</v>
      </c>
      <c r="F1453" s="9">
        <f>IFERROR(__xludf.DUMMYFUNCTION("""COMPUTED_VALUE"""),774.55)</f>
        <v>774.55</v>
      </c>
      <c r="G1453" s="9">
        <f>IFERROR(__xludf.DUMMYFUNCTION("""COMPUTED_VALUE"""),5128088.0)</f>
        <v>5128088</v>
      </c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</row>
    <row r="1454">
      <c r="A1454" s="1"/>
      <c r="B1454" s="22">
        <f>IFERROR(__xludf.DUMMYFUNCTION("""COMPUTED_VALUE"""),43696.64583333333)</f>
        <v>43696.64583</v>
      </c>
      <c r="C1454" s="9">
        <f>IFERROR(__xludf.DUMMYFUNCTION("""COMPUTED_VALUE"""),775.6)</f>
        <v>775.6</v>
      </c>
      <c r="D1454" s="9">
        <f>IFERROR(__xludf.DUMMYFUNCTION("""COMPUTED_VALUE"""),783.0)</f>
        <v>783</v>
      </c>
      <c r="E1454" s="9">
        <f>IFERROR(__xludf.DUMMYFUNCTION("""COMPUTED_VALUE"""),773.35)</f>
        <v>773.35</v>
      </c>
      <c r="F1454" s="9">
        <f>IFERROR(__xludf.DUMMYFUNCTION("""COMPUTED_VALUE"""),777.65)</f>
        <v>777.65</v>
      </c>
      <c r="G1454" s="9">
        <f>IFERROR(__xludf.DUMMYFUNCTION("""COMPUTED_VALUE"""),3881451.0)</f>
        <v>3881451</v>
      </c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</row>
    <row r="1455">
      <c r="A1455" s="1"/>
      <c r="B1455" s="22">
        <f>IFERROR(__xludf.DUMMYFUNCTION("""COMPUTED_VALUE"""),43697.64583333333)</f>
        <v>43697.64583</v>
      </c>
      <c r="C1455" s="9">
        <f>IFERROR(__xludf.DUMMYFUNCTION("""COMPUTED_VALUE"""),785.2)</f>
        <v>785.2</v>
      </c>
      <c r="D1455" s="9">
        <f>IFERROR(__xludf.DUMMYFUNCTION("""COMPUTED_VALUE"""),798.0)</f>
        <v>798</v>
      </c>
      <c r="E1455" s="9">
        <f>IFERROR(__xludf.DUMMYFUNCTION("""COMPUTED_VALUE"""),783.85)</f>
        <v>783.85</v>
      </c>
      <c r="F1455" s="9">
        <f>IFERROR(__xludf.DUMMYFUNCTION("""COMPUTED_VALUE"""),792.75)</f>
        <v>792.75</v>
      </c>
      <c r="G1455" s="9">
        <f>IFERROR(__xludf.DUMMYFUNCTION("""COMPUTED_VALUE"""),8435344.0)</f>
        <v>8435344</v>
      </c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</row>
    <row r="1456">
      <c r="A1456" s="1"/>
      <c r="B1456" s="22">
        <f>IFERROR(__xludf.DUMMYFUNCTION("""COMPUTED_VALUE"""),43698.64583333333)</f>
        <v>43698.64583</v>
      </c>
      <c r="C1456" s="9">
        <f>IFERROR(__xludf.DUMMYFUNCTION("""COMPUTED_VALUE"""),793.0)</f>
        <v>793</v>
      </c>
      <c r="D1456" s="9">
        <f>IFERROR(__xludf.DUMMYFUNCTION("""COMPUTED_VALUE"""),803.75)</f>
        <v>803.75</v>
      </c>
      <c r="E1456" s="9">
        <f>IFERROR(__xludf.DUMMYFUNCTION("""COMPUTED_VALUE"""),793.0)</f>
        <v>793</v>
      </c>
      <c r="F1456" s="9">
        <f>IFERROR(__xludf.DUMMYFUNCTION("""COMPUTED_VALUE"""),799.45)</f>
        <v>799.45</v>
      </c>
      <c r="G1456" s="9">
        <f>IFERROR(__xludf.DUMMYFUNCTION("""COMPUTED_VALUE"""),5926896.0)</f>
        <v>5926896</v>
      </c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</row>
    <row r="1457">
      <c r="A1457" s="1"/>
      <c r="B1457" s="22">
        <f>IFERROR(__xludf.DUMMYFUNCTION("""COMPUTED_VALUE"""),43699.64583333333)</f>
        <v>43699.64583</v>
      </c>
      <c r="C1457" s="9">
        <f>IFERROR(__xludf.DUMMYFUNCTION("""COMPUTED_VALUE"""),799.9)</f>
        <v>799.9</v>
      </c>
      <c r="D1457" s="9">
        <f>IFERROR(__xludf.DUMMYFUNCTION("""COMPUTED_VALUE"""),801.3)</f>
        <v>801.3</v>
      </c>
      <c r="E1457" s="9">
        <f>IFERROR(__xludf.DUMMYFUNCTION("""COMPUTED_VALUE"""),792.35)</f>
        <v>792.35</v>
      </c>
      <c r="F1457" s="9">
        <f>IFERROR(__xludf.DUMMYFUNCTION("""COMPUTED_VALUE"""),795.7)</f>
        <v>795.7</v>
      </c>
      <c r="G1457" s="9">
        <f>IFERROR(__xludf.DUMMYFUNCTION("""COMPUTED_VALUE"""),5222488.0)</f>
        <v>5222488</v>
      </c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</row>
    <row r="1458">
      <c r="A1458" s="1"/>
      <c r="B1458" s="22">
        <f>IFERROR(__xludf.DUMMYFUNCTION("""COMPUTED_VALUE"""),43700.64583333333)</f>
        <v>43700.64583</v>
      </c>
      <c r="C1458" s="9">
        <f>IFERROR(__xludf.DUMMYFUNCTION("""COMPUTED_VALUE"""),796.45)</f>
        <v>796.45</v>
      </c>
      <c r="D1458" s="9">
        <f>IFERROR(__xludf.DUMMYFUNCTION("""COMPUTED_VALUE"""),809.95)</f>
        <v>809.95</v>
      </c>
      <c r="E1458" s="9">
        <f>IFERROR(__xludf.DUMMYFUNCTION("""COMPUTED_VALUE"""),795.8)</f>
        <v>795.8</v>
      </c>
      <c r="F1458" s="9">
        <f>IFERROR(__xludf.DUMMYFUNCTION("""COMPUTED_VALUE"""),802.2)</f>
        <v>802.2</v>
      </c>
      <c r="G1458" s="9">
        <f>IFERROR(__xludf.DUMMYFUNCTION("""COMPUTED_VALUE"""),6895015.0)</f>
        <v>6895015</v>
      </c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</row>
    <row r="1459">
      <c r="A1459" s="1"/>
      <c r="B1459" s="22">
        <f>IFERROR(__xludf.DUMMYFUNCTION("""COMPUTED_VALUE"""),43703.64583333333)</f>
        <v>43703.64583</v>
      </c>
      <c r="C1459" s="9">
        <f>IFERROR(__xludf.DUMMYFUNCTION("""COMPUTED_VALUE"""),795.9)</f>
        <v>795.9</v>
      </c>
      <c r="D1459" s="9">
        <f>IFERROR(__xludf.DUMMYFUNCTION("""COMPUTED_VALUE"""),806.8)</f>
        <v>806.8</v>
      </c>
      <c r="E1459" s="9">
        <f>IFERROR(__xludf.DUMMYFUNCTION("""COMPUTED_VALUE"""),786.9)</f>
        <v>786.9</v>
      </c>
      <c r="F1459" s="9">
        <f>IFERROR(__xludf.DUMMYFUNCTION("""COMPUTED_VALUE"""),802.55)</f>
        <v>802.55</v>
      </c>
      <c r="G1459" s="9">
        <f>IFERROR(__xludf.DUMMYFUNCTION("""COMPUTED_VALUE"""),5412074.0)</f>
        <v>5412074</v>
      </c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</row>
    <row r="1460">
      <c r="A1460" s="1"/>
      <c r="B1460" s="22">
        <f>IFERROR(__xludf.DUMMYFUNCTION("""COMPUTED_VALUE"""),43704.64583333333)</f>
        <v>43704.64583</v>
      </c>
      <c r="C1460" s="9">
        <f>IFERROR(__xludf.DUMMYFUNCTION("""COMPUTED_VALUE"""),791.0)</f>
        <v>791</v>
      </c>
      <c r="D1460" s="9">
        <f>IFERROR(__xludf.DUMMYFUNCTION("""COMPUTED_VALUE"""),794.95)</f>
        <v>794.95</v>
      </c>
      <c r="E1460" s="9">
        <f>IFERROR(__xludf.DUMMYFUNCTION("""COMPUTED_VALUE"""),781.1)</f>
        <v>781.1</v>
      </c>
      <c r="F1460" s="9">
        <f>IFERROR(__xludf.DUMMYFUNCTION("""COMPUTED_VALUE"""),784.65)</f>
        <v>784.65</v>
      </c>
      <c r="G1460" s="9">
        <f>IFERROR(__xludf.DUMMYFUNCTION("""COMPUTED_VALUE"""),1.6061642E7)</f>
        <v>16061642</v>
      </c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</row>
    <row r="1461">
      <c r="A1461" s="1"/>
      <c r="B1461" s="22">
        <f>IFERROR(__xludf.DUMMYFUNCTION("""COMPUTED_VALUE"""),43705.64583333333)</f>
        <v>43705.64583</v>
      </c>
      <c r="C1461" s="9">
        <f>IFERROR(__xludf.DUMMYFUNCTION("""COMPUTED_VALUE"""),787.4)</f>
        <v>787.4</v>
      </c>
      <c r="D1461" s="9">
        <f>IFERROR(__xludf.DUMMYFUNCTION("""COMPUTED_VALUE"""),805.0)</f>
        <v>805</v>
      </c>
      <c r="E1461" s="9">
        <f>IFERROR(__xludf.DUMMYFUNCTION("""COMPUTED_VALUE"""),786.3)</f>
        <v>786.3</v>
      </c>
      <c r="F1461" s="9">
        <f>IFERROR(__xludf.DUMMYFUNCTION("""COMPUTED_VALUE"""),802.5)</f>
        <v>802.5</v>
      </c>
      <c r="G1461" s="9">
        <f>IFERROR(__xludf.DUMMYFUNCTION("""COMPUTED_VALUE"""),5881134.0)</f>
        <v>5881134</v>
      </c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</row>
    <row r="1462">
      <c r="A1462" s="1"/>
      <c r="B1462" s="22">
        <f>IFERROR(__xludf.DUMMYFUNCTION("""COMPUTED_VALUE"""),43706.64583333333)</f>
        <v>43706.64583</v>
      </c>
      <c r="C1462" s="9">
        <f>IFERROR(__xludf.DUMMYFUNCTION("""COMPUTED_VALUE"""),795.5)</f>
        <v>795.5</v>
      </c>
      <c r="D1462" s="9">
        <f>IFERROR(__xludf.DUMMYFUNCTION("""COMPUTED_VALUE"""),809.7)</f>
        <v>809.7</v>
      </c>
      <c r="E1462" s="9">
        <f>IFERROR(__xludf.DUMMYFUNCTION("""COMPUTED_VALUE"""),795.5)</f>
        <v>795.5</v>
      </c>
      <c r="F1462" s="9">
        <f>IFERROR(__xludf.DUMMYFUNCTION("""COMPUTED_VALUE"""),806.95)</f>
        <v>806.95</v>
      </c>
      <c r="G1462" s="9">
        <f>IFERROR(__xludf.DUMMYFUNCTION("""COMPUTED_VALUE"""),7830413.0)</f>
        <v>7830413</v>
      </c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</row>
    <row r="1463">
      <c r="A1463" s="1"/>
      <c r="B1463" s="22">
        <f>IFERROR(__xludf.DUMMYFUNCTION("""COMPUTED_VALUE"""),43707.64583333333)</f>
        <v>43707.64583</v>
      </c>
      <c r="C1463" s="9">
        <f>IFERROR(__xludf.DUMMYFUNCTION("""COMPUTED_VALUE"""),810.0)</f>
        <v>810</v>
      </c>
      <c r="D1463" s="9">
        <f>IFERROR(__xludf.DUMMYFUNCTION("""COMPUTED_VALUE"""),817.35)</f>
        <v>817.35</v>
      </c>
      <c r="E1463" s="9">
        <f>IFERROR(__xludf.DUMMYFUNCTION("""COMPUTED_VALUE"""),802.0)</f>
        <v>802</v>
      </c>
      <c r="F1463" s="9">
        <f>IFERROR(__xludf.DUMMYFUNCTION("""COMPUTED_VALUE"""),814.9)</f>
        <v>814.9</v>
      </c>
      <c r="G1463" s="9">
        <f>IFERROR(__xludf.DUMMYFUNCTION("""COMPUTED_VALUE"""),8174186.0)</f>
        <v>8174186</v>
      </c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</row>
    <row r="1464">
      <c r="A1464" s="1"/>
      <c r="B1464" s="22">
        <f>IFERROR(__xludf.DUMMYFUNCTION("""COMPUTED_VALUE"""),43711.64583333333)</f>
        <v>43711.64583</v>
      </c>
      <c r="C1464" s="9">
        <f>IFERROR(__xludf.DUMMYFUNCTION("""COMPUTED_VALUE"""),815.0)</f>
        <v>815</v>
      </c>
      <c r="D1464" s="9">
        <f>IFERROR(__xludf.DUMMYFUNCTION("""COMPUTED_VALUE"""),822.4)</f>
        <v>822.4</v>
      </c>
      <c r="E1464" s="9">
        <f>IFERROR(__xludf.DUMMYFUNCTION("""COMPUTED_VALUE"""),812.05)</f>
        <v>812.05</v>
      </c>
      <c r="F1464" s="9">
        <f>IFERROR(__xludf.DUMMYFUNCTION("""COMPUTED_VALUE"""),814.25)</f>
        <v>814.25</v>
      </c>
      <c r="G1464" s="9">
        <f>IFERROR(__xludf.DUMMYFUNCTION("""COMPUTED_VALUE"""),5647088.0)</f>
        <v>5647088</v>
      </c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</row>
    <row r="1465">
      <c r="A1465" s="1"/>
      <c r="B1465" s="22">
        <f>IFERROR(__xludf.DUMMYFUNCTION("""COMPUTED_VALUE"""),43712.64583333333)</f>
        <v>43712.64583</v>
      </c>
      <c r="C1465" s="9">
        <f>IFERROR(__xludf.DUMMYFUNCTION("""COMPUTED_VALUE"""),810.75)</f>
        <v>810.75</v>
      </c>
      <c r="D1465" s="9">
        <f>IFERROR(__xludf.DUMMYFUNCTION("""COMPUTED_VALUE"""),822.45)</f>
        <v>822.45</v>
      </c>
      <c r="E1465" s="9">
        <f>IFERROR(__xludf.DUMMYFUNCTION("""COMPUTED_VALUE"""),810.25)</f>
        <v>810.25</v>
      </c>
      <c r="F1465" s="9">
        <f>IFERROR(__xludf.DUMMYFUNCTION("""COMPUTED_VALUE"""),821.3)</f>
        <v>821.3</v>
      </c>
      <c r="G1465" s="9">
        <f>IFERROR(__xludf.DUMMYFUNCTION("""COMPUTED_VALUE"""),6199015.0)</f>
        <v>6199015</v>
      </c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</row>
    <row r="1466">
      <c r="A1466" s="1"/>
      <c r="B1466" s="22">
        <f>IFERROR(__xludf.DUMMYFUNCTION("""COMPUTED_VALUE"""),43713.64583333333)</f>
        <v>43713.64583</v>
      </c>
      <c r="C1466" s="9">
        <f>IFERROR(__xludf.DUMMYFUNCTION("""COMPUTED_VALUE"""),830.1)</f>
        <v>830.1</v>
      </c>
      <c r="D1466" s="9">
        <f>IFERROR(__xludf.DUMMYFUNCTION("""COMPUTED_VALUE"""),837.5)</f>
        <v>837.5</v>
      </c>
      <c r="E1466" s="9">
        <f>IFERROR(__xludf.DUMMYFUNCTION("""COMPUTED_VALUE"""),826.65)</f>
        <v>826.65</v>
      </c>
      <c r="F1466" s="9">
        <f>IFERROR(__xludf.DUMMYFUNCTION("""COMPUTED_VALUE"""),834.05)</f>
        <v>834.05</v>
      </c>
      <c r="G1466" s="9">
        <f>IFERROR(__xludf.DUMMYFUNCTION("""COMPUTED_VALUE"""),7926895.0)</f>
        <v>7926895</v>
      </c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</row>
    <row r="1467">
      <c r="A1467" s="1"/>
      <c r="B1467" s="22">
        <f>IFERROR(__xludf.DUMMYFUNCTION("""COMPUTED_VALUE"""),43714.64583333333)</f>
        <v>43714.64583</v>
      </c>
      <c r="C1467" s="9">
        <f>IFERROR(__xludf.DUMMYFUNCTION("""COMPUTED_VALUE"""),843.3)</f>
        <v>843.3</v>
      </c>
      <c r="D1467" s="9">
        <f>IFERROR(__xludf.DUMMYFUNCTION("""COMPUTED_VALUE"""),847.0)</f>
        <v>847</v>
      </c>
      <c r="E1467" s="9">
        <f>IFERROR(__xludf.DUMMYFUNCTION("""COMPUTED_VALUE"""),835.05)</f>
        <v>835.05</v>
      </c>
      <c r="F1467" s="9">
        <f>IFERROR(__xludf.DUMMYFUNCTION("""COMPUTED_VALUE"""),840.15)</f>
        <v>840.15</v>
      </c>
      <c r="G1467" s="9">
        <f>IFERROR(__xludf.DUMMYFUNCTION("""COMPUTED_VALUE"""),6106841.0)</f>
        <v>6106841</v>
      </c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</row>
    <row r="1468">
      <c r="A1468" s="1"/>
      <c r="B1468" s="22">
        <f>IFERROR(__xludf.DUMMYFUNCTION("""COMPUTED_VALUE"""),43717.64583333333)</f>
        <v>43717.64583</v>
      </c>
      <c r="C1468" s="9">
        <f>IFERROR(__xludf.DUMMYFUNCTION("""COMPUTED_VALUE"""),836.8)</f>
        <v>836.8</v>
      </c>
      <c r="D1468" s="9">
        <f>IFERROR(__xludf.DUMMYFUNCTION("""COMPUTED_VALUE"""),840.3)</f>
        <v>840.3</v>
      </c>
      <c r="E1468" s="9">
        <f>IFERROR(__xludf.DUMMYFUNCTION("""COMPUTED_VALUE"""),827.55)</f>
        <v>827.55</v>
      </c>
      <c r="F1468" s="9">
        <f>IFERROR(__xludf.DUMMYFUNCTION("""COMPUTED_VALUE"""),829.1)</f>
        <v>829.1</v>
      </c>
      <c r="G1468" s="9">
        <f>IFERROR(__xludf.DUMMYFUNCTION("""COMPUTED_VALUE"""),4377870.0)</f>
        <v>4377870</v>
      </c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</row>
    <row r="1469">
      <c r="A1469" s="1"/>
      <c r="B1469" s="22">
        <f>IFERROR(__xludf.DUMMYFUNCTION("""COMPUTED_VALUE"""),43719.64583333333)</f>
        <v>43719.64583</v>
      </c>
      <c r="C1469" s="9">
        <f>IFERROR(__xludf.DUMMYFUNCTION("""COMPUTED_VALUE"""),822.3)</f>
        <v>822.3</v>
      </c>
      <c r="D1469" s="9">
        <f>IFERROR(__xludf.DUMMYFUNCTION("""COMPUTED_VALUE"""),828.55)</f>
        <v>828.55</v>
      </c>
      <c r="E1469" s="9">
        <f>IFERROR(__xludf.DUMMYFUNCTION("""COMPUTED_VALUE"""),814.15)</f>
        <v>814.15</v>
      </c>
      <c r="F1469" s="9">
        <f>IFERROR(__xludf.DUMMYFUNCTION("""COMPUTED_VALUE"""),820.1)</f>
        <v>820.1</v>
      </c>
      <c r="G1469" s="9">
        <f>IFERROR(__xludf.DUMMYFUNCTION("""COMPUTED_VALUE"""),7981036.0)</f>
        <v>7981036</v>
      </c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</row>
    <row r="1470">
      <c r="A1470" s="1"/>
      <c r="B1470" s="22">
        <f>IFERROR(__xludf.DUMMYFUNCTION("""COMPUTED_VALUE"""),43720.64583333333)</f>
        <v>43720.64583</v>
      </c>
      <c r="C1470" s="9">
        <f>IFERROR(__xludf.DUMMYFUNCTION("""COMPUTED_VALUE"""),816.4)</f>
        <v>816.4</v>
      </c>
      <c r="D1470" s="9">
        <f>IFERROR(__xludf.DUMMYFUNCTION("""COMPUTED_VALUE"""),819.85)</f>
        <v>819.85</v>
      </c>
      <c r="E1470" s="9">
        <f>IFERROR(__xludf.DUMMYFUNCTION("""COMPUTED_VALUE"""),810.85)</f>
        <v>810.85</v>
      </c>
      <c r="F1470" s="9">
        <f>IFERROR(__xludf.DUMMYFUNCTION("""COMPUTED_VALUE"""),816.4)</f>
        <v>816.4</v>
      </c>
      <c r="G1470" s="9">
        <f>IFERROR(__xludf.DUMMYFUNCTION("""COMPUTED_VALUE"""),4400017.0)</f>
        <v>4400017</v>
      </c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</row>
    <row r="1471">
      <c r="A1471" s="1"/>
      <c r="B1471" s="22">
        <f>IFERROR(__xludf.DUMMYFUNCTION("""COMPUTED_VALUE"""),43721.64583333333)</f>
        <v>43721.64583</v>
      </c>
      <c r="C1471" s="9">
        <f>IFERROR(__xludf.DUMMYFUNCTION("""COMPUTED_VALUE"""),818.1)</f>
        <v>818.1</v>
      </c>
      <c r="D1471" s="9">
        <f>IFERROR(__xludf.DUMMYFUNCTION("""COMPUTED_VALUE"""),831.05)</f>
        <v>831.05</v>
      </c>
      <c r="E1471" s="9">
        <f>IFERROR(__xludf.DUMMYFUNCTION("""COMPUTED_VALUE"""),817.5)</f>
        <v>817.5</v>
      </c>
      <c r="F1471" s="9">
        <f>IFERROR(__xludf.DUMMYFUNCTION("""COMPUTED_VALUE"""),829.3)</f>
        <v>829.3</v>
      </c>
      <c r="G1471" s="9">
        <f>IFERROR(__xludf.DUMMYFUNCTION("""COMPUTED_VALUE"""),4832021.0)</f>
        <v>4832021</v>
      </c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</row>
    <row r="1472">
      <c r="A1472" s="1"/>
      <c r="B1472" s="22">
        <f>IFERROR(__xludf.DUMMYFUNCTION("""COMPUTED_VALUE"""),43724.64583333333)</f>
        <v>43724.64583</v>
      </c>
      <c r="C1472" s="9">
        <f>IFERROR(__xludf.DUMMYFUNCTION("""COMPUTED_VALUE"""),832.05)</f>
        <v>832.05</v>
      </c>
      <c r="D1472" s="9">
        <f>IFERROR(__xludf.DUMMYFUNCTION("""COMPUTED_VALUE"""),837.95)</f>
        <v>837.95</v>
      </c>
      <c r="E1472" s="9">
        <f>IFERROR(__xludf.DUMMYFUNCTION("""COMPUTED_VALUE"""),820.55)</f>
        <v>820.55</v>
      </c>
      <c r="F1472" s="9">
        <f>IFERROR(__xludf.DUMMYFUNCTION("""COMPUTED_VALUE"""),827.7)</f>
        <v>827.7</v>
      </c>
      <c r="G1472" s="9">
        <f>IFERROR(__xludf.DUMMYFUNCTION("""COMPUTED_VALUE"""),4846496.0)</f>
        <v>4846496</v>
      </c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</row>
    <row r="1473">
      <c r="A1473" s="1"/>
      <c r="B1473" s="22">
        <f>IFERROR(__xludf.DUMMYFUNCTION("""COMPUTED_VALUE"""),43725.64583333333)</f>
        <v>43725.64583</v>
      </c>
      <c r="C1473" s="9">
        <f>IFERROR(__xludf.DUMMYFUNCTION("""COMPUTED_VALUE"""),831.5)</f>
        <v>831.5</v>
      </c>
      <c r="D1473" s="9">
        <f>IFERROR(__xludf.DUMMYFUNCTION("""COMPUTED_VALUE"""),835.0)</f>
        <v>835</v>
      </c>
      <c r="E1473" s="9">
        <f>IFERROR(__xludf.DUMMYFUNCTION("""COMPUTED_VALUE"""),820.55)</f>
        <v>820.55</v>
      </c>
      <c r="F1473" s="9">
        <f>IFERROR(__xludf.DUMMYFUNCTION("""COMPUTED_VALUE"""),831.25)</f>
        <v>831.25</v>
      </c>
      <c r="G1473" s="9">
        <f>IFERROR(__xludf.DUMMYFUNCTION("""COMPUTED_VALUE"""),5540901.0)</f>
        <v>5540901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</row>
    <row r="1474">
      <c r="A1474" s="1"/>
      <c r="B1474" s="22">
        <f>IFERROR(__xludf.DUMMYFUNCTION("""COMPUTED_VALUE"""),43726.64583333333)</f>
        <v>43726.64583</v>
      </c>
      <c r="C1474" s="9">
        <f>IFERROR(__xludf.DUMMYFUNCTION("""COMPUTED_VALUE"""),829.9)</f>
        <v>829.9</v>
      </c>
      <c r="D1474" s="9">
        <f>IFERROR(__xludf.DUMMYFUNCTION("""COMPUTED_VALUE"""),832.95)</f>
        <v>832.95</v>
      </c>
      <c r="E1474" s="9">
        <f>IFERROR(__xludf.DUMMYFUNCTION("""COMPUTED_VALUE"""),824.0)</f>
        <v>824</v>
      </c>
      <c r="F1474" s="9">
        <f>IFERROR(__xludf.DUMMYFUNCTION("""COMPUTED_VALUE"""),829.85)</f>
        <v>829.85</v>
      </c>
      <c r="G1474" s="9">
        <f>IFERROR(__xludf.DUMMYFUNCTION("""COMPUTED_VALUE"""),3199389.0)</f>
        <v>3199389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</row>
    <row r="1475">
      <c r="A1475" s="1"/>
      <c r="B1475" s="22">
        <f>IFERROR(__xludf.DUMMYFUNCTION("""COMPUTED_VALUE"""),43727.64583333333)</f>
        <v>43727.64583</v>
      </c>
      <c r="C1475" s="9">
        <f>IFERROR(__xludf.DUMMYFUNCTION("""COMPUTED_VALUE"""),824.85)</f>
        <v>824.85</v>
      </c>
      <c r="D1475" s="9">
        <f>IFERROR(__xludf.DUMMYFUNCTION("""COMPUTED_VALUE"""),827.0)</f>
        <v>827</v>
      </c>
      <c r="E1475" s="9">
        <f>IFERROR(__xludf.DUMMYFUNCTION("""COMPUTED_VALUE"""),815.2)</f>
        <v>815.2</v>
      </c>
      <c r="F1475" s="9">
        <f>IFERROR(__xludf.DUMMYFUNCTION("""COMPUTED_VALUE"""),820.7)</f>
        <v>820.7</v>
      </c>
      <c r="G1475" s="9">
        <f>IFERROR(__xludf.DUMMYFUNCTION("""COMPUTED_VALUE"""),6601607.0)</f>
        <v>6601607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</row>
    <row r="1476">
      <c r="A1476" s="1"/>
      <c r="B1476" s="22">
        <f>IFERROR(__xludf.DUMMYFUNCTION("""COMPUTED_VALUE"""),43728.64583333333)</f>
        <v>43728.64583</v>
      </c>
      <c r="C1476" s="9">
        <f>IFERROR(__xludf.DUMMYFUNCTION("""COMPUTED_VALUE"""),822.9)</f>
        <v>822.9</v>
      </c>
      <c r="D1476" s="9">
        <f>IFERROR(__xludf.DUMMYFUNCTION("""COMPUTED_VALUE"""),835.0)</f>
        <v>835</v>
      </c>
      <c r="E1476" s="9">
        <f>IFERROR(__xludf.DUMMYFUNCTION("""COMPUTED_VALUE"""),802.0)</f>
        <v>802</v>
      </c>
      <c r="F1476" s="9">
        <f>IFERROR(__xludf.DUMMYFUNCTION("""COMPUTED_VALUE"""),805.0)</f>
        <v>805</v>
      </c>
      <c r="G1476" s="9">
        <f>IFERROR(__xludf.DUMMYFUNCTION("""COMPUTED_VALUE"""),2.2462366E7)</f>
        <v>22462366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</row>
    <row r="1477">
      <c r="A1477" s="1"/>
      <c r="B1477" s="22">
        <f>IFERROR(__xludf.DUMMYFUNCTION("""COMPUTED_VALUE"""),43731.64583333333)</f>
        <v>43731.64583</v>
      </c>
      <c r="C1477" s="9">
        <f>IFERROR(__xludf.DUMMYFUNCTION("""COMPUTED_VALUE"""),806.9)</f>
        <v>806.9</v>
      </c>
      <c r="D1477" s="9">
        <f>IFERROR(__xludf.DUMMYFUNCTION("""COMPUTED_VALUE"""),806.9)</f>
        <v>806.9</v>
      </c>
      <c r="E1477" s="9">
        <f>IFERROR(__xludf.DUMMYFUNCTION("""COMPUTED_VALUE"""),741.9)</f>
        <v>741.9</v>
      </c>
      <c r="F1477" s="9">
        <f>IFERROR(__xludf.DUMMYFUNCTION("""COMPUTED_VALUE"""),764.35)</f>
        <v>764.35</v>
      </c>
      <c r="G1477" s="9">
        <f>IFERROR(__xludf.DUMMYFUNCTION("""COMPUTED_VALUE"""),1.727926E7)</f>
        <v>17279260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</row>
    <row r="1478">
      <c r="A1478" s="1"/>
      <c r="B1478" s="22">
        <f>IFERROR(__xludf.DUMMYFUNCTION("""COMPUTED_VALUE"""),43732.64583333333)</f>
        <v>43732.64583</v>
      </c>
      <c r="C1478" s="9">
        <f>IFERROR(__xludf.DUMMYFUNCTION("""COMPUTED_VALUE"""),765.0)</f>
        <v>765</v>
      </c>
      <c r="D1478" s="9">
        <f>IFERROR(__xludf.DUMMYFUNCTION("""COMPUTED_VALUE"""),798.65)</f>
        <v>798.65</v>
      </c>
      <c r="E1478" s="9">
        <f>IFERROR(__xludf.DUMMYFUNCTION("""COMPUTED_VALUE"""),765.0)</f>
        <v>765</v>
      </c>
      <c r="F1478" s="9">
        <f>IFERROR(__xludf.DUMMYFUNCTION("""COMPUTED_VALUE"""),794.05)</f>
        <v>794.05</v>
      </c>
      <c r="G1478" s="9">
        <f>IFERROR(__xludf.DUMMYFUNCTION("""COMPUTED_VALUE"""),1.3717998E7)</f>
        <v>13717998</v>
      </c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</row>
    <row r="1479">
      <c r="A1479" s="1"/>
      <c r="B1479" s="22">
        <f>IFERROR(__xludf.DUMMYFUNCTION("""COMPUTED_VALUE"""),43733.64583333333)</f>
        <v>43733.64583</v>
      </c>
      <c r="C1479" s="9">
        <f>IFERROR(__xludf.DUMMYFUNCTION("""COMPUTED_VALUE"""),787.7)</f>
        <v>787.7</v>
      </c>
      <c r="D1479" s="9">
        <f>IFERROR(__xludf.DUMMYFUNCTION("""COMPUTED_VALUE"""),801.0)</f>
        <v>801</v>
      </c>
      <c r="E1479" s="9">
        <f>IFERROR(__xludf.DUMMYFUNCTION("""COMPUTED_VALUE"""),781.65)</f>
        <v>781.65</v>
      </c>
      <c r="F1479" s="9">
        <f>IFERROR(__xludf.DUMMYFUNCTION("""COMPUTED_VALUE"""),792.65)</f>
        <v>792.65</v>
      </c>
      <c r="G1479" s="9">
        <f>IFERROR(__xludf.DUMMYFUNCTION("""COMPUTED_VALUE"""),9313576.0)</f>
        <v>9313576</v>
      </c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</row>
    <row r="1480">
      <c r="A1480" s="1"/>
      <c r="B1480" s="22">
        <f>IFERROR(__xludf.DUMMYFUNCTION("""COMPUTED_VALUE"""),43734.64583333333)</f>
        <v>43734.64583</v>
      </c>
      <c r="C1480" s="9">
        <f>IFERROR(__xludf.DUMMYFUNCTION("""COMPUTED_VALUE"""),787.75)</f>
        <v>787.75</v>
      </c>
      <c r="D1480" s="9">
        <f>IFERROR(__xludf.DUMMYFUNCTION("""COMPUTED_VALUE"""),797.0)</f>
        <v>797</v>
      </c>
      <c r="E1480" s="9">
        <f>IFERROR(__xludf.DUMMYFUNCTION("""COMPUTED_VALUE"""),778.1)</f>
        <v>778.1</v>
      </c>
      <c r="F1480" s="9">
        <f>IFERROR(__xludf.DUMMYFUNCTION("""COMPUTED_VALUE"""),782.55)</f>
        <v>782.55</v>
      </c>
      <c r="G1480" s="9">
        <f>IFERROR(__xludf.DUMMYFUNCTION("""COMPUTED_VALUE"""),1.8442824E7)</f>
        <v>18442824</v>
      </c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</row>
    <row r="1481">
      <c r="A1481" s="1"/>
      <c r="B1481" s="22">
        <f>IFERROR(__xludf.DUMMYFUNCTION("""COMPUTED_VALUE"""),43735.64583333333)</f>
        <v>43735.64583</v>
      </c>
      <c r="C1481" s="9">
        <f>IFERROR(__xludf.DUMMYFUNCTION("""COMPUTED_VALUE"""),787.05)</f>
        <v>787.05</v>
      </c>
      <c r="D1481" s="9">
        <f>IFERROR(__xludf.DUMMYFUNCTION("""COMPUTED_VALUE"""),794.25)</f>
        <v>794.25</v>
      </c>
      <c r="E1481" s="9">
        <f>IFERROR(__xludf.DUMMYFUNCTION("""COMPUTED_VALUE"""),780.1)</f>
        <v>780.1</v>
      </c>
      <c r="F1481" s="9">
        <f>IFERROR(__xludf.DUMMYFUNCTION("""COMPUTED_VALUE"""),782.2)</f>
        <v>782.2</v>
      </c>
      <c r="G1481" s="9">
        <f>IFERROR(__xludf.DUMMYFUNCTION("""COMPUTED_VALUE"""),5087642.0)</f>
        <v>5087642</v>
      </c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</row>
    <row r="1482">
      <c r="A1482" s="1"/>
      <c r="B1482" s="22">
        <f>IFERROR(__xludf.DUMMYFUNCTION("""COMPUTED_VALUE"""),43738.64583333333)</f>
        <v>43738.64583</v>
      </c>
      <c r="C1482" s="9">
        <f>IFERROR(__xludf.DUMMYFUNCTION("""COMPUTED_VALUE"""),785.1)</f>
        <v>785.1</v>
      </c>
      <c r="D1482" s="9">
        <f>IFERROR(__xludf.DUMMYFUNCTION("""COMPUTED_VALUE"""),808.0)</f>
        <v>808</v>
      </c>
      <c r="E1482" s="9">
        <f>IFERROR(__xludf.DUMMYFUNCTION("""COMPUTED_VALUE"""),784.15)</f>
        <v>784.15</v>
      </c>
      <c r="F1482" s="9">
        <f>IFERROR(__xludf.DUMMYFUNCTION("""COMPUTED_VALUE"""),805.65)</f>
        <v>805.65</v>
      </c>
      <c r="G1482" s="9">
        <f>IFERROR(__xludf.DUMMYFUNCTION("""COMPUTED_VALUE"""),8178091.0)</f>
        <v>8178091</v>
      </c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</row>
    <row r="1483">
      <c r="A1483" s="1"/>
      <c r="B1483" s="22">
        <f>IFERROR(__xludf.DUMMYFUNCTION("""COMPUTED_VALUE"""),43739.64583333333)</f>
        <v>43739.64583</v>
      </c>
      <c r="C1483" s="9">
        <f>IFERROR(__xludf.DUMMYFUNCTION("""COMPUTED_VALUE"""),807.0)</f>
        <v>807</v>
      </c>
      <c r="D1483" s="9">
        <f>IFERROR(__xludf.DUMMYFUNCTION("""COMPUTED_VALUE"""),807.55)</f>
        <v>807.55</v>
      </c>
      <c r="E1483" s="9">
        <f>IFERROR(__xludf.DUMMYFUNCTION("""COMPUTED_VALUE"""),791.55)</f>
        <v>791.55</v>
      </c>
      <c r="F1483" s="9">
        <f>IFERROR(__xludf.DUMMYFUNCTION("""COMPUTED_VALUE"""),793.55)</f>
        <v>793.55</v>
      </c>
      <c r="G1483" s="9">
        <f>IFERROR(__xludf.DUMMYFUNCTION("""COMPUTED_VALUE"""),5881438.0)</f>
        <v>5881438</v>
      </c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</row>
    <row r="1484">
      <c r="A1484" s="1"/>
      <c r="B1484" s="22">
        <f>IFERROR(__xludf.DUMMYFUNCTION("""COMPUTED_VALUE"""),43741.64583333333)</f>
        <v>43741.64583</v>
      </c>
      <c r="C1484" s="9">
        <f>IFERROR(__xludf.DUMMYFUNCTION("""COMPUTED_VALUE"""),792.55)</f>
        <v>792.55</v>
      </c>
      <c r="D1484" s="9">
        <f>IFERROR(__xludf.DUMMYFUNCTION("""COMPUTED_VALUE"""),797.85)</f>
        <v>797.85</v>
      </c>
      <c r="E1484" s="9">
        <f>IFERROR(__xludf.DUMMYFUNCTION("""COMPUTED_VALUE"""),784.15)</f>
        <v>784.15</v>
      </c>
      <c r="F1484" s="9">
        <f>IFERROR(__xludf.DUMMYFUNCTION("""COMPUTED_VALUE"""),785.6)</f>
        <v>785.6</v>
      </c>
      <c r="G1484" s="9">
        <f>IFERROR(__xludf.DUMMYFUNCTION("""COMPUTED_VALUE"""),5497672.0)</f>
        <v>5497672</v>
      </c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</row>
    <row r="1485">
      <c r="A1485" s="1"/>
      <c r="B1485" s="22">
        <f>IFERROR(__xludf.DUMMYFUNCTION("""COMPUTED_VALUE"""),43742.64583333333)</f>
        <v>43742.64583</v>
      </c>
      <c r="C1485" s="9">
        <f>IFERROR(__xludf.DUMMYFUNCTION("""COMPUTED_VALUE"""),790.0)</f>
        <v>790</v>
      </c>
      <c r="D1485" s="9">
        <f>IFERROR(__xludf.DUMMYFUNCTION("""COMPUTED_VALUE"""),797.6)</f>
        <v>797.6</v>
      </c>
      <c r="E1485" s="9">
        <f>IFERROR(__xludf.DUMMYFUNCTION("""COMPUTED_VALUE"""),787.05)</f>
        <v>787.05</v>
      </c>
      <c r="F1485" s="9">
        <f>IFERROR(__xludf.DUMMYFUNCTION("""COMPUTED_VALUE"""),793.45)</f>
        <v>793.45</v>
      </c>
      <c r="G1485" s="9">
        <f>IFERROR(__xludf.DUMMYFUNCTION("""COMPUTED_VALUE"""),8201713.0)</f>
        <v>8201713</v>
      </c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</row>
    <row r="1486">
      <c r="A1486" s="1"/>
      <c r="B1486" s="22">
        <f>IFERROR(__xludf.DUMMYFUNCTION("""COMPUTED_VALUE"""),43745.64583333333)</f>
        <v>43745.64583</v>
      </c>
      <c r="C1486" s="9">
        <f>IFERROR(__xludf.DUMMYFUNCTION("""COMPUTED_VALUE"""),794.85)</f>
        <v>794.85</v>
      </c>
      <c r="D1486" s="9">
        <f>IFERROR(__xludf.DUMMYFUNCTION("""COMPUTED_VALUE"""),802.0)</f>
        <v>802</v>
      </c>
      <c r="E1486" s="9">
        <f>IFERROR(__xludf.DUMMYFUNCTION("""COMPUTED_VALUE"""),786.1)</f>
        <v>786.1</v>
      </c>
      <c r="F1486" s="9">
        <f>IFERROR(__xludf.DUMMYFUNCTION("""COMPUTED_VALUE"""),789.55)</f>
        <v>789.55</v>
      </c>
      <c r="G1486" s="9">
        <f>IFERROR(__xludf.DUMMYFUNCTION("""COMPUTED_VALUE"""),3679845.0)</f>
        <v>3679845</v>
      </c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</row>
    <row r="1487">
      <c r="A1487" s="1"/>
      <c r="B1487" s="22">
        <f>IFERROR(__xludf.DUMMYFUNCTION("""COMPUTED_VALUE"""),43747.64583333333)</f>
        <v>43747.64583</v>
      </c>
      <c r="C1487" s="9">
        <f>IFERROR(__xludf.DUMMYFUNCTION("""COMPUTED_VALUE"""),795.45)</f>
        <v>795.45</v>
      </c>
      <c r="D1487" s="9">
        <f>IFERROR(__xludf.DUMMYFUNCTION("""COMPUTED_VALUE"""),795.9)</f>
        <v>795.9</v>
      </c>
      <c r="E1487" s="9">
        <f>IFERROR(__xludf.DUMMYFUNCTION("""COMPUTED_VALUE"""),778.8)</f>
        <v>778.8</v>
      </c>
      <c r="F1487" s="9">
        <f>IFERROR(__xludf.DUMMYFUNCTION("""COMPUTED_VALUE"""),783.65)</f>
        <v>783.65</v>
      </c>
      <c r="G1487" s="9">
        <f>IFERROR(__xludf.DUMMYFUNCTION("""COMPUTED_VALUE"""),6335025.0)</f>
        <v>6335025</v>
      </c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</row>
    <row r="1488">
      <c r="A1488" s="1"/>
      <c r="B1488" s="22">
        <f>IFERROR(__xludf.DUMMYFUNCTION("""COMPUTED_VALUE"""),43748.64583333333)</f>
        <v>43748.64583</v>
      </c>
      <c r="C1488" s="9">
        <f>IFERROR(__xludf.DUMMYFUNCTION("""COMPUTED_VALUE"""),785.4)</f>
        <v>785.4</v>
      </c>
      <c r="D1488" s="9">
        <f>IFERROR(__xludf.DUMMYFUNCTION("""COMPUTED_VALUE"""),794.7)</f>
        <v>794.7</v>
      </c>
      <c r="E1488" s="9">
        <f>IFERROR(__xludf.DUMMYFUNCTION("""COMPUTED_VALUE"""),776.6)</f>
        <v>776.6</v>
      </c>
      <c r="F1488" s="9">
        <f>IFERROR(__xludf.DUMMYFUNCTION("""COMPUTED_VALUE"""),783.05)</f>
        <v>783.05</v>
      </c>
      <c r="G1488" s="9">
        <f>IFERROR(__xludf.DUMMYFUNCTION("""COMPUTED_VALUE"""),1.0402917E7)</f>
        <v>10402917</v>
      </c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</row>
    <row r="1489">
      <c r="A1489" s="1"/>
      <c r="B1489" s="22">
        <f>IFERROR(__xludf.DUMMYFUNCTION("""COMPUTED_VALUE"""),43749.64583333333)</f>
        <v>43749.64583</v>
      </c>
      <c r="C1489" s="9">
        <f>IFERROR(__xludf.DUMMYFUNCTION("""COMPUTED_VALUE"""),781.5)</f>
        <v>781.5</v>
      </c>
      <c r="D1489" s="9">
        <f>IFERROR(__xludf.DUMMYFUNCTION("""COMPUTED_VALUE"""),823.8)</f>
        <v>823.8</v>
      </c>
      <c r="E1489" s="9">
        <f>IFERROR(__xludf.DUMMYFUNCTION("""COMPUTED_VALUE"""),776.6)</f>
        <v>776.6</v>
      </c>
      <c r="F1489" s="9">
        <f>IFERROR(__xludf.DUMMYFUNCTION("""COMPUTED_VALUE"""),814.8)</f>
        <v>814.8</v>
      </c>
      <c r="G1489" s="9">
        <f>IFERROR(__xludf.DUMMYFUNCTION("""COMPUTED_VALUE"""),2.0636344E7)</f>
        <v>20636344</v>
      </c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</row>
    <row r="1490">
      <c r="A1490" s="1"/>
      <c r="B1490" s="22">
        <f>IFERROR(__xludf.DUMMYFUNCTION("""COMPUTED_VALUE"""),43752.64583333333)</f>
        <v>43752.64583</v>
      </c>
      <c r="C1490" s="9">
        <f>IFERROR(__xludf.DUMMYFUNCTION("""COMPUTED_VALUE"""),786.75)</f>
        <v>786.75</v>
      </c>
      <c r="D1490" s="9">
        <f>IFERROR(__xludf.DUMMYFUNCTION("""COMPUTED_VALUE"""),797.0)</f>
        <v>797</v>
      </c>
      <c r="E1490" s="9">
        <f>IFERROR(__xludf.DUMMYFUNCTION("""COMPUTED_VALUE"""),780.0)</f>
        <v>780</v>
      </c>
      <c r="F1490" s="9">
        <f>IFERROR(__xludf.DUMMYFUNCTION("""COMPUTED_VALUE"""),786.1)</f>
        <v>786.1</v>
      </c>
      <c r="G1490" s="9">
        <f>IFERROR(__xludf.DUMMYFUNCTION("""COMPUTED_VALUE"""),1.5150858E7)</f>
        <v>15150858</v>
      </c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</row>
    <row r="1491">
      <c r="A1491" s="1"/>
      <c r="B1491" s="22">
        <f>IFERROR(__xludf.DUMMYFUNCTION("""COMPUTED_VALUE"""),43753.64583333333)</f>
        <v>43753.64583</v>
      </c>
      <c r="C1491" s="9">
        <f>IFERROR(__xludf.DUMMYFUNCTION("""COMPUTED_VALUE"""),773.1)</f>
        <v>773.1</v>
      </c>
      <c r="D1491" s="9">
        <f>IFERROR(__xludf.DUMMYFUNCTION("""COMPUTED_VALUE"""),775.95)</f>
        <v>775.95</v>
      </c>
      <c r="E1491" s="9">
        <f>IFERROR(__xludf.DUMMYFUNCTION("""COMPUTED_VALUE"""),765.0)</f>
        <v>765</v>
      </c>
      <c r="F1491" s="9">
        <f>IFERROR(__xludf.DUMMYFUNCTION("""COMPUTED_VALUE"""),768.3)</f>
        <v>768.3</v>
      </c>
      <c r="G1491" s="9">
        <f>IFERROR(__xludf.DUMMYFUNCTION("""COMPUTED_VALUE"""),1.3762133E7)</f>
        <v>13762133</v>
      </c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</row>
    <row r="1492">
      <c r="A1492" s="1"/>
      <c r="B1492" s="22">
        <f>IFERROR(__xludf.DUMMYFUNCTION("""COMPUTED_VALUE"""),43754.64583333333)</f>
        <v>43754.64583</v>
      </c>
      <c r="C1492" s="9">
        <f>IFERROR(__xludf.DUMMYFUNCTION("""COMPUTED_VALUE"""),765.25)</f>
        <v>765.25</v>
      </c>
      <c r="D1492" s="9">
        <f>IFERROR(__xludf.DUMMYFUNCTION("""COMPUTED_VALUE"""),775.95)</f>
        <v>775.95</v>
      </c>
      <c r="E1492" s="9">
        <f>IFERROR(__xludf.DUMMYFUNCTION("""COMPUTED_VALUE"""),761.55)</f>
        <v>761.55</v>
      </c>
      <c r="F1492" s="9">
        <f>IFERROR(__xludf.DUMMYFUNCTION("""COMPUTED_VALUE"""),771.45)</f>
        <v>771.45</v>
      </c>
      <c r="G1492" s="9">
        <f>IFERROR(__xludf.DUMMYFUNCTION("""COMPUTED_VALUE"""),1.0767032E7)</f>
        <v>10767032</v>
      </c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</row>
    <row r="1493">
      <c r="A1493" s="1"/>
      <c r="B1493" s="22">
        <f>IFERROR(__xludf.DUMMYFUNCTION("""COMPUTED_VALUE"""),43755.64583333333)</f>
        <v>43755.64583</v>
      </c>
      <c r="C1493" s="9">
        <f>IFERROR(__xludf.DUMMYFUNCTION("""COMPUTED_VALUE"""),767.0)</f>
        <v>767</v>
      </c>
      <c r="D1493" s="9">
        <f>IFERROR(__xludf.DUMMYFUNCTION("""COMPUTED_VALUE"""),770.55)</f>
        <v>770.55</v>
      </c>
      <c r="E1493" s="9">
        <f>IFERROR(__xludf.DUMMYFUNCTION("""COMPUTED_VALUE"""),765.1)</f>
        <v>765.1</v>
      </c>
      <c r="F1493" s="9">
        <f>IFERROR(__xludf.DUMMYFUNCTION("""COMPUTED_VALUE"""),769.5)</f>
        <v>769.5</v>
      </c>
      <c r="G1493" s="9">
        <f>IFERROR(__xludf.DUMMYFUNCTION("""COMPUTED_VALUE"""),9860495.0)</f>
        <v>9860495</v>
      </c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</row>
    <row r="1494">
      <c r="A1494" s="1"/>
      <c r="B1494" s="22">
        <f>IFERROR(__xludf.DUMMYFUNCTION("""COMPUTED_VALUE"""),43756.64583333333)</f>
        <v>43756.64583</v>
      </c>
      <c r="C1494" s="9">
        <f>IFERROR(__xludf.DUMMYFUNCTION("""COMPUTED_VALUE"""),763.8)</f>
        <v>763.8</v>
      </c>
      <c r="D1494" s="9">
        <f>IFERROR(__xludf.DUMMYFUNCTION("""COMPUTED_VALUE"""),773.8)</f>
        <v>773.8</v>
      </c>
      <c r="E1494" s="9">
        <f>IFERROR(__xludf.DUMMYFUNCTION("""COMPUTED_VALUE"""),760.0)</f>
        <v>760</v>
      </c>
      <c r="F1494" s="9">
        <f>IFERROR(__xludf.DUMMYFUNCTION("""COMPUTED_VALUE"""),767.85)</f>
        <v>767.85</v>
      </c>
      <c r="G1494" s="9">
        <f>IFERROR(__xludf.DUMMYFUNCTION("""COMPUTED_VALUE"""),1.00372E7)</f>
        <v>10037200</v>
      </c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</row>
    <row r="1495">
      <c r="A1495" s="1"/>
      <c r="B1495" s="22">
        <f>IFERROR(__xludf.DUMMYFUNCTION("""COMPUTED_VALUE"""),43760.64583333333)</f>
        <v>43760.64583</v>
      </c>
      <c r="C1495" s="9">
        <f>IFERROR(__xludf.DUMMYFUNCTION("""COMPUTED_VALUE"""),691.1)</f>
        <v>691.1</v>
      </c>
      <c r="D1495" s="9">
        <f>IFERROR(__xludf.DUMMYFUNCTION("""COMPUTED_VALUE"""),691.1)</f>
        <v>691.1</v>
      </c>
      <c r="E1495" s="9">
        <f>IFERROR(__xludf.DUMMYFUNCTION("""COMPUTED_VALUE"""),638.35)</f>
        <v>638.35</v>
      </c>
      <c r="F1495" s="9">
        <f>IFERROR(__xludf.DUMMYFUNCTION("""COMPUTED_VALUE"""),643.55)</f>
        <v>643.55</v>
      </c>
      <c r="G1495" s="9">
        <f>IFERROR(__xludf.DUMMYFUNCTION("""COMPUTED_VALUE"""),9.0152532E7)</f>
        <v>90152532</v>
      </c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</row>
    <row r="1496">
      <c r="A1496" s="1"/>
      <c r="B1496" s="22">
        <f>IFERROR(__xludf.DUMMYFUNCTION("""COMPUTED_VALUE"""),43761.64583333333)</f>
        <v>43761.64583</v>
      </c>
      <c r="C1496" s="9">
        <f>IFERROR(__xludf.DUMMYFUNCTION("""COMPUTED_VALUE"""),630.0)</f>
        <v>630</v>
      </c>
      <c r="D1496" s="9">
        <f>IFERROR(__xludf.DUMMYFUNCTION("""COMPUTED_VALUE"""),656.65)</f>
        <v>656.65</v>
      </c>
      <c r="E1496" s="9">
        <f>IFERROR(__xludf.DUMMYFUNCTION("""COMPUTED_VALUE"""),615.1)</f>
        <v>615.1</v>
      </c>
      <c r="F1496" s="9">
        <f>IFERROR(__xludf.DUMMYFUNCTION("""COMPUTED_VALUE"""),650.6)</f>
        <v>650.6</v>
      </c>
      <c r="G1496" s="9">
        <f>IFERROR(__xludf.DUMMYFUNCTION("""COMPUTED_VALUE"""),6.0516887E7)</f>
        <v>60516887</v>
      </c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</row>
    <row r="1497">
      <c r="A1497" s="1"/>
      <c r="B1497" s="22">
        <f>IFERROR(__xludf.DUMMYFUNCTION("""COMPUTED_VALUE"""),43762.64583333333)</f>
        <v>43762.64583</v>
      </c>
      <c r="C1497" s="9">
        <f>IFERROR(__xludf.DUMMYFUNCTION("""COMPUTED_VALUE"""),650.0)</f>
        <v>650</v>
      </c>
      <c r="D1497" s="9">
        <f>IFERROR(__xludf.DUMMYFUNCTION("""COMPUTED_VALUE"""),653.2)</f>
        <v>653.2</v>
      </c>
      <c r="E1497" s="9">
        <f>IFERROR(__xludf.DUMMYFUNCTION("""COMPUTED_VALUE"""),632.0)</f>
        <v>632</v>
      </c>
      <c r="F1497" s="9">
        <f>IFERROR(__xludf.DUMMYFUNCTION("""COMPUTED_VALUE"""),635.35)</f>
        <v>635.35</v>
      </c>
      <c r="G1497" s="9">
        <f>IFERROR(__xludf.DUMMYFUNCTION("""COMPUTED_VALUE"""),2.5666433E7)</f>
        <v>25666433</v>
      </c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</row>
    <row r="1498">
      <c r="A1498" s="1"/>
      <c r="B1498" s="22">
        <f>IFERROR(__xludf.DUMMYFUNCTION("""COMPUTED_VALUE"""),43763.79166666667)</f>
        <v>43763.79167</v>
      </c>
      <c r="C1498" s="9">
        <f>IFERROR(__xludf.DUMMYFUNCTION("""COMPUTED_VALUE"""),647.0)</f>
        <v>647</v>
      </c>
      <c r="D1498" s="9">
        <f>IFERROR(__xludf.DUMMYFUNCTION("""COMPUTED_VALUE"""),652.5)</f>
        <v>652.5</v>
      </c>
      <c r="E1498" s="9">
        <f>IFERROR(__xludf.DUMMYFUNCTION("""COMPUTED_VALUE"""),636.0)</f>
        <v>636</v>
      </c>
      <c r="F1498" s="9">
        <f>IFERROR(__xludf.DUMMYFUNCTION("""COMPUTED_VALUE"""),637.45)</f>
        <v>637.45</v>
      </c>
      <c r="G1498" s="9">
        <f>IFERROR(__xludf.DUMMYFUNCTION("""COMPUTED_VALUE"""),1.6549337E7)</f>
        <v>16549337</v>
      </c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</row>
    <row r="1499">
      <c r="A1499" s="1"/>
      <c r="B1499" s="22">
        <f>IFERROR(__xludf.DUMMYFUNCTION("""COMPUTED_VALUE"""),43765.80902777778)</f>
        <v>43765.80903</v>
      </c>
      <c r="C1499" s="9">
        <f>IFERROR(__xludf.DUMMYFUNCTION("""COMPUTED_VALUE"""),651.1)</f>
        <v>651.1</v>
      </c>
      <c r="D1499" s="9">
        <f>IFERROR(__xludf.DUMMYFUNCTION("""COMPUTED_VALUE"""),652.5)</f>
        <v>652.5</v>
      </c>
      <c r="E1499" s="9">
        <f>IFERROR(__xludf.DUMMYFUNCTION("""COMPUTED_VALUE"""),645.55)</f>
        <v>645.55</v>
      </c>
      <c r="F1499" s="9">
        <f>IFERROR(__xludf.DUMMYFUNCTION("""COMPUTED_VALUE"""),649.95)</f>
        <v>649.95</v>
      </c>
      <c r="G1499" s="9">
        <f>IFERROR(__xludf.DUMMYFUNCTION("""COMPUTED_VALUE"""),2945281.0)</f>
        <v>2945281</v>
      </c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</row>
    <row r="1500">
      <c r="A1500" s="1"/>
      <c r="B1500" s="22">
        <f>IFERROR(__xludf.DUMMYFUNCTION("""COMPUTED_VALUE"""),43767.64583333333)</f>
        <v>43767.64583</v>
      </c>
      <c r="C1500" s="9">
        <f>IFERROR(__xludf.DUMMYFUNCTION("""COMPUTED_VALUE"""),651.0)</f>
        <v>651</v>
      </c>
      <c r="D1500" s="9">
        <f>IFERROR(__xludf.DUMMYFUNCTION("""COMPUTED_VALUE"""),653.75)</f>
        <v>653.75</v>
      </c>
      <c r="E1500" s="9">
        <f>IFERROR(__xludf.DUMMYFUNCTION("""COMPUTED_VALUE"""),647.0)</f>
        <v>647</v>
      </c>
      <c r="F1500" s="9">
        <f>IFERROR(__xludf.DUMMYFUNCTION("""COMPUTED_VALUE"""),650.65)</f>
        <v>650.65</v>
      </c>
      <c r="G1500" s="9">
        <f>IFERROR(__xludf.DUMMYFUNCTION("""COMPUTED_VALUE"""),1.6709764E7)</f>
        <v>16709764</v>
      </c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</row>
    <row r="1501">
      <c r="A1501" s="1"/>
      <c r="B1501" s="22">
        <f>IFERROR(__xludf.DUMMYFUNCTION("""COMPUTED_VALUE"""),43768.64583333333)</f>
        <v>43768.64583</v>
      </c>
      <c r="C1501" s="9">
        <f>IFERROR(__xludf.DUMMYFUNCTION("""COMPUTED_VALUE"""),660.4)</f>
        <v>660.4</v>
      </c>
      <c r="D1501" s="9">
        <f>IFERROR(__xludf.DUMMYFUNCTION("""COMPUTED_VALUE"""),671.4)</f>
        <v>671.4</v>
      </c>
      <c r="E1501" s="9">
        <f>IFERROR(__xludf.DUMMYFUNCTION("""COMPUTED_VALUE"""),656.2)</f>
        <v>656.2</v>
      </c>
      <c r="F1501" s="9">
        <f>IFERROR(__xludf.DUMMYFUNCTION("""COMPUTED_VALUE"""),660.6)</f>
        <v>660.6</v>
      </c>
      <c r="G1501" s="9">
        <f>IFERROR(__xludf.DUMMYFUNCTION("""COMPUTED_VALUE"""),2.2879467E7)</f>
        <v>22879467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</row>
    <row r="1502">
      <c r="A1502" s="1"/>
      <c r="B1502" s="22">
        <f>IFERROR(__xludf.DUMMYFUNCTION("""COMPUTED_VALUE"""),43769.64583333333)</f>
        <v>43769.64583</v>
      </c>
      <c r="C1502" s="9">
        <f>IFERROR(__xludf.DUMMYFUNCTION("""COMPUTED_VALUE"""),668.4)</f>
        <v>668.4</v>
      </c>
      <c r="D1502" s="9">
        <f>IFERROR(__xludf.DUMMYFUNCTION("""COMPUTED_VALUE"""),695.45)</f>
        <v>695.45</v>
      </c>
      <c r="E1502" s="9">
        <f>IFERROR(__xludf.DUMMYFUNCTION("""COMPUTED_VALUE"""),666.1)</f>
        <v>666.1</v>
      </c>
      <c r="F1502" s="9">
        <f>IFERROR(__xludf.DUMMYFUNCTION("""COMPUTED_VALUE"""),685.6)</f>
        <v>685.6</v>
      </c>
      <c r="G1502" s="9">
        <f>IFERROR(__xludf.DUMMYFUNCTION("""COMPUTED_VALUE"""),2.7405901E7)</f>
        <v>27405901</v>
      </c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</row>
    <row r="1503">
      <c r="A1503" s="1"/>
      <c r="B1503" s="22">
        <f>IFERROR(__xludf.DUMMYFUNCTION("""COMPUTED_VALUE"""),43770.64583333333)</f>
        <v>43770.64583</v>
      </c>
      <c r="C1503" s="9">
        <f>IFERROR(__xludf.DUMMYFUNCTION("""COMPUTED_VALUE"""),690.0)</f>
        <v>690</v>
      </c>
      <c r="D1503" s="9">
        <f>IFERROR(__xludf.DUMMYFUNCTION("""COMPUTED_VALUE"""),694.0)</f>
        <v>694</v>
      </c>
      <c r="E1503" s="9">
        <f>IFERROR(__xludf.DUMMYFUNCTION("""COMPUTED_VALUE"""),682.6)</f>
        <v>682.6</v>
      </c>
      <c r="F1503" s="9">
        <f>IFERROR(__xludf.DUMMYFUNCTION("""COMPUTED_VALUE"""),687.9)</f>
        <v>687.9</v>
      </c>
      <c r="G1503" s="9">
        <f>IFERROR(__xludf.DUMMYFUNCTION("""COMPUTED_VALUE"""),9713519.0)</f>
        <v>9713519</v>
      </c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</row>
    <row r="1504">
      <c r="A1504" s="1"/>
      <c r="B1504" s="22">
        <f>IFERROR(__xludf.DUMMYFUNCTION("""COMPUTED_VALUE"""),43773.64583333333)</f>
        <v>43773.64583</v>
      </c>
      <c r="C1504" s="9">
        <f>IFERROR(__xludf.DUMMYFUNCTION("""COMPUTED_VALUE"""),681.8)</f>
        <v>681.8</v>
      </c>
      <c r="D1504" s="9">
        <f>IFERROR(__xludf.DUMMYFUNCTION("""COMPUTED_VALUE"""),732.5)</f>
        <v>732.5</v>
      </c>
      <c r="E1504" s="9">
        <f>IFERROR(__xludf.DUMMYFUNCTION("""COMPUTED_VALUE"""),678.15)</f>
        <v>678.15</v>
      </c>
      <c r="F1504" s="9">
        <f>IFERROR(__xludf.DUMMYFUNCTION("""COMPUTED_VALUE"""),709.0)</f>
        <v>709</v>
      </c>
      <c r="G1504" s="9">
        <f>IFERROR(__xludf.DUMMYFUNCTION("""COMPUTED_VALUE"""),2.9381982E7)</f>
        <v>29381982</v>
      </c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</row>
    <row r="1505">
      <c r="A1505" s="1"/>
      <c r="B1505" s="22">
        <f>IFERROR(__xludf.DUMMYFUNCTION("""COMPUTED_VALUE"""),43774.64583333333)</f>
        <v>43774.64583</v>
      </c>
      <c r="C1505" s="9">
        <f>IFERROR(__xludf.DUMMYFUNCTION("""COMPUTED_VALUE"""),708.75)</f>
        <v>708.75</v>
      </c>
      <c r="D1505" s="9">
        <f>IFERROR(__xludf.DUMMYFUNCTION("""COMPUTED_VALUE"""),708.75)</f>
        <v>708.75</v>
      </c>
      <c r="E1505" s="9">
        <f>IFERROR(__xludf.DUMMYFUNCTION("""COMPUTED_VALUE"""),691.5)</f>
        <v>691.5</v>
      </c>
      <c r="F1505" s="9">
        <f>IFERROR(__xludf.DUMMYFUNCTION("""COMPUTED_VALUE"""),696.1)</f>
        <v>696.1</v>
      </c>
      <c r="G1505" s="9">
        <f>IFERROR(__xludf.DUMMYFUNCTION("""COMPUTED_VALUE"""),1.2897805E7)</f>
        <v>12897805</v>
      </c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</row>
    <row r="1506">
      <c r="A1506" s="1"/>
      <c r="B1506" s="22">
        <f>IFERROR(__xludf.DUMMYFUNCTION("""COMPUTED_VALUE"""),43775.64583333333)</f>
        <v>43775.64583</v>
      </c>
      <c r="C1506" s="9">
        <f>IFERROR(__xludf.DUMMYFUNCTION("""COMPUTED_VALUE"""),695.8)</f>
        <v>695.8</v>
      </c>
      <c r="D1506" s="9">
        <f>IFERROR(__xludf.DUMMYFUNCTION("""COMPUTED_VALUE"""),721.5)</f>
        <v>721.5</v>
      </c>
      <c r="E1506" s="9">
        <f>IFERROR(__xludf.DUMMYFUNCTION("""COMPUTED_VALUE"""),692.0)</f>
        <v>692</v>
      </c>
      <c r="F1506" s="9">
        <f>IFERROR(__xludf.DUMMYFUNCTION("""COMPUTED_VALUE"""),712.3)</f>
        <v>712.3</v>
      </c>
      <c r="G1506" s="9">
        <f>IFERROR(__xludf.DUMMYFUNCTION("""COMPUTED_VALUE"""),2.1372589E7)</f>
        <v>21372589</v>
      </c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</row>
    <row r="1507">
      <c r="A1507" s="1"/>
      <c r="B1507" s="22">
        <f>IFERROR(__xludf.DUMMYFUNCTION("""COMPUTED_VALUE"""),43776.64583333333)</f>
        <v>43776.64583</v>
      </c>
      <c r="C1507" s="9">
        <f>IFERROR(__xludf.DUMMYFUNCTION("""COMPUTED_VALUE"""),717.0)</f>
        <v>717</v>
      </c>
      <c r="D1507" s="9">
        <f>IFERROR(__xludf.DUMMYFUNCTION("""COMPUTED_VALUE"""),724.35)</f>
        <v>724.35</v>
      </c>
      <c r="E1507" s="9">
        <f>IFERROR(__xludf.DUMMYFUNCTION("""COMPUTED_VALUE"""),712.1)</f>
        <v>712.1</v>
      </c>
      <c r="F1507" s="9">
        <f>IFERROR(__xludf.DUMMYFUNCTION("""COMPUTED_VALUE"""),720.1)</f>
        <v>720.1</v>
      </c>
      <c r="G1507" s="9">
        <f>IFERROR(__xludf.DUMMYFUNCTION("""COMPUTED_VALUE"""),1.3733737E7)</f>
        <v>13733737</v>
      </c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</row>
    <row r="1508">
      <c r="A1508" s="1"/>
      <c r="B1508" s="22">
        <f>IFERROR(__xludf.DUMMYFUNCTION("""COMPUTED_VALUE"""),43777.64583333333)</f>
        <v>43777.64583</v>
      </c>
      <c r="C1508" s="9">
        <f>IFERROR(__xludf.DUMMYFUNCTION("""COMPUTED_VALUE"""),722.0)</f>
        <v>722</v>
      </c>
      <c r="D1508" s="9">
        <f>IFERROR(__xludf.DUMMYFUNCTION("""COMPUTED_VALUE"""),724.25)</f>
        <v>724.25</v>
      </c>
      <c r="E1508" s="9">
        <f>IFERROR(__xludf.DUMMYFUNCTION("""COMPUTED_VALUE"""),705.5)</f>
        <v>705.5</v>
      </c>
      <c r="F1508" s="9">
        <f>IFERROR(__xludf.DUMMYFUNCTION("""COMPUTED_VALUE"""),708.15)</f>
        <v>708.15</v>
      </c>
      <c r="G1508" s="9">
        <f>IFERROR(__xludf.DUMMYFUNCTION("""COMPUTED_VALUE"""),8585630.0)</f>
        <v>8585630</v>
      </c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</row>
    <row r="1509">
      <c r="A1509" s="1"/>
      <c r="B1509" s="22">
        <f>IFERROR(__xludf.DUMMYFUNCTION("""COMPUTED_VALUE"""),43780.64583333333)</f>
        <v>43780.64583</v>
      </c>
      <c r="C1509" s="9">
        <f>IFERROR(__xludf.DUMMYFUNCTION("""COMPUTED_VALUE"""),698.9)</f>
        <v>698.9</v>
      </c>
      <c r="D1509" s="9">
        <f>IFERROR(__xludf.DUMMYFUNCTION("""COMPUTED_VALUE"""),707.2)</f>
        <v>707.2</v>
      </c>
      <c r="E1509" s="9">
        <f>IFERROR(__xludf.DUMMYFUNCTION("""COMPUTED_VALUE"""),698.0)</f>
        <v>698</v>
      </c>
      <c r="F1509" s="9">
        <f>IFERROR(__xludf.DUMMYFUNCTION("""COMPUTED_VALUE"""),704.4)</f>
        <v>704.4</v>
      </c>
      <c r="G1509" s="9">
        <f>IFERROR(__xludf.DUMMYFUNCTION("""COMPUTED_VALUE"""),6951494.0)</f>
        <v>6951494</v>
      </c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</row>
    <row r="1510">
      <c r="A1510" s="1"/>
      <c r="B1510" s="22">
        <f>IFERROR(__xludf.DUMMYFUNCTION("""COMPUTED_VALUE"""),43782.64583333333)</f>
        <v>43782.64583</v>
      </c>
      <c r="C1510" s="9">
        <f>IFERROR(__xludf.DUMMYFUNCTION("""COMPUTED_VALUE"""),696.5)</f>
        <v>696.5</v>
      </c>
      <c r="D1510" s="9">
        <f>IFERROR(__xludf.DUMMYFUNCTION("""COMPUTED_VALUE"""),700.0)</f>
        <v>700</v>
      </c>
      <c r="E1510" s="9">
        <f>IFERROR(__xludf.DUMMYFUNCTION("""COMPUTED_VALUE"""),687.75)</f>
        <v>687.75</v>
      </c>
      <c r="F1510" s="9">
        <f>IFERROR(__xludf.DUMMYFUNCTION("""COMPUTED_VALUE"""),691.35)</f>
        <v>691.35</v>
      </c>
      <c r="G1510" s="9">
        <f>IFERROR(__xludf.DUMMYFUNCTION("""COMPUTED_VALUE"""),9973690.0)</f>
        <v>9973690</v>
      </c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</row>
    <row r="1511">
      <c r="A1511" s="1"/>
      <c r="B1511" s="22">
        <f>IFERROR(__xludf.DUMMYFUNCTION("""COMPUTED_VALUE"""),43783.64583333333)</f>
        <v>43783.64583</v>
      </c>
      <c r="C1511" s="9">
        <f>IFERROR(__xludf.DUMMYFUNCTION("""COMPUTED_VALUE"""),696.35)</f>
        <v>696.35</v>
      </c>
      <c r="D1511" s="9">
        <f>IFERROR(__xludf.DUMMYFUNCTION("""COMPUTED_VALUE"""),709.8)</f>
        <v>709.8</v>
      </c>
      <c r="E1511" s="9">
        <f>IFERROR(__xludf.DUMMYFUNCTION("""COMPUTED_VALUE"""),696.35)</f>
        <v>696.35</v>
      </c>
      <c r="F1511" s="9">
        <f>IFERROR(__xludf.DUMMYFUNCTION("""COMPUTED_VALUE"""),705.3)</f>
        <v>705.3</v>
      </c>
      <c r="G1511" s="9">
        <f>IFERROR(__xludf.DUMMYFUNCTION("""COMPUTED_VALUE"""),1.0539902E7)</f>
        <v>10539902</v>
      </c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</row>
    <row r="1512">
      <c r="A1512" s="1"/>
      <c r="B1512" s="22">
        <f>IFERROR(__xludf.DUMMYFUNCTION("""COMPUTED_VALUE"""),43784.64583333333)</f>
        <v>43784.64583</v>
      </c>
      <c r="C1512" s="9">
        <f>IFERROR(__xludf.DUMMYFUNCTION("""COMPUTED_VALUE"""),709.05)</f>
        <v>709.05</v>
      </c>
      <c r="D1512" s="9">
        <f>IFERROR(__xludf.DUMMYFUNCTION("""COMPUTED_VALUE"""),712.95)</f>
        <v>712.95</v>
      </c>
      <c r="E1512" s="9">
        <f>IFERROR(__xludf.DUMMYFUNCTION("""COMPUTED_VALUE"""),702.3)</f>
        <v>702.3</v>
      </c>
      <c r="F1512" s="9">
        <f>IFERROR(__xludf.DUMMYFUNCTION("""COMPUTED_VALUE"""),703.9)</f>
        <v>703.9</v>
      </c>
      <c r="G1512" s="9">
        <f>IFERROR(__xludf.DUMMYFUNCTION("""COMPUTED_VALUE"""),7362623.0)</f>
        <v>7362623</v>
      </c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</row>
    <row r="1513">
      <c r="A1513" s="1"/>
      <c r="B1513" s="22">
        <f>IFERROR(__xludf.DUMMYFUNCTION("""COMPUTED_VALUE"""),43787.64583333333)</f>
        <v>43787.64583</v>
      </c>
      <c r="C1513" s="9">
        <f>IFERROR(__xludf.DUMMYFUNCTION("""COMPUTED_VALUE"""),705.0)</f>
        <v>705</v>
      </c>
      <c r="D1513" s="9">
        <f>IFERROR(__xludf.DUMMYFUNCTION("""COMPUTED_VALUE"""),710.0)</f>
        <v>710</v>
      </c>
      <c r="E1513" s="9">
        <f>IFERROR(__xludf.DUMMYFUNCTION("""COMPUTED_VALUE"""),699.3)</f>
        <v>699.3</v>
      </c>
      <c r="F1513" s="9">
        <f>IFERROR(__xludf.DUMMYFUNCTION("""COMPUTED_VALUE"""),705.2)</f>
        <v>705.2</v>
      </c>
      <c r="G1513" s="9">
        <f>IFERROR(__xludf.DUMMYFUNCTION("""COMPUTED_VALUE"""),7490916.0)</f>
        <v>7490916</v>
      </c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</row>
    <row r="1514">
      <c r="A1514" s="1"/>
      <c r="B1514" s="22">
        <f>IFERROR(__xludf.DUMMYFUNCTION("""COMPUTED_VALUE"""),43788.64583333333)</f>
        <v>43788.64583</v>
      </c>
      <c r="C1514" s="9">
        <f>IFERROR(__xludf.DUMMYFUNCTION("""COMPUTED_VALUE"""),709.9)</f>
        <v>709.9</v>
      </c>
      <c r="D1514" s="9">
        <f>IFERROR(__xludf.DUMMYFUNCTION("""COMPUTED_VALUE"""),714.0)</f>
        <v>714</v>
      </c>
      <c r="E1514" s="9">
        <f>IFERROR(__xludf.DUMMYFUNCTION("""COMPUTED_VALUE"""),705.0)</f>
        <v>705</v>
      </c>
      <c r="F1514" s="9">
        <f>IFERROR(__xludf.DUMMYFUNCTION("""COMPUTED_VALUE"""),712.85)</f>
        <v>712.85</v>
      </c>
      <c r="G1514" s="9">
        <f>IFERROR(__xludf.DUMMYFUNCTION("""COMPUTED_VALUE"""),6495885.0)</f>
        <v>6495885</v>
      </c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</row>
    <row r="1515">
      <c r="A1515" s="1"/>
      <c r="B1515" s="22">
        <f>IFERROR(__xludf.DUMMYFUNCTION("""COMPUTED_VALUE"""),43789.64583333333)</f>
        <v>43789.64583</v>
      </c>
      <c r="C1515" s="9">
        <f>IFERROR(__xludf.DUMMYFUNCTION("""COMPUTED_VALUE"""),712.8)</f>
        <v>712.8</v>
      </c>
      <c r="D1515" s="9">
        <f>IFERROR(__xludf.DUMMYFUNCTION("""COMPUTED_VALUE"""),715.0)</f>
        <v>715</v>
      </c>
      <c r="E1515" s="9">
        <f>IFERROR(__xludf.DUMMYFUNCTION("""COMPUTED_VALUE"""),705.0)</f>
        <v>705</v>
      </c>
      <c r="F1515" s="9">
        <f>IFERROR(__xludf.DUMMYFUNCTION("""COMPUTED_VALUE"""),713.0)</f>
        <v>713</v>
      </c>
      <c r="G1515" s="9">
        <f>IFERROR(__xludf.DUMMYFUNCTION("""COMPUTED_VALUE"""),6142171.0)</f>
        <v>6142171</v>
      </c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</row>
    <row r="1516">
      <c r="A1516" s="1"/>
      <c r="B1516" s="22">
        <f>IFERROR(__xludf.DUMMYFUNCTION("""COMPUTED_VALUE"""),43790.64583333333)</f>
        <v>43790.64583</v>
      </c>
      <c r="C1516" s="9">
        <f>IFERROR(__xludf.DUMMYFUNCTION("""COMPUTED_VALUE"""),715.5)</f>
        <v>715.5</v>
      </c>
      <c r="D1516" s="9">
        <f>IFERROR(__xludf.DUMMYFUNCTION("""COMPUTED_VALUE"""),721.45)</f>
        <v>721.45</v>
      </c>
      <c r="E1516" s="9">
        <f>IFERROR(__xludf.DUMMYFUNCTION("""COMPUTED_VALUE"""),710.5)</f>
        <v>710.5</v>
      </c>
      <c r="F1516" s="9">
        <f>IFERROR(__xludf.DUMMYFUNCTION("""COMPUTED_VALUE"""),713.25)</f>
        <v>713.25</v>
      </c>
      <c r="G1516" s="9">
        <f>IFERROR(__xludf.DUMMYFUNCTION("""COMPUTED_VALUE"""),9692973.0)</f>
        <v>9692973</v>
      </c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</row>
    <row r="1517">
      <c r="A1517" s="1"/>
      <c r="B1517" s="22">
        <f>IFERROR(__xludf.DUMMYFUNCTION("""COMPUTED_VALUE"""),43791.64583333333)</f>
        <v>43791.64583</v>
      </c>
      <c r="C1517" s="9">
        <f>IFERROR(__xludf.DUMMYFUNCTION("""COMPUTED_VALUE"""),711.75)</f>
        <v>711.75</v>
      </c>
      <c r="D1517" s="9">
        <f>IFERROR(__xludf.DUMMYFUNCTION("""COMPUTED_VALUE"""),712.0)</f>
        <v>712</v>
      </c>
      <c r="E1517" s="9">
        <f>IFERROR(__xludf.DUMMYFUNCTION("""COMPUTED_VALUE"""),685.1)</f>
        <v>685.1</v>
      </c>
      <c r="F1517" s="9">
        <f>IFERROR(__xludf.DUMMYFUNCTION("""COMPUTED_VALUE"""),693.2)</f>
        <v>693.2</v>
      </c>
      <c r="G1517" s="9">
        <f>IFERROR(__xludf.DUMMYFUNCTION("""COMPUTED_VALUE"""),1.4415826E7)</f>
        <v>14415826</v>
      </c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</row>
    <row r="1518">
      <c r="A1518" s="1"/>
      <c r="B1518" s="22">
        <f>IFERROR(__xludf.DUMMYFUNCTION("""COMPUTED_VALUE"""),43794.64583333333)</f>
        <v>43794.64583</v>
      </c>
      <c r="C1518" s="9">
        <f>IFERROR(__xludf.DUMMYFUNCTION("""COMPUTED_VALUE"""),693.35)</f>
        <v>693.35</v>
      </c>
      <c r="D1518" s="9">
        <f>IFERROR(__xludf.DUMMYFUNCTION("""COMPUTED_VALUE"""),705.15)</f>
        <v>705.15</v>
      </c>
      <c r="E1518" s="9">
        <f>IFERROR(__xludf.DUMMYFUNCTION("""COMPUTED_VALUE"""),693.2)</f>
        <v>693.2</v>
      </c>
      <c r="F1518" s="9">
        <f>IFERROR(__xludf.DUMMYFUNCTION("""COMPUTED_VALUE"""),698.1)</f>
        <v>698.1</v>
      </c>
      <c r="G1518" s="9">
        <f>IFERROR(__xludf.DUMMYFUNCTION("""COMPUTED_VALUE"""),7334511.0)</f>
        <v>7334511</v>
      </c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</row>
    <row r="1519">
      <c r="A1519" s="1"/>
      <c r="B1519" s="22">
        <f>IFERROR(__xludf.DUMMYFUNCTION("""COMPUTED_VALUE"""),43795.64583333333)</f>
        <v>43795.64583</v>
      </c>
      <c r="C1519" s="9">
        <f>IFERROR(__xludf.DUMMYFUNCTION("""COMPUTED_VALUE"""),705.0)</f>
        <v>705</v>
      </c>
      <c r="D1519" s="9">
        <f>IFERROR(__xludf.DUMMYFUNCTION("""COMPUTED_VALUE"""),707.25)</f>
        <v>707.25</v>
      </c>
      <c r="E1519" s="9">
        <f>IFERROR(__xludf.DUMMYFUNCTION("""COMPUTED_VALUE"""),686.0)</f>
        <v>686</v>
      </c>
      <c r="F1519" s="9">
        <f>IFERROR(__xludf.DUMMYFUNCTION("""COMPUTED_VALUE"""),690.6)</f>
        <v>690.6</v>
      </c>
      <c r="G1519" s="9">
        <f>IFERROR(__xludf.DUMMYFUNCTION("""COMPUTED_VALUE"""),2.7253106E7)</f>
        <v>27253106</v>
      </c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</row>
    <row r="1520">
      <c r="A1520" s="1"/>
      <c r="B1520" s="22">
        <f>IFERROR(__xludf.DUMMYFUNCTION("""COMPUTED_VALUE"""),43796.64583333333)</f>
        <v>43796.64583</v>
      </c>
      <c r="C1520" s="9">
        <f>IFERROR(__xludf.DUMMYFUNCTION("""COMPUTED_VALUE"""),694.25)</f>
        <v>694.25</v>
      </c>
      <c r="D1520" s="9">
        <f>IFERROR(__xludf.DUMMYFUNCTION("""COMPUTED_VALUE"""),697.65)</f>
        <v>697.65</v>
      </c>
      <c r="E1520" s="9">
        <f>IFERROR(__xludf.DUMMYFUNCTION("""COMPUTED_VALUE"""),690.1)</f>
        <v>690.1</v>
      </c>
      <c r="F1520" s="9">
        <f>IFERROR(__xludf.DUMMYFUNCTION("""COMPUTED_VALUE"""),695.75)</f>
        <v>695.75</v>
      </c>
      <c r="G1520" s="9">
        <f>IFERROR(__xludf.DUMMYFUNCTION("""COMPUTED_VALUE"""),3861635.0)</f>
        <v>3861635</v>
      </c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</row>
    <row r="1521">
      <c r="A1521" s="1"/>
      <c r="B1521" s="22">
        <f>IFERROR(__xludf.DUMMYFUNCTION("""COMPUTED_VALUE"""),43797.64583333333)</f>
        <v>43797.64583</v>
      </c>
      <c r="C1521" s="9">
        <f>IFERROR(__xludf.DUMMYFUNCTION("""COMPUTED_VALUE"""),699.1)</f>
        <v>699.1</v>
      </c>
      <c r="D1521" s="9">
        <f>IFERROR(__xludf.DUMMYFUNCTION("""COMPUTED_VALUE"""),703.35)</f>
        <v>703.35</v>
      </c>
      <c r="E1521" s="9">
        <f>IFERROR(__xludf.DUMMYFUNCTION("""COMPUTED_VALUE"""),694.05)</f>
        <v>694.05</v>
      </c>
      <c r="F1521" s="9">
        <f>IFERROR(__xludf.DUMMYFUNCTION("""COMPUTED_VALUE"""),701.85)</f>
        <v>701.85</v>
      </c>
      <c r="G1521" s="9">
        <f>IFERROR(__xludf.DUMMYFUNCTION("""COMPUTED_VALUE"""),4837683.0)</f>
        <v>4837683</v>
      </c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</row>
    <row r="1522">
      <c r="A1522" s="1"/>
      <c r="B1522" s="22">
        <f>IFERROR(__xludf.DUMMYFUNCTION("""COMPUTED_VALUE"""),43798.64583333333)</f>
        <v>43798.64583</v>
      </c>
      <c r="C1522" s="9">
        <f>IFERROR(__xludf.DUMMYFUNCTION("""COMPUTED_VALUE"""),700.9)</f>
        <v>700.9</v>
      </c>
      <c r="D1522" s="9">
        <f>IFERROR(__xludf.DUMMYFUNCTION("""COMPUTED_VALUE"""),702.3)</f>
        <v>702.3</v>
      </c>
      <c r="E1522" s="9">
        <f>IFERROR(__xludf.DUMMYFUNCTION("""COMPUTED_VALUE"""),691.55)</f>
        <v>691.55</v>
      </c>
      <c r="F1522" s="9">
        <f>IFERROR(__xludf.DUMMYFUNCTION("""COMPUTED_VALUE"""),696.35)</f>
        <v>696.35</v>
      </c>
      <c r="G1522" s="9">
        <f>IFERROR(__xludf.DUMMYFUNCTION("""COMPUTED_VALUE"""),4262379.0)</f>
        <v>4262379</v>
      </c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</row>
    <row r="1523">
      <c r="A1523" s="1"/>
      <c r="B1523" s="22">
        <f>IFERROR(__xludf.DUMMYFUNCTION("""COMPUTED_VALUE"""),43801.64583333333)</f>
        <v>43801.64583</v>
      </c>
      <c r="C1523" s="9">
        <f>IFERROR(__xludf.DUMMYFUNCTION("""COMPUTED_VALUE"""),703.1)</f>
        <v>703.1</v>
      </c>
      <c r="D1523" s="9">
        <f>IFERROR(__xludf.DUMMYFUNCTION("""COMPUTED_VALUE"""),0.0)</f>
        <v>0</v>
      </c>
      <c r="E1523" s="9">
        <f>IFERROR(__xludf.DUMMYFUNCTION("""COMPUTED_VALUE"""),0.0)</f>
        <v>0</v>
      </c>
      <c r="F1523" s="9">
        <f>IFERROR(__xludf.DUMMYFUNCTION("""COMPUTED_VALUE"""),695.8)</f>
        <v>695.8</v>
      </c>
      <c r="G1523" s="9">
        <f>IFERROR(__xludf.DUMMYFUNCTION("""COMPUTED_VALUE"""),0.0)</f>
        <v>0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</row>
    <row r="1524">
      <c r="A1524" s="1"/>
      <c r="B1524" s="22">
        <f>IFERROR(__xludf.DUMMYFUNCTION("""COMPUTED_VALUE"""),43802.64583333333)</f>
        <v>43802.64583</v>
      </c>
      <c r="C1524" s="9">
        <f>IFERROR(__xludf.DUMMYFUNCTION("""COMPUTED_VALUE"""),692.7)</f>
        <v>692.7</v>
      </c>
      <c r="D1524" s="9">
        <f>IFERROR(__xludf.DUMMYFUNCTION("""COMPUTED_VALUE"""),699.7)</f>
        <v>699.7</v>
      </c>
      <c r="E1524" s="9">
        <f>IFERROR(__xludf.DUMMYFUNCTION("""COMPUTED_VALUE"""),688.55)</f>
        <v>688.55</v>
      </c>
      <c r="F1524" s="9">
        <f>IFERROR(__xludf.DUMMYFUNCTION("""COMPUTED_VALUE"""),698.35)</f>
        <v>698.35</v>
      </c>
      <c r="G1524" s="9">
        <f>IFERROR(__xludf.DUMMYFUNCTION("""COMPUTED_VALUE"""),5239013.0)</f>
        <v>5239013</v>
      </c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</row>
    <row r="1525">
      <c r="A1525" s="1"/>
      <c r="B1525" s="22">
        <f>IFERROR(__xludf.DUMMYFUNCTION("""COMPUTED_VALUE"""),43803.64583333333)</f>
        <v>43803.64583</v>
      </c>
      <c r="C1525" s="9">
        <f>IFERROR(__xludf.DUMMYFUNCTION("""COMPUTED_VALUE"""),697.0)</f>
        <v>697</v>
      </c>
      <c r="D1525" s="9">
        <f>IFERROR(__xludf.DUMMYFUNCTION("""COMPUTED_VALUE"""),710.5)</f>
        <v>710.5</v>
      </c>
      <c r="E1525" s="9">
        <f>IFERROR(__xludf.DUMMYFUNCTION("""COMPUTED_VALUE"""),693.35)</f>
        <v>693.35</v>
      </c>
      <c r="F1525" s="9">
        <f>IFERROR(__xludf.DUMMYFUNCTION("""COMPUTED_VALUE"""),708.85)</f>
        <v>708.85</v>
      </c>
      <c r="G1525" s="9">
        <f>IFERROR(__xludf.DUMMYFUNCTION("""COMPUTED_VALUE"""),7427886.0)</f>
        <v>7427886</v>
      </c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</row>
    <row r="1526">
      <c r="A1526" s="1"/>
      <c r="B1526" s="22">
        <f>IFERROR(__xludf.DUMMYFUNCTION("""COMPUTED_VALUE"""),43804.64583333333)</f>
        <v>43804.64583</v>
      </c>
      <c r="C1526" s="9">
        <f>IFERROR(__xludf.DUMMYFUNCTION("""COMPUTED_VALUE"""),706.45)</f>
        <v>706.45</v>
      </c>
      <c r="D1526" s="9">
        <f>IFERROR(__xludf.DUMMYFUNCTION("""COMPUTED_VALUE"""),715.9)</f>
        <v>715.9</v>
      </c>
      <c r="E1526" s="9">
        <f>IFERROR(__xludf.DUMMYFUNCTION("""COMPUTED_VALUE"""),703.8)</f>
        <v>703.8</v>
      </c>
      <c r="F1526" s="9">
        <f>IFERROR(__xludf.DUMMYFUNCTION("""COMPUTED_VALUE"""),714.85)</f>
        <v>714.85</v>
      </c>
      <c r="G1526" s="9">
        <f>IFERROR(__xludf.DUMMYFUNCTION("""COMPUTED_VALUE"""),4814422.0)</f>
        <v>4814422</v>
      </c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</row>
    <row r="1527">
      <c r="A1527" s="1"/>
      <c r="B1527" s="22">
        <f>IFERROR(__xludf.DUMMYFUNCTION("""COMPUTED_VALUE"""),43805.64583333333)</f>
        <v>43805.64583</v>
      </c>
      <c r="C1527" s="9">
        <f>IFERROR(__xludf.DUMMYFUNCTION("""COMPUTED_VALUE"""),715.95)</f>
        <v>715.95</v>
      </c>
      <c r="D1527" s="9">
        <f>IFERROR(__xludf.DUMMYFUNCTION("""COMPUTED_VALUE"""),720.0)</f>
        <v>720</v>
      </c>
      <c r="E1527" s="9">
        <f>IFERROR(__xludf.DUMMYFUNCTION("""COMPUTED_VALUE"""),709.6)</f>
        <v>709.6</v>
      </c>
      <c r="F1527" s="9">
        <f>IFERROR(__xludf.DUMMYFUNCTION("""COMPUTED_VALUE"""),715.1)</f>
        <v>715.1</v>
      </c>
      <c r="G1527" s="9">
        <f>IFERROR(__xludf.DUMMYFUNCTION("""COMPUTED_VALUE"""),5226096.0)</f>
        <v>5226096</v>
      </c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</row>
    <row r="1528">
      <c r="A1528" s="1"/>
      <c r="B1528" s="22">
        <f>IFERROR(__xludf.DUMMYFUNCTION("""COMPUTED_VALUE"""),43808.64583333333)</f>
        <v>43808.64583</v>
      </c>
      <c r="C1528" s="9">
        <f>IFERROR(__xludf.DUMMYFUNCTION("""COMPUTED_VALUE"""),716.0)</f>
        <v>716</v>
      </c>
      <c r="D1528" s="9">
        <f>IFERROR(__xludf.DUMMYFUNCTION("""COMPUTED_VALUE"""),722.35)</f>
        <v>722.35</v>
      </c>
      <c r="E1528" s="9">
        <f>IFERROR(__xludf.DUMMYFUNCTION("""COMPUTED_VALUE"""),714.25)</f>
        <v>714.25</v>
      </c>
      <c r="F1528" s="9">
        <f>IFERROR(__xludf.DUMMYFUNCTION("""COMPUTED_VALUE"""),717.25)</f>
        <v>717.25</v>
      </c>
      <c r="G1528" s="9">
        <f>IFERROR(__xludf.DUMMYFUNCTION("""COMPUTED_VALUE"""),6435865.0)</f>
        <v>6435865</v>
      </c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</row>
    <row r="1529">
      <c r="A1529" s="1"/>
      <c r="B1529" s="22">
        <f>IFERROR(__xludf.DUMMYFUNCTION("""COMPUTED_VALUE"""),43809.64583333333)</f>
        <v>43809.64583</v>
      </c>
      <c r="C1529" s="9">
        <f>IFERROR(__xludf.DUMMYFUNCTION("""COMPUTED_VALUE"""),713.0)</f>
        <v>713</v>
      </c>
      <c r="D1529" s="9">
        <f>IFERROR(__xludf.DUMMYFUNCTION("""COMPUTED_VALUE"""),718.5)</f>
        <v>718.5</v>
      </c>
      <c r="E1529" s="9">
        <f>IFERROR(__xludf.DUMMYFUNCTION("""COMPUTED_VALUE"""),710.0)</f>
        <v>710</v>
      </c>
      <c r="F1529" s="9">
        <f>IFERROR(__xludf.DUMMYFUNCTION("""COMPUTED_VALUE"""),714.55)</f>
        <v>714.55</v>
      </c>
      <c r="G1529" s="9">
        <f>IFERROR(__xludf.DUMMYFUNCTION("""COMPUTED_VALUE"""),4457939.0)</f>
        <v>4457939</v>
      </c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</row>
    <row r="1530">
      <c r="A1530" s="1"/>
      <c r="B1530" s="22">
        <f>IFERROR(__xludf.DUMMYFUNCTION("""COMPUTED_VALUE"""),43810.64583333333)</f>
        <v>43810.64583</v>
      </c>
      <c r="C1530" s="9">
        <f>IFERROR(__xludf.DUMMYFUNCTION("""COMPUTED_VALUE"""),716.6)</f>
        <v>716.6</v>
      </c>
      <c r="D1530" s="9">
        <f>IFERROR(__xludf.DUMMYFUNCTION("""COMPUTED_VALUE"""),722.7)</f>
        <v>722.7</v>
      </c>
      <c r="E1530" s="9">
        <f>IFERROR(__xludf.DUMMYFUNCTION("""COMPUTED_VALUE"""),713.0)</f>
        <v>713</v>
      </c>
      <c r="F1530" s="9">
        <f>IFERROR(__xludf.DUMMYFUNCTION("""COMPUTED_VALUE"""),721.05)</f>
        <v>721.05</v>
      </c>
      <c r="G1530" s="9">
        <f>IFERROR(__xludf.DUMMYFUNCTION("""COMPUTED_VALUE"""),6043554.0)</f>
        <v>6043554</v>
      </c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</row>
    <row r="1531">
      <c r="A1531" s="1"/>
      <c r="B1531" s="22">
        <f>IFERROR(__xludf.DUMMYFUNCTION("""COMPUTED_VALUE"""),43811.64583333333)</f>
        <v>43811.64583</v>
      </c>
      <c r="C1531" s="9">
        <f>IFERROR(__xludf.DUMMYFUNCTION("""COMPUTED_VALUE"""),718.5)</f>
        <v>718.5</v>
      </c>
      <c r="D1531" s="9">
        <f>IFERROR(__xludf.DUMMYFUNCTION("""COMPUTED_VALUE"""),720.7)</f>
        <v>720.7</v>
      </c>
      <c r="E1531" s="9">
        <f>IFERROR(__xludf.DUMMYFUNCTION("""COMPUTED_VALUE"""),699.55)</f>
        <v>699.55</v>
      </c>
      <c r="F1531" s="9">
        <f>IFERROR(__xludf.DUMMYFUNCTION("""COMPUTED_VALUE"""),702.1)</f>
        <v>702.1</v>
      </c>
      <c r="G1531" s="9">
        <f>IFERROR(__xludf.DUMMYFUNCTION("""COMPUTED_VALUE"""),1.1112042E7)</f>
        <v>11112042</v>
      </c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</row>
    <row r="1532">
      <c r="A1532" s="1"/>
      <c r="B1532" s="22">
        <f>IFERROR(__xludf.DUMMYFUNCTION("""COMPUTED_VALUE"""),43812.64583333333)</f>
        <v>43812.64583</v>
      </c>
      <c r="C1532" s="9">
        <f>IFERROR(__xludf.DUMMYFUNCTION("""COMPUTED_VALUE"""),700.35)</f>
        <v>700.35</v>
      </c>
      <c r="D1532" s="9">
        <f>IFERROR(__xludf.DUMMYFUNCTION("""COMPUTED_VALUE"""),712.9)</f>
        <v>712.9</v>
      </c>
      <c r="E1532" s="9">
        <f>IFERROR(__xludf.DUMMYFUNCTION("""COMPUTED_VALUE"""),700.35)</f>
        <v>700.35</v>
      </c>
      <c r="F1532" s="9">
        <f>IFERROR(__xludf.DUMMYFUNCTION("""COMPUTED_VALUE"""),711.3)</f>
        <v>711.3</v>
      </c>
      <c r="G1532" s="9">
        <f>IFERROR(__xludf.DUMMYFUNCTION("""COMPUTED_VALUE"""),1.0302412E7)</f>
        <v>10302412</v>
      </c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</row>
    <row r="1533">
      <c r="A1533" s="1"/>
      <c r="B1533" s="22">
        <f>IFERROR(__xludf.DUMMYFUNCTION("""COMPUTED_VALUE"""),43815.64583333333)</f>
        <v>43815.64583</v>
      </c>
      <c r="C1533" s="9">
        <f>IFERROR(__xludf.DUMMYFUNCTION("""COMPUTED_VALUE"""),712.3)</f>
        <v>712.3</v>
      </c>
      <c r="D1533" s="9">
        <f>IFERROR(__xludf.DUMMYFUNCTION("""COMPUTED_VALUE"""),720.2)</f>
        <v>720.2</v>
      </c>
      <c r="E1533" s="9">
        <f>IFERROR(__xludf.DUMMYFUNCTION("""COMPUTED_VALUE"""),710.2)</f>
        <v>710.2</v>
      </c>
      <c r="F1533" s="9">
        <f>IFERROR(__xludf.DUMMYFUNCTION("""COMPUTED_VALUE"""),714.0)</f>
        <v>714</v>
      </c>
      <c r="G1533" s="9">
        <f>IFERROR(__xludf.DUMMYFUNCTION("""COMPUTED_VALUE"""),5616324.0)</f>
        <v>5616324</v>
      </c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</row>
    <row r="1534">
      <c r="A1534" s="1"/>
      <c r="B1534" s="22">
        <f>IFERROR(__xludf.DUMMYFUNCTION("""COMPUTED_VALUE"""),43816.64583333333)</f>
        <v>43816.64583</v>
      </c>
      <c r="C1534" s="9">
        <f>IFERROR(__xludf.DUMMYFUNCTION("""COMPUTED_VALUE"""),719.7)</f>
        <v>719.7</v>
      </c>
      <c r="D1534" s="9">
        <f>IFERROR(__xludf.DUMMYFUNCTION("""COMPUTED_VALUE"""),731.25)</f>
        <v>731.25</v>
      </c>
      <c r="E1534" s="9">
        <f>IFERROR(__xludf.DUMMYFUNCTION("""COMPUTED_VALUE"""),715.0)</f>
        <v>715</v>
      </c>
      <c r="F1534" s="9">
        <f>IFERROR(__xludf.DUMMYFUNCTION("""COMPUTED_VALUE"""),729.7)</f>
        <v>729.7</v>
      </c>
      <c r="G1534" s="9">
        <f>IFERROR(__xludf.DUMMYFUNCTION("""COMPUTED_VALUE"""),1.0525565E7)</f>
        <v>10525565</v>
      </c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  <row r="1535">
      <c r="A1535" s="1"/>
      <c r="B1535" s="22">
        <f>IFERROR(__xludf.DUMMYFUNCTION("""COMPUTED_VALUE"""),43817.64583333333)</f>
        <v>43817.64583</v>
      </c>
      <c r="C1535" s="9">
        <f>IFERROR(__xludf.DUMMYFUNCTION("""COMPUTED_VALUE"""),731.0)</f>
        <v>731</v>
      </c>
      <c r="D1535" s="9">
        <f>IFERROR(__xludf.DUMMYFUNCTION("""COMPUTED_VALUE"""),737.3)</f>
        <v>737.3</v>
      </c>
      <c r="E1535" s="9">
        <f>IFERROR(__xludf.DUMMYFUNCTION("""COMPUTED_VALUE"""),722.75)</f>
        <v>722.75</v>
      </c>
      <c r="F1535" s="9">
        <f>IFERROR(__xludf.DUMMYFUNCTION("""COMPUTED_VALUE"""),732.45)</f>
        <v>732.45</v>
      </c>
      <c r="G1535" s="9">
        <f>IFERROR(__xludf.DUMMYFUNCTION("""COMPUTED_VALUE"""),1.2215295E7)</f>
        <v>12215295</v>
      </c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</row>
    <row r="1536">
      <c r="A1536" s="1"/>
      <c r="B1536" s="22">
        <f>IFERROR(__xludf.DUMMYFUNCTION("""COMPUTED_VALUE"""),43818.64583333333)</f>
        <v>43818.64583</v>
      </c>
      <c r="C1536" s="9">
        <f>IFERROR(__xludf.DUMMYFUNCTION("""COMPUTED_VALUE"""),733.5)</f>
        <v>733.5</v>
      </c>
      <c r="D1536" s="9">
        <f>IFERROR(__xludf.DUMMYFUNCTION("""COMPUTED_VALUE"""),735.95)</f>
        <v>735.95</v>
      </c>
      <c r="E1536" s="9">
        <f>IFERROR(__xludf.DUMMYFUNCTION("""COMPUTED_VALUE"""),724.6)</f>
        <v>724.6</v>
      </c>
      <c r="F1536" s="9">
        <f>IFERROR(__xludf.DUMMYFUNCTION("""COMPUTED_VALUE"""),730.85)</f>
        <v>730.85</v>
      </c>
      <c r="G1536" s="9">
        <f>IFERROR(__xludf.DUMMYFUNCTION("""COMPUTED_VALUE"""),7199210.0)</f>
        <v>7199210</v>
      </c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</row>
    <row r="1537">
      <c r="A1537" s="1"/>
      <c r="B1537" s="22">
        <f>IFERROR(__xludf.DUMMYFUNCTION("""COMPUTED_VALUE"""),43819.64583333333)</f>
        <v>43819.64583</v>
      </c>
      <c r="C1537" s="9">
        <f>IFERROR(__xludf.DUMMYFUNCTION("""COMPUTED_VALUE"""),731.0)</f>
        <v>731</v>
      </c>
      <c r="D1537" s="9">
        <f>IFERROR(__xludf.DUMMYFUNCTION("""COMPUTED_VALUE"""),735.0)</f>
        <v>735</v>
      </c>
      <c r="E1537" s="9">
        <f>IFERROR(__xludf.DUMMYFUNCTION("""COMPUTED_VALUE"""),728.25)</f>
        <v>728.25</v>
      </c>
      <c r="F1537" s="9">
        <f>IFERROR(__xludf.DUMMYFUNCTION("""COMPUTED_VALUE"""),731.55)</f>
        <v>731.55</v>
      </c>
      <c r="G1537" s="9">
        <f>IFERROR(__xludf.DUMMYFUNCTION("""COMPUTED_VALUE"""),7794167.0)</f>
        <v>7794167</v>
      </c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</row>
    <row r="1538">
      <c r="A1538" s="1"/>
      <c r="B1538" s="22">
        <f>IFERROR(__xludf.DUMMYFUNCTION("""COMPUTED_VALUE"""),43822.64583333333)</f>
        <v>43822.64583</v>
      </c>
      <c r="C1538" s="9">
        <f>IFERROR(__xludf.DUMMYFUNCTION("""COMPUTED_VALUE"""),732.15)</f>
        <v>732.15</v>
      </c>
      <c r="D1538" s="9">
        <f>IFERROR(__xludf.DUMMYFUNCTION("""COMPUTED_VALUE"""),737.3)</f>
        <v>737.3</v>
      </c>
      <c r="E1538" s="9">
        <f>IFERROR(__xludf.DUMMYFUNCTION("""COMPUTED_VALUE"""),731.65)</f>
        <v>731.65</v>
      </c>
      <c r="F1538" s="9">
        <f>IFERROR(__xludf.DUMMYFUNCTION("""COMPUTED_VALUE"""),736.0)</f>
        <v>736</v>
      </c>
      <c r="G1538" s="9">
        <f>IFERROR(__xludf.DUMMYFUNCTION("""COMPUTED_VALUE"""),4975608.0)</f>
        <v>4975608</v>
      </c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</row>
    <row r="1539">
      <c r="A1539" s="1"/>
      <c r="B1539" s="22">
        <f>IFERROR(__xludf.DUMMYFUNCTION("""COMPUTED_VALUE"""),43823.64583333333)</f>
        <v>43823.64583</v>
      </c>
      <c r="C1539" s="9">
        <f>IFERROR(__xludf.DUMMYFUNCTION("""COMPUTED_VALUE"""),736.95)</f>
        <v>736.95</v>
      </c>
      <c r="D1539" s="9">
        <f>IFERROR(__xludf.DUMMYFUNCTION("""COMPUTED_VALUE"""),736.95)</f>
        <v>736.95</v>
      </c>
      <c r="E1539" s="9">
        <f>IFERROR(__xludf.DUMMYFUNCTION("""COMPUTED_VALUE"""),728.3)</f>
        <v>728.3</v>
      </c>
      <c r="F1539" s="9">
        <f>IFERROR(__xludf.DUMMYFUNCTION("""COMPUTED_VALUE"""),733.4)</f>
        <v>733.4</v>
      </c>
      <c r="G1539" s="9">
        <f>IFERROR(__xludf.DUMMYFUNCTION("""COMPUTED_VALUE"""),2890759.0)</f>
        <v>2890759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</row>
    <row r="1540">
      <c r="A1540" s="1"/>
      <c r="B1540" s="22">
        <f>IFERROR(__xludf.DUMMYFUNCTION("""COMPUTED_VALUE"""),43825.64583333333)</f>
        <v>43825.64583</v>
      </c>
      <c r="C1540" s="9">
        <f>IFERROR(__xludf.DUMMYFUNCTION("""COMPUTED_VALUE"""),732.0)</f>
        <v>732</v>
      </c>
      <c r="D1540" s="9">
        <f>IFERROR(__xludf.DUMMYFUNCTION("""COMPUTED_VALUE"""),734.55)</f>
        <v>734.55</v>
      </c>
      <c r="E1540" s="9">
        <f>IFERROR(__xludf.DUMMYFUNCTION("""COMPUTED_VALUE"""),726.55)</f>
        <v>726.55</v>
      </c>
      <c r="F1540" s="9">
        <f>IFERROR(__xludf.DUMMYFUNCTION("""COMPUTED_VALUE"""),728.95)</f>
        <v>728.95</v>
      </c>
      <c r="G1540" s="9">
        <f>IFERROR(__xludf.DUMMYFUNCTION("""COMPUTED_VALUE"""),3821806.0)</f>
        <v>3821806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</row>
    <row r="1541">
      <c r="A1541" s="1"/>
      <c r="B1541" s="22">
        <f>IFERROR(__xludf.DUMMYFUNCTION("""COMPUTED_VALUE"""),43826.64583333333)</f>
        <v>43826.64583</v>
      </c>
      <c r="C1541" s="9">
        <f>IFERROR(__xludf.DUMMYFUNCTION("""COMPUTED_VALUE"""),729.75)</f>
        <v>729.75</v>
      </c>
      <c r="D1541" s="9">
        <f>IFERROR(__xludf.DUMMYFUNCTION("""COMPUTED_VALUE"""),737.5)</f>
        <v>737.5</v>
      </c>
      <c r="E1541" s="9">
        <f>IFERROR(__xludf.DUMMYFUNCTION("""COMPUTED_VALUE"""),728.85)</f>
        <v>728.85</v>
      </c>
      <c r="F1541" s="9">
        <f>IFERROR(__xludf.DUMMYFUNCTION("""COMPUTED_VALUE"""),736.95)</f>
        <v>736.95</v>
      </c>
      <c r="G1541" s="9">
        <f>IFERROR(__xludf.DUMMYFUNCTION("""COMPUTED_VALUE"""),3399094.0)</f>
        <v>3399094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</row>
    <row r="1542">
      <c r="A1542" s="1"/>
      <c r="B1542" s="22">
        <f>IFERROR(__xludf.DUMMYFUNCTION("""COMPUTED_VALUE"""),43829.64583333333)</f>
        <v>43829.64583</v>
      </c>
      <c r="C1542" s="9">
        <f>IFERROR(__xludf.DUMMYFUNCTION("""COMPUTED_VALUE"""),736.1)</f>
        <v>736.1</v>
      </c>
      <c r="D1542" s="9">
        <f>IFERROR(__xludf.DUMMYFUNCTION("""COMPUTED_VALUE"""),737.95)</f>
        <v>737.95</v>
      </c>
      <c r="E1542" s="9">
        <f>IFERROR(__xludf.DUMMYFUNCTION("""COMPUTED_VALUE"""),727.25)</f>
        <v>727.25</v>
      </c>
      <c r="F1542" s="9">
        <f>IFERROR(__xludf.DUMMYFUNCTION("""COMPUTED_VALUE"""),732.9)</f>
        <v>732.9</v>
      </c>
      <c r="G1542" s="9">
        <f>IFERROR(__xludf.DUMMYFUNCTION("""COMPUTED_VALUE"""),5368416.0)</f>
        <v>5368416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</row>
    <row r="1543">
      <c r="A1543" s="1"/>
      <c r="B1543" s="22">
        <f>IFERROR(__xludf.DUMMYFUNCTION("""COMPUTED_VALUE"""),43830.64583333333)</f>
        <v>43830.64583</v>
      </c>
      <c r="C1543" s="9">
        <f>IFERROR(__xludf.DUMMYFUNCTION("""COMPUTED_VALUE"""),729.7)</f>
        <v>729.7</v>
      </c>
      <c r="D1543" s="9">
        <f>IFERROR(__xludf.DUMMYFUNCTION("""COMPUTED_VALUE"""),737.75)</f>
        <v>737.75</v>
      </c>
      <c r="E1543" s="9">
        <f>IFERROR(__xludf.DUMMYFUNCTION("""COMPUTED_VALUE"""),725.45)</f>
        <v>725.45</v>
      </c>
      <c r="F1543" s="9">
        <f>IFERROR(__xludf.DUMMYFUNCTION("""COMPUTED_VALUE"""),731.15)</f>
        <v>731.15</v>
      </c>
      <c r="G1543" s="9">
        <f>IFERROR(__xludf.DUMMYFUNCTION("""COMPUTED_VALUE"""),6927885.0)</f>
        <v>6927885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</row>
    <row r="1544">
      <c r="A1544" s="1"/>
      <c r="B1544" s="22">
        <f>IFERROR(__xludf.DUMMYFUNCTION("""COMPUTED_VALUE"""),43831.64583333333)</f>
        <v>43831.64583</v>
      </c>
      <c r="C1544" s="9">
        <f>IFERROR(__xludf.DUMMYFUNCTION("""COMPUTED_VALUE"""),735.0)</f>
        <v>735</v>
      </c>
      <c r="D1544" s="9">
        <f>IFERROR(__xludf.DUMMYFUNCTION("""COMPUTED_VALUE"""),740.0)</f>
        <v>740</v>
      </c>
      <c r="E1544" s="9">
        <f>IFERROR(__xludf.DUMMYFUNCTION("""COMPUTED_VALUE"""),732.55)</f>
        <v>732.55</v>
      </c>
      <c r="F1544" s="9">
        <f>IFERROR(__xludf.DUMMYFUNCTION("""COMPUTED_VALUE"""),736.85)</f>
        <v>736.85</v>
      </c>
      <c r="G1544" s="9">
        <f>IFERROR(__xludf.DUMMYFUNCTION("""COMPUTED_VALUE"""),2112415.0)</f>
        <v>2112415</v>
      </c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</row>
    <row r="1545">
      <c r="A1545" s="1"/>
      <c r="B1545" s="22">
        <f>IFERROR(__xludf.DUMMYFUNCTION("""COMPUTED_VALUE"""),43832.64583333333)</f>
        <v>43832.64583</v>
      </c>
      <c r="C1545" s="9">
        <f>IFERROR(__xludf.DUMMYFUNCTION("""COMPUTED_VALUE"""),738.9)</f>
        <v>738.9</v>
      </c>
      <c r="D1545" s="9">
        <f>IFERROR(__xludf.DUMMYFUNCTION("""COMPUTED_VALUE"""),740.8)</f>
        <v>740.8</v>
      </c>
      <c r="E1545" s="9">
        <f>IFERROR(__xludf.DUMMYFUNCTION("""COMPUTED_VALUE"""),730.9)</f>
        <v>730.9</v>
      </c>
      <c r="F1545" s="9">
        <f>IFERROR(__xludf.DUMMYFUNCTION("""COMPUTED_VALUE"""),734.7)</f>
        <v>734.7</v>
      </c>
      <c r="G1545" s="9">
        <f>IFERROR(__xludf.DUMMYFUNCTION("""COMPUTED_VALUE"""),5658200.0)</f>
        <v>5658200</v>
      </c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</row>
    <row r="1546">
      <c r="A1546" s="1"/>
      <c r="B1546" s="22">
        <f>IFERROR(__xludf.DUMMYFUNCTION("""COMPUTED_VALUE"""),43833.64583333333)</f>
        <v>43833.64583</v>
      </c>
      <c r="C1546" s="9">
        <f>IFERROR(__xludf.DUMMYFUNCTION("""COMPUTED_VALUE"""),733.9)</f>
        <v>733.9</v>
      </c>
      <c r="D1546" s="9">
        <f>IFERROR(__xludf.DUMMYFUNCTION("""COMPUTED_VALUE"""),748.0)</f>
        <v>748</v>
      </c>
      <c r="E1546" s="9">
        <f>IFERROR(__xludf.DUMMYFUNCTION("""COMPUTED_VALUE"""),733.9)</f>
        <v>733.9</v>
      </c>
      <c r="F1546" s="9">
        <f>IFERROR(__xludf.DUMMYFUNCTION("""COMPUTED_VALUE"""),746.0)</f>
        <v>746</v>
      </c>
      <c r="G1546" s="9">
        <f>IFERROR(__xludf.DUMMYFUNCTION("""COMPUTED_VALUE"""),7882938.0)</f>
        <v>7882938</v>
      </c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</row>
    <row r="1547">
      <c r="A1547" s="1"/>
      <c r="B1547" s="22">
        <f>IFERROR(__xludf.DUMMYFUNCTION("""COMPUTED_VALUE"""),43836.64583333333)</f>
        <v>43836.64583</v>
      </c>
      <c r="C1547" s="9">
        <f>IFERROR(__xludf.DUMMYFUNCTION("""COMPUTED_VALUE"""),746.1)</f>
        <v>746.1</v>
      </c>
      <c r="D1547" s="9">
        <f>IFERROR(__xludf.DUMMYFUNCTION("""COMPUTED_VALUE"""),753.8)</f>
        <v>753.8</v>
      </c>
      <c r="E1547" s="9">
        <f>IFERROR(__xludf.DUMMYFUNCTION("""COMPUTED_VALUE"""),736.5)</f>
        <v>736.5</v>
      </c>
      <c r="F1547" s="9">
        <f>IFERROR(__xludf.DUMMYFUNCTION("""COMPUTED_VALUE"""),738.85)</f>
        <v>738.85</v>
      </c>
      <c r="G1547" s="9">
        <f>IFERROR(__xludf.DUMMYFUNCTION("""COMPUTED_VALUE"""),6519403.0)</f>
        <v>6519403</v>
      </c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</row>
    <row r="1548">
      <c r="A1548" s="1"/>
      <c r="B1548" s="22">
        <f>IFERROR(__xludf.DUMMYFUNCTION("""COMPUTED_VALUE"""),43837.64583333333)</f>
        <v>43837.64583</v>
      </c>
      <c r="C1548" s="9">
        <f>IFERROR(__xludf.DUMMYFUNCTION("""COMPUTED_VALUE"""),738.0)</f>
        <v>738</v>
      </c>
      <c r="D1548" s="9">
        <f>IFERROR(__xludf.DUMMYFUNCTION("""COMPUTED_VALUE"""),742.6)</f>
        <v>742.6</v>
      </c>
      <c r="E1548" s="9">
        <f>IFERROR(__xludf.DUMMYFUNCTION("""COMPUTED_VALUE"""),725.1)</f>
        <v>725.1</v>
      </c>
      <c r="F1548" s="9">
        <f>IFERROR(__xludf.DUMMYFUNCTION("""COMPUTED_VALUE"""),727.9)</f>
        <v>727.9</v>
      </c>
      <c r="G1548" s="9">
        <f>IFERROR(__xludf.DUMMYFUNCTION("""COMPUTED_VALUE"""),7899363.0)</f>
        <v>7899363</v>
      </c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</row>
    <row r="1549">
      <c r="A1549" s="1"/>
      <c r="B1549" s="22">
        <f>IFERROR(__xludf.DUMMYFUNCTION("""COMPUTED_VALUE"""),43838.64583333333)</f>
        <v>43838.64583</v>
      </c>
      <c r="C1549" s="9">
        <f>IFERROR(__xludf.DUMMYFUNCTION("""COMPUTED_VALUE"""),724.95)</f>
        <v>724.95</v>
      </c>
      <c r="D1549" s="9">
        <f>IFERROR(__xludf.DUMMYFUNCTION("""COMPUTED_VALUE"""),729.0)</f>
        <v>729</v>
      </c>
      <c r="E1549" s="9">
        <f>IFERROR(__xludf.DUMMYFUNCTION("""COMPUTED_VALUE"""),708.3)</f>
        <v>708.3</v>
      </c>
      <c r="F1549" s="9">
        <f>IFERROR(__xludf.DUMMYFUNCTION("""COMPUTED_VALUE"""),718.2)</f>
        <v>718.2</v>
      </c>
      <c r="G1549" s="9">
        <f>IFERROR(__xludf.DUMMYFUNCTION("""COMPUTED_VALUE"""),8639443.0)</f>
        <v>8639443</v>
      </c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</row>
    <row r="1550">
      <c r="A1550" s="1"/>
      <c r="B1550" s="22">
        <f>IFERROR(__xludf.DUMMYFUNCTION("""COMPUTED_VALUE"""),43839.64583333333)</f>
        <v>43839.64583</v>
      </c>
      <c r="C1550" s="9">
        <f>IFERROR(__xludf.DUMMYFUNCTION("""COMPUTED_VALUE"""),721.7)</f>
        <v>721.7</v>
      </c>
      <c r="D1550" s="9">
        <f>IFERROR(__xludf.DUMMYFUNCTION("""COMPUTED_VALUE"""),731.5)</f>
        <v>731.5</v>
      </c>
      <c r="E1550" s="9">
        <f>IFERROR(__xludf.DUMMYFUNCTION("""COMPUTED_VALUE"""),714.3)</f>
        <v>714.3</v>
      </c>
      <c r="F1550" s="9">
        <f>IFERROR(__xludf.DUMMYFUNCTION("""COMPUTED_VALUE"""),727.55)</f>
        <v>727.55</v>
      </c>
      <c r="G1550" s="9">
        <f>IFERROR(__xludf.DUMMYFUNCTION("""COMPUTED_VALUE"""),1.3521186E7)</f>
        <v>13521186</v>
      </c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</row>
    <row r="1551">
      <c r="A1551" s="1"/>
      <c r="B1551" s="22">
        <f>IFERROR(__xludf.DUMMYFUNCTION("""COMPUTED_VALUE"""),43840.64583333333)</f>
        <v>43840.64583</v>
      </c>
      <c r="C1551" s="9">
        <f>IFERROR(__xludf.DUMMYFUNCTION("""COMPUTED_VALUE"""),740.45)</f>
        <v>740.45</v>
      </c>
      <c r="D1551" s="9">
        <f>IFERROR(__xludf.DUMMYFUNCTION("""COMPUTED_VALUE"""),742.9)</f>
        <v>742.9</v>
      </c>
      <c r="E1551" s="9">
        <f>IFERROR(__xludf.DUMMYFUNCTION("""COMPUTED_VALUE"""),730.5)</f>
        <v>730.5</v>
      </c>
      <c r="F1551" s="9">
        <f>IFERROR(__xludf.DUMMYFUNCTION("""COMPUTED_VALUE"""),738.15)</f>
        <v>738.15</v>
      </c>
      <c r="G1551" s="9">
        <f>IFERROR(__xludf.DUMMYFUNCTION("""COMPUTED_VALUE"""),9341405.0)</f>
        <v>9341405</v>
      </c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</row>
    <row r="1552">
      <c r="A1552" s="1"/>
      <c r="B1552" s="22">
        <f>IFERROR(__xludf.DUMMYFUNCTION("""COMPUTED_VALUE"""),43843.64583333333)</f>
        <v>43843.64583</v>
      </c>
      <c r="C1552" s="9">
        <f>IFERROR(__xludf.DUMMYFUNCTION("""COMPUTED_VALUE"""),760.0)</f>
        <v>760</v>
      </c>
      <c r="D1552" s="9">
        <f>IFERROR(__xludf.DUMMYFUNCTION("""COMPUTED_VALUE"""),777.5)</f>
        <v>777.5</v>
      </c>
      <c r="E1552" s="9">
        <f>IFERROR(__xludf.DUMMYFUNCTION("""COMPUTED_VALUE"""),755.0)</f>
        <v>755</v>
      </c>
      <c r="F1552" s="9">
        <f>IFERROR(__xludf.DUMMYFUNCTION("""COMPUTED_VALUE"""),773.55)</f>
        <v>773.55</v>
      </c>
      <c r="G1552" s="9">
        <f>IFERROR(__xludf.DUMMYFUNCTION("""COMPUTED_VALUE"""),3.6952038E7)</f>
        <v>36952038</v>
      </c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</row>
    <row r="1553">
      <c r="A1553" s="1"/>
      <c r="B1553" s="22">
        <f>IFERROR(__xludf.DUMMYFUNCTION("""COMPUTED_VALUE"""),43844.64583333333)</f>
        <v>43844.64583</v>
      </c>
      <c r="C1553" s="9">
        <f>IFERROR(__xludf.DUMMYFUNCTION("""COMPUTED_VALUE"""),769.95)</f>
        <v>769.95</v>
      </c>
      <c r="D1553" s="9">
        <f>IFERROR(__xludf.DUMMYFUNCTION("""COMPUTED_VALUE"""),776.95)</f>
        <v>776.95</v>
      </c>
      <c r="E1553" s="9">
        <f>IFERROR(__xludf.DUMMYFUNCTION("""COMPUTED_VALUE"""),767.2)</f>
        <v>767.2</v>
      </c>
      <c r="F1553" s="9">
        <f>IFERROR(__xludf.DUMMYFUNCTION("""COMPUTED_VALUE"""),775.65)</f>
        <v>775.65</v>
      </c>
      <c r="G1553" s="9">
        <f>IFERROR(__xludf.DUMMYFUNCTION("""COMPUTED_VALUE"""),1.1414418E7)</f>
        <v>11414418</v>
      </c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</row>
    <row r="1554">
      <c r="A1554" s="1"/>
      <c r="B1554" s="22">
        <f>IFERROR(__xludf.DUMMYFUNCTION("""COMPUTED_VALUE"""),43845.64583333333)</f>
        <v>43845.64583</v>
      </c>
      <c r="C1554" s="9">
        <f>IFERROR(__xludf.DUMMYFUNCTION("""COMPUTED_VALUE"""),773.85)</f>
        <v>773.85</v>
      </c>
      <c r="D1554" s="9">
        <f>IFERROR(__xludf.DUMMYFUNCTION("""COMPUTED_VALUE"""),773.85)</f>
        <v>773.85</v>
      </c>
      <c r="E1554" s="9">
        <f>IFERROR(__xludf.DUMMYFUNCTION("""COMPUTED_VALUE"""),762.15)</f>
        <v>762.15</v>
      </c>
      <c r="F1554" s="9">
        <f>IFERROR(__xludf.DUMMYFUNCTION("""COMPUTED_VALUE"""),767.55)</f>
        <v>767.55</v>
      </c>
      <c r="G1554" s="9">
        <f>IFERROR(__xludf.DUMMYFUNCTION("""COMPUTED_VALUE"""),6047430.0)</f>
        <v>6047430</v>
      </c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</row>
    <row r="1555">
      <c r="A1555" s="1"/>
      <c r="B1555" s="22">
        <f>IFERROR(__xludf.DUMMYFUNCTION("""COMPUTED_VALUE"""),43846.64583333333)</f>
        <v>43846.64583</v>
      </c>
      <c r="C1555" s="9">
        <f>IFERROR(__xludf.DUMMYFUNCTION("""COMPUTED_VALUE"""),770.7)</f>
        <v>770.7</v>
      </c>
      <c r="D1555" s="9">
        <f>IFERROR(__xludf.DUMMYFUNCTION("""COMPUTED_VALUE"""),772.5)</f>
        <v>772.5</v>
      </c>
      <c r="E1555" s="9">
        <f>IFERROR(__xludf.DUMMYFUNCTION("""COMPUTED_VALUE"""),760.25)</f>
        <v>760.25</v>
      </c>
      <c r="F1555" s="9">
        <f>IFERROR(__xludf.DUMMYFUNCTION("""COMPUTED_VALUE"""),767.0)</f>
        <v>767</v>
      </c>
      <c r="G1555" s="9">
        <f>IFERROR(__xludf.DUMMYFUNCTION("""COMPUTED_VALUE"""),5740586.0)</f>
        <v>5740586</v>
      </c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</row>
    <row r="1556">
      <c r="A1556" s="1"/>
      <c r="B1556" s="22">
        <f>IFERROR(__xludf.DUMMYFUNCTION("""COMPUTED_VALUE"""),43847.64583333333)</f>
        <v>43847.64583</v>
      </c>
      <c r="C1556" s="9">
        <f>IFERROR(__xludf.DUMMYFUNCTION("""COMPUTED_VALUE"""),770.7)</f>
        <v>770.7</v>
      </c>
      <c r="D1556" s="9">
        <f>IFERROR(__xludf.DUMMYFUNCTION("""COMPUTED_VALUE"""),772.9)</f>
        <v>772.9</v>
      </c>
      <c r="E1556" s="9">
        <f>IFERROR(__xludf.DUMMYFUNCTION("""COMPUTED_VALUE"""),762.25)</f>
        <v>762.25</v>
      </c>
      <c r="F1556" s="9">
        <f>IFERROR(__xludf.DUMMYFUNCTION("""COMPUTED_VALUE"""),767.85)</f>
        <v>767.85</v>
      </c>
      <c r="G1556" s="9">
        <f>IFERROR(__xludf.DUMMYFUNCTION("""COMPUTED_VALUE"""),3762957.0)</f>
        <v>3762957</v>
      </c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</row>
    <row r="1557">
      <c r="A1557" s="1"/>
      <c r="B1557" s="22">
        <f>IFERROR(__xludf.DUMMYFUNCTION("""COMPUTED_VALUE"""),43850.64583333333)</f>
        <v>43850.64583</v>
      </c>
      <c r="C1557" s="9">
        <f>IFERROR(__xludf.DUMMYFUNCTION("""COMPUTED_VALUE"""),771.6)</f>
        <v>771.6</v>
      </c>
      <c r="D1557" s="9">
        <f>IFERROR(__xludf.DUMMYFUNCTION("""COMPUTED_VALUE"""),774.4)</f>
        <v>774.4</v>
      </c>
      <c r="E1557" s="9">
        <f>IFERROR(__xludf.DUMMYFUNCTION("""COMPUTED_VALUE"""),762.95)</f>
        <v>762.95</v>
      </c>
      <c r="F1557" s="9">
        <f>IFERROR(__xludf.DUMMYFUNCTION("""COMPUTED_VALUE"""),768.45)</f>
        <v>768.45</v>
      </c>
      <c r="G1557" s="9">
        <f>IFERROR(__xludf.DUMMYFUNCTION("""COMPUTED_VALUE"""),3887680.0)</f>
        <v>3887680</v>
      </c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</row>
    <row r="1558">
      <c r="A1558" s="1"/>
      <c r="B1558" s="22">
        <f>IFERROR(__xludf.DUMMYFUNCTION("""COMPUTED_VALUE"""),43851.64583333333)</f>
        <v>43851.64583</v>
      </c>
      <c r="C1558" s="9">
        <f>IFERROR(__xludf.DUMMYFUNCTION("""COMPUTED_VALUE"""),768.45)</f>
        <v>768.45</v>
      </c>
      <c r="D1558" s="9">
        <f>IFERROR(__xludf.DUMMYFUNCTION("""COMPUTED_VALUE"""),770.5)</f>
        <v>770.5</v>
      </c>
      <c r="E1558" s="9">
        <f>IFERROR(__xludf.DUMMYFUNCTION("""COMPUTED_VALUE"""),760.75)</f>
        <v>760.75</v>
      </c>
      <c r="F1558" s="9">
        <f>IFERROR(__xludf.DUMMYFUNCTION("""COMPUTED_VALUE"""),762.5)</f>
        <v>762.5</v>
      </c>
      <c r="G1558" s="9">
        <f>IFERROR(__xludf.DUMMYFUNCTION("""COMPUTED_VALUE"""),4448374.0)</f>
        <v>4448374</v>
      </c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</row>
    <row r="1559">
      <c r="A1559" s="1"/>
      <c r="B1559" s="22">
        <f>IFERROR(__xludf.DUMMYFUNCTION("""COMPUTED_VALUE"""),43852.64583333333)</f>
        <v>43852.64583</v>
      </c>
      <c r="C1559" s="9">
        <f>IFERROR(__xludf.DUMMYFUNCTION("""COMPUTED_VALUE"""),768.45)</f>
        <v>768.45</v>
      </c>
      <c r="D1559" s="9">
        <f>IFERROR(__xludf.DUMMYFUNCTION("""COMPUTED_VALUE"""),778.0)</f>
        <v>778</v>
      </c>
      <c r="E1559" s="9">
        <f>IFERROR(__xludf.DUMMYFUNCTION("""COMPUTED_VALUE"""),766.0)</f>
        <v>766</v>
      </c>
      <c r="F1559" s="9">
        <f>IFERROR(__xludf.DUMMYFUNCTION("""COMPUTED_VALUE"""),770.2)</f>
        <v>770.2</v>
      </c>
      <c r="G1559" s="9">
        <f>IFERROR(__xludf.DUMMYFUNCTION("""COMPUTED_VALUE"""),9733935.0)</f>
        <v>9733935</v>
      </c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</row>
    <row r="1560">
      <c r="A1560" s="1"/>
      <c r="B1560" s="22">
        <f>IFERROR(__xludf.DUMMYFUNCTION("""COMPUTED_VALUE"""),43853.64583333333)</f>
        <v>43853.64583</v>
      </c>
      <c r="C1560" s="9">
        <f>IFERROR(__xludf.DUMMYFUNCTION("""COMPUTED_VALUE"""),777.1)</f>
        <v>777.1</v>
      </c>
      <c r="D1560" s="9">
        <f>IFERROR(__xludf.DUMMYFUNCTION("""COMPUTED_VALUE"""),785.5)</f>
        <v>785.5</v>
      </c>
      <c r="E1560" s="9">
        <f>IFERROR(__xludf.DUMMYFUNCTION("""COMPUTED_VALUE"""),776.7)</f>
        <v>776.7</v>
      </c>
      <c r="F1560" s="9">
        <f>IFERROR(__xludf.DUMMYFUNCTION("""COMPUTED_VALUE"""),784.35)</f>
        <v>784.35</v>
      </c>
      <c r="G1560" s="9">
        <f>IFERROR(__xludf.DUMMYFUNCTION("""COMPUTED_VALUE"""),1.2528017E7)</f>
        <v>12528017</v>
      </c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</row>
    <row r="1561">
      <c r="A1561" s="1"/>
      <c r="B1561" s="22">
        <f>IFERROR(__xludf.DUMMYFUNCTION("""COMPUTED_VALUE"""),43854.64583333333)</f>
        <v>43854.64583</v>
      </c>
      <c r="C1561" s="9">
        <f>IFERROR(__xludf.DUMMYFUNCTION("""COMPUTED_VALUE"""),775.75)</f>
        <v>775.75</v>
      </c>
      <c r="D1561" s="9">
        <f>IFERROR(__xludf.DUMMYFUNCTION("""COMPUTED_VALUE"""),786.5)</f>
        <v>786.5</v>
      </c>
      <c r="E1561" s="9">
        <f>IFERROR(__xludf.DUMMYFUNCTION("""COMPUTED_VALUE"""),773.6)</f>
        <v>773.6</v>
      </c>
      <c r="F1561" s="9">
        <f>IFERROR(__xludf.DUMMYFUNCTION("""COMPUTED_VALUE"""),782.75)</f>
        <v>782.75</v>
      </c>
      <c r="G1561" s="9">
        <f>IFERROR(__xludf.DUMMYFUNCTION("""COMPUTED_VALUE"""),7540490.0)</f>
        <v>7540490</v>
      </c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</row>
    <row r="1562">
      <c r="A1562" s="1"/>
      <c r="B1562" s="22">
        <f>IFERROR(__xludf.DUMMYFUNCTION("""COMPUTED_VALUE"""),43857.64583333333)</f>
        <v>43857.64583</v>
      </c>
      <c r="C1562" s="9">
        <f>IFERROR(__xludf.DUMMYFUNCTION("""COMPUTED_VALUE"""),779.05)</f>
        <v>779.05</v>
      </c>
      <c r="D1562" s="9">
        <f>IFERROR(__xludf.DUMMYFUNCTION("""COMPUTED_VALUE"""),784.8)</f>
        <v>784.8</v>
      </c>
      <c r="E1562" s="9">
        <f>IFERROR(__xludf.DUMMYFUNCTION("""COMPUTED_VALUE"""),774.4)</f>
        <v>774.4</v>
      </c>
      <c r="F1562" s="9">
        <f>IFERROR(__xludf.DUMMYFUNCTION("""COMPUTED_VALUE"""),778.1)</f>
        <v>778.1</v>
      </c>
      <c r="G1562" s="9">
        <f>IFERROR(__xludf.DUMMYFUNCTION("""COMPUTED_VALUE"""),3741610.0)</f>
        <v>3741610</v>
      </c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</row>
    <row r="1563">
      <c r="A1563" s="1"/>
      <c r="B1563" s="22">
        <f>IFERROR(__xludf.DUMMYFUNCTION("""COMPUTED_VALUE"""),43858.64583333333)</f>
        <v>43858.64583</v>
      </c>
      <c r="C1563" s="9">
        <f>IFERROR(__xludf.DUMMYFUNCTION("""COMPUTED_VALUE"""),781.0)</f>
        <v>781</v>
      </c>
      <c r="D1563" s="9">
        <f>IFERROR(__xludf.DUMMYFUNCTION("""COMPUTED_VALUE"""),781.8)</f>
        <v>781.8</v>
      </c>
      <c r="E1563" s="9">
        <f>IFERROR(__xludf.DUMMYFUNCTION("""COMPUTED_VALUE"""),772.0)</f>
        <v>772</v>
      </c>
      <c r="F1563" s="9">
        <f>IFERROR(__xludf.DUMMYFUNCTION("""COMPUTED_VALUE"""),778.0)</f>
        <v>778</v>
      </c>
      <c r="G1563" s="9">
        <f>IFERROR(__xludf.DUMMYFUNCTION("""COMPUTED_VALUE"""),5121009.0)</f>
        <v>5121009</v>
      </c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</row>
    <row r="1564">
      <c r="A1564" s="1"/>
      <c r="B1564" s="22">
        <f>IFERROR(__xludf.DUMMYFUNCTION("""COMPUTED_VALUE"""),43859.64583333333)</f>
        <v>43859.64583</v>
      </c>
      <c r="C1564" s="9">
        <f>IFERROR(__xludf.DUMMYFUNCTION("""COMPUTED_VALUE"""),786.6)</f>
        <v>786.6</v>
      </c>
      <c r="D1564" s="9">
        <f>IFERROR(__xludf.DUMMYFUNCTION("""COMPUTED_VALUE"""),792.8)</f>
        <v>792.8</v>
      </c>
      <c r="E1564" s="9">
        <f>IFERROR(__xludf.DUMMYFUNCTION("""COMPUTED_VALUE"""),784.25)</f>
        <v>784.25</v>
      </c>
      <c r="F1564" s="9">
        <f>IFERROR(__xludf.DUMMYFUNCTION("""COMPUTED_VALUE"""),789.7)</f>
        <v>789.7</v>
      </c>
      <c r="G1564" s="9">
        <f>IFERROR(__xludf.DUMMYFUNCTION("""COMPUTED_VALUE"""),6832757.0)</f>
        <v>6832757</v>
      </c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</row>
    <row r="1565">
      <c r="A1565" s="1"/>
      <c r="B1565" s="22">
        <f>IFERROR(__xludf.DUMMYFUNCTION("""COMPUTED_VALUE"""),43860.64583333333)</f>
        <v>43860.64583</v>
      </c>
      <c r="C1565" s="9">
        <f>IFERROR(__xludf.DUMMYFUNCTION("""COMPUTED_VALUE"""),789.7)</f>
        <v>789.7</v>
      </c>
      <c r="D1565" s="9">
        <f>IFERROR(__xludf.DUMMYFUNCTION("""COMPUTED_VALUE"""),789.7)</f>
        <v>789.7</v>
      </c>
      <c r="E1565" s="9">
        <f>IFERROR(__xludf.DUMMYFUNCTION("""COMPUTED_VALUE"""),778.0)</f>
        <v>778</v>
      </c>
      <c r="F1565" s="9">
        <f>IFERROR(__xludf.DUMMYFUNCTION("""COMPUTED_VALUE"""),780.7)</f>
        <v>780.7</v>
      </c>
      <c r="G1565" s="9">
        <f>IFERROR(__xludf.DUMMYFUNCTION("""COMPUTED_VALUE"""),3859680.0)</f>
        <v>3859680</v>
      </c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</row>
    <row r="1566">
      <c r="A1566" s="1"/>
      <c r="B1566" s="22">
        <f>IFERROR(__xludf.DUMMYFUNCTION("""COMPUTED_VALUE"""),43861.64583333333)</f>
        <v>43861.64583</v>
      </c>
      <c r="C1566" s="9">
        <f>IFERROR(__xludf.DUMMYFUNCTION("""COMPUTED_VALUE"""),780.55)</f>
        <v>780.55</v>
      </c>
      <c r="D1566" s="9">
        <f>IFERROR(__xludf.DUMMYFUNCTION("""COMPUTED_VALUE"""),784.95)</f>
        <v>784.95</v>
      </c>
      <c r="E1566" s="9">
        <f>IFERROR(__xludf.DUMMYFUNCTION("""COMPUTED_VALUE"""),771.6)</f>
        <v>771.6</v>
      </c>
      <c r="F1566" s="9">
        <f>IFERROR(__xludf.DUMMYFUNCTION("""COMPUTED_VALUE"""),775.95)</f>
        <v>775.95</v>
      </c>
      <c r="G1566" s="9">
        <f>IFERROR(__xludf.DUMMYFUNCTION("""COMPUTED_VALUE"""),6092028.0)</f>
        <v>6092028</v>
      </c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</row>
    <row r="1567">
      <c r="A1567" s="1"/>
      <c r="B1567" s="22">
        <f>IFERROR(__xludf.DUMMYFUNCTION("""COMPUTED_VALUE"""),43862.70833333333)</f>
        <v>43862.70833</v>
      </c>
      <c r="C1567" s="9">
        <f>IFERROR(__xludf.DUMMYFUNCTION("""COMPUTED_VALUE"""),775.1)</f>
        <v>775.1</v>
      </c>
      <c r="D1567" s="9">
        <f>IFERROR(__xludf.DUMMYFUNCTION("""COMPUTED_VALUE"""),791.25)</f>
        <v>791.25</v>
      </c>
      <c r="E1567" s="9">
        <f>IFERROR(__xludf.DUMMYFUNCTION("""COMPUTED_VALUE"""),769.25)</f>
        <v>769.25</v>
      </c>
      <c r="F1567" s="9">
        <f>IFERROR(__xludf.DUMMYFUNCTION("""COMPUTED_VALUE"""),776.05)</f>
        <v>776.05</v>
      </c>
      <c r="G1567" s="9">
        <f>IFERROR(__xludf.DUMMYFUNCTION("""COMPUTED_VALUE"""),4875882.0)</f>
        <v>4875882</v>
      </c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</row>
    <row r="1568">
      <c r="A1568" s="1"/>
      <c r="B1568" s="22">
        <f>IFERROR(__xludf.DUMMYFUNCTION("""COMPUTED_VALUE"""),43864.64583333333)</f>
        <v>43864.64583</v>
      </c>
      <c r="C1568" s="9">
        <f>IFERROR(__xludf.DUMMYFUNCTION("""COMPUTED_VALUE"""),782.0)</f>
        <v>782</v>
      </c>
      <c r="D1568" s="9">
        <f>IFERROR(__xludf.DUMMYFUNCTION("""COMPUTED_VALUE"""),790.95)</f>
        <v>790.95</v>
      </c>
      <c r="E1568" s="9">
        <f>IFERROR(__xludf.DUMMYFUNCTION("""COMPUTED_VALUE"""),764.5)</f>
        <v>764.5</v>
      </c>
      <c r="F1568" s="9">
        <f>IFERROR(__xludf.DUMMYFUNCTION("""COMPUTED_VALUE"""),767.4)</f>
        <v>767.4</v>
      </c>
      <c r="G1568" s="9">
        <f>IFERROR(__xludf.DUMMYFUNCTION("""COMPUTED_VALUE"""),6416745.0)</f>
        <v>6416745</v>
      </c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</row>
    <row r="1569">
      <c r="A1569" s="1"/>
      <c r="B1569" s="22">
        <f>IFERROR(__xludf.DUMMYFUNCTION("""COMPUTED_VALUE"""),43865.64583333333)</f>
        <v>43865.64583</v>
      </c>
      <c r="C1569" s="9">
        <f>IFERROR(__xludf.DUMMYFUNCTION("""COMPUTED_VALUE"""),770.1)</f>
        <v>770.1</v>
      </c>
      <c r="D1569" s="9">
        <f>IFERROR(__xludf.DUMMYFUNCTION("""COMPUTED_VALUE"""),789.9)</f>
        <v>789.9</v>
      </c>
      <c r="E1569" s="9">
        <f>IFERROR(__xludf.DUMMYFUNCTION("""COMPUTED_VALUE"""),770.1)</f>
        <v>770.1</v>
      </c>
      <c r="F1569" s="9">
        <f>IFERROR(__xludf.DUMMYFUNCTION("""COMPUTED_VALUE"""),787.85)</f>
        <v>787.85</v>
      </c>
      <c r="G1569" s="9">
        <f>IFERROR(__xludf.DUMMYFUNCTION("""COMPUTED_VALUE"""),5771311.0)</f>
        <v>5771311</v>
      </c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</row>
    <row r="1570">
      <c r="A1570" s="1"/>
      <c r="B1570" s="22">
        <f>IFERROR(__xludf.DUMMYFUNCTION("""COMPUTED_VALUE"""),43866.64583333333)</f>
        <v>43866.64583</v>
      </c>
      <c r="C1570" s="9">
        <f>IFERROR(__xludf.DUMMYFUNCTION("""COMPUTED_VALUE"""),781.0)</f>
        <v>781</v>
      </c>
      <c r="D1570" s="9">
        <f>IFERROR(__xludf.DUMMYFUNCTION("""COMPUTED_VALUE"""),786.0)</f>
        <v>786</v>
      </c>
      <c r="E1570" s="9">
        <f>IFERROR(__xludf.DUMMYFUNCTION("""COMPUTED_VALUE"""),774.4)</f>
        <v>774.4</v>
      </c>
      <c r="F1570" s="9">
        <f>IFERROR(__xludf.DUMMYFUNCTION("""COMPUTED_VALUE"""),784.55)</f>
        <v>784.55</v>
      </c>
      <c r="G1570" s="9">
        <f>IFERROR(__xludf.DUMMYFUNCTION("""COMPUTED_VALUE"""),6310409.0)</f>
        <v>6310409</v>
      </c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</row>
    <row r="1571">
      <c r="A1571" s="1"/>
      <c r="B1571" s="22">
        <f>IFERROR(__xludf.DUMMYFUNCTION("""COMPUTED_VALUE"""),43867.64583333333)</f>
        <v>43867.64583</v>
      </c>
      <c r="C1571" s="9">
        <f>IFERROR(__xludf.DUMMYFUNCTION("""COMPUTED_VALUE"""),784.35)</f>
        <v>784.35</v>
      </c>
      <c r="D1571" s="9">
        <f>IFERROR(__xludf.DUMMYFUNCTION("""COMPUTED_VALUE"""),786.8)</f>
        <v>786.8</v>
      </c>
      <c r="E1571" s="9">
        <f>IFERROR(__xludf.DUMMYFUNCTION("""COMPUTED_VALUE"""),770.0)</f>
        <v>770</v>
      </c>
      <c r="F1571" s="9">
        <f>IFERROR(__xludf.DUMMYFUNCTION("""COMPUTED_VALUE"""),771.35)</f>
        <v>771.35</v>
      </c>
      <c r="G1571" s="9">
        <f>IFERROR(__xludf.DUMMYFUNCTION("""COMPUTED_VALUE"""),7341622.0)</f>
        <v>7341622</v>
      </c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</row>
    <row r="1572">
      <c r="A1572" s="1"/>
      <c r="B1572" s="22">
        <f>IFERROR(__xludf.DUMMYFUNCTION("""COMPUTED_VALUE"""),43868.64583333333)</f>
        <v>43868.64583</v>
      </c>
      <c r="C1572" s="9">
        <f>IFERROR(__xludf.DUMMYFUNCTION("""COMPUTED_VALUE"""),775.95)</f>
        <v>775.95</v>
      </c>
      <c r="D1572" s="9">
        <f>IFERROR(__xludf.DUMMYFUNCTION("""COMPUTED_VALUE"""),778.85)</f>
        <v>778.85</v>
      </c>
      <c r="E1572" s="9">
        <f>IFERROR(__xludf.DUMMYFUNCTION("""COMPUTED_VALUE"""),771.0)</f>
        <v>771</v>
      </c>
      <c r="F1572" s="9">
        <f>IFERROR(__xludf.DUMMYFUNCTION("""COMPUTED_VALUE"""),777.3)</f>
        <v>777.3</v>
      </c>
      <c r="G1572" s="9">
        <f>IFERROR(__xludf.DUMMYFUNCTION("""COMPUTED_VALUE"""),2853344.0)</f>
        <v>2853344</v>
      </c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</row>
    <row r="1573">
      <c r="A1573" s="1"/>
      <c r="B1573" s="22">
        <f>IFERROR(__xludf.DUMMYFUNCTION("""COMPUTED_VALUE"""),43871.64583333333)</f>
        <v>43871.64583</v>
      </c>
      <c r="C1573" s="9">
        <f>IFERROR(__xludf.DUMMYFUNCTION("""COMPUTED_VALUE"""),774.0)</f>
        <v>774</v>
      </c>
      <c r="D1573" s="9">
        <f>IFERROR(__xludf.DUMMYFUNCTION("""COMPUTED_VALUE"""),778.0)</f>
        <v>778</v>
      </c>
      <c r="E1573" s="9">
        <f>IFERROR(__xludf.DUMMYFUNCTION("""COMPUTED_VALUE"""),769.75)</f>
        <v>769.75</v>
      </c>
      <c r="F1573" s="9">
        <f>IFERROR(__xludf.DUMMYFUNCTION("""COMPUTED_VALUE"""),773.2)</f>
        <v>773.2</v>
      </c>
      <c r="G1573" s="9">
        <f>IFERROR(__xludf.DUMMYFUNCTION("""COMPUTED_VALUE"""),3827682.0)</f>
        <v>3827682</v>
      </c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</row>
    <row r="1574">
      <c r="A1574" s="1"/>
      <c r="B1574" s="22">
        <f>IFERROR(__xludf.DUMMYFUNCTION("""COMPUTED_VALUE"""),43872.64583333333)</f>
        <v>43872.64583</v>
      </c>
      <c r="C1574" s="9">
        <f>IFERROR(__xludf.DUMMYFUNCTION("""COMPUTED_VALUE"""),779.0)</f>
        <v>779</v>
      </c>
      <c r="D1574" s="9">
        <f>IFERROR(__xludf.DUMMYFUNCTION("""COMPUTED_VALUE"""),779.1)</f>
        <v>779.1</v>
      </c>
      <c r="E1574" s="9">
        <f>IFERROR(__xludf.DUMMYFUNCTION("""COMPUTED_VALUE"""),769.2)</f>
        <v>769.2</v>
      </c>
      <c r="F1574" s="9">
        <f>IFERROR(__xludf.DUMMYFUNCTION("""COMPUTED_VALUE"""),773.55)</f>
        <v>773.55</v>
      </c>
      <c r="G1574" s="9">
        <f>IFERROR(__xludf.DUMMYFUNCTION("""COMPUTED_VALUE"""),4312817.0)</f>
        <v>4312817</v>
      </c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</row>
    <row r="1575">
      <c r="A1575" s="1"/>
      <c r="B1575" s="22">
        <f>IFERROR(__xludf.DUMMYFUNCTION("""COMPUTED_VALUE"""),43873.64583333333)</f>
        <v>43873.64583</v>
      </c>
      <c r="C1575" s="9">
        <f>IFERROR(__xludf.DUMMYFUNCTION("""COMPUTED_VALUE"""),775.8)</f>
        <v>775.8</v>
      </c>
      <c r="D1575" s="9">
        <f>IFERROR(__xludf.DUMMYFUNCTION("""COMPUTED_VALUE"""),783.25)</f>
        <v>783.25</v>
      </c>
      <c r="E1575" s="9">
        <f>IFERROR(__xludf.DUMMYFUNCTION("""COMPUTED_VALUE"""),775.1)</f>
        <v>775.1</v>
      </c>
      <c r="F1575" s="9">
        <f>IFERROR(__xludf.DUMMYFUNCTION("""COMPUTED_VALUE"""),781.05)</f>
        <v>781.05</v>
      </c>
      <c r="G1575" s="9">
        <f>IFERROR(__xludf.DUMMYFUNCTION("""COMPUTED_VALUE"""),2948825.0)</f>
        <v>2948825</v>
      </c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</row>
    <row r="1576">
      <c r="A1576" s="1"/>
      <c r="B1576" s="22">
        <f>IFERROR(__xludf.DUMMYFUNCTION("""COMPUTED_VALUE"""),43874.64583333333)</f>
        <v>43874.64583</v>
      </c>
      <c r="C1576" s="9">
        <f>IFERROR(__xludf.DUMMYFUNCTION("""COMPUTED_VALUE"""),785.0)</f>
        <v>785</v>
      </c>
      <c r="D1576" s="9">
        <f>IFERROR(__xludf.DUMMYFUNCTION("""COMPUTED_VALUE"""),794.0)</f>
        <v>794</v>
      </c>
      <c r="E1576" s="9">
        <f>IFERROR(__xludf.DUMMYFUNCTION("""COMPUTED_VALUE"""),782.2)</f>
        <v>782.2</v>
      </c>
      <c r="F1576" s="9">
        <f>IFERROR(__xludf.DUMMYFUNCTION("""COMPUTED_VALUE"""),792.25)</f>
        <v>792.25</v>
      </c>
      <c r="G1576" s="9">
        <f>IFERROR(__xludf.DUMMYFUNCTION("""COMPUTED_VALUE"""),4387430.0)</f>
        <v>4387430</v>
      </c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</row>
    <row r="1577">
      <c r="A1577" s="1"/>
      <c r="B1577" s="22">
        <f>IFERROR(__xludf.DUMMYFUNCTION("""COMPUTED_VALUE"""),43875.64583333333)</f>
        <v>43875.64583</v>
      </c>
      <c r="C1577" s="9">
        <f>IFERROR(__xludf.DUMMYFUNCTION("""COMPUTED_VALUE"""),794.5)</f>
        <v>794.5</v>
      </c>
      <c r="D1577" s="9">
        <f>IFERROR(__xludf.DUMMYFUNCTION("""COMPUTED_VALUE"""),799.2)</f>
        <v>799.2</v>
      </c>
      <c r="E1577" s="9">
        <f>IFERROR(__xludf.DUMMYFUNCTION("""COMPUTED_VALUE"""),784.6)</f>
        <v>784.6</v>
      </c>
      <c r="F1577" s="9">
        <f>IFERROR(__xludf.DUMMYFUNCTION("""COMPUTED_VALUE"""),786.45)</f>
        <v>786.45</v>
      </c>
      <c r="G1577" s="9">
        <f>IFERROR(__xludf.DUMMYFUNCTION("""COMPUTED_VALUE"""),5321680.0)</f>
        <v>5321680</v>
      </c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</row>
    <row r="1578">
      <c r="A1578" s="1"/>
      <c r="B1578" s="22">
        <f>IFERROR(__xludf.DUMMYFUNCTION("""COMPUTED_VALUE"""),43878.64583333333)</f>
        <v>43878.64583</v>
      </c>
      <c r="C1578" s="9">
        <f>IFERROR(__xludf.DUMMYFUNCTION("""COMPUTED_VALUE"""),790.3)</f>
        <v>790.3</v>
      </c>
      <c r="D1578" s="9">
        <f>IFERROR(__xludf.DUMMYFUNCTION("""COMPUTED_VALUE"""),793.45)</f>
        <v>793.45</v>
      </c>
      <c r="E1578" s="9">
        <f>IFERROR(__xludf.DUMMYFUNCTION("""COMPUTED_VALUE"""),783.3)</f>
        <v>783.3</v>
      </c>
      <c r="F1578" s="9">
        <f>IFERROR(__xludf.DUMMYFUNCTION("""COMPUTED_VALUE"""),789.45)</f>
        <v>789.45</v>
      </c>
      <c r="G1578" s="9">
        <f>IFERROR(__xludf.DUMMYFUNCTION("""COMPUTED_VALUE"""),2929629.0)</f>
        <v>2929629</v>
      </c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</row>
    <row r="1579">
      <c r="A1579" s="1"/>
      <c r="B1579" s="22">
        <f>IFERROR(__xludf.DUMMYFUNCTION("""COMPUTED_VALUE"""),43879.64583333333)</f>
        <v>43879.64583</v>
      </c>
      <c r="C1579" s="9">
        <f>IFERROR(__xludf.DUMMYFUNCTION("""COMPUTED_VALUE"""),785.0)</f>
        <v>785</v>
      </c>
      <c r="D1579" s="9">
        <f>IFERROR(__xludf.DUMMYFUNCTION("""COMPUTED_VALUE"""),799.05)</f>
        <v>799.05</v>
      </c>
      <c r="E1579" s="9">
        <f>IFERROR(__xludf.DUMMYFUNCTION("""COMPUTED_VALUE"""),783.65)</f>
        <v>783.65</v>
      </c>
      <c r="F1579" s="9">
        <f>IFERROR(__xludf.DUMMYFUNCTION("""COMPUTED_VALUE"""),797.65)</f>
        <v>797.65</v>
      </c>
      <c r="G1579" s="9">
        <f>IFERROR(__xludf.DUMMYFUNCTION("""COMPUTED_VALUE"""),5083346.0)</f>
        <v>5083346</v>
      </c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</row>
    <row r="1580">
      <c r="A1580" s="1"/>
      <c r="B1580" s="22">
        <f>IFERROR(__xludf.DUMMYFUNCTION("""COMPUTED_VALUE"""),43880.64583333333)</f>
        <v>43880.64583</v>
      </c>
      <c r="C1580" s="9">
        <f>IFERROR(__xludf.DUMMYFUNCTION("""COMPUTED_VALUE"""),800.0)</f>
        <v>800</v>
      </c>
      <c r="D1580" s="9">
        <f>IFERROR(__xludf.DUMMYFUNCTION("""COMPUTED_VALUE"""),804.85)</f>
        <v>804.85</v>
      </c>
      <c r="E1580" s="9">
        <f>IFERROR(__xludf.DUMMYFUNCTION("""COMPUTED_VALUE"""),796.15)</f>
        <v>796.15</v>
      </c>
      <c r="F1580" s="9">
        <f>IFERROR(__xludf.DUMMYFUNCTION("""COMPUTED_VALUE"""),800.45)</f>
        <v>800.45</v>
      </c>
      <c r="G1580" s="9">
        <f>IFERROR(__xludf.DUMMYFUNCTION("""COMPUTED_VALUE"""),3985192.0)</f>
        <v>3985192</v>
      </c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</row>
    <row r="1581">
      <c r="A1581" s="1"/>
      <c r="B1581" s="22">
        <f>IFERROR(__xludf.DUMMYFUNCTION("""COMPUTED_VALUE"""),43881.64583333333)</f>
        <v>43881.64583</v>
      </c>
      <c r="C1581" s="9">
        <f>IFERROR(__xludf.DUMMYFUNCTION("""COMPUTED_VALUE"""),803.25)</f>
        <v>803.25</v>
      </c>
      <c r="D1581" s="9">
        <f>IFERROR(__xludf.DUMMYFUNCTION("""COMPUTED_VALUE"""),806.1)</f>
        <v>806.1</v>
      </c>
      <c r="E1581" s="9">
        <f>IFERROR(__xludf.DUMMYFUNCTION("""COMPUTED_VALUE"""),793.85)</f>
        <v>793.85</v>
      </c>
      <c r="F1581" s="9">
        <f>IFERROR(__xludf.DUMMYFUNCTION("""COMPUTED_VALUE"""),797.0)</f>
        <v>797</v>
      </c>
      <c r="G1581" s="9">
        <f>IFERROR(__xludf.DUMMYFUNCTION("""COMPUTED_VALUE"""),4564569.0)</f>
        <v>4564569</v>
      </c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</row>
    <row r="1582">
      <c r="A1582" s="1"/>
      <c r="B1582" s="22">
        <f>IFERROR(__xludf.DUMMYFUNCTION("""COMPUTED_VALUE"""),43885.64583333333)</f>
        <v>43885.64583</v>
      </c>
      <c r="C1582" s="9">
        <f>IFERROR(__xludf.DUMMYFUNCTION("""COMPUTED_VALUE"""),800.1)</f>
        <v>800.1</v>
      </c>
      <c r="D1582" s="9">
        <f>IFERROR(__xludf.DUMMYFUNCTION("""COMPUTED_VALUE"""),811.6)</f>
        <v>811.6</v>
      </c>
      <c r="E1582" s="9">
        <f>IFERROR(__xludf.DUMMYFUNCTION("""COMPUTED_VALUE"""),792.15)</f>
        <v>792.15</v>
      </c>
      <c r="F1582" s="9">
        <f>IFERROR(__xludf.DUMMYFUNCTION("""COMPUTED_VALUE"""),795.85)</f>
        <v>795.85</v>
      </c>
      <c r="G1582" s="9">
        <f>IFERROR(__xludf.DUMMYFUNCTION("""COMPUTED_VALUE"""),6627536.0)</f>
        <v>6627536</v>
      </c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</row>
    <row r="1583">
      <c r="A1583" s="1"/>
      <c r="B1583" s="22">
        <f>IFERROR(__xludf.DUMMYFUNCTION("""COMPUTED_VALUE"""),43886.64583333333)</f>
        <v>43886.64583</v>
      </c>
      <c r="C1583" s="9">
        <f>IFERROR(__xludf.DUMMYFUNCTION("""COMPUTED_VALUE"""),799.0)</f>
        <v>799</v>
      </c>
      <c r="D1583" s="9">
        <f>IFERROR(__xludf.DUMMYFUNCTION("""COMPUTED_VALUE"""),806.0)</f>
        <v>806</v>
      </c>
      <c r="E1583" s="9">
        <f>IFERROR(__xludf.DUMMYFUNCTION("""COMPUTED_VALUE"""),795.4)</f>
        <v>795.4</v>
      </c>
      <c r="F1583" s="9">
        <f>IFERROR(__xludf.DUMMYFUNCTION("""COMPUTED_VALUE"""),798.4)</f>
        <v>798.4</v>
      </c>
      <c r="G1583" s="9">
        <f>IFERROR(__xludf.DUMMYFUNCTION("""COMPUTED_VALUE"""),6996695.0)</f>
        <v>6996695</v>
      </c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</row>
    <row r="1584">
      <c r="A1584" s="1"/>
      <c r="B1584" s="22">
        <f>IFERROR(__xludf.DUMMYFUNCTION("""COMPUTED_VALUE"""),43887.64583333333)</f>
        <v>43887.64583</v>
      </c>
      <c r="C1584" s="9">
        <f>IFERROR(__xludf.DUMMYFUNCTION("""COMPUTED_VALUE"""),793.95)</f>
        <v>793.95</v>
      </c>
      <c r="D1584" s="9">
        <f>IFERROR(__xludf.DUMMYFUNCTION("""COMPUTED_VALUE"""),801.45)</f>
        <v>801.45</v>
      </c>
      <c r="E1584" s="9">
        <f>IFERROR(__xludf.DUMMYFUNCTION("""COMPUTED_VALUE"""),780.5)</f>
        <v>780.5</v>
      </c>
      <c r="F1584" s="9">
        <f>IFERROR(__xludf.DUMMYFUNCTION("""COMPUTED_VALUE"""),782.75)</f>
        <v>782.75</v>
      </c>
      <c r="G1584" s="9">
        <f>IFERROR(__xludf.DUMMYFUNCTION("""COMPUTED_VALUE"""),8760569.0)</f>
        <v>8760569</v>
      </c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</row>
    <row r="1585">
      <c r="A1585" s="1"/>
      <c r="B1585" s="22">
        <f>IFERROR(__xludf.DUMMYFUNCTION("""COMPUTED_VALUE"""),43888.64583333333)</f>
        <v>43888.64583</v>
      </c>
      <c r="C1585" s="9">
        <f>IFERROR(__xludf.DUMMYFUNCTION("""COMPUTED_VALUE"""),778.0)</f>
        <v>778</v>
      </c>
      <c r="D1585" s="9">
        <f>IFERROR(__xludf.DUMMYFUNCTION("""COMPUTED_VALUE"""),780.75)</f>
        <v>780.75</v>
      </c>
      <c r="E1585" s="9">
        <f>IFERROR(__xludf.DUMMYFUNCTION("""COMPUTED_VALUE"""),772.2)</f>
        <v>772.2</v>
      </c>
      <c r="F1585" s="9">
        <f>IFERROR(__xludf.DUMMYFUNCTION("""COMPUTED_VALUE"""),777.85)</f>
        <v>777.85</v>
      </c>
      <c r="G1585" s="9">
        <f>IFERROR(__xludf.DUMMYFUNCTION("""COMPUTED_VALUE"""),5223386.0)</f>
        <v>5223386</v>
      </c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</row>
    <row r="1586">
      <c r="A1586" s="1"/>
      <c r="B1586" s="22">
        <f>IFERROR(__xludf.DUMMYFUNCTION("""COMPUTED_VALUE"""),43889.64583333333)</f>
        <v>43889.64583</v>
      </c>
      <c r="C1586" s="9">
        <f>IFERROR(__xludf.DUMMYFUNCTION("""COMPUTED_VALUE"""),750.0)</f>
        <v>750</v>
      </c>
      <c r="D1586" s="9">
        <f>IFERROR(__xludf.DUMMYFUNCTION("""COMPUTED_VALUE"""),756.8)</f>
        <v>756.8</v>
      </c>
      <c r="E1586" s="9">
        <f>IFERROR(__xludf.DUMMYFUNCTION("""COMPUTED_VALUE"""),722.05)</f>
        <v>722.05</v>
      </c>
      <c r="F1586" s="9">
        <f>IFERROR(__xludf.DUMMYFUNCTION("""COMPUTED_VALUE"""),731.7)</f>
        <v>731.7</v>
      </c>
      <c r="G1586" s="9">
        <f>IFERROR(__xludf.DUMMYFUNCTION("""COMPUTED_VALUE"""),1.4123957E7)</f>
        <v>14123957</v>
      </c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</row>
    <row r="1587">
      <c r="A1587" s="1"/>
      <c r="B1587" s="22">
        <f>IFERROR(__xludf.DUMMYFUNCTION("""COMPUTED_VALUE"""),43892.64583333333)</f>
        <v>43892.64583</v>
      </c>
      <c r="C1587" s="9">
        <f>IFERROR(__xludf.DUMMYFUNCTION("""COMPUTED_VALUE"""),737.0)</f>
        <v>737</v>
      </c>
      <c r="D1587" s="9">
        <f>IFERROR(__xludf.DUMMYFUNCTION("""COMPUTED_VALUE"""),765.9)</f>
        <v>765.9</v>
      </c>
      <c r="E1587" s="9">
        <f>IFERROR(__xludf.DUMMYFUNCTION("""COMPUTED_VALUE"""),733.75)</f>
        <v>733.75</v>
      </c>
      <c r="F1587" s="9">
        <f>IFERROR(__xludf.DUMMYFUNCTION("""COMPUTED_VALUE"""),741.05)</f>
        <v>741.05</v>
      </c>
      <c r="G1587" s="9">
        <f>IFERROR(__xludf.DUMMYFUNCTION("""COMPUTED_VALUE"""),9821523.0)</f>
        <v>9821523</v>
      </c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</row>
    <row r="1588">
      <c r="A1588" s="1"/>
      <c r="B1588" s="22">
        <f>IFERROR(__xludf.DUMMYFUNCTION("""COMPUTED_VALUE"""),43893.64583333333)</f>
        <v>43893.64583</v>
      </c>
      <c r="C1588" s="9">
        <f>IFERROR(__xludf.DUMMYFUNCTION("""COMPUTED_VALUE"""),755.0)</f>
        <v>755</v>
      </c>
      <c r="D1588" s="9">
        <f>IFERROR(__xludf.DUMMYFUNCTION("""COMPUTED_VALUE"""),759.0)</f>
        <v>759</v>
      </c>
      <c r="E1588" s="9">
        <f>IFERROR(__xludf.DUMMYFUNCTION("""COMPUTED_VALUE"""),741.25)</f>
        <v>741.25</v>
      </c>
      <c r="F1588" s="9">
        <f>IFERROR(__xludf.DUMMYFUNCTION("""COMPUTED_VALUE"""),747.0)</f>
        <v>747</v>
      </c>
      <c r="G1588" s="9">
        <f>IFERROR(__xludf.DUMMYFUNCTION("""COMPUTED_VALUE"""),7826587.0)</f>
        <v>7826587</v>
      </c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</row>
    <row r="1589">
      <c r="A1589" s="1"/>
      <c r="B1589" s="22">
        <f>IFERROR(__xludf.DUMMYFUNCTION("""COMPUTED_VALUE"""),43894.64583333333)</f>
        <v>43894.64583</v>
      </c>
      <c r="C1589" s="9">
        <f>IFERROR(__xludf.DUMMYFUNCTION("""COMPUTED_VALUE"""),753.9)</f>
        <v>753.9</v>
      </c>
      <c r="D1589" s="9">
        <f>IFERROR(__xludf.DUMMYFUNCTION("""COMPUTED_VALUE"""),761.5)</f>
        <v>761.5</v>
      </c>
      <c r="E1589" s="9">
        <f>IFERROR(__xludf.DUMMYFUNCTION("""COMPUTED_VALUE"""),745.55)</f>
        <v>745.55</v>
      </c>
      <c r="F1589" s="9">
        <f>IFERROR(__xludf.DUMMYFUNCTION("""COMPUTED_VALUE"""),758.75)</f>
        <v>758.75</v>
      </c>
      <c r="G1589" s="9">
        <f>IFERROR(__xludf.DUMMYFUNCTION("""COMPUTED_VALUE"""),1.1013444E7)</f>
        <v>11013444</v>
      </c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</row>
    <row r="1590">
      <c r="A1590" s="1"/>
      <c r="B1590" s="22">
        <f>IFERROR(__xludf.DUMMYFUNCTION("""COMPUTED_VALUE"""),43895.64583333333)</f>
        <v>43895.64583</v>
      </c>
      <c r="C1590" s="9">
        <f>IFERROR(__xludf.DUMMYFUNCTION("""COMPUTED_VALUE"""),763.75)</f>
        <v>763.75</v>
      </c>
      <c r="D1590" s="9">
        <f>IFERROR(__xludf.DUMMYFUNCTION("""COMPUTED_VALUE"""),773.55)</f>
        <v>773.55</v>
      </c>
      <c r="E1590" s="9">
        <f>IFERROR(__xludf.DUMMYFUNCTION("""COMPUTED_VALUE"""),751.75)</f>
        <v>751.75</v>
      </c>
      <c r="F1590" s="9">
        <f>IFERROR(__xludf.DUMMYFUNCTION("""COMPUTED_VALUE"""),754.6)</f>
        <v>754.6</v>
      </c>
      <c r="G1590" s="9">
        <f>IFERROR(__xludf.DUMMYFUNCTION("""COMPUTED_VALUE"""),7755293.0)</f>
        <v>7755293</v>
      </c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</row>
    <row r="1591">
      <c r="A1591" s="1"/>
      <c r="B1591" s="22">
        <f>IFERROR(__xludf.DUMMYFUNCTION("""COMPUTED_VALUE"""),43896.64583333333)</f>
        <v>43896.64583</v>
      </c>
      <c r="C1591" s="9">
        <f>IFERROR(__xludf.DUMMYFUNCTION("""COMPUTED_VALUE"""),741.0)</f>
        <v>741</v>
      </c>
      <c r="D1591" s="9">
        <f>IFERROR(__xludf.DUMMYFUNCTION("""COMPUTED_VALUE"""),744.0)</f>
        <v>744</v>
      </c>
      <c r="E1591" s="9">
        <f>IFERROR(__xludf.DUMMYFUNCTION("""COMPUTED_VALUE"""),729.1)</f>
        <v>729.1</v>
      </c>
      <c r="F1591" s="9">
        <f>IFERROR(__xludf.DUMMYFUNCTION("""COMPUTED_VALUE"""),738.95)</f>
        <v>738.95</v>
      </c>
      <c r="G1591" s="9">
        <f>IFERROR(__xludf.DUMMYFUNCTION("""COMPUTED_VALUE"""),9216022.0)</f>
        <v>9216022</v>
      </c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</row>
    <row r="1592">
      <c r="A1592" s="1"/>
      <c r="B1592" s="22">
        <f>IFERROR(__xludf.DUMMYFUNCTION("""COMPUTED_VALUE"""),43899.64583333333)</f>
        <v>43899.64583</v>
      </c>
      <c r="C1592" s="9">
        <f>IFERROR(__xludf.DUMMYFUNCTION("""COMPUTED_VALUE"""),724.5)</f>
        <v>724.5</v>
      </c>
      <c r="D1592" s="9">
        <f>IFERROR(__xludf.DUMMYFUNCTION("""COMPUTED_VALUE"""),725.85)</f>
        <v>725.85</v>
      </c>
      <c r="E1592" s="9">
        <f>IFERROR(__xludf.DUMMYFUNCTION("""COMPUTED_VALUE"""),697.0)</f>
        <v>697</v>
      </c>
      <c r="F1592" s="9">
        <f>IFERROR(__xludf.DUMMYFUNCTION("""COMPUTED_VALUE"""),704.45)</f>
        <v>704.45</v>
      </c>
      <c r="G1592" s="9">
        <f>IFERROR(__xludf.DUMMYFUNCTION("""COMPUTED_VALUE"""),1.0308697E7)</f>
        <v>10308697</v>
      </c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</row>
    <row r="1593">
      <c r="A1593" s="1"/>
      <c r="B1593" s="22">
        <f>IFERROR(__xludf.DUMMYFUNCTION("""COMPUTED_VALUE"""),43901.64583333333)</f>
        <v>43901.64583</v>
      </c>
      <c r="C1593" s="9">
        <f>IFERROR(__xludf.DUMMYFUNCTION("""COMPUTED_VALUE"""),690.65)</f>
        <v>690.65</v>
      </c>
      <c r="D1593" s="9">
        <f>IFERROR(__xludf.DUMMYFUNCTION("""COMPUTED_VALUE"""),695.95)</f>
        <v>695.95</v>
      </c>
      <c r="E1593" s="9">
        <f>IFERROR(__xludf.DUMMYFUNCTION("""COMPUTED_VALUE"""),669.05)</f>
        <v>669.05</v>
      </c>
      <c r="F1593" s="9">
        <f>IFERROR(__xludf.DUMMYFUNCTION("""COMPUTED_VALUE"""),686.0)</f>
        <v>686</v>
      </c>
      <c r="G1593" s="9">
        <f>IFERROR(__xludf.DUMMYFUNCTION("""COMPUTED_VALUE"""),1.6165054E7)</f>
        <v>16165054</v>
      </c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</row>
    <row r="1594">
      <c r="A1594" s="1"/>
      <c r="B1594" s="22">
        <f>IFERROR(__xludf.DUMMYFUNCTION("""COMPUTED_VALUE"""),43902.64583333333)</f>
        <v>43902.64583</v>
      </c>
      <c r="C1594" s="9">
        <f>IFERROR(__xludf.DUMMYFUNCTION("""COMPUTED_VALUE"""),668.0)</f>
        <v>668</v>
      </c>
      <c r="D1594" s="9">
        <f>IFERROR(__xludf.DUMMYFUNCTION("""COMPUTED_VALUE"""),670.0)</f>
        <v>670</v>
      </c>
      <c r="E1594" s="9">
        <f>IFERROR(__xludf.DUMMYFUNCTION("""COMPUTED_VALUE"""),627.5)</f>
        <v>627.5</v>
      </c>
      <c r="F1594" s="9">
        <f>IFERROR(__xludf.DUMMYFUNCTION("""COMPUTED_VALUE"""),631.2)</f>
        <v>631.2</v>
      </c>
      <c r="G1594" s="9">
        <f>IFERROR(__xludf.DUMMYFUNCTION("""COMPUTED_VALUE"""),1.3965689E7)</f>
        <v>13965689</v>
      </c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</row>
    <row r="1595">
      <c r="A1595" s="1"/>
      <c r="B1595" s="22">
        <f>IFERROR(__xludf.DUMMYFUNCTION("""COMPUTED_VALUE"""),43903.64583333333)</f>
        <v>43903.64583</v>
      </c>
      <c r="C1595" s="9">
        <f>IFERROR(__xludf.DUMMYFUNCTION("""COMPUTED_VALUE"""),592.0)</f>
        <v>592</v>
      </c>
      <c r="D1595" s="9">
        <f>IFERROR(__xludf.DUMMYFUNCTION("""COMPUTED_VALUE"""),667.0)</f>
        <v>667</v>
      </c>
      <c r="E1595" s="9">
        <f>IFERROR(__xludf.DUMMYFUNCTION("""COMPUTED_VALUE"""),570.0)</f>
        <v>570</v>
      </c>
      <c r="F1595" s="9">
        <f>IFERROR(__xludf.DUMMYFUNCTION("""COMPUTED_VALUE"""),642.35)</f>
        <v>642.35</v>
      </c>
      <c r="G1595" s="9">
        <f>IFERROR(__xludf.DUMMYFUNCTION("""COMPUTED_VALUE"""),1.690314E7)</f>
        <v>16903140</v>
      </c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</row>
    <row r="1596">
      <c r="A1596" s="1"/>
      <c r="B1596" s="22">
        <f>IFERROR(__xludf.DUMMYFUNCTION("""COMPUTED_VALUE"""),43906.64583333333)</f>
        <v>43906.64583</v>
      </c>
      <c r="C1596" s="9">
        <f>IFERROR(__xludf.DUMMYFUNCTION("""COMPUTED_VALUE"""),622.0)</f>
        <v>622</v>
      </c>
      <c r="D1596" s="9">
        <f>IFERROR(__xludf.DUMMYFUNCTION("""COMPUTED_VALUE"""),622.15)</f>
        <v>622.15</v>
      </c>
      <c r="E1596" s="9">
        <f>IFERROR(__xludf.DUMMYFUNCTION("""COMPUTED_VALUE"""),580.0)</f>
        <v>580</v>
      </c>
      <c r="F1596" s="9">
        <f>IFERROR(__xludf.DUMMYFUNCTION("""COMPUTED_VALUE"""),583.15)</f>
        <v>583.15</v>
      </c>
      <c r="G1596" s="9">
        <f>IFERROR(__xludf.DUMMYFUNCTION("""COMPUTED_VALUE"""),1.9140854E7)</f>
        <v>19140854</v>
      </c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</row>
    <row r="1597">
      <c r="A1597" s="1"/>
      <c r="B1597" s="22">
        <f>IFERROR(__xludf.DUMMYFUNCTION("""COMPUTED_VALUE"""),43907.64583333333)</f>
        <v>43907.64583</v>
      </c>
      <c r="C1597" s="9">
        <f>IFERROR(__xludf.DUMMYFUNCTION("""COMPUTED_VALUE"""),588.1)</f>
        <v>588.1</v>
      </c>
      <c r="D1597" s="9">
        <f>IFERROR(__xludf.DUMMYFUNCTION("""COMPUTED_VALUE"""),592.0)</f>
        <v>592</v>
      </c>
      <c r="E1597" s="9">
        <f>IFERROR(__xludf.DUMMYFUNCTION("""COMPUTED_VALUE"""),550.0)</f>
        <v>550</v>
      </c>
      <c r="F1597" s="9">
        <f>IFERROR(__xludf.DUMMYFUNCTION("""COMPUTED_VALUE"""),554.95)</f>
        <v>554.95</v>
      </c>
      <c r="G1597" s="9">
        <f>IFERROR(__xludf.DUMMYFUNCTION("""COMPUTED_VALUE"""),1.6060126E7)</f>
        <v>16060126</v>
      </c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</row>
    <row r="1598">
      <c r="A1598" s="1"/>
      <c r="B1598" s="22">
        <f>IFERROR(__xludf.DUMMYFUNCTION("""COMPUTED_VALUE"""),43908.64583333333)</f>
        <v>43908.64583</v>
      </c>
      <c r="C1598" s="9">
        <f>IFERROR(__xludf.DUMMYFUNCTION("""COMPUTED_VALUE"""),568.0)</f>
        <v>568</v>
      </c>
      <c r="D1598" s="9">
        <f>IFERROR(__xludf.DUMMYFUNCTION("""COMPUTED_VALUE"""),578.0)</f>
        <v>578</v>
      </c>
      <c r="E1598" s="9">
        <f>IFERROR(__xludf.DUMMYFUNCTION("""COMPUTED_VALUE"""),528.0)</f>
        <v>528</v>
      </c>
      <c r="F1598" s="9">
        <f>IFERROR(__xludf.DUMMYFUNCTION("""COMPUTED_VALUE"""),534.3)</f>
        <v>534.3</v>
      </c>
      <c r="G1598" s="9">
        <f>IFERROR(__xludf.DUMMYFUNCTION("""COMPUTED_VALUE"""),1.5391568E7)</f>
        <v>15391568</v>
      </c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</row>
    <row r="1599">
      <c r="A1599" s="1"/>
      <c r="B1599" s="22">
        <f>IFERROR(__xludf.DUMMYFUNCTION("""COMPUTED_VALUE"""),43909.64583333333)</f>
        <v>43909.64583</v>
      </c>
      <c r="C1599" s="9">
        <f>IFERROR(__xludf.DUMMYFUNCTION("""COMPUTED_VALUE"""),509.25)</f>
        <v>509.25</v>
      </c>
      <c r="D1599" s="9">
        <f>IFERROR(__xludf.DUMMYFUNCTION("""COMPUTED_VALUE"""),558.0)</f>
        <v>558</v>
      </c>
      <c r="E1599" s="9">
        <f>IFERROR(__xludf.DUMMYFUNCTION("""COMPUTED_VALUE"""),509.25)</f>
        <v>509.25</v>
      </c>
      <c r="F1599" s="9">
        <f>IFERROR(__xludf.DUMMYFUNCTION("""COMPUTED_VALUE"""),545.55)</f>
        <v>545.55</v>
      </c>
      <c r="G1599" s="9">
        <f>IFERROR(__xludf.DUMMYFUNCTION("""COMPUTED_VALUE"""),1.6584106E7)</f>
        <v>16584106</v>
      </c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</row>
    <row r="1600">
      <c r="A1600" s="1"/>
      <c r="B1600" s="22">
        <f>IFERROR(__xludf.DUMMYFUNCTION("""COMPUTED_VALUE"""),43910.64583333333)</f>
        <v>43910.64583</v>
      </c>
      <c r="C1600" s="9">
        <f>IFERROR(__xludf.DUMMYFUNCTION("""COMPUTED_VALUE"""),549.5)</f>
        <v>549.5</v>
      </c>
      <c r="D1600" s="9">
        <f>IFERROR(__xludf.DUMMYFUNCTION("""COMPUTED_VALUE"""),617.45)</f>
        <v>617.45</v>
      </c>
      <c r="E1600" s="9">
        <f>IFERROR(__xludf.DUMMYFUNCTION("""COMPUTED_VALUE"""),548.0)</f>
        <v>548</v>
      </c>
      <c r="F1600" s="9">
        <f>IFERROR(__xludf.DUMMYFUNCTION("""COMPUTED_VALUE"""),585.2)</f>
        <v>585.2</v>
      </c>
      <c r="G1600" s="9">
        <f>IFERROR(__xludf.DUMMYFUNCTION("""COMPUTED_VALUE"""),2.1356183E7)</f>
        <v>21356183</v>
      </c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</row>
    <row r="1601">
      <c r="A1601" s="1"/>
      <c r="B1601" s="22">
        <f>IFERROR(__xludf.DUMMYFUNCTION("""COMPUTED_VALUE"""),43913.64583333333)</f>
        <v>43913.64583</v>
      </c>
      <c r="C1601" s="9">
        <f>IFERROR(__xludf.DUMMYFUNCTION("""COMPUTED_VALUE"""),540.0)</f>
        <v>540</v>
      </c>
      <c r="D1601" s="9">
        <f>IFERROR(__xludf.DUMMYFUNCTION("""COMPUTED_VALUE"""),560.95)</f>
        <v>560.95</v>
      </c>
      <c r="E1601" s="9">
        <f>IFERROR(__xludf.DUMMYFUNCTION("""COMPUTED_VALUE"""),515.9)</f>
        <v>515.9</v>
      </c>
      <c r="F1601" s="9">
        <f>IFERROR(__xludf.DUMMYFUNCTION("""COMPUTED_VALUE"""),526.45)</f>
        <v>526.45</v>
      </c>
      <c r="G1601" s="9">
        <f>IFERROR(__xludf.DUMMYFUNCTION("""COMPUTED_VALUE"""),1.7146303E7)</f>
        <v>17146303</v>
      </c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</row>
    <row r="1602">
      <c r="A1602" s="1"/>
      <c r="B1602" s="22">
        <f>IFERROR(__xludf.DUMMYFUNCTION("""COMPUTED_VALUE"""),43914.64583333333)</f>
        <v>43914.64583</v>
      </c>
      <c r="C1602" s="9">
        <f>IFERROR(__xludf.DUMMYFUNCTION("""COMPUTED_VALUE"""),522.0)</f>
        <v>522</v>
      </c>
      <c r="D1602" s="9">
        <f>IFERROR(__xludf.DUMMYFUNCTION("""COMPUTED_VALUE"""),601.15)</f>
        <v>601.15</v>
      </c>
      <c r="E1602" s="9">
        <f>IFERROR(__xludf.DUMMYFUNCTION("""COMPUTED_VALUE"""),522.0)</f>
        <v>522</v>
      </c>
      <c r="F1602" s="9">
        <f>IFERROR(__xludf.DUMMYFUNCTION("""COMPUTED_VALUE"""),589.8)</f>
        <v>589.8</v>
      </c>
      <c r="G1602" s="9">
        <f>IFERROR(__xludf.DUMMYFUNCTION("""COMPUTED_VALUE"""),2.0029537E7)</f>
        <v>20029537</v>
      </c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</row>
    <row r="1603">
      <c r="A1603" s="1"/>
      <c r="B1603" s="22">
        <f>IFERROR(__xludf.DUMMYFUNCTION("""COMPUTED_VALUE"""),43915.64583333333)</f>
        <v>43915.64583</v>
      </c>
      <c r="C1603" s="9">
        <f>IFERROR(__xludf.DUMMYFUNCTION("""COMPUTED_VALUE"""),597.0)</f>
        <v>597</v>
      </c>
      <c r="D1603" s="9">
        <f>IFERROR(__xludf.DUMMYFUNCTION("""COMPUTED_VALUE"""),635.0)</f>
        <v>635</v>
      </c>
      <c r="E1603" s="9">
        <f>IFERROR(__xludf.DUMMYFUNCTION("""COMPUTED_VALUE"""),565.7)</f>
        <v>565.7</v>
      </c>
      <c r="F1603" s="9">
        <f>IFERROR(__xludf.DUMMYFUNCTION("""COMPUTED_VALUE"""),606.2)</f>
        <v>606.2</v>
      </c>
      <c r="G1603" s="9">
        <f>IFERROR(__xludf.DUMMYFUNCTION("""COMPUTED_VALUE"""),1.833965E7)</f>
        <v>18339650</v>
      </c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</row>
    <row r="1604">
      <c r="A1604" s="1"/>
      <c r="B1604" s="22">
        <f>IFERROR(__xludf.DUMMYFUNCTION("""COMPUTED_VALUE"""),43916.64583333333)</f>
        <v>43916.64583</v>
      </c>
      <c r="C1604" s="9">
        <f>IFERROR(__xludf.DUMMYFUNCTION("""COMPUTED_VALUE"""),615.0)</f>
        <v>615</v>
      </c>
      <c r="D1604" s="9">
        <f>IFERROR(__xludf.DUMMYFUNCTION("""COMPUTED_VALUE"""),650.85)</f>
        <v>650.85</v>
      </c>
      <c r="E1604" s="9">
        <f>IFERROR(__xludf.DUMMYFUNCTION("""COMPUTED_VALUE"""),612.1)</f>
        <v>612.1</v>
      </c>
      <c r="F1604" s="9">
        <f>IFERROR(__xludf.DUMMYFUNCTION("""COMPUTED_VALUE"""),643.0)</f>
        <v>643</v>
      </c>
      <c r="G1604" s="9">
        <f>IFERROR(__xludf.DUMMYFUNCTION("""COMPUTED_VALUE"""),1.4868843E7)</f>
        <v>14868843</v>
      </c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</row>
    <row r="1605">
      <c r="A1605" s="1"/>
      <c r="B1605" s="22">
        <f>IFERROR(__xludf.DUMMYFUNCTION("""COMPUTED_VALUE"""),43917.64583333333)</f>
        <v>43917.64583</v>
      </c>
      <c r="C1605" s="9">
        <f>IFERROR(__xludf.DUMMYFUNCTION("""COMPUTED_VALUE"""),665.05)</f>
        <v>665.05</v>
      </c>
      <c r="D1605" s="9">
        <f>IFERROR(__xludf.DUMMYFUNCTION("""COMPUTED_VALUE"""),674.9)</f>
        <v>674.9</v>
      </c>
      <c r="E1605" s="9">
        <f>IFERROR(__xludf.DUMMYFUNCTION("""COMPUTED_VALUE"""),642.25)</f>
        <v>642.25</v>
      </c>
      <c r="F1605" s="9">
        <f>IFERROR(__xludf.DUMMYFUNCTION("""COMPUTED_VALUE"""),652.7)</f>
        <v>652.7</v>
      </c>
      <c r="G1605" s="9">
        <f>IFERROR(__xludf.DUMMYFUNCTION("""COMPUTED_VALUE"""),1.3495469E7)</f>
        <v>13495469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</row>
    <row r="1606">
      <c r="A1606" s="1"/>
      <c r="B1606" s="22">
        <f>IFERROR(__xludf.DUMMYFUNCTION("""COMPUTED_VALUE"""),43920.64583333333)</f>
        <v>43920.64583</v>
      </c>
      <c r="C1606" s="9">
        <f>IFERROR(__xludf.DUMMYFUNCTION("""COMPUTED_VALUE"""),625.1)</f>
        <v>625.1</v>
      </c>
      <c r="D1606" s="9">
        <f>IFERROR(__xludf.DUMMYFUNCTION("""COMPUTED_VALUE"""),663.5)</f>
        <v>663.5</v>
      </c>
      <c r="E1606" s="9">
        <f>IFERROR(__xludf.DUMMYFUNCTION("""COMPUTED_VALUE"""),621.1)</f>
        <v>621.1</v>
      </c>
      <c r="F1606" s="9">
        <f>IFERROR(__xludf.DUMMYFUNCTION("""COMPUTED_VALUE"""),626.7)</f>
        <v>626.7</v>
      </c>
      <c r="G1606" s="9">
        <f>IFERROR(__xludf.DUMMYFUNCTION("""COMPUTED_VALUE"""),1.462572E7)</f>
        <v>14625720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</row>
    <row r="1607">
      <c r="A1607" s="1"/>
      <c r="B1607" s="22">
        <f>IFERROR(__xludf.DUMMYFUNCTION("""COMPUTED_VALUE"""),43921.64583333333)</f>
        <v>43921.64583</v>
      </c>
      <c r="C1607" s="9">
        <f>IFERROR(__xludf.DUMMYFUNCTION("""COMPUTED_VALUE"""),650.0)</f>
        <v>650</v>
      </c>
      <c r="D1607" s="9">
        <f>IFERROR(__xludf.DUMMYFUNCTION("""COMPUTED_VALUE"""),662.0)</f>
        <v>662</v>
      </c>
      <c r="E1607" s="9">
        <f>IFERROR(__xludf.DUMMYFUNCTION("""COMPUTED_VALUE"""),633.7)</f>
        <v>633.7</v>
      </c>
      <c r="F1607" s="9">
        <f>IFERROR(__xludf.DUMMYFUNCTION("""COMPUTED_VALUE"""),641.5)</f>
        <v>641.5</v>
      </c>
      <c r="G1607" s="9">
        <f>IFERROR(__xludf.DUMMYFUNCTION("""COMPUTED_VALUE"""),1.5175528E7)</f>
        <v>15175528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</row>
    <row r="1608">
      <c r="A1608" s="1"/>
      <c r="B1608" s="22">
        <f>IFERROR(__xludf.DUMMYFUNCTION("""COMPUTED_VALUE"""),43922.64583333333)</f>
        <v>43922.64583</v>
      </c>
      <c r="C1608" s="9">
        <f>IFERROR(__xludf.DUMMYFUNCTION("""COMPUTED_VALUE"""),634.35)</f>
        <v>634.35</v>
      </c>
      <c r="D1608" s="9">
        <f>IFERROR(__xludf.DUMMYFUNCTION("""COMPUTED_VALUE"""),637.5)</f>
        <v>637.5</v>
      </c>
      <c r="E1608" s="9">
        <f>IFERROR(__xludf.DUMMYFUNCTION("""COMPUTED_VALUE"""),594.0)</f>
        <v>594</v>
      </c>
      <c r="F1608" s="9">
        <f>IFERROR(__xludf.DUMMYFUNCTION("""COMPUTED_VALUE"""),602.8)</f>
        <v>602.8</v>
      </c>
      <c r="G1608" s="9">
        <f>IFERROR(__xludf.DUMMYFUNCTION("""COMPUTED_VALUE"""),1.3083865E7)</f>
        <v>13083865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</row>
    <row r="1609">
      <c r="A1609" s="1"/>
      <c r="B1609" s="22">
        <f>IFERROR(__xludf.DUMMYFUNCTION("""COMPUTED_VALUE"""),43924.64583333333)</f>
        <v>43924.64583</v>
      </c>
      <c r="C1609" s="9">
        <f>IFERROR(__xludf.DUMMYFUNCTION("""COMPUTED_VALUE"""),603.5)</f>
        <v>603.5</v>
      </c>
      <c r="D1609" s="9">
        <f>IFERROR(__xludf.DUMMYFUNCTION("""COMPUTED_VALUE"""),606.0)</f>
        <v>606</v>
      </c>
      <c r="E1609" s="9">
        <f>IFERROR(__xludf.DUMMYFUNCTION("""COMPUTED_VALUE"""),582.15)</f>
        <v>582.15</v>
      </c>
      <c r="F1609" s="9">
        <f>IFERROR(__xludf.DUMMYFUNCTION("""COMPUTED_VALUE"""),585.7)</f>
        <v>585.7</v>
      </c>
      <c r="G1609" s="9">
        <f>IFERROR(__xludf.DUMMYFUNCTION("""COMPUTED_VALUE"""),1.022189E7)</f>
        <v>10221890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</row>
    <row r="1610">
      <c r="A1610" s="1"/>
      <c r="B1610" s="22">
        <f>IFERROR(__xludf.DUMMYFUNCTION("""COMPUTED_VALUE"""),43928.64583333333)</f>
        <v>43928.64583</v>
      </c>
      <c r="C1610" s="9">
        <f>IFERROR(__xludf.DUMMYFUNCTION("""COMPUTED_VALUE"""),615.0)</f>
        <v>615</v>
      </c>
      <c r="D1610" s="9">
        <f>IFERROR(__xludf.DUMMYFUNCTION("""COMPUTED_VALUE"""),644.25)</f>
        <v>644.25</v>
      </c>
      <c r="E1610" s="9">
        <f>IFERROR(__xludf.DUMMYFUNCTION("""COMPUTED_VALUE"""),612.9)</f>
        <v>612.9</v>
      </c>
      <c r="F1610" s="9">
        <f>IFERROR(__xludf.DUMMYFUNCTION("""COMPUTED_VALUE"""),639.0)</f>
        <v>639</v>
      </c>
      <c r="G1610" s="9">
        <f>IFERROR(__xludf.DUMMYFUNCTION("""COMPUTED_VALUE"""),1.5146526E7)</f>
        <v>15146526</v>
      </c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</row>
    <row r="1611">
      <c r="A1611" s="1"/>
      <c r="B1611" s="22">
        <f>IFERROR(__xludf.DUMMYFUNCTION("""COMPUTED_VALUE"""),43929.64583333333)</f>
        <v>43929.64583</v>
      </c>
      <c r="C1611" s="9">
        <f>IFERROR(__xludf.DUMMYFUNCTION("""COMPUTED_VALUE"""),630.0)</f>
        <v>630</v>
      </c>
      <c r="D1611" s="9">
        <f>IFERROR(__xludf.DUMMYFUNCTION("""COMPUTED_VALUE"""),655.65)</f>
        <v>655.65</v>
      </c>
      <c r="E1611" s="9">
        <f>IFERROR(__xludf.DUMMYFUNCTION("""COMPUTED_VALUE"""),626.35)</f>
        <v>626.35</v>
      </c>
      <c r="F1611" s="9">
        <f>IFERROR(__xludf.DUMMYFUNCTION("""COMPUTED_VALUE"""),631.6)</f>
        <v>631.6</v>
      </c>
      <c r="G1611" s="9">
        <f>IFERROR(__xludf.DUMMYFUNCTION("""COMPUTED_VALUE"""),1.1806901E7)</f>
        <v>11806901</v>
      </c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</row>
    <row r="1612">
      <c r="A1612" s="1"/>
      <c r="B1612" s="22">
        <f>IFERROR(__xludf.DUMMYFUNCTION("""COMPUTED_VALUE"""),43930.64583333333)</f>
        <v>43930.64583</v>
      </c>
      <c r="C1612" s="9">
        <f>IFERROR(__xludf.DUMMYFUNCTION("""COMPUTED_VALUE"""),646.8)</f>
        <v>646.8</v>
      </c>
      <c r="D1612" s="9">
        <f>IFERROR(__xludf.DUMMYFUNCTION("""COMPUTED_VALUE"""),652.8)</f>
        <v>652.8</v>
      </c>
      <c r="E1612" s="9">
        <f>IFERROR(__xludf.DUMMYFUNCTION("""COMPUTED_VALUE"""),632.1)</f>
        <v>632.1</v>
      </c>
      <c r="F1612" s="9">
        <f>IFERROR(__xludf.DUMMYFUNCTION("""COMPUTED_VALUE"""),636.25)</f>
        <v>636.25</v>
      </c>
      <c r="G1612" s="9">
        <f>IFERROR(__xludf.DUMMYFUNCTION("""COMPUTED_VALUE"""),1.1931287E7)</f>
        <v>11931287</v>
      </c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</row>
    <row r="1613">
      <c r="A1613" s="1"/>
      <c r="B1613" s="22">
        <f>IFERROR(__xludf.DUMMYFUNCTION("""COMPUTED_VALUE"""),43934.64583333333)</f>
        <v>43934.64583</v>
      </c>
      <c r="C1613" s="9">
        <f>IFERROR(__xludf.DUMMYFUNCTION("""COMPUTED_VALUE"""),629.0)</f>
        <v>629</v>
      </c>
      <c r="D1613" s="9">
        <f>IFERROR(__xludf.DUMMYFUNCTION("""COMPUTED_VALUE"""),651.7)</f>
        <v>651.7</v>
      </c>
      <c r="E1613" s="9">
        <f>IFERROR(__xludf.DUMMYFUNCTION("""COMPUTED_VALUE"""),626.05)</f>
        <v>626.05</v>
      </c>
      <c r="F1613" s="9">
        <f>IFERROR(__xludf.DUMMYFUNCTION("""COMPUTED_VALUE"""),637.4)</f>
        <v>637.4</v>
      </c>
      <c r="G1613" s="9">
        <f>IFERROR(__xludf.DUMMYFUNCTION("""COMPUTED_VALUE"""),8330291.0)</f>
        <v>8330291</v>
      </c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</row>
    <row r="1614">
      <c r="A1614" s="1"/>
      <c r="B1614" s="22">
        <f>IFERROR(__xludf.DUMMYFUNCTION("""COMPUTED_VALUE"""),43936.64583333333)</f>
        <v>43936.64583</v>
      </c>
      <c r="C1614" s="9">
        <f>IFERROR(__xludf.DUMMYFUNCTION("""COMPUTED_VALUE"""),651.4)</f>
        <v>651.4</v>
      </c>
      <c r="D1614" s="9">
        <f>IFERROR(__xludf.DUMMYFUNCTION("""COMPUTED_VALUE"""),653.3)</f>
        <v>653.3</v>
      </c>
      <c r="E1614" s="9">
        <f>IFERROR(__xludf.DUMMYFUNCTION("""COMPUTED_VALUE"""),635.6)</f>
        <v>635.6</v>
      </c>
      <c r="F1614" s="9">
        <f>IFERROR(__xludf.DUMMYFUNCTION("""COMPUTED_VALUE"""),639.05)</f>
        <v>639.05</v>
      </c>
      <c r="G1614" s="9">
        <f>IFERROR(__xludf.DUMMYFUNCTION("""COMPUTED_VALUE"""),1.1963493E7)</f>
        <v>11963493</v>
      </c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</row>
    <row r="1615">
      <c r="A1615" s="1"/>
      <c r="B1615" s="22">
        <f>IFERROR(__xludf.DUMMYFUNCTION("""COMPUTED_VALUE"""),43937.64583333333)</f>
        <v>43937.64583</v>
      </c>
      <c r="C1615" s="9">
        <f>IFERROR(__xludf.DUMMYFUNCTION("""COMPUTED_VALUE"""),619.95)</f>
        <v>619.95</v>
      </c>
      <c r="D1615" s="9">
        <f>IFERROR(__xludf.DUMMYFUNCTION("""COMPUTED_VALUE"""),634.9)</f>
        <v>634.9</v>
      </c>
      <c r="E1615" s="9">
        <f>IFERROR(__xludf.DUMMYFUNCTION("""COMPUTED_VALUE"""),603.5)</f>
        <v>603.5</v>
      </c>
      <c r="F1615" s="9">
        <f>IFERROR(__xludf.DUMMYFUNCTION("""COMPUTED_VALUE"""),623.85)</f>
        <v>623.85</v>
      </c>
      <c r="G1615" s="9">
        <f>IFERROR(__xludf.DUMMYFUNCTION("""COMPUTED_VALUE"""),1.778331E7)</f>
        <v>17783310</v>
      </c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</row>
    <row r="1616">
      <c r="A1616" s="1"/>
      <c r="B1616" s="22">
        <f>IFERROR(__xludf.DUMMYFUNCTION("""COMPUTED_VALUE"""),43938.64583333333)</f>
        <v>43938.64583</v>
      </c>
      <c r="C1616" s="9">
        <f>IFERROR(__xludf.DUMMYFUNCTION("""COMPUTED_VALUE"""),644.0)</f>
        <v>644</v>
      </c>
      <c r="D1616" s="9">
        <f>IFERROR(__xludf.DUMMYFUNCTION("""COMPUTED_VALUE"""),646.0)</f>
        <v>646</v>
      </c>
      <c r="E1616" s="9">
        <f>IFERROR(__xludf.DUMMYFUNCTION("""COMPUTED_VALUE"""),626.0)</f>
        <v>626</v>
      </c>
      <c r="F1616" s="9">
        <f>IFERROR(__xludf.DUMMYFUNCTION("""COMPUTED_VALUE"""),628.75)</f>
        <v>628.75</v>
      </c>
      <c r="G1616" s="9">
        <f>IFERROR(__xludf.DUMMYFUNCTION("""COMPUTED_VALUE"""),8878372.0)</f>
        <v>8878372</v>
      </c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</row>
    <row r="1617">
      <c r="A1617" s="1"/>
      <c r="B1617" s="22">
        <f>IFERROR(__xludf.DUMMYFUNCTION("""COMPUTED_VALUE"""),43941.64583333333)</f>
        <v>43941.64583</v>
      </c>
      <c r="C1617" s="9">
        <f>IFERROR(__xludf.DUMMYFUNCTION("""COMPUTED_VALUE"""),640.0)</f>
        <v>640</v>
      </c>
      <c r="D1617" s="9">
        <f>IFERROR(__xludf.DUMMYFUNCTION("""COMPUTED_VALUE"""),661.0)</f>
        <v>661</v>
      </c>
      <c r="E1617" s="9">
        <f>IFERROR(__xludf.DUMMYFUNCTION("""COMPUTED_VALUE"""),639.0)</f>
        <v>639</v>
      </c>
      <c r="F1617" s="9">
        <f>IFERROR(__xludf.DUMMYFUNCTION("""COMPUTED_VALUE"""),653.3)</f>
        <v>653.3</v>
      </c>
      <c r="G1617" s="9">
        <f>IFERROR(__xludf.DUMMYFUNCTION("""COMPUTED_VALUE"""),1.3322995E7)</f>
        <v>13322995</v>
      </c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</row>
    <row r="1618">
      <c r="A1618" s="1"/>
      <c r="B1618" s="22">
        <f>IFERROR(__xludf.DUMMYFUNCTION("""COMPUTED_VALUE"""),43942.64583333333)</f>
        <v>43942.64583</v>
      </c>
      <c r="C1618" s="9">
        <f>IFERROR(__xludf.DUMMYFUNCTION("""COMPUTED_VALUE"""),627.8)</f>
        <v>627.8</v>
      </c>
      <c r="D1618" s="9">
        <f>IFERROR(__xludf.DUMMYFUNCTION("""COMPUTED_VALUE"""),646.5)</f>
        <v>646.5</v>
      </c>
      <c r="E1618" s="9">
        <f>IFERROR(__xludf.DUMMYFUNCTION("""COMPUTED_VALUE"""),627.8)</f>
        <v>627.8</v>
      </c>
      <c r="F1618" s="9">
        <f>IFERROR(__xludf.DUMMYFUNCTION("""COMPUTED_VALUE"""),633.2)</f>
        <v>633.2</v>
      </c>
      <c r="G1618" s="9">
        <f>IFERROR(__xludf.DUMMYFUNCTION("""COMPUTED_VALUE"""),1.1660678E7)</f>
        <v>11660678</v>
      </c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</row>
    <row r="1619">
      <c r="A1619" s="1"/>
      <c r="B1619" s="22">
        <f>IFERROR(__xludf.DUMMYFUNCTION("""COMPUTED_VALUE"""),43943.64583333333)</f>
        <v>43943.64583</v>
      </c>
      <c r="C1619" s="9">
        <f>IFERROR(__xludf.DUMMYFUNCTION("""COMPUTED_VALUE"""),633.2)</f>
        <v>633.2</v>
      </c>
      <c r="D1619" s="9">
        <f>IFERROR(__xludf.DUMMYFUNCTION("""COMPUTED_VALUE"""),645.0)</f>
        <v>645</v>
      </c>
      <c r="E1619" s="9">
        <f>IFERROR(__xludf.DUMMYFUNCTION("""COMPUTED_VALUE"""),628.05)</f>
        <v>628.05</v>
      </c>
      <c r="F1619" s="9">
        <f>IFERROR(__xludf.DUMMYFUNCTION("""COMPUTED_VALUE"""),641.85)</f>
        <v>641.85</v>
      </c>
      <c r="G1619" s="9">
        <f>IFERROR(__xludf.DUMMYFUNCTION("""COMPUTED_VALUE"""),8267159.0)</f>
        <v>8267159</v>
      </c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</row>
    <row r="1620">
      <c r="A1620" s="1"/>
      <c r="B1620" s="22">
        <f>IFERROR(__xludf.DUMMYFUNCTION("""COMPUTED_VALUE"""),43944.64583333333)</f>
        <v>43944.64583</v>
      </c>
      <c r="C1620" s="9">
        <f>IFERROR(__xludf.DUMMYFUNCTION("""COMPUTED_VALUE"""),647.05)</f>
        <v>647.05</v>
      </c>
      <c r="D1620" s="9">
        <f>IFERROR(__xludf.DUMMYFUNCTION("""COMPUTED_VALUE"""),683.65)</f>
        <v>683.65</v>
      </c>
      <c r="E1620" s="9">
        <f>IFERROR(__xludf.DUMMYFUNCTION("""COMPUTED_VALUE"""),638.1)</f>
        <v>638.1</v>
      </c>
      <c r="F1620" s="9">
        <f>IFERROR(__xludf.DUMMYFUNCTION("""COMPUTED_VALUE"""),679.3)</f>
        <v>679.3</v>
      </c>
      <c r="G1620" s="9">
        <f>IFERROR(__xludf.DUMMYFUNCTION("""COMPUTED_VALUE"""),1.4451294E7)</f>
        <v>14451294</v>
      </c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</row>
    <row r="1621">
      <c r="A1621" s="1"/>
      <c r="B1621" s="22">
        <f>IFERROR(__xludf.DUMMYFUNCTION("""COMPUTED_VALUE"""),43945.64583333333)</f>
        <v>43945.64583</v>
      </c>
      <c r="C1621" s="9">
        <f>IFERROR(__xludf.DUMMYFUNCTION("""COMPUTED_VALUE"""),668.55)</f>
        <v>668.55</v>
      </c>
      <c r="D1621" s="9">
        <f>IFERROR(__xludf.DUMMYFUNCTION("""COMPUTED_VALUE"""),675.0)</f>
        <v>675</v>
      </c>
      <c r="E1621" s="9">
        <f>IFERROR(__xludf.DUMMYFUNCTION("""COMPUTED_VALUE"""),654.8)</f>
        <v>654.8</v>
      </c>
      <c r="F1621" s="9">
        <f>IFERROR(__xludf.DUMMYFUNCTION("""COMPUTED_VALUE"""),658.0)</f>
        <v>658</v>
      </c>
      <c r="G1621" s="9">
        <f>IFERROR(__xludf.DUMMYFUNCTION("""COMPUTED_VALUE"""),7319950.0)</f>
        <v>7319950</v>
      </c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</row>
    <row r="1622">
      <c r="A1622" s="1"/>
      <c r="B1622" s="22">
        <f>IFERROR(__xludf.DUMMYFUNCTION("""COMPUTED_VALUE"""),43948.64583333333)</f>
        <v>43948.64583</v>
      </c>
      <c r="C1622" s="9">
        <f>IFERROR(__xludf.DUMMYFUNCTION("""COMPUTED_VALUE"""),661.05)</f>
        <v>661.05</v>
      </c>
      <c r="D1622" s="9">
        <f>IFERROR(__xludf.DUMMYFUNCTION("""COMPUTED_VALUE"""),681.0)</f>
        <v>681</v>
      </c>
      <c r="E1622" s="9">
        <f>IFERROR(__xludf.DUMMYFUNCTION("""COMPUTED_VALUE"""),661.05)</f>
        <v>661.05</v>
      </c>
      <c r="F1622" s="9">
        <f>IFERROR(__xludf.DUMMYFUNCTION("""COMPUTED_VALUE"""),664.6)</f>
        <v>664.6</v>
      </c>
      <c r="G1622" s="9">
        <f>IFERROR(__xludf.DUMMYFUNCTION("""COMPUTED_VALUE"""),7183316.0)</f>
        <v>7183316</v>
      </c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</row>
    <row r="1623">
      <c r="A1623" s="1"/>
      <c r="B1623" s="22">
        <f>IFERROR(__xludf.DUMMYFUNCTION("""COMPUTED_VALUE"""),43949.64583333333)</f>
        <v>43949.64583</v>
      </c>
      <c r="C1623" s="9">
        <f>IFERROR(__xludf.DUMMYFUNCTION("""COMPUTED_VALUE"""),673.0)</f>
        <v>673</v>
      </c>
      <c r="D1623" s="9">
        <f>IFERROR(__xludf.DUMMYFUNCTION("""COMPUTED_VALUE"""),677.0)</f>
        <v>677</v>
      </c>
      <c r="E1623" s="9">
        <f>IFERROR(__xludf.DUMMYFUNCTION("""COMPUTED_VALUE"""),653.05)</f>
        <v>653.05</v>
      </c>
      <c r="F1623" s="9">
        <f>IFERROR(__xludf.DUMMYFUNCTION("""COMPUTED_VALUE"""),660.7)</f>
        <v>660.7</v>
      </c>
      <c r="G1623" s="9">
        <f>IFERROR(__xludf.DUMMYFUNCTION("""COMPUTED_VALUE"""),7296594.0)</f>
        <v>7296594</v>
      </c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</row>
    <row r="1624">
      <c r="A1624" s="1"/>
      <c r="B1624" s="22">
        <f>IFERROR(__xludf.DUMMYFUNCTION("""COMPUTED_VALUE"""),43950.64583333333)</f>
        <v>43950.64583</v>
      </c>
      <c r="C1624" s="9">
        <f>IFERROR(__xludf.DUMMYFUNCTION("""COMPUTED_VALUE"""),666.0)</f>
        <v>666</v>
      </c>
      <c r="D1624" s="9">
        <f>IFERROR(__xludf.DUMMYFUNCTION("""COMPUTED_VALUE"""),682.0)</f>
        <v>682</v>
      </c>
      <c r="E1624" s="9">
        <f>IFERROR(__xludf.DUMMYFUNCTION("""COMPUTED_VALUE"""),658.0)</f>
        <v>658</v>
      </c>
      <c r="F1624" s="9">
        <f>IFERROR(__xludf.DUMMYFUNCTION("""COMPUTED_VALUE"""),676.55)</f>
        <v>676.55</v>
      </c>
      <c r="G1624" s="9">
        <f>IFERROR(__xludf.DUMMYFUNCTION("""COMPUTED_VALUE"""),8639246.0)</f>
        <v>8639246</v>
      </c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</row>
    <row r="1625">
      <c r="A1625" s="1"/>
      <c r="B1625" s="22">
        <f>IFERROR(__xludf.DUMMYFUNCTION("""COMPUTED_VALUE"""),43951.64583333333)</f>
        <v>43951.64583</v>
      </c>
      <c r="C1625" s="9">
        <f>IFERROR(__xludf.DUMMYFUNCTION("""COMPUTED_VALUE"""),700.0)</f>
        <v>700</v>
      </c>
      <c r="D1625" s="9">
        <f>IFERROR(__xludf.DUMMYFUNCTION("""COMPUTED_VALUE"""),720.0)</f>
        <v>720</v>
      </c>
      <c r="E1625" s="9">
        <f>IFERROR(__xludf.DUMMYFUNCTION("""COMPUTED_VALUE"""),698.1)</f>
        <v>698.1</v>
      </c>
      <c r="F1625" s="9">
        <f>IFERROR(__xludf.DUMMYFUNCTION("""COMPUTED_VALUE"""),715.5)</f>
        <v>715.5</v>
      </c>
      <c r="G1625" s="9">
        <f>IFERROR(__xludf.DUMMYFUNCTION("""COMPUTED_VALUE"""),1.6254036E7)</f>
        <v>16254036</v>
      </c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</row>
    <row r="1626">
      <c r="A1626" s="1"/>
      <c r="B1626" s="22">
        <f>IFERROR(__xludf.DUMMYFUNCTION("""COMPUTED_VALUE"""),43955.64583333333)</f>
        <v>43955.64583</v>
      </c>
      <c r="C1626" s="9">
        <f>IFERROR(__xludf.DUMMYFUNCTION("""COMPUTED_VALUE"""),689.8)</f>
        <v>689.8</v>
      </c>
      <c r="D1626" s="9">
        <f>IFERROR(__xludf.DUMMYFUNCTION("""COMPUTED_VALUE"""),701.2)</f>
        <v>701.2</v>
      </c>
      <c r="E1626" s="9">
        <f>IFERROR(__xludf.DUMMYFUNCTION("""COMPUTED_VALUE"""),670.35)</f>
        <v>670.35</v>
      </c>
      <c r="F1626" s="9">
        <f>IFERROR(__xludf.DUMMYFUNCTION("""COMPUTED_VALUE"""),673.7)</f>
        <v>673.7</v>
      </c>
      <c r="G1626" s="9">
        <f>IFERROR(__xludf.DUMMYFUNCTION("""COMPUTED_VALUE"""),9122803.0)</f>
        <v>9122803</v>
      </c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</row>
    <row r="1627">
      <c r="A1627" s="1"/>
      <c r="B1627" s="22">
        <f>IFERROR(__xludf.DUMMYFUNCTION("""COMPUTED_VALUE"""),43956.64583333333)</f>
        <v>43956.64583</v>
      </c>
      <c r="C1627" s="9">
        <f>IFERROR(__xludf.DUMMYFUNCTION("""COMPUTED_VALUE"""),681.75)</f>
        <v>681.75</v>
      </c>
      <c r="D1627" s="9">
        <f>IFERROR(__xludf.DUMMYFUNCTION("""COMPUTED_VALUE"""),685.6)</f>
        <v>685.6</v>
      </c>
      <c r="E1627" s="9">
        <f>IFERROR(__xludf.DUMMYFUNCTION("""COMPUTED_VALUE"""),670.0)</f>
        <v>670</v>
      </c>
      <c r="F1627" s="9">
        <f>IFERROR(__xludf.DUMMYFUNCTION("""COMPUTED_VALUE"""),673.7)</f>
        <v>673.7</v>
      </c>
      <c r="G1627" s="9">
        <f>IFERROR(__xludf.DUMMYFUNCTION("""COMPUTED_VALUE"""),6393108.0)</f>
        <v>6393108</v>
      </c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</row>
    <row r="1628">
      <c r="A1628" s="1"/>
      <c r="B1628" s="22">
        <f>IFERROR(__xludf.DUMMYFUNCTION("""COMPUTED_VALUE"""),43957.64583333333)</f>
        <v>43957.64583</v>
      </c>
      <c r="C1628" s="9">
        <f>IFERROR(__xludf.DUMMYFUNCTION("""COMPUTED_VALUE"""),676.9)</f>
        <v>676.9</v>
      </c>
      <c r="D1628" s="9">
        <f>IFERROR(__xludf.DUMMYFUNCTION("""COMPUTED_VALUE"""),681.45)</f>
        <v>681.45</v>
      </c>
      <c r="E1628" s="9">
        <f>IFERROR(__xludf.DUMMYFUNCTION("""COMPUTED_VALUE"""),664.05)</f>
        <v>664.05</v>
      </c>
      <c r="F1628" s="9">
        <f>IFERROR(__xludf.DUMMYFUNCTION("""COMPUTED_VALUE"""),665.9)</f>
        <v>665.9</v>
      </c>
      <c r="G1628" s="9">
        <f>IFERROR(__xludf.DUMMYFUNCTION("""COMPUTED_VALUE"""),7934457.0)</f>
        <v>7934457</v>
      </c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</row>
    <row r="1629">
      <c r="A1629" s="1"/>
      <c r="B1629" s="22">
        <f>IFERROR(__xludf.DUMMYFUNCTION("""COMPUTED_VALUE"""),43958.64583333333)</f>
        <v>43958.64583</v>
      </c>
      <c r="C1629" s="9">
        <f>IFERROR(__xludf.DUMMYFUNCTION("""COMPUTED_VALUE"""),665.55)</f>
        <v>665.55</v>
      </c>
      <c r="D1629" s="9">
        <f>IFERROR(__xludf.DUMMYFUNCTION("""COMPUTED_VALUE"""),674.35)</f>
        <v>674.35</v>
      </c>
      <c r="E1629" s="9">
        <f>IFERROR(__xludf.DUMMYFUNCTION("""COMPUTED_VALUE"""),662.45)</f>
        <v>662.45</v>
      </c>
      <c r="F1629" s="9">
        <f>IFERROR(__xludf.DUMMYFUNCTION("""COMPUTED_VALUE"""),664.95)</f>
        <v>664.95</v>
      </c>
      <c r="G1629" s="9">
        <f>IFERROR(__xludf.DUMMYFUNCTION("""COMPUTED_VALUE"""),4779550.0)</f>
        <v>4779550</v>
      </c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</row>
    <row r="1630">
      <c r="A1630" s="1"/>
      <c r="B1630" s="22">
        <f>IFERROR(__xludf.DUMMYFUNCTION("""COMPUTED_VALUE"""),43959.64583333333)</f>
        <v>43959.64583</v>
      </c>
      <c r="C1630" s="9">
        <f>IFERROR(__xludf.DUMMYFUNCTION("""COMPUTED_VALUE"""),672.25)</f>
        <v>672.25</v>
      </c>
      <c r="D1630" s="9">
        <f>IFERROR(__xludf.DUMMYFUNCTION("""COMPUTED_VALUE"""),680.9)</f>
        <v>680.9</v>
      </c>
      <c r="E1630" s="9">
        <f>IFERROR(__xludf.DUMMYFUNCTION("""COMPUTED_VALUE"""),668.5)</f>
        <v>668.5</v>
      </c>
      <c r="F1630" s="9">
        <f>IFERROR(__xludf.DUMMYFUNCTION("""COMPUTED_VALUE"""),674.2)</f>
        <v>674.2</v>
      </c>
      <c r="G1630" s="9">
        <f>IFERROR(__xludf.DUMMYFUNCTION("""COMPUTED_VALUE"""),8400376.0)</f>
        <v>8400376</v>
      </c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</row>
    <row r="1631">
      <c r="A1631" s="1"/>
      <c r="B1631" s="22">
        <f>IFERROR(__xludf.DUMMYFUNCTION("""COMPUTED_VALUE"""),43962.64583333333)</f>
        <v>43962.64583</v>
      </c>
      <c r="C1631" s="9">
        <f>IFERROR(__xludf.DUMMYFUNCTION("""COMPUTED_VALUE"""),682.5)</f>
        <v>682.5</v>
      </c>
      <c r="D1631" s="9">
        <f>IFERROR(__xludf.DUMMYFUNCTION("""COMPUTED_VALUE"""),698.55)</f>
        <v>698.55</v>
      </c>
      <c r="E1631" s="9">
        <f>IFERROR(__xludf.DUMMYFUNCTION("""COMPUTED_VALUE"""),678.0)</f>
        <v>678</v>
      </c>
      <c r="F1631" s="9">
        <f>IFERROR(__xludf.DUMMYFUNCTION("""COMPUTED_VALUE"""),682.9)</f>
        <v>682.9</v>
      </c>
      <c r="G1631" s="9">
        <f>IFERROR(__xludf.DUMMYFUNCTION("""COMPUTED_VALUE"""),7370192.0)</f>
        <v>7370192</v>
      </c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</row>
    <row r="1632">
      <c r="A1632" s="1"/>
      <c r="B1632" s="22">
        <f>IFERROR(__xludf.DUMMYFUNCTION("""COMPUTED_VALUE"""),43963.64583333333)</f>
        <v>43963.64583</v>
      </c>
      <c r="C1632" s="9">
        <f>IFERROR(__xludf.DUMMYFUNCTION("""COMPUTED_VALUE"""),678.5)</f>
        <v>678.5</v>
      </c>
      <c r="D1632" s="9">
        <f>IFERROR(__xludf.DUMMYFUNCTION("""COMPUTED_VALUE"""),691.0)</f>
        <v>691</v>
      </c>
      <c r="E1632" s="9">
        <f>IFERROR(__xludf.DUMMYFUNCTION("""COMPUTED_VALUE"""),675.5)</f>
        <v>675.5</v>
      </c>
      <c r="F1632" s="9">
        <f>IFERROR(__xludf.DUMMYFUNCTION("""COMPUTED_VALUE"""),687.65)</f>
        <v>687.65</v>
      </c>
      <c r="G1632" s="9">
        <f>IFERROR(__xludf.DUMMYFUNCTION("""COMPUTED_VALUE"""),7356063.0)</f>
        <v>7356063</v>
      </c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</row>
    <row r="1633">
      <c r="A1633" s="1"/>
      <c r="B1633" s="22">
        <f>IFERROR(__xludf.DUMMYFUNCTION("""COMPUTED_VALUE"""),43964.64583333333)</f>
        <v>43964.64583</v>
      </c>
      <c r="C1633" s="9">
        <f>IFERROR(__xludf.DUMMYFUNCTION("""COMPUTED_VALUE"""),694.8)</f>
        <v>694.8</v>
      </c>
      <c r="D1633" s="9">
        <f>IFERROR(__xludf.DUMMYFUNCTION("""COMPUTED_VALUE"""),699.9)</f>
        <v>699.9</v>
      </c>
      <c r="E1633" s="9">
        <f>IFERROR(__xludf.DUMMYFUNCTION("""COMPUTED_VALUE"""),683.75)</f>
        <v>683.75</v>
      </c>
      <c r="F1633" s="9">
        <f>IFERROR(__xludf.DUMMYFUNCTION("""COMPUTED_VALUE"""),694.15)</f>
        <v>694.15</v>
      </c>
      <c r="G1633" s="9">
        <f>IFERROR(__xludf.DUMMYFUNCTION("""COMPUTED_VALUE"""),8287106.0)</f>
        <v>8287106</v>
      </c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</row>
    <row r="1634">
      <c r="A1634" s="1"/>
      <c r="B1634" s="22">
        <f>IFERROR(__xludf.DUMMYFUNCTION("""COMPUTED_VALUE"""),43965.64583333333)</f>
        <v>43965.64583</v>
      </c>
      <c r="C1634" s="9">
        <f>IFERROR(__xludf.DUMMYFUNCTION("""COMPUTED_VALUE"""),659.0)</f>
        <v>659</v>
      </c>
      <c r="D1634" s="9">
        <f>IFERROR(__xludf.DUMMYFUNCTION("""COMPUTED_VALUE"""),671.75)</f>
        <v>671.75</v>
      </c>
      <c r="E1634" s="9">
        <f>IFERROR(__xludf.DUMMYFUNCTION("""COMPUTED_VALUE"""),652.6)</f>
        <v>652.6</v>
      </c>
      <c r="F1634" s="9">
        <f>IFERROR(__xludf.DUMMYFUNCTION("""COMPUTED_VALUE"""),658.15)</f>
        <v>658.15</v>
      </c>
      <c r="G1634" s="9">
        <f>IFERROR(__xludf.DUMMYFUNCTION("""COMPUTED_VALUE"""),1.6888356E7)</f>
        <v>16888356</v>
      </c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</row>
    <row r="1635">
      <c r="A1635" s="1"/>
      <c r="B1635" s="22">
        <f>IFERROR(__xludf.DUMMYFUNCTION("""COMPUTED_VALUE"""),43966.64583333333)</f>
        <v>43966.64583</v>
      </c>
      <c r="C1635" s="9">
        <f>IFERROR(__xludf.DUMMYFUNCTION("""COMPUTED_VALUE"""),664.8)</f>
        <v>664.8</v>
      </c>
      <c r="D1635" s="9">
        <f>IFERROR(__xludf.DUMMYFUNCTION("""COMPUTED_VALUE"""),664.8)</f>
        <v>664.8</v>
      </c>
      <c r="E1635" s="9">
        <f>IFERROR(__xludf.DUMMYFUNCTION("""COMPUTED_VALUE"""),646.7)</f>
        <v>646.7</v>
      </c>
      <c r="F1635" s="9">
        <f>IFERROR(__xludf.DUMMYFUNCTION("""COMPUTED_VALUE"""),652.3)</f>
        <v>652.3</v>
      </c>
      <c r="G1635" s="9">
        <f>IFERROR(__xludf.DUMMYFUNCTION("""COMPUTED_VALUE"""),9255353.0)</f>
        <v>9255353</v>
      </c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</row>
    <row r="1636">
      <c r="A1636" s="1"/>
      <c r="B1636" s="22">
        <f>IFERROR(__xludf.DUMMYFUNCTION("""COMPUTED_VALUE"""),43969.64583333333)</f>
        <v>43969.64583</v>
      </c>
      <c r="C1636" s="9">
        <f>IFERROR(__xludf.DUMMYFUNCTION("""COMPUTED_VALUE"""),659.85)</f>
        <v>659.85</v>
      </c>
      <c r="D1636" s="9">
        <f>IFERROR(__xludf.DUMMYFUNCTION("""COMPUTED_VALUE"""),670.55)</f>
        <v>670.55</v>
      </c>
      <c r="E1636" s="9">
        <f>IFERROR(__xludf.DUMMYFUNCTION("""COMPUTED_VALUE"""),653.0)</f>
        <v>653</v>
      </c>
      <c r="F1636" s="9">
        <f>IFERROR(__xludf.DUMMYFUNCTION("""COMPUTED_VALUE"""),663.9)</f>
        <v>663.9</v>
      </c>
      <c r="G1636" s="9">
        <f>IFERROR(__xludf.DUMMYFUNCTION("""COMPUTED_VALUE"""),1.0435495E7)</f>
        <v>10435495</v>
      </c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</row>
    <row r="1637">
      <c r="A1637" s="1"/>
      <c r="B1637" s="22">
        <f>IFERROR(__xludf.DUMMYFUNCTION("""COMPUTED_VALUE"""),43970.64583333333)</f>
        <v>43970.64583</v>
      </c>
      <c r="C1637" s="9">
        <f>IFERROR(__xludf.DUMMYFUNCTION("""COMPUTED_VALUE"""),664.0)</f>
        <v>664</v>
      </c>
      <c r="D1637" s="9">
        <f>IFERROR(__xludf.DUMMYFUNCTION("""COMPUTED_VALUE"""),674.8)</f>
        <v>674.8</v>
      </c>
      <c r="E1637" s="9">
        <f>IFERROR(__xludf.DUMMYFUNCTION("""COMPUTED_VALUE"""),655.0)</f>
        <v>655</v>
      </c>
      <c r="F1637" s="9">
        <f>IFERROR(__xludf.DUMMYFUNCTION("""COMPUTED_VALUE"""),668.6)</f>
        <v>668.6</v>
      </c>
      <c r="G1637" s="9">
        <f>IFERROR(__xludf.DUMMYFUNCTION("""COMPUTED_VALUE"""),5902238.0)</f>
        <v>5902238</v>
      </c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</row>
    <row r="1638">
      <c r="A1638" s="1"/>
      <c r="B1638" s="22">
        <f>IFERROR(__xludf.DUMMYFUNCTION("""COMPUTED_VALUE"""),43971.64583333333)</f>
        <v>43971.64583</v>
      </c>
      <c r="C1638" s="9">
        <f>IFERROR(__xludf.DUMMYFUNCTION("""COMPUTED_VALUE"""),668.5)</f>
        <v>668.5</v>
      </c>
      <c r="D1638" s="9">
        <f>IFERROR(__xludf.DUMMYFUNCTION("""COMPUTED_VALUE"""),673.0)</f>
        <v>673</v>
      </c>
      <c r="E1638" s="9">
        <f>IFERROR(__xludf.DUMMYFUNCTION("""COMPUTED_VALUE"""),659.65)</f>
        <v>659.65</v>
      </c>
      <c r="F1638" s="9">
        <f>IFERROR(__xludf.DUMMYFUNCTION("""COMPUTED_VALUE"""),669.55)</f>
        <v>669.55</v>
      </c>
      <c r="G1638" s="9">
        <f>IFERROR(__xludf.DUMMYFUNCTION("""COMPUTED_VALUE"""),5795193.0)</f>
        <v>5795193</v>
      </c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</row>
    <row r="1639">
      <c r="A1639" s="1"/>
      <c r="B1639" s="22">
        <f>IFERROR(__xludf.DUMMYFUNCTION("""COMPUTED_VALUE"""),43972.64583333333)</f>
        <v>43972.64583</v>
      </c>
      <c r="C1639" s="9">
        <f>IFERROR(__xludf.DUMMYFUNCTION("""COMPUTED_VALUE"""),666.5)</f>
        <v>666.5</v>
      </c>
      <c r="D1639" s="9">
        <f>IFERROR(__xludf.DUMMYFUNCTION("""COMPUTED_VALUE"""),679.45)</f>
        <v>679.45</v>
      </c>
      <c r="E1639" s="9">
        <f>IFERROR(__xludf.DUMMYFUNCTION("""COMPUTED_VALUE"""),665.4)</f>
        <v>665.4</v>
      </c>
      <c r="F1639" s="9">
        <f>IFERROR(__xludf.DUMMYFUNCTION("""COMPUTED_VALUE"""),672.2)</f>
        <v>672.2</v>
      </c>
      <c r="G1639" s="9">
        <f>IFERROR(__xludf.DUMMYFUNCTION("""COMPUTED_VALUE"""),7214401.0)</f>
        <v>7214401</v>
      </c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</row>
    <row r="1640">
      <c r="A1640" s="1"/>
      <c r="B1640" s="22">
        <f>IFERROR(__xludf.DUMMYFUNCTION("""COMPUTED_VALUE"""),43973.64583333333)</f>
        <v>43973.64583</v>
      </c>
      <c r="C1640" s="9">
        <f>IFERROR(__xludf.DUMMYFUNCTION("""COMPUTED_VALUE"""),675.0)</f>
        <v>675</v>
      </c>
      <c r="D1640" s="9">
        <f>IFERROR(__xludf.DUMMYFUNCTION("""COMPUTED_VALUE"""),695.85)</f>
        <v>695.85</v>
      </c>
      <c r="E1640" s="9">
        <f>IFERROR(__xludf.DUMMYFUNCTION("""COMPUTED_VALUE"""),673.5)</f>
        <v>673.5</v>
      </c>
      <c r="F1640" s="9">
        <f>IFERROR(__xludf.DUMMYFUNCTION("""COMPUTED_VALUE"""),692.35)</f>
        <v>692.35</v>
      </c>
      <c r="G1640" s="9">
        <f>IFERROR(__xludf.DUMMYFUNCTION("""COMPUTED_VALUE"""),1.1867864E7)</f>
        <v>11867864</v>
      </c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</row>
    <row r="1641">
      <c r="A1641" s="1"/>
      <c r="B1641" s="22">
        <f>IFERROR(__xludf.DUMMYFUNCTION("""COMPUTED_VALUE"""),43977.64583333333)</f>
        <v>43977.64583</v>
      </c>
      <c r="C1641" s="9">
        <f>IFERROR(__xludf.DUMMYFUNCTION("""COMPUTED_VALUE"""),693.0)</f>
        <v>693</v>
      </c>
      <c r="D1641" s="9">
        <f>IFERROR(__xludf.DUMMYFUNCTION("""COMPUTED_VALUE"""),699.45)</f>
        <v>699.45</v>
      </c>
      <c r="E1641" s="9">
        <f>IFERROR(__xludf.DUMMYFUNCTION("""COMPUTED_VALUE"""),679.0)</f>
        <v>679</v>
      </c>
      <c r="F1641" s="9">
        <f>IFERROR(__xludf.DUMMYFUNCTION("""COMPUTED_VALUE"""),680.55)</f>
        <v>680.55</v>
      </c>
      <c r="G1641" s="9">
        <f>IFERROR(__xludf.DUMMYFUNCTION("""COMPUTED_VALUE"""),7099719.0)</f>
        <v>7099719</v>
      </c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</row>
    <row r="1642">
      <c r="A1642" s="1"/>
      <c r="B1642" s="22">
        <f>IFERROR(__xludf.DUMMYFUNCTION("""COMPUTED_VALUE"""),43978.64583333333)</f>
        <v>43978.64583</v>
      </c>
      <c r="C1642" s="9">
        <f>IFERROR(__xludf.DUMMYFUNCTION("""COMPUTED_VALUE"""),686.05)</f>
        <v>686.05</v>
      </c>
      <c r="D1642" s="9">
        <f>IFERROR(__xludf.DUMMYFUNCTION("""COMPUTED_VALUE"""),709.2)</f>
        <v>709.2</v>
      </c>
      <c r="E1642" s="9">
        <f>IFERROR(__xludf.DUMMYFUNCTION("""COMPUTED_VALUE"""),675.0)</f>
        <v>675</v>
      </c>
      <c r="F1642" s="9">
        <f>IFERROR(__xludf.DUMMYFUNCTION("""COMPUTED_VALUE"""),705.45)</f>
        <v>705.45</v>
      </c>
      <c r="G1642" s="9">
        <f>IFERROR(__xludf.DUMMYFUNCTION("""COMPUTED_VALUE"""),8774694.0)</f>
        <v>8774694</v>
      </c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</row>
    <row r="1643">
      <c r="A1643" s="1"/>
      <c r="B1643" s="22">
        <f>IFERROR(__xludf.DUMMYFUNCTION("""COMPUTED_VALUE"""),43979.64583333333)</f>
        <v>43979.64583</v>
      </c>
      <c r="C1643" s="9">
        <f>IFERROR(__xludf.DUMMYFUNCTION("""COMPUTED_VALUE"""),707.0)</f>
        <v>707</v>
      </c>
      <c r="D1643" s="9">
        <f>IFERROR(__xludf.DUMMYFUNCTION("""COMPUTED_VALUE"""),710.0)</f>
        <v>710</v>
      </c>
      <c r="E1643" s="9">
        <f>IFERROR(__xludf.DUMMYFUNCTION("""COMPUTED_VALUE"""),690.0)</f>
        <v>690</v>
      </c>
      <c r="F1643" s="9">
        <f>IFERROR(__xludf.DUMMYFUNCTION("""COMPUTED_VALUE"""),707.4)</f>
        <v>707.4</v>
      </c>
      <c r="G1643" s="9">
        <f>IFERROR(__xludf.DUMMYFUNCTION("""COMPUTED_VALUE"""),9440121.0)</f>
        <v>9440121</v>
      </c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</row>
    <row r="1644">
      <c r="A1644" s="1"/>
      <c r="B1644" s="22">
        <f>IFERROR(__xludf.DUMMYFUNCTION("""COMPUTED_VALUE"""),43980.64583333333)</f>
        <v>43980.64583</v>
      </c>
      <c r="C1644" s="9">
        <f>IFERROR(__xludf.DUMMYFUNCTION("""COMPUTED_VALUE"""),692.5)</f>
        <v>692.5</v>
      </c>
      <c r="D1644" s="9">
        <f>IFERROR(__xludf.DUMMYFUNCTION("""COMPUTED_VALUE"""),700.8)</f>
        <v>700.8</v>
      </c>
      <c r="E1644" s="9">
        <f>IFERROR(__xludf.DUMMYFUNCTION("""COMPUTED_VALUE"""),674.95)</f>
        <v>674.95</v>
      </c>
      <c r="F1644" s="9">
        <f>IFERROR(__xludf.DUMMYFUNCTION("""COMPUTED_VALUE"""),691.0)</f>
        <v>691</v>
      </c>
      <c r="G1644" s="9">
        <f>IFERROR(__xludf.DUMMYFUNCTION("""COMPUTED_VALUE"""),2.8291172E7)</f>
        <v>28291172</v>
      </c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</row>
    <row r="1645">
      <c r="A1645" s="1"/>
      <c r="B1645" s="22">
        <f>IFERROR(__xludf.DUMMYFUNCTION("""COMPUTED_VALUE"""),43983.64583333333)</f>
        <v>43983.64583</v>
      </c>
      <c r="C1645" s="9">
        <f>IFERROR(__xludf.DUMMYFUNCTION("""COMPUTED_VALUE"""),698.75)</f>
        <v>698.75</v>
      </c>
      <c r="D1645" s="9">
        <f>IFERROR(__xludf.DUMMYFUNCTION("""COMPUTED_VALUE"""),706.65)</f>
        <v>706.65</v>
      </c>
      <c r="E1645" s="9">
        <f>IFERROR(__xludf.DUMMYFUNCTION("""COMPUTED_VALUE"""),691.5)</f>
        <v>691.5</v>
      </c>
      <c r="F1645" s="9">
        <f>IFERROR(__xludf.DUMMYFUNCTION("""COMPUTED_VALUE"""),699.55)</f>
        <v>699.55</v>
      </c>
      <c r="G1645" s="9">
        <f>IFERROR(__xludf.DUMMYFUNCTION("""COMPUTED_VALUE"""),1.2276649E7)</f>
        <v>12276649</v>
      </c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</row>
    <row r="1646">
      <c r="A1646" s="1"/>
      <c r="B1646" s="22">
        <f>IFERROR(__xludf.DUMMYFUNCTION("""COMPUTED_VALUE"""),43984.64583333333)</f>
        <v>43984.64583</v>
      </c>
      <c r="C1646" s="9">
        <f>IFERROR(__xludf.DUMMYFUNCTION("""COMPUTED_VALUE"""),700.5)</f>
        <v>700.5</v>
      </c>
      <c r="D1646" s="9">
        <f>IFERROR(__xludf.DUMMYFUNCTION("""COMPUTED_VALUE"""),711.65)</f>
        <v>711.65</v>
      </c>
      <c r="E1646" s="9">
        <f>IFERROR(__xludf.DUMMYFUNCTION("""COMPUTED_VALUE"""),697.55)</f>
        <v>697.55</v>
      </c>
      <c r="F1646" s="9">
        <f>IFERROR(__xludf.DUMMYFUNCTION("""COMPUTED_VALUE"""),708.1)</f>
        <v>708.1</v>
      </c>
      <c r="G1646" s="9">
        <f>IFERROR(__xludf.DUMMYFUNCTION("""COMPUTED_VALUE"""),7059409.0)</f>
        <v>7059409</v>
      </c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</row>
    <row r="1647">
      <c r="A1647" s="1"/>
      <c r="B1647" s="22">
        <f>IFERROR(__xludf.DUMMYFUNCTION("""COMPUTED_VALUE"""),43985.64583333333)</f>
        <v>43985.64583</v>
      </c>
      <c r="C1647" s="9">
        <f>IFERROR(__xludf.DUMMYFUNCTION("""COMPUTED_VALUE"""),710.7)</f>
        <v>710.7</v>
      </c>
      <c r="D1647" s="9">
        <f>IFERROR(__xludf.DUMMYFUNCTION("""COMPUTED_VALUE"""),711.9)</f>
        <v>711.9</v>
      </c>
      <c r="E1647" s="9">
        <f>IFERROR(__xludf.DUMMYFUNCTION("""COMPUTED_VALUE"""),696.0)</f>
        <v>696</v>
      </c>
      <c r="F1647" s="9">
        <f>IFERROR(__xludf.DUMMYFUNCTION("""COMPUTED_VALUE"""),701.55)</f>
        <v>701.55</v>
      </c>
      <c r="G1647" s="9">
        <f>IFERROR(__xludf.DUMMYFUNCTION("""COMPUTED_VALUE"""),1.1378568E7)</f>
        <v>11378568</v>
      </c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</row>
    <row r="1648">
      <c r="A1648" s="1"/>
      <c r="B1648" s="22">
        <f>IFERROR(__xludf.DUMMYFUNCTION("""COMPUTED_VALUE"""),43986.64583333333)</f>
        <v>43986.64583</v>
      </c>
      <c r="C1648" s="9">
        <f>IFERROR(__xludf.DUMMYFUNCTION("""COMPUTED_VALUE"""),702.0)</f>
        <v>702</v>
      </c>
      <c r="D1648" s="9">
        <f>IFERROR(__xludf.DUMMYFUNCTION("""COMPUTED_VALUE"""),709.45)</f>
        <v>709.45</v>
      </c>
      <c r="E1648" s="9">
        <f>IFERROR(__xludf.DUMMYFUNCTION("""COMPUTED_VALUE"""),697.5)</f>
        <v>697.5</v>
      </c>
      <c r="F1648" s="9">
        <f>IFERROR(__xludf.DUMMYFUNCTION("""COMPUTED_VALUE"""),707.75)</f>
        <v>707.75</v>
      </c>
      <c r="G1648" s="9">
        <f>IFERROR(__xludf.DUMMYFUNCTION("""COMPUTED_VALUE"""),1.0783594E7)</f>
        <v>10783594</v>
      </c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</row>
    <row r="1649">
      <c r="A1649" s="1"/>
      <c r="B1649" s="22">
        <f>IFERROR(__xludf.DUMMYFUNCTION("""COMPUTED_VALUE"""),43987.64583333333)</f>
        <v>43987.64583</v>
      </c>
      <c r="C1649" s="9">
        <f>IFERROR(__xludf.DUMMYFUNCTION("""COMPUTED_VALUE"""),707.0)</f>
        <v>707</v>
      </c>
      <c r="D1649" s="9">
        <f>IFERROR(__xludf.DUMMYFUNCTION("""COMPUTED_VALUE"""),711.7)</f>
        <v>711.7</v>
      </c>
      <c r="E1649" s="9">
        <f>IFERROR(__xludf.DUMMYFUNCTION("""COMPUTED_VALUE"""),700.6)</f>
        <v>700.6</v>
      </c>
      <c r="F1649" s="9">
        <f>IFERROR(__xludf.DUMMYFUNCTION("""COMPUTED_VALUE"""),703.55)</f>
        <v>703.55</v>
      </c>
      <c r="G1649" s="9">
        <f>IFERROR(__xludf.DUMMYFUNCTION("""COMPUTED_VALUE"""),7718943.0)</f>
        <v>7718943</v>
      </c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</row>
    <row r="1650">
      <c r="A1650" s="1"/>
      <c r="B1650" s="22">
        <f>IFERROR(__xludf.DUMMYFUNCTION("""COMPUTED_VALUE"""),43990.64583333333)</f>
        <v>43990.64583</v>
      </c>
      <c r="C1650" s="9">
        <f>IFERROR(__xludf.DUMMYFUNCTION("""COMPUTED_VALUE"""),707.65)</f>
        <v>707.65</v>
      </c>
      <c r="D1650" s="9">
        <f>IFERROR(__xludf.DUMMYFUNCTION("""COMPUTED_VALUE"""),725.8)</f>
        <v>725.8</v>
      </c>
      <c r="E1650" s="9">
        <f>IFERROR(__xludf.DUMMYFUNCTION("""COMPUTED_VALUE"""),704.0)</f>
        <v>704</v>
      </c>
      <c r="F1650" s="9">
        <f>IFERROR(__xludf.DUMMYFUNCTION("""COMPUTED_VALUE"""),720.85)</f>
        <v>720.85</v>
      </c>
      <c r="G1650" s="9">
        <f>IFERROR(__xludf.DUMMYFUNCTION("""COMPUTED_VALUE"""),1.0719124E7)</f>
        <v>10719124</v>
      </c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</row>
    <row r="1651">
      <c r="A1651" s="1"/>
      <c r="B1651" s="22">
        <f>IFERROR(__xludf.DUMMYFUNCTION("""COMPUTED_VALUE"""),43991.64583333333)</f>
        <v>43991.64583</v>
      </c>
      <c r="C1651" s="9">
        <f>IFERROR(__xludf.DUMMYFUNCTION("""COMPUTED_VALUE"""),720.0)</f>
        <v>720</v>
      </c>
      <c r="D1651" s="9">
        <f>IFERROR(__xludf.DUMMYFUNCTION("""COMPUTED_VALUE"""),729.6)</f>
        <v>729.6</v>
      </c>
      <c r="E1651" s="9">
        <f>IFERROR(__xludf.DUMMYFUNCTION("""COMPUTED_VALUE"""),715.05)</f>
        <v>715.05</v>
      </c>
      <c r="F1651" s="9">
        <f>IFERROR(__xludf.DUMMYFUNCTION("""COMPUTED_VALUE"""),717.6)</f>
        <v>717.6</v>
      </c>
      <c r="G1651" s="9">
        <f>IFERROR(__xludf.DUMMYFUNCTION("""COMPUTED_VALUE"""),1.0078863E7)</f>
        <v>10078863</v>
      </c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</row>
    <row r="1652">
      <c r="A1652" s="1"/>
      <c r="B1652" s="22">
        <f>IFERROR(__xludf.DUMMYFUNCTION("""COMPUTED_VALUE"""),43992.64583333333)</f>
        <v>43992.64583</v>
      </c>
      <c r="C1652" s="9">
        <f>IFERROR(__xludf.DUMMYFUNCTION("""COMPUTED_VALUE"""),715.0)</f>
        <v>715</v>
      </c>
      <c r="D1652" s="9">
        <f>IFERROR(__xludf.DUMMYFUNCTION("""COMPUTED_VALUE"""),719.45)</f>
        <v>719.45</v>
      </c>
      <c r="E1652" s="9">
        <f>IFERROR(__xludf.DUMMYFUNCTION("""COMPUTED_VALUE"""),709.2)</f>
        <v>709.2</v>
      </c>
      <c r="F1652" s="9">
        <f>IFERROR(__xludf.DUMMYFUNCTION("""COMPUTED_VALUE"""),715.85)</f>
        <v>715.85</v>
      </c>
      <c r="G1652" s="9">
        <f>IFERROR(__xludf.DUMMYFUNCTION("""COMPUTED_VALUE"""),7263272.0)</f>
        <v>7263272</v>
      </c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</row>
    <row r="1653">
      <c r="A1653" s="1"/>
      <c r="B1653" s="22">
        <f>IFERROR(__xludf.DUMMYFUNCTION("""COMPUTED_VALUE"""),43993.64583333333)</f>
        <v>43993.64583</v>
      </c>
      <c r="C1653" s="9">
        <f>IFERROR(__xludf.DUMMYFUNCTION("""COMPUTED_VALUE"""),712.0)</f>
        <v>712</v>
      </c>
      <c r="D1653" s="9">
        <f>IFERROR(__xludf.DUMMYFUNCTION("""COMPUTED_VALUE"""),713.4)</f>
        <v>713.4</v>
      </c>
      <c r="E1653" s="9">
        <f>IFERROR(__xludf.DUMMYFUNCTION("""COMPUTED_VALUE"""),700.25)</f>
        <v>700.25</v>
      </c>
      <c r="F1653" s="9">
        <f>IFERROR(__xludf.DUMMYFUNCTION("""COMPUTED_VALUE"""),703.95)</f>
        <v>703.95</v>
      </c>
      <c r="G1653" s="9">
        <f>IFERROR(__xludf.DUMMYFUNCTION("""COMPUTED_VALUE"""),8825914.0)</f>
        <v>8825914</v>
      </c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</row>
    <row r="1654">
      <c r="A1654" s="1"/>
      <c r="B1654" s="22">
        <f>IFERROR(__xludf.DUMMYFUNCTION("""COMPUTED_VALUE"""),43994.64583333333)</f>
        <v>43994.64583</v>
      </c>
      <c r="C1654" s="9">
        <f>IFERROR(__xludf.DUMMYFUNCTION("""COMPUTED_VALUE"""),675.8)</f>
        <v>675.8</v>
      </c>
      <c r="D1654" s="9">
        <f>IFERROR(__xludf.DUMMYFUNCTION("""COMPUTED_VALUE"""),695.15)</f>
        <v>695.15</v>
      </c>
      <c r="E1654" s="9">
        <f>IFERROR(__xludf.DUMMYFUNCTION("""COMPUTED_VALUE"""),675.5)</f>
        <v>675.5</v>
      </c>
      <c r="F1654" s="9">
        <f>IFERROR(__xludf.DUMMYFUNCTION("""COMPUTED_VALUE"""),692.05)</f>
        <v>692.05</v>
      </c>
      <c r="G1654" s="9">
        <f>IFERROR(__xludf.DUMMYFUNCTION("""COMPUTED_VALUE"""),9796064.0)</f>
        <v>9796064</v>
      </c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</row>
    <row r="1655">
      <c r="A1655" s="1"/>
      <c r="B1655" s="22">
        <f>IFERROR(__xludf.DUMMYFUNCTION("""COMPUTED_VALUE"""),43997.64583333333)</f>
        <v>43997.64583</v>
      </c>
      <c r="C1655" s="9">
        <f>IFERROR(__xludf.DUMMYFUNCTION("""COMPUTED_VALUE"""),693.0)</f>
        <v>693</v>
      </c>
      <c r="D1655" s="9">
        <f>IFERROR(__xludf.DUMMYFUNCTION("""COMPUTED_VALUE"""),704.4)</f>
        <v>704.4</v>
      </c>
      <c r="E1655" s="9">
        <f>IFERROR(__xludf.DUMMYFUNCTION("""COMPUTED_VALUE"""),685.25)</f>
        <v>685.25</v>
      </c>
      <c r="F1655" s="9">
        <f>IFERROR(__xludf.DUMMYFUNCTION("""COMPUTED_VALUE"""),687.55)</f>
        <v>687.55</v>
      </c>
      <c r="G1655" s="9">
        <f>IFERROR(__xludf.DUMMYFUNCTION("""COMPUTED_VALUE"""),7857344.0)</f>
        <v>7857344</v>
      </c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</row>
    <row r="1656">
      <c r="A1656" s="1"/>
      <c r="B1656" s="22">
        <f>IFERROR(__xludf.DUMMYFUNCTION("""COMPUTED_VALUE"""),43998.64583333333)</f>
        <v>43998.64583</v>
      </c>
      <c r="C1656" s="9">
        <f>IFERROR(__xludf.DUMMYFUNCTION("""COMPUTED_VALUE"""),702.0)</f>
        <v>702</v>
      </c>
      <c r="D1656" s="9">
        <f>IFERROR(__xludf.DUMMYFUNCTION("""COMPUTED_VALUE"""),712.0)</f>
        <v>712</v>
      </c>
      <c r="E1656" s="9">
        <f>IFERROR(__xludf.DUMMYFUNCTION("""COMPUTED_VALUE"""),699.15)</f>
        <v>699.15</v>
      </c>
      <c r="F1656" s="9">
        <f>IFERROR(__xludf.DUMMYFUNCTION("""COMPUTED_VALUE"""),701.2)</f>
        <v>701.2</v>
      </c>
      <c r="G1656" s="9">
        <f>IFERROR(__xludf.DUMMYFUNCTION("""COMPUTED_VALUE"""),1.0132423E7)</f>
        <v>10132423</v>
      </c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</row>
    <row r="1657">
      <c r="A1657" s="1"/>
      <c r="B1657" s="22">
        <f>IFERROR(__xludf.DUMMYFUNCTION("""COMPUTED_VALUE"""),43999.64583333333)</f>
        <v>43999.64583</v>
      </c>
      <c r="C1657" s="9">
        <f>IFERROR(__xludf.DUMMYFUNCTION("""COMPUTED_VALUE"""),699.9)</f>
        <v>699.9</v>
      </c>
      <c r="D1657" s="9">
        <f>IFERROR(__xludf.DUMMYFUNCTION("""COMPUTED_VALUE"""),710.3)</f>
        <v>710.3</v>
      </c>
      <c r="E1657" s="9">
        <f>IFERROR(__xludf.DUMMYFUNCTION("""COMPUTED_VALUE"""),698.0)</f>
        <v>698</v>
      </c>
      <c r="F1657" s="9">
        <f>IFERROR(__xludf.DUMMYFUNCTION("""COMPUTED_VALUE"""),703.65)</f>
        <v>703.65</v>
      </c>
      <c r="G1657" s="9">
        <f>IFERROR(__xludf.DUMMYFUNCTION("""COMPUTED_VALUE"""),7291919.0)</f>
        <v>7291919</v>
      </c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</row>
    <row r="1658">
      <c r="A1658" s="1"/>
      <c r="B1658" s="22">
        <f>IFERROR(__xludf.DUMMYFUNCTION("""COMPUTED_VALUE"""),44000.64583333333)</f>
        <v>44000.64583</v>
      </c>
      <c r="C1658" s="9">
        <f>IFERROR(__xludf.DUMMYFUNCTION("""COMPUTED_VALUE"""),708.2)</f>
        <v>708.2</v>
      </c>
      <c r="D1658" s="9">
        <f>IFERROR(__xludf.DUMMYFUNCTION("""COMPUTED_VALUE"""),716.6)</f>
        <v>716.6</v>
      </c>
      <c r="E1658" s="9">
        <f>IFERROR(__xludf.DUMMYFUNCTION("""COMPUTED_VALUE"""),706.0)</f>
        <v>706</v>
      </c>
      <c r="F1658" s="9">
        <f>IFERROR(__xludf.DUMMYFUNCTION("""COMPUTED_VALUE"""),713.9)</f>
        <v>713.9</v>
      </c>
      <c r="G1658" s="9">
        <f>IFERROR(__xludf.DUMMYFUNCTION("""COMPUTED_VALUE"""),6670206.0)</f>
        <v>6670206</v>
      </c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</row>
    <row r="1659">
      <c r="A1659" s="1"/>
      <c r="B1659" s="22">
        <f>IFERROR(__xludf.DUMMYFUNCTION("""COMPUTED_VALUE"""),44001.64583333333)</f>
        <v>44001.64583</v>
      </c>
      <c r="C1659" s="9">
        <f>IFERROR(__xludf.DUMMYFUNCTION("""COMPUTED_VALUE"""),709.0)</f>
        <v>709</v>
      </c>
      <c r="D1659" s="9">
        <f>IFERROR(__xludf.DUMMYFUNCTION("""COMPUTED_VALUE"""),711.9)</f>
        <v>711.9</v>
      </c>
      <c r="E1659" s="9">
        <f>IFERROR(__xludf.DUMMYFUNCTION("""COMPUTED_VALUE"""),701.0)</f>
        <v>701</v>
      </c>
      <c r="F1659" s="9">
        <f>IFERROR(__xludf.DUMMYFUNCTION("""COMPUTED_VALUE"""),705.55)</f>
        <v>705.55</v>
      </c>
      <c r="G1659" s="9">
        <f>IFERROR(__xludf.DUMMYFUNCTION("""COMPUTED_VALUE"""),2.2438873E7)</f>
        <v>22438873</v>
      </c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</row>
    <row r="1660">
      <c r="A1660" s="1"/>
      <c r="B1660" s="22">
        <f>IFERROR(__xludf.DUMMYFUNCTION("""COMPUTED_VALUE"""),44004.64583333333)</f>
        <v>44004.64583</v>
      </c>
      <c r="C1660" s="9">
        <f>IFERROR(__xludf.DUMMYFUNCTION("""COMPUTED_VALUE"""),707.1)</f>
        <v>707.1</v>
      </c>
      <c r="D1660" s="9">
        <f>IFERROR(__xludf.DUMMYFUNCTION("""COMPUTED_VALUE"""),708.7)</f>
        <v>708.7</v>
      </c>
      <c r="E1660" s="9">
        <f>IFERROR(__xludf.DUMMYFUNCTION("""COMPUTED_VALUE"""),700.0)</f>
        <v>700</v>
      </c>
      <c r="F1660" s="9">
        <f>IFERROR(__xludf.DUMMYFUNCTION("""COMPUTED_VALUE"""),703.7)</f>
        <v>703.7</v>
      </c>
      <c r="G1660" s="9">
        <f>IFERROR(__xludf.DUMMYFUNCTION("""COMPUTED_VALUE"""),7804139.0)</f>
        <v>7804139</v>
      </c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</row>
    <row r="1661">
      <c r="A1661" s="1"/>
      <c r="B1661" s="22">
        <f>IFERROR(__xludf.DUMMYFUNCTION("""COMPUTED_VALUE"""),44005.64583333333)</f>
        <v>44005.64583</v>
      </c>
      <c r="C1661" s="9">
        <f>IFERROR(__xludf.DUMMYFUNCTION("""COMPUTED_VALUE"""),695.7)</f>
        <v>695.7</v>
      </c>
      <c r="D1661" s="9">
        <f>IFERROR(__xludf.DUMMYFUNCTION("""COMPUTED_VALUE"""),724.5)</f>
        <v>724.5</v>
      </c>
      <c r="E1661" s="9">
        <f>IFERROR(__xludf.DUMMYFUNCTION("""COMPUTED_VALUE"""),692.1)</f>
        <v>692.1</v>
      </c>
      <c r="F1661" s="9">
        <f>IFERROR(__xludf.DUMMYFUNCTION("""COMPUTED_VALUE"""),720.65)</f>
        <v>720.65</v>
      </c>
      <c r="G1661" s="9">
        <f>IFERROR(__xludf.DUMMYFUNCTION("""COMPUTED_VALUE"""),1.2157486E7)</f>
        <v>12157486</v>
      </c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</row>
    <row r="1662">
      <c r="A1662" s="1"/>
      <c r="B1662" s="22">
        <f>IFERROR(__xludf.DUMMYFUNCTION("""COMPUTED_VALUE"""),44006.64583333333)</f>
        <v>44006.64583</v>
      </c>
      <c r="C1662" s="9">
        <f>IFERROR(__xludf.DUMMYFUNCTION("""COMPUTED_VALUE"""),716.9)</f>
        <v>716.9</v>
      </c>
      <c r="D1662" s="9">
        <f>IFERROR(__xludf.DUMMYFUNCTION("""COMPUTED_VALUE"""),726.8)</f>
        <v>726.8</v>
      </c>
      <c r="E1662" s="9">
        <f>IFERROR(__xludf.DUMMYFUNCTION("""COMPUTED_VALUE"""),709.4)</f>
        <v>709.4</v>
      </c>
      <c r="F1662" s="9">
        <f>IFERROR(__xludf.DUMMYFUNCTION("""COMPUTED_VALUE"""),714.15)</f>
        <v>714.15</v>
      </c>
      <c r="G1662" s="9">
        <f>IFERROR(__xludf.DUMMYFUNCTION("""COMPUTED_VALUE"""),1.0220908E7)</f>
        <v>10220908</v>
      </c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</row>
    <row r="1663">
      <c r="A1663" s="1"/>
      <c r="B1663" s="22">
        <f>IFERROR(__xludf.DUMMYFUNCTION("""COMPUTED_VALUE"""),44007.64583333333)</f>
        <v>44007.64583</v>
      </c>
      <c r="C1663" s="9">
        <f>IFERROR(__xludf.DUMMYFUNCTION("""COMPUTED_VALUE"""),704.85)</f>
        <v>704.85</v>
      </c>
      <c r="D1663" s="9">
        <f>IFERROR(__xludf.DUMMYFUNCTION("""COMPUTED_VALUE"""),705.6)</f>
        <v>705.6</v>
      </c>
      <c r="E1663" s="9">
        <f>IFERROR(__xludf.DUMMYFUNCTION("""COMPUTED_VALUE"""),693.5)</f>
        <v>693.5</v>
      </c>
      <c r="F1663" s="9">
        <f>IFERROR(__xludf.DUMMYFUNCTION("""COMPUTED_VALUE"""),700.5)</f>
        <v>700.5</v>
      </c>
      <c r="G1663" s="9">
        <f>IFERROR(__xludf.DUMMYFUNCTION("""COMPUTED_VALUE"""),1.4945304E7)</f>
        <v>14945304</v>
      </c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</row>
    <row r="1664">
      <c r="A1664" s="1"/>
      <c r="B1664" s="22">
        <f>IFERROR(__xludf.DUMMYFUNCTION("""COMPUTED_VALUE"""),44008.64583333333)</f>
        <v>44008.64583</v>
      </c>
      <c r="C1664" s="9">
        <f>IFERROR(__xludf.DUMMYFUNCTION("""COMPUTED_VALUE"""),710.2)</f>
        <v>710.2</v>
      </c>
      <c r="D1664" s="9">
        <f>IFERROR(__xludf.DUMMYFUNCTION("""COMPUTED_VALUE"""),751.6)</f>
        <v>751.6</v>
      </c>
      <c r="E1664" s="9">
        <f>IFERROR(__xludf.DUMMYFUNCTION("""COMPUTED_VALUE"""),710.0)</f>
        <v>710</v>
      </c>
      <c r="F1664" s="9">
        <f>IFERROR(__xludf.DUMMYFUNCTION("""COMPUTED_VALUE"""),748.2)</f>
        <v>748.2</v>
      </c>
      <c r="G1664" s="9">
        <f>IFERROR(__xludf.DUMMYFUNCTION("""COMPUTED_VALUE"""),2.6030535E7)</f>
        <v>26030535</v>
      </c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</row>
    <row r="1665">
      <c r="A1665" s="1"/>
      <c r="B1665" s="22">
        <f>IFERROR(__xludf.DUMMYFUNCTION("""COMPUTED_VALUE"""),44011.64583333333)</f>
        <v>44011.64583</v>
      </c>
      <c r="C1665" s="9">
        <f>IFERROR(__xludf.DUMMYFUNCTION("""COMPUTED_VALUE"""),735.4)</f>
        <v>735.4</v>
      </c>
      <c r="D1665" s="9">
        <f>IFERROR(__xludf.DUMMYFUNCTION("""COMPUTED_VALUE"""),744.7)</f>
        <v>744.7</v>
      </c>
      <c r="E1665" s="9">
        <f>IFERROR(__xludf.DUMMYFUNCTION("""COMPUTED_VALUE"""),730.1)</f>
        <v>730.1</v>
      </c>
      <c r="F1665" s="9">
        <f>IFERROR(__xludf.DUMMYFUNCTION("""COMPUTED_VALUE"""),731.75)</f>
        <v>731.75</v>
      </c>
      <c r="G1665" s="9">
        <f>IFERROR(__xludf.DUMMYFUNCTION("""COMPUTED_VALUE"""),8954490.0)</f>
        <v>8954490</v>
      </c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</row>
    <row r="1666">
      <c r="A1666" s="1"/>
      <c r="B1666" s="22">
        <f>IFERROR(__xludf.DUMMYFUNCTION("""COMPUTED_VALUE"""),44012.64583333333)</f>
        <v>44012.64583</v>
      </c>
      <c r="C1666" s="9">
        <f>IFERROR(__xludf.DUMMYFUNCTION("""COMPUTED_VALUE"""),732.8)</f>
        <v>732.8</v>
      </c>
      <c r="D1666" s="9">
        <f>IFERROR(__xludf.DUMMYFUNCTION("""COMPUTED_VALUE"""),738.95)</f>
        <v>738.95</v>
      </c>
      <c r="E1666" s="9">
        <f>IFERROR(__xludf.DUMMYFUNCTION("""COMPUTED_VALUE"""),724.25)</f>
        <v>724.25</v>
      </c>
      <c r="F1666" s="9">
        <f>IFERROR(__xludf.DUMMYFUNCTION("""COMPUTED_VALUE"""),735.95)</f>
        <v>735.95</v>
      </c>
      <c r="G1666" s="9">
        <f>IFERROR(__xludf.DUMMYFUNCTION("""COMPUTED_VALUE"""),1.0411347E7)</f>
        <v>10411347</v>
      </c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</row>
    <row r="1667">
      <c r="A1667" s="1"/>
      <c r="B1667" s="22">
        <f>IFERROR(__xludf.DUMMYFUNCTION("""COMPUTED_VALUE"""),44013.64583333333)</f>
        <v>44013.64583</v>
      </c>
      <c r="C1667" s="9">
        <f>IFERROR(__xludf.DUMMYFUNCTION("""COMPUTED_VALUE"""),737.25)</f>
        <v>737.25</v>
      </c>
      <c r="D1667" s="9">
        <f>IFERROR(__xludf.DUMMYFUNCTION("""COMPUTED_VALUE"""),742.3)</f>
        <v>742.3</v>
      </c>
      <c r="E1667" s="9">
        <f>IFERROR(__xludf.DUMMYFUNCTION("""COMPUTED_VALUE"""),729.75)</f>
        <v>729.75</v>
      </c>
      <c r="F1667" s="9">
        <f>IFERROR(__xludf.DUMMYFUNCTION("""COMPUTED_VALUE"""),731.9)</f>
        <v>731.9</v>
      </c>
      <c r="G1667" s="9">
        <f>IFERROR(__xludf.DUMMYFUNCTION("""COMPUTED_VALUE"""),5477687.0)</f>
        <v>5477687</v>
      </c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</row>
    <row r="1668">
      <c r="A1668" s="1"/>
      <c r="B1668" s="22">
        <f>IFERROR(__xludf.DUMMYFUNCTION("""COMPUTED_VALUE"""),44014.64583333333)</f>
        <v>44014.64583</v>
      </c>
      <c r="C1668" s="9">
        <f>IFERROR(__xludf.DUMMYFUNCTION("""COMPUTED_VALUE"""),737.35)</f>
        <v>737.35</v>
      </c>
      <c r="D1668" s="9">
        <f>IFERROR(__xludf.DUMMYFUNCTION("""COMPUTED_VALUE"""),765.45)</f>
        <v>765.45</v>
      </c>
      <c r="E1668" s="9">
        <f>IFERROR(__xludf.DUMMYFUNCTION("""COMPUTED_VALUE"""),735.4)</f>
        <v>735.4</v>
      </c>
      <c r="F1668" s="9">
        <f>IFERROR(__xludf.DUMMYFUNCTION("""COMPUTED_VALUE"""),756.6)</f>
        <v>756.6</v>
      </c>
      <c r="G1668" s="9">
        <f>IFERROR(__xludf.DUMMYFUNCTION("""COMPUTED_VALUE"""),1.7263764E7)</f>
        <v>17263764</v>
      </c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</row>
    <row r="1669">
      <c r="A1669" s="1"/>
      <c r="B1669" s="22">
        <f>IFERROR(__xludf.DUMMYFUNCTION("""COMPUTED_VALUE"""),44015.64583333333)</f>
        <v>44015.64583</v>
      </c>
      <c r="C1669" s="9">
        <f>IFERROR(__xludf.DUMMYFUNCTION("""COMPUTED_VALUE"""),755.0)</f>
        <v>755</v>
      </c>
      <c r="D1669" s="9">
        <f>IFERROR(__xludf.DUMMYFUNCTION("""COMPUTED_VALUE"""),764.0)</f>
        <v>764</v>
      </c>
      <c r="E1669" s="9">
        <f>IFERROR(__xludf.DUMMYFUNCTION("""COMPUTED_VALUE"""),752.5)</f>
        <v>752.5</v>
      </c>
      <c r="F1669" s="9">
        <f>IFERROR(__xludf.DUMMYFUNCTION("""COMPUTED_VALUE"""),762.7)</f>
        <v>762.7</v>
      </c>
      <c r="G1669" s="9">
        <f>IFERROR(__xludf.DUMMYFUNCTION("""COMPUTED_VALUE"""),7796573.0)</f>
        <v>7796573</v>
      </c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</row>
    <row r="1670">
      <c r="A1670" s="1"/>
      <c r="B1670" s="22">
        <f>IFERROR(__xludf.DUMMYFUNCTION("""COMPUTED_VALUE"""),44018.64583333333)</f>
        <v>44018.64583</v>
      </c>
      <c r="C1670" s="9">
        <f>IFERROR(__xludf.DUMMYFUNCTION("""COMPUTED_VALUE"""),765.2)</f>
        <v>765.2</v>
      </c>
      <c r="D1670" s="9">
        <f>IFERROR(__xludf.DUMMYFUNCTION("""COMPUTED_VALUE"""),775.0)</f>
        <v>775</v>
      </c>
      <c r="E1670" s="9">
        <f>IFERROR(__xludf.DUMMYFUNCTION("""COMPUTED_VALUE"""),761.5)</f>
        <v>761.5</v>
      </c>
      <c r="F1670" s="9">
        <f>IFERROR(__xludf.DUMMYFUNCTION("""COMPUTED_VALUE"""),764.0)</f>
        <v>764</v>
      </c>
      <c r="G1670" s="9">
        <f>IFERROR(__xludf.DUMMYFUNCTION("""COMPUTED_VALUE"""),8811009.0)</f>
        <v>8811009</v>
      </c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</row>
    <row r="1671">
      <c r="A1671" s="1"/>
      <c r="B1671" s="22">
        <f>IFERROR(__xludf.DUMMYFUNCTION("""COMPUTED_VALUE"""),44019.64583333333)</f>
        <v>44019.64583</v>
      </c>
      <c r="C1671" s="9">
        <f>IFERROR(__xludf.DUMMYFUNCTION("""COMPUTED_VALUE"""),769.4)</f>
        <v>769.4</v>
      </c>
      <c r="D1671" s="9">
        <f>IFERROR(__xludf.DUMMYFUNCTION("""COMPUTED_VALUE"""),796.95)</f>
        <v>796.95</v>
      </c>
      <c r="E1671" s="9">
        <f>IFERROR(__xludf.DUMMYFUNCTION("""COMPUTED_VALUE"""),765.55)</f>
        <v>765.55</v>
      </c>
      <c r="F1671" s="9">
        <f>IFERROR(__xludf.DUMMYFUNCTION("""COMPUTED_VALUE"""),794.15)</f>
        <v>794.15</v>
      </c>
      <c r="G1671" s="9">
        <f>IFERROR(__xludf.DUMMYFUNCTION("""COMPUTED_VALUE"""),1.9362666E7)</f>
        <v>19362666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</row>
    <row r="1672">
      <c r="A1672" s="1"/>
      <c r="B1672" s="22">
        <f>IFERROR(__xludf.DUMMYFUNCTION("""COMPUTED_VALUE"""),44020.64583333333)</f>
        <v>44020.64583</v>
      </c>
      <c r="C1672" s="9">
        <f>IFERROR(__xludf.DUMMYFUNCTION("""COMPUTED_VALUE"""),784.9)</f>
        <v>784.9</v>
      </c>
      <c r="D1672" s="9">
        <f>IFERROR(__xludf.DUMMYFUNCTION("""COMPUTED_VALUE"""),784.9)</f>
        <v>784.9</v>
      </c>
      <c r="E1672" s="9">
        <f>IFERROR(__xludf.DUMMYFUNCTION("""COMPUTED_VALUE"""),772.2)</f>
        <v>772.2</v>
      </c>
      <c r="F1672" s="9">
        <f>IFERROR(__xludf.DUMMYFUNCTION("""COMPUTED_VALUE"""),774.7)</f>
        <v>774.7</v>
      </c>
      <c r="G1672" s="9">
        <f>IFERROR(__xludf.DUMMYFUNCTION("""COMPUTED_VALUE"""),8476675.0)</f>
        <v>8476675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</row>
    <row r="1673">
      <c r="A1673" s="1"/>
      <c r="B1673" s="22">
        <f>IFERROR(__xludf.DUMMYFUNCTION("""COMPUTED_VALUE"""),44021.64583333333)</f>
        <v>44021.64583</v>
      </c>
      <c r="C1673" s="9">
        <f>IFERROR(__xludf.DUMMYFUNCTION("""COMPUTED_VALUE"""),780.0)</f>
        <v>780</v>
      </c>
      <c r="D1673" s="9">
        <f>IFERROR(__xludf.DUMMYFUNCTION("""COMPUTED_VALUE"""),790.0)</f>
        <v>790</v>
      </c>
      <c r="E1673" s="9">
        <f>IFERROR(__xludf.DUMMYFUNCTION("""COMPUTED_VALUE"""),775.0)</f>
        <v>775</v>
      </c>
      <c r="F1673" s="9">
        <f>IFERROR(__xludf.DUMMYFUNCTION("""COMPUTED_VALUE"""),781.7)</f>
        <v>781.7</v>
      </c>
      <c r="G1673" s="9">
        <f>IFERROR(__xludf.DUMMYFUNCTION("""COMPUTED_VALUE"""),6854196.0)</f>
        <v>6854196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</row>
    <row r="1674">
      <c r="A1674" s="1"/>
      <c r="B1674" s="22">
        <f>IFERROR(__xludf.DUMMYFUNCTION("""COMPUTED_VALUE"""),44022.64583333333)</f>
        <v>44022.64583</v>
      </c>
      <c r="C1674" s="9">
        <f>IFERROR(__xludf.DUMMYFUNCTION("""COMPUTED_VALUE"""),773.5)</f>
        <v>773.5</v>
      </c>
      <c r="D1674" s="9">
        <f>IFERROR(__xludf.DUMMYFUNCTION("""COMPUTED_VALUE"""),789.9)</f>
        <v>789.9</v>
      </c>
      <c r="E1674" s="9">
        <f>IFERROR(__xludf.DUMMYFUNCTION("""COMPUTED_VALUE"""),773.5)</f>
        <v>773.5</v>
      </c>
      <c r="F1674" s="9">
        <f>IFERROR(__xludf.DUMMYFUNCTION("""COMPUTED_VALUE"""),781.85)</f>
        <v>781.85</v>
      </c>
      <c r="G1674" s="9">
        <f>IFERROR(__xludf.DUMMYFUNCTION("""COMPUTED_VALUE"""),5206452.0)</f>
        <v>5206452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</row>
    <row r="1675">
      <c r="A1675" s="1"/>
      <c r="B1675" s="22">
        <f>IFERROR(__xludf.DUMMYFUNCTION("""COMPUTED_VALUE"""),44025.64583333333)</f>
        <v>44025.64583</v>
      </c>
      <c r="C1675" s="9">
        <f>IFERROR(__xludf.DUMMYFUNCTION("""COMPUTED_VALUE"""),788.0)</f>
        <v>788</v>
      </c>
      <c r="D1675" s="9">
        <f>IFERROR(__xludf.DUMMYFUNCTION("""COMPUTED_VALUE"""),805.35)</f>
        <v>805.35</v>
      </c>
      <c r="E1675" s="9">
        <f>IFERROR(__xludf.DUMMYFUNCTION("""COMPUTED_VALUE"""),786.05)</f>
        <v>786.05</v>
      </c>
      <c r="F1675" s="9">
        <f>IFERROR(__xludf.DUMMYFUNCTION("""COMPUTED_VALUE"""),797.05)</f>
        <v>797.05</v>
      </c>
      <c r="G1675" s="9">
        <f>IFERROR(__xludf.DUMMYFUNCTION("""COMPUTED_VALUE"""),1.0804911E7)</f>
        <v>10804911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</row>
    <row r="1676">
      <c r="A1676" s="1"/>
      <c r="B1676" s="22">
        <f>IFERROR(__xludf.DUMMYFUNCTION("""COMPUTED_VALUE"""),44026.64583333333)</f>
        <v>44026.64583</v>
      </c>
      <c r="C1676" s="9">
        <f>IFERROR(__xludf.DUMMYFUNCTION("""COMPUTED_VALUE"""),792.95)</f>
        <v>792.95</v>
      </c>
      <c r="D1676" s="9">
        <f>IFERROR(__xludf.DUMMYFUNCTION("""COMPUTED_VALUE"""),806.4)</f>
        <v>806.4</v>
      </c>
      <c r="E1676" s="9">
        <f>IFERROR(__xludf.DUMMYFUNCTION("""COMPUTED_VALUE"""),781.35)</f>
        <v>781.35</v>
      </c>
      <c r="F1676" s="9">
        <f>IFERROR(__xludf.DUMMYFUNCTION("""COMPUTED_VALUE"""),783.25)</f>
        <v>783.25</v>
      </c>
      <c r="G1676" s="9">
        <f>IFERROR(__xludf.DUMMYFUNCTION("""COMPUTED_VALUE"""),8961822.0)</f>
        <v>8961822</v>
      </c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</row>
    <row r="1677">
      <c r="A1677" s="1"/>
      <c r="B1677" s="22">
        <f>IFERROR(__xludf.DUMMYFUNCTION("""COMPUTED_VALUE"""),44027.64583333333)</f>
        <v>44027.64583</v>
      </c>
      <c r="C1677" s="9">
        <f>IFERROR(__xludf.DUMMYFUNCTION("""COMPUTED_VALUE"""),799.0)</f>
        <v>799</v>
      </c>
      <c r="D1677" s="9">
        <f>IFERROR(__xludf.DUMMYFUNCTION("""COMPUTED_VALUE"""),848.45)</f>
        <v>848.45</v>
      </c>
      <c r="E1677" s="9">
        <f>IFERROR(__xludf.DUMMYFUNCTION("""COMPUTED_VALUE"""),794.8)</f>
        <v>794.8</v>
      </c>
      <c r="F1677" s="9">
        <f>IFERROR(__xludf.DUMMYFUNCTION("""COMPUTED_VALUE"""),830.95)</f>
        <v>830.95</v>
      </c>
      <c r="G1677" s="9">
        <f>IFERROR(__xludf.DUMMYFUNCTION("""COMPUTED_VALUE"""),3.0060998E7)</f>
        <v>30060998</v>
      </c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</row>
    <row r="1678">
      <c r="A1678" s="1"/>
      <c r="B1678" s="22">
        <f>IFERROR(__xludf.DUMMYFUNCTION("""COMPUTED_VALUE"""),44028.64583333333)</f>
        <v>44028.64583</v>
      </c>
      <c r="C1678" s="9">
        <f>IFERROR(__xludf.DUMMYFUNCTION("""COMPUTED_VALUE"""),900.1)</f>
        <v>900.1</v>
      </c>
      <c r="D1678" s="9">
        <f>IFERROR(__xludf.DUMMYFUNCTION("""COMPUTED_VALUE"""),955.5)</f>
        <v>955.5</v>
      </c>
      <c r="E1678" s="9">
        <f>IFERROR(__xludf.DUMMYFUNCTION("""COMPUTED_VALUE"""),894.25)</f>
        <v>894.25</v>
      </c>
      <c r="F1678" s="9">
        <f>IFERROR(__xludf.DUMMYFUNCTION("""COMPUTED_VALUE"""),911.0)</f>
        <v>911</v>
      </c>
      <c r="G1678" s="9">
        <f>IFERROR(__xludf.DUMMYFUNCTION("""COMPUTED_VALUE"""),9.0433393E7)</f>
        <v>90433393</v>
      </c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</row>
    <row r="1679">
      <c r="A1679" s="1"/>
      <c r="B1679" s="22">
        <f>IFERROR(__xludf.DUMMYFUNCTION("""COMPUTED_VALUE"""),44029.64583333333)</f>
        <v>44029.64583</v>
      </c>
      <c r="C1679" s="9">
        <f>IFERROR(__xludf.DUMMYFUNCTION("""COMPUTED_VALUE"""),911.0)</f>
        <v>911</v>
      </c>
      <c r="D1679" s="9">
        <f>IFERROR(__xludf.DUMMYFUNCTION("""COMPUTED_VALUE"""),919.9)</f>
        <v>919.9</v>
      </c>
      <c r="E1679" s="9">
        <f>IFERROR(__xludf.DUMMYFUNCTION("""COMPUTED_VALUE"""),892.15)</f>
        <v>892.15</v>
      </c>
      <c r="F1679" s="9">
        <f>IFERROR(__xludf.DUMMYFUNCTION("""COMPUTED_VALUE"""),903.15)</f>
        <v>903.15</v>
      </c>
      <c r="G1679" s="9">
        <f>IFERROR(__xludf.DUMMYFUNCTION("""COMPUTED_VALUE"""),3.1682904E7)</f>
        <v>31682904</v>
      </c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</row>
    <row r="1680">
      <c r="A1680" s="1"/>
      <c r="B1680" s="22">
        <f>IFERROR(__xludf.DUMMYFUNCTION("""COMPUTED_VALUE"""),44032.64583333333)</f>
        <v>44032.64583</v>
      </c>
      <c r="C1680" s="9">
        <f>IFERROR(__xludf.DUMMYFUNCTION("""COMPUTED_VALUE"""),908.5)</f>
        <v>908.5</v>
      </c>
      <c r="D1680" s="9">
        <f>IFERROR(__xludf.DUMMYFUNCTION("""COMPUTED_VALUE"""),945.0)</f>
        <v>945</v>
      </c>
      <c r="E1680" s="9">
        <f>IFERROR(__xludf.DUMMYFUNCTION("""COMPUTED_VALUE"""),906.75)</f>
        <v>906.75</v>
      </c>
      <c r="F1680" s="9">
        <f>IFERROR(__xludf.DUMMYFUNCTION("""COMPUTED_VALUE"""),934.3)</f>
        <v>934.3</v>
      </c>
      <c r="G1680" s="9">
        <f>IFERROR(__xludf.DUMMYFUNCTION("""COMPUTED_VALUE"""),1.8421083E7)</f>
        <v>18421083</v>
      </c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</row>
    <row r="1681">
      <c r="A1681" s="1"/>
      <c r="B1681" s="22">
        <f>IFERROR(__xludf.DUMMYFUNCTION("""COMPUTED_VALUE"""),44033.64583333333)</f>
        <v>44033.64583</v>
      </c>
      <c r="C1681" s="9">
        <f>IFERROR(__xludf.DUMMYFUNCTION("""COMPUTED_VALUE"""),945.0)</f>
        <v>945</v>
      </c>
      <c r="D1681" s="9">
        <f>IFERROR(__xludf.DUMMYFUNCTION("""COMPUTED_VALUE"""),949.7)</f>
        <v>949.7</v>
      </c>
      <c r="E1681" s="9">
        <f>IFERROR(__xludf.DUMMYFUNCTION("""COMPUTED_VALUE"""),929.2)</f>
        <v>929.2</v>
      </c>
      <c r="F1681" s="9">
        <f>IFERROR(__xludf.DUMMYFUNCTION("""COMPUTED_VALUE"""),936.75)</f>
        <v>936.75</v>
      </c>
      <c r="G1681" s="9">
        <f>IFERROR(__xludf.DUMMYFUNCTION("""COMPUTED_VALUE"""),1.2877814E7)</f>
        <v>12877814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</row>
    <row r="1682">
      <c r="A1682" s="1"/>
      <c r="B1682" s="22">
        <f>IFERROR(__xludf.DUMMYFUNCTION("""COMPUTED_VALUE"""),44034.64583333333)</f>
        <v>44034.64583</v>
      </c>
      <c r="C1682" s="9">
        <f>IFERROR(__xludf.DUMMYFUNCTION("""COMPUTED_VALUE"""),938.95)</f>
        <v>938.95</v>
      </c>
      <c r="D1682" s="9">
        <f>IFERROR(__xludf.DUMMYFUNCTION("""COMPUTED_VALUE"""),939.0)</f>
        <v>939</v>
      </c>
      <c r="E1682" s="9">
        <f>IFERROR(__xludf.DUMMYFUNCTION("""COMPUTED_VALUE"""),910.0)</f>
        <v>910</v>
      </c>
      <c r="F1682" s="9">
        <f>IFERROR(__xludf.DUMMYFUNCTION("""COMPUTED_VALUE"""),917.9)</f>
        <v>917.9</v>
      </c>
      <c r="G1682" s="9">
        <f>IFERROR(__xludf.DUMMYFUNCTION("""COMPUTED_VALUE"""),1.4354421E7)</f>
        <v>14354421</v>
      </c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</row>
    <row r="1683">
      <c r="A1683" s="1"/>
      <c r="B1683" s="22">
        <f>IFERROR(__xludf.DUMMYFUNCTION("""COMPUTED_VALUE"""),44035.64583333333)</f>
        <v>44035.64583</v>
      </c>
      <c r="C1683" s="9">
        <f>IFERROR(__xludf.DUMMYFUNCTION("""COMPUTED_VALUE"""),915.65)</f>
        <v>915.65</v>
      </c>
      <c r="D1683" s="9">
        <f>IFERROR(__xludf.DUMMYFUNCTION("""COMPUTED_VALUE"""),915.8)</f>
        <v>915.8</v>
      </c>
      <c r="E1683" s="9">
        <f>IFERROR(__xludf.DUMMYFUNCTION("""COMPUTED_VALUE"""),900.65)</f>
        <v>900.65</v>
      </c>
      <c r="F1683" s="9">
        <f>IFERROR(__xludf.DUMMYFUNCTION("""COMPUTED_VALUE"""),907.95)</f>
        <v>907.95</v>
      </c>
      <c r="G1683" s="9">
        <f>IFERROR(__xludf.DUMMYFUNCTION("""COMPUTED_VALUE"""),1.3052804E7)</f>
        <v>13052804</v>
      </c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</row>
    <row r="1684">
      <c r="A1684" s="1"/>
      <c r="B1684" s="22">
        <f>IFERROR(__xludf.DUMMYFUNCTION("""COMPUTED_VALUE"""),44036.64583333333)</f>
        <v>44036.64583</v>
      </c>
      <c r="C1684" s="9">
        <f>IFERROR(__xludf.DUMMYFUNCTION("""COMPUTED_VALUE"""),903.25)</f>
        <v>903.25</v>
      </c>
      <c r="D1684" s="9">
        <f>IFERROR(__xludf.DUMMYFUNCTION("""COMPUTED_VALUE"""),925.75)</f>
        <v>925.75</v>
      </c>
      <c r="E1684" s="9">
        <f>IFERROR(__xludf.DUMMYFUNCTION("""COMPUTED_VALUE"""),903.25)</f>
        <v>903.25</v>
      </c>
      <c r="F1684" s="9">
        <f>IFERROR(__xludf.DUMMYFUNCTION("""COMPUTED_VALUE"""),922.85)</f>
        <v>922.85</v>
      </c>
      <c r="G1684" s="9">
        <f>IFERROR(__xludf.DUMMYFUNCTION("""COMPUTED_VALUE"""),1.820967E7)</f>
        <v>18209670</v>
      </c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</row>
    <row r="1685">
      <c r="A1685" s="1"/>
      <c r="B1685" s="22">
        <f>IFERROR(__xludf.DUMMYFUNCTION("""COMPUTED_VALUE"""),44039.64583333333)</f>
        <v>44039.64583</v>
      </c>
      <c r="C1685" s="9">
        <f>IFERROR(__xludf.DUMMYFUNCTION("""COMPUTED_VALUE"""),921.55)</f>
        <v>921.55</v>
      </c>
      <c r="D1685" s="9">
        <f>IFERROR(__xludf.DUMMYFUNCTION("""COMPUTED_VALUE"""),952.8)</f>
        <v>952.8</v>
      </c>
      <c r="E1685" s="9">
        <f>IFERROR(__xludf.DUMMYFUNCTION("""COMPUTED_VALUE"""),918.65)</f>
        <v>918.65</v>
      </c>
      <c r="F1685" s="9">
        <f>IFERROR(__xludf.DUMMYFUNCTION("""COMPUTED_VALUE"""),948.45)</f>
        <v>948.45</v>
      </c>
      <c r="G1685" s="9">
        <f>IFERROR(__xludf.DUMMYFUNCTION("""COMPUTED_VALUE"""),1.6828218E7)</f>
        <v>16828218</v>
      </c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</row>
    <row r="1686">
      <c r="A1686" s="1"/>
      <c r="B1686" s="22">
        <f>IFERROR(__xludf.DUMMYFUNCTION("""COMPUTED_VALUE"""),44040.64583333333)</f>
        <v>44040.64583</v>
      </c>
      <c r="C1686" s="9">
        <f>IFERROR(__xludf.DUMMYFUNCTION("""COMPUTED_VALUE"""),946.0)</f>
        <v>946</v>
      </c>
      <c r="D1686" s="9">
        <f>IFERROR(__xludf.DUMMYFUNCTION("""COMPUTED_VALUE"""),967.55)</f>
        <v>967.55</v>
      </c>
      <c r="E1686" s="9">
        <f>IFERROR(__xludf.DUMMYFUNCTION("""COMPUTED_VALUE"""),941.2)</f>
        <v>941.2</v>
      </c>
      <c r="F1686" s="9">
        <f>IFERROR(__xludf.DUMMYFUNCTION("""COMPUTED_VALUE"""),962.85)</f>
        <v>962.85</v>
      </c>
      <c r="G1686" s="9">
        <f>IFERROR(__xludf.DUMMYFUNCTION("""COMPUTED_VALUE"""),1.5819466E7)</f>
        <v>15819466</v>
      </c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</row>
    <row r="1687">
      <c r="A1687" s="1"/>
      <c r="B1687" s="22">
        <f>IFERROR(__xludf.DUMMYFUNCTION("""COMPUTED_VALUE"""),44041.64583333333)</f>
        <v>44041.64583</v>
      </c>
      <c r="C1687" s="9">
        <f>IFERROR(__xludf.DUMMYFUNCTION("""COMPUTED_VALUE"""),953.25)</f>
        <v>953.25</v>
      </c>
      <c r="D1687" s="9">
        <f>IFERROR(__xludf.DUMMYFUNCTION("""COMPUTED_VALUE"""),960.0)</f>
        <v>960</v>
      </c>
      <c r="E1687" s="9">
        <f>IFERROR(__xludf.DUMMYFUNCTION("""COMPUTED_VALUE"""),943.6)</f>
        <v>943.6</v>
      </c>
      <c r="F1687" s="9">
        <f>IFERROR(__xludf.DUMMYFUNCTION("""COMPUTED_VALUE"""),954.15)</f>
        <v>954.15</v>
      </c>
      <c r="G1687" s="9">
        <f>IFERROR(__xludf.DUMMYFUNCTION("""COMPUTED_VALUE"""),1.115271E7)</f>
        <v>11152710</v>
      </c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</row>
    <row r="1688">
      <c r="A1688" s="1"/>
      <c r="B1688" s="22">
        <f>IFERROR(__xludf.DUMMYFUNCTION("""COMPUTED_VALUE"""),44042.64583333333)</f>
        <v>44042.64583</v>
      </c>
      <c r="C1688" s="9">
        <f>IFERROR(__xludf.DUMMYFUNCTION("""COMPUTED_VALUE"""),962.0)</f>
        <v>962</v>
      </c>
      <c r="D1688" s="9">
        <f>IFERROR(__xludf.DUMMYFUNCTION("""COMPUTED_VALUE"""),972.65)</f>
        <v>972.65</v>
      </c>
      <c r="E1688" s="9">
        <f>IFERROR(__xludf.DUMMYFUNCTION("""COMPUTED_VALUE"""),958.75)</f>
        <v>958.75</v>
      </c>
      <c r="F1688" s="9">
        <f>IFERROR(__xludf.DUMMYFUNCTION("""COMPUTED_VALUE"""),961.45)</f>
        <v>961.45</v>
      </c>
      <c r="G1688" s="9">
        <f>IFERROR(__xludf.DUMMYFUNCTION("""COMPUTED_VALUE"""),1.2492569E7)</f>
        <v>12492569</v>
      </c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</row>
    <row r="1689">
      <c r="A1689" s="1"/>
      <c r="B1689" s="22">
        <f>IFERROR(__xludf.DUMMYFUNCTION("""COMPUTED_VALUE"""),44043.64583333333)</f>
        <v>44043.64583</v>
      </c>
      <c r="C1689" s="9">
        <f>IFERROR(__xludf.DUMMYFUNCTION("""COMPUTED_VALUE"""),969.25)</f>
        <v>969.25</v>
      </c>
      <c r="D1689" s="9">
        <f>IFERROR(__xludf.DUMMYFUNCTION("""COMPUTED_VALUE"""),986.45)</f>
        <v>986.45</v>
      </c>
      <c r="E1689" s="9">
        <f>IFERROR(__xludf.DUMMYFUNCTION("""COMPUTED_VALUE"""),953.3)</f>
        <v>953.3</v>
      </c>
      <c r="F1689" s="9">
        <f>IFERROR(__xludf.DUMMYFUNCTION("""COMPUTED_VALUE"""),966.0)</f>
        <v>966</v>
      </c>
      <c r="G1689" s="9">
        <f>IFERROR(__xludf.DUMMYFUNCTION("""COMPUTED_VALUE"""),1.2704359E7)</f>
        <v>12704359</v>
      </c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</row>
    <row r="1690">
      <c r="A1690" s="1"/>
      <c r="B1690" s="22">
        <f>IFERROR(__xludf.DUMMYFUNCTION("""COMPUTED_VALUE"""),44046.64583333333)</f>
        <v>44046.64583</v>
      </c>
      <c r="C1690" s="9">
        <f>IFERROR(__xludf.DUMMYFUNCTION("""COMPUTED_VALUE"""),960.0)</f>
        <v>960</v>
      </c>
      <c r="D1690" s="9">
        <f>IFERROR(__xludf.DUMMYFUNCTION("""COMPUTED_VALUE"""),965.4)</f>
        <v>965.4</v>
      </c>
      <c r="E1690" s="9">
        <f>IFERROR(__xludf.DUMMYFUNCTION("""COMPUTED_VALUE"""),947.45)</f>
        <v>947.45</v>
      </c>
      <c r="F1690" s="9">
        <f>IFERROR(__xludf.DUMMYFUNCTION("""COMPUTED_VALUE"""),956.9)</f>
        <v>956.9</v>
      </c>
      <c r="G1690" s="9">
        <f>IFERROR(__xludf.DUMMYFUNCTION("""COMPUTED_VALUE"""),8480166.0)</f>
        <v>8480166</v>
      </c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</row>
    <row r="1691">
      <c r="A1691" s="1"/>
      <c r="B1691" s="22">
        <f>IFERROR(__xludf.DUMMYFUNCTION("""COMPUTED_VALUE"""),44047.64583333333)</f>
        <v>44047.64583</v>
      </c>
      <c r="C1691" s="9">
        <f>IFERROR(__xludf.DUMMYFUNCTION("""COMPUTED_VALUE"""),960.45)</f>
        <v>960.45</v>
      </c>
      <c r="D1691" s="9">
        <f>IFERROR(__xludf.DUMMYFUNCTION("""COMPUTED_VALUE"""),970.7)</f>
        <v>970.7</v>
      </c>
      <c r="E1691" s="9">
        <f>IFERROR(__xludf.DUMMYFUNCTION("""COMPUTED_VALUE"""),940.55)</f>
        <v>940.55</v>
      </c>
      <c r="F1691" s="9">
        <f>IFERROR(__xludf.DUMMYFUNCTION("""COMPUTED_VALUE"""),949.85)</f>
        <v>949.85</v>
      </c>
      <c r="G1691" s="9">
        <f>IFERROR(__xludf.DUMMYFUNCTION("""COMPUTED_VALUE"""),1.1133259E7)</f>
        <v>11133259</v>
      </c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</row>
    <row r="1692">
      <c r="A1692" s="1"/>
      <c r="B1692" s="22">
        <f>IFERROR(__xludf.DUMMYFUNCTION("""COMPUTED_VALUE"""),44048.64583333333)</f>
        <v>44048.64583</v>
      </c>
      <c r="C1692" s="9">
        <f>IFERROR(__xludf.DUMMYFUNCTION("""COMPUTED_VALUE"""),952.0)</f>
        <v>952</v>
      </c>
      <c r="D1692" s="9">
        <f>IFERROR(__xludf.DUMMYFUNCTION("""COMPUTED_VALUE"""),960.95)</f>
        <v>960.95</v>
      </c>
      <c r="E1692" s="9">
        <f>IFERROR(__xludf.DUMMYFUNCTION("""COMPUTED_VALUE"""),938.3)</f>
        <v>938.3</v>
      </c>
      <c r="F1692" s="9">
        <f>IFERROR(__xludf.DUMMYFUNCTION("""COMPUTED_VALUE"""),944.7)</f>
        <v>944.7</v>
      </c>
      <c r="G1692" s="9">
        <f>IFERROR(__xludf.DUMMYFUNCTION("""COMPUTED_VALUE"""),9616176.0)</f>
        <v>9616176</v>
      </c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</row>
    <row r="1693">
      <c r="A1693" s="1"/>
      <c r="B1693" s="22">
        <f>IFERROR(__xludf.DUMMYFUNCTION("""COMPUTED_VALUE"""),44049.64583333333)</f>
        <v>44049.64583</v>
      </c>
      <c r="C1693" s="9">
        <f>IFERROR(__xludf.DUMMYFUNCTION("""COMPUTED_VALUE"""),953.5)</f>
        <v>953.5</v>
      </c>
      <c r="D1693" s="9">
        <f>IFERROR(__xludf.DUMMYFUNCTION("""COMPUTED_VALUE"""),974.4)</f>
        <v>974.4</v>
      </c>
      <c r="E1693" s="9">
        <f>IFERROR(__xludf.DUMMYFUNCTION("""COMPUTED_VALUE"""),942.5)</f>
        <v>942.5</v>
      </c>
      <c r="F1693" s="9">
        <f>IFERROR(__xludf.DUMMYFUNCTION("""COMPUTED_VALUE"""),970.85)</f>
        <v>970.85</v>
      </c>
      <c r="G1693" s="9">
        <f>IFERROR(__xludf.DUMMYFUNCTION("""COMPUTED_VALUE"""),1.0976523E7)</f>
        <v>10976523</v>
      </c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</row>
    <row r="1694">
      <c r="A1694" s="1"/>
      <c r="B1694" s="22">
        <f>IFERROR(__xludf.DUMMYFUNCTION("""COMPUTED_VALUE"""),44050.64583333333)</f>
        <v>44050.64583</v>
      </c>
      <c r="C1694" s="9">
        <f>IFERROR(__xludf.DUMMYFUNCTION("""COMPUTED_VALUE"""),969.45)</f>
        <v>969.45</v>
      </c>
      <c r="D1694" s="9">
        <f>IFERROR(__xludf.DUMMYFUNCTION("""COMPUTED_VALUE"""),969.45)</f>
        <v>969.45</v>
      </c>
      <c r="E1694" s="9">
        <f>IFERROR(__xludf.DUMMYFUNCTION("""COMPUTED_VALUE"""),949.0)</f>
        <v>949</v>
      </c>
      <c r="F1694" s="9">
        <f>IFERROR(__xludf.DUMMYFUNCTION("""COMPUTED_VALUE"""),950.9)</f>
        <v>950.9</v>
      </c>
      <c r="G1694" s="9">
        <f>IFERROR(__xludf.DUMMYFUNCTION("""COMPUTED_VALUE"""),8010973.0)</f>
        <v>8010973</v>
      </c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</row>
    <row r="1695">
      <c r="A1695" s="1"/>
      <c r="B1695" s="22">
        <f>IFERROR(__xludf.DUMMYFUNCTION("""COMPUTED_VALUE"""),44053.64583333333)</f>
        <v>44053.64583</v>
      </c>
      <c r="C1695" s="9">
        <f>IFERROR(__xludf.DUMMYFUNCTION("""COMPUTED_VALUE"""),948.9)</f>
        <v>948.9</v>
      </c>
      <c r="D1695" s="9">
        <f>IFERROR(__xludf.DUMMYFUNCTION("""COMPUTED_VALUE"""),956.8)</f>
        <v>956.8</v>
      </c>
      <c r="E1695" s="9">
        <f>IFERROR(__xludf.DUMMYFUNCTION("""COMPUTED_VALUE"""),945.3)</f>
        <v>945.3</v>
      </c>
      <c r="F1695" s="9">
        <f>IFERROR(__xludf.DUMMYFUNCTION("""COMPUTED_VALUE"""),951.35)</f>
        <v>951.35</v>
      </c>
      <c r="G1695" s="9">
        <f>IFERROR(__xludf.DUMMYFUNCTION("""COMPUTED_VALUE"""),5716472.0)</f>
        <v>5716472</v>
      </c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</row>
    <row r="1696">
      <c r="A1696" s="1"/>
      <c r="B1696" s="22">
        <f>IFERROR(__xludf.DUMMYFUNCTION("""COMPUTED_VALUE"""),44054.64583333333)</f>
        <v>44054.64583</v>
      </c>
      <c r="C1696" s="9">
        <f>IFERROR(__xludf.DUMMYFUNCTION("""COMPUTED_VALUE"""),949.9)</f>
        <v>949.9</v>
      </c>
      <c r="D1696" s="9">
        <f>IFERROR(__xludf.DUMMYFUNCTION("""COMPUTED_VALUE"""),962.0)</f>
        <v>962</v>
      </c>
      <c r="E1696" s="9">
        <f>IFERROR(__xludf.DUMMYFUNCTION("""COMPUTED_VALUE"""),946.1)</f>
        <v>946.1</v>
      </c>
      <c r="F1696" s="9">
        <f>IFERROR(__xludf.DUMMYFUNCTION("""COMPUTED_VALUE"""),948.45)</f>
        <v>948.45</v>
      </c>
      <c r="G1696" s="9">
        <f>IFERROR(__xludf.DUMMYFUNCTION("""COMPUTED_VALUE"""),6802508.0)</f>
        <v>6802508</v>
      </c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</row>
    <row r="1697">
      <c r="A1697" s="1"/>
      <c r="B1697" s="22">
        <f>IFERROR(__xludf.DUMMYFUNCTION("""COMPUTED_VALUE"""),44055.64583333333)</f>
        <v>44055.64583</v>
      </c>
      <c r="C1697" s="9">
        <f>IFERROR(__xludf.DUMMYFUNCTION("""COMPUTED_VALUE"""),948.0)</f>
        <v>948</v>
      </c>
      <c r="D1697" s="9">
        <f>IFERROR(__xludf.DUMMYFUNCTION("""COMPUTED_VALUE"""),958.8)</f>
        <v>958.8</v>
      </c>
      <c r="E1697" s="9">
        <f>IFERROR(__xludf.DUMMYFUNCTION("""COMPUTED_VALUE"""),942.2)</f>
        <v>942.2</v>
      </c>
      <c r="F1697" s="9">
        <f>IFERROR(__xludf.DUMMYFUNCTION("""COMPUTED_VALUE"""),954.95)</f>
        <v>954.95</v>
      </c>
      <c r="G1697" s="9">
        <f>IFERROR(__xludf.DUMMYFUNCTION("""COMPUTED_VALUE"""),6908732.0)</f>
        <v>6908732</v>
      </c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</row>
    <row r="1698">
      <c r="A1698" s="1"/>
      <c r="B1698" s="22">
        <f>IFERROR(__xludf.DUMMYFUNCTION("""COMPUTED_VALUE"""),44056.64583333333)</f>
        <v>44056.64583</v>
      </c>
      <c r="C1698" s="9">
        <f>IFERROR(__xludf.DUMMYFUNCTION("""COMPUTED_VALUE"""),954.8)</f>
        <v>954.8</v>
      </c>
      <c r="D1698" s="9">
        <f>IFERROR(__xludf.DUMMYFUNCTION("""COMPUTED_VALUE"""),968.5)</f>
        <v>968.5</v>
      </c>
      <c r="E1698" s="9">
        <f>IFERROR(__xludf.DUMMYFUNCTION("""COMPUTED_VALUE"""),948.25)</f>
        <v>948.25</v>
      </c>
      <c r="F1698" s="9">
        <f>IFERROR(__xludf.DUMMYFUNCTION("""COMPUTED_VALUE"""),951.2)</f>
        <v>951.2</v>
      </c>
      <c r="G1698" s="9">
        <f>IFERROR(__xludf.DUMMYFUNCTION("""COMPUTED_VALUE"""),5097705.0)</f>
        <v>5097705</v>
      </c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</row>
    <row r="1699">
      <c r="A1699" s="1"/>
      <c r="B1699" s="22">
        <f>IFERROR(__xludf.DUMMYFUNCTION("""COMPUTED_VALUE"""),44057.64583333333)</f>
        <v>44057.64583</v>
      </c>
      <c r="C1699" s="9">
        <f>IFERROR(__xludf.DUMMYFUNCTION("""COMPUTED_VALUE"""),955.85)</f>
        <v>955.85</v>
      </c>
      <c r="D1699" s="9">
        <f>IFERROR(__xludf.DUMMYFUNCTION("""COMPUTED_VALUE"""),963.0)</f>
        <v>963</v>
      </c>
      <c r="E1699" s="9">
        <f>IFERROR(__xludf.DUMMYFUNCTION("""COMPUTED_VALUE"""),952.05)</f>
        <v>952.05</v>
      </c>
      <c r="F1699" s="9">
        <f>IFERROR(__xludf.DUMMYFUNCTION("""COMPUTED_VALUE"""),953.6)</f>
        <v>953.6</v>
      </c>
      <c r="G1699" s="9">
        <f>IFERROR(__xludf.DUMMYFUNCTION("""COMPUTED_VALUE"""),4663873.0)</f>
        <v>4663873</v>
      </c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</row>
    <row r="1700">
      <c r="A1700" s="1"/>
      <c r="B1700" s="22">
        <f>IFERROR(__xludf.DUMMYFUNCTION("""COMPUTED_VALUE"""),44060.64583333333)</f>
        <v>44060.64583</v>
      </c>
      <c r="C1700" s="9">
        <f>IFERROR(__xludf.DUMMYFUNCTION("""COMPUTED_VALUE"""),954.1)</f>
        <v>954.1</v>
      </c>
      <c r="D1700" s="9">
        <f>IFERROR(__xludf.DUMMYFUNCTION("""COMPUTED_VALUE"""),972.45)</f>
        <v>972.45</v>
      </c>
      <c r="E1700" s="9">
        <f>IFERROR(__xludf.DUMMYFUNCTION("""COMPUTED_VALUE"""),954.1)</f>
        <v>954.1</v>
      </c>
      <c r="F1700" s="9">
        <f>IFERROR(__xludf.DUMMYFUNCTION("""COMPUTED_VALUE"""),957.5)</f>
        <v>957.5</v>
      </c>
      <c r="G1700" s="9">
        <f>IFERROR(__xludf.DUMMYFUNCTION("""COMPUTED_VALUE"""),9008716.0)</f>
        <v>9008716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</row>
    <row r="1701">
      <c r="A1701" s="1"/>
      <c r="B1701" s="22">
        <f>IFERROR(__xludf.DUMMYFUNCTION("""COMPUTED_VALUE"""),44061.64583333333)</f>
        <v>44061.64583</v>
      </c>
      <c r="C1701" s="9">
        <f>IFERROR(__xludf.DUMMYFUNCTION("""COMPUTED_VALUE"""),963.9)</f>
        <v>963.9</v>
      </c>
      <c r="D1701" s="9">
        <f>IFERROR(__xludf.DUMMYFUNCTION("""COMPUTED_VALUE"""),969.2)</f>
        <v>969.2</v>
      </c>
      <c r="E1701" s="9">
        <f>IFERROR(__xludf.DUMMYFUNCTION("""COMPUTED_VALUE"""),958.7)</f>
        <v>958.7</v>
      </c>
      <c r="F1701" s="9">
        <f>IFERROR(__xludf.DUMMYFUNCTION("""COMPUTED_VALUE"""),967.55)</f>
        <v>967.55</v>
      </c>
      <c r="G1701" s="9">
        <f>IFERROR(__xludf.DUMMYFUNCTION("""COMPUTED_VALUE"""),6142171.0)</f>
        <v>6142171</v>
      </c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</row>
    <row r="1702">
      <c r="A1702" s="1"/>
      <c r="B1702" s="22">
        <f>IFERROR(__xludf.DUMMYFUNCTION("""COMPUTED_VALUE"""),44062.64583333333)</f>
        <v>44062.64583</v>
      </c>
      <c r="C1702" s="9">
        <f>IFERROR(__xludf.DUMMYFUNCTION("""COMPUTED_VALUE"""),970.9)</f>
        <v>970.9</v>
      </c>
      <c r="D1702" s="9">
        <f>IFERROR(__xludf.DUMMYFUNCTION("""COMPUTED_VALUE"""),971.55)</f>
        <v>971.55</v>
      </c>
      <c r="E1702" s="9">
        <f>IFERROR(__xludf.DUMMYFUNCTION("""COMPUTED_VALUE"""),957.45)</f>
        <v>957.45</v>
      </c>
      <c r="F1702" s="9">
        <f>IFERROR(__xludf.DUMMYFUNCTION("""COMPUTED_VALUE"""),959.3)</f>
        <v>959.3</v>
      </c>
      <c r="G1702" s="9">
        <f>IFERROR(__xludf.DUMMYFUNCTION("""COMPUTED_VALUE"""),6622744.0)</f>
        <v>6622744</v>
      </c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</row>
    <row r="1703">
      <c r="A1703" s="1"/>
      <c r="B1703" s="22">
        <f>IFERROR(__xludf.DUMMYFUNCTION("""COMPUTED_VALUE"""),44063.64583333333)</f>
        <v>44063.64583</v>
      </c>
      <c r="C1703" s="9">
        <f>IFERROR(__xludf.DUMMYFUNCTION("""COMPUTED_VALUE"""),958.9)</f>
        <v>958.9</v>
      </c>
      <c r="D1703" s="9">
        <f>IFERROR(__xludf.DUMMYFUNCTION("""COMPUTED_VALUE"""),965.5)</f>
        <v>965.5</v>
      </c>
      <c r="E1703" s="9">
        <f>IFERROR(__xludf.DUMMYFUNCTION("""COMPUTED_VALUE"""),951.3)</f>
        <v>951.3</v>
      </c>
      <c r="F1703" s="9">
        <f>IFERROR(__xludf.DUMMYFUNCTION("""COMPUTED_VALUE"""),955.15)</f>
        <v>955.15</v>
      </c>
      <c r="G1703" s="9">
        <f>IFERROR(__xludf.DUMMYFUNCTION("""COMPUTED_VALUE"""),5656667.0)</f>
        <v>5656667</v>
      </c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</row>
    <row r="1704">
      <c r="A1704" s="1"/>
      <c r="B1704" s="22">
        <f>IFERROR(__xludf.DUMMYFUNCTION("""COMPUTED_VALUE"""),44064.64583333333)</f>
        <v>44064.64583</v>
      </c>
      <c r="C1704" s="9">
        <f>IFERROR(__xludf.DUMMYFUNCTION("""COMPUTED_VALUE"""),963.05)</f>
        <v>963.05</v>
      </c>
      <c r="D1704" s="9">
        <f>IFERROR(__xludf.DUMMYFUNCTION("""COMPUTED_VALUE"""),963.45)</f>
        <v>963.45</v>
      </c>
      <c r="E1704" s="9">
        <f>IFERROR(__xludf.DUMMYFUNCTION("""COMPUTED_VALUE"""),946.55)</f>
        <v>946.55</v>
      </c>
      <c r="F1704" s="9">
        <f>IFERROR(__xludf.DUMMYFUNCTION("""COMPUTED_VALUE"""),948.8)</f>
        <v>948.8</v>
      </c>
      <c r="G1704" s="9">
        <f>IFERROR(__xludf.DUMMYFUNCTION("""COMPUTED_VALUE"""),6513784.0)</f>
        <v>6513784</v>
      </c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</row>
    <row r="1705">
      <c r="A1705" s="1"/>
      <c r="B1705" s="22">
        <f>IFERROR(__xludf.DUMMYFUNCTION("""COMPUTED_VALUE"""),44067.64583333333)</f>
        <v>44067.64583</v>
      </c>
      <c r="C1705" s="9">
        <f>IFERROR(__xludf.DUMMYFUNCTION("""COMPUTED_VALUE"""),947.0)</f>
        <v>947</v>
      </c>
      <c r="D1705" s="9">
        <f>IFERROR(__xludf.DUMMYFUNCTION("""COMPUTED_VALUE"""),952.0)</f>
        <v>952</v>
      </c>
      <c r="E1705" s="9">
        <f>IFERROR(__xludf.DUMMYFUNCTION("""COMPUTED_VALUE"""),939.2)</f>
        <v>939.2</v>
      </c>
      <c r="F1705" s="9">
        <f>IFERROR(__xludf.DUMMYFUNCTION("""COMPUTED_VALUE"""),947.4)</f>
        <v>947.4</v>
      </c>
      <c r="G1705" s="9">
        <f>IFERROR(__xludf.DUMMYFUNCTION("""COMPUTED_VALUE"""),5798579.0)</f>
        <v>5798579</v>
      </c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</row>
    <row r="1706">
      <c r="A1706" s="1"/>
      <c r="B1706" s="22">
        <f>IFERROR(__xludf.DUMMYFUNCTION("""COMPUTED_VALUE"""),44068.64583333333)</f>
        <v>44068.64583</v>
      </c>
      <c r="C1706" s="9">
        <f>IFERROR(__xludf.DUMMYFUNCTION("""COMPUTED_VALUE"""),947.5)</f>
        <v>947.5</v>
      </c>
      <c r="D1706" s="9">
        <f>IFERROR(__xludf.DUMMYFUNCTION("""COMPUTED_VALUE"""),948.65)</f>
        <v>948.65</v>
      </c>
      <c r="E1706" s="9">
        <f>IFERROR(__xludf.DUMMYFUNCTION("""COMPUTED_VALUE"""),933.6)</f>
        <v>933.6</v>
      </c>
      <c r="F1706" s="9">
        <f>IFERROR(__xludf.DUMMYFUNCTION("""COMPUTED_VALUE"""),938.1)</f>
        <v>938.1</v>
      </c>
      <c r="G1706" s="9">
        <f>IFERROR(__xludf.DUMMYFUNCTION("""COMPUTED_VALUE"""),6233923.0)</f>
        <v>6233923</v>
      </c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</row>
    <row r="1707">
      <c r="A1707" s="1"/>
      <c r="B1707" s="22">
        <f>IFERROR(__xludf.DUMMYFUNCTION("""COMPUTED_VALUE"""),44069.64583333333)</f>
        <v>44069.64583</v>
      </c>
      <c r="C1707" s="9">
        <f>IFERROR(__xludf.DUMMYFUNCTION("""COMPUTED_VALUE"""),941.25)</f>
        <v>941.25</v>
      </c>
      <c r="D1707" s="9">
        <f>IFERROR(__xludf.DUMMYFUNCTION("""COMPUTED_VALUE"""),954.25)</f>
        <v>954.25</v>
      </c>
      <c r="E1707" s="9">
        <f>IFERROR(__xludf.DUMMYFUNCTION("""COMPUTED_VALUE"""),938.4)</f>
        <v>938.4</v>
      </c>
      <c r="F1707" s="9">
        <f>IFERROR(__xludf.DUMMYFUNCTION("""COMPUTED_VALUE"""),950.8)</f>
        <v>950.8</v>
      </c>
      <c r="G1707" s="9">
        <f>IFERROR(__xludf.DUMMYFUNCTION("""COMPUTED_VALUE"""),5153663.0)</f>
        <v>5153663</v>
      </c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</row>
    <row r="1708">
      <c r="A1708" s="1"/>
      <c r="B1708" s="22">
        <f>IFERROR(__xludf.DUMMYFUNCTION("""COMPUTED_VALUE"""),44070.64583333333)</f>
        <v>44070.64583</v>
      </c>
      <c r="C1708" s="9">
        <f>IFERROR(__xludf.DUMMYFUNCTION("""COMPUTED_VALUE"""),960.0)</f>
        <v>960</v>
      </c>
      <c r="D1708" s="9">
        <f>IFERROR(__xludf.DUMMYFUNCTION("""COMPUTED_VALUE"""),960.95)</f>
        <v>960.95</v>
      </c>
      <c r="E1708" s="9">
        <f>IFERROR(__xludf.DUMMYFUNCTION("""COMPUTED_VALUE"""),945.2)</f>
        <v>945.2</v>
      </c>
      <c r="F1708" s="9">
        <f>IFERROR(__xludf.DUMMYFUNCTION("""COMPUTED_VALUE"""),947.05)</f>
        <v>947.05</v>
      </c>
      <c r="G1708" s="9">
        <f>IFERROR(__xludf.DUMMYFUNCTION("""COMPUTED_VALUE"""),6154300.0)</f>
        <v>6154300</v>
      </c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</row>
    <row r="1709">
      <c r="A1709" s="1"/>
      <c r="B1709" s="22">
        <f>IFERROR(__xludf.DUMMYFUNCTION("""COMPUTED_VALUE"""),44071.64583333333)</f>
        <v>44071.64583</v>
      </c>
      <c r="C1709" s="9">
        <f>IFERROR(__xludf.DUMMYFUNCTION("""COMPUTED_VALUE"""),951.45)</f>
        <v>951.45</v>
      </c>
      <c r="D1709" s="9">
        <f>IFERROR(__xludf.DUMMYFUNCTION("""COMPUTED_VALUE"""),952.5)</f>
        <v>952.5</v>
      </c>
      <c r="E1709" s="9">
        <f>IFERROR(__xludf.DUMMYFUNCTION("""COMPUTED_VALUE"""),933.05)</f>
        <v>933.05</v>
      </c>
      <c r="F1709" s="9">
        <f>IFERROR(__xludf.DUMMYFUNCTION("""COMPUTED_VALUE"""),935.25)</f>
        <v>935.25</v>
      </c>
      <c r="G1709" s="9">
        <f>IFERROR(__xludf.DUMMYFUNCTION("""COMPUTED_VALUE"""),7593988.0)</f>
        <v>7593988</v>
      </c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</row>
    <row r="1710">
      <c r="A1710" s="1"/>
      <c r="B1710" s="22">
        <f>IFERROR(__xludf.DUMMYFUNCTION("""COMPUTED_VALUE"""),44074.64583333333)</f>
        <v>44074.64583</v>
      </c>
      <c r="C1710" s="9">
        <f>IFERROR(__xludf.DUMMYFUNCTION("""COMPUTED_VALUE"""),935.25)</f>
        <v>935.25</v>
      </c>
      <c r="D1710" s="9">
        <f>IFERROR(__xludf.DUMMYFUNCTION("""COMPUTED_VALUE"""),950.5)</f>
        <v>950.5</v>
      </c>
      <c r="E1710" s="9">
        <f>IFERROR(__xludf.DUMMYFUNCTION("""COMPUTED_VALUE"""),914.6)</f>
        <v>914.6</v>
      </c>
      <c r="F1710" s="9">
        <f>IFERROR(__xludf.DUMMYFUNCTION("""COMPUTED_VALUE"""),928.6)</f>
        <v>928.6</v>
      </c>
      <c r="G1710" s="9">
        <f>IFERROR(__xludf.DUMMYFUNCTION("""COMPUTED_VALUE"""),1.2808369E7)</f>
        <v>12808369</v>
      </c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</row>
    <row r="1711">
      <c r="A1711" s="1"/>
      <c r="B1711" s="22">
        <f>IFERROR(__xludf.DUMMYFUNCTION("""COMPUTED_VALUE"""),44075.64583333333)</f>
        <v>44075.64583</v>
      </c>
      <c r="C1711" s="9">
        <f>IFERROR(__xludf.DUMMYFUNCTION("""COMPUTED_VALUE"""),926.25)</f>
        <v>926.25</v>
      </c>
      <c r="D1711" s="9">
        <f>IFERROR(__xludf.DUMMYFUNCTION("""COMPUTED_VALUE"""),935.0)</f>
        <v>935</v>
      </c>
      <c r="E1711" s="9">
        <f>IFERROR(__xludf.DUMMYFUNCTION("""COMPUTED_VALUE"""),912.1)</f>
        <v>912.1</v>
      </c>
      <c r="F1711" s="9">
        <f>IFERROR(__xludf.DUMMYFUNCTION("""COMPUTED_VALUE"""),914.15)</f>
        <v>914.15</v>
      </c>
      <c r="G1711" s="9">
        <f>IFERROR(__xludf.DUMMYFUNCTION("""COMPUTED_VALUE"""),6907783.0)</f>
        <v>6907783</v>
      </c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</row>
    <row r="1712">
      <c r="A1712" s="1"/>
      <c r="B1712" s="22">
        <f>IFERROR(__xludf.DUMMYFUNCTION("""COMPUTED_VALUE"""),44076.64583333333)</f>
        <v>44076.64583</v>
      </c>
      <c r="C1712" s="9">
        <f>IFERROR(__xludf.DUMMYFUNCTION("""COMPUTED_VALUE"""),915.0)</f>
        <v>915</v>
      </c>
      <c r="D1712" s="9">
        <f>IFERROR(__xludf.DUMMYFUNCTION("""COMPUTED_VALUE"""),926.4)</f>
        <v>926.4</v>
      </c>
      <c r="E1712" s="9">
        <f>IFERROR(__xludf.DUMMYFUNCTION("""COMPUTED_VALUE"""),913.5)</f>
        <v>913.5</v>
      </c>
      <c r="F1712" s="9">
        <f>IFERROR(__xludf.DUMMYFUNCTION("""COMPUTED_VALUE"""),924.0)</f>
        <v>924</v>
      </c>
      <c r="G1712" s="9">
        <f>IFERROR(__xludf.DUMMYFUNCTION("""COMPUTED_VALUE"""),5678696.0)</f>
        <v>5678696</v>
      </c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</row>
    <row r="1713">
      <c r="A1713" s="1"/>
      <c r="B1713" s="22">
        <f>IFERROR(__xludf.DUMMYFUNCTION("""COMPUTED_VALUE"""),44077.64583333333)</f>
        <v>44077.64583</v>
      </c>
      <c r="C1713" s="9">
        <f>IFERROR(__xludf.DUMMYFUNCTION("""COMPUTED_VALUE"""),926.5)</f>
        <v>926.5</v>
      </c>
      <c r="D1713" s="9">
        <f>IFERROR(__xludf.DUMMYFUNCTION("""COMPUTED_VALUE"""),949.4)</f>
        <v>949.4</v>
      </c>
      <c r="E1713" s="9">
        <f>IFERROR(__xludf.DUMMYFUNCTION("""COMPUTED_VALUE"""),924.0)</f>
        <v>924</v>
      </c>
      <c r="F1713" s="9">
        <f>IFERROR(__xludf.DUMMYFUNCTION("""COMPUTED_VALUE"""),935.55)</f>
        <v>935.55</v>
      </c>
      <c r="G1713" s="9">
        <f>IFERROR(__xludf.DUMMYFUNCTION("""COMPUTED_VALUE"""),8828016.0)</f>
        <v>8828016</v>
      </c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</row>
    <row r="1714">
      <c r="A1714" s="1"/>
      <c r="B1714" s="22">
        <f>IFERROR(__xludf.DUMMYFUNCTION("""COMPUTED_VALUE"""),44078.64583333333)</f>
        <v>44078.64583</v>
      </c>
      <c r="C1714" s="9">
        <f>IFERROR(__xludf.DUMMYFUNCTION("""COMPUTED_VALUE"""),915.0)</f>
        <v>915</v>
      </c>
      <c r="D1714" s="9">
        <f>IFERROR(__xludf.DUMMYFUNCTION("""COMPUTED_VALUE"""),929.5)</f>
        <v>929.5</v>
      </c>
      <c r="E1714" s="9">
        <f>IFERROR(__xludf.DUMMYFUNCTION("""COMPUTED_VALUE"""),914.45)</f>
        <v>914.45</v>
      </c>
      <c r="F1714" s="9">
        <f>IFERROR(__xludf.DUMMYFUNCTION("""COMPUTED_VALUE"""),919.15)</f>
        <v>919.15</v>
      </c>
      <c r="G1714" s="9">
        <f>IFERROR(__xludf.DUMMYFUNCTION("""COMPUTED_VALUE"""),8650414.0)</f>
        <v>8650414</v>
      </c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</row>
    <row r="1715">
      <c r="A1715" s="1"/>
      <c r="B1715" s="22">
        <f>IFERROR(__xludf.DUMMYFUNCTION("""COMPUTED_VALUE"""),44081.64583333333)</f>
        <v>44081.64583</v>
      </c>
      <c r="C1715" s="9">
        <f>IFERROR(__xludf.DUMMYFUNCTION("""COMPUTED_VALUE"""),918.9)</f>
        <v>918.9</v>
      </c>
      <c r="D1715" s="9">
        <f>IFERROR(__xludf.DUMMYFUNCTION("""COMPUTED_VALUE"""),927.55)</f>
        <v>927.55</v>
      </c>
      <c r="E1715" s="9">
        <f>IFERROR(__xludf.DUMMYFUNCTION("""COMPUTED_VALUE"""),913.05)</f>
        <v>913.05</v>
      </c>
      <c r="F1715" s="9">
        <f>IFERROR(__xludf.DUMMYFUNCTION("""COMPUTED_VALUE"""),925.05)</f>
        <v>925.05</v>
      </c>
      <c r="G1715" s="9">
        <f>IFERROR(__xludf.DUMMYFUNCTION("""COMPUTED_VALUE"""),6700450.0)</f>
        <v>6700450</v>
      </c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</row>
    <row r="1716">
      <c r="A1716" s="1"/>
      <c r="B1716" s="22">
        <f>IFERROR(__xludf.DUMMYFUNCTION("""COMPUTED_VALUE"""),44082.64583333333)</f>
        <v>44082.64583</v>
      </c>
      <c r="C1716" s="9">
        <f>IFERROR(__xludf.DUMMYFUNCTION("""COMPUTED_VALUE"""),929.95)</f>
        <v>929.95</v>
      </c>
      <c r="D1716" s="9">
        <f>IFERROR(__xludf.DUMMYFUNCTION("""COMPUTED_VALUE"""),952.0)</f>
        <v>952</v>
      </c>
      <c r="E1716" s="9">
        <f>IFERROR(__xludf.DUMMYFUNCTION("""COMPUTED_VALUE"""),925.55)</f>
        <v>925.55</v>
      </c>
      <c r="F1716" s="9">
        <f>IFERROR(__xludf.DUMMYFUNCTION("""COMPUTED_VALUE"""),939.3)</f>
        <v>939.3</v>
      </c>
      <c r="G1716" s="9">
        <f>IFERROR(__xludf.DUMMYFUNCTION("""COMPUTED_VALUE"""),1.2892115E7)</f>
        <v>12892115</v>
      </c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</row>
    <row r="1717">
      <c r="A1717" s="1"/>
      <c r="B1717" s="22">
        <f>IFERROR(__xludf.DUMMYFUNCTION("""COMPUTED_VALUE"""),44083.64583333333)</f>
        <v>44083.64583</v>
      </c>
      <c r="C1717" s="9">
        <f>IFERROR(__xludf.DUMMYFUNCTION("""COMPUTED_VALUE"""),935.0)</f>
        <v>935</v>
      </c>
      <c r="D1717" s="9">
        <f>IFERROR(__xludf.DUMMYFUNCTION("""COMPUTED_VALUE"""),946.0)</f>
        <v>946</v>
      </c>
      <c r="E1717" s="9">
        <f>IFERROR(__xludf.DUMMYFUNCTION("""COMPUTED_VALUE"""),926.0)</f>
        <v>926</v>
      </c>
      <c r="F1717" s="9">
        <f>IFERROR(__xludf.DUMMYFUNCTION("""COMPUTED_VALUE"""),927.75)</f>
        <v>927.75</v>
      </c>
      <c r="G1717" s="9">
        <f>IFERROR(__xludf.DUMMYFUNCTION("""COMPUTED_VALUE"""),5529150.0)</f>
        <v>5529150</v>
      </c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</row>
    <row r="1718">
      <c r="A1718" s="1"/>
      <c r="B1718" s="22">
        <f>IFERROR(__xludf.DUMMYFUNCTION("""COMPUTED_VALUE"""),44084.64583333333)</f>
        <v>44084.64583</v>
      </c>
      <c r="C1718" s="9">
        <f>IFERROR(__xludf.DUMMYFUNCTION("""COMPUTED_VALUE"""),935.3)</f>
        <v>935.3</v>
      </c>
      <c r="D1718" s="9">
        <f>IFERROR(__xludf.DUMMYFUNCTION("""COMPUTED_VALUE"""),942.0)</f>
        <v>942</v>
      </c>
      <c r="E1718" s="9">
        <f>IFERROR(__xludf.DUMMYFUNCTION("""COMPUTED_VALUE"""),924.8)</f>
        <v>924.8</v>
      </c>
      <c r="F1718" s="9">
        <f>IFERROR(__xludf.DUMMYFUNCTION("""COMPUTED_VALUE"""),940.05)</f>
        <v>940.05</v>
      </c>
      <c r="G1718" s="9">
        <f>IFERROR(__xludf.DUMMYFUNCTION("""COMPUTED_VALUE"""),5172091.0)</f>
        <v>5172091</v>
      </c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</row>
    <row r="1719">
      <c r="A1719" s="1"/>
      <c r="B1719" s="22">
        <f>IFERROR(__xludf.DUMMYFUNCTION("""COMPUTED_VALUE"""),44085.64583333333)</f>
        <v>44085.64583</v>
      </c>
      <c r="C1719" s="9">
        <f>IFERROR(__xludf.DUMMYFUNCTION("""COMPUTED_VALUE"""),934.9)</f>
        <v>934.9</v>
      </c>
      <c r="D1719" s="9">
        <f>IFERROR(__xludf.DUMMYFUNCTION("""COMPUTED_VALUE"""),954.15)</f>
        <v>954.15</v>
      </c>
      <c r="E1719" s="9">
        <f>IFERROR(__xludf.DUMMYFUNCTION("""COMPUTED_VALUE"""),931.0)</f>
        <v>931</v>
      </c>
      <c r="F1719" s="9">
        <f>IFERROR(__xludf.DUMMYFUNCTION("""COMPUTED_VALUE"""),945.7)</f>
        <v>945.7</v>
      </c>
      <c r="G1719" s="9">
        <f>IFERROR(__xludf.DUMMYFUNCTION("""COMPUTED_VALUE"""),6672082.0)</f>
        <v>6672082</v>
      </c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</row>
    <row r="1720">
      <c r="A1720" s="1"/>
      <c r="B1720" s="22">
        <f>IFERROR(__xludf.DUMMYFUNCTION("""COMPUTED_VALUE"""),44088.64583333333)</f>
        <v>44088.64583</v>
      </c>
      <c r="C1720" s="9">
        <f>IFERROR(__xludf.DUMMYFUNCTION("""COMPUTED_VALUE"""),957.0)</f>
        <v>957</v>
      </c>
      <c r="D1720" s="9">
        <f>IFERROR(__xludf.DUMMYFUNCTION("""COMPUTED_VALUE"""),991.05)</f>
        <v>991.05</v>
      </c>
      <c r="E1720" s="9">
        <f>IFERROR(__xludf.DUMMYFUNCTION("""COMPUTED_VALUE"""),948.3)</f>
        <v>948.3</v>
      </c>
      <c r="F1720" s="9">
        <f>IFERROR(__xludf.DUMMYFUNCTION("""COMPUTED_VALUE"""),978.4)</f>
        <v>978.4</v>
      </c>
      <c r="G1720" s="9">
        <f>IFERROR(__xludf.DUMMYFUNCTION("""COMPUTED_VALUE"""),2.1871591E7)</f>
        <v>21871591</v>
      </c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</row>
    <row r="1721">
      <c r="A1721" s="1"/>
      <c r="B1721" s="22">
        <f>IFERROR(__xludf.DUMMYFUNCTION("""COMPUTED_VALUE"""),44089.64583333333)</f>
        <v>44089.64583</v>
      </c>
      <c r="C1721" s="9">
        <f>IFERROR(__xludf.DUMMYFUNCTION("""COMPUTED_VALUE"""),979.5)</f>
        <v>979.5</v>
      </c>
      <c r="D1721" s="9">
        <f>IFERROR(__xludf.DUMMYFUNCTION("""COMPUTED_VALUE"""),994.0)</f>
        <v>994</v>
      </c>
      <c r="E1721" s="9">
        <f>IFERROR(__xludf.DUMMYFUNCTION("""COMPUTED_VALUE"""),971.65)</f>
        <v>971.65</v>
      </c>
      <c r="F1721" s="9">
        <f>IFERROR(__xludf.DUMMYFUNCTION("""COMPUTED_VALUE"""),982.45)</f>
        <v>982.45</v>
      </c>
      <c r="G1721" s="9">
        <f>IFERROR(__xludf.DUMMYFUNCTION("""COMPUTED_VALUE"""),1.1608223E7)</f>
        <v>11608223</v>
      </c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</row>
    <row r="1722">
      <c r="A1722" s="1"/>
      <c r="B1722" s="22">
        <f>IFERROR(__xludf.DUMMYFUNCTION("""COMPUTED_VALUE"""),44090.64583333333)</f>
        <v>44090.64583</v>
      </c>
      <c r="C1722" s="9">
        <f>IFERROR(__xludf.DUMMYFUNCTION("""COMPUTED_VALUE"""),986.0)</f>
        <v>986</v>
      </c>
      <c r="D1722" s="9">
        <f>IFERROR(__xludf.DUMMYFUNCTION("""COMPUTED_VALUE"""),1005.65)</f>
        <v>1005.65</v>
      </c>
      <c r="E1722" s="9">
        <f>IFERROR(__xludf.DUMMYFUNCTION("""COMPUTED_VALUE"""),982.0)</f>
        <v>982</v>
      </c>
      <c r="F1722" s="9">
        <f>IFERROR(__xludf.DUMMYFUNCTION("""COMPUTED_VALUE"""),1001.75)</f>
        <v>1001.75</v>
      </c>
      <c r="G1722" s="9">
        <f>IFERROR(__xludf.DUMMYFUNCTION("""COMPUTED_VALUE"""),1.0059392E7)</f>
        <v>10059392</v>
      </c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</row>
    <row r="1723">
      <c r="A1723" s="1"/>
      <c r="B1723" s="22">
        <f>IFERROR(__xludf.DUMMYFUNCTION("""COMPUTED_VALUE"""),44091.64583333333)</f>
        <v>44091.64583</v>
      </c>
      <c r="C1723" s="9">
        <f>IFERROR(__xludf.DUMMYFUNCTION("""COMPUTED_VALUE"""),995.0)</f>
        <v>995</v>
      </c>
      <c r="D1723" s="9">
        <f>IFERROR(__xludf.DUMMYFUNCTION("""COMPUTED_VALUE"""),1021.0)</f>
        <v>1021</v>
      </c>
      <c r="E1723" s="9">
        <f>IFERROR(__xludf.DUMMYFUNCTION("""COMPUTED_VALUE"""),995.0)</f>
        <v>995</v>
      </c>
      <c r="F1723" s="9">
        <f>IFERROR(__xludf.DUMMYFUNCTION("""COMPUTED_VALUE"""),1011.0)</f>
        <v>1011</v>
      </c>
      <c r="G1723" s="9">
        <f>IFERROR(__xludf.DUMMYFUNCTION("""COMPUTED_VALUE"""),1.5628308E7)</f>
        <v>15628308</v>
      </c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</row>
    <row r="1724">
      <c r="A1724" s="1"/>
      <c r="B1724" s="22">
        <f>IFERROR(__xludf.DUMMYFUNCTION("""COMPUTED_VALUE"""),44092.64583333333)</f>
        <v>44092.64583</v>
      </c>
      <c r="C1724" s="9">
        <f>IFERROR(__xludf.DUMMYFUNCTION("""COMPUTED_VALUE"""),1011.0)</f>
        <v>1011</v>
      </c>
      <c r="D1724" s="9">
        <f>IFERROR(__xludf.DUMMYFUNCTION("""COMPUTED_VALUE"""),1018.8)</f>
        <v>1018.8</v>
      </c>
      <c r="E1724" s="9">
        <f>IFERROR(__xludf.DUMMYFUNCTION("""COMPUTED_VALUE"""),999.1)</f>
        <v>999.1</v>
      </c>
      <c r="F1724" s="9">
        <f>IFERROR(__xludf.DUMMYFUNCTION("""COMPUTED_VALUE"""),1002.15)</f>
        <v>1002.15</v>
      </c>
      <c r="G1724" s="9">
        <f>IFERROR(__xludf.DUMMYFUNCTION("""COMPUTED_VALUE"""),1.2897897E7)</f>
        <v>12897897</v>
      </c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</row>
    <row r="1725">
      <c r="A1725" s="1"/>
      <c r="B1725" s="22">
        <f>IFERROR(__xludf.DUMMYFUNCTION("""COMPUTED_VALUE"""),44095.64583333333)</f>
        <v>44095.64583</v>
      </c>
      <c r="C1725" s="9">
        <f>IFERROR(__xludf.DUMMYFUNCTION("""COMPUTED_VALUE"""),1001.0)</f>
        <v>1001</v>
      </c>
      <c r="D1725" s="9">
        <f>IFERROR(__xludf.DUMMYFUNCTION("""COMPUTED_VALUE"""),1031.0)</f>
        <v>1031</v>
      </c>
      <c r="E1725" s="9">
        <f>IFERROR(__xludf.DUMMYFUNCTION("""COMPUTED_VALUE"""),1000.5)</f>
        <v>1000.5</v>
      </c>
      <c r="F1725" s="9">
        <f>IFERROR(__xludf.DUMMYFUNCTION("""COMPUTED_VALUE"""),1009.9)</f>
        <v>1009.9</v>
      </c>
      <c r="G1725" s="9">
        <f>IFERROR(__xludf.DUMMYFUNCTION("""COMPUTED_VALUE"""),1.414079E7)</f>
        <v>14140790</v>
      </c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</row>
    <row r="1726">
      <c r="A1726" s="1"/>
      <c r="B1726" s="22">
        <f>IFERROR(__xludf.DUMMYFUNCTION("""COMPUTED_VALUE"""),44096.64583333333)</f>
        <v>44096.64583</v>
      </c>
      <c r="C1726" s="9">
        <f>IFERROR(__xludf.DUMMYFUNCTION("""COMPUTED_VALUE"""),1009.0)</f>
        <v>1009</v>
      </c>
      <c r="D1726" s="9">
        <f>IFERROR(__xludf.DUMMYFUNCTION("""COMPUTED_VALUE"""),1022.5)</f>
        <v>1022.5</v>
      </c>
      <c r="E1726" s="9">
        <f>IFERROR(__xludf.DUMMYFUNCTION("""COMPUTED_VALUE"""),991.2)</f>
        <v>991.2</v>
      </c>
      <c r="F1726" s="9">
        <f>IFERROR(__xludf.DUMMYFUNCTION("""COMPUTED_VALUE"""),1007.5)</f>
        <v>1007.5</v>
      </c>
      <c r="G1726" s="9">
        <f>IFERROR(__xludf.DUMMYFUNCTION("""COMPUTED_VALUE"""),1.2625775E7)</f>
        <v>12625775</v>
      </c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</row>
    <row r="1727">
      <c r="A1727" s="1"/>
      <c r="B1727" s="22">
        <f>IFERROR(__xludf.DUMMYFUNCTION("""COMPUTED_VALUE"""),44097.64583333333)</f>
        <v>44097.64583</v>
      </c>
      <c r="C1727" s="9">
        <f>IFERROR(__xludf.DUMMYFUNCTION("""COMPUTED_VALUE"""),1020.15)</f>
        <v>1020.15</v>
      </c>
      <c r="D1727" s="9">
        <f>IFERROR(__xludf.DUMMYFUNCTION("""COMPUTED_VALUE"""),1037.0)</f>
        <v>1037</v>
      </c>
      <c r="E1727" s="9">
        <f>IFERROR(__xludf.DUMMYFUNCTION("""COMPUTED_VALUE"""),1008.1)</f>
        <v>1008.1</v>
      </c>
      <c r="F1727" s="9">
        <f>IFERROR(__xludf.DUMMYFUNCTION("""COMPUTED_VALUE"""),1019.75)</f>
        <v>1019.75</v>
      </c>
      <c r="G1727" s="9">
        <f>IFERROR(__xludf.DUMMYFUNCTION("""COMPUTED_VALUE"""),1.3486274E7)</f>
        <v>13486274</v>
      </c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</row>
    <row r="1728">
      <c r="A1728" s="1"/>
      <c r="B1728" s="22">
        <f>IFERROR(__xludf.DUMMYFUNCTION("""COMPUTED_VALUE"""),44098.64583333333)</f>
        <v>44098.64583</v>
      </c>
      <c r="C1728" s="9">
        <f>IFERROR(__xludf.DUMMYFUNCTION("""COMPUTED_VALUE"""),1003.0)</f>
        <v>1003</v>
      </c>
      <c r="D1728" s="9">
        <f>IFERROR(__xludf.DUMMYFUNCTION("""COMPUTED_VALUE"""),1009.0)</f>
        <v>1009</v>
      </c>
      <c r="E1728" s="9">
        <f>IFERROR(__xludf.DUMMYFUNCTION("""COMPUTED_VALUE"""),970.0)</f>
        <v>970</v>
      </c>
      <c r="F1728" s="9">
        <f>IFERROR(__xludf.DUMMYFUNCTION("""COMPUTED_VALUE"""),975.4)</f>
        <v>975.4</v>
      </c>
      <c r="G1728" s="9">
        <f>IFERROR(__xludf.DUMMYFUNCTION("""COMPUTED_VALUE"""),1.4427463E7)</f>
        <v>14427463</v>
      </c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</row>
    <row r="1729">
      <c r="A1729" s="1"/>
      <c r="B1729" s="22">
        <f>IFERROR(__xludf.DUMMYFUNCTION("""COMPUTED_VALUE"""),44099.64583333333)</f>
        <v>44099.64583</v>
      </c>
      <c r="C1729" s="9">
        <f>IFERROR(__xludf.DUMMYFUNCTION("""COMPUTED_VALUE"""),975.8)</f>
        <v>975.8</v>
      </c>
      <c r="D1729" s="9">
        <f>IFERROR(__xludf.DUMMYFUNCTION("""COMPUTED_VALUE"""),1014.9)</f>
        <v>1014.9</v>
      </c>
      <c r="E1729" s="9">
        <f>IFERROR(__xludf.DUMMYFUNCTION("""COMPUTED_VALUE"""),975.0)</f>
        <v>975</v>
      </c>
      <c r="F1729" s="9">
        <f>IFERROR(__xludf.DUMMYFUNCTION("""COMPUTED_VALUE"""),1011.45)</f>
        <v>1011.45</v>
      </c>
      <c r="G1729" s="9">
        <f>IFERROR(__xludf.DUMMYFUNCTION("""COMPUTED_VALUE"""),1.3311079E7)</f>
        <v>13311079</v>
      </c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</row>
    <row r="1730">
      <c r="A1730" s="1"/>
      <c r="B1730" s="22">
        <f>IFERROR(__xludf.DUMMYFUNCTION("""COMPUTED_VALUE"""),44102.64583333333)</f>
        <v>44102.64583</v>
      </c>
      <c r="C1730" s="9">
        <f>IFERROR(__xludf.DUMMYFUNCTION("""COMPUTED_VALUE"""),1014.8)</f>
        <v>1014.8</v>
      </c>
      <c r="D1730" s="9">
        <f>IFERROR(__xludf.DUMMYFUNCTION("""COMPUTED_VALUE"""),1016.15)</f>
        <v>1016.15</v>
      </c>
      <c r="E1730" s="9">
        <f>IFERROR(__xludf.DUMMYFUNCTION("""COMPUTED_VALUE"""),998.5)</f>
        <v>998.5</v>
      </c>
      <c r="F1730" s="9">
        <f>IFERROR(__xludf.DUMMYFUNCTION("""COMPUTED_VALUE"""),1010.4)</f>
        <v>1010.4</v>
      </c>
      <c r="G1730" s="9">
        <f>IFERROR(__xludf.DUMMYFUNCTION("""COMPUTED_VALUE"""),8554583.0)</f>
        <v>8554583</v>
      </c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</row>
    <row r="1731">
      <c r="A1731" s="1"/>
      <c r="B1731" s="22">
        <f>IFERROR(__xludf.DUMMYFUNCTION("""COMPUTED_VALUE"""),44103.64583333333)</f>
        <v>44103.64583</v>
      </c>
      <c r="C1731" s="9">
        <f>IFERROR(__xludf.DUMMYFUNCTION("""COMPUTED_VALUE"""),1018.0)</f>
        <v>1018</v>
      </c>
      <c r="D1731" s="9">
        <f>IFERROR(__xludf.DUMMYFUNCTION("""COMPUTED_VALUE"""),1028.0)</f>
        <v>1028</v>
      </c>
      <c r="E1731" s="9">
        <f>IFERROR(__xludf.DUMMYFUNCTION("""COMPUTED_VALUE"""),1004.1)</f>
        <v>1004.1</v>
      </c>
      <c r="F1731" s="9">
        <f>IFERROR(__xludf.DUMMYFUNCTION("""COMPUTED_VALUE"""),1009.0)</f>
        <v>1009</v>
      </c>
      <c r="G1731" s="9">
        <f>IFERROR(__xludf.DUMMYFUNCTION("""COMPUTED_VALUE"""),8708572.0)</f>
        <v>8708572</v>
      </c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</row>
    <row r="1732">
      <c r="A1732" s="1"/>
      <c r="B1732" s="22">
        <f>IFERROR(__xludf.DUMMYFUNCTION("""COMPUTED_VALUE"""),44104.64583333333)</f>
        <v>44104.64583</v>
      </c>
      <c r="C1732" s="9">
        <f>IFERROR(__xludf.DUMMYFUNCTION("""COMPUTED_VALUE"""),1009.0)</f>
        <v>1009</v>
      </c>
      <c r="D1732" s="9">
        <f>IFERROR(__xludf.DUMMYFUNCTION("""COMPUTED_VALUE"""),1023.95)</f>
        <v>1023.95</v>
      </c>
      <c r="E1732" s="9">
        <f>IFERROR(__xludf.DUMMYFUNCTION("""COMPUTED_VALUE"""),1005.0)</f>
        <v>1005</v>
      </c>
      <c r="F1732" s="9">
        <f>IFERROR(__xludf.DUMMYFUNCTION("""COMPUTED_VALUE"""),1008.25)</f>
        <v>1008.25</v>
      </c>
      <c r="G1732" s="9">
        <f>IFERROR(__xludf.DUMMYFUNCTION("""COMPUTED_VALUE"""),8049899.0)</f>
        <v>8049899</v>
      </c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</row>
    <row r="1733">
      <c r="A1733" s="1"/>
      <c r="B1733" s="22">
        <f>IFERROR(__xludf.DUMMYFUNCTION("""COMPUTED_VALUE"""),44105.64583333333)</f>
        <v>44105.64583</v>
      </c>
      <c r="C1733" s="9">
        <f>IFERROR(__xludf.DUMMYFUNCTION("""COMPUTED_VALUE"""),1020.6)</f>
        <v>1020.6</v>
      </c>
      <c r="D1733" s="9">
        <f>IFERROR(__xludf.DUMMYFUNCTION("""COMPUTED_VALUE"""),1026.5)</f>
        <v>1026.5</v>
      </c>
      <c r="E1733" s="9">
        <f>IFERROR(__xludf.DUMMYFUNCTION("""COMPUTED_VALUE"""),1011.75)</f>
        <v>1011.75</v>
      </c>
      <c r="F1733" s="9">
        <f>IFERROR(__xludf.DUMMYFUNCTION("""COMPUTED_VALUE"""),1017.65)</f>
        <v>1017.65</v>
      </c>
      <c r="G1733" s="9">
        <f>IFERROR(__xludf.DUMMYFUNCTION("""COMPUTED_VALUE"""),5563432.0)</f>
        <v>5563432</v>
      </c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</row>
    <row r="1734">
      <c r="A1734" s="1"/>
      <c r="B1734" s="22">
        <f>IFERROR(__xludf.DUMMYFUNCTION("""COMPUTED_VALUE"""),44109.64583333333)</f>
        <v>44109.64583</v>
      </c>
      <c r="C1734" s="9">
        <f>IFERROR(__xludf.DUMMYFUNCTION("""COMPUTED_VALUE"""),1018.05)</f>
        <v>1018.05</v>
      </c>
      <c r="D1734" s="9">
        <f>IFERROR(__xludf.DUMMYFUNCTION("""COMPUTED_VALUE"""),1054.9)</f>
        <v>1054.9</v>
      </c>
      <c r="E1734" s="9">
        <f>IFERROR(__xludf.DUMMYFUNCTION("""COMPUTED_VALUE"""),1018.05)</f>
        <v>1018.05</v>
      </c>
      <c r="F1734" s="9">
        <f>IFERROR(__xludf.DUMMYFUNCTION("""COMPUTED_VALUE"""),1048.7)</f>
        <v>1048.7</v>
      </c>
      <c r="G1734" s="9">
        <f>IFERROR(__xludf.DUMMYFUNCTION("""COMPUTED_VALUE"""),1.421256E7)</f>
        <v>14212560</v>
      </c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</row>
    <row r="1735">
      <c r="A1735" s="1"/>
      <c r="B1735" s="22">
        <f>IFERROR(__xludf.DUMMYFUNCTION("""COMPUTED_VALUE"""),44110.64583333333)</f>
        <v>44110.64583</v>
      </c>
      <c r="C1735" s="9">
        <f>IFERROR(__xludf.DUMMYFUNCTION("""COMPUTED_VALUE"""),1055.0)</f>
        <v>1055</v>
      </c>
      <c r="D1735" s="9">
        <f>IFERROR(__xludf.DUMMYFUNCTION("""COMPUTED_VALUE"""),1060.0)</f>
        <v>1060</v>
      </c>
      <c r="E1735" s="9">
        <f>IFERROR(__xludf.DUMMYFUNCTION("""COMPUTED_VALUE"""),1031.35)</f>
        <v>1031.35</v>
      </c>
      <c r="F1735" s="9">
        <f>IFERROR(__xludf.DUMMYFUNCTION("""COMPUTED_VALUE"""),1055.75)</f>
        <v>1055.75</v>
      </c>
      <c r="G1735" s="9">
        <f>IFERROR(__xludf.DUMMYFUNCTION("""COMPUTED_VALUE"""),9090819.0)</f>
        <v>9090819</v>
      </c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</row>
    <row r="1736">
      <c r="A1736" s="1"/>
      <c r="B1736" s="22">
        <f>IFERROR(__xludf.DUMMYFUNCTION("""COMPUTED_VALUE"""),44111.64583333333)</f>
        <v>44111.64583</v>
      </c>
      <c r="C1736" s="9">
        <f>IFERROR(__xludf.DUMMYFUNCTION("""COMPUTED_VALUE"""),1044.9)</f>
        <v>1044.9</v>
      </c>
      <c r="D1736" s="9">
        <f>IFERROR(__xludf.DUMMYFUNCTION("""COMPUTED_VALUE"""),1072.0)</f>
        <v>1072</v>
      </c>
      <c r="E1736" s="9">
        <f>IFERROR(__xludf.DUMMYFUNCTION("""COMPUTED_VALUE"""),1035.5)</f>
        <v>1035.5</v>
      </c>
      <c r="F1736" s="9">
        <f>IFERROR(__xludf.DUMMYFUNCTION("""COMPUTED_VALUE"""),1066.55)</f>
        <v>1066.55</v>
      </c>
      <c r="G1736" s="9">
        <f>IFERROR(__xludf.DUMMYFUNCTION("""COMPUTED_VALUE"""),9284060.0)</f>
        <v>9284060</v>
      </c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</row>
    <row r="1737">
      <c r="A1737" s="1"/>
      <c r="B1737" s="22">
        <f>IFERROR(__xludf.DUMMYFUNCTION("""COMPUTED_VALUE"""),44112.64583333333)</f>
        <v>44112.64583</v>
      </c>
      <c r="C1737" s="9">
        <f>IFERROR(__xludf.DUMMYFUNCTION("""COMPUTED_VALUE"""),1090.0)</f>
        <v>1090</v>
      </c>
      <c r="D1737" s="9">
        <f>IFERROR(__xludf.DUMMYFUNCTION("""COMPUTED_VALUE"""),1124.0)</f>
        <v>1124</v>
      </c>
      <c r="E1737" s="9">
        <f>IFERROR(__xludf.DUMMYFUNCTION("""COMPUTED_VALUE"""),1088.4)</f>
        <v>1088.4</v>
      </c>
      <c r="F1737" s="9">
        <f>IFERROR(__xludf.DUMMYFUNCTION("""COMPUTED_VALUE"""),1093.7)</f>
        <v>1093.7</v>
      </c>
      <c r="G1737" s="9">
        <f>IFERROR(__xludf.DUMMYFUNCTION("""COMPUTED_VALUE"""),2.1483024E7)</f>
        <v>21483024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</row>
    <row r="1738">
      <c r="A1738" s="1"/>
      <c r="B1738" s="22">
        <f>IFERROR(__xludf.DUMMYFUNCTION("""COMPUTED_VALUE"""),44113.64583333333)</f>
        <v>44113.64583</v>
      </c>
      <c r="C1738" s="9">
        <f>IFERROR(__xludf.DUMMYFUNCTION("""COMPUTED_VALUE"""),1095.1)</f>
        <v>1095.1</v>
      </c>
      <c r="D1738" s="9">
        <f>IFERROR(__xludf.DUMMYFUNCTION("""COMPUTED_VALUE"""),1113.3)</f>
        <v>1113.3</v>
      </c>
      <c r="E1738" s="9">
        <f>IFERROR(__xludf.DUMMYFUNCTION("""COMPUTED_VALUE"""),1088.45)</f>
        <v>1088.45</v>
      </c>
      <c r="F1738" s="9">
        <f>IFERROR(__xludf.DUMMYFUNCTION("""COMPUTED_VALUE"""),1106.8)</f>
        <v>1106.8</v>
      </c>
      <c r="G1738" s="9">
        <f>IFERROR(__xludf.DUMMYFUNCTION("""COMPUTED_VALUE"""),1.0567955E7)</f>
        <v>10567955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</row>
    <row r="1739">
      <c r="A1739" s="1"/>
      <c r="B1739" s="22">
        <f>IFERROR(__xludf.DUMMYFUNCTION("""COMPUTED_VALUE"""),44116.64583333333)</f>
        <v>44116.64583</v>
      </c>
      <c r="C1739" s="9">
        <f>IFERROR(__xludf.DUMMYFUNCTION("""COMPUTED_VALUE"""),1123.0)</f>
        <v>1123</v>
      </c>
      <c r="D1739" s="9">
        <f>IFERROR(__xludf.DUMMYFUNCTION("""COMPUTED_VALUE"""),1140.0)</f>
        <v>1140</v>
      </c>
      <c r="E1739" s="9">
        <f>IFERROR(__xludf.DUMMYFUNCTION("""COMPUTED_VALUE"""),1112.1)</f>
        <v>1112.1</v>
      </c>
      <c r="F1739" s="9">
        <f>IFERROR(__xludf.DUMMYFUNCTION("""COMPUTED_VALUE"""),1132.1)</f>
        <v>1132.1</v>
      </c>
      <c r="G1739" s="9">
        <f>IFERROR(__xludf.DUMMYFUNCTION("""COMPUTED_VALUE"""),1.463378E7)</f>
        <v>14633780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</row>
    <row r="1740">
      <c r="A1740" s="1"/>
      <c r="B1740" s="22">
        <f>IFERROR(__xludf.DUMMYFUNCTION("""COMPUTED_VALUE"""),44117.64583333333)</f>
        <v>44117.64583</v>
      </c>
      <c r="C1740" s="9">
        <f>IFERROR(__xludf.DUMMYFUNCTION("""COMPUTED_VALUE"""),1135.55)</f>
        <v>1135.55</v>
      </c>
      <c r="D1740" s="9">
        <f>IFERROR(__xludf.DUMMYFUNCTION("""COMPUTED_VALUE"""),1166.05)</f>
        <v>1166.05</v>
      </c>
      <c r="E1740" s="9">
        <f>IFERROR(__xludf.DUMMYFUNCTION("""COMPUTED_VALUE"""),1135.55)</f>
        <v>1135.55</v>
      </c>
      <c r="F1740" s="9">
        <f>IFERROR(__xludf.DUMMYFUNCTION("""COMPUTED_VALUE"""),1157.8)</f>
        <v>1157.8</v>
      </c>
      <c r="G1740" s="9">
        <f>IFERROR(__xludf.DUMMYFUNCTION("""COMPUTED_VALUE"""),1.7524137E7)</f>
        <v>17524137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</row>
    <row r="1741">
      <c r="A1741" s="1"/>
      <c r="B1741" s="22">
        <f>IFERROR(__xludf.DUMMYFUNCTION("""COMPUTED_VALUE"""),44118.64583333333)</f>
        <v>44118.64583</v>
      </c>
      <c r="C1741" s="9">
        <f>IFERROR(__xludf.DUMMYFUNCTION("""COMPUTED_VALUE"""),1162.0)</f>
        <v>1162</v>
      </c>
      <c r="D1741" s="9">
        <f>IFERROR(__xludf.DUMMYFUNCTION("""COMPUTED_VALUE"""),1164.9)</f>
        <v>1164.9</v>
      </c>
      <c r="E1741" s="9">
        <f>IFERROR(__xludf.DUMMYFUNCTION("""COMPUTED_VALUE"""),1131.1)</f>
        <v>1131.1</v>
      </c>
      <c r="F1741" s="9">
        <f>IFERROR(__xludf.DUMMYFUNCTION("""COMPUTED_VALUE"""),1137.0)</f>
        <v>1137</v>
      </c>
      <c r="G1741" s="9">
        <f>IFERROR(__xludf.DUMMYFUNCTION("""COMPUTED_VALUE"""),1.6649731E7)</f>
        <v>16649731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</row>
    <row r="1742">
      <c r="A1742" s="1"/>
      <c r="B1742" s="22">
        <f>IFERROR(__xludf.DUMMYFUNCTION("""COMPUTED_VALUE"""),44119.64583333333)</f>
        <v>44119.64583</v>
      </c>
      <c r="C1742" s="9">
        <f>IFERROR(__xludf.DUMMYFUNCTION("""COMPUTED_VALUE"""),1180.0)</f>
        <v>1180</v>
      </c>
      <c r="D1742" s="9">
        <f>IFERROR(__xludf.DUMMYFUNCTION("""COMPUTED_VALUE"""),1186.0)</f>
        <v>1186</v>
      </c>
      <c r="E1742" s="9">
        <f>IFERROR(__xludf.DUMMYFUNCTION("""COMPUTED_VALUE"""),1092.5)</f>
        <v>1092.5</v>
      </c>
      <c r="F1742" s="9">
        <f>IFERROR(__xludf.DUMMYFUNCTION("""COMPUTED_VALUE"""),1108.25)</f>
        <v>1108.25</v>
      </c>
      <c r="G1742" s="9">
        <f>IFERROR(__xludf.DUMMYFUNCTION("""COMPUTED_VALUE"""),4.4288566E7)</f>
        <v>44288566</v>
      </c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</row>
    <row r="1743">
      <c r="A1743" s="1"/>
      <c r="B1743" s="22">
        <f>IFERROR(__xludf.DUMMYFUNCTION("""COMPUTED_VALUE"""),44120.64583333333)</f>
        <v>44120.64583</v>
      </c>
      <c r="C1743" s="9">
        <f>IFERROR(__xludf.DUMMYFUNCTION("""COMPUTED_VALUE"""),1113.85)</f>
        <v>1113.85</v>
      </c>
      <c r="D1743" s="9">
        <f>IFERROR(__xludf.DUMMYFUNCTION("""COMPUTED_VALUE"""),1135.95)</f>
        <v>1135.95</v>
      </c>
      <c r="E1743" s="9">
        <f>IFERROR(__xludf.DUMMYFUNCTION("""COMPUTED_VALUE"""),1096.9)</f>
        <v>1096.9</v>
      </c>
      <c r="F1743" s="9">
        <f>IFERROR(__xludf.DUMMYFUNCTION("""COMPUTED_VALUE"""),1127.5)</f>
        <v>1127.5</v>
      </c>
      <c r="G1743" s="9">
        <f>IFERROR(__xludf.DUMMYFUNCTION("""COMPUTED_VALUE"""),1.8366133E7)</f>
        <v>18366133</v>
      </c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</row>
    <row r="1744">
      <c r="A1744" s="1"/>
      <c r="B1744" s="22">
        <f>IFERROR(__xludf.DUMMYFUNCTION("""COMPUTED_VALUE"""),44123.64583333333)</f>
        <v>44123.64583</v>
      </c>
      <c r="C1744" s="9">
        <f>IFERROR(__xludf.DUMMYFUNCTION("""COMPUTED_VALUE"""),1135.0)</f>
        <v>1135</v>
      </c>
      <c r="D1744" s="9">
        <f>IFERROR(__xludf.DUMMYFUNCTION("""COMPUTED_VALUE"""),1139.0)</f>
        <v>1139</v>
      </c>
      <c r="E1744" s="9">
        <f>IFERROR(__xludf.DUMMYFUNCTION("""COMPUTED_VALUE"""),1115.3)</f>
        <v>1115.3</v>
      </c>
      <c r="F1744" s="9">
        <f>IFERROR(__xludf.DUMMYFUNCTION("""COMPUTED_VALUE"""),1125.9)</f>
        <v>1125.9</v>
      </c>
      <c r="G1744" s="9">
        <f>IFERROR(__xludf.DUMMYFUNCTION("""COMPUTED_VALUE"""),1.2902146E7)</f>
        <v>12902146</v>
      </c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</row>
    <row r="1745">
      <c r="A1745" s="1"/>
      <c r="B1745" s="22">
        <f>IFERROR(__xludf.DUMMYFUNCTION("""COMPUTED_VALUE"""),44124.64583333333)</f>
        <v>44124.64583</v>
      </c>
      <c r="C1745" s="9">
        <f>IFERROR(__xludf.DUMMYFUNCTION("""COMPUTED_VALUE"""),1118.9)</f>
        <v>1118.9</v>
      </c>
      <c r="D1745" s="9">
        <f>IFERROR(__xludf.DUMMYFUNCTION("""COMPUTED_VALUE"""),1144.7)</f>
        <v>1144.7</v>
      </c>
      <c r="E1745" s="9">
        <f>IFERROR(__xludf.DUMMYFUNCTION("""COMPUTED_VALUE"""),1110.0)</f>
        <v>1110</v>
      </c>
      <c r="F1745" s="9">
        <f>IFERROR(__xludf.DUMMYFUNCTION("""COMPUTED_VALUE"""),1137.5)</f>
        <v>1137.5</v>
      </c>
      <c r="G1745" s="9">
        <f>IFERROR(__xludf.DUMMYFUNCTION("""COMPUTED_VALUE"""),1.0448852E7)</f>
        <v>10448852</v>
      </c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</row>
    <row r="1746">
      <c r="A1746" s="1"/>
      <c r="B1746" s="22">
        <f>IFERROR(__xludf.DUMMYFUNCTION("""COMPUTED_VALUE"""),44125.64583333333)</f>
        <v>44125.64583</v>
      </c>
      <c r="C1746" s="9">
        <f>IFERROR(__xludf.DUMMYFUNCTION("""COMPUTED_VALUE"""),1141.15)</f>
        <v>1141.15</v>
      </c>
      <c r="D1746" s="9">
        <f>IFERROR(__xludf.DUMMYFUNCTION("""COMPUTED_VALUE"""),1154.35)</f>
        <v>1154.35</v>
      </c>
      <c r="E1746" s="9">
        <f>IFERROR(__xludf.DUMMYFUNCTION("""COMPUTED_VALUE"""),1135.0)</f>
        <v>1135</v>
      </c>
      <c r="F1746" s="9">
        <f>IFERROR(__xludf.DUMMYFUNCTION("""COMPUTED_VALUE"""),1148.35)</f>
        <v>1148.35</v>
      </c>
      <c r="G1746" s="9">
        <f>IFERROR(__xludf.DUMMYFUNCTION("""COMPUTED_VALUE"""),1.9811809E7)</f>
        <v>19811809</v>
      </c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</row>
    <row r="1747">
      <c r="A1747" s="1"/>
      <c r="B1747" s="22">
        <f>IFERROR(__xludf.DUMMYFUNCTION("""COMPUTED_VALUE"""),44126.64583333333)</f>
        <v>44126.64583</v>
      </c>
      <c r="C1747" s="9">
        <f>IFERROR(__xludf.DUMMYFUNCTION("""COMPUTED_VALUE"""),1142.0)</f>
        <v>1142</v>
      </c>
      <c r="D1747" s="9">
        <f>IFERROR(__xludf.DUMMYFUNCTION("""COMPUTED_VALUE"""),1158.0)</f>
        <v>1158</v>
      </c>
      <c r="E1747" s="9">
        <f>IFERROR(__xludf.DUMMYFUNCTION("""COMPUTED_VALUE"""),1123.8)</f>
        <v>1123.8</v>
      </c>
      <c r="F1747" s="9">
        <f>IFERROR(__xludf.DUMMYFUNCTION("""COMPUTED_VALUE"""),1129.05)</f>
        <v>1129.05</v>
      </c>
      <c r="G1747" s="9">
        <f>IFERROR(__xludf.DUMMYFUNCTION("""COMPUTED_VALUE"""),1.1271538E7)</f>
        <v>11271538</v>
      </c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</row>
    <row r="1748">
      <c r="A1748" s="1"/>
      <c r="B1748" s="22">
        <f>IFERROR(__xludf.DUMMYFUNCTION("""COMPUTED_VALUE"""),44127.64583333333)</f>
        <v>44127.64583</v>
      </c>
      <c r="C1748" s="9">
        <f>IFERROR(__xludf.DUMMYFUNCTION("""COMPUTED_VALUE"""),1133.0)</f>
        <v>1133</v>
      </c>
      <c r="D1748" s="9">
        <f>IFERROR(__xludf.DUMMYFUNCTION("""COMPUTED_VALUE"""),1135.0)</f>
        <v>1135</v>
      </c>
      <c r="E1748" s="9">
        <f>IFERROR(__xludf.DUMMYFUNCTION("""COMPUTED_VALUE"""),1120.15)</f>
        <v>1120.15</v>
      </c>
      <c r="F1748" s="9">
        <f>IFERROR(__xludf.DUMMYFUNCTION("""COMPUTED_VALUE"""),1122.5)</f>
        <v>1122.5</v>
      </c>
      <c r="G1748" s="9">
        <f>IFERROR(__xludf.DUMMYFUNCTION("""COMPUTED_VALUE"""),9070121.0)</f>
        <v>9070121</v>
      </c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</row>
    <row r="1749">
      <c r="A1749" s="1"/>
      <c r="B1749" s="22">
        <f>IFERROR(__xludf.DUMMYFUNCTION("""COMPUTED_VALUE"""),44130.64583333333)</f>
        <v>44130.64583</v>
      </c>
      <c r="C1749" s="9">
        <f>IFERROR(__xludf.DUMMYFUNCTION("""COMPUTED_VALUE"""),1122.25)</f>
        <v>1122.25</v>
      </c>
      <c r="D1749" s="9">
        <f>IFERROR(__xludf.DUMMYFUNCTION("""COMPUTED_VALUE"""),1129.6)</f>
        <v>1129.6</v>
      </c>
      <c r="E1749" s="9">
        <f>IFERROR(__xludf.DUMMYFUNCTION("""COMPUTED_VALUE"""),1103.15)</f>
        <v>1103.15</v>
      </c>
      <c r="F1749" s="9">
        <f>IFERROR(__xludf.DUMMYFUNCTION("""COMPUTED_VALUE"""),1112.45)</f>
        <v>1112.45</v>
      </c>
      <c r="G1749" s="9">
        <f>IFERROR(__xludf.DUMMYFUNCTION("""COMPUTED_VALUE"""),6309643.0)</f>
        <v>6309643</v>
      </c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</row>
    <row r="1750">
      <c r="A1750" s="1"/>
      <c r="B1750" s="22">
        <f>IFERROR(__xludf.DUMMYFUNCTION("""COMPUTED_VALUE"""),44131.64583333333)</f>
        <v>44131.64583</v>
      </c>
      <c r="C1750" s="9">
        <f>IFERROR(__xludf.DUMMYFUNCTION("""COMPUTED_VALUE"""),1105.7)</f>
        <v>1105.7</v>
      </c>
      <c r="D1750" s="9">
        <f>IFERROR(__xludf.DUMMYFUNCTION("""COMPUTED_VALUE"""),1109.7)</f>
        <v>1109.7</v>
      </c>
      <c r="E1750" s="9">
        <f>IFERROR(__xludf.DUMMYFUNCTION("""COMPUTED_VALUE"""),1077.15)</f>
        <v>1077.15</v>
      </c>
      <c r="F1750" s="9">
        <f>IFERROR(__xludf.DUMMYFUNCTION("""COMPUTED_VALUE"""),1090.85)</f>
        <v>1090.85</v>
      </c>
      <c r="G1750" s="9">
        <f>IFERROR(__xludf.DUMMYFUNCTION("""COMPUTED_VALUE"""),1.017253E7)</f>
        <v>10172530</v>
      </c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</row>
    <row r="1751">
      <c r="A1751" s="1"/>
      <c r="B1751" s="22">
        <f>IFERROR(__xludf.DUMMYFUNCTION("""COMPUTED_VALUE"""),44132.64583333333)</f>
        <v>44132.64583</v>
      </c>
      <c r="C1751" s="9">
        <f>IFERROR(__xludf.DUMMYFUNCTION("""COMPUTED_VALUE"""),1095.5)</f>
        <v>1095.5</v>
      </c>
      <c r="D1751" s="9">
        <f>IFERROR(__xludf.DUMMYFUNCTION("""COMPUTED_VALUE"""),1104.75)</f>
        <v>1104.75</v>
      </c>
      <c r="E1751" s="9">
        <f>IFERROR(__xludf.DUMMYFUNCTION("""COMPUTED_VALUE"""),1070.05)</f>
        <v>1070.05</v>
      </c>
      <c r="F1751" s="9">
        <f>IFERROR(__xludf.DUMMYFUNCTION("""COMPUTED_VALUE"""),1076.55)</f>
        <v>1076.55</v>
      </c>
      <c r="G1751" s="9">
        <f>IFERROR(__xludf.DUMMYFUNCTION("""COMPUTED_VALUE"""),7608413.0)</f>
        <v>7608413</v>
      </c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</row>
    <row r="1752">
      <c r="A1752" s="1"/>
      <c r="B1752" s="22">
        <f>IFERROR(__xludf.DUMMYFUNCTION("""COMPUTED_VALUE"""),44133.64583333333)</f>
        <v>44133.64583</v>
      </c>
      <c r="C1752" s="9">
        <f>IFERROR(__xludf.DUMMYFUNCTION("""COMPUTED_VALUE"""),1070.0)</f>
        <v>1070</v>
      </c>
      <c r="D1752" s="9">
        <f>IFERROR(__xludf.DUMMYFUNCTION("""COMPUTED_VALUE"""),1082.0)</f>
        <v>1082</v>
      </c>
      <c r="E1752" s="9">
        <f>IFERROR(__xludf.DUMMYFUNCTION("""COMPUTED_VALUE"""),1060.1)</f>
        <v>1060.1</v>
      </c>
      <c r="F1752" s="9">
        <f>IFERROR(__xludf.DUMMYFUNCTION("""COMPUTED_VALUE"""),1074.85)</f>
        <v>1074.85</v>
      </c>
      <c r="G1752" s="9">
        <f>IFERROR(__xludf.DUMMYFUNCTION("""COMPUTED_VALUE"""),6935804.0)</f>
        <v>6935804</v>
      </c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</row>
    <row r="1753">
      <c r="A1753" s="1"/>
      <c r="B1753" s="22">
        <f>IFERROR(__xludf.DUMMYFUNCTION("""COMPUTED_VALUE"""),44134.64583333333)</f>
        <v>44134.64583</v>
      </c>
      <c r="C1753" s="9">
        <f>IFERROR(__xludf.DUMMYFUNCTION("""COMPUTED_VALUE"""),1072.0)</f>
        <v>1072</v>
      </c>
      <c r="D1753" s="9">
        <f>IFERROR(__xludf.DUMMYFUNCTION("""COMPUTED_VALUE"""),1083.6)</f>
        <v>1083.6</v>
      </c>
      <c r="E1753" s="9">
        <f>IFERROR(__xludf.DUMMYFUNCTION("""COMPUTED_VALUE"""),1052.35)</f>
        <v>1052.35</v>
      </c>
      <c r="F1753" s="9">
        <f>IFERROR(__xludf.DUMMYFUNCTION("""COMPUTED_VALUE"""),1060.6)</f>
        <v>1060.6</v>
      </c>
      <c r="G1753" s="9">
        <f>IFERROR(__xludf.DUMMYFUNCTION("""COMPUTED_VALUE"""),8800436.0)</f>
        <v>8800436</v>
      </c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</row>
    <row r="1754">
      <c r="A1754" s="1"/>
      <c r="B1754" s="22">
        <f>IFERROR(__xludf.DUMMYFUNCTION("""COMPUTED_VALUE"""),44137.64583333333)</f>
        <v>44137.64583</v>
      </c>
      <c r="C1754" s="9">
        <f>IFERROR(__xludf.DUMMYFUNCTION("""COMPUTED_VALUE"""),1065.0)</f>
        <v>1065</v>
      </c>
      <c r="D1754" s="9">
        <f>IFERROR(__xludf.DUMMYFUNCTION("""COMPUTED_VALUE"""),1079.95)</f>
        <v>1079.95</v>
      </c>
      <c r="E1754" s="9">
        <f>IFERROR(__xludf.DUMMYFUNCTION("""COMPUTED_VALUE"""),1051.1)</f>
        <v>1051.1</v>
      </c>
      <c r="F1754" s="9">
        <f>IFERROR(__xludf.DUMMYFUNCTION("""COMPUTED_VALUE"""),1072.3)</f>
        <v>1072.3</v>
      </c>
      <c r="G1754" s="9">
        <f>IFERROR(__xludf.DUMMYFUNCTION("""COMPUTED_VALUE"""),7183119.0)</f>
        <v>7183119</v>
      </c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</row>
    <row r="1755">
      <c r="A1755" s="1"/>
      <c r="B1755" s="22">
        <f>IFERROR(__xludf.DUMMYFUNCTION("""COMPUTED_VALUE"""),44138.64583333333)</f>
        <v>44138.64583</v>
      </c>
      <c r="C1755" s="9">
        <f>IFERROR(__xludf.DUMMYFUNCTION("""COMPUTED_VALUE"""),1072.0)</f>
        <v>1072</v>
      </c>
      <c r="D1755" s="9">
        <f>IFERROR(__xludf.DUMMYFUNCTION("""COMPUTED_VALUE"""),1079.4)</f>
        <v>1079.4</v>
      </c>
      <c r="E1755" s="9">
        <f>IFERROR(__xludf.DUMMYFUNCTION("""COMPUTED_VALUE"""),1057.5)</f>
        <v>1057.5</v>
      </c>
      <c r="F1755" s="9">
        <f>IFERROR(__xludf.DUMMYFUNCTION("""COMPUTED_VALUE"""),1062.55)</f>
        <v>1062.55</v>
      </c>
      <c r="G1755" s="9">
        <f>IFERROR(__xludf.DUMMYFUNCTION("""COMPUTED_VALUE"""),7204782.0)</f>
        <v>7204782</v>
      </c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</row>
    <row r="1756">
      <c r="A1756" s="1"/>
      <c r="B1756" s="22">
        <f>IFERROR(__xludf.DUMMYFUNCTION("""COMPUTED_VALUE"""),44139.64583333333)</f>
        <v>44139.64583</v>
      </c>
      <c r="C1756" s="9">
        <f>IFERROR(__xludf.DUMMYFUNCTION("""COMPUTED_VALUE"""),1068.0)</f>
        <v>1068</v>
      </c>
      <c r="D1756" s="9">
        <f>IFERROR(__xludf.DUMMYFUNCTION("""COMPUTED_VALUE"""),1116.0)</f>
        <v>1116</v>
      </c>
      <c r="E1756" s="9">
        <f>IFERROR(__xludf.DUMMYFUNCTION("""COMPUTED_VALUE"""),1066.8)</f>
        <v>1066.8</v>
      </c>
      <c r="F1756" s="9">
        <f>IFERROR(__xludf.DUMMYFUNCTION("""COMPUTED_VALUE"""),1093.95)</f>
        <v>1093.95</v>
      </c>
      <c r="G1756" s="9">
        <f>IFERROR(__xludf.DUMMYFUNCTION("""COMPUTED_VALUE"""),1.570269E7)</f>
        <v>15702690</v>
      </c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</row>
    <row r="1757">
      <c r="A1757" s="1"/>
      <c r="B1757" s="22">
        <f>IFERROR(__xludf.DUMMYFUNCTION("""COMPUTED_VALUE"""),44140.64583333333)</f>
        <v>44140.64583</v>
      </c>
      <c r="C1757" s="9">
        <f>IFERROR(__xludf.DUMMYFUNCTION("""COMPUTED_VALUE"""),1109.9)</f>
        <v>1109.9</v>
      </c>
      <c r="D1757" s="9">
        <f>IFERROR(__xludf.DUMMYFUNCTION("""COMPUTED_VALUE"""),1123.0)</f>
        <v>1123</v>
      </c>
      <c r="E1757" s="9">
        <f>IFERROR(__xludf.DUMMYFUNCTION("""COMPUTED_VALUE"""),1099.0)</f>
        <v>1099</v>
      </c>
      <c r="F1757" s="9">
        <f>IFERROR(__xludf.DUMMYFUNCTION("""COMPUTED_VALUE"""),1104.0)</f>
        <v>1104</v>
      </c>
      <c r="G1757" s="9">
        <f>IFERROR(__xludf.DUMMYFUNCTION("""COMPUTED_VALUE"""),9568890.0)</f>
        <v>9568890</v>
      </c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</row>
    <row r="1758">
      <c r="A1758" s="1"/>
      <c r="B1758" s="22">
        <f>IFERROR(__xludf.DUMMYFUNCTION("""COMPUTED_VALUE"""),44141.64583333333)</f>
        <v>44141.64583</v>
      </c>
      <c r="C1758" s="9">
        <f>IFERROR(__xludf.DUMMYFUNCTION("""COMPUTED_VALUE"""),1108.0)</f>
        <v>1108</v>
      </c>
      <c r="D1758" s="9">
        <f>IFERROR(__xludf.DUMMYFUNCTION("""COMPUTED_VALUE"""),1121.1)</f>
        <v>1121.1</v>
      </c>
      <c r="E1758" s="9">
        <f>IFERROR(__xludf.DUMMYFUNCTION("""COMPUTED_VALUE"""),1091.7)</f>
        <v>1091.7</v>
      </c>
      <c r="F1758" s="9">
        <f>IFERROR(__xludf.DUMMYFUNCTION("""COMPUTED_VALUE"""),1112.75)</f>
        <v>1112.75</v>
      </c>
      <c r="G1758" s="9">
        <f>IFERROR(__xludf.DUMMYFUNCTION("""COMPUTED_VALUE"""),8807127.0)</f>
        <v>8807127</v>
      </c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</row>
    <row r="1759">
      <c r="A1759" s="1"/>
      <c r="B1759" s="22">
        <f>IFERROR(__xludf.DUMMYFUNCTION("""COMPUTED_VALUE"""),44144.64583333333)</f>
        <v>44144.64583</v>
      </c>
      <c r="C1759" s="9">
        <f>IFERROR(__xludf.DUMMYFUNCTION("""COMPUTED_VALUE"""),1129.3)</f>
        <v>1129.3</v>
      </c>
      <c r="D1759" s="9">
        <f>IFERROR(__xludf.DUMMYFUNCTION("""COMPUTED_VALUE"""),1146.0)</f>
        <v>1146</v>
      </c>
      <c r="E1759" s="9">
        <f>IFERROR(__xludf.DUMMYFUNCTION("""COMPUTED_VALUE"""),1121.15)</f>
        <v>1121.15</v>
      </c>
      <c r="F1759" s="9">
        <f>IFERROR(__xludf.DUMMYFUNCTION("""COMPUTED_VALUE"""),1136.55)</f>
        <v>1136.55</v>
      </c>
      <c r="G1759" s="9">
        <f>IFERROR(__xludf.DUMMYFUNCTION("""COMPUTED_VALUE"""),1.016032E7)</f>
        <v>10160320</v>
      </c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</row>
    <row r="1760">
      <c r="A1760" s="1"/>
      <c r="B1760" s="22">
        <f>IFERROR(__xludf.DUMMYFUNCTION("""COMPUTED_VALUE"""),44145.64583333333)</f>
        <v>44145.64583</v>
      </c>
      <c r="C1760" s="9">
        <f>IFERROR(__xludf.DUMMYFUNCTION("""COMPUTED_VALUE"""),1113.85)</f>
        <v>1113.85</v>
      </c>
      <c r="D1760" s="9">
        <f>IFERROR(__xludf.DUMMYFUNCTION("""COMPUTED_VALUE"""),1113.85)</f>
        <v>1113.85</v>
      </c>
      <c r="E1760" s="9">
        <f>IFERROR(__xludf.DUMMYFUNCTION("""COMPUTED_VALUE"""),1078.0)</f>
        <v>1078</v>
      </c>
      <c r="F1760" s="9">
        <f>IFERROR(__xludf.DUMMYFUNCTION("""COMPUTED_VALUE"""),1091.05)</f>
        <v>1091.05</v>
      </c>
      <c r="G1760" s="9">
        <f>IFERROR(__xludf.DUMMYFUNCTION("""COMPUTED_VALUE"""),1.5622869E7)</f>
        <v>15622869</v>
      </c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</row>
    <row r="1761">
      <c r="A1761" s="1"/>
      <c r="B1761" s="22">
        <f>IFERROR(__xludf.DUMMYFUNCTION("""COMPUTED_VALUE"""),44146.64583333333)</f>
        <v>44146.64583</v>
      </c>
      <c r="C1761" s="9">
        <f>IFERROR(__xludf.DUMMYFUNCTION("""COMPUTED_VALUE"""),1096.0)</f>
        <v>1096</v>
      </c>
      <c r="D1761" s="9">
        <f>IFERROR(__xludf.DUMMYFUNCTION("""COMPUTED_VALUE"""),1126.35)</f>
        <v>1126.35</v>
      </c>
      <c r="E1761" s="9">
        <f>IFERROR(__xludf.DUMMYFUNCTION("""COMPUTED_VALUE"""),1087.0)</f>
        <v>1087</v>
      </c>
      <c r="F1761" s="9">
        <f>IFERROR(__xludf.DUMMYFUNCTION("""COMPUTED_VALUE"""),1122.5)</f>
        <v>1122.5</v>
      </c>
      <c r="G1761" s="9">
        <f>IFERROR(__xludf.DUMMYFUNCTION("""COMPUTED_VALUE"""),1.25148E7)</f>
        <v>12514800</v>
      </c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</row>
    <row r="1762">
      <c r="A1762" s="1"/>
      <c r="B1762" s="22">
        <f>IFERROR(__xludf.DUMMYFUNCTION("""COMPUTED_VALUE"""),44147.64583333333)</f>
        <v>44147.64583</v>
      </c>
      <c r="C1762" s="9">
        <f>IFERROR(__xludf.DUMMYFUNCTION("""COMPUTED_VALUE"""),1128.1)</f>
        <v>1128.1</v>
      </c>
      <c r="D1762" s="9">
        <f>IFERROR(__xludf.DUMMYFUNCTION("""COMPUTED_VALUE"""),1142.0)</f>
        <v>1142</v>
      </c>
      <c r="E1762" s="9">
        <f>IFERROR(__xludf.DUMMYFUNCTION("""COMPUTED_VALUE"""),1113.75)</f>
        <v>1113.75</v>
      </c>
      <c r="F1762" s="9">
        <f>IFERROR(__xludf.DUMMYFUNCTION("""COMPUTED_VALUE"""),1117.75)</f>
        <v>1117.75</v>
      </c>
      <c r="G1762" s="9">
        <f>IFERROR(__xludf.DUMMYFUNCTION("""COMPUTED_VALUE"""),9180976.0)</f>
        <v>9180976</v>
      </c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</row>
    <row r="1763">
      <c r="A1763" s="1"/>
      <c r="B1763" s="22">
        <f>IFERROR(__xludf.DUMMYFUNCTION("""COMPUTED_VALUE"""),44148.64583333333)</f>
        <v>44148.64583</v>
      </c>
      <c r="C1763" s="9">
        <f>IFERROR(__xludf.DUMMYFUNCTION("""COMPUTED_VALUE"""),1120.0)</f>
        <v>1120</v>
      </c>
      <c r="D1763" s="9">
        <f>IFERROR(__xludf.DUMMYFUNCTION("""COMPUTED_VALUE"""),1133.0)</f>
        <v>1133</v>
      </c>
      <c r="E1763" s="9">
        <f>IFERROR(__xludf.DUMMYFUNCTION("""COMPUTED_VALUE"""),1117.0)</f>
        <v>1117</v>
      </c>
      <c r="F1763" s="9">
        <f>IFERROR(__xludf.DUMMYFUNCTION("""COMPUTED_VALUE"""),1124.2)</f>
        <v>1124.2</v>
      </c>
      <c r="G1763" s="9">
        <f>IFERROR(__xludf.DUMMYFUNCTION("""COMPUTED_VALUE"""),6363212.0)</f>
        <v>6363212</v>
      </c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</row>
    <row r="1764">
      <c r="A1764" s="1"/>
      <c r="B1764" s="22">
        <f>IFERROR(__xludf.DUMMYFUNCTION("""COMPUTED_VALUE"""),44152.64583333333)</f>
        <v>44152.64583</v>
      </c>
      <c r="C1764" s="9">
        <f>IFERROR(__xludf.DUMMYFUNCTION("""COMPUTED_VALUE"""),1144.75)</f>
        <v>1144.75</v>
      </c>
      <c r="D1764" s="9">
        <f>IFERROR(__xludf.DUMMYFUNCTION("""COMPUTED_VALUE"""),1145.0)</f>
        <v>1145</v>
      </c>
      <c r="E1764" s="9">
        <f>IFERROR(__xludf.DUMMYFUNCTION("""COMPUTED_VALUE"""),1112.65)</f>
        <v>1112.65</v>
      </c>
      <c r="F1764" s="9">
        <f>IFERROR(__xludf.DUMMYFUNCTION("""COMPUTED_VALUE"""),1123.7)</f>
        <v>1123.7</v>
      </c>
      <c r="G1764" s="9">
        <f>IFERROR(__xludf.DUMMYFUNCTION("""COMPUTED_VALUE"""),1.2813968E7)</f>
        <v>12813968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</row>
    <row r="1765">
      <c r="A1765" s="1"/>
      <c r="B1765" s="22">
        <f>IFERROR(__xludf.DUMMYFUNCTION("""COMPUTED_VALUE"""),44153.64583333333)</f>
        <v>44153.64583</v>
      </c>
      <c r="C1765" s="9">
        <f>IFERROR(__xludf.DUMMYFUNCTION("""COMPUTED_VALUE"""),1128.5)</f>
        <v>1128.5</v>
      </c>
      <c r="D1765" s="9">
        <f>IFERROR(__xludf.DUMMYFUNCTION("""COMPUTED_VALUE"""),1132.7)</f>
        <v>1132.7</v>
      </c>
      <c r="E1765" s="9">
        <f>IFERROR(__xludf.DUMMYFUNCTION("""COMPUTED_VALUE"""),1101.45)</f>
        <v>1101.45</v>
      </c>
      <c r="F1765" s="9">
        <f>IFERROR(__xludf.DUMMYFUNCTION("""COMPUTED_VALUE"""),1110.55)</f>
        <v>1110.55</v>
      </c>
      <c r="G1765" s="9">
        <f>IFERROR(__xludf.DUMMYFUNCTION("""COMPUTED_VALUE"""),9839468.0)</f>
        <v>9839468</v>
      </c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</row>
    <row r="1766">
      <c r="A1766" s="1"/>
      <c r="B1766" s="22">
        <f>IFERROR(__xludf.DUMMYFUNCTION("""COMPUTED_VALUE"""),44154.64583333333)</f>
        <v>44154.64583</v>
      </c>
      <c r="C1766" s="9">
        <f>IFERROR(__xludf.DUMMYFUNCTION("""COMPUTED_VALUE"""),1100.0)</f>
        <v>1100</v>
      </c>
      <c r="D1766" s="9">
        <f>IFERROR(__xludf.DUMMYFUNCTION("""COMPUTED_VALUE"""),1114.7)</f>
        <v>1114.7</v>
      </c>
      <c r="E1766" s="9">
        <f>IFERROR(__xludf.DUMMYFUNCTION("""COMPUTED_VALUE"""),1093.8)</f>
        <v>1093.8</v>
      </c>
      <c r="F1766" s="9">
        <f>IFERROR(__xludf.DUMMYFUNCTION("""COMPUTED_VALUE"""),1096.75)</f>
        <v>1096.75</v>
      </c>
      <c r="G1766" s="9">
        <f>IFERROR(__xludf.DUMMYFUNCTION("""COMPUTED_VALUE"""),1.0092343E7)</f>
        <v>10092343</v>
      </c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</row>
    <row r="1767">
      <c r="A1767" s="1"/>
      <c r="B1767" s="22">
        <f>IFERROR(__xludf.DUMMYFUNCTION("""COMPUTED_VALUE"""),44155.64583333333)</f>
        <v>44155.64583</v>
      </c>
      <c r="C1767" s="9">
        <f>IFERROR(__xludf.DUMMYFUNCTION("""COMPUTED_VALUE"""),1106.0)</f>
        <v>1106</v>
      </c>
      <c r="D1767" s="9">
        <f>IFERROR(__xludf.DUMMYFUNCTION("""COMPUTED_VALUE"""),1109.0)</f>
        <v>1109</v>
      </c>
      <c r="E1767" s="9">
        <f>IFERROR(__xludf.DUMMYFUNCTION("""COMPUTED_VALUE"""),1091.1)</f>
        <v>1091.1</v>
      </c>
      <c r="F1767" s="9">
        <f>IFERROR(__xludf.DUMMYFUNCTION("""COMPUTED_VALUE"""),1103.35)</f>
        <v>1103.35</v>
      </c>
      <c r="G1767" s="9">
        <f>IFERROR(__xludf.DUMMYFUNCTION("""COMPUTED_VALUE"""),8063554.0)</f>
        <v>8063554</v>
      </c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</row>
    <row r="1768">
      <c r="A1768" s="1"/>
      <c r="B1768" s="22">
        <f>IFERROR(__xludf.DUMMYFUNCTION("""COMPUTED_VALUE"""),44158.64583333333)</f>
        <v>44158.64583</v>
      </c>
      <c r="C1768" s="9">
        <f>IFERROR(__xludf.DUMMYFUNCTION("""COMPUTED_VALUE"""),1105.0)</f>
        <v>1105</v>
      </c>
      <c r="D1768" s="9">
        <f>IFERROR(__xludf.DUMMYFUNCTION("""COMPUTED_VALUE"""),1144.8)</f>
        <v>1144.8</v>
      </c>
      <c r="E1768" s="9">
        <f>IFERROR(__xludf.DUMMYFUNCTION("""COMPUTED_VALUE"""),1101.95)</f>
        <v>1101.95</v>
      </c>
      <c r="F1768" s="9">
        <f>IFERROR(__xludf.DUMMYFUNCTION("""COMPUTED_VALUE"""),1139.85)</f>
        <v>1139.85</v>
      </c>
      <c r="G1768" s="9">
        <f>IFERROR(__xludf.DUMMYFUNCTION("""COMPUTED_VALUE"""),1.0546363E7)</f>
        <v>10546363</v>
      </c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</row>
    <row r="1769">
      <c r="A1769" s="1"/>
      <c r="B1769" s="22">
        <f>IFERROR(__xludf.DUMMYFUNCTION("""COMPUTED_VALUE"""),44159.64583333333)</f>
        <v>44159.64583</v>
      </c>
      <c r="C1769" s="9">
        <f>IFERROR(__xludf.DUMMYFUNCTION("""COMPUTED_VALUE"""),1145.0)</f>
        <v>1145</v>
      </c>
      <c r="D1769" s="9">
        <f>IFERROR(__xludf.DUMMYFUNCTION("""COMPUTED_VALUE"""),1154.9)</f>
        <v>1154.9</v>
      </c>
      <c r="E1769" s="9">
        <f>IFERROR(__xludf.DUMMYFUNCTION("""COMPUTED_VALUE"""),1133.35)</f>
        <v>1133.35</v>
      </c>
      <c r="F1769" s="9">
        <f>IFERROR(__xludf.DUMMYFUNCTION("""COMPUTED_VALUE"""),1140.05)</f>
        <v>1140.05</v>
      </c>
      <c r="G1769" s="9">
        <f>IFERROR(__xludf.DUMMYFUNCTION("""COMPUTED_VALUE"""),8515426.0)</f>
        <v>8515426</v>
      </c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</row>
    <row r="1770">
      <c r="A1770" s="1"/>
      <c r="B1770" s="22">
        <f>IFERROR(__xludf.DUMMYFUNCTION("""COMPUTED_VALUE"""),44160.64583333333)</f>
        <v>44160.64583</v>
      </c>
      <c r="C1770" s="9">
        <f>IFERROR(__xludf.DUMMYFUNCTION("""COMPUTED_VALUE"""),1137.0)</f>
        <v>1137</v>
      </c>
      <c r="D1770" s="9">
        <f>IFERROR(__xludf.DUMMYFUNCTION("""COMPUTED_VALUE"""),1143.5)</f>
        <v>1143.5</v>
      </c>
      <c r="E1770" s="9">
        <f>IFERROR(__xludf.DUMMYFUNCTION("""COMPUTED_VALUE"""),1111.25)</f>
        <v>1111.25</v>
      </c>
      <c r="F1770" s="9">
        <f>IFERROR(__xludf.DUMMYFUNCTION("""COMPUTED_VALUE"""),1115.65)</f>
        <v>1115.65</v>
      </c>
      <c r="G1770" s="9">
        <f>IFERROR(__xludf.DUMMYFUNCTION("""COMPUTED_VALUE"""),8958701.0)</f>
        <v>8958701</v>
      </c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</row>
    <row r="1771">
      <c r="A1771" s="1"/>
      <c r="B1771" s="22">
        <f>IFERROR(__xludf.DUMMYFUNCTION("""COMPUTED_VALUE"""),44161.64583333333)</f>
        <v>44161.64583</v>
      </c>
      <c r="C1771" s="9">
        <f>IFERROR(__xludf.DUMMYFUNCTION("""COMPUTED_VALUE"""),1119.95)</f>
        <v>1119.95</v>
      </c>
      <c r="D1771" s="9">
        <f>IFERROR(__xludf.DUMMYFUNCTION("""COMPUTED_VALUE"""),1119.95)</f>
        <v>1119.95</v>
      </c>
      <c r="E1771" s="9">
        <f>IFERROR(__xludf.DUMMYFUNCTION("""COMPUTED_VALUE"""),1098.3)</f>
        <v>1098.3</v>
      </c>
      <c r="F1771" s="9">
        <f>IFERROR(__xludf.DUMMYFUNCTION("""COMPUTED_VALUE"""),1113.2)</f>
        <v>1113.2</v>
      </c>
      <c r="G1771" s="9">
        <f>IFERROR(__xludf.DUMMYFUNCTION("""COMPUTED_VALUE"""),1.0962256E7)</f>
        <v>10962256</v>
      </c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</row>
    <row r="1772">
      <c r="A1772" s="1"/>
      <c r="B1772" s="22">
        <f>IFERROR(__xludf.DUMMYFUNCTION("""COMPUTED_VALUE"""),44162.64583333333)</f>
        <v>44162.64583</v>
      </c>
      <c r="C1772" s="9">
        <f>IFERROR(__xludf.DUMMYFUNCTION("""COMPUTED_VALUE"""),1118.0)</f>
        <v>1118</v>
      </c>
      <c r="D1772" s="9">
        <f>IFERROR(__xludf.DUMMYFUNCTION("""COMPUTED_VALUE"""),1121.0)</f>
        <v>1121</v>
      </c>
      <c r="E1772" s="9">
        <f>IFERROR(__xludf.DUMMYFUNCTION("""COMPUTED_VALUE"""),1091.0)</f>
        <v>1091</v>
      </c>
      <c r="F1772" s="9">
        <f>IFERROR(__xludf.DUMMYFUNCTION("""COMPUTED_VALUE"""),1100.0)</f>
        <v>1100</v>
      </c>
      <c r="G1772" s="9">
        <f>IFERROR(__xludf.DUMMYFUNCTION("""COMPUTED_VALUE"""),2.5306145E7)</f>
        <v>25306145</v>
      </c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</row>
    <row r="1773">
      <c r="A1773" s="1"/>
      <c r="B1773" s="22">
        <f>IFERROR(__xludf.DUMMYFUNCTION("""COMPUTED_VALUE"""),44166.64583333333)</f>
        <v>44166.64583</v>
      </c>
      <c r="C1773" s="9">
        <f>IFERROR(__xludf.DUMMYFUNCTION("""COMPUTED_VALUE"""),1105.05)</f>
        <v>1105.05</v>
      </c>
      <c r="D1773" s="9">
        <f>IFERROR(__xludf.DUMMYFUNCTION("""COMPUTED_VALUE"""),1140.25)</f>
        <v>1140.25</v>
      </c>
      <c r="E1773" s="9">
        <f>IFERROR(__xludf.DUMMYFUNCTION("""COMPUTED_VALUE"""),1105.05)</f>
        <v>1105.05</v>
      </c>
      <c r="F1773" s="9">
        <f>IFERROR(__xludf.DUMMYFUNCTION("""COMPUTED_VALUE"""),1137.85)</f>
        <v>1137.85</v>
      </c>
      <c r="G1773" s="9">
        <f>IFERROR(__xludf.DUMMYFUNCTION("""COMPUTED_VALUE"""),8933802.0)</f>
        <v>8933802</v>
      </c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</row>
    <row r="1774">
      <c r="A1774" s="1"/>
      <c r="B1774" s="22">
        <f>IFERROR(__xludf.DUMMYFUNCTION("""COMPUTED_VALUE"""),44167.64583333333)</f>
        <v>44167.64583</v>
      </c>
      <c r="C1774" s="9">
        <f>IFERROR(__xludf.DUMMYFUNCTION("""COMPUTED_VALUE"""),1134.0)</f>
        <v>1134</v>
      </c>
      <c r="D1774" s="9">
        <f>IFERROR(__xludf.DUMMYFUNCTION("""COMPUTED_VALUE"""),1147.45)</f>
        <v>1147.45</v>
      </c>
      <c r="E1774" s="9">
        <f>IFERROR(__xludf.DUMMYFUNCTION("""COMPUTED_VALUE"""),1121.0)</f>
        <v>1121</v>
      </c>
      <c r="F1774" s="9">
        <f>IFERROR(__xludf.DUMMYFUNCTION("""COMPUTED_VALUE"""),1140.9)</f>
        <v>1140.9</v>
      </c>
      <c r="G1774" s="9">
        <f>IFERROR(__xludf.DUMMYFUNCTION("""COMPUTED_VALUE"""),6741637.0)</f>
        <v>6741637</v>
      </c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</row>
    <row r="1775">
      <c r="A1775" s="1"/>
      <c r="B1775" s="22">
        <f>IFERROR(__xludf.DUMMYFUNCTION("""COMPUTED_VALUE"""),44168.64583333333)</f>
        <v>44168.64583</v>
      </c>
      <c r="C1775" s="9">
        <f>IFERROR(__xludf.DUMMYFUNCTION("""COMPUTED_VALUE"""),1147.0)</f>
        <v>1147</v>
      </c>
      <c r="D1775" s="9">
        <f>IFERROR(__xludf.DUMMYFUNCTION("""COMPUTED_VALUE"""),1147.0)</f>
        <v>1147</v>
      </c>
      <c r="E1775" s="9">
        <f>IFERROR(__xludf.DUMMYFUNCTION("""COMPUTED_VALUE"""),1122.7)</f>
        <v>1122.7</v>
      </c>
      <c r="F1775" s="9">
        <f>IFERROR(__xludf.DUMMYFUNCTION("""COMPUTED_VALUE"""),1126.45)</f>
        <v>1126.45</v>
      </c>
      <c r="G1775" s="9">
        <f>IFERROR(__xludf.DUMMYFUNCTION("""COMPUTED_VALUE"""),1.6212632E7)</f>
        <v>16212632</v>
      </c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</row>
    <row r="1776">
      <c r="A1776" s="1"/>
      <c r="B1776" s="22">
        <f>IFERROR(__xludf.DUMMYFUNCTION("""COMPUTED_VALUE"""),44169.64583333333)</f>
        <v>44169.64583</v>
      </c>
      <c r="C1776" s="9">
        <f>IFERROR(__xludf.DUMMYFUNCTION("""COMPUTED_VALUE"""),1125.0)</f>
        <v>1125</v>
      </c>
      <c r="D1776" s="9">
        <f>IFERROR(__xludf.DUMMYFUNCTION("""COMPUTED_VALUE"""),1137.0)</f>
        <v>1137</v>
      </c>
      <c r="E1776" s="9">
        <f>IFERROR(__xludf.DUMMYFUNCTION("""COMPUTED_VALUE"""),1115.0)</f>
        <v>1115</v>
      </c>
      <c r="F1776" s="9">
        <f>IFERROR(__xludf.DUMMYFUNCTION("""COMPUTED_VALUE"""),1134.65)</f>
        <v>1134.65</v>
      </c>
      <c r="G1776" s="9">
        <f>IFERROR(__xludf.DUMMYFUNCTION("""COMPUTED_VALUE"""),1.0564055E7)</f>
        <v>10564055</v>
      </c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</row>
    <row r="1777">
      <c r="A1777" s="1"/>
      <c r="B1777" s="22">
        <f>IFERROR(__xludf.DUMMYFUNCTION("""COMPUTED_VALUE"""),44172.64583333333)</f>
        <v>44172.64583</v>
      </c>
      <c r="C1777" s="9">
        <f>IFERROR(__xludf.DUMMYFUNCTION("""COMPUTED_VALUE"""),1147.3)</f>
        <v>1147.3</v>
      </c>
      <c r="D1777" s="9">
        <f>IFERROR(__xludf.DUMMYFUNCTION("""COMPUTED_VALUE"""),1153.0)</f>
        <v>1153</v>
      </c>
      <c r="E1777" s="9">
        <f>IFERROR(__xludf.DUMMYFUNCTION("""COMPUTED_VALUE"""),1136.0)</f>
        <v>1136</v>
      </c>
      <c r="F1777" s="9">
        <f>IFERROR(__xludf.DUMMYFUNCTION("""COMPUTED_VALUE"""),1143.5)</f>
        <v>1143.5</v>
      </c>
      <c r="G1777" s="9">
        <f>IFERROR(__xludf.DUMMYFUNCTION("""COMPUTED_VALUE"""),7792141.0)</f>
        <v>7792141</v>
      </c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</row>
    <row r="1778">
      <c r="A1778" s="1"/>
      <c r="B1778" s="22">
        <f>IFERROR(__xludf.DUMMYFUNCTION("""COMPUTED_VALUE"""),44173.64583333333)</f>
        <v>44173.64583</v>
      </c>
      <c r="C1778" s="9">
        <f>IFERROR(__xludf.DUMMYFUNCTION("""COMPUTED_VALUE"""),1145.0)</f>
        <v>1145</v>
      </c>
      <c r="D1778" s="9">
        <f>IFERROR(__xludf.DUMMYFUNCTION("""COMPUTED_VALUE"""),1167.0)</f>
        <v>1167</v>
      </c>
      <c r="E1778" s="9">
        <f>IFERROR(__xludf.DUMMYFUNCTION("""COMPUTED_VALUE"""),1145.0)</f>
        <v>1145</v>
      </c>
      <c r="F1778" s="9">
        <f>IFERROR(__xludf.DUMMYFUNCTION("""COMPUTED_VALUE"""),1153.35)</f>
        <v>1153.35</v>
      </c>
      <c r="G1778" s="9">
        <f>IFERROR(__xludf.DUMMYFUNCTION("""COMPUTED_VALUE"""),1.230833E7)</f>
        <v>12308330</v>
      </c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</row>
    <row r="1779">
      <c r="A1779" s="1"/>
      <c r="B1779" s="22">
        <f>IFERROR(__xludf.DUMMYFUNCTION("""COMPUTED_VALUE"""),44174.64583333333)</f>
        <v>44174.64583</v>
      </c>
      <c r="C1779" s="9">
        <f>IFERROR(__xludf.DUMMYFUNCTION("""COMPUTED_VALUE"""),1168.05)</f>
        <v>1168.05</v>
      </c>
      <c r="D1779" s="9">
        <f>IFERROR(__xludf.DUMMYFUNCTION("""COMPUTED_VALUE"""),1179.5)</f>
        <v>1179.5</v>
      </c>
      <c r="E1779" s="9">
        <f>IFERROR(__xludf.DUMMYFUNCTION("""COMPUTED_VALUE"""),1157.0)</f>
        <v>1157</v>
      </c>
      <c r="F1779" s="9">
        <f>IFERROR(__xludf.DUMMYFUNCTION("""COMPUTED_VALUE"""),1175.2)</f>
        <v>1175.2</v>
      </c>
      <c r="G1779" s="9">
        <f>IFERROR(__xludf.DUMMYFUNCTION("""COMPUTED_VALUE"""),1.0039346E7)</f>
        <v>10039346</v>
      </c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</row>
    <row r="1780">
      <c r="A1780" s="1"/>
      <c r="B1780" s="22">
        <f>IFERROR(__xludf.DUMMYFUNCTION("""COMPUTED_VALUE"""),44175.64583333333)</f>
        <v>44175.64583</v>
      </c>
      <c r="C1780" s="9">
        <f>IFERROR(__xludf.DUMMYFUNCTION("""COMPUTED_VALUE"""),1157.4)</f>
        <v>1157.4</v>
      </c>
      <c r="D1780" s="9">
        <f>IFERROR(__xludf.DUMMYFUNCTION("""COMPUTED_VALUE"""),1171.65)</f>
        <v>1171.65</v>
      </c>
      <c r="E1780" s="9">
        <f>IFERROR(__xludf.DUMMYFUNCTION("""COMPUTED_VALUE"""),1150.0)</f>
        <v>1150</v>
      </c>
      <c r="F1780" s="9">
        <f>IFERROR(__xludf.DUMMYFUNCTION("""COMPUTED_VALUE"""),1167.75)</f>
        <v>1167.75</v>
      </c>
      <c r="G1780" s="9">
        <f>IFERROR(__xludf.DUMMYFUNCTION("""COMPUTED_VALUE"""),9488782.0)</f>
        <v>9488782</v>
      </c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</row>
    <row r="1781">
      <c r="A1781" s="1"/>
      <c r="B1781" s="22">
        <f>IFERROR(__xludf.DUMMYFUNCTION("""COMPUTED_VALUE"""),44176.64583333333)</f>
        <v>44176.64583</v>
      </c>
      <c r="C1781" s="9">
        <f>IFERROR(__xludf.DUMMYFUNCTION("""COMPUTED_VALUE"""),1159.7)</f>
        <v>1159.7</v>
      </c>
      <c r="D1781" s="9">
        <f>IFERROR(__xludf.DUMMYFUNCTION("""COMPUTED_VALUE"""),1171.95)</f>
        <v>1171.95</v>
      </c>
      <c r="E1781" s="9">
        <f>IFERROR(__xludf.DUMMYFUNCTION("""COMPUTED_VALUE"""),1155.25)</f>
        <v>1155.25</v>
      </c>
      <c r="F1781" s="9">
        <f>IFERROR(__xludf.DUMMYFUNCTION("""COMPUTED_VALUE"""),1163.2)</f>
        <v>1163.2</v>
      </c>
      <c r="G1781" s="9">
        <f>IFERROR(__xludf.DUMMYFUNCTION("""COMPUTED_VALUE"""),1.0574009E7)</f>
        <v>10574009</v>
      </c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</row>
    <row r="1782">
      <c r="A1782" s="1"/>
      <c r="B1782" s="22">
        <f>IFERROR(__xludf.DUMMYFUNCTION("""COMPUTED_VALUE"""),44179.64583333333)</f>
        <v>44179.64583</v>
      </c>
      <c r="C1782" s="9">
        <f>IFERROR(__xludf.DUMMYFUNCTION("""COMPUTED_VALUE"""),1169.4)</f>
        <v>1169.4</v>
      </c>
      <c r="D1782" s="9">
        <f>IFERROR(__xludf.DUMMYFUNCTION("""COMPUTED_VALUE"""),1172.6)</f>
        <v>1172.6</v>
      </c>
      <c r="E1782" s="9">
        <f>IFERROR(__xludf.DUMMYFUNCTION("""COMPUTED_VALUE"""),1148.2)</f>
        <v>1148.2</v>
      </c>
      <c r="F1782" s="9">
        <f>IFERROR(__xludf.DUMMYFUNCTION("""COMPUTED_VALUE"""),1164.55)</f>
        <v>1164.55</v>
      </c>
      <c r="G1782" s="9">
        <f>IFERROR(__xludf.DUMMYFUNCTION("""COMPUTED_VALUE"""),6728187.0)</f>
        <v>6728187</v>
      </c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</row>
    <row r="1783">
      <c r="A1783" s="1"/>
      <c r="B1783" s="22">
        <f>IFERROR(__xludf.DUMMYFUNCTION("""COMPUTED_VALUE"""),44180.64583333333)</f>
        <v>44180.64583</v>
      </c>
      <c r="C1783" s="9">
        <f>IFERROR(__xludf.DUMMYFUNCTION("""COMPUTED_VALUE"""),1156.0)</f>
        <v>1156</v>
      </c>
      <c r="D1783" s="9">
        <f>IFERROR(__xludf.DUMMYFUNCTION("""COMPUTED_VALUE"""),1163.7)</f>
        <v>1163.7</v>
      </c>
      <c r="E1783" s="9">
        <f>IFERROR(__xludf.DUMMYFUNCTION("""COMPUTED_VALUE"""),1152.0)</f>
        <v>1152</v>
      </c>
      <c r="F1783" s="9">
        <f>IFERROR(__xludf.DUMMYFUNCTION("""COMPUTED_VALUE"""),1154.6)</f>
        <v>1154.6</v>
      </c>
      <c r="G1783" s="9">
        <f>IFERROR(__xludf.DUMMYFUNCTION("""COMPUTED_VALUE"""),6905926.0)</f>
        <v>6905926</v>
      </c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</row>
    <row r="1784">
      <c r="A1784" s="1"/>
      <c r="B1784" s="22">
        <f>IFERROR(__xludf.DUMMYFUNCTION("""COMPUTED_VALUE"""),44181.64583333333)</f>
        <v>44181.64583</v>
      </c>
      <c r="C1784" s="9">
        <f>IFERROR(__xludf.DUMMYFUNCTION("""COMPUTED_VALUE"""),1160.0)</f>
        <v>1160</v>
      </c>
      <c r="D1784" s="9">
        <f>IFERROR(__xludf.DUMMYFUNCTION("""COMPUTED_VALUE"""),1168.9)</f>
        <v>1168.9</v>
      </c>
      <c r="E1784" s="9">
        <f>IFERROR(__xludf.DUMMYFUNCTION("""COMPUTED_VALUE"""),1153.6)</f>
        <v>1153.6</v>
      </c>
      <c r="F1784" s="9">
        <f>IFERROR(__xludf.DUMMYFUNCTION("""COMPUTED_VALUE"""),1165.7)</f>
        <v>1165.7</v>
      </c>
      <c r="G1784" s="9">
        <f>IFERROR(__xludf.DUMMYFUNCTION("""COMPUTED_VALUE"""),7788404.0)</f>
        <v>7788404</v>
      </c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</row>
    <row r="1785">
      <c r="A1785" s="1"/>
      <c r="B1785" s="22">
        <f>IFERROR(__xludf.DUMMYFUNCTION("""COMPUTED_VALUE"""),44182.64583333333)</f>
        <v>44182.64583</v>
      </c>
      <c r="C1785" s="9">
        <f>IFERROR(__xludf.DUMMYFUNCTION("""COMPUTED_VALUE"""),1165.9)</f>
        <v>1165.9</v>
      </c>
      <c r="D1785" s="9">
        <f>IFERROR(__xludf.DUMMYFUNCTION("""COMPUTED_VALUE"""),1168.9)</f>
        <v>1168.9</v>
      </c>
      <c r="E1785" s="9">
        <f>IFERROR(__xludf.DUMMYFUNCTION("""COMPUTED_VALUE"""),1156.2)</f>
        <v>1156.2</v>
      </c>
      <c r="F1785" s="9">
        <f>IFERROR(__xludf.DUMMYFUNCTION("""COMPUTED_VALUE"""),1159.2)</f>
        <v>1159.2</v>
      </c>
      <c r="G1785" s="9">
        <f>IFERROR(__xludf.DUMMYFUNCTION("""COMPUTED_VALUE"""),6658153.0)</f>
        <v>6658153</v>
      </c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</row>
    <row r="1786">
      <c r="A1786" s="1"/>
      <c r="B1786" s="22">
        <f>IFERROR(__xludf.DUMMYFUNCTION("""COMPUTED_VALUE"""),44183.64583333333)</f>
        <v>44183.64583</v>
      </c>
      <c r="C1786" s="9">
        <f>IFERROR(__xludf.DUMMYFUNCTION("""COMPUTED_VALUE"""),1182.85)</f>
        <v>1182.85</v>
      </c>
      <c r="D1786" s="9">
        <f>IFERROR(__xludf.DUMMYFUNCTION("""COMPUTED_VALUE"""),1195.0)</f>
        <v>1195</v>
      </c>
      <c r="E1786" s="9">
        <f>IFERROR(__xludf.DUMMYFUNCTION("""COMPUTED_VALUE"""),1175.6)</f>
        <v>1175.6</v>
      </c>
      <c r="F1786" s="9">
        <f>IFERROR(__xludf.DUMMYFUNCTION("""COMPUTED_VALUE"""),1189.8)</f>
        <v>1189.8</v>
      </c>
      <c r="G1786" s="9">
        <f>IFERROR(__xludf.DUMMYFUNCTION("""COMPUTED_VALUE"""),1.5995676E7)</f>
        <v>15995676</v>
      </c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</row>
    <row r="1787">
      <c r="A1787" s="1"/>
      <c r="B1787" s="22">
        <f>IFERROR(__xludf.DUMMYFUNCTION("""COMPUTED_VALUE"""),44186.64583333333)</f>
        <v>44186.64583</v>
      </c>
      <c r="C1787" s="9">
        <f>IFERROR(__xludf.DUMMYFUNCTION("""COMPUTED_VALUE"""),1188.0)</f>
        <v>1188</v>
      </c>
      <c r="D1787" s="9">
        <f>IFERROR(__xludf.DUMMYFUNCTION("""COMPUTED_VALUE"""),1209.75)</f>
        <v>1209.75</v>
      </c>
      <c r="E1787" s="9">
        <f>IFERROR(__xludf.DUMMYFUNCTION("""COMPUTED_VALUE"""),1152.05)</f>
        <v>1152.05</v>
      </c>
      <c r="F1787" s="9">
        <f>IFERROR(__xludf.DUMMYFUNCTION("""COMPUTED_VALUE"""),1177.3)</f>
        <v>1177.3</v>
      </c>
      <c r="G1787" s="9">
        <f>IFERROR(__xludf.DUMMYFUNCTION("""COMPUTED_VALUE"""),1.0858352E7)</f>
        <v>10858352</v>
      </c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</row>
    <row r="1788">
      <c r="A1788" s="1"/>
      <c r="B1788" s="22">
        <f>IFERROR(__xludf.DUMMYFUNCTION("""COMPUTED_VALUE"""),44187.64583333333)</f>
        <v>44187.64583</v>
      </c>
      <c r="C1788" s="9">
        <f>IFERROR(__xludf.DUMMYFUNCTION("""COMPUTED_VALUE"""),1182.0)</f>
        <v>1182</v>
      </c>
      <c r="D1788" s="9">
        <f>IFERROR(__xludf.DUMMYFUNCTION("""COMPUTED_VALUE"""),1223.85)</f>
        <v>1223.85</v>
      </c>
      <c r="E1788" s="9">
        <f>IFERROR(__xludf.DUMMYFUNCTION("""COMPUTED_VALUE"""),1176.1)</f>
        <v>1176.1</v>
      </c>
      <c r="F1788" s="9">
        <f>IFERROR(__xludf.DUMMYFUNCTION("""COMPUTED_VALUE"""),1220.5)</f>
        <v>1220.5</v>
      </c>
      <c r="G1788" s="9">
        <f>IFERROR(__xludf.DUMMYFUNCTION("""COMPUTED_VALUE"""),1.0901851E7)</f>
        <v>10901851</v>
      </c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</row>
    <row r="1789">
      <c r="A1789" s="1"/>
      <c r="B1789" s="22">
        <f>IFERROR(__xludf.DUMMYFUNCTION("""COMPUTED_VALUE"""),44188.64583333333)</f>
        <v>44188.64583</v>
      </c>
      <c r="C1789" s="9">
        <f>IFERROR(__xludf.DUMMYFUNCTION("""COMPUTED_VALUE"""),1238.0)</f>
        <v>1238</v>
      </c>
      <c r="D1789" s="9">
        <f>IFERROR(__xludf.DUMMYFUNCTION("""COMPUTED_VALUE"""),1258.85)</f>
        <v>1258.85</v>
      </c>
      <c r="E1789" s="9">
        <f>IFERROR(__xludf.DUMMYFUNCTION("""COMPUTED_VALUE"""),1230.55)</f>
        <v>1230.55</v>
      </c>
      <c r="F1789" s="9">
        <f>IFERROR(__xludf.DUMMYFUNCTION("""COMPUTED_VALUE"""),1253.05)</f>
        <v>1253.05</v>
      </c>
      <c r="G1789" s="9">
        <f>IFERROR(__xludf.DUMMYFUNCTION("""COMPUTED_VALUE"""),1.5878346E7)</f>
        <v>15878346</v>
      </c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</row>
    <row r="1790">
      <c r="A1790" s="1"/>
      <c r="B1790" s="22">
        <f>IFERROR(__xludf.DUMMYFUNCTION("""COMPUTED_VALUE"""),44189.64583333333)</f>
        <v>44189.64583</v>
      </c>
      <c r="C1790" s="9">
        <f>IFERROR(__xludf.DUMMYFUNCTION("""COMPUTED_VALUE"""),1249.9)</f>
        <v>1249.9</v>
      </c>
      <c r="D1790" s="9">
        <f>IFERROR(__xludf.DUMMYFUNCTION("""COMPUTED_VALUE"""),1249.9)</f>
        <v>1249.9</v>
      </c>
      <c r="E1790" s="9">
        <f>IFERROR(__xludf.DUMMYFUNCTION("""COMPUTED_VALUE"""),1226.0)</f>
        <v>1226</v>
      </c>
      <c r="F1790" s="9">
        <f>IFERROR(__xludf.DUMMYFUNCTION("""COMPUTED_VALUE"""),1236.05)</f>
        <v>1236.05</v>
      </c>
      <c r="G1790" s="9">
        <f>IFERROR(__xludf.DUMMYFUNCTION("""COMPUTED_VALUE"""),7313885.0)</f>
        <v>7313885</v>
      </c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</row>
    <row r="1791">
      <c r="A1791" s="1"/>
      <c r="B1791" s="22">
        <f>IFERROR(__xludf.DUMMYFUNCTION("""COMPUTED_VALUE"""),44193.64583333333)</f>
        <v>44193.64583</v>
      </c>
      <c r="C1791" s="9">
        <f>IFERROR(__xludf.DUMMYFUNCTION("""COMPUTED_VALUE"""),1238.45)</f>
        <v>1238.45</v>
      </c>
      <c r="D1791" s="9">
        <f>IFERROR(__xludf.DUMMYFUNCTION("""COMPUTED_VALUE"""),1248.0)</f>
        <v>1248</v>
      </c>
      <c r="E1791" s="9">
        <f>IFERROR(__xludf.DUMMYFUNCTION("""COMPUTED_VALUE"""),1236.0)</f>
        <v>1236</v>
      </c>
      <c r="F1791" s="9">
        <f>IFERROR(__xludf.DUMMYFUNCTION("""COMPUTED_VALUE"""),1240.3)</f>
        <v>1240.3</v>
      </c>
      <c r="G1791" s="9">
        <f>IFERROR(__xludf.DUMMYFUNCTION("""COMPUTED_VALUE"""),4607051.0)</f>
        <v>4607051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</row>
    <row r="1792">
      <c r="A1792" s="1"/>
      <c r="B1792" s="22">
        <f>IFERROR(__xludf.DUMMYFUNCTION("""COMPUTED_VALUE"""),44194.64583333333)</f>
        <v>44194.64583</v>
      </c>
      <c r="C1792" s="9">
        <f>IFERROR(__xludf.DUMMYFUNCTION("""COMPUTED_VALUE"""),1235.0)</f>
        <v>1235</v>
      </c>
      <c r="D1792" s="9">
        <f>IFERROR(__xludf.DUMMYFUNCTION("""COMPUTED_VALUE"""),1254.45)</f>
        <v>1254.45</v>
      </c>
      <c r="E1792" s="9">
        <f>IFERROR(__xludf.DUMMYFUNCTION("""COMPUTED_VALUE"""),1235.0)</f>
        <v>1235</v>
      </c>
      <c r="F1792" s="9">
        <f>IFERROR(__xludf.DUMMYFUNCTION("""COMPUTED_VALUE"""),1250.3)</f>
        <v>1250.3</v>
      </c>
      <c r="G1792" s="9">
        <f>IFERROR(__xludf.DUMMYFUNCTION("""COMPUTED_VALUE"""),6878105.0)</f>
        <v>6878105</v>
      </c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</row>
    <row r="1793">
      <c r="A1793" s="1"/>
      <c r="B1793" s="22">
        <f>IFERROR(__xludf.DUMMYFUNCTION("""COMPUTED_VALUE"""),44195.64583333333)</f>
        <v>44195.64583</v>
      </c>
      <c r="C1793" s="9">
        <f>IFERROR(__xludf.DUMMYFUNCTION("""COMPUTED_VALUE"""),1253.0)</f>
        <v>1253</v>
      </c>
      <c r="D1793" s="9">
        <f>IFERROR(__xludf.DUMMYFUNCTION("""COMPUTED_VALUE"""),1253.3)</f>
        <v>1253.3</v>
      </c>
      <c r="E1793" s="9">
        <f>IFERROR(__xludf.DUMMYFUNCTION("""COMPUTED_VALUE"""),1238.15)</f>
        <v>1238.15</v>
      </c>
      <c r="F1793" s="9">
        <f>IFERROR(__xludf.DUMMYFUNCTION("""COMPUTED_VALUE"""),1246.8)</f>
        <v>1246.8</v>
      </c>
      <c r="G1793" s="9">
        <f>IFERROR(__xludf.DUMMYFUNCTION("""COMPUTED_VALUE"""),5194690.0)</f>
        <v>5194690</v>
      </c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</row>
    <row r="1794">
      <c r="A1794" s="1"/>
      <c r="B1794" s="22">
        <f>IFERROR(__xludf.DUMMYFUNCTION("""COMPUTED_VALUE"""),44196.64583333333)</f>
        <v>44196.64583</v>
      </c>
      <c r="C1794" s="9">
        <f>IFERROR(__xludf.DUMMYFUNCTION("""COMPUTED_VALUE"""),1243.0)</f>
        <v>1243</v>
      </c>
      <c r="D1794" s="9">
        <f>IFERROR(__xludf.DUMMYFUNCTION("""COMPUTED_VALUE"""),1258.4)</f>
        <v>1258.4</v>
      </c>
      <c r="E1794" s="9">
        <f>IFERROR(__xludf.DUMMYFUNCTION("""COMPUTED_VALUE"""),1239.0)</f>
        <v>1239</v>
      </c>
      <c r="F1794" s="9">
        <f>IFERROR(__xludf.DUMMYFUNCTION("""COMPUTED_VALUE"""),1255.8)</f>
        <v>1255.8</v>
      </c>
      <c r="G1794" s="9">
        <f>IFERROR(__xludf.DUMMYFUNCTION("""COMPUTED_VALUE"""),7430470.0)</f>
        <v>7430470</v>
      </c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</row>
    <row r="1795">
      <c r="A1795" s="1"/>
      <c r="B1795" s="22">
        <f>IFERROR(__xludf.DUMMYFUNCTION("""COMPUTED_VALUE"""),44197.64583333333)</f>
        <v>44197.64583</v>
      </c>
      <c r="C1795" s="9">
        <f>IFERROR(__xludf.DUMMYFUNCTION("""COMPUTED_VALUE"""),1257.9)</f>
        <v>1257.9</v>
      </c>
      <c r="D1795" s="9">
        <f>IFERROR(__xludf.DUMMYFUNCTION("""COMPUTED_VALUE"""),1265.5)</f>
        <v>1265.5</v>
      </c>
      <c r="E1795" s="9">
        <f>IFERROR(__xludf.DUMMYFUNCTION("""COMPUTED_VALUE"""),1255.8)</f>
        <v>1255.8</v>
      </c>
      <c r="F1795" s="9">
        <f>IFERROR(__xludf.DUMMYFUNCTION("""COMPUTED_VALUE"""),1260.45)</f>
        <v>1260.45</v>
      </c>
      <c r="G1795" s="9">
        <f>IFERROR(__xludf.DUMMYFUNCTION("""COMPUTED_VALUE"""),4253550.0)</f>
        <v>4253550</v>
      </c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</row>
    <row r="1796">
      <c r="A1796" s="1"/>
      <c r="B1796" s="22">
        <f>IFERROR(__xludf.DUMMYFUNCTION("""COMPUTED_VALUE"""),44200.64583333333)</f>
        <v>44200.64583</v>
      </c>
      <c r="C1796" s="9">
        <f>IFERROR(__xludf.DUMMYFUNCTION("""COMPUTED_VALUE"""),1269.0)</f>
        <v>1269</v>
      </c>
      <c r="D1796" s="9">
        <f>IFERROR(__xludf.DUMMYFUNCTION("""COMPUTED_VALUE"""),1290.0)</f>
        <v>1290</v>
      </c>
      <c r="E1796" s="9">
        <f>IFERROR(__xludf.DUMMYFUNCTION("""COMPUTED_VALUE"""),1261.15)</f>
        <v>1261.15</v>
      </c>
      <c r="F1796" s="9">
        <f>IFERROR(__xludf.DUMMYFUNCTION("""COMPUTED_VALUE"""),1288.25)</f>
        <v>1288.25</v>
      </c>
      <c r="G1796" s="9">
        <f>IFERROR(__xludf.DUMMYFUNCTION("""COMPUTED_VALUE"""),7208454.0)</f>
        <v>7208454</v>
      </c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</row>
    <row r="1797">
      <c r="A1797" s="1"/>
      <c r="B1797" s="22">
        <f>IFERROR(__xludf.DUMMYFUNCTION("""COMPUTED_VALUE"""),44201.64583333333)</f>
        <v>44201.64583</v>
      </c>
      <c r="C1797" s="9">
        <f>IFERROR(__xludf.DUMMYFUNCTION("""COMPUTED_VALUE"""),1282.0)</f>
        <v>1282</v>
      </c>
      <c r="D1797" s="9">
        <f>IFERROR(__xludf.DUMMYFUNCTION("""COMPUTED_VALUE"""),1299.0)</f>
        <v>1299</v>
      </c>
      <c r="E1797" s="9">
        <f>IFERROR(__xludf.DUMMYFUNCTION("""COMPUTED_VALUE"""),1275.05)</f>
        <v>1275.05</v>
      </c>
      <c r="F1797" s="9">
        <f>IFERROR(__xludf.DUMMYFUNCTION("""COMPUTED_VALUE"""),1293.8)</f>
        <v>1293.8</v>
      </c>
      <c r="G1797" s="9">
        <f>IFERROR(__xludf.DUMMYFUNCTION("""COMPUTED_VALUE"""),8145280.0)</f>
        <v>8145280</v>
      </c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</row>
    <row r="1798">
      <c r="A1798" s="1"/>
      <c r="B1798" s="22">
        <f>IFERROR(__xludf.DUMMYFUNCTION("""COMPUTED_VALUE"""),44202.64583333333)</f>
        <v>44202.64583</v>
      </c>
      <c r="C1798" s="9">
        <f>IFERROR(__xludf.DUMMYFUNCTION("""COMPUTED_VALUE"""),1300.0)</f>
        <v>1300</v>
      </c>
      <c r="D1798" s="9">
        <f>IFERROR(__xludf.DUMMYFUNCTION("""COMPUTED_VALUE"""),1302.0)</f>
        <v>1302</v>
      </c>
      <c r="E1798" s="9">
        <f>IFERROR(__xludf.DUMMYFUNCTION("""COMPUTED_VALUE"""),1268.05)</f>
        <v>1268.05</v>
      </c>
      <c r="F1798" s="9">
        <f>IFERROR(__xludf.DUMMYFUNCTION("""COMPUTED_VALUE"""),1282.1)</f>
        <v>1282.1</v>
      </c>
      <c r="G1798" s="9">
        <f>IFERROR(__xludf.DUMMYFUNCTION("""COMPUTED_VALUE"""),7161715.0)</f>
        <v>7161715</v>
      </c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</row>
    <row r="1799">
      <c r="A1799" s="1"/>
      <c r="B1799" s="22">
        <f>IFERROR(__xludf.DUMMYFUNCTION("""COMPUTED_VALUE"""),44203.64583333333)</f>
        <v>44203.64583</v>
      </c>
      <c r="C1799" s="9">
        <f>IFERROR(__xludf.DUMMYFUNCTION("""COMPUTED_VALUE"""),1296.0)</f>
        <v>1296</v>
      </c>
      <c r="D1799" s="9">
        <f>IFERROR(__xludf.DUMMYFUNCTION("""COMPUTED_VALUE"""),1297.65)</f>
        <v>1297.65</v>
      </c>
      <c r="E1799" s="9">
        <f>IFERROR(__xludf.DUMMYFUNCTION("""COMPUTED_VALUE"""),1255.5)</f>
        <v>1255.5</v>
      </c>
      <c r="F1799" s="9">
        <f>IFERROR(__xludf.DUMMYFUNCTION("""COMPUTED_VALUE"""),1262.15)</f>
        <v>1262.15</v>
      </c>
      <c r="G1799" s="9">
        <f>IFERROR(__xludf.DUMMYFUNCTION("""COMPUTED_VALUE"""),1.0954918E7)</f>
        <v>10954918</v>
      </c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</row>
    <row r="1800">
      <c r="A1800" s="1"/>
      <c r="B1800" s="22">
        <f>IFERROR(__xludf.DUMMYFUNCTION("""COMPUTED_VALUE"""),44204.64583333333)</f>
        <v>44204.64583</v>
      </c>
      <c r="C1800" s="9">
        <f>IFERROR(__xludf.DUMMYFUNCTION("""COMPUTED_VALUE"""),1278.25)</f>
        <v>1278.25</v>
      </c>
      <c r="D1800" s="9">
        <f>IFERROR(__xludf.DUMMYFUNCTION("""COMPUTED_VALUE"""),1316.8)</f>
        <v>1316.8</v>
      </c>
      <c r="E1800" s="9">
        <f>IFERROR(__xludf.DUMMYFUNCTION("""COMPUTED_VALUE"""),1278.25)</f>
        <v>1278.25</v>
      </c>
      <c r="F1800" s="9">
        <f>IFERROR(__xludf.DUMMYFUNCTION("""COMPUTED_VALUE"""),1312.1)</f>
        <v>1312.1</v>
      </c>
      <c r="G1800" s="9">
        <f>IFERROR(__xludf.DUMMYFUNCTION("""COMPUTED_VALUE"""),1.3186251E7)</f>
        <v>13186251</v>
      </c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</row>
    <row r="1801">
      <c r="A1801" s="1"/>
      <c r="B1801" s="22">
        <f>IFERROR(__xludf.DUMMYFUNCTION("""COMPUTED_VALUE"""),44207.64583333333)</f>
        <v>44207.64583</v>
      </c>
      <c r="C1801" s="9">
        <f>IFERROR(__xludf.DUMMYFUNCTION("""COMPUTED_VALUE"""),1342.1)</f>
        <v>1342.1</v>
      </c>
      <c r="D1801" s="9">
        <f>IFERROR(__xludf.DUMMYFUNCTION("""COMPUTED_VALUE"""),1383.35)</f>
        <v>1383.35</v>
      </c>
      <c r="E1801" s="9">
        <f>IFERROR(__xludf.DUMMYFUNCTION("""COMPUTED_VALUE"""),1340.0)</f>
        <v>1340</v>
      </c>
      <c r="F1801" s="9">
        <f>IFERROR(__xludf.DUMMYFUNCTION("""COMPUTED_VALUE"""),1376.2)</f>
        <v>1376.2</v>
      </c>
      <c r="G1801" s="9">
        <f>IFERROR(__xludf.DUMMYFUNCTION("""COMPUTED_VALUE"""),2.0528626E7)</f>
        <v>20528626</v>
      </c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</row>
    <row r="1802">
      <c r="A1802" s="1"/>
      <c r="B1802" s="22">
        <f>IFERROR(__xludf.DUMMYFUNCTION("""COMPUTED_VALUE"""),44208.64583333333)</f>
        <v>44208.64583</v>
      </c>
      <c r="C1802" s="9">
        <f>IFERROR(__xludf.DUMMYFUNCTION("""COMPUTED_VALUE"""),1378.0)</f>
        <v>1378</v>
      </c>
      <c r="D1802" s="9">
        <f>IFERROR(__xludf.DUMMYFUNCTION("""COMPUTED_VALUE"""),1378.0)</f>
        <v>1378</v>
      </c>
      <c r="E1802" s="9">
        <f>IFERROR(__xludf.DUMMYFUNCTION("""COMPUTED_VALUE"""),1360.0)</f>
        <v>1360</v>
      </c>
      <c r="F1802" s="9">
        <f>IFERROR(__xludf.DUMMYFUNCTION("""COMPUTED_VALUE"""),1371.75)</f>
        <v>1371.75</v>
      </c>
      <c r="G1802" s="9">
        <f>IFERROR(__xludf.DUMMYFUNCTION("""COMPUTED_VALUE"""),8309868.0)</f>
        <v>8309868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</row>
    <row r="1803">
      <c r="A1803" s="1"/>
      <c r="B1803" s="22">
        <f>IFERROR(__xludf.DUMMYFUNCTION("""COMPUTED_VALUE"""),44209.64583333333)</f>
        <v>44209.64583</v>
      </c>
      <c r="C1803" s="9">
        <f>IFERROR(__xludf.DUMMYFUNCTION("""COMPUTED_VALUE"""),1373.85)</f>
        <v>1373.85</v>
      </c>
      <c r="D1803" s="9">
        <f>IFERROR(__xludf.DUMMYFUNCTION("""COMPUTED_VALUE"""),1392.8)</f>
        <v>1392.8</v>
      </c>
      <c r="E1803" s="9">
        <f>IFERROR(__xludf.DUMMYFUNCTION("""COMPUTED_VALUE"""),1360.0)</f>
        <v>1360</v>
      </c>
      <c r="F1803" s="9">
        <f>IFERROR(__xludf.DUMMYFUNCTION("""COMPUTED_VALUE"""),1387.15)</f>
        <v>1387.15</v>
      </c>
      <c r="G1803" s="9">
        <f>IFERROR(__xludf.DUMMYFUNCTION("""COMPUTED_VALUE"""),1.4442997E7)</f>
        <v>14442997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</row>
    <row r="1804">
      <c r="A1804" s="1"/>
      <c r="B1804" s="22">
        <f>IFERROR(__xludf.DUMMYFUNCTION("""COMPUTED_VALUE"""),44210.64583333333)</f>
        <v>44210.64583</v>
      </c>
      <c r="C1804" s="9">
        <f>IFERROR(__xludf.DUMMYFUNCTION("""COMPUTED_VALUE"""),1360.0)</f>
        <v>1360</v>
      </c>
      <c r="D1804" s="9">
        <f>IFERROR(__xludf.DUMMYFUNCTION("""COMPUTED_VALUE"""),1384.0)</f>
        <v>1384</v>
      </c>
      <c r="E1804" s="9">
        <f>IFERROR(__xludf.DUMMYFUNCTION("""COMPUTED_VALUE"""),1318.45)</f>
        <v>1318.45</v>
      </c>
      <c r="F1804" s="9">
        <f>IFERROR(__xludf.DUMMYFUNCTION("""COMPUTED_VALUE"""),1370.5)</f>
        <v>1370.5</v>
      </c>
      <c r="G1804" s="9">
        <f>IFERROR(__xludf.DUMMYFUNCTION("""COMPUTED_VALUE"""),2.7521697E7)</f>
        <v>27521697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</row>
    <row r="1805">
      <c r="A1805" s="1"/>
      <c r="B1805" s="22">
        <f>IFERROR(__xludf.DUMMYFUNCTION("""COMPUTED_VALUE"""),44211.64583333333)</f>
        <v>44211.64583</v>
      </c>
      <c r="C1805" s="9">
        <f>IFERROR(__xludf.DUMMYFUNCTION("""COMPUTED_VALUE"""),1360.0)</f>
        <v>1360</v>
      </c>
      <c r="D1805" s="9">
        <f>IFERROR(__xludf.DUMMYFUNCTION("""COMPUTED_VALUE"""),1364.45)</f>
        <v>1364.45</v>
      </c>
      <c r="E1805" s="9">
        <f>IFERROR(__xludf.DUMMYFUNCTION("""COMPUTED_VALUE"""),1340.0)</f>
        <v>1340</v>
      </c>
      <c r="F1805" s="9">
        <f>IFERROR(__xludf.DUMMYFUNCTION("""COMPUTED_VALUE"""),1344.95)</f>
        <v>1344.95</v>
      </c>
      <c r="G1805" s="9">
        <f>IFERROR(__xludf.DUMMYFUNCTION("""COMPUTED_VALUE"""),1.5018441E7)</f>
        <v>15018441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</row>
    <row r="1806">
      <c r="A1806" s="1"/>
      <c r="B1806" s="22">
        <f>IFERROR(__xludf.DUMMYFUNCTION("""COMPUTED_VALUE"""),44214.64583333333)</f>
        <v>44214.64583</v>
      </c>
      <c r="C1806" s="9">
        <f>IFERROR(__xludf.DUMMYFUNCTION("""COMPUTED_VALUE"""),1338.0)</f>
        <v>1338</v>
      </c>
      <c r="D1806" s="9">
        <f>IFERROR(__xludf.DUMMYFUNCTION("""COMPUTED_VALUE"""),1340.0)</f>
        <v>1340</v>
      </c>
      <c r="E1806" s="9">
        <f>IFERROR(__xludf.DUMMYFUNCTION("""COMPUTED_VALUE"""),1306.0)</f>
        <v>1306</v>
      </c>
      <c r="F1806" s="9">
        <f>IFERROR(__xludf.DUMMYFUNCTION("""COMPUTED_VALUE"""),1312.05)</f>
        <v>1312.05</v>
      </c>
      <c r="G1806" s="9">
        <f>IFERROR(__xludf.DUMMYFUNCTION("""COMPUTED_VALUE"""),8861765.0)</f>
        <v>8861765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</row>
    <row r="1807">
      <c r="A1807" s="1"/>
      <c r="B1807" s="22">
        <f>IFERROR(__xludf.DUMMYFUNCTION("""COMPUTED_VALUE"""),44215.64583333333)</f>
        <v>44215.64583</v>
      </c>
      <c r="C1807" s="9">
        <f>IFERROR(__xludf.DUMMYFUNCTION("""COMPUTED_VALUE"""),1320.0)</f>
        <v>1320</v>
      </c>
      <c r="D1807" s="9">
        <f>IFERROR(__xludf.DUMMYFUNCTION("""COMPUTED_VALUE"""),1331.0)</f>
        <v>1331</v>
      </c>
      <c r="E1807" s="9">
        <f>IFERROR(__xludf.DUMMYFUNCTION("""COMPUTED_VALUE"""),1312.0)</f>
        <v>1312</v>
      </c>
      <c r="F1807" s="9">
        <f>IFERROR(__xludf.DUMMYFUNCTION("""COMPUTED_VALUE"""),1316.65)</f>
        <v>1316.65</v>
      </c>
      <c r="G1807" s="9">
        <f>IFERROR(__xludf.DUMMYFUNCTION("""COMPUTED_VALUE"""),5585744.0)</f>
        <v>5585744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</row>
    <row r="1808">
      <c r="A1808" s="1"/>
      <c r="B1808" s="22">
        <f>IFERROR(__xludf.DUMMYFUNCTION("""COMPUTED_VALUE"""),44216.64583333333)</f>
        <v>44216.64583</v>
      </c>
      <c r="C1808" s="9">
        <f>IFERROR(__xludf.DUMMYFUNCTION("""COMPUTED_VALUE"""),1320.55)</f>
        <v>1320.55</v>
      </c>
      <c r="D1808" s="9">
        <f>IFERROR(__xludf.DUMMYFUNCTION("""COMPUTED_VALUE"""),1348.4)</f>
        <v>1348.4</v>
      </c>
      <c r="E1808" s="9">
        <f>IFERROR(__xludf.DUMMYFUNCTION("""COMPUTED_VALUE"""),1320.55)</f>
        <v>1320.55</v>
      </c>
      <c r="F1808" s="9">
        <f>IFERROR(__xludf.DUMMYFUNCTION("""COMPUTED_VALUE"""),1339.45)</f>
        <v>1339.45</v>
      </c>
      <c r="G1808" s="9">
        <f>IFERROR(__xludf.DUMMYFUNCTION("""COMPUTED_VALUE"""),8225838.0)</f>
        <v>8225838</v>
      </c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</row>
    <row r="1809">
      <c r="A1809" s="1"/>
      <c r="B1809" s="22">
        <f>IFERROR(__xludf.DUMMYFUNCTION("""COMPUTED_VALUE"""),44217.64583333333)</f>
        <v>44217.64583</v>
      </c>
      <c r="C1809" s="9">
        <f>IFERROR(__xludf.DUMMYFUNCTION("""COMPUTED_VALUE"""),1350.0)</f>
        <v>1350</v>
      </c>
      <c r="D1809" s="9">
        <f>IFERROR(__xludf.DUMMYFUNCTION("""COMPUTED_VALUE"""),1361.05)</f>
        <v>1361.05</v>
      </c>
      <c r="E1809" s="9">
        <f>IFERROR(__xludf.DUMMYFUNCTION("""COMPUTED_VALUE"""),1335.0)</f>
        <v>1335</v>
      </c>
      <c r="F1809" s="9">
        <f>IFERROR(__xludf.DUMMYFUNCTION("""COMPUTED_VALUE"""),1339.7)</f>
        <v>1339.7</v>
      </c>
      <c r="G1809" s="9">
        <f>IFERROR(__xludf.DUMMYFUNCTION("""COMPUTED_VALUE"""),6142421.0)</f>
        <v>6142421</v>
      </c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</row>
    <row r="1810">
      <c r="A1810" s="1"/>
      <c r="B1810" s="22">
        <f>IFERROR(__xludf.DUMMYFUNCTION("""COMPUTED_VALUE"""),44218.64583333333)</f>
        <v>44218.64583</v>
      </c>
      <c r="C1810" s="9">
        <f>IFERROR(__xludf.DUMMYFUNCTION("""COMPUTED_VALUE"""),1327.0)</f>
        <v>1327</v>
      </c>
      <c r="D1810" s="9">
        <f>IFERROR(__xludf.DUMMYFUNCTION("""COMPUTED_VALUE"""),1356.0)</f>
        <v>1356</v>
      </c>
      <c r="E1810" s="9">
        <f>IFERROR(__xludf.DUMMYFUNCTION("""COMPUTED_VALUE"""),1326.55)</f>
        <v>1326.55</v>
      </c>
      <c r="F1810" s="9">
        <f>IFERROR(__xludf.DUMMYFUNCTION("""COMPUTED_VALUE"""),1340.85)</f>
        <v>1340.85</v>
      </c>
      <c r="G1810" s="9">
        <f>IFERROR(__xludf.DUMMYFUNCTION("""COMPUTED_VALUE"""),9646591.0)</f>
        <v>9646591</v>
      </c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</row>
    <row r="1811">
      <c r="A1811" s="1"/>
      <c r="B1811" s="22">
        <f>IFERROR(__xludf.DUMMYFUNCTION("""COMPUTED_VALUE"""),44221.64583333333)</f>
        <v>44221.64583</v>
      </c>
      <c r="C1811" s="9">
        <f>IFERROR(__xludf.DUMMYFUNCTION("""COMPUTED_VALUE"""),1345.0)</f>
        <v>1345</v>
      </c>
      <c r="D1811" s="9">
        <f>IFERROR(__xludf.DUMMYFUNCTION("""COMPUTED_VALUE"""),1347.9)</f>
        <v>1347.9</v>
      </c>
      <c r="E1811" s="9">
        <f>IFERROR(__xludf.DUMMYFUNCTION("""COMPUTED_VALUE"""),1313.0)</f>
        <v>1313</v>
      </c>
      <c r="F1811" s="9">
        <f>IFERROR(__xludf.DUMMYFUNCTION("""COMPUTED_VALUE"""),1325.1)</f>
        <v>1325.1</v>
      </c>
      <c r="G1811" s="9">
        <f>IFERROR(__xludf.DUMMYFUNCTION("""COMPUTED_VALUE"""),6542611.0)</f>
        <v>6542611</v>
      </c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</row>
    <row r="1812">
      <c r="A1812" s="1"/>
      <c r="B1812" s="22">
        <f>IFERROR(__xludf.DUMMYFUNCTION("""COMPUTED_VALUE"""),44223.64583333333)</f>
        <v>44223.64583</v>
      </c>
      <c r="C1812" s="9">
        <f>IFERROR(__xludf.DUMMYFUNCTION("""COMPUTED_VALUE"""),1319.6)</f>
        <v>1319.6</v>
      </c>
      <c r="D1812" s="9">
        <f>IFERROR(__xludf.DUMMYFUNCTION("""COMPUTED_VALUE"""),1327.55)</f>
        <v>1327.55</v>
      </c>
      <c r="E1812" s="9">
        <f>IFERROR(__xludf.DUMMYFUNCTION("""COMPUTED_VALUE"""),1285.1)</f>
        <v>1285.1</v>
      </c>
      <c r="F1812" s="9">
        <f>IFERROR(__xludf.DUMMYFUNCTION("""COMPUTED_VALUE"""),1301.0)</f>
        <v>1301</v>
      </c>
      <c r="G1812" s="9">
        <f>IFERROR(__xludf.DUMMYFUNCTION("""COMPUTED_VALUE"""),8133665.0)</f>
        <v>8133665</v>
      </c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</row>
    <row r="1813">
      <c r="A1813" s="1"/>
      <c r="B1813" s="22">
        <f>IFERROR(__xludf.DUMMYFUNCTION("""COMPUTED_VALUE"""),44224.64583333333)</f>
        <v>44224.64583</v>
      </c>
      <c r="C1813" s="9">
        <f>IFERROR(__xludf.DUMMYFUNCTION("""COMPUTED_VALUE"""),1291.8)</f>
        <v>1291.8</v>
      </c>
      <c r="D1813" s="9">
        <f>IFERROR(__xludf.DUMMYFUNCTION("""COMPUTED_VALUE"""),1296.45)</f>
        <v>1296.45</v>
      </c>
      <c r="E1813" s="9">
        <f>IFERROR(__xludf.DUMMYFUNCTION("""COMPUTED_VALUE"""),1272.55)</f>
        <v>1272.55</v>
      </c>
      <c r="F1813" s="9">
        <f>IFERROR(__xludf.DUMMYFUNCTION("""COMPUTED_VALUE"""),1276.2)</f>
        <v>1276.2</v>
      </c>
      <c r="G1813" s="9">
        <f>IFERROR(__xludf.DUMMYFUNCTION("""COMPUTED_VALUE"""),4660690.0)</f>
        <v>4660690</v>
      </c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</row>
    <row r="1814">
      <c r="A1814" s="1"/>
      <c r="B1814" s="22">
        <f>IFERROR(__xludf.DUMMYFUNCTION("""COMPUTED_VALUE"""),44225.64583333333)</f>
        <v>44225.64583</v>
      </c>
      <c r="C1814" s="9">
        <f>IFERROR(__xludf.DUMMYFUNCTION("""COMPUTED_VALUE"""),1286.25)</f>
        <v>1286.25</v>
      </c>
      <c r="D1814" s="9">
        <f>IFERROR(__xludf.DUMMYFUNCTION("""COMPUTED_VALUE"""),1291.15)</f>
        <v>1291.15</v>
      </c>
      <c r="E1814" s="9">
        <f>IFERROR(__xludf.DUMMYFUNCTION("""COMPUTED_VALUE"""),1231.0)</f>
        <v>1231</v>
      </c>
      <c r="F1814" s="9">
        <f>IFERROR(__xludf.DUMMYFUNCTION("""COMPUTED_VALUE"""),1239.05)</f>
        <v>1239.05</v>
      </c>
      <c r="G1814" s="9">
        <f>IFERROR(__xludf.DUMMYFUNCTION("""COMPUTED_VALUE"""),1.2183519E7)</f>
        <v>12183519</v>
      </c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</row>
    <row r="1815">
      <c r="A1815" s="1"/>
      <c r="B1815" s="22">
        <f>IFERROR(__xludf.DUMMYFUNCTION("""COMPUTED_VALUE"""),44228.64583333333)</f>
        <v>44228.64583</v>
      </c>
      <c r="C1815" s="9">
        <f>IFERROR(__xludf.DUMMYFUNCTION("""COMPUTED_VALUE"""),1250.55)</f>
        <v>1250.55</v>
      </c>
      <c r="D1815" s="9">
        <f>IFERROR(__xludf.DUMMYFUNCTION("""COMPUTED_VALUE"""),1277.95)</f>
        <v>1277.95</v>
      </c>
      <c r="E1815" s="9">
        <f>IFERROR(__xludf.DUMMYFUNCTION("""COMPUTED_VALUE"""),1241.0)</f>
        <v>1241</v>
      </c>
      <c r="F1815" s="9">
        <f>IFERROR(__xludf.DUMMYFUNCTION("""COMPUTED_VALUE"""),1260.9)</f>
        <v>1260.9</v>
      </c>
      <c r="G1815" s="9">
        <f>IFERROR(__xludf.DUMMYFUNCTION("""COMPUTED_VALUE"""),8880279.0)</f>
        <v>8880279</v>
      </c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</row>
    <row r="1816">
      <c r="A1816" s="1"/>
      <c r="B1816" s="22">
        <f>IFERROR(__xludf.DUMMYFUNCTION("""COMPUTED_VALUE"""),44229.64583333333)</f>
        <v>44229.64583</v>
      </c>
      <c r="C1816" s="9">
        <f>IFERROR(__xludf.DUMMYFUNCTION("""COMPUTED_VALUE"""),1280.0)</f>
        <v>1280</v>
      </c>
      <c r="D1816" s="9">
        <f>IFERROR(__xludf.DUMMYFUNCTION("""COMPUTED_VALUE"""),1294.4)</f>
        <v>1294.4</v>
      </c>
      <c r="E1816" s="9">
        <f>IFERROR(__xludf.DUMMYFUNCTION("""COMPUTED_VALUE"""),1263.6)</f>
        <v>1263.6</v>
      </c>
      <c r="F1816" s="9">
        <f>IFERROR(__xludf.DUMMYFUNCTION("""COMPUTED_VALUE"""),1271.25)</f>
        <v>1271.25</v>
      </c>
      <c r="G1816" s="9">
        <f>IFERROR(__xludf.DUMMYFUNCTION("""COMPUTED_VALUE"""),6892490.0)</f>
        <v>6892490</v>
      </c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</row>
    <row r="1817">
      <c r="A1817" s="1"/>
      <c r="B1817" s="22">
        <f>IFERROR(__xludf.DUMMYFUNCTION("""COMPUTED_VALUE"""),44230.64583333333)</f>
        <v>44230.64583</v>
      </c>
      <c r="C1817" s="9">
        <f>IFERROR(__xludf.DUMMYFUNCTION("""COMPUTED_VALUE"""),1277.65)</f>
        <v>1277.65</v>
      </c>
      <c r="D1817" s="9">
        <f>IFERROR(__xludf.DUMMYFUNCTION("""COMPUTED_VALUE"""),1304.0)</f>
        <v>1304</v>
      </c>
      <c r="E1817" s="9">
        <f>IFERROR(__xludf.DUMMYFUNCTION("""COMPUTED_VALUE"""),1273.0)</f>
        <v>1273</v>
      </c>
      <c r="F1817" s="9">
        <f>IFERROR(__xludf.DUMMYFUNCTION("""COMPUTED_VALUE"""),1284.65)</f>
        <v>1284.65</v>
      </c>
      <c r="G1817" s="9">
        <f>IFERROR(__xludf.DUMMYFUNCTION("""COMPUTED_VALUE"""),8182968.0)</f>
        <v>8182968</v>
      </c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</row>
    <row r="1818">
      <c r="A1818" s="1"/>
      <c r="B1818" s="22">
        <f>IFERROR(__xludf.DUMMYFUNCTION("""COMPUTED_VALUE"""),44231.64583333333)</f>
        <v>44231.64583</v>
      </c>
      <c r="C1818" s="9">
        <f>IFERROR(__xludf.DUMMYFUNCTION("""COMPUTED_VALUE"""),1285.0)</f>
        <v>1285</v>
      </c>
      <c r="D1818" s="9">
        <f>IFERROR(__xludf.DUMMYFUNCTION("""COMPUTED_VALUE"""),1293.4)</f>
        <v>1293.4</v>
      </c>
      <c r="E1818" s="9">
        <f>IFERROR(__xludf.DUMMYFUNCTION("""COMPUTED_VALUE"""),1272.05)</f>
        <v>1272.05</v>
      </c>
      <c r="F1818" s="9">
        <f>IFERROR(__xludf.DUMMYFUNCTION("""COMPUTED_VALUE"""),1279.35)</f>
        <v>1279.35</v>
      </c>
      <c r="G1818" s="9">
        <f>IFERROR(__xludf.DUMMYFUNCTION("""COMPUTED_VALUE"""),5032240.0)</f>
        <v>5032240</v>
      </c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</row>
    <row r="1819">
      <c r="A1819" s="1"/>
      <c r="B1819" s="22">
        <f>IFERROR(__xludf.DUMMYFUNCTION("""COMPUTED_VALUE"""),44232.64583333333)</f>
        <v>44232.64583</v>
      </c>
      <c r="C1819" s="9">
        <f>IFERROR(__xludf.DUMMYFUNCTION("""COMPUTED_VALUE"""),1286.4)</f>
        <v>1286.4</v>
      </c>
      <c r="D1819" s="9">
        <f>IFERROR(__xludf.DUMMYFUNCTION("""COMPUTED_VALUE"""),1288.75)</f>
        <v>1288.75</v>
      </c>
      <c r="E1819" s="9">
        <f>IFERROR(__xludf.DUMMYFUNCTION("""COMPUTED_VALUE"""),1262.0)</f>
        <v>1262</v>
      </c>
      <c r="F1819" s="9">
        <f>IFERROR(__xludf.DUMMYFUNCTION("""COMPUTED_VALUE"""),1272.1)</f>
        <v>1272.1</v>
      </c>
      <c r="G1819" s="9">
        <f>IFERROR(__xludf.DUMMYFUNCTION("""COMPUTED_VALUE"""),5477481.0)</f>
        <v>5477481</v>
      </c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</row>
    <row r="1820">
      <c r="A1820" s="1"/>
      <c r="B1820" s="22">
        <f>IFERROR(__xludf.DUMMYFUNCTION("""COMPUTED_VALUE"""),44235.64583333333)</f>
        <v>44235.64583</v>
      </c>
      <c r="C1820" s="9">
        <f>IFERROR(__xludf.DUMMYFUNCTION("""COMPUTED_VALUE"""),1285.5)</f>
        <v>1285.5</v>
      </c>
      <c r="D1820" s="9">
        <f>IFERROR(__xludf.DUMMYFUNCTION("""COMPUTED_VALUE"""),1310.0)</f>
        <v>1310</v>
      </c>
      <c r="E1820" s="9">
        <f>IFERROR(__xludf.DUMMYFUNCTION("""COMPUTED_VALUE"""),1275.5)</f>
        <v>1275.5</v>
      </c>
      <c r="F1820" s="9">
        <f>IFERROR(__xludf.DUMMYFUNCTION("""COMPUTED_VALUE"""),1303.55)</f>
        <v>1303.55</v>
      </c>
      <c r="G1820" s="9">
        <f>IFERROR(__xludf.DUMMYFUNCTION("""COMPUTED_VALUE"""),6921922.0)</f>
        <v>6921922</v>
      </c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</row>
    <row r="1821">
      <c r="A1821" s="1"/>
      <c r="B1821" s="22">
        <f>IFERROR(__xludf.DUMMYFUNCTION("""COMPUTED_VALUE"""),44236.64583333333)</f>
        <v>44236.64583</v>
      </c>
      <c r="C1821" s="9">
        <f>IFERROR(__xludf.DUMMYFUNCTION("""COMPUTED_VALUE"""),1306.9)</f>
        <v>1306.9</v>
      </c>
      <c r="D1821" s="9">
        <f>IFERROR(__xludf.DUMMYFUNCTION("""COMPUTED_VALUE"""),1332.0)</f>
        <v>1332</v>
      </c>
      <c r="E1821" s="9">
        <f>IFERROR(__xludf.DUMMYFUNCTION("""COMPUTED_VALUE"""),1297.85)</f>
        <v>1297.85</v>
      </c>
      <c r="F1821" s="9">
        <f>IFERROR(__xludf.DUMMYFUNCTION("""COMPUTED_VALUE"""),1305.55)</f>
        <v>1305.55</v>
      </c>
      <c r="G1821" s="9">
        <f>IFERROR(__xludf.DUMMYFUNCTION("""COMPUTED_VALUE"""),7965949.0)</f>
        <v>7965949</v>
      </c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</row>
    <row r="1822">
      <c r="A1822" s="1"/>
      <c r="B1822" s="22">
        <f>IFERROR(__xludf.DUMMYFUNCTION("""COMPUTED_VALUE"""),44237.64583333333)</f>
        <v>44237.64583</v>
      </c>
      <c r="C1822" s="9">
        <f>IFERROR(__xludf.DUMMYFUNCTION("""COMPUTED_VALUE"""),1295.8)</f>
        <v>1295.8</v>
      </c>
      <c r="D1822" s="9">
        <f>IFERROR(__xludf.DUMMYFUNCTION("""COMPUTED_VALUE"""),1304.35)</f>
        <v>1304.35</v>
      </c>
      <c r="E1822" s="9">
        <f>IFERROR(__xludf.DUMMYFUNCTION("""COMPUTED_VALUE"""),1283.6)</f>
        <v>1283.6</v>
      </c>
      <c r="F1822" s="9">
        <f>IFERROR(__xludf.DUMMYFUNCTION("""COMPUTED_VALUE"""),1296.5)</f>
        <v>1296.5</v>
      </c>
      <c r="G1822" s="9">
        <f>IFERROR(__xludf.DUMMYFUNCTION("""COMPUTED_VALUE"""),5951207.0)</f>
        <v>5951207</v>
      </c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</row>
    <row r="1823">
      <c r="A1823" s="1"/>
      <c r="B1823" s="22">
        <f>IFERROR(__xludf.DUMMYFUNCTION("""COMPUTED_VALUE"""),44238.64583333333)</f>
        <v>44238.64583</v>
      </c>
      <c r="C1823" s="9">
        <f>IFERROR(__xludf.DUMMYFUNCTION("""COMPUTED_VALUE"""),1289.0)</f>
        <v>1289</v>
      </c>
      <c r="D1823" s="9">
        <f>IFERROR(__xludf.DUMMYFUNCTION("""COMPUTED_VALUE"""),1296.0)</f>
        <v>1296</v>
      </c>
      <c r="E1823" s="9">
        <f>IFERROR(__xludf.DUMMYFUNCTION("""COMPUTED_VALUE"""),1283.05)</f>
        <v>1283.05</v>
      </c>
      <c r="F1823" s="9">
        <f>IFERROR(__xludf.DUMMYFUNCTION("""COMPUTED_VALUE"""),1292.65)</f>
        <v>1292.65</v>
      </c>
      <c r="G1823" s="9">
        <f>IFERROR(__xludf.DUMMYFUNCTION("""COMPUTED_VALUE"""),4673317.0)</f>
        <v>4673317</v>
      </c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</row>
    <row r="1824">
      <c r="A1824" s="1"/>
      <c r="B1824" s="22">
        <f>IFERROR(__xludf.DUMMYFUNCTION("""COMPUTED_VALUE"""),44239.64583333333)</f>
        <v>44239.64583</v>
      </c>
      <c r="C1824" s="9">
        <f>IFERROR(__xludf.DUMMYFUNCTION("""COMPUTED_VALUE"""),1305.0)</f>
        <v>1305</v>
      </c>
      <c r="D1824" s="9">
        <f>IFERROR(__xludf.DUMMYFUNCTION("""COMPUTED_VALUE"""),1323.75)</f>
        <v>1323.75</v>
      </c>
      <c r="E1824" s="9">
        <f>IFERROR(__xludf.DUMMYFUNCTION("""COMPUTED_VALUE"""),1301.55)</f>
        <v>1301.55</v>
      </c>
      <c r="F1824" s="9">
        <f>IFERROR(__xludf.DUMMYFUNCTION("""COMPUTED_VALUE"""),1309.8)</f>
        <v>1309.8</v>
      </c>
      <c r="G1824" s="9">
        <f>IFERROR(__xludf.DUMMYFUNCTION("""COMPUTED_VALUE"""),5797875.0)</f>
        <v>5797875</v>
      </c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</row>
    <row r="1825">
      <c r="A1825" s="1"/>
      <c r="B1825" s="22">
        <f>IFERROR(__xludf.DUMMYFUNCTION("""COMPUTED_VALUE"""),44242.64583333333)</f>
        <v>44242.64583</v>
      </c>
      <c r="C1825" s="9">
        <f>IFERROR(__xludf.DUMMYFUNCTION("""COMPUTED_VALUE"""),1320.0)</f>
        <v>1320</v>
      </c>
      <c r="D1825" s="9">
        <f>IFERROR(__xludf.DUMMYFUNCTION("""COMPUTED_VALUE"""),1328.4)</f>
        <v>1328.4</v>
      </c>
      <c r="E1825" s="9">
        <f>IFERROR(__xludf.DUMMYFUNCTION("""COMPUTED_VALUE"""),1307.1)</f>
        <v>1307.1</v>
      </c>
      <c r="F1825" s="9">
        <f>IFERROR(__xludf.DUMMYFUNCTION("""COMPUTED_VALUE"""),1309.65)</f>
        <v>1309.65</v>
      </c>
      <c r="G1825" s="9">
        <f>IFERROR(__xludf.DUMMYFUNCTION("""COMPUTED_VALUE"""),4363513.0)</f>
        <v>4363513</v>
      </c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</row>
    <row r="1826">
      <c r="A1826" s="1"/>
      <c r="B1826" s="22">
        <f>IFERROR(__xludf.DUMMYFUNCTION("""COMPUTED_VALUE"""),44243.64583333333)</f>
        <v>44243.64583</v>
      </c>
      <c r="C1826" s="9">
        <f>IFERROR(__xludf.DUMMYFUNCTION("""COMPUTED_VALUE"""),1314.0)</f>
        <v>1314</v>
      </c>
      <c r="D1826" s="9">
        <f>IFERROR(__xludf.DUMMYFUNCTION("""COMPUTED_VALUE"""),1319.75)</f>
        <v>1319.75</v>
      </c>
      <c r="E1826" s="9">
        <f>IFERROR(__xludf.DUMMYFUNCTION("""COMPUTED_VALUE"""),1286.0)</f>
        <v>1286</v>
      </c>
      <c r="F1826" s="9">
        <f>IFERROR(__xludf.DUMMYFUNCTION("""COMPUTED_VALUE"""),1290.4)</f>
        <v>1290.4</v>
      </c>
      <c r="G1826" s="9">
        <f>IFERROR(__xludf.DUMMYFUNCTION("""COMPUTED_VALUE"""),6896421.0)</f>
        <v>6896421</v>
      </c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</row>
    <row r="1827">
      <c r="A1827" s="1"/>
      <c r="B1827" s="22">
        <f>IFERROR(__xludf.DUMMYFUNCTION("""COMPUTED_VALUE"""),44244.64583333333)</f>
        <v>44244.64583</v>
      </c>
      <c r="C1827" s="9">
        <f>IFERROR(__xludf.DUMMYFUNCTION("""COMPUTED_VALUE"""),1290.4)</f>
        <v>1290.4</v>
      </c>
      <c r="D1827" s="9">
        <f>IFERROR(__xludf.DUMMYFUNCTION("""COMPUTED_VALUE"""),1294.5)</f>
        <v>1294.5</v>
      </c>
      <c r="E1827" s="9">
        <f>IFERROR(__xludf.DUMMYFUNCTION("""COMPUTED_VALUE"""),1275.0)</f>
        <v>1275</v>
      </c>
      <c r="F1827" s="9">
        <f>IFERROR(__xludf.DUMMYFUNCTION("""COMPUTED_VALUE"""),1281.3)</f>
        <v>1281.3</v>
      </c>
      <c r="G1827" s="9">
        <f>IFERROR(__xludf.DUMMYFUNCTION("""COMPUTED_VALUE"""),4575741.0)</f>
        <v>4575741</v>
      </c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</row>
    <row r="1828">
      <c r="A1828" s="1"/>
      <c r="B1828" s="22">
        <f>IFERROR(__xludf.DUMMYFUNCTION("""COMPUTED_VALUE"""),44245.64583333333)</f>
        <v>44245.64583</v>
      </c>
      <c r="C1828" s="9">
        <f>IFERROR(__xludf.DUMMYFUNCTION("""COMPUTED_VALUE"""),1276.0)</f>
        <v>1276</v>
      </c>
      <c r="D1828" s="9">
        <f>IFERROR(__xludf.DUMMYFUNCTION("""COMPUTED_VALUE"""),1306.0)</f>
        <v>1306</v>
      </c>
      <c r="E1828" s="9">
        <f>IFERROR(__xludf.DUMMYFUNCTION("""COMPUTED_VALUE"""),1275.0)</f>
        <v>1275</v>
      </c>
      <c r="F1828" s="9">
        <f>IFERROR(__xludf.DUMMYFUNCTION("""COMPUTED_VALUE"""),1292.45)</f>
        <v>1292.45</v>
      </c>
      <c r="G1828" s="9">
        <f>IFERROR(__xludf.DUMMYFUNCTION("""COMPUTED_VALUE"""),6437551.0)</f>
        <v>6437551</v>
      </c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</row>
    <row r="1829">
      <c r="A1829" s="1"/>
      <c r="B1829" s="22">
        <f>IFERROR(__xludf.DUMMYFUNCTION("""COMPUTED_VALUE"""),44246.64583333333)</f>
        <v>44246.64583</v>
      </c>
      <c r="C1829" s="9">
        <f>IFERROR(__xludf.DUMMYFUNCTION("""COMPUTED_VALUE"""),1296.1)</f>
        <v>1296.1</v>
      </c>
      <c r="D1829" s="9">
        <f>IFERROR(__xludf.DUMMYFUNCTION("""COMPUTED_VALUE"""),1299.5)</f>
        <v>1299.5</v>
      </c>
      <c r="E1829" s="9">
        <f>IFERROR(__xludf.DUMMYFUNCTION("""COMPUTED_VALUE"""),1276.8)</f>
        <v>1276.8</v>
      </c>
      <c r="F1829" s="9">
        <f>IFERROR(__xludf.DUMMYFUNCTION("""COMPUTED_VALUE"""),1291.3)</f>
        <v>1291.3</v>
      </c>
      <c r="G1829" s="9">
        <f>IFERROR(__xludf.DUMMYFUNCTION("""COMPUTED_VALUE"""),5389696.0)</f>
        <v>5389696</v>
      </c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</row>
    <row r="1830">
      <c r="A1830" s="1"/>
      <c r="B1830" s="22">
        <f>IFERROR(__xludf.DUMMYFUNCTION("""COMPUTED_VALUE"""),44249.64583333333)</f>
        <v>44249.64583</v>
      </c>
      <c r="C1830" s="9">
        <f>IFERROR(__xludf.DUMMYFUNCTION("""COMPUTED_VALUE"""),1295.0)</f>
        <v>1295</v>
      </c>
      <c r="D1830" s="9">
        <f>IFERROR(__xludf.DUMMYFUNCTION("""COMPUTED_VALUE"""),1308.55)</f>
        <v>1308.55</v>
      </c>
      <c r="E1830" s="9">
        <f>IFERROR(__xludf.DUMMYFUNCTION("""COMPUTED_VALUE"""),1260.0)</f>
        <v>1260</v>
      </c>
      <c r="F1830" s="9">
        <f>IFERROR(__xludf.DUMMYFUNCTION("""COMPUTED_VALUE"""),1265.2)</f>
        <v>1265.2</v>
      </c>
      <c r="G1830" s="9">
        <f>IFERROR(__xludf.DUMMYFUNCTION("""COMPUTED_VALUE"""),7371303.0)</f>
        <v>7371303</v>
      </c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</row>
    <row r="1831">
      <c r="A1831" s="1"/>
      <c r="B1831" s="22">
        <f>IFERROR(__xludf.DUMMYFUNCTION("""COMPUTED_VALUE"""),44250.64583333333)</f>
        <v>44250.64583</v>
      </c>
      <c r="C1831" s="9">
        <f>IFERROR(__xludf.DUMMYFUNCTION("""COMPUTED_VALUE"""),1271.15)</f>
        <v>1271.15</v>
      </c>
      <c r="D1831" s="9">
        <f>IFERROR(__xludf.DUMMYFUNCTION("""COMPUTED_VALUE"""),1291.0)</f>
        <v>1291</v>
      </c>
      <c r="E1831" s="9">
        <f>IFERROR(__xludf.DUMMYFUNCTION("""COMPUTED_VALUE"""),1257.55)</f>
        <v>1257.55</v>
      </c>
      <c r="F1831" s="9">
        <f>IFERROR(__xludf.DUMMYFUNCTION("""COMPUTED_VALUE"""),1266.35)</f>
        <v>1266.35</v>
      </c>
      <c r="G1831" s="9">
        <f>IFERROR(__xludf.DUMMYFUNCTION("""COMPUTED_VALUE"""),6612942.0)</f>
        <v>6612942</v>
      </c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</row>
    <row r="1832">
      <c r="A1832" s="1"/>
      <c r="B1832" s="22">
        <f>IFERROR(__xludf.DUMMYFUNCTION("""COMPUTED_VALUE"""),44251.64583333333)</f>
        <v>44251.64583</v>
      </c>
      <c r="C1832" s="9">
        <f>IFERROR(__xludf.DUMMYFUNCTION("""COMPUTED_VALUE"""),1260.05)</f>
        <v>1260.05</v>
      </c>
      <c r="D1832" s="9">
        <f>IFERROR(__xludf.DUMMYFUNCTION("""COMPUTED_VALUE"""),1276.6)</f>
        <v>1276.6</v>
      </c>
      <c r="E1832" s="9">
        <f>IFERROR(__xludf.DUMMYFUNCTION("""COMPUTED_VALUE"""),1252.0)</f>
        <v>1252</v>
      </c>
      <c r="F1832" s="9">
        <f>IFERROR(__xludf.DUMMYFUNCTION("""COMPUTED_VALUE"""),1274.3)</f>
        <v>1274.3</v>
      </c>
      <c r="G1832" s="9">
        <f>IFERROR(__xludf.DUMMYFUNCTION("""COMPUTED_VALUE"""),4537258.0)</f>
        <v>4537258</v>
      </c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</row>
    <row r="1833">
      <c r="A1833" s="1"/>
      <c r="B1833" s="22">
        <f>IFERROR(__xludf.DUMMYFUNCTION("""COMPUTED_VALUE"""),44252.64583333333)</f>
        <v>44252.64583</v>
      </c>
      <c r="C1833" s="9">
        <f>IFERROR(__xludf.DUMMYFUNCTION("""COMPUTED_VALUE"""),1288.45)</f>
        <v>1288.45</v>
      </c>
      <c r="D1833" s="9">
        <f>IFERROR(__xludf.DUMMYFUNCTION("""COMPUTED_VALUE"""),1299.75)</f>
        <v>1299.75</v>
      </c>
      <c r="E1833" s="9">
        <f>IFERROR(__xludf.DUMMYFUNCTION("""COMPUTED_VALUE"""),1272.0)</f>
        <v>1272</v>
      </c>
      <c r="F1833" s="9">
        <f>IFERROR(__xludf.DUMMYFUNCTION("""COMPUTED_VALUE"""),1274.55)</f>
        <v>1274.55</v>
      </c>
      <c r="G1833" s="9">
        <f>IFERROR(__xludf.DUMMYFUNCTION("""COMPUTED_VALUE"""),8788221.0)</f>
        <v>8788221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</row>
    <row r="1834">
      <c r="A1834" s="1"/>
      <c r="B1834" s="22">
        <f>IFERROR(__xludf.DUMMYFUNCTION("""COMPUTED_VALUE"""),44253.64583333333)</f>
        <v>44253.64583</v>
      </c>
      <c r="C1834" s="9">
        <f>IFERROR(__xludf.DUMMYFUNCTION("""COMPUTED_VALUE"""),1269.0)</f>
        <v>1269</v>
      </c>
      <c r="D1834" s="9">
        <f>IFERROR(__xludf.DUMMYFUNCTION("""COMPUTED_VALUE"""),1274.3)</f>
        <v>1274.3</v>
      </c>
      <c r="E1834" s="9">
        <f>IFERROR(__xludf.DUMMYFUNCTION("""COMPUTED_VALUE"""),1244.75)</f>
        <v>1244.75</v>
      </c>
      <c r="F1834" s="9">
        <f>IFERROR(__xludf.DUMMYFUNCTION("""COMPUTED_VALUE"""),1253.3)</f>
        <v>1253.3</v>
      </c>
      <c r="G1834" s="9">
        <f>IFERROR(__xludf.DUMMYFUNCTION("""COMPUTED_VALUE"""),1.5132388E7)</f>
        <v>15132388</v>
      </c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</row>
    <row r="1835">
      <c r="A1835" s="1"/>
      <c r="B1835" s="22">
        <f>IFERROR(__xludf.DUMMYFUNCTION("""COMPUTED_VALUE"""),44256.64583333333)</f>
        <v>44256.64583</v>
      </c>
      <c r="C1835" s="9">
        <f>IFERROR(__xludf.DUMMYFUNCTION("""COMPUTED_VALUE"""),1263.3)</f>
        <v>1263.3</v>
      </c>
      <c r="D1835" s="9">
        <f>IFERROR(__xludf.DUMMYFUNCTION("""COMPUTED_VALUE"""),1284.5)</f>
        <v>1284.5</v>
      </c>
      <c r="E1835" s="9">
        <f>IFERROR(__xludf.DUMMYFUNCTION("""COMPUTED_VALUE"""),1259.0)</f>
        <v>1259</v>
      </c>
      <c r="F1835" s="9">
        <f>IFERROR(__xludf.DUMMYFUNCTION("""COMPUTED_VALUE"""),1267.0)</f>
        <v>1267</v>
      </c>
      <c r="G1835" s="9">
        <f>IFERROR(__xludf.DUMMYFUNCTION("""COMPUTED_VALUE"""),5756286.0)</f>
        <v>5756286</v>
      </c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</row>
    <row r="1836">
      <c r="A1836" s="1"/>
      <c r="B1836" s="22">
        <f>IFERROR(__xludf.DUMMYFUNCTION("""COMPUTED_VALUE"""),44257.64583333333)</f>
        <v>44257.64583</v>
      </c>
      <c r="C1836" s="9">
        <f>IFERROR(__xludf.DUMMYFUNCTION("""COMPUTED_VALUE"""),1282.25)</f>
        <v>1282.25</v>
      </c>
      <c r="D1836" s="9">
        <f>IFERROR(__xludf.DUMMYFUNCTION("""COMPUTED_VALUE"""),1310.0)</f>
        <v>1310</v>
      </c>
      <c r="E1836" s="9">
        <f>IFERROR(__xludf.DUMMYFUNCTION("""COMPUTED_VALUE"""),1279.2)</f>
        <v>1279.2</v>
      </c>
      <c r="F1836" s="9">
        <f>IFERROR(__xludf.DUMMYFUNCTION("""COMPUTED_VALUE"""),1304.5)</f>
        <v>1304.5</v>
      </c>
      <c r="G1836" s="9">
        <f>IFERROR(__xludf.DUMMYFUNCTION("""COMPUTED_VALUE"""),1.0461434E7)</f>
        <v>10461434</v>
      </c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</row>
    <row r="1837">
      <c r="A1837" s="1"/>
      <c r="B1837" s="22">
        <f>IFERROR(__xludf.DUMMYFUNCTION("""COMPUTED_VALUE"""),44258.64583333333)</f>
        <v>44258.64583</v>
      </c>
      <c r="C1837" s="9">
        <f>IFERROR(__xludf.DUMMYFUNCTION("""COMPUTED_VALUE"""),1319.2)</f>
        <v>1319.2</v>
      </c>
      <c r="D1837" s="9">
        <f>IFERROR(__xludf.DUMMYFUNCTION("""COMPUTED_VALUE"""),1347.0)</f>
        <v>1347</v>
      </c>
      <c r="E1837" s="9">
        <f>IFERROR(__xludf.DUMMYFUNCTION("""COMPUTED_VALUE"""),1308.0)</f>
        <v>1308</v>
      </c>
      <c r="F1837" s="9">
        <f>IFERROR(__xludf.DUMMYFUNCTION("""COMPUTED_VALUE"""),1343.55)</f>
        <v>1343.55</v>
      </c>
      <c r="G1837" s="9">
        <f>IFERROR(__xludf.DUMMYFUNCTION("""COMPUTED_VALUE"""),9056399.0)</f>
        <v>9056399</v>
      </c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</row>
    <row r="1838">
      <c r="A1838" s="1"/>
      <c r="B1838" s="22">
        <f>IFERROR(__xludf.DUMMYFUNCTION("""COMPUTED_VALUE"""),44259.64583333333)</f>
        <v>44259.64583</v>
      </c>
      <c r="C1838" s="9">
        <f>IFERROR(__xludf.DUMMYFUNCTION("""COMPUTED_VALUE"""),1335.0)</f>
        <v>1335</v>
      </c>
      <c r="D1838" s="9">
        <f>IFERROR(__xludf.DUMMYFUNCTION("""COMPUTED_VALUE"""),1363.85)</f>
        <v>1363.85</v>
      </c>
      <c r="E1838" s="9">
        <f>IFERROR(__xludf.DUMMYFUNCTION("""COMPUTED_VALUE"""),1325.9)</f>
        <v>1325.9</v>
      </c>
      <c r="F1838" s="9">
        <f>IFERROR(__xludf.DUMMYFUNCTION("""COMPUTED_VALUE"""),1330.35)</f>
        <v>1330.35</v>
      </c>
      <c r="G1838" s="9">
        <f>IFERROR(__xludf.DUMMYFUNCTION("""COMPUTED_VALUE"""),1.2041941E7)</f>
        <v>12041941</v>
      </c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</row>
    <row r="1839">
      <c r="A1839" s="1"/>
      <c r="B1839" s="22">
        <f>IFERROR(__xludf.DUMMYFUNCTION("""COMPUTED_VALUE"""),44260.64583333333)</f>
        <v>44260.64583</v>
      </c>
      <c r="C1839" s="9">
        <f>IFERROR(__xludf.DUMMYFUNCTION("""COMPUTED_VALUE"""),1328.5)</f>
        <v>1328.5</v>
      </c>
      <c r="D1839" s="9">
        <f>IFERROR(__xludf.DUMMYFUNCTION("""COMPUTED_VALUE"""),1340.0)</f>
        <v>1340</v>
      </c>
      <c r="E1839" s="9">
        <f>IFERROR(__xludf.DUMMYFUNCTION("""COMPUTED_VALUE"""),1305.05)</f>
        <v>1305.05</v>
      </c>
      <c r="F1839" s="9">
        <f>IFERROR(__xludf.DUMMYFUNCTION("""COMPUTED_VALUE"""),1316.7)</f>
        <v>1316.7</v>
      </c>
      <c r="G1839" s="9">
        <f>IFERROR(__xludf.DUMMYFUNCTION("""COMPUTED_VALUE"""),6486176.0)</f>
        <v>6486176</v>
      </c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</row>
    <row r="1840">
      <c r="A1840" s="1"/>
      <c r="B1840" s="22">
        <f>IFERROR(__xludf.DUMMYFUNCTION("""COMPUTED_VALUE"""),44263.64583333333)</f>
        <v>44263.64583</v>
      </c>
      <c r="C1840" s="9">
        <f>IFERROR(__xludf.DUMMYFUNCTION("""COMPUTED_VALUE"""),1324.8)</f>
        <v>1324.8</v>
      </c>
      <c r="D1840" s="9">
        <f>IFERROR(__xludf.DUMMYFUNCTION("""COMPUTED_VALUE"""),1346.1)</f>
        <v>1346.1</v>
      </c>
      <c r="E1840" s="9">
        <f>IFERROR(__xludf.DUMMYFUNCTION("""COMPUTED_VALUE"""),1317.2)</f>
        <v>1317.2</v>
      </c>
      <c r="F1840" s="9">
        <f>IFERROR(__xludf.DUMMYFUNCTION("""COMPUTED_VALUE"""),1335.75)</f>
        <v>1335.75</v>
      </c>
      <c r="G1840" s="9">
        <f>IFERROR(__xludf.DUMMYFUNCTION("""COMPUTED_VALUE"""),5119392.0)</f>
        <v>5119392</v>
      </c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</row>
    <row r="1841">
      <c r="A1841" s="1"/>
      <c r="B1841" s="22">
        <f>IFERROR(__xludf.DUMMYFUNCTION("""COMPUTED_VALUE"""),44264.64583333333)</f>
        <v>44264.64583</v>
      </c>
      <c r="C1841" s="9">
        <f>IFERROR(__xludf.DUMMYFUNCTION("""COMPUTED_VALUE"""),1329.5)</f>
        <v>1329.5</v>
      </c>
      <c r="D1841" s="9">
        <f>IFERROR(__xludf.DUMMYFUNCTION("""COMPUTED_VALUE"""),1350.45)</f>
        <v>1350.45</v>
      </c>
      <c r="E1841" s="9">
        <f>IFERROR(__xludf.DUMMYFUNCTION("""COMPUTED_VALUE"""),1318.75)</f>
        <v>1318.75</v>
      </c>
      <c r="F1841" s="9">
        <f>IFERROR(__xludf.DUMMYFUNCTION("""COMPUTED_VALUE"""),1345.55)</f>
        <v>1345.55</v>
      </c>
      <c r="G1841" s="9">
        <f>IFERROR(__xludf.DUMMYFUNCTION("""COMPUTED_VALUE"""),6518173.0)</f>
        <v>6518173</v>
      </c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</row>
    <row r="1842">
      <c r="A1842" s="1"/>
      <c r="B1842" s="22">
        <f>IFERROR(__xludf.DUMMYFUNCTION("""COMPUTED_VALUE"""),44265.64583333333)</f>
        <v>44265.64583</v>
      </c>
      <c r="C1842" s="9">
        <f>IFERROR(__xludf.DUMMYFUNCTION("""COMPUTED_VALUE"""),1356.9)</f>
        <v>1356.9</v>
      </c>
      <c r="D1842" s="9">
        <f>IFERROR(__xludf.DUMMYFUNCTION("""COMPUTED_VALUE"""),1374.0)</f>
        <v>1374</v>
      </c>
      <c r="E1842" s="9">
        <f>IFERROR(__xludf.DUMMYFUNCTION("""COMPUTED_VALUE"""),1355.0)</f>
        <v>1355</v>
      </c>
      <c r="F1842" s="9">
        <f>IFERROR(__xludf.DUMMYFUNCTION("""COMPUTED_VALUE"""),1368.15)</f>
        <v>1368.15</v>
      </c>
      <c r="G1842" s="9">
        <f>IFERROR(__xludf.DUMMYFUNCTION("""COMPUTED_VALUE"""),7925984.0)</f>
        <v>7925984</v>
      </c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</row>
    <row r="1843">
      <c r="A1843" s="1"/>
      <c r="B1843" s="22">
        <f>IFERROR(__xludf.DUMMYFUNCTION("""COMPUTED_VALUE"""),44267.64583333333)</f>
        <v>44267.64583</v>
      </c>
      <c r="C1843" s="9">
        <f>IFERROR(__xludf.DUMMYFUNCTION("""COMPUTED_VALUE"""),1373.0)</f>
        <v>1373</v>
      </c>
      <c r="D1843" s="9">
        <f>IFERROR(__xludf.DUMMYFUNCTION("""COMPUTED_VALUE"""),1391.7)</f>
        <v>1391.7</v>
      </c>
      <c r="E1843" s="9">
        <f>IFERROR(__xludf.DUMMYFUNCTION("""COMPUTED_VALUE"""),1370.05)</f>
        <v>1370.05</v>
      </c>
      <c r="F1843" s="9">
        <f>IFERROR(__xludf.DUMMYFUNCTION("""COMPUTED_VALUE"""),1374.85)</f>
        <v>1374.85</v>
      </c>
      <c r="G1843" s="9">
        <f>IFERROR(__xludf.DUMMYFUNCTION("""COMPUTED_VALUE"""),9462061.0)</f>
        <v>9462061</v>
      </c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</row>
    <row r="1844">
      <c r="A1844" s="1"/>
      <c r="B1844" s="22">
        <f>IFERROR(__xludf.DUMMYFUNCTION("""COMPUTED_VALUE"""),44270.64583333333)</f>
        <v>44270.64583</v>
      </c>
      <c r="C1844" s="9">
        <f>IFERROR(__xludf.DUMMYFUNCTION("""COMPUTED_VALUE"""),1370.0)</f>
        <v>1370</v>
      </c>
      <c r="D1844" s="9">
        <f>IFERROR(__xludf.DUMMYFUNCTION("""COMPUTED_VALUE"""),1379.9)</f>
        <v>1379.9</v>
      </c>
      <c r="E1844" s="9">
        <f>IFERROR(__xludf.DUMMYFUNCTION("""COMPUTED_VALUE"""),1358.5)</f>
        <v>1358.5</v>
      </c>
      <c r="F1844" s="9">
        <f>IFERROR(__xludf.DUMMYFUNCTION("""COMPUTED_VALUE"""),1373.6)</f>
        <v>1373.6</v>
      </c>
      <c r="G1844" s="9">
        <f>IFERROR(__xludf.DUMMYFUNCTION("""COMPUTED_VALUE"""),6658665.0)</f>
        <v>6658665</v>
      </c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</row>
    <row r="1845">
      <c r="A1845" s="1"/>
      <c r="B1845" s="22">
        <f>IFERROR(__xludf.DUMMYFUNCTION("""COMPUTED_VALUE"""),44271.64583333333)</f>
        <v>44271.64583</v>
      </c>
      <c r="C1845" s="9">
        <f>IFERROR(__xludf.DUMMYFUNCTION("""COMPUTED_VALUE"""),1386.05)</f>
        <v>1386.05</v>
      </c>
      <c r="D1845" s="9">
        <f>IFERROR(__xludf.DUMMYFUNCTION("""COMPUTED_VALUE"""),1406.0)</f>
        <v>1406</v>
      </c>
      <c r="E1845" s="9">
        <f>IFERROR(__xludf.DUMMYFUNCTION("""COMPUTED_VALUE"""),1380.5)</f>
        <v>1380.5</v>
      </c>
      <c r="F1845" s="9">
        <f>IFERROR(__xludf.DUMMYFUNCTION("""COMPUTED_VALUE"""),1384.0)</f>
        <v>1384</v>
      </c>
      <c r="G1845" s="9">
        <f>IFERROR(__xludf.DUMMYFUNCTION("""COMPUTED_VALUE"""),9352771.0)</f>
        <v>9352771</v>
      </c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</row>
    <row r="1846">
      <c r="A1846" s="1"/>
      <c r="B1846" s="22">
        <f>IFERROR(__xludf.DUMMYFUNCTION("""COMPUTED_VALUE"""),44272.64583333333)</f>
        <v>44272.64583</v>
      </c>
      <c r="C1846" s="9">
        <f>IFERROR(__xludf.DUMMYFUNCTION("""COMPUTED_VALUE"""),1392.25)</f>
        <v>1392.25</v>
      </c>
      <c r="D1846" s="9">
        <f>IFERROR(__xludf.DUMMYFUNCTION("""COMPUTED_VALUE"""),1400.0)</f>
        <v>1400</v>
      </c>
      <c r="E1846" s="9">
        <f>IFERROR(__xludf.DUMMYFUNCTION("""COMPUTED_VALUE"""),1382.0)</f>
        <v>1382</v>
      </c>
      <c r="F1846" s="9">
        <f>IFERROR(__xludf.DUMMYFUNCTION("""COMPUTED_VALUE"""),1387.0)</f>
        <v>1387</v>
      </c>
      <c r="G1846" s="9">
        <f>IFERROR(__xludf.DUMMYFUNCTION("""COMPUTED_VALUE"""),7626744.0)</f>
        <v>7626744</v>
      </c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</row>
    <row r="1847">
      <c r="A1847" s="1"/>
      <c r="B1847" s="22">
        <f>IFERROR(__xludf.DUMMYFUNCTION("""COMPUTED_VALUE"""),44273.64583333333)</f>
        <v>44273.64583</v>
      </c>
      <c r="C1847" s="9">
        <f>IFERROR(__xludf.DUMMYFUNCTION("""COMPUTED_VALUE"""),1393.75)</f>
        <v>1393.75</v>
      </c>
      <c r="D1847" s="9">
        <f>IFERROR(__xludf.DUMMYFUNCTION("""COMPUTED_VALUE"""),1393.75)</f>
        <v>1393.75</v>
      </c>
      <c r="E1847" s="9">
        <f>IFERROR(__xludf.DUMMYFUNCTION("""COMPUTED_VALUE"""),1313.5)</f>
        <v>1313.5</v>
      </c>
      <c r="F1847" s="9">
        <f>IFERROR(__xludf.DUMMYFUNCTION("""COMPUTED_VALUE"""),1337.1)</f>
        <v>1337.1</v>
      </c>
      <c r="G1847" s="9">
        <f>IFERROR(__xludf.DUMMYFUNCTION("""COMPUTED_VALUE"""),1.0961755E7)</f>
        <v>10961755</v>
      </c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</row>
    <row r="1848">
      <c r="A1848" s="1"/>
      <c r="B1848" s="22">
        <f>IFERROR(__xludf.DUMMYFUNCTION("""COMPUTED_VALUE"""),44274.64583333333)</f>
        <v>44274.64583</v>
      </c>
      <c r="C1848" s="9">
        <f>IFERROR(__xludf.DUMMYFUNCTION("""COMPUTED_VALUE"""),1330.0)</f>
        <v>1330</v>
      </c>
      <c r="D1848" s="9">
        <f>IFERROR(__xludf.DUMMYFUNCTION("""COMPUTED_VALUE"""),1355.2)</f>
        <v>1355.2</v>
      </c>
      <c r="E1848" s="9">
        <f>IFERROR(__xludf.DUMMYFUNCTION("""COMPUTED_VALUE"""),1318.0)</f>
        <v>1318</v>
      </c>
      <c r="F1848" s="9">
        <f>IFERROR(__xludf.DUMMYFUNCTION("""COMPUTED_VALUE"""),1344.45)</f>
        <v>1344.45</v>
      </c>
      <c r="G1848" s="9">
        <f>IFERROR(__xludf.DUMMYFUNCTION("""COMPUTED_VALUE"""),1.2767112E7)</f>
        <v>12767112</v>
      </c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</row>
    <row r="1849">
      <c r="A1849" s="1"/>
      <c r="B1849" s="22">
        <f>IFERROR(__xludf.DUMMYFUNCTION("""COMPUTED_VALUE"""),44277.64583333333)</f>
        <v>44277.64583</v>
      </c>
      <c r="C1849" s="9">
        <f>IFERROR(__xludf.DUMMYFUNCTION("""COMPUTED_VALUE"""),1350.1)</f>
        <v>1350.1</v>
      </c>
      <c r="D1849" s="9">
        <f>IFERROR(__xludf.DUMMYFUNCTION("""COMPUTED_VALUE"""),1376.0)</f>
        <v>1376</v>
      </c>
      <c r="E1849" s="9">
        <f>IFERROR(__xludf.DUMMYFUNCTION("""COMPUTED_VALUE"""),1336.1)</f>
        <v>1336.1</v>
      </c>
      <c r="F1849" s="9">
        <f>IFERROR(__xludf.DUMMYFUNCTION("""COMPUTED_VALUE"""),1370.8)</f>
        <v>1370.8</v>
      </c>
      <c r="G1849" s="9">
        <f>IFERROR(__xludf.DUMMYFUNCTION("""COMPUTED_VALUE"""),4862758.0)</f>
        <v>4862758</v>
      </c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</row>
    <row r="1850">
      <c r="A1850" s="1"/>
      <c r="B1850" s="22">
        <f>IFERROR(__xludf.DUMMYFUNCTION("""COMPUTED_VALUE"""),44278.64583333333)</f>
        <v>44278.64583</v>
      </c>
      <c r="C1850" s="9">
        <f>IFERROR(__xludf.DUMMYFUNCTION("""COMPUTED_VALUE"""),1372.45)</f>
        <v>1372.45</v>
      </c>
      <c r="D1850" s="9">
        <f>IFERROR(__xludf.DUMMYFUNCTION("""COMPUTED_VALUE"""),1383.25)</f>
        <v>1383.25</v>
      </c>
      <c r="E1850" s="9">
        <f>IFERROR(__xludf.DUMMYFUNCTION("""COMPUTED_VALUE"""),1359.6)</f>
        <v>1359.6</v>
      </c>
      <c r="F1850" s="9">
        <f>IFERROR(__xludf.DUMMYFUNCTION("""COMPUTED_VALUE"""),1371.55)</f>
        <v>1371.55</v>
      </c>
      <c r="G1850" s="9">
        <f>IFERROR(__xludf.DUMMYFUNCTION("""COMPUTED_VALUE"""),7165335.0)</f>
        <v>7165335</v>
      </c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</row>
    <row r="1851">
      <c r="A1851" s="1"/>
      <c r="B1851" s="22">
        <f>IFERROR(__xludf.DUMMYFUNCTION("""COMPUTED_VALUE"""),44279.64583333333)</f>
        <v>44279.64583</v>
      </c>
      <c r="C1851" s="9">
        <f>IFERROR(__xludf.DUMMYFUNCTION("""COMPUTED_VALUE"""),1357.85)</f>
        <v>1357.85</v>
      </c>
      <c r="D1851" s="9">
        <f>IFERROR(__xludf.DUMMYFUNCTION("""COMPUTED_VALUE"""),1370.45)</f>
        <v>1370.45</v>
      </c>
      <c r="E1851" s="9">
        <f>IFERROR(__xludf.DUMMYFUNCTION("""COMPUTED_VALUE"""),1346.25)</f>
        <v>1346.25</v>
      </c>
      <c r="F1851" s="9">
        <f>IFERROR(__xludf.DUMMYFUNCTION("""COMPUTED_VALUE"""),1353.75)</f>
        <v>1353.75</v>
      </c>
      <c r="G1851" s="9">
        <f>IFERROR(__xludf.DUMMYFUNCTION("""COMPUTED_VALUE"""),6134303.0)</f>
        <v>6134303</v>
      </c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</row>
    <row r="1852">
      <c r="A1852" s="1"/>
      <c r="B1852" s="22">
        <f>IFERROR(__xludf.DUMMYFUNCTION("""COMPUTED_VALUE"""),44280.64583333333)</f>
        <v>44280.64583</v>
      </c>
      <c r="C1852" s="9">
        <f>IFERROR(__xludf.DUMMYFUNCTION("""COMPUTED_VALUE"""),1346.75)</f>
        <v>1346.75</v>
      </c>
      <c r="D1852" s="9">
        <f>IFERROR(__xludf.DUMMYFUNCTION("""COMPUTED_VALUE"""),1352.5)</f>
        <v>1352.5</v>
      </c>
      <c r="E1852" s="9">
        <f>IFERROR(__xludf.DUMMYFUNCTION("""COMPUTED_VALUE"""),1327.6)</f>
        <v>1327.6</v>
      </c>
      <c r="F1852" s="9">
        <f>IFERROR(__xludf.DUMMYFUNCTION("""COMPUTED_VALUE"""),1333.8)</f>
        <v>1333.8</v>
      </c>
      <c r="G1852" s="9">
        <f>IFERROR(__xludf.DUMMYFUNCTION("""COMPUTED_VALUE"""),8749994.0)</f>
        <v>8749994</v>
      </c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</row>
    <row r="1853">
      <c r="A1853" s="1"/>
      <c r="B1853" s="22">
        <f>IFERROR(__xludf.DUMMYFUNCTION("""COMPUTED_VALUE"""),44281.64583333333)</f>
        <v>44281.64583</v>
      </c>
      <c r="C1853" s="9">
        <f>IFERROR(__xludf.DUMMYFUNCTION("""COMPUTED_VALUE"""),1344.7)</f>
        <v>1344.7</v>
      </c>
      <c r="D1853" s="9">
        <f>IFERROR(__xludf.DUMMYFUNCTION("""COMPUTED_VALUE"""),1356.7)</f>
        <v>1356.7</v>
      </c>
      <c r="E1853" s="9">
        <f>IFERROR(__xludf.DUMMYFUNCTION("""COMPUTED_VALUE"""),1332.0)</f>
        <v>1332</v>
      </c>
      <c r="F1853" s="9">
        <f>IFERROR(__xludf.DUMMYFUNCTION("""COMPUTED_VALUE"""),1336.2)</f>
        <v>1336.2</v>
      </c>
      <c r="G1853" s="9">
        <f>IFERROR(__xludf.DUMMYFUNCTION("""COMPUTED_VALUE"""),4922071.0)</f>
        <v>4922071</v>
      </c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</row>
    <row r="1854">
      <c r="A1854" s="1"/>
      <c r="B1854" s="22">
        <f>IFERROR(__xludf.DUMMYFUNCTION("""COMPUTED_VALUE"""),44285.64583333333)</f>
        <v>44285.64583</v>
      </c>
      <c r="C1854" s="9">
        <f>IFERROR(__xludf.DUMMYFUNCTION("""COMPUTED_VALUE"""),1346.9)</f>
        <v>1346.9</v>
      </c>
      <c r="D1854" s="9">
        <f>IFERROR(__xludf.DUMMYFUNCTION("""COMPUTED_VALUE"""),1400.0)</f>
        <v>1400</v>
      </c>
      <c r="E1854" s="9">
        <f>IFERROR(__xludf.DUMMYFUNCTION("""COMPUTED_VALUE"""),1336.15)</f>
        <v>1336.15</v>
      </c>
      <c r="F1854" s="9">
        <f>IFERROR(__xludf.DUMMYFUNCTION("""COMPUTED_VALUE"""),1385.3)</f>
        <v>1385.3</v>
      </c>
      <c r="G1854" s="9">
        <f>IFERROR(__xludf.DUMMYFUNCTION("""COMPUTED_VALUE"""),1.0546919E7)</f>
        <v>10546919</v>
      </c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</row>
    <row r="1855">
      <c r="A1855" s="1"/>
      <c r="B1855" s="22">
        <f>IFERROR(__xludf.DUMMYFUNCTION("""COMPUTED_VALUE"""),44286.64583333333)</f>
        <v>44286.64583</v>
      </c>
      <c r="C1855" s="9">
        <f>IFERROR(__xludf.DUMMYFUNCTION("""COMPUTED_VALUE"""),1382.0)</f>
        <v>1382</v>
      </c>
      <c r="D1855" s="9">
        <f>IFERROR(__xludf.DUMMYFUNCTION("""COMPUTED_VALUE"""),1388.0)</f>
        <v>1388</v>
      </c>
      <c r="E1855" s="9">
        <f>IFERROR(__xludf.DUMMYFUNCTION("""COMPUTED_VALUE"""),1363.3)</f>
        <v>1363.3</v>
      </c>
      <c r="F1855" s="9">
        <f>IFERROR(__xludf.DUMMYFUNCTION("""COMPUTED_VALUE"""),1368.05)</f>
        <v>1368.05</v>
      </c>
      <c r="G1855" s="9">
        <f>IFERROR(__xludf.DUMMYFUNCTION("""COMPUTED_VALUE"""),8220987.0)</f>
        <v>8220987</v>
      </c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</row>
    <row r="1856">
      <c r="A1856" s="1"/>
      <c r="B1856" s="22">
        <f>IFERROR(__xludf.DUMMYFUNCTION("""COMPUTED_VALUE"""),44287.64583333333)</f>
        <v>44287.64583</v>
      </c>
      <c r="C1856" s="9">
        <f>IFERROR(__xludf.DUMMYFUNCTION("""COMPUTED_VALUE"""),1380.0)</f>
        <v>1380</v>
      </c>
      <c r="D1856" s="9">
        <f>IFERROR(__xludf.DUMMYFUNCTION("""COMPUTED_VALUE"""),1391.6)</f>
        <v>1391.6</v>
      </c>
      <c r="E1856" s="9">
        <f>IFERROR(__xludf.DUMMYFUNCTION("""COMPUTED_VALUE"""),1371.0)</f>
        <v>1371</v>
      </c>
      <c r="F1856" s="9">
        <f>IFERROR(__xludf.DUMMYFUNCTION("""COMPUTED_VALUE"""),1385.2)</f>
        <v>1385.2</v>
      </c>
      <c r="G1856" s="9">
        <f>IFERROR(__xludf.DUMMYFUNCTION("""COMPUTED_VALUE"""),5675155.0)</f>
        <v>5675155</v>
      </c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</row>
    <row r="1857">
      <c r="A1857" s="1"/>
      <c r="B1857" s="22">
        <f>IFERROR(__xludf.DUMMYFUNCTION("""COMPUTED_VALUE"""),44291.64583333333)</f>
        <v>44291.64583</v>
      </c>
      <c r="C1857" s="9">
        <f>IFERROR(__xludf.DUMMYFUNCTION("""COMPUTED_VALUE"""),1391.0)</f>
        <v>1391</v>
      </c>
      <c r="D1857" s="9">
        <f>IFERROR(__xludf.DUMMYFUNCTION("""COMPUTED_VALUE"""),1425.0)</f>
        <v>1425</v>
      </c>
      <c r="E1857" s="9">
        <f>IFERROR(__xludf.DUMMYFUNCTION("""COMPUTED_VALUE"""),1387.0)</f>
        <v>1387</v>
      </c>
      <c r="F1857" s="9">
        <f>IFERROR(__xludf.DUMMYFUNCTION("""COMPUTED_VALUE"""),1409.9)</f>
        <v>1409.9</v>
      </c>
      <c r="G1857" s="9">
        <f>IFERROR(__xludf.DUMMYFUNCTION("""COMPUTED_VALUE"""),9479572.0)</f>
        <v>9479572</v>
      </c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</row>
    <row r="1858">
      <c r="A1858" s="1"/>
      <c r="B1858" s="22">
        <f>IFERROR(__xludf.DUMMYFUNCTION("""COMPUTED_VALUE"""),44292.64583333333)</f>
        <v>44292.64583</v>
      </c>
      <c r="C1858" s="9">
        <f>IFERROR(__xludf.DUMMYFUNCTION("""COMPUTED_VALUE"""),1423.0)</f>
        <v>1423</v>
      </c>
      <c r="D1858" s="9">
        <f>IFERROR(__xludf.DUMMYFUNCTION("""COMPUTED_VALUE"""),1426.0)</f>
        <v>1426</v>
      </c>
      <c r="E1858" s="9">
        <f>IFERROR(__xludf.DUMMYFUNCTION("""COMPUTED_VALUE"""),1406.45)</f>
        <v>1406.45</v>
      </c>
      <c r="F1858" s="9">
        <f>IFERROR(__xludf.DUMMYFUNCTION("""COMPUTED_VALUE"""),1411.05)</f>
        <v>1411.05</v>
      </c>
      <c r="G1858" s="9">
        <f>IFERROR(__xludf.DUMMYFUNCTION("""COMPUTED_VALUE"""),5793571.0)</f>
        <v>5793571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</row>
    <row r="1859">
      <c r="A1859" s="1"/>
      <c r="B1859" s="22">
        <f>IFERROR(__xludf.DUMMYFUNCTION("""COMPUTED_VALUE"""),44293.64583333333)</f>
        <v>44293.64583</v>
      </c>
      <c r="C1859" s="9">
        <f>IFERROR(__xludf.DUMMYFUNCTION("""COMPUTED_VALUE"""),1410.25)</f>
        <v>1410.25</v>
      </c>
      <c r="D1859" s="9">
        <f>IFERROR(__xludf.DUMMYFUNCTION("""COMPUTED_VALUE"""),1434.95)</f>
        <v>1434.95</v>
      </c>
      <c r="E1859" s="9">
        <f>IFERROR(__xludf.DUMMYFUNCTION("""COMPUTED_VALUE"""),1406.6)</f>
        <v>1406.6</v>
      </c>
      <c r="F1859" s="9">
        <f>IFERROR(__xludf.DUMMYFUNCTION("""COMPUTED_VALUE"""),1430.2)</f>
        <v>1430.2</v>
      </c>
      <c r="G1859" s="9">
        <f>IFERROR(__xludf.DUMMYFUNCTION("""COMPUTED_VALUE"""),5879234.0)</f>
        <v>5879234</v>
      </c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</row>
    <row r="1860">
      <c r="A1860" s="1"/>
      <c r="B1860" s="22">
        <f>IFERROR(__xludf.DUMMYFUNCTION("""COMPUTED_VALUE"""),44294.64583333333)</f>
        <v>44294.64583</v>
      </c>
      <c r="C1860" s="9">
        <f>IFERROR(__xludf.DUMMYFUNCTION("""COMPUTED_VALUE"""),1430.0)</f>
        <v>1430</v>
      </c>
      <c r="D1860" s="9">
        <f>IFERROR(__xludf.DUMMYFUNCTION("""COMPUTED_VALUE"""),1451.7)</f>
        <v>1451.7</v>
      </c>
      <c r="E1860" s="9">
        <f>IFERROR(__xludf.DUMMYFUNCTION("""COMPUTED_VALUE"""),1421.0)</f>
        <v>1421</v>
      </c>
      <c r="F1860" s="9">
        <f>IFERROR(__xludf.DUMMYFUNCTION("""COMPUTED_VALUE"""),1439.85)</f>
        <v>1439.85</v>
      </c>
      <c r="G1860" s="9">
        <f>IFERROR(__xludf.DUMMYFUNCTION("""COMPUTED_VALUE"""),5654434.0)</f>
        <v>5654434</v>
      </c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</row>
    <row r="1861">
      <c r="A1861" s="1"/>
      <c r="B1861" s="22">
        <f>IFERROR(__xludf.DUMMYFUNCTION("""COMPUTED_VALUE"""),44295.64583333333)</f>
        <v>44295.64583</v>
      </c>
      <c r="C1861" s="9">
        <f>IFERROR(__xludf.DUMMYFUNCTION("""COMPUTED_VALUE"""),1455.0)</f>
        <v>1455</v>
      </c>
      <c r="D1861" s="9">
        <f>IFERROR(__xludf.DUMMYFUNCTION("""COMPUTED_VALUE"""),1455.0)</f>
        <v>1455</v>
      </c>
      <c r="E1861" s="9">
        <f>IFERROR(__xludf.DUMMYFUNCTION("""COMPUTED_VALUE"""),1430.05)</f>
        <v>1430.05</v>
      </c>
      <c r="F1861" s="9">
        <f>IFERROR(__xludf.DUMMYFUNCTION("""COMPUTED_VALUE"""),1441.05)</f>
        <v>1441.05</v>
      </c>
      <c r="G1861" s="9">
        <f>IFERROR(__xludf.DUMMYFUNCTION("""COMPUTED_VALUE"""),6052712.0)</f>
        <v>6052712</v>
      </c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</row>
    <row r="1862">
      <c r="A1862" s="1"/>
      <c r="B1862" s="22">
        <f>IFERROR(__xludf.DUMMYFUNCTION("""COMPUTED_VALUE"""),44298.64583333333)</f>
        <v>44298.64583</v>
      </c>
      <c r="C1862" s="9">
        <f>IFERROR(__xludf.DUMMYFUNCTION("""COMPUTED_VALUE"""),1474.0)</f>
        <v>1474</v>
      </c>
      <c r="D1862" s="9">
        <f>IFERROR(__xludf.DUMMYFUNCTION("""COMPUTED_VALUE"""),1477.55)</f>
        <v>1477.55</v>
      </c>
      <c r="E1862" s="9">
        <f>IFERROR(__xludf.DUMMYFUNCTION("""COMPUTED_VALUE"""),1415.0)</f>
        <v>1415</v>
      </c>
      <c r="F1862" s="9">
        <f>IFERROR(__xludf.DUMMYFUNCTION("""COMPUTED_VALUE"""),1425.75)</f>
        <v>1425.75</v>
      </c>
      <c r="G1862" s="9">
        <f>IFERROR(__xludf.DUMMYFUNCTION("""COMPUTED_VALUE"""),2.0384532E7)</f>
        <v>20384532</v>
      </c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</row>
    <row r="1863">
      <c r="A1863" s="1"/>
      <c r="B1863" s="22">
        <f>IFERROR(__xludf.DUMMYFUNCTION("""COMPUTED_VALUE"""),44299.64583333333)</f>
        <v>44299.64583</v>
      </c>
      <c r="C1863" s="9">
        <f>IFERROR(__xludf.DUMMYFUNCTION("""COMPUTED_VALUE"""),1433.0)</f>
        <v>1433</v>
      </c>
      <c r="D1863" s="9">
        <f>IFERROR(__xludf.DUMMYFUNCTION("""COMPUTED_VALUE"""),1435.25)</f>
        <v>1435.25</v>
      </c>
      <c r="E1863" s="9">
        <f>IFERROR(__xludf.DUMMYFUNCTION("""COMPUTED_VALUE"""),1375.0)</f>
        <v>1375</v>
      </c>
      <c r="F1863" s="9">
        <f>IFERROR(__xludf.DUMMYFUNCTION("""COMPUTED_VALUE"""),1397.15)</f>
        <v>1397.15</v>
      </c>
      <c r="G1863" s="9">
        <f>IFERROR(__xludf.DUMMYFUNCTION("""COMPUTED_VALUE"""),1.4855206E7)</f>
        <v>14855206</v>
      </c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</row>
    <row r="1864">
      <c r="A1864" s="1"/>
      <c r="B1864" s="22">
        <f>IFERROR(__xludf.DUMMYFUNCTION("""COMPUTED_VALUE"""),44301.64583333333)</f>
        <v>44301.64583</v>
      </c>
      <c r="C1864" s="9">
        <f>IFERROR(__xludf.DUMMYFUNCTION("""COMPUTED_VALUE"""),1332.3)</f>
        <v>1332.3</v>
      </c>
      <c r="D1864" s="9">
        <f>IFERROR(__xludf.DUMMYFUNCTION("""COMPUTED_VALUE"""),1366.4)</f>
        <v>1366.4</v>
      </c>
      <c r="E1864" s="9">
        <f>IFERROR(__xludf.DUMMYFUNCTION("""COMPUTED_VALUE"""),1320.0)</f>
        <v>1320</v>
      </c>
      <c r="F1864" s="9">
        <f>IFERROR(__xludf.DUMMYFUNCTION("""COMPUTED_VALUE"""),1360.75)</f>
        <v>1360.75</v>
      </c>
      <c r="G1864" s="9">
        <f>IFERROR(__xludf.DUMMYFUNCTION("""COMPUTED_VALUE"""),2.5342491E7)</f>
        <v>25342491</v>
      </c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</row>
    <row r="1865">
      <c r="A1865" s="1"/>
      <c r="B1865" s="22">
        <f>IFERROR(__xludf.DUMMYFUNCTION("""COMPUTED_VALUE"""),44302.64583333333)</f>
        <v>44302.64583</v>
      </c>
      <c r="C1865" s="9">
        <f>IFERROR(__xludf.DUMMYFUNCTION("""COMPUTED_VALUE"""),1365.0)</f>
        <v>1365</v>
      </c>
      <c r="D1865" s="9">
        <f>IFERROR(__xludf.DUMMYFUNCTION("""COMPUTED_VALUE"""),1370.85)</f>
        <v>1370.85</v>
      </c>
      <c r="E1865" s="9">
        <f>IFERROR(__xludf.DUMMYFUNCTION("""COMPUTED_VALUE"""),1346.6)</f>
        <v>1346.6</v>
      </c>
      <c r="F1865" s="9">
        <f>IFERROR(__xludf.DUMMYFUNCTION("""COMPUTED_VALUE"""),1353.75)</f>
        <v>1353.75</v>
      </c>
      <c r="G1865" s="9">
        <f>IFERROR(__xludf.DUMMYFUNCTION("""COMPUTED_VALUE"""),1.0879878E7)</f>
        <v>10879878</v>
      </c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</row>
    <row r="1866">
      <c r="A1866" s="1"/>
      <c r="B1866" s="22">
        <f>IFERROR(__xludf.DUMMYFUNCTION("""COMPUTED_VALUE"""),44305.64583333333)</f>
        <v>44305.64583</v>
      </c>
      <c r="C1866" s="9">
        <f>IFERROR(__xludf.DUMMYFUNCTION("""COMPUTED_VALUE"""),1340.0)</f>
        <v>1340</v>
      </c>
      <c r="D1866" s="9">
        <f>IFERROR(__xludf.DUMMYFUNCTION("""COMPUTED_VALUE"""),1379.7)</f>
        <v>1379.7</v>
      </c>
      <c r="E1866" s="9">
        <f>IFERROR(__xludf.DUMMYFUNCTION("""COMPUTED_VALUE"""),1332.35)</f>
        <v>1332.35</v>
      </c>
      <c r="F1866" s="9">
        <f>IFERROR(__xludf.DUMMYFUNCTION("""COMPUTED_VALUE"""),1362.55)</f>
        <v>1362.55</v>
      </c>
      <c r="G1866" s="9">
        <f>IFERROR(__xludf.DUMMYFUNCTION("""COMPUTED_VALUE"""),1.2508028E7)</f>
        <v>12508028</v>
      </c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</row>
    <row r="1867">
      <c r="A1867" s="1"/>
      <c r="B1867" s="22">
        <f>IFERROR(__xludf.DUMMYFUNCTION("""COMPUTED_VALUE"""),44306.64583333333)</f>
        <v>44306.64583</v>
      </c>
      <c r="C1867" s="9">
        <f>IFERROR(__xludf.DUMMYFUNCTION("""COMPUTED_VALUE"""),1379.0)</f>
        <v>1379</v>
      </c>
      <c r="D1867" s="9">
        <f>IFERROR(__xludf.DUMMYFUNCTION("""COMPUTED_VALUE"""),1379.0)</f>
        <v>1379</v>
      </c>
      <c r="E1867" s="9">
        <f>IFERROR(__xludf.DUMMYFUNCTION("""COMPUTED_VALUE"""),1342.4)</f>
        <v>1342.4</v>
      </c>
      <c r="F1867" s="9">
        <f>IFERROR(__xludf.DUMMYFUNCTION("""COMPUTED_VALUE"""),1351.35)</f>
        <v>1351.35</v>
      </c>
      <c r="G1867" s="9">
        <f>IFERROR(__xludf.DUMMYFUNCTION("""COMPUTED_VALUE"""),8560766.0)</f>
        <v>8560766</v>
      </c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</row>
    <row r="1868">
      <c r="A1868" s="1"/>
      <c r="B1868" s="22">
        <f>IFERROR(__xludf.DUMMYFUNCTION("""COMPUTED_VALUE"""),44308.64583333333)</f>
        <v>44308.64583</v>
      </c>
      <c r="C1868" s="9">
        <f>IFERROR(__xludf.DUMMYFUNCTION("""COMPUTED_VALUE"""),1355.55)</f>
        <v>1355.55</v>
      </c>
      <c r="D1868" s="9">
        <f>IFERROR(__xludf.DUMMYFUNCTION("""COMPUTED_VALUE"""),1364.8)</f>
        <v>1364.8</v>
      </c>
      <c r="E1868" s="9">
        <f>IFERROR(__xludf.DUMMYFUNCTION("""COMPUTED_VALUE"""),1345.15)</f>
        <v>1345.15</v>
      </c>
      <c r="F1868" s="9">
        <f>IFERROR(__xludf.DUMMYFUNCTION("""COMPUTED_VALUE"""),1351.1)</f>
        <v>1351.1</v>
      </c>
      <c r="G1868" s="9">
        <f>IFERROR(__xludf.DUMMYFUNCTION("""COMPUTED_VALUE"""),6622446.0)</f>
        <v>6622446</v>
      </c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</row>
    <row r="1869">
      <c r="A1869" s="1"/>
      <c r="B1869" s="22">
        <f>IFERROR(__xludf.DUMMYFUNCTION("""COMPUTED_VALUE"""),44309.64583333333)</f>
        <v>44309.64583</v>
      </c>
      <c r="C1869" s="9">
        <f>IFERROR(__xludf.DUMMYFUNCTION("""COMPUTED_VALUE"""),1343.0)</f>
        <v>1343</v>
      </c>
      <c r="D1869" s="9">
        <f>IFERROR(__xludf.DUMMYFUNCTION("""COMPUTED_VALUE"""),1348.4)</f>
        <v>1348.4</v>
      </c>
      <c r="E1869" s="9">
        <f>IFERROR(__xludf.DUMMYFUNCTION("""COMPUTED_VALUE"""),1331.0)</f>
        <v>1331</v>
      </c>
      <c r="F1869" s="9">
        <f>IFERROR(__xludf.DUMMYFUNCTION("""COMPUTED_VALUE"""),1333.8)</f>
        <v>1333.8</v>
      </c>
      <c r="G1869" s="9">
        <f>IFERROR(__xludf.DUMMYFUNCTION("""COMPUTED_VALUE"""),7316262.0)</f>
        <v>7316262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</row>
    <row r="1870">
      <c r="A1870" s="1"/>
      <c r="B1870" s="22">
        <f>IFERROR(__xludf.DUMMYFUNCTION("""COMPUTED_VALUE"""),44312.64583333333)</f>
        <v>44312.64583</v>
      </c>
      <c r="C1870" s="9">
        <f>IFERROR(__xludf.DUMMYFUNCTION("""COMPUTED_VALUE"""),1332.25)</f>
        <v>1332.25</v>
      </c>
      <c r="D1870" s="9">
        <f>IFERROR(__xludf.DUMMYFUNCTION("""COMPUTED_VALUE"""),1351.3)</f>
        <v>1351.3</v>
      </c>
      <c r="E1870" s="9">
        <f>IFERROR(__xludf.DUMMYFUNCTION("""COMPUTED_VALUE"""),1321.0)</f>
        <v>1321</v>
      </c>
      <c r="F1870" s="9">
        <f>IFERROR(__xludf.DUMMYFUNCTION("""COMPUTED_VALUE"""),1343.55)</f>
        <v>1343.55</v>
      </c>
      <c r="G1870" s="9">
        <f>IFERROR(__xludf.DUMMYFUNCTION("""COMPUTED_VALUE"""),7088606.0)</f>
        <v>7088606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</row>
    <row r="1871">
      <c r="A1871" s="1"/>
      <c r="B1871" s="22">
        <f>IFERROR(__xludf.DUMMYFUNCTION("""COMPUTED_VALUE"""),44313.64583333333)</f>
        <v>44313.64583</v>
      </c>
      <c r="C1871" s="9">
        <f>IFERROR(__xludf.DUMMYFUNCTION("""COMPUTED_VALUE"""),1346.0)</f>
        <v>1346</v>
      </c>
      <c r="D1871" s="9">
        <f>IFERROR(__xludf.DUMMYFUNCTION("""COMPUTED_VALUE"""),1353.0)</f>
        <v>1353</v>
      </c>
      <c r="E1871" s="9">
        <f>IFERROR(__xludf.DUMMYFUNCTION("""COMPUTED_VALUE"""),1340.15)</f>
        <v>1340.15</v>
      </c>
      <c r="F1871" s="9">
        <f>IFERROR(__xludf.DUMMYFUNCTION("""COMPUTED_VALUE"""),1348.5)</f>
        <v>1348.5</v>
      </c>
      <c r="G1871" s="9">
        <f>IFERROR(__xludf.DUMMYFUNCTION("""COMPUTED_VALUE"""),3636115.0)</f>
        <v>3636115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</row>
    <row r="1872">
      <c r="A1872" s="1"/>
      <c r="B1872" s="22">
        <f>IFERROR(__xludf.DUMMYFUNCTION("""COMPUTED_VALUE"""),44314.64583333333)</f>
        <v>44314.64583</v>
      </c>
      <c r="C1872" s="9">
        <f>IFERROR(__xludf.DUMMYFUNCTION("""COMPUTED_VALUE"""),1358.0)</f>
        <v>1358</v>
      </c>
      <c r="D1872" s="9">
        <f>IFERROR(__xludf.DUMMYFUNCTION("""COMPUTED_VALUE"""),1359.5)</f>
        <v>1359.5</v>
      </c>
      <c r="E1872" s="9">
        <f>IFERROR(__xludf.DUMMYFUNCTION("""COMPUTED_VALUE"""),1344.6)</f>
        <v>1344.6</v>
      </c>
      <c r="F1872" s="9">
        <f>IFERROR(__xludf.DUMMYFUNCTION("""COMPUTED_VALUE"""),1356.0)</f>
        <v>1356</v>
      </c>
      <c r="G1872" s="9">
        <f>IFERROR(__xludf.DUMMYFUNCTION("""COMPUTED_VALUE"""),4879234.0)</f>
        <v>4879234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</row>
    <row r="1873">
      <c r="A1873" s="1"/>
      <c r="B1873" s="22">
        <f>IFERROR(__xludf.DUMMYFUNCTION("""COMPUTED_VALUE"""),44315.64583333333)</f>
        <v>44315.64583</v>
      </c>
      <c r="C1873" s="9">
        <f>IFERROR(__xludf.DUMMYFUNCTION("""COMPUTED_VALUE"""),1368.0)</f>
        <v>1368</v>
      </c>
      <c r="D1873" s="9">
        <f>IFERROR(__xludf.DUMMYFUNCTION("""COMPUTED_VALUE"""),1369.0)</f>
        <v>1369</v>
      </c>
      <c r="E1873" s="9">
        <f>IFERROR(__xludf.DUMMYFUNCTION("""COMPUTED_VALUE"""),1351.4)</f>
        <v>1351.4</v>
      </c>
      <c r="F1873" s="9">
        <f>IFERROR(__xludf.DUMMYFUNCTION("""COMPUTED_VALUE"""),1356.35)</f>
        <v>1356.35</v>
      </c>
      <c r="G1873" s="9">
        <f>IFERROR(__xludf.DUMMYFUNCTION("""COMPUTED_VALUE"""),5412357.0)</f>
        <v>5412357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</row>
    <row r="1874">
      <c r="A1874" s="1"/>
      <c r="B1874" s="22">
        <f>IFERROR(__xludf.DUMMYFUNCTION("""COMPUTED_VALUE"""),44316.64583333333)</f>
        <v>44316.64583</v>
      </c>
      <c r="C1874" s="9">
        <f>IFERROR(__xludf.DUMMYFUNCTION("""COMPUTED_VALUE"""),1346.3)</f>
        <v>1346.3</v>
      </c>
      <c r="D1874" s="9">
        <f>IFERROR(__xludf.DUMMYFUNCTION("""COMPUTED_VALUE"""),1373.9)</f>
        <v>1373.9</v>
      </c>
      <c r="E1874" s="9">
        <f>IFERROR(__xludf.DUMMYFUNCTION("""COMPUTED_VALUE"""),1345.9)</f>
        <v>1345.9</v>
      </c>
      <c r="F1874" s="9">
        <f>IFERROR(__xludf.DUMMYFUNCTION("""COMPUTED_VALUE"""),1354.35)</f>
        <v>1354.35</v>
      </c>
      <c r="G1874" s="9">
        <f>IFERROR(__xludf.DUMMYFUNCTION("""COMPUTED_VALUE"""),8354677.0)</f>
        <v>8354677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</row>
    <row r="1875">
      <c r="A1875" s="1"/>
      <c r="B1875" s="22">
        <f>IFERROR(__xludf.DUMMYFUNCTION("""COMPUTED_VALUE"""),44319.64583333333)</f>
        <v>44319.64583</v>
      </c>
      <c r="C1875" s="9">
        <f>IFERROR(__xludf.DUMMYFUNCTION("""COMPUTED_VALUE"""),1340.8)</f>
        <v>1340.8</v>
      </c>
      <c r="D1875" s="9">
        <f>IFERROR(__xludf.DUMMYFUNCTION("""COMPUTED_VALUE"""),1361.0)</f>
        <v>1361</v>
      </c>
      <c r="E1875" s="9">
        <f>IFERROR(__xludf.DUMMYFUNCTION("""COMPUTED_VALUE"""),1338.0)</f>
        <v>1338</v>
      </c>
      <c r="F1875" s="9">
        <f>IFERROR(__xludf.DUMMYFUNCTION("""COMPUTED_VALUE"""),1352.05)</f>
        <v>1352.05</v>
      </c>
      <c r="G1875" s="9">
        <f>IFERROR(__xludf.DUMMYFUNCTION("""COMPUTED_VALUE"""),4560337.0)</f>
        <v>4560337</v>
      </c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</row>
    <row r="1876">
      <c r="A1876" s="1"/>
      <c r="B1876" s="22">
        <f>IFERROR(__xludf.DUMMYFUNCTION("""COMPUTED_VALUE"""),44320.64583333333)</f>
        <v>44320.64583</v>
      </c>
      <c r="C1876" s="9">
        <f>IFERROR(__xludf.DUMMYFUNCTION("""COMPUTED_VALUE"""),1354.0)</f>
        <v>1354</v>
      </c>
      <c r="D1876" s="9">
        <f>IFERROR(__xludf.DUMMYFUNCTION("""COMPUTED_VALUE"""),1354.95)</f>
        <v>1354.95</v>
      </c>
      <c r="E1876" s="9">
        <f>IFERROR(__xludf.DUMMYFUNCTION("""COMPUTED_VALUE"""),1324.1)</f>
        <v>1324.1</v>
      </c>
      <c r="F1876" s="9">
        <f>IFERROR(__xludf.DUMMYFUNCTION("""COMPUTED_VALUE"""),1329.4)</f>
        <v>1329.4</v>
      </c>
      <c r="G1876" s="9">
        <f>IFERROR(__xludf.DUMMYFUNCTION("""COMPUTED_VALUE"""),4887060.0)</f>
        <v>4887060</v>
      </c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</row>
    <row r="1877">
      <c r="A1877" s="1"/>
      <c r="B1877" s="22">
        <f>IFERROR(__xludf.DUMMYFUNCTION("""COMPUTED_VALUE"""),44321.64583333333)</f>
        <v>44321.64583</v>
      </c>
      <c r="C1877" s="9">
        <f>IFERROR(__xludf.DUMMYFUNCTION("""COMPUTED_VALUE"""),1341.1)</f>
        <v>1341.1</v>
      </c>
      <c r="D1877" s="9">
        <f>IFERROR(__xludf.DUMMYFUNCTION("""COMPUTED_VALUE"""),1343.9)</f>
        <v>1343.9</v>
      </c>
      <c r="E1877" s="9">
        <f>IFERROR(__xludf.DUMMYFUNCTION("""COMPUTED_VALUE"""),1327.8)</f>
        <v>1327.8</v>
      </c>
      <c r="F1877" s="9">
        <f>IFERROR(__xludf.DUMMYFUNCTION("""COMPUTED_VALUE"""),1341.5)</f>
        <v>1341.5</v>
      </c>
      <c r="G1877" s="9">
        <f>IFERROR(__xludf.DUMMYFUNCTION("""COMPUTED_VALUE"""),3939788.0)</f>
        <v>3939788</v>
      </c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</row>
    <row r="1878">
      <c r="A1878" s="1"/>
      <c r="B1878" s="22">
        <f>IFERROR(__xludf.DUMMYFUNCTION("""COMPUTED_VALUE"""),44322.64583333333)</f>
        <v>44322.64583</v>
      </c>
      <c r="C1878" s="9">
        <f>IFERROR(__xludf.DUMMYFUNCTION("""COMPUTED_VALUE"""),1345.0)</f>
        <v>1345</v>
      </c>
      <c r="D1878" s="9">
        <f>IFERROR(__xludf.DUMMYFUNCTION("""COMPUTED_VALUE"""),1364.7)</f>
        <v>1364.7</v>
      </c>
      <c r="E1878" s="9">
        <f>IFERROR(__xludf.DUMMYFUNCTION("""COMPUTED_VALUE"""),1337.4)</f>
        <v>1337.4</v>
      </c>
      <c r="F1878" s="9">
        <f>IFERROR(__xludf.DUMMYFUNCTION("""COMPUTED_VALUE"""),1361.6)</f>
        <v>1361.6</v>
      </c>
      <c r="G1878" s="9">
        <f>IFERROR(__xludf.DUMMYFUNCTION("""COMPUTED_VALUE"""),4810090.0)</f>
        <v>4810090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</row>
    <row r="1879">
      <c r="A1879" s="1"/>
      <c r="B1879" s="22">
        <f>IFERROR(__xludf.DUMMYFUNCTION("""COMPUTED_VALUE"""),44323.64583333333)</f>
        <v>44323.64583</v>
      </c>
      <c r="C1879" s="9">
        <f>IFERROR(__xludf.DUMMYFUNCTION("""COMPUTED_VALUE"""),1365.3)</f>
        <v>1365.3</v>
      </c>
      <c r="D1879" s="9">
        <f>IFERROR(__xludf.DUMMYFUNCTION("""COMPUTED_VALUE"""),1373.05)</f>
        <v>1373.05</v>
      </c>
      <c r="E1879" s="9">
        <f>IFERROR(__xludf.DUMMYFUNCTION("""COMPUTED_VALUE"""),1348.5)</f>
        <v>1348.5</v>
      </c>
      <c r="F1879" s="9">
        <f>IFERROR(__xludf.DUMMYFUNCTION("""COMPUTED_VALUE"""),1352.55)</f>
        <v>1352.55</v>
      </c>
      <c r="G1879" s="9">
        <f>IFERROR(__xludf.DUMMYFUNCTION("""COMPUTED_VALUE"""),4991435.0)</f>
        <v>4991435</v>
      </c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</row>
    <row r="1880">
      <c r="A1880" s="1"/>
      <c r="B1880" s="22">
        <f>IFERROR(__xludf.DUMMYFUNCTION("""COMPUTED_VALUE"""),44326.64583333333)</f>
        <v>44326.64583</v>
      </c>
      <c r="C1880" s="9">
        <f>IFERROR(__xludf.DUMMYFUNCTION("""COMPUTED_VALUE"""),1349.85)</f>
        <v>1349.85</v>
      </c>
      <c r="D1880" s="9">
        <f>IFERROR(__xludf.DUMMYFUNCTION("""COMPUTED_VALUE"""),1352.9)</f>
        <v>1352.9</v>
      </c>
      <c r="E1880" s="9">
        <f>IFERROR(__xludf.DUMMYFUNCTION("""COMPUTED_VALUE"""),1335.05)</f>
        <v>1335.05</v>
      </c>
      <c r="F1880" s="9">
        <f>IFERROR(__xludf.DUMMYFUNCTION("""COMPUTED_VALUE"""),1339.55)</f>
        <v>1339.55</v>
      </c>
      <c r="G1880" s="9">
        <f>IFERROR(__xludf.DUMMYFUNCTION("""COMPUTED_VALUE"""),7195348.0)</f>
        <v>7195348</v>
      </c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</row>
    <row r="1881">
      <c r="A1881" s="1"/>
      <c r="B1881" s="22">
        <f>IFERROR(__xludf.DUMMYFUNCTION("""COMPUTED_VALUE"""),44327.64583333333)</f>
        <v>44327.64583</v>
      </c>
      <c r="C1881" s="9">
        <f>IFERROR(__xludf.DUMMYFUNCTION("""COMPUTED_VALUE"""),1336.9)</f>
        <v>1336.9</v>
      </c>
      <c r="D1881" s="9">
        <f>IFERROR(__xludf.DUMMYFUNCTION("""COMPUTED_VALUE"""),1341.0)</f>
        <v>1341</v>
      </c>
      <c r="E1881" s="9">
        <f>IFERROR(__xludf.DUMMYFUNCTION("""COMPUTED_VALUE"""),1325.1)</f>
        <v>1325.1</v>
      </c>
      <c r="F1881" s="9">
        <f>IFERROR(__xludf.DUMMYFUNCTION("""COMPUTED_VALUE"""),1330.65)</f>
        <v>1330.65</v>
      </c>
      <c r="G1881" s="9">
        <f>IFERROR(__xludf.DUMMYFUNCTION("""COMPUTED_VALUE"""),6420988.0)</f>
        <v>6420988</v>
      </c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</row>
    <row r="1882">
      <c r="A1882" s="1"/>
      <c r="B1882" s="22">
        <f>IFERROR(__xludf.DUMMYFUNCTION("""COMPUTED_VALUE"""),44328.64583333333)</f>
        <v>44328.64583</v>
      </c>
      <c r="C1882" s="9">
        <f>IFERROR(__xludf.DUMMYFUNCTION("""COMPUTED_VALUE"""),1330.0)</f>
        <v>1330</v>
      </c>
      <c r="D1882" s="9">
        <f>IFERROR(__xludf.DUMMYFUNCTION("""COMPUTED_VALUE"""),1330.0)</f>
        <v>1330</v>
      </c>
      <c r="E1882" s="9">
        <f>IFERROR(__xludf.DUMMYFUNCTION("""COMPUTED_VALUE"""),1314.5)</f>
        <v>1314.5</v>
      </c>
      <c r="F1882" s="9">
        <f>IFERROR(__xludf.DUMMYFUNCTION("""COMPUTED_VALUE"""),1327.0)</f>
        <v>1327</v>
      </c>
      <c r="G1882" s="9">
        <f>IFERROR(__xludf.DUMMYFUNCTION("""COMPUTED_VALUE"""),5241898.0)</f>
        <v>5241898</v>
      </c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</row>
    <row r="1883">
      <c r="A1883" s="1"/>
      <c r="B1883" s="22">
        <f>IFERROR(__xludf.DUMMYFUNCTION("""COMPUTED_VALUE"""),44330.64583333333)</f>
        <v>44330.64583</v>
      </c>
      <c r="C1883" s="9">
        <f>IFERROR(__xludf.DUMMYFUNCTION("""COMPUTED_VALUE"""),1326.85)</f>
        <v>1326.85</v>
      </c>
      <c r="D1883" s="9">
        <f>IFERROR(__xludf.DUMMYFUNCTION("""COMPUTED_VALUE"""),1326.85)</f>
        <v>1326.85</v>
      </c>
      <c r="E1883" s="9">
        <f>IFERROR(__xludf.DUMMYFUNCTION("""COMPUTED_VALUE"""),1311.3)</f>
        <v>1311.3</v>
      </c>
      <c r="F1883" s="9">
        <f>IFERROR(__xludf.DUMMYFUNCTION("""COMPUTED_VALUE"""),1316.4)</f>
        <v>1316.4</v>
      </c>
      <c r="G1883" s="9">
        <f>IFERROR(__xludf.DUMMYFUNCTION("""COMPUTED_VALUE"""),4824609.0)</f>
        <v>4824609</v>
      </c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</row>
    <row r="1884">
      <c r="A1884" s="1"/>
      <c r="B1884" s="22">
        <f>IFERROR(__xludf.DUMMYFUNCTION("""COMPUTED_VALUE"""),44333.64583333333)</f>
        <v>44333.64583</v>
      </c>
      <c r="C1884" s="9">
        <f>IFERROR(__xludf.DUMMYFUNCTION("""COMPUTED_VALUE"""),1320.3)</f>
        <v>1320.3</v>
      </c>
      <c r="D1884" s="9">
        <f>IFERROR(__xludf.DUMMYFUNCTION("""COMPUTED_VALUE"""),1334.95)</f>
        <v>1334.95</v>
      </c>
      <c r="E1884" s="9">
        <f>IFERROR(__xludf.DUMMYFUNCTION("""COMPUTED_VALUE"""),1320.3)</f>
        <v>1320.3</v>
      </c>
      <c r="F1884" s="9">
        <f>IFERROR(__xludf.DUMMYFUNCTION("""COMPUTED_VALUE"""),1329.4)</f>
        <v>1329.4</v>
      </c>
      <c r="G1884" s="9">
        <f>IFERROR(__xludf.DUMMYFUNCTION("""COMPUTED_VALUE"""),5017129.0)</f>
        <v>5017129</v>
      </c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</row>
    <row r="1885">
      <c r="A1885" s="1"/>
      <c r="B1885" s="22">
        <f>IFERROR(__xludf.DUMMYFUNCTION("""COMPUTED_VALUE"""),44334.64583333333)</f>
        <v>44334.64583</v>
      </c>
      <c r="C1885" s="9">
        <f>IFERROR(__xludf.DUMMYFUNCTION("""COMPUTED_VALUE"""),1338.0)</f>
        <v>1338</v>
      </c>
      <c r="D1885" s="9">
        <f>IFERROR(__xludf.DUMMYFUNCTION("""COMPUTED_VALUE"""),1344.6)</f>
        <v>1344.6</v>
      </c>
      <c r="E1885" s="9">
        <f>IFERROR(__xludf.DUMMYFUNCTION("""COMPUTED_VALUE"""),1329.5)</f>
        <v>1329.5</v>
      </c>
      <c r="F1885" s="9">
        <f>IFERROR(__xludf.DUMMYFUNCTION("""COMPUTED_VALUE"""),1340.0)</f>
        <v>1340</v>
      </c>
      <c r="G1885" s="9">
        <f>IFERROR(__xludf.DUMMYFUNCTION("""COMPUTED_VALUE"""),5620150.0)</f>
        <v>5620150</v>
      </c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</row>
    <row r="1886">
      <c r="A1886" s="1"/>
      <c r="B1886" s="22">
        <f>IFERROR(__xludf.DUMMYFUNCTION("""COMPUTED_VALUE"""),44335.64583333333)</f>
        <v>44335.64583</v>
      </c>
      <c r="C1886" s="9">
        <f>IFERROR(__xludf.DUMMYFUNCTION("""COMPUTED_VALUE"""),1342.0)</f>
        <v>1342</v>
      </c>
      <c r="D1886" s="9">
        <f>IFERROR(__xludf.DUMMYFUNCTION("""COMPUTED_VALUE"""),1357.45)</f>
        <v>1357.45</v>
      </c>
      <c r="E1886" s="9">
        <f>IFERROR(__xludf.DUMMYFUNCTION("""COMPUTED_VALUE"""),1333.25)</f>
        <v>1333.25</v>
      </c>
      <c r="F1886" s="9">
        <f>IFERROR(__xludf.DUMMYFUNCTION("""COMPUTED_VALUE"""),1337.0)</f>
        <v>1337</v>
      </c>
      <c r="G1886" s="9">
        <f>IFERROR(__xludf.DUMMYFUNCTION("""COMPUTED_VALUE"""),4435878.0)</f>
        <v>4435878</v>
      </c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</row>
    <row r="1887">
      <c r="A1887" s="1"/>
      <c r="B1887" s="22">
        <f>IFERROR(__xludf.DUMMYFUNCTION("""COMPUTED_VALUE"""),44336.64583333333)</f>
        <v>44336.64583</v>
      </c>
      <c r="C1887" s="9">
        <f>IFERROR(__xludf.DUMMYFUNCTION("""COMPUTED_VALUE"""),1348.4)</f>
        <v>1348.4</v>
      </c>
      <c r="D1887" s="9">
        <f>IFERROR(__xludf.DUMMYFUNCTION("""COMPUTED_VALUE"""),1349.1)</f>
        <v>1349.1</v>
      </c>
      <c r="E1887" s="9">
        <f>IFERROR(__xludf.DUMMYFUNCTION("""COMPUTED_VALUE"""),1335.0)</f>
        <v>1335</v>
      </c>
      <c r="F1887" s="9">
        <f>IFERROR(__xludf.DUMMYFUNCTION("""COMPUTED_VALUE"""),1339.3)</f>
        <v>1339.3</v>
      </c>
      <c r="G1887" s="9">
        <f>IFERROR(__xludf.DUMMYFUNCTION("""COMPUTED_VALUE"""),4490092.0)</f>
        <v>4490092</v>
      </c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</row>
    <row r="1888">
      <c r="A1888" s="1"/>
      <c r="B1888" s="22">
        <f>IFERROR(__xludf.DUMMYFUNCTION("""COMPUTED_VALUE"""),44337.64583333333)</f>
        <v>44337.64583</v>
      </c>
      <c r="C1888" s="9">
        <f>IFERROR(__xludf.DUMMYFUNCTION("""COMPUTED_VALUE"""),1347.5)</f>
        <v>1347.5</v>
      </c>
      <c r="D1888" s="9">
        <f>IFERROR(__xludf.DUMMYFUNCTION("""COMPUTED_VALUE"""),1357.5)</f>
        <v>1357.5</v>
      </c>
      <c r="E1888" s="9">
        <f>IFERROR(__xludf.DUMMYFUNCTION("""COMPUTED_VALUE"""),1346.35)</f>
        <v>1346.35</v>
      </c>
      <c r="F1888" s="9">
        <f>IFERROR(__xludf.DUMMYFUNCTION("""COMPUTED_VALUE"""),1354.5)</f>
        <v>1354.5</v>
      </c>
      <c r="G1888" s="9">
        <f>IFERROR(__xludf.DUMMYFUNCTION("""COMPUTED_VALUE"""),4969733.0)</f>
        <v>4969733</v>
      </c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</row>
    <row r="1889">
      <c r="A1889" s="1"/>
      <c r="B1889" s="22">
        <f>IFERROR(__xludf.DUMMYFUNCTION("""COMPUTED_VALUE"""),44340.64583333333)</f>
        <v>44340.64583</v>
      </c>
      <c r="C1889" s="9">
        <f>IFERROR(__xludf.DUMMYFUNCTION("""COMPUTED_VALUE"""),1356.65)</f>
        <v>1356.65</v>
      </c>
      <c r="D1889" s="9">
        <f>IFERROR(__xludf.DUMMYFUNCTION("""COMPUTED_VALUE"""),1363.0)</f>
        <v>1363</v>
      </c>
      <c r="E1889" s="9">
        <f>IFERROR(__xludf.DUMMYFUNCTION("""COMPUTED_VALUE"""),1345.1)</f>
        <v>1345.1</v>
      </c>
      <c r="F1889" s="9">
        <f>IFERROR(__xludf.DUMMYFUNCTION("""COMPUTED_VALUE"""),1348.05)</f>
        <v>1348.05</v>
      </c>
      <c r="G1889" s="9">
        <f>IFERROR(__xludf.DUMMYFUNCTION("""COMPUTED_VALUE"""),4225371.0)</f>
        <v>4225371</v>
      </c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</row>
    <row r="1890">
      <c r="A1890" s="1"/>
      <c r="B1890" s="22">
        <f>IFERROR(__xludf.DUMMYFUNCTION("""COMPUTED_VALUE"""),44341.64583333333)</f>
        <v>44341.64583</v>
      </c>
      <c r="C1890" s="9">
        <f>IFERROR(__xludf.DUMMYFUNCTION("""COMPUTED_VALUE"""),1358.0)</f>
        <v>1358</v>
      </c>
      <c r="D1890" s="9">
        <f>IFERROR(__xludf.DUMMYFUNCTION("""COMPUTED_VALUE"""),1368.0)</f>
        <v>1368</v>
      </c>
      <c r="E1890" s="9">
        <f>IFERROR(__xludf.DUMMYFUNCTION("""COMPUTED_VALUE"""),1354.45)</f>
        <v>1354.45</v>
      </c>
      <c r="F1890" s="9">
        <f>IFERROR(__xludf.DUMMYFUNCTION("""COMPUTED_VALUE"""),1361.6)</f>
        <v>1361.6</v>
      </c>
      <c r="G1890" s="9">
        <f>IFERROR(__xludf.DUMMYFUNCTION("""COMPUTED_VALUE"""),4099340.0)</f>
        <v>4099340</v>
      </c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</row>
    <row r="1891">
      <c r="A1891" s="1"/>
      <c r="B1891" s="22">
        <f>IFERROR(__xludf.DUMMYFUNCTION("""COMPUTED_VALUE"""),44342.64583333333)</f>
        <v>44342.64583</v>
      </c>
      <c r="C1891" s="9">
        <f>IFERROR(__xludf.DUMMYFUNCTION("""COMPUTED_VALUE"""),1367.9)</f>
        <v>1367.9</v>
      </c>
      <c r="D1891" s="9">
        <f>IFERROR(__xludf.DUMMYFUNCTION("""COMPUTED_VALUE"""),1400.0)</f>
        <v>1400</v>
      </c>
      <c r="E1891" s="9">
        <f>IFERROR(__xludf.DUMMYFUNCTION("""COMPUTED_VALUE"""),1362.05)</f>
        <v>1362.05</v>
      </c>
      <c r="F1891" s="9">
        <f>IFERROR(__xludf.DUMMYFUNCTION("""COMPUTED_VALUE"""),1397.25)</f>
        <v>1397.25</v>
      </c>
      <c r="G1891" s="9">
        <f>IFERROR(__xludf.DUMMYFUNCTION("""COMPUTED_VALUE"""),6850024.0)</f>
        <v>6850024</v>
      </c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</row>
    <row r="1892">
      <c r="A1892" s="1"/>
      <c r="B1892" s="22">
        <f>IFERROR(__xludf.DUMMYFUNCTION("""COMPUTED_VALUE"""),44343.64583333333)</f>
        <v>44343.64583</v>
      </c>
      <c r="C1892" s="9">
        <f>IFERROR(__xludf.DUMMYFUNCTION("""COMPUTED_VALUE"""),1404.2)</f>
        <v>1404.2</v>
      </c>
      <c r="D1892" s="9">
        <f>IFERROR(__xludf.DUMMYFUNCTION("""COMPUTED_VALUE"""),1416.25)</f>
        <v>1416.25</v>
      </c>
      <c r="E1892" s="9">
        <f>IFERROR(__xludf.DUMMYFUNCTION("""COMPUTED_VALUE"""),1391.7)</f>
        <v>1391.7</v>
      </c>
      <c r="F1892" s="9">
        <f>IFERROR(__xludf.DUMMYFUNCTION("""COMPUTED_VALUE"""),1402.25)</f>
        <v>1402.25</v>
      </c>
      <c r="G1892" s="9">
        <f>IFERROR(__xludf.DUMMYFUNCTION("""COMPUTED_VALUE"""),1.5365391E7)</f>
        <v>15365391</v>
      </c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</row>
    <row r="1893">
      <c r="A1893" s="1"/>
      <c r="B1893" s="22">
        <f>IFERROR(__xludf.DUMMYFUNCTION("""COMPUTED_VALUE"""),44344.64583333333)</f>
        <v>44344.64583</v>
      </c>
      <c r="C1893" s="9">
        <f>IFERROR(__xludf.DUMMYFUNCTION("""COMPUTED_VALUE"""),1409.75)</f>
        <v>1409.75</v>
      </c>
      <c r="D1893" s="9">
        <f>IFERROR(__xludf.DUMMYFUNCTION("""COMPUTED_VALUE"""),1414.0)</f>
        <v>1414</v>
      </c>
      <c r="E1893" s="9">
        <f>IFERROR(__xludf.DUMMYFUNCTION("""COMPUTED_VALUE"""),1396.1)</f>
        <v>1396.1</v>
      </c>
      <c r="F1893" s="9">
        <f>IFERROR(__xludf.DUMMYFUNCTION("""COMPUTED_VALUE"""),1405.05)</f>
        <v>1405.05</v>
      </c>
      <c r="G1893" s="9">
        <f>IFERROR(__xludf.DUMMYFUNCTION("""COMPUTED_VALUE"""),4261312.0)</f>
        <v>4261312</v>
      </c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</row>
    <row r="1894">
      <c r="A1894" s="1"/>
      <c r="B1894" s="22">
        <f>IFERROR(__xludf.DUMMYFUNCTION("""COMPUTED_VALUE"""),44347.64583333333)</f>
        <v>44347.64583</v>
      </c>
      <c r="C1894" s="9">
        <f>IFERROR(__xludf.DUMMYFUNCTION("""COMPUTED_VALUE"""),1401.5)</f>
        <v>1401.5</v>
      </c>
      <c r="D1894" s="9">
        <f>IFERROR(__xludf.DUMMYFUNCTION("""COMPUTED_VALUE"""),1401.5)</f>
        <v>1401.5</v>
      </c>
      <c r="E1894" s="9">
        <f>IFERROR(__xludf.DUMMYFUNCTION("""COMPUTED_VALUE"""),1383.0)</f>
        <v>1383</v>
      </c>
      <c r="F1894" s="9">
        <f>IFERROR(__xludf.DUMMYFUNCTION("""COMPUTED_VALUE"""),1393.75)</f>
        <v>1393.75</v>
      </c>
      <c r="G1894" s="9">
        <f>IFERROR(__xludf.DUMMYFUNCTION("""COMPUTED_VALUE"""),4429904.0)</f>
        <v>4429904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</row>
    <row r="1895">
      <c r="A1895" s="1"/>
      <c r="B1895" s="22">
        <f>IFERROR(__xludf.DUMMYFUNCTION("""COMPUTED_VALUE"""),44348.64583333333)</f>
        <v>44348.64583</v>
      </c>
      <c r="C1895" s="9">
        <f>IFERROR(__xludf.DUMMYFUNCTION("""COMPUTED_VALUE"""),1400.0)</f>
        <v>1400</v>
      </c>
      <c r="D1895" s="9">
        <f>IFERROR(__xludf.DUMMYFUNCTION("""COMPUTED_VALUE"""),1401.0)</f>
        <v>1401</v>
      </c>
      <c r="E1895" s="9">
        <f>IFERROR(__xludf.DUMMYFUNCTION("""COMPUTED_VALUE"""),1378.65)</f>
        <v>1378.65</v>
      </c>
      <c r="F1895" s="9">
        <f>IFERROR(__xludf.DUMMYFUNCTION("""COMPUTED_VALUE"""),1387.2)</f>
        <v>1387.2</v>
      </c>
      <c r="G1895" s="9">
        <f>IFERROR(__xludf.DUMMYFUNCTION("""COMPUTED_VALUE"""),4791325.0)</f>
        <v>4791325</v>
      </c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</row>
    <row r="1896">
      <c r="A1896" s="1"/>
      <c r="B1896" s="22">
        <f>IFERROR(__xludf.DUMMYFUNCTION("""COMPUTED_VALUE"""),44349.64583333333)</f>
        <v>44349.64583</v>
      </c>
      <c r="C1896" s="9">
        <f>IFERROR(__xludf.DUMMYFUNCTION("""COMPUTED_VALUE"""),1380.75)</f>
        <v>1380.75</v>
      </c>
      <c r="D1896" s="9">
        <f>IFERROR(__xludf.DUMMYFUNCTION("""COMPUTED_VALUE"""),1391.95)</f>
        <v>1391.95</v>
      </c>
      <c r="E1896" s="9">
        <f>IFERROR(__xludf.DUMMYFUNCTION("""COMPUTED_VALUE"""),1365.0)</f>
        <v>1365</v>
      </c>
      <c r="F1896" s="9">
        <f>IFERROR(__xludf.DUMMYFUNCTION("""COMPUTED_VALUE"""),1378.65)</f>
        <v>1378.65</v>
      </c>
      <c r="G1896" s="9">
        <f>IFERROR(__xludf.DUMMYFUNCTION("""COMPUTED_VALUE"""),9272276.0)</f>
        <v>9272276</v>
      </c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</row>
    <row r="1897">
      <c r="A1897" s="1"/>
      <c r="B1897" s="22">
        <f>IFERROR(__xludf.DUMMYFUNCTION("""COMPUTED_VALUE"""),44350.64583333333)</f>
        <v>44350.64583</v>
      </c>
      <c r="C1897" s="9">
        <f>IFERROR(__xludf.DUMMYFUNCTION("""COMPUTED_VALUE"""),1388.1)</f>
        <v>1388.1</v>
      </c>
      <c r="D1897" s="9">
        <f>IFERROR(__xludf.DUMMYFUNCTION("""COMPUTED_VALUE"""),1399.0)</f>
        <v>1399</v>
      </c>
      <c r="E1897" s="9">
        <f>IFERROR(__xludf.DUMMYFUNCTION("""COMPUTED_VALUE"""),1377.05)</f>
        <v>1377.05</v>
      </c>
      <c r="F1897" s="9">
        <f>IFERROR(__xludf.DUMMYFUNCTION("""COMPUTED_VALUE"""),1389.65)</f>
        <v>1389.65</v>
      </c>
      <c r="G1897" s="9">
        <f>IFERROR(__xludf.DUMMYFUNCTION("""COMPUTED_VALUE"""),5115645.0)</f>
        <v>5115645</v>
      </c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</row>
    <row r="1898">
      <c r="A1898" s="1"/>
      <c r="B1898" s="22">
        <f>IFERROR(__xludf.DUMMYFUNCTION("""COMPUTED_VALUE"""),44351.64583333333)</f>
        <v>44351.64583</v>
      </c>
      <c r="C1898" s="9">
        <f>IFERROR(__xludf.DUMMYFUNCTION("""COMPUTED_VALUE"""),1393.95)</f>
        <v>1393.95</v>
      </c>
      <c r="D1898" s="9">
        <f>IFERROR(__xludf.DUMMYFUNCTION("""COMPUTED_VALUE"""),1396.9)</f>
        <v>1396.9</v>
      </c>
      <c r="E1898" s="9">
        <f>IFERROR(__xludf.DUMMYFUNCTION("""COMPUTED_VALUE"""),1377.65)</f>
        <v>1377.65</v>
      </c>
      <c r="F1898" s="9">
        <f>IFERROR(__xludf.DUMMYFUNCTION("""COMPUTED_VALUE"""),1385.65)</f>
        <v>1385.65</v>
      </c>
      <c r="G1898" s="9">
        <f>IFERROR(__xludf.DUMMYFUNCTION("""COMPUTED_VALUE"""),4194328.0)</f>
        <v>4194328</v>
      </c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</row>
    <row r="1899">
      <c r="A1899" s="1"/>
      <c r="B1899" s="22">
        <f>IFERROR(__xludf.DUMMYFUNCTION("""COMPUTED_VALUE"""),44354.64583333333)</f>
        <v>44354.64583</v>
      </c>
      <c r="C1899" s="9">
        <f>IFERROR(__xludf.DUMMYFUNCTION("""COMPUTED_VALUE"""),1391.0)</f>
        <v>1391</v>
      </c>
      <c r="D1899" s="9">
        <f>IFERROR(__xludf.DUMMYFUNCTION("""COMPUTED_VALUE"""),1392.0)</f>
        <v>1392</v>
      </c>
      <c r="E1899" s="9">
        <f>IFERROR(__xludf.DUMMYFUNCTION("""COMPUTED_VALUE"""),1377.3)</f>
        <v>1377.3</v>
      </c>
      <c r="F1899" s="9">
        <f>IFERROR(__xludf.DUMMYFUNCTION("""COMPUTED_VALUE"""),1389.65)</f>
        <v>1389.65</v>
      </c>
      <c r="G1899" s="9">
        <f>IFERROR(__xludf.DUMMYFUNCTION("""COMPUTED_VALUE"""),5154576.0)</f>
        <v>5154576</v>
      </c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</row>
    <row r="1900">
      <c r="A1900" s="1"/>
      <c r="B1900" s="22">
        <f>IFERROR(__xludf.DUMMYFUNCTION("""COMPUTED_VALUE"""),44355.64583333333)</f>
        <v>44355.64583</v>
      </c>
      <c r="C1900" s="9">
        <f>IFERROR(__xludf.DUMMYFUNCTION("""COMPUTED_VALUE"""),1396.0)</f>
        <v>1396</v>
      </c>
      <c r="D1900" s="9">
        <f>IFERROR(__xludf.DUMMYFUNCTION("""COMPUTED_VALUE"""),1421.75)</f>
        <v>1421.75</v>
      </c>
      <c r="E1900" s="9">
        <f>IFERROR(__xludf.DUMMYFUNCTION("""COMPUTED_VALUE"""),1395.55)</f>
        <v>1395.55</v>
      </c>
      <c r="F1900" s="9">
        <f>IFERROR(__xludf.DUMMYFUNCTION("""COMPUTED_VALUE"""),1412.95)</f>
        <v>1412.95</v>
      </c>
      <c r="G1900" s="9">
        <f>IFERROR(__xludf.DUMMYFUNCTION("""COMPUTED_VALUE"""),7360630.0)</f>
        <v>7360630</v>
      </c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</row>
    <row r="1901">
      <c r="A1901" s="1"/>
      <c r="B1901" s="22">
        <f>IFERROR(__xludf.DUMMYFUNCTION("""COMPUTED_VALUE"""),44356.64583333333)</f>
        <v>44356.64583</v>
      </c>
      <c r="C1901" s="9">
        <f>IFERROR(__xludf.DUMMYFUNCTION("""COMPUTED_VALUE"""),1413.4)</f>
        <v>1413.4</v>
      </c>
      <c r="D1901" s="9">
        <f>IFERROR(__xludf.DUMMYFUNCTION("""COMPUTED_VALUE"""),1425.0)</f>
        <v>1425</v>
      </c>
      <c r="E1901" s="9">
        <f>IFERROR(__xludf.DUMMYFUNCTION("""COMPUTED_VALUE"""),1404.6)</f>
        <v>1404.6</v>
      </c>
      <c r="F1901" s="9">
        <f>IFERROR(__xludf.DUMMYFUNCTION("""COMPUTED_VALUE"""),1415.3)</f>
        <v>1415.3</v>
      </c>
      <c r="G1901" s="9">
        <f>IFERROR(__xludf.DUMMYFUNCTION("""COMPUTED_VALUE"""),5394317.0)</f>
        <v>5394317</v>
      </c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</row>
    <row r="1902">
      <c r="A1902" s="1"/>
      <c r="B1902" s="22">
        <f>IFERROR(__xludf.DUMMYFUNCTION("""COMPUTED_VALUE"""),44357.64583333333)</f>
        <v>44357.64583</v>
      </c>
      <c r="C1902" s="9">
        <f>IFERROR(__xludf.DUMMYFUNCTION("""COMPUTED_VALUE"""),1424.0)</f>
        <v>1424</v>
      </c>
      <c r="D1902" s="9">
        <f>IFERROR(__xludf.DUMMYFUNCTION("""COMPUTED_VALUE"""),1429.0)</f>
        <v>1429</v>
      </c>
      <c r="E1902" s="9">
        <f>IFERROR(__xludf.DUMMYFUNCTION("""COMPUTED_VALUE"""),1419.0)</f>
        <v>1419</v>
      </c>
      <c r="F1902" s="9">
        <f>IFERROR(__xludf.DUMMYFUNCTION("""COMPUTED_VALUE"""),1424.3)</f>
        <v>1424.3</v>
      </c>
      <c r="G1902" s="9">
        <f>IFERROR(__xludf.DUMMYFUNCTION("""COMPUTED_VALUE"""),3496575.0)</f>
        <v>3496575</v>
      </c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</row>
    <row r="1903">
      <c r="A1903" s="1"/>
      <c r="B1903" s="22">
        <f>IFERROR(__xludf.DUMMYFUNCTION("""COMPUTED_VALUE"""),44358.64583333333)</f>
        <v>44358.64583</v>
      </c>
      <c r="C1903" s="9">
        <f>IFERROR(__xludf.DUMMYFUNCTION("""COMPUTED_VALUE"""),1430.1)</f>
        <v>1430.1</v>
      </c>
      <c r="D1903" s="9">
        <f>IFERROR(__xludf.DUMMYFUNCTION("""COMPUTED_VALUE"""),1451.6)</f>
        <v>1451.6</v>
      </c>
      <c r="E1903" s="9">
        <f>IFERROR(__xludf.DUMMYFUNCTION("""COMPUTED_VALUE"""),1429.45)</f>
        <v>1429.45</v>
      </c>
      <c r="F1903" s="9">
        <f>IFERROR(__xludf.DUMMYFUNCTION("""COMPUTED_VALUE"""),1446.9)</f>
        <v>1446.9</v>
      </c>
      <c r="G1903" s="9">
        <f>IFERROR(__xludf.DUMMYFUNCTION("""COMPUTED_VALUE"""),6140828.0)</f>
        <v>6140828</v>
      </c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</row>
    <row r="1904">
      <c r="A1904" s="1"/>
      <c r="B1904" s="22">
        <f>IFERROR(__xludf.DUMMYFUNCTION("""COMPUTED_VALUE"""),44361.64583333333)</f>
        <v>44361.64583</v>
      </c>
      <c r="C1904" s="9">
        <f>IFERROR(__xludf.DUMMYFUNCTION("""COMPUTED_VALUE"""),1471.0)</f>
        <v>1471</v>
      </c>
      <c r="D1904" s="9">
        <f>IFERROR(__xludf.DUMMYFUNCTION("""COMPUTED_VALUE"""),1477.0)</f>
        <v>1477</v>
      </c>
      <c r="E1904" s="9">
        <f>IFERROR(__xludf.DUMMYFUNCTION("""COMPUTED_VALUE"""),1453.45)</f>
        <v>1453.45</v>
      </c>
      <c r="F1904" s="9">
        <f>IFERROR(__xludf.DUMMYFUNCTION("""COMPUTED_VALUE"""),1461.8)</f>
        <v>1461.8</v>
      </c>
      <c r="G1904" s="9">
        <f>IFERROR(__xludf.DUMMYFUNCTION("""COMPUTED_VALUE"""),7132294.0)</f>
        <v>7132294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</row>
    <row r="1905">
      <c r="A1905" s="1"/>
      <c r="B1905" s="22">
        <f>IFERROR(__xludf.DUMMYFUNCTION("""COMPUTED_VALUE"""),44362.64583333333)</f>
        <v>44362.64583</v>
      </c>
      <c r="C1905" s="9">
        <f>IFERROR(__xludf.DUMMYFUNCTION("""COMPUTED_VALUE"""),1464.0)</f>
        <v>1464</v>
      </c>
      <c r="D1905" s="9">
        <f>IFERROR(__xludf.DUMMYFUNCTION("""COMPUTED_VALUE"""),1476.0)</f>
        <v>1476</v>
      </c>
      <c r="E1905" s="9">
        <f>IFERROR(__xludf.DUMMYFUNCTION("""COMPUTED_VALUE"""),1463.0)</f>
        <v>1463</v>
      </c>
      <c r="F1905" s="9">
        <f>IFERROR(__xludf.DUMMYFUNCTION("""COMPUTED_VALUE"""),1473.9)</f>
        <v>1473.9</v>
      </c>
      <c r="G1905" s="9">
        <f>IFERROR(__xludf.DUMMYFUNCTION("""COMPUTED_VALUE"""),5403104.0)</f>
        <v>5403104</v>
      </c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</row>
    <row r="1906">
      <c r="A1906" s="1"/>
      <c r="B1906" s="22">
        <f>IFERROR(__xludf.DUMMYFUNCTION("""COMPUTED_VALUE"""),44363.64583333333)</f>
        <v>44363.64583</v>
      </c>
      <c r="C1906" s="9">
        <f>IFERROR(__xludf.DUMMYFUNCTION("""COMPUTED_VALUE"""),1472.7)</f>
        <v>1472.7</v>
      </c>
      <c r="D1906" s="9">
        <f>IFERROR(__xludf.DUMMYFUNCTION("""COMPUTED_VALUE"""),1489.45)</f>
        <v>1489.45</v>
      </c>
      <c r="E1906" s="9">
        <f>IFERROR(__xludf.DUMMYFUNCTION("""COMPUTED_VALUE"""),1467.5)</f>
        <v>1467.5</v>
      </c>
      <c r="F1906" s="9">
        <f>IFERROR(__xludf.DUMMYFUNCTION("""COMPUTED_VALUE"""),1480.6)</f>
        <v>1480.6</v>
      </c>
      <c r="G1906" s="9">
        <f>IFERROR(__xludf.DUMMYFUNCTION("""COMPUTED_VALUE"""),7661710.0)</f>
        <v>7661710</v>
      </c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</row>
    <row r="1907">
      <c r="A1907" s="1"/>
      <c r="B1907" s="22">
        <f>IFERROR(__xludf.DUMMYFUNCTION("""COMPUTED_VALUE"""),44364.64583333333)</f>
        <v>44364.64583</v>
      </c>
      <c r="C1907" s="9">
        <f>IFERROR(__xludf.DUMMYFUNCTION("""COMPUTED_VALUE"""),1475.1)</f>
        <v>1475.1</v>
      </c>
      <c r="D1907" s="9">
        <f>IFERROR(__xludf.DUMMYFUNCTION("""COMPUTED_VALUE"""),1502.65)</f>
        <v>1502.65</v>
      </c>
      <c r="E1907" s="9">
        <f>IFERROR(__xludf.DUMMYFUNCTION("""COMPUTED_VALUE"""),1475.1)</f>
        <v>1475.1</v>
      </c>
      <c r="F1907" s="9">
        <f>IFERROR(__xludf.DUMMYFUNCTION("""COMPUTED_VALUE"""),1495.3)</f>
        <v>1495.3</v>
      </c>
      <c r="G1907" s="9">
        <f>IFERROR(__xludf.DUMMYFUNCTION("""COMPUTED_VALUE"""),7677951.0)</f>
        <v>7677951</v>
      </c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</row>
    <row r="1908">
      <c r="A1908" s="1"/>
      <c r="B1908" s="22">
        <f>IFERROR(__xludf.DUMMYFUNCTION("""COMPUTED_VALUE"""),44365.64583333333)</f>
        <v>44365.64583</v>
      </c>
      <c r="C1908" s="9">
        <f>IFERROR(__xludf.DUMMYFUNCTION("""COMPUTED_VALUE"""),1509.0)</f>
        <v>1509</v>
      </c>
      <c r="D1908" s="9">
        <f>IFERROR(__xludf.DUMMYFUNCTION("""COMPUTED_VALUE"""),1515.8)</f>
        <v>1515.8</v>
      </c>
      <c r="E1908" s="9">
        <f>IFERROR(__xludf.DUMMYFUNCTION("""COMPUTED_VALUE"""),1487.4)</f>
        <v>1487.4</v>
      </c>
      <c r="F1908" s="9">
        <f>IFERROR(__xludf.DUMMYFUNCTION("""COMPUTED_VALUE"""),1503.3)</f>
        <v>1503.3</v>
      </c>
      <c r="G1908" s="9">
        <f>IFERROR(__xludf.DUMMYFUNCTION("""COMPUTED_VALUE"""),1.3533974E7)</f>
        <v>13533974</v>
      </c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</row>
    <row r="1909">
      <c r="A1909" s="1"/>
      <c r="B1909" s="22">
        <f>IFERROR(__xludf.DUMMYFUNCTION("""COMPUTED_VALUE"""),44368.64583333333)</f>
        <v>44368.64583</v>
      </c>
      <c r="C1909" s="9">
        <f>IFERROR(__xludf.DUMMYFUNCTION("""COMPUTED_VALUE"""),1493.0)</f>
        <v>1493</v>
      </c>
      <c r="D1909" s="9">
        <f>IFERROR(__xludf.DUMMYFUNCTION("""COMPUTED_VALUE"""),1505.8)</f>
        <v>1505.8</v>
      </c>
      <c r="E1909" s="9">
        <f>IFERROR(__xludf.DUMMYFUNCTION("""COMPUTED_VALUE"""),1484.2)</f>
        <v>1484.2</v>
      </c>
      <c r="F1909" s="9">
        <f>IFERROR(__xludf.DUMMYFUNCTION("""COMPUTED_VALUE"""),1500.3)</f>
        <v>1500.3</v>
      </c>
      <c r="G1909" s="9">
        <f>IFERROR(__xludf.DUMMYFUNCTION("""COMPUTED_VALUE"""),5454052.0)</f>
        <v>5454052</v>
      </c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</row>
    <row r="1910">
      <c r="A1910" s="1"/>
      <c r="B1910" s="22">
        <f>IFERROR(__xludf.DUMMYFUNCTION("""COMPUTED_VALUE"""),44369.64583333333)</f>
        <v>44369.64583</v>
      </c>
      <c r="C1910" s="9">
        <f>IFERROR(__xludf.DUMMYFUNCTION("""COMPUTED_VALUE"""),1509.7)</f>
        <v>1509.7</v>
      </c>
      <c r="D1910" s="9">
        <f>IFERROR(__xludf.DUMMYFUNCTION("""COMPUTED_VALUE"""),1521.45)</f>
        <v>1521.45</v>
      </c>
      <c r="E1910" s="9">
        <f>IFERROR(__xludf.DUMMYFUNCTION("""COMPUTED_VALUE"""),1502.1)</f>
        <v>1502.1</v>
      </c>
      <c r="F1910" s="9">
        <f>IFERROR(__xludf.DUMMYFUNCTION("""COMPUTED_VALUE"""),1511.85)</f>
        <v>1511.85</v>
      </c>
      <c r="G1910" s="9">
        <f>IFERROR(__xludf.DUMMYFUNCTION("""COMPUTED_VALUE"""),6427862.0)</f>
        <v>6427862</v>
      </c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</row>
    <row r="1911">
      <c r="A1911" s="1"/>
      <c r="B1911" s="22">
        <f>IFERROR(__xludf.DUMMYFUNCTION("""COMPUTED_VALUE"""),44370.64583333333)</f>
        <v>44370.64583</v>
      </c>
      <c r="C1911" s="9">
        <f>IFERROR(__xludf.DUMMYFUNCTION("""COMPUTED_VALUE"""),1525.0)</f>
        <v>1525</v>
      </c>
      <c r="D1911" s="9">
        <f>IFERROR(__xludf.DUMMYFUNCTION("""COMPUTED_VALUE"""),1525.0)</f>
        <v>1525</v>
      </c>
      <c r="E1911" s="9">
        <f>IFERROR(__xludf.DUMMYFUNCTION("""COMPUTED_VALUE"""),1498.65)</f>
        <v>1498.65</v>
      </c>
      <c r="F1911" s="9">
        <f>IFERROR(__xludf.DUMMYFUNCTION("""COMPUTED_VALUE"""),1503.15)</f>
        <v>1503.15</v>
      </c>
      <c r="G1911" s="9">
        <f>IFERROR(__xludf.DUMMYFUNCTION("""COMPUTED_VALUE"""),5529809.0)</f>
        <v>5529809</v>
      </c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</row>
    <row r="1912">
      <c r="A1912" s="1"/>
      <c r="B1912" s="22">
        <f>IFERROR(__xludf.DUMMYFUNCTION("""COMPUTED_VALUE"""),44371.64583333333)</f>
        <v>44371.64583</v>
      </c>
      <c r="C1912" s="9">
        <f>IFERROR(__xludf.DUMMYFUNCTION("""COMPUTED_VALUE"""),1517.0)</f>
        <v>1517</v>
      </c>
      <c r="D1912" s="9">
        <f>IFERROR(__xludf.DUMMYFUNCTION("""COMPUTED_VALUE"""),1568.75)</f>
        <v>1568.75</v>
      </c>
      <c r="E1912" s="9">
        <f>IFERROR(__xludf.DUMMYFUNCTION("""COMPUTED_VALUE"""),1511.2)</f>
        <v>1511.2</v>
      </c>
      <c r="F1912" s="9">
        <f>IFERROR(__xludf.DUMMYFUNCTION("""COMPUTED_VALUE"""),1559.2)</f>
        <v>1559.2</v>
      </c>
      <c r="G1912" s="9">
        <f>IFERROR(__xludf.DUMMYFUNCTION("""COMPUTED_VALUE"""),1.0785137E7)</f>
        <v>10785137</v>
      </c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</row>
    <row r="1913">
      <c r="A1913" s="1"/>
      <c r="B1913" s="22">
        <f>IFERROR(__xludf.DUMMYFUNCTION("""COMPUTED_VALUE"""),44372.64583333333)</f>
        <v>44372.64583</v>
      </c>
      <c r="C1913" s="9">
        <f>IFERROR(__xludf.DUMMYFUNCTION("""COMPUTED_VALUE"""),1572.0)</f>
        <v>1572</v>
      </c>
      <c r="D1913" s="9">
        <f>IFERROR(__xludf.DUMMYFUNCTION("""COMPUTED_VALUE"""),1578.0)</f>
        <v>1578</v>
      </c>
      <c r="E1913" s="9">
        <f>IFERROR(__xludf.DUMMYFUNCTION("""COMPUTED_VALUE"""),1543.0)</f>
        <v>1543</v>
      </c>
      <c r="F1913" s="9">
        <f>IFERROR(__xludf.DUMMYFUNCTION("""COMPUTED_VALUE"""),1574.2)</f>
        <v>1574.2</v>
      </c>
      <c r="G1913" s="9">
        <f>IFERROR(__xludf.DUMMYFUNCTION("""COMPUTED_VALUE"""),9780240.0)</f>
        <v>9780240</v>
      </c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</row>
    <row r="1914">
      <c r="A1914" s="1"/>
      <c r="B1914" s="22">
        <f>IFERROR(__xludf.DUMMYFUNCTION("""COMPUTED_VALUE"""),44375.64583333333)</f>
        <v>44375.64583</v>
      </c>
      <c r="C1914" s="9">
        <f>IFERROR(__xludf.DUMMYFUNCTION("""COMPUTED_VALUE"""),1572.9)</f>
        <v>1572.9</v>
      </c>
      <c r="D1914" s="9">
        <f>IFERROR(__xludf.DUMMYFUNCTION("""COMPUTED_VALUE"""),1580.15)</f>
        <v>1580.15</v>
      </c>
      <c r="E1914" s="9">
        <f>IFERROR(__xludf.DUMMYFUNCTION("""COMPUTED_VALUE"""),1560.6)</f>
        <v>1560.6</v>
      </c>
      <c r="F1914" s="9">
        <f>IFERROR(__xludf.DUMMYFUNCTION("""COMPUTED_VALUE"""),1571.8)</f>
        <v>1571.8</v>
      </c>
      <c r="G1914" s="9">
        <f>IFERROR(__xludf.DUMMYFUNCTION("""COMPUTED_VALUE"""),5019178.0)</f>
        <v>5019178</v>
      </c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</row>
    <row r="1915">
      <c r="A1915" s="1"/>
      <c r="B1915" s="22">
        <f>IFERROR(__xludf.DUMMYFUNCTION("""COMPUTED_VALUE"""),44376.64583333333)</f>
        <v>44376.64583</v>
      </c>
      <c r="C1915" s="9">
        <f>IFERROR(__xludf.DUMMYFUNCTION("""COMPUTED_VALUE"""),1561.0)</f>
        <v>1561</v>
      </c>
      <c r="D1915" s="9">
        <f>IFERROR(__xludf.DUMMYFUNCTION("""COMPUTED_VALUE"""),1573.65)</f>
        <v>1573.65</v>
      </c>
      <c r="E1915" s="9">
        <f>IFERROR(__xludf.DUMMYFUNCTION("""COMPUTED_VALUE"""),1559.2)</f>
        <v>1559.2</v>
      </c>
      <c r="F1915" s="9">
        <f>IFERROR(__xludf.DUMMYFUNCTION("""COMPUTED_VALUE"""),1563.05)</f>
        <v>1563.05</v>
      </c>
      <c r="G1915" s="9">
        <f>IFERROR(__xludf.DUMMYFUNCTION("""COMPUTED_VALUE"""),5913567.0)</f>
        <v>5913567</v>
      </c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</row>
    <row r="1916">
      <c r="A1916" s="1"/>
      <c r="B1916" s="22">
        <f>IFERROR(__xludf.DUMMYFUNCTION("""COMPUTED_VALUE"""),44377.64583333333)</f>
        <v>44377.64583</v>
      </c>
      <c r="C1916" s="9">
        <f>IFERROR(__xludf.DUMMYFUNCTION("""COMPUTED_VALUE"""),1572.05)</f>
        <v>1572.05</v>
      </c>
      <c r="D1916" s="9">
        <f>IFERROR(__xludf.DUMMYFUNCTION("""COMPUTED_VALUE"""),1591.0)</f>
        <v>1591</v>
      </c>
      <c r="E1916" s="9">
        <f>IFERROR(__xludf.DUMMYFUNCTION("""COMPUTED_VALUE"""),1572.05)</f>
        <v>1572.05</v>
      </c>
      <c r="F1916" s="9">
        <f>IFERROR(__xludf.DUMMYFUNCTION("""COMPUTED_VALUE"""),1580.8)</f>
        <v>1580.8</v>
      </c>
      <c r="G1916" s="9">
        <f>IFERROR(__xludf.DUMMYFUNCTION("""COMPUTED_VALUE"""),6058722.0)</f>
        <v>6058722</v>
      </c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</row>
    <row r="1917">
      <c r="A1917" s="1"/>
      <c r="B1917" s="22">
        <f>IFERROR(__xludf.DUMMYFUNCTION("""COMPUTED_VALUE"""),44378.64583333333)</f>
        <v>44378.64583</v>
      </c>
      <c r="C1917" s="9">
        <f>IFERROR(__xludf.DUMMYFUNCTION("""COMPUTED_VALUE"""),1576.85)</f>
        <v>1576.85</v>
      </c>
      <c r="D1917" s="9">
        <f>IFERROR(__xludf.DUMMYFUNCTION("""COMPUTED_VALUE"""),1576.85)</f>
        <v>1576.85</v>
      </c>
      <c r="E1917" s="9">
        <f>IFERROR(__xludf.DUMMYFUNCTION("""COMPUTED_VALUE"""),1559.05)</f>
        <v>1559.05</v>
      </c>
      <c r="F1917" s="9">
        <f>IFERROR(__xludf.DUMMYFUNCTION("""COMPUTED_VALUE"""),1560.4)</f>
        <v>1560.4</v>
      </c>
      <c r="G1917" s="9">
        <f>IFERROR(__xludf.DUMMYFUNCTION("""COMPUTED_VALUE"""),4814317.0)</f>
        <v>4814317</v>
      </c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</row>
    <row r="1918">
      <c r="A1918" s="1"/>
      <c r="B1918" s="22">
        <f>IFERROR(__xludf.DUMMYFUNCTION("""COMPUTED_VALUE"""),44379.64583333333)</f>
        <v>44379.64583</v>
      </c>
      <c r="C1918" s="9">
        <f>IFERROR(__xludf.DUMMYFUNCTION("""COMPUTED_VALUE"""),1558.95)</f>
        <v>1558.95</v>
      </c>
      <c r="D1918" s="9">
        <f>IFERROR(__xludf.DUMMYFUNCTION("""COMPUTED_VALUE"""),1569.45)</f>
        <v>1569.45</v>
      </c>
      <c r="E1918" s="9">
        <f>IFERROR(__xludf.DUMMYFUNCTION("""COMPUTED_VALUE"""),1542.6)</f>
        <v>1542.6</v>
      </c>
      <c r="F1918" s="9">
        <f>IFERROR(__xludf.DUMMYFUNCTION("""COMPUTED_VALUE"""),1567.8)</f>
        <v>1567.8</v>
      </c>
      <c r="G1918" s="9">
        <f>IFERROR(__xludf.DUMMYFUNCTION("""COMPUTED_VALUE"""),5166064.0)</f>
        <v>5166064</v>
      </c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</row>
    <row r="1919">
      <c r="A1919" s="1"/>
      <c r="B1919" s="22">
        <f>IFERROR(__xludf.DUMMYFUNCTION("""COMPUTED_VALUE"""),44382.64583333333)</f>
        <v>44382.64583</v>
      </c>
      <c r="C1919" s="9">
        <f>IFERROR(__xludf.DUMMYFUNCTION("""COMPUTED_VALUE"""),1569.15)</f>
        <v>1569.15</v>
      </c>
      <c r="D1919" s="9">
        <f>IFERROR(__xludf.DUMMYFUNCTION("""COMPUTED_VALUE"""),1585.0)</f>
        <v>1585</v>
      </c>
      <c r="E1919" s="9">
        <f>IFERROR(__xludf.DUMMYFUNCTION("""COMPUTED_VALUE"""),1561.05)</f>
        <v>1561.05</v>
      </c>
      <c r="F1919" s="9">
        <f>IFERROR(__xludf.DUMMYFUNCTION("""COMPUTED_VALUE"""),1578.95)</f>
        <v>1578.95</v>
      </c>
      <c r="G1919" s="9">
        <f>IFERROR(__xludf.DUMMYFUNCTION("""COMPUTED_VALUE"""),4058338.0)</f>
        <v>4058338</v>
      </c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</row>
    <row r="1920">
      <c r="A1920" s="1"/>
      <c r="B1920" s="22">
        <f>IFERROR(__xludf.DUMMYFUNCTION("""COMPUTED_VALUE"""),44383.64583333333)</f>
        <v>44383.64583</v>
      </c>
      <c r="C1920" s="9">
        <f>IFERROR(__xludf.DUMMYFUNCTION("""COMPUTED_VALUE"""),1573.7)</f>
        <v>1573.7</v>
      </c>
      <c r="D1920" s="9">
        <f>IFERROR(__xludf.DUMMYFUNCTION("""COMPUTED_VALUE"""),1586.75)</f>
        <v>1586.75</v>
      </c>
      <c r="E1920" s="9">
        <f>IFERROR(__xludf.DUMMYFUNCTION("""COMPUTED_VALUE"""),1557.1)</f>
        <v>1557.1</v>
      </c>
      <c r="F1920" s="9">
        <f>IFERROR(__xludf.DUMMYFUNCTION("""COMPUTED_VALUE"""),1562.2)</f>
        <v>1562.2</v>
      </c>
      <c r="G1920" s="9">
        <f>IFERROR(__xludf.DUMMYFUNCTION("""COMPUTED_VALUE"""),4089574.0)</f>
        <v>4089574</v>
      </c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</row>
    <row r="1921">
      <c r="A1921" s="1"/>
      <c r="B1921" s="22">
        <f>IFERROR(__xludf.DUMMYFUNCTION("""COMPUTED_VALUE"""),44384.64583333333)</f>
        <v>44384.64583</v>
      </c>
      <c r="C1921" s="9">
        <f>IFERROR(__xludf.DUMMYFUNCTION("""COMPUTED_VALUE"""),1566.05)</f>
        <v>1566.05</v>
      </c>
      <c r="D1921" s="9">
        <f>IFERROR(__xludf.DUMMYFUNCTION("""COMPUTED_VALUE"""),1570.55)</f>
        <v>1570.55</v>
      </c>
      <c r="E1921" s="9">
        <f>IFERROR(__xludf.DUMMYFUNCTION("""COMPUTED_VALUE"""),1544.65)</f>
        <v>1544.65</v>
      </c>
      <c r="F1921" s="9">
        <f>IFERROR(__xludf.DUMMYFUNCTION("""COMPUTED_VALUE"""),1564.6)</f>
        <v>1564.6</v>
      </c>
      <c r="G1921" s="9">
        <f>IFERROR(__xludf.DUMMYFUNCTION("""COMPUTED_VALUE"""),4797120.0)</f>
        <v>4797120</v>
      </c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</row>
    <row r="1922">
      <c r="A1922" s="1"/>
      <c r="B1922" s="22">
        <f>IFERROR(__xludf.DUMMYFUNCTION("""COMPUTED_VALUE"""),44385.64583333333)</f>
        <v>44385.64583</v>
      </c>
      <c r="C1922" s="9">
        <f>IFERROR(__xludf.DUMMYFUNCTION("""COMPUTED_VALUE"""),1568.0)</f>
        <v>1568</v>
      </c>
      <c r="D1922" s="9">
        <f>IFERROR(__xludf.DUMMYFUNCTION("""COMPUTED_VALUE"""),1576.0)</f>
        <v>1576</v>
      </c>
      <c r="E1922" s="9">
        <f>IFERROR(__xludf.DUMMYFUNCTION("""COMPUTED_VALUE"""),1549.0)</f>
        <v>1549</v>
      </c>
      <c r="F1922" s="9">
        <f>IFERROR(__xludf.DUMMYFUNCTION("""COMPUTED_VALUE"""),1560.75)</f>
        <v>1560.75</v>
      </c>
      <c r="G1922" s="9">
        <f>IFERROR(__xludf.DUMMYFUNCTION("""COMPUTED_VALUE"""),3326813.0)</f>
        <v>3326813</v>
      </c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</row>
    <row r="1923">
      <c r="A1923" s="1"/>
      <c r="B1923" s="22">
        <f>IFERROR(__xludf.DUMMYFUNCTION("""COMPUTED_VALUE"""),44386.64583333333)</f>
        <v>44386.64583</v>
      </c>
      <c r="C1923" s="9">
        <f>IFERROR(__xludf.DUMMYFUNCTION("""COMPUTED_VALUE"""),1556.0)</f>
        <v>1556</v>
      </c>
      <c r="D1923" s="9">
        <f>IFERROR(__xludf.DUMMYFUNCTION("""COMPUTED_VALUE"""),1569.9)</f>
        <v>1569.9</v>
      </c>
      <c r="E1923" s="9">
        <f>IFERROR(__xludf.DUMMYFUNCTION("""COMPUTED_VALUE"""),1551.0)</f>
        <v>1551</v>
      </c>
      <c r="F1923" s="9">
        <f>IFERROR(__xludf.DUMMYFUNCTION("""COMPUTED_VALUE"""),1562.9)</f>
        <v>1562.9</v>
      </c>
      <c r="G1923" s="9">
        <f>IFERROR(__xludf.DUMMYFUNCTION("""COMPUTED_VALUE"""),3436594.0)</f>
        <v>3436594</v>
      </c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</row>
    <row r="1924">
      <c r="A1924" s="1"/>
      <c r="B1924" s="22">
        <f>IFERROR(__xludf.DUMMYFUNCTION("""COMPUTED_VALUE"""),44389.64583333333)</f>
        <v>44389.64583</v>
      </c>
      <c r="C1924" s="9">
        <f>IFERROR(__xludf.DUMMYFUNCTION("""COMPUTED_VALUE"""),1570.55)</f>
        <v>1570.55</v>
      </c>
      <c r="D1924" s="9">
        <f>IFERROR(__xludf.DUMMYFUNCTION("""COMPUTED_VALUE"""),1578.0)</f>
        <v>1578</v>
      </c>
      <c r="E1924" s="9">
        <f>IFERROR(__xludf.DUMMYFUNCTION("""COMPUTED_VALUE"""),1533.75)</f>
        <v>1533.75</v>
      </c>
      <c r="F1924" s="9">
        <f>IFERROR(__xludf.DUMMYFUNCTION("""COMPUTED_VALUE"""),1547.85)</f>
        <v>1547.85</v>
      </c>
      <c r="G1924" s="9">
        <f>IFERROR(__xludf.DUMMYFUNCTION("""COMPUTED_VALUE"""),4588982.0)</f>
        <v>4588982</v>
      </c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</row>
    <row r="1925">
      <c r="A1925" s="1"/>
      <c r="B1925" s="22">
        <f>IFERROR(__xludf.DUMMYFUNCTION("""COMPUTED_VALUE"""),44390.64583333333)</f>
        <v>44390.64583</v>
      </c>
      <c r="C1925" s="9">
        <f>IFERROR(__xludf.DUMMYFUNCTION("""COMPUTED_VALUE"""),1556.4)</f>
        <v>1556.4</v>
      </c>
      <c r="D1925" s="9">
        <f>IFERROR(__xludf.DUMMYFUNCTION("""COMPUTED_VALUE"""),1556.4)</f>
        <v>1556.4</v>
      </c>
      <c r="E1925" s="9">
        <f>IFERROR(__xludf.DUMMYFUNCTION("""COMPUTED_VALUE"""),1536.3)</f>
        <v>1536.3</v>
      </c>
      <c r="F1925" s="9">
        <f>IFERROR(__xludf.DUMMYFUNCTION("""COMPUTED_VALUE"""),1544.95)</f>
        <v>1544.95</v>
      </c>
      <c r="G1925" s="9">
        <f>IFERROR(__xludf.DUMMYFUNCTION("""COMPUTED_VALUE"""),4456160.0)</f>
        <v>4456160</v>
      </c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</row>
    <row r="1926">
      <c r="A1926" s="1"/>
      <c r="B1926" s="22">
        <f>IFERROR(__xludf.DUMMYFUNCTION("""COMPUTED_VALUE"""),44391.64583333333)</f>
        <v>44391.64583</v>
      </c>
      <c r="C1926" s="9">
        <f>IFERROR(__xludf.DUMMYFUNCTION("""COMPUTED_VALUE"""),1554.0)</f>
        <v>1554</v>
      </c>
      <c r="D1926" s="9">
        <f>IFERROR(__xludf.DUMMYFUNCTION("""COMPUTED_VALUE"""),1582.8)</f>
        <v>1582.8</v>
      </c>
      <c r="E1926" s="9">
        <f>IFERROR(__xludf.DUMMYFUNCTION("""COMPUTED_VALUE"""),1538.1)</f>
        <v>1538.1</v>
      </c>
      <c r="F1926" s="9">
        <f>IFERROR(__xludf.DUMMYFUNCTION("""COMPUTED_VALUE"""),1576.9)</f>
        <v>1576.9</v>
      </c>
      <c r="G1926" s="9">
        <f>IFERROR(__xludf.DUMMYFUNCTION("""COMPUTED_VALUE"""),5657716.0)</f>
        <v>5657716</v>
      </c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</row>
    <row r="1927">
      <c r="A1927" s="1"/>
      <c r="B1927" s="22">
        <f>IFERROR(__xludf.DUMMYFUNCTION("""COMPUTED_VALUE"""),44392.64583333333)</f>
        <v>44392.64583</v>
      </c>
      <c r="C1927" s="9">
        <f>IFERROR(__xludf.DUMMYFUNCTION("""COMPUTED_VALUE"""),1557.9)</f>
        <v>1557.9</v>
      </c>
      <c r="D1927" s="9">
        <f>IFERROR(__xludf.DUMMYFUNCTION("""COMPUTED_VALUE"""),1596.85)</f>
        <v>1596.85</v>
      </c>
      <c r="E1927" s="9">
        <f>IFERROR(__xludf.DUMMYFUNCTION("""COMPUTED_VALUE"""),1556.0)</f>
        <v>1556</v>
      </c>
      <c r="F1927" s="9">
        <f>IFERROR(__xludf.DUMMYFUNCTION("""COMPUTED_VALUE"""),1580.8)</f>
        <v>1580.8</v>
      </c>
      <c r="G1927" s="9">
        <f>IFERROR(__xludf.DUMMYFUNCTION("""COMPUTED_VALUE"""),1.0021355E7)</f>
        <v>10021355</v>
      </c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</row>
    <row r="1928">
      <c r="A1928" s="1"/>
      <c r="B1928" s="22">
        <f>IFERROR(__xludf.DUMMYFUNCTION("""COMPUTED_VALUE"""),44393.64583333333)</f>
        <v>44393.64583</v>
      </c>
      <c r="C1928" s="9">
        <f>IFERROR(__xludf.DUMMYFUNCTION("""COMPUTED_VALUE"""),1573.75)</f>
        <v>1573.75</v>
      </c>
      <c r="D1928" s="9">
        <f>IFERROR(__xludf.DUMMYFUNCTION("""COMPUTED_VALUE"""),1574.65)</f>
        <v>1574.65</v>
      </c>
      <c r="E1928" s="9">
        <f>IFERROR(__xludf.DUMMYFUNCTION("""COMPUTED_VALUE"""),1549.6)</f>
        <v>1549.6</v>
      </c>
      <c r="F1928" s="9">
        <f>IFERROR(__xludf.DUMMYFUNCTION("""COMPUTED_VALUE"""),1555.45)</f>
        <v>1555.45</v>
      </c>
      <c r="G1928" s="9">
        <f>IFERROR(__xludf.DUMMYFUNCTION("""COMPUTED_VALUE"""),6265593.0)</f>
        <v>6265593</v>
      </c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</row>
    <row r="1929">
      <c r="A1929" s="1"/>
      <c r="B1929" s="22">
        <f>IFERROR(__xludf.DUMMYFUNCTION("""COMPUTED_VALUE"""),44396.64583333333)</f>
        <v>44396.64583</v>
      </c>
      <c r="C1929" s="9">
        <f>IFERROR(__xludf.DUMMYFUNCTION("""COMPUTED_VALUE"""),1544.7)</f>
        <v>1544.7</v>
      </c>
      <c r="D1929" s="9">
        <f>IFERROR(__xludf.DUMMYFUNCTION("""COMPUTED_VALUE"""),1552.9)</f>
        <v>1552.9</v>
      </c>
      <c r="E1929" s="9">
        <f>IFERROR(__xludf.DUMMYFUNCTION("""COMPUTED_VALUE"""),1537.55)</f>
        <v>1537.55</v>
      </c>
      <c r="F1929" s="9">
        <f>IFERROR(__xludf.DUMMYFUNCTION("""COMPUTED_VALUE"""),1541.7)</f>
        <v>1541.7</v>
      </c>
      <c r="G1929" s="9">
        <f>IFERROR(__xludf.DUMMYFUNCTION("""COMPUTED_VALUE"""),5669162.0)</f>
        <v>5669162</v>
      </c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</row>
    <row r="1930">
      <c r="A1930" s="1"/>
      <c r="B1930" s="22">
        <f>IFERROR(__xludf.DUMMYFUNCTION("""COMPUTED_VALUE"""),44397.64583333333)</f>
        <v>44397.64583</v>
      </c>
      <c r="C1930" s="9">
        <f>IFERROR(__xludf.DUMMYFUNCTION("""COMPUTED_VALUE"""),1538.3)</f>
        <v>1538.3</v>
      </c>
      <c r="D1930" s="9">
        <f>IFERROR(__xludf.DUMMYFUNCTION("""COMPUTED_VALUE"""),1557.7)</f>
        <v>1557.7</v>
      </c>
      <c r="E1930" s="9">
        <f>IFERROR(__xludf.DUMMYFUNCTION("""COMPUTED_VALUE"""),1538.0)</f>
        <v>1538</v>
      </c>
      <c r="F1930" s="9">
        <f>IFERROR(__xludf.DUMMYFUNCTION("""COMPUTED_VALUE"""),1550.05)</f>
        <v>1550.05</v>
      </c>
      <c r="G1930" s="9">
        <f>IFERROR(__xludf.DUMMYFUNCTION("""COMPUTED_VALUE"""),5069939.0)</f>
        <v>5069939</v>
      </c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</row>
    <row r="1931">
      <c r="A1931" s="1"/>
      <c r="B1931" s="22">
        <f>IFERROR(__xludf.DUMMYFUNCTION("""COMPUTED_VALUE"""),44399.64583333333)</f>
        <v>44399.64583</v>
      </c>
      <c r="C1931" s="9">
        <f>IFERROR(__xludf.DUMMYFUNCTION("""COMPUTED_VALUE"""),1561.4)</f>
        <v>1561.4</v>
      </c>
      <c r="D1931" s="9">
        <f>IFERROR(__xludf.DUMMYFUNCTION("""COMPUTED_VALUE"""),1592.85)</f>
        <v>1592.85</v>
      </c>
      <c r="E1931" s="9">
        <f>IFERROR(__xludf.DUMMYFUNCTION("""COMPUTED_VALUE"""),1561.4)</f>
        <v>1561.4</v>
      </c>
      <c r="F1931" s="9">
        <f>IFERROR(__xludf.DUMMYFUNCTION("""COMPUTED_VALUE"""),1590.2)</f>
        <v>1590.2</v>
      </c>
      <c r="G1931" s="9">
        <f>IFERROR(__xludf.DUMMYFUNCTION("""COMPUTED_VALUE"""),7854575.0)</f>
        <v>7854575</v>
      </c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</row>
    <row r="1932">
      <c r="A1932" s="1"/>
      <c r="B1932" s="22">
        <f>IFERROR(__xludf.DUMMYFUNCTION("""COMPUTED_VALUE"""),44400.64583333333)</f>
        <v>44400.64583</v>
      </c>
      <c r="C1932" s="9">
        <f>IFERROR(__xludf.DUMMYFUNCTION("""COMPUTED_VALUE"""),1588.55)</f>
        <v>1588.55</v>
      </c>
      <c r="D1932" s="9">
        <f>IFERROR(__xludf.DUMMYFUNCTION("""COMPUTED_VALUE"""),1598.5)</f>
        <v>1598.5</v>
      </c>
      <c r="E1932" s="9">
        <f>IFERROR(__xludf.DUMMYFUNCTION("""COMPUTED_VALUE"""),1585.05)</f>
        <v>1585.05</v>
      </c>
      <c r="F1932" s="9">
        <f>IFERROR(__xludf.DUMMYFUNCTION("""COMPUTED_VALUE"""),1590.45)</f>
        <v>1590.45</v>
      </c>
      <c r="G1932" s="9">
        <f>IFERROR(__xludf.DUMMYFUNCTION("""COMPUTED_VALUE"""),4179719.0)</f>
        <v>4179719</v>
      </c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</row>
    <row r="1933">
      <c r="A1933" s="1"/>
      <c r="B1933" s="22">
        <f>IFERROR(__xludf.DUMMYFUNCTION("""COMPUTED_VALUE"""),44403.64583333333)</f>
        <v>44403.64583</v>
      </c>
      <c r="C1933" s="9">
        <f>IFERROR(__xludf.DUMMYFUNCTION("""COMPUTED_VALUE"""),1594.1)</f>
        <v>1594.1</v>
      </c>
      <c r="D1933" s="9">
        <f>IFERROR(__xludf.DUMMYFUNCTION("""COMPUTED_VALUE"""),1611.65)</f>
        <v>1611.65</v>
      </c>
      <c r="E1933" s="9">
        <f>IFERROR(__xludf.DUMMYFUNCTION("""COMPUTED_VALUE"""),1594.1)</f>
        <v>1594.1</v>
      </c>
      <c r="F1933" s="9">
        <f>IFERROR(__xludf.DUMMYFUNCTION("""COMPUTED_VALUE"""),1603.9)</f>
        <v>1603.9</v>
      </c>
      <c r="G1933" s="9">
        <f>IFERROR(__xludf.DUMMYFUNCTION("""COMPUTED_VALUE"""),4586710.0)</f>
        <v>4586710</v>
      </c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</row>
    <row r="1934">
      <c r="A1934" s="1"/>
      <c r="B1934" s="22">
        <f>IFERROR(__xludf.DUMMYFUNCTION("""COMPUTED_VALUE"""),44404.64583333333)</f>
        <v>44404.64583</v>
      </c>
      <c r="C1934" s="9">
        <f>IFERROR(__xludf.DUMMYFUNCTION("""COMPUTED_VALUE"""),1605.0)</f>
        <v>1605</v>
      </c>
      <c r="D1934" s="9">
        <f>IFERROR(__xludf.DUMMYFUNCTION("""COMPUTED_VALUE"""),1609.3)</f>
        <v>1609.3</v>
      </c>
      <c r="E1934" s="9">
        <f>IFERROR(__xludf.DUMMYFUNCTION("""COMPUTED_VALUE"""),1597.9)</f>
        <v>1597.9</v>
      </c>
      <c r="F1934" s="9">
        <f>IFERROR(__xludf.DUMMYFUNCTION("""COMPUTED_VALUE"""),1602.55)</f>
        <v>1602.55</v>
      </c>
      <c r="G1934" s="9">
        <f>IFERROR(__xludf.DUMMYFUNCTION("""COMPUTED_VALUE"""),5892859.0)</f>
        <v>5892859</v>
      </c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</row>
    <row r="1935">
      <c r="A1935" s="1"/>
      <c r="B1935" s="22">
        <f>IFERROR(__xludf.DUMMYFUNCTION("""COMPUTED_VALUE"""),44405.64583333333)</f>
        <v>44405.64583</v>
      </c>
      <c r="C1935" s="9">
        <f>IFERROR(__xludf.DUMMYFUNCTION("""COMPUTED_VALUE"""),1605.1)</f>
        <v>1605.1</v>
      </c>
      <c r="D1935" s="9">
        <f>IFERROR(__xludf.DUMMYFUNCTION("""COMPUTED_VALUE"""),1607.6)</f>
        <v>1607.6</v>
      </c>
      <c r="E1935" s="9">
        <f>IFERROR(__xludf.DUMMYFUNCTION("""COMPUTED_VALUE"""),1585.5)</f>
        <v>1585.5</v>
      </c>
      <c r="F1935" s="9">
        <f>IFERROR(__xludf.DUMMYFUNCTION("""COMPUTED_VALUE"""),1605.6)</f>
        <v>1605.6</v>
      </c>
      <c r="G1935" s="9">
        <f>IFERROR(__xludf.DUMMYFUNCTION("""COMPUTED_VALUE"""),4686788.0)</f>
        <v>4686788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</row>
    <row r="1936">
      <c r="A1936" s="1"/>
      <c r="B1936" s="22">
        <f>IFERROR(__xludf.DUMMYFUNCTION("""COMPUTED_VALUE"""),44406.64583333333)</f>
        <v>44406.64583</v>
      </c>
      <c r="C1936" s="9">
        <f>IFERROR(__xludf.DUMMYFUNCTION("""COMPUTED_VALUE"""),1600.1)</f>
        <v>1600.1</v>
      </c>
      <c r="D1936" s="9">
        <f>IFERROR(__xludf.DUMMYFUNCTION("""COMPUTED_VALUE"""),1620.0)</f>
        <v>1620</v>
      </c>
      <c r="E1936" s="9">
        <f>IFERROR(__xludf.DUMMYFUNCTION("""COMPUTED_VALUE"""),1600.1)</f>
        <v>1600.1</v>
      </c>
      <c r="F1936" s="9">
        <f>IFERROR(__xludf.DUMMYFUNCTION("""COMPUTED_VALUE"""),1617.0)</f>
        <v>1617</v>
      </c>
      <c r="G1936" s="9">
        <f>IFERROR(__xludf.DUMMYFUNCTION("""COMPUTED_VALUE"""),4660873.0)</f>
        <v>4660873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</row>
    <row r="1937">
      <c r="A1937" s="1"/>
      <c r="B1937" s="22">
        <f>IFERROR(__xludf.DUMMYFUNCTION("""COMPUTED_VALUE"""),44407.64583333333)</f>
        <v>44407.64583</v>
      </c>
      <c r="C1937" s="9">
        <f>IFERROR(__xludf.DUMMYFUNCTION("""COMPUTED_VALUE"""),1610.0)</f>
        <v>1610</v>
      </c>
      <c r="D1937" s="9">
        <f>IFERROR(__xludf.DUMMYFUNCTION("""COMPUTED_VALUE"""),1623.4)</f>
        <v>1623.4</v>
      </c>
      <c r="E1937" s="9">
        <f>IFERROR(__xludf.DUMMYFUNCTION("""COMPUTED_VALUE"""),1606.15)</f>
        <v>1606.15</v>
      </c>
      <c r="F1937" s="9">
        <f>IFERROR(__xludf.DUMMYFUNCTION("""COMPUTED_VALUE"""),1610.5)</f>
        <v>1610.5</v>
      </c>
      <c r="G1937" s="9">
        <f>IFERROR(__xludf.DUMMYFUNCTION("""COMPUTED_VALUE"""),6234257.0)</f>
        <v>6234257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</row>
    <row r="1938">
      <c r="A1938" s="1"/>
      <c r="B1938" s="22">
        <f>IFERROR(__xludf.DUMMYFUNCTION("""COMPUTED_VALUE"""),44410.64583333333)</f>
        <v>44410.64583</v>
      </c>
      <c r="C1938" s="9">
        <f>IFERROR(__xludf.DUMMYFUNCTION("""COMPUTED_VALUE"""),1627.45)</f>
        <v>1627.45</v>
      </c>
      <c r="D1938" s="9">
        <f>IFERROR(__xludf.DUMMYFUNCTION("""COMPUTED_VALUE"""),1634.75)</f>
        <v>1634.75</v>
      </c>
      <c r="E1938" s="9">
        <f>IFERROR(__xludf.DUMMYFUNCTION("""COMPUTED_VALUE"""),1619.2)</f>
        <v>1619.2</v>
      </c>
      <c r="F1938" s="9">
        <f>IFERROR(__xludf.DUMMYFUNCTION("""COMPUTED_VALUE"""),1631.55)</f>
        <v>1631.55</v>
      </c>
      <c r="G1938" s="9">
        <f>IFERROR(__xludf.DUMMYFUNCTION("""COMPUTED_VALUE"""),5553389.0)</f>
        <v>5553389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</row>
    <row r="1939">
      <c r="A1939" s="1"/>
      <c r="B1939" s="22">
        <f>IFERROR(__xludf.DUMMYFUNCTION("""COMPUTED_VALUE"""),44411.64583333333)</f>
        <v>44411.64583</v>
      </c>
      <c r="C1939" s="9">
        <f>IFERROR(__xludf.DUMMYFUNCTION("""COMPUTED_VALUE"""),1647.0)</f>
        <v>1647</v>
      </c>
      <c r="D1939" s="9">
        <f>IFERROR(__xludf.DUMMYFUNCTION("""COMPUTED_VALUE"""),1658.65)</f>
        <v>1658.65</v>
      </c>
      <c r="E1939" s="9">
        <f>IFERROR(__xludf.DUMMYFUNCTION("""COMPUTED_VALUE"""),1635.6)</f>
        <v>1635.6</v>
      </c>
      <c r="F1939" s="9">
        <f>IFERROR(__xludf.DUMMYFUNCTION("""COMPUTED_VALUE"""),1655.2)</f>
        <v>1655.2</v>
      </c>
      <c r="G1939" s="9">
        <f>IFERROR(__xludf.DUMMYFUNCTION("""COMPUTED_VALUE"""),5513668.0)</f>
        <v>5513668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</row>
    <row r="1940">
      <c r="A1940" s="1"/>
      <c r="B1940" s="22">
        <f>IFERROR(__xludf.DUMMYFUNCTION("""COMPUTED_VALUE"""),44412.64583333333)</f>
        <v>44412.64583</v>
      </c>
      <c r="C1940" s="9">
        <f>IFERROR(__xludf.DUMMYFUNCTION("""COMPUTED_VALUE"""),1669.1)</f>
        <v>1669.1</v>
      </c>
      <c r="D1940" s="9">
        <f>IFERROR(__xludf.DUMMYFUNCTION("""COMPUTED_VALUE"""),1679.9)</f>
        <v>1679.9</v>
      </c>
      <c r="E1940" s="9">
        <f>IFERROR(__xludf.DUMMYFUNCTION("""COMPUTED_VALUE"""),1639.05)</f>
        <v>1639.05</v>
      </c>
      <c r="F1940" s="9">
        <f>IFERROR(__xludf.DUMMYFUNCTION("""COMPUTED_VALUE"""),1649.25)</f>
        <v>1649.25</v>
      </c>
      <c r="G1940" s="9">
        <f>IFERROR(__xludf.DUMMYFUNCTION("""COMPUTED_VALUE"""),6740391.0)</f>
        <v>6740391</v>
      </c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</row>
    <row r="1941">
      <c r="A1941" s="1"/>
      <c r="B1941" s="22">
        <f>IFERROR(__xludf.DUMMYFUNCTION("""COMPUTED_VALUE"""),44413.64583333333)</f>
        <v>44413.64583</v>
      </c>
      <c r="C1941" s="9">
        <f>IFERROR(__xludf.DUMMYFUNCTION("""COMPUTED_VALUE"""),1649.5)</f>
        <v>1649.5</v>
      </c>
      <c r="D1941" s="9">
        <f>IFERROR(__xludf.DUMMYFUNCTION("""COMPUTED_VALUE"""),1666.0)</f>
        <v>1666</v>
      </c>
      <c r="E1941" s="9">
        <f>IFERROR(__xludf.DUMMYFUNCTION("""COMPUTED_VALUE"""),1647.05)</f>
        <v>1647.05</v>
      </c>
      <c r="F1941" s="9">
        <f>IFERROR(__xludf.DUMMYFUNCTION("""COMPUTED_VALUE"""),1653.55)</f>
        <v>1653.55</v>
      </c>
      <c r="G1941" s="9">
        <f>IFERROR(__xludf.DUMMYFUNCTION("""COMPUTED_VALUE"""),5420536.0)</f>
        <v>5420536</v>
      </c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</row>
    <row r="1942">
      <c r="A1942" s="1"/>
      <c r="B1942" s="22">
        <f>IFERROR(__xludf.DUMMYFUNCTION("""COMPUTED_VALUE"""),44414.64583333333)</f>
        <v>44414.64583</v>
      </c>
      <c r="C1942" s="9">
        <f>IFERROR(__xludf.DUMMYFUNCTION("""COMPUTED_VALUE"""),1657.0)</f>
        <v>1657</v>
      </c>
      <c r="D1942" s="9">
        <f>IFERROR(__xludf.DUMMYFUNCTION("""COMPUTED_VALUE"""),1660.65)</f>
        <v>1660.65</v>
      </c>
      <c r="E1942" s="9">
        <f>IFERROR(__xludf.DUMMYFUNCTION("""COMPUTED_VALUE"""),1644.0)</f>
        <v>1644</v>
      </c>
      <c r="F1942" s="9">
        <f>IFERROR(__xludf.DUMMYFUNCTION("""COMPUTED_VALUE"""),1650.2)</f>
        <v>1650.2</v>
      </c>
      <c r="G1942" s="9">
        <f>IFERROR(__xludf.DUMMYFUNCTION("""COMPUTED_VALUE"""),3754855.0)</f>
        <v>3754855</v>
      </c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</row>
    <row r="1943">
      <c r="A1943" s="1"/>
      <c r="B1943" s="22">
        <f>IFERROR(__xludf.DUMMYFUNCTION("""COMPUTED_VALUE"""),44417.64583333333)</f>
        <v>44417.64583</v>
      </c>
      <c r="C1943" s="9">
        <f>IFERROR(__xludf.DUMMYFUNCTION("""COMPUTED_VALUE"""),1661.0)</f>
        <v>1661</v>
      </c>
      <c r="D1943" s="9">
        <f>IFERROR(__xludf.DUMMYFUNCTION("""COMPUTED_VALUE"""),1667.45)</f>
        <v>1667.45</v>
      </c>
      <c r="E1943" s="9">
        <f>IFERROR(__xludf.DUMMYFUNCTION("""COMPUTED_VALUE"""),1646.4)</f>
        <v>1646.4</v>
      </c>
      <c r="F1943" s="9">
        <f>IFERROR(__xludf.DUMMYFUNCTION("""COMPUTED_VALUE"""),1663.3)</f>
        <v>1663.3</v>
      </c>
      <c r="G1943" s="9">
        <f>IFERROR(__xludf.DUMMYFUNCTION("""COMPUTED_VALUE"""),5018477.0)</f>
        <v>5018477</v>
      </c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</row>
    <row r="1944">
      <c r="A1944" s="1"/>
      <c r="B1944" s="22">
        <f>IFERROR(__xludf.DUMMYFUNCTION("""COMPUTED_VALUE"""),44418.64583333333)</f>
        <v>44418.64583</v>
      </c>
      <c r="C1944" s="9">
        <f>IFERROR(__xludf.DUMMYFUNCTION("""COMPUTED_VALUE"""),1668.0)</f>
        <v>1668</v>
      </c>
      <c r="D1944" s="9">
        <f>IFERROR(__xludf.DUMMYFUNCTION("""COMPUTED_VALUE"""),1680.0)</f>
        <v>1680</v>
      </c>
      <c r="E1944" s="9">
        <f>IFERROR(__xludf.DUMMYFUNCTION("""COMPUTED_VALUE"""),1661.05)</f>
        <v>1661.05</v>
      </c>
      <c r="F1944" s="9">
        <f>IFERROR(__xludf.DUMMYFUNCTION("""COMPUTED_VALUE"""),1677.25)</f>
        <v>1677.25</v>
      </c>
      <c r="G1944" s="9">
        <f>IFERROR(__xludf.DUMMYFUNCTION("""COMPUTED_VALUE"""),6846517.0)</f>
        <v>6846517</v>
      </c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</row>
    <row r="1945">
      <c r="A1945" s="1"/>
      <c r="B1945" s="22">
        <f>IFERROR(__xludf.DUMMYFUNCTION("""COMPUTED_VALUE"""),44419.64583333333)</f>
        <v>44419.64583</v>
      </c>
      <c r="C1945" s="9">
        <f>IFERROR(__xludf.DUMMYFUNCTION("""COMPUTED_VALUE"""),1674.8)</f>
        <v>1674.8</v>
      </c>
      <c r="D1945" s="9">
        <f>IFERROR(__xludf.DUMMYFUNCTION("""COMPUTED_VALUE"""),1684.0)</f>
        <v>1684</v>
      </c>
      <c r="E1945" s="9">
        <f>IFERROR(__xludf.DUMMYFUNCTION("""COMPUTED_VALUE"""),1668.0)</f>
        <v>1668</v>
      </c>
      <c r="F1945" s="9">
        <f>IFERROR(__xludf.DUMMYFUNCTION("""COMPUTED_VALUE"""),1677.55)</f>
        <v>1677.55</v>
      </c>
      <c r="G1945" s="9">
        <f>IFERROR(__xludf.DUMMYFUNCTION("""COMPUTED_VALUE"""),4899639.0)</f>
        <v>4899639</v>
      </c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</row>
    <row r="1946">
      <c r="A1946" s="1"/>
      <c r="B1946" s="22">
        <f>IFERROR(__xludf.DUMMYFUNCTION("""COMPUTED_VALUE"""),44420.64583333333)</f>
        <v>44420.64583</v>
      </c>
      <c r="C1946" s="9">
        <f>IFERROR(__xludf.DUMMYFUNCTION("""COMPUTED_VALUE"""),1679.15)</f>
        <v>1679.15</v>
      </c>
      <c r="D1946" s="9">
        <f>IFERROR(__xludf.DUMMYFUNCTION("""COMPUTED_VALUE"""),1696.5)</f>
        <v>1696.5</v>
      </c>
      <c r="E1946" s="9">
        <f>IFERROR(__xludf.DUMMYFUNCTION("""COMPUTED_VALUE"""),1674.0)</f>
        <v>1674</v>
      </c>
      <c r="F1946" s="9">
        <f>IFERROR(__xludf.DUMMYFUNCTION("""COMPUTED_VALUE"""),1689.6)</f>
        <v>1689.6</v>
      </c>
      <c r="G1946" s="9">
        <f>IFERROR(__xludf.DUMMYFUNCTION("""COMPUTED_VALUE"""),5659579.0)</f>
        <v>5659579</v>
      </c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</row>
    <row r="1947">
      <c r="A1947" s="1"/>
      <c r="B1947" s="22">
        <f>IFERROR(__xludf.DUMMYFUNCTION("""COMPUTED_VALUE"""),44421.64583333333)</f>
        <v>44421.64583</v>
      </c>
      <c r="C1947" s="9">
        <f>IFERROR(__xludf.DUMMYFUNCTION("""COMPUTED_VALUE"""),1697.0)</f>
        <v>1697</v>
      </c>
      <c r="D1947" s="9">
        <f>IFERROR(__xludf.DUMMYFUNCTION("""COMPUTED_VALUE"""),1722.5)</f>
        <v>1722.5</v>
      </c>
      <c r="E1947" s="9">
        <f>IFERROR(__xludf.DUMMYFUNCTION("""COMPUTED_VALUE"""),1691.3)</f>
        <v>1691.3</v>
      </c>
      <c r="F1947" s="9">
        <f>IFERROR(__xludf.DUMMYFUNCTION("""COMPUTED_VALUE"""),1712.2)</f>
        <v>1712.2</v>
      </c>
      <c r="G1947" s="9">
        <f>IFERROR(__xludf.DUMMYFUNCTION("""COMPUTED_VALUE"""),5612790.0)</f>
        <v>5612790</v>
      </c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</row>
    <row r="1948">
      <c r="A1948" s="1"/>
      <c r="B1948" s="22">
        <f>IFERROR(__xludf.DUMMYFUNCTION("""COMPUTED_VALUE"""),44424.64583333333)</f>
        <v>44424.64583</v>
      </c>
      <c r="C1948" s="9">
        <f>IFERROR(__xludf.DUMMYFUNCTION("""COMPUTED_VALUE"""),1707.7)</f>
        <v>1707.7</v>
      </c>
      <c r="D1948" s="9">
        <f>IFERROR(__xludf.DUMMYFUNCTION("""COMPUTED_VALUE"""),1719.95)</f>
        <v>1719.95</v>
      </c>
      <c r="E1948" s="9">
        <f>IFERROR(__xludf.DUMMYFUNCTION("""COMPUTED_VALUE"""),1690.1)</f>
        <v>1690.1</v>
      </c>
      <c r="F1948" s="9">
        <f>IFERROR(__xludf.DUMMYFUNCTION("""COMPUTED_VALUE"""),1704.4)</f>
        <v>1704.4</v>
      </c>
      <c r="G1948" s="9">
        <f>IFERROR(__xludf.DUMMYFUNCTION("""COMPUTED_VALUE"""),4564109.0)</f>
        <v>4564109</v>
      </c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</row>
    <row r="1949">
      <c r="A1949" s="1"/>
      <c r="B1949" s="22">
        <f>IFERROR(__xludf.DUMMYFUNCTION("""COMPUTED_VALUE"""),44425.64583333333)</f>
        <v>44425.64583</v>
      </c>
      <c r="C1949" s="9">
        <f>IFERROR(__xludf.DUMMYFUNCTION("""COMPUTED_VALUE"""),1703.9)</f>
        <v>1703.9</v>
      </c>
      <c r="D1949" s="9">
        <f>IFERROR(__xludf.DUMMYFUNCTION("""COMPUTED_VALUE"""),1748.9)</f>
        <v>1748.9</v>
      </c>
      <c r="E1949" s="9">
        <f>IFERROR(__xludf.DUMMYFUNCTION("""COMPUTED_VALUE"""),1686.55)</f>
        <v>1686.55</v>
      </c>
      <c r="F1949" s="9">
        <f>IFERROR(__xludf.DUMMYFUNCTION("""COMPUTED_VALUE"""),1741.65)</f>
        <v>1741.65</v>
      </c>
      <c r="G1949" s="9">
        <f>IFERROR(__xludf.DUMMYFUNCTION("""COMPUTED_VALUE"""),9510390.0)</f>
        <v>9510390</v>
      </c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</row>
    <row r="1950">
      <c r="A1950" s="1"/>
      <c r="B1950" s="22">
        <f>IFERROR(__xludf.DUMMYFUNCTION("""COMPUTED_VALUE"""),44426.64583333333)</f>
        <v>44426.64583</v>
      </c>
      <c r="C1950" s="9">
        <f>IFERROR(__xludf.DUMMYFUNCTION("""COMPUTED_VALUE"""),1729.0)</f>
        <v>1729</v>
      </c>
      <c r="D1950" s="9">
        <f>IFERROR(__xludf.DUMMYFUNCTION("""COMPUTED_VALUE"""),1755.5)</f>
        <v>1755.5</v>
      </c>
      <c r="E1950" s="9">
        <f>IFERROR(__xludf.DUMMYFUNCTION("""COMPUTED_VALUE"""),1727.0)</f>
        <v>1727</v>
      </c>
      <c r="F1950" s="9">
        <f>IFERROR(__xludf.DUMMYFUNCTION("""COMPUTED_VALUE"""),1733.45)</f>
        <v>1733.45</v>
      </c>
      <c r="G1950" s="9">
        <f>IFERROR(__xludf.DUMMYFUNCTION("""COMPUTED_VALUE"""),6686090.0)</f>
        <v>6686090</v>
      </c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</row>
    <row r="1951">
      <c r="A1951" s="1"/>
      <c r="B1951" s="22">
        <f>IFERROR(__xludf.DUMMYFUNCTION("""COMPUTED_VALUE"""),44428.64583333333)</f>
        <v>44428.64583</v>
      </c>
      <c r="C1951" s="9">
        <f>IFERROR(__xludf.DUMMYFUNCTION("""COMPUTED_VALUE"""),1716.1)</f>
        <v>1716.1</v>
      </c>
      <c r="D1951" s="9">
        <f>IFERROR(__xludf.DUMMYFUNCTION("""COMPUTED_VALUE"""),1745.0)</f>
        <v>1745</v>
      </c>
      <c r="E1951" s="9">
        <f>IFERROR(__xludf.DUMMYFUNCTION("""COMPUTED_VALUE"""),1716.1)</f>
        <v>1716.1</v>
      </c>
      <c r="F1951" s="9">
        <f>IFERROR(__xludf.DUMMYFUNCTION("""COMPUTED_VALUE"""),1732.95)</f>
        <v>1732.95</v>
      </c>
      <c r="G1951" s="9">
        <f>IFERROR(__xludf.DUMMYFUNCTION("""COMPUTED_VALUE"""),6206972.0)</f>
        <v>6206972</v>
      </c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</row>
    <row r="1952">
      <c r="A1952" s="1"/>
      <c r="B1952" s="22">
        <f>IFERROR(__xludf.DUMMYFUNCTION("""COMPUTED_VALUE"""),44431.64583333333)</f>
        <v>44431.64583</v>
      </c>
      <c r="C1952" s="9">
        <f>IFERROR(__xludf.DUMMYFUNCTION("""COMPUTED_VALUE"""),1735.75)</f>
        <v>1735.75</v>
      </c>
      <c r="D1952" s="9">
        <f>IFERROR(__xludf.DUMMYFUNCTION("""COMPUTED_VALUE"""),1753.15)</f>
        <v>1753.15</v>
      </c>
      <c r="E1952" s="9">
        <f>IFERROR(__xludf.DUMMYFUNCTION("""COMPUTED_VALUE"""),1732.0)</f>
        <v>1732</v>
      </c>
      <c r="F1952" s="9">
        <f>IFERROR(__xludf.DUMMYFUNCTION("""COMPUTED_VALUE"""),1738.75)</f>
        <v>1738.75</v>
      </c>
      <c r="G1952" s="9">
        <f>IFERROR(__xludf.DUMMYFUNCTION("""COMPUTED_VALUE"""),6189051.0)</f>
        <v>6189051</v>
      </c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</row>
    <row r="1953">
      <c r="A1953" s="1"/>
      <c r="B1953" s="22">
        <f>IFERROR(__xludf.DUMMYFUNCTION("""COMPUTED_VALUE"""),44432.64583333333)</f>
        <v>44432.64583</v>
      </c>
      <c r="C1953" s="9">
        <f>IFERROR(__xludf.DUMMYFUNCTION("""COMPUTED_VALUE"""),1750.0)</f>
        <v>1750</v>
      </c>
      <c r="D1953" s="9">
        <f>IFERROR(__xludf.DUMMYFUNCTION("""COMPUTED_VALUE"""),1757.0)</f>
        <v>1757</v>
      </c>
      <c r="E1953" s="9">
        <f>IFERROR(__xludf.DUMMYFUNCTION("""COMPUTED_VALUE"""),1712.7)</f>
        <v>1712.7</v>
      </c>
      <c r="F1953" s="9">
        <f>IFERROR(__xludf.DUMMYFUNCTION("""COMPUTED_VALUE"""),1720.85)</f>
        <v>1720.85</v>
      </c>
      <c r="G1953" s="9">
        <f>IFERROR(__xludf.DUMMYFUNCTION("""COMPUTED_VALUE"""),7602939.0)</f>
        <v>7602939</v>
      </c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</row>
    <row r="1954">
      <c r="A1954" s="1"/>
      <c r="B1954" s="22">
        <f>IFERROR(__xludf.DUMMYFUNCTION("""COMPUTED_VALUE"""),44433.64583333333)</f>
        <v>44433.64583</v>
      </c>
      <c r="C1954" s="9">
        <f>IFERROR(__xludf.DUMMYFUNCTION("""COMPUTED_VALUE"""),1718.0)</f>
        <v>1718</v>
      </c>
      <c r="D1954" s="9">
        <f>IFERROR(__xludf.DUMMYFUNCTION("""COMPUTED_VALUE"""),1746.9)</f>
        <v>1746.9</v>
      </c>
      <c r="E1954" s="9">
        <f>IFERROR(__xludf.DUMMYFUNCTION("""COMPUTED_VALUE"""),1718.0)</f>
        <v>1718</v>
      </c>
      <c r="F1954" s="9">
        <f>IFERROR(__xludf.DUMMYFUNCTION("""COMPUTED_VALUE"""),1735.55)</f>
        <v>1735.55</v>
      </c>
      <c r="G1954" s="9">
        <f>IFERROR(__xludf.DUMMYFUNCTION("""COMPUTED_VALUE"""),6153253.0)</f>
        <v>6153253</v>
      </c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</row>
    <row r="1955">
      <c r="A1955" s="1"/>
      <c r="B1955" s="22">
        <f>IFERROR(__xludf.DUMMYFUNCTION("""COMPUTED_VALUE"""),44434.64583333333)</f>
        <v>44434.64583</v>
      </c>
      <c r="C1955" s="9">
        <f>IFERROR(__xludf.DUMMYFUNCTION("""COMPUTED_VALUE"""),1734.0)</f>
        <v>1734</v>
      </c>
      <c r="D1955" s="9">
        <f>IFERROR(__xludf.DUMMYFUNCTION("""COMPUTED_VALUE"""),1746.0)</f>
        <v>1746</v>
      </c>
      <c r="E1955" s="9">
        <f>IFERROR(__xludf.DUMMYFUNCTION("""COMPUTED_VALUE"""),1720.0)</f>
        <v>1720</v>
      </c>
      <c r="F1955" s="9">
        <f>IFERROR(__xludf.DUMMYFUNCTION("""COMPUTED_VALUE"""),1727.7)</f>
        <v>1727.7</v>
      </c>
      <c r="G1955" s="9">
        <f>IFERROR(__xludf.DUMMYFUNCTION("""COMPUTED_VALUE"""),5302248.0)</f>
        <v>5302248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</row>
    <row r="1956">
      <c r="A1956" s="1"/>
      <c r="B1956" s="22">
        <f>IFERROR(__xludf.DUMMYFUNCTION("""COMPUTED_VALUE"""),44435.64583333333)</f>
        <v>44435.64583</v>
      </c>
      <c r="C1956" s="9">
        <f>IFERROR(__xludf.DUMMYFUNCTION("""COMPUTED_VALUE"""),1725.0)</f>
        <v>1725</v>
      </c>
      <c r="D1956" s="9">
        <f>IFERROR(__xludf.DUMMYFUNCTION("""COMPUTED_VALUE"""),1727.7)</f>
        <v>1727.7</v>
      </c>
      <c r="E1956" s="9">
        <f>IFERROR(__xludf.DUMMYFUNCTION("""COMPUTED_VALUE"""),1705.2)</f>
        <v>1705.2</v>
      </c>
      <c r="F1956" s="9">
        <f>IFERROR(__xludf.DUMMYFUNCTION("""COMPUTED_VALUE"""),1708.8)</f>
        <v>1708.8</v>
      </c>
      <c r="G1956" s="9">
        <f>IFERROR(__xludf.DUMMYFUNCTION("""COMPUTED_VALUE"""),6698514.0)</f>
        <v>6698514</v>
      </c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</row>
    <row r="1957">
      <c r="A1957" s="1"/>
      <c r="B1957" s="22">
        <f>IFERROR(__xludf.DUMMYFUNCTION("""COMPUTED_VALUE"""),44438.64583333333)</f>
        <v>44438.64583</v>
      </c>
      <c r="C1957" s="9">
        <f>IFERROR(__xludf.DUMMYFUNCTION("""COMPUTED_VALUE"""),1703.05)</f>
        <v>1703.05</v>
      </c>
      <c r="D1957" s="9">
        <f>IFERROR(__xludf.DUMMYFUNCTION("""COMPUTED_VALUE"""),1718.65)</f>
        <v>1718.65</v>
      </c>
      <c r="E1957" s="9">
        <f>IFERROR(__xludf.DUMMYFUNCTION("""COMPUTED_VALUE"""),1690.4)</f>
        <v>1690.4</v>
      </c>
      <c r="F1957" s="9">
        <f>IFERROR(__xludf.DUMMYFUNCTION("""COMPUTED_VALUE"""),1698.05)</f>
        <v>1698.05</v>
      </c>
      <c r="G1957" s="9">
        <f>IFERROR(__xludf.DUMMYFUNCTION("""COMPUTED_VALUE"""),6559667.0)</f>
        <v>6559667</v>
      </c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</row>
    <row r="1958">
      <c r="A1958" s="1"/>
      <c r="B1958" s="22">
        <f>IFERROR(__xludf.DUMMYFUNCTION("""COMPUTED_VALUE"""),44439.64583333333)</f>
        <v>44439.64583</v>
      </c>
      <c r="C1958" s="9">
        <f>IFERROR(__xludf.DUMMYFUNCTION("""COMPUTED_VALUE"""),1700.15)</f>
        <v>1700.15</v>
      </c>
      <c r="D1958" s="9">
        <f>IFERROR(__xludf.DUMMYFUNCTION("""COMPUTED_VALUE"""),1715.0)</f>
        <v>1715</v>
      </c>
      <c r="E1958" s="9">
        <f>IFERROR(__xludf.DUMMYFUNCTION("""COMPUTED_VALUE"""),1685.85)</f>
        <v>1685.85</v>
      </c>
      <c r="F1958" s="9">
        <f>IFERROR(__xludf.DUMMYFUNCTION("""COMPUTED_VALUE"""),1706.45)</f>
        <v>1706.45</v>
      </c>
      <c r="G1958" s="9">
        <f>IFERROR(__xludf.DUMMYFUNCTION("""COMPUTED_VALUE"""),1.2255438E7)</f>
        <v>12255438</v>
      </c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</row>
    <row r="1959">
      <c r="A1959" s="1"/>
      <c r="B1959" s="22">
        <f>IFERROR(__xludf.DUMMYFUNCTION("""COMPUTED_VALUE"""),44440.64583333333)</f>
        <v>44440.64583</v>
      </c>
      <c r="C1959" s="9">
        <f>IFERROR(__xludf.DUMMYFUNCTION("""COMPUTED_VALUE"""),1709.5)</f>
        <v>1709.5</v>
      </c>
      <c r="D1959" s="9">
        <f>IFERROR(__xludf.DUMMYFUNCTION("""COMPUTED_VALUE"""),1709.5)</f>
        <v>1709.5</v>
      </c>
      <c r="E1959" s="9">
        <f>IFERROR(__xludf.DUMMYFUNCTION("""COMPUTED_VALUE"""),1673.15)</f>
        <v>1673.15</v>
      </c>
      <c r="F1959" s="9">
        <f>IFERROR(__xludf.DUMMYFUNCTION("""COMPUTED_VALUE"""),1677.75)</f>
        <v>1677.75</v>
      </c>
      <c r="G1959" s="9">
        <f>IFERROR(__xludf.DUMMYFUNCTION("""COMPUTED_VALUE"""),7801974.0)</f>
        <v>7801974</v>
      </c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</row>
    <row r="1960">
      <c r="A1960" s="1"/>
      <c r="B1960" s="22">
        <f>IFERROR(__xludf.DUMMYFUNCTION("""COMPUTED_VALUE"""),44441.64583333333)</f>
        <v>44441.64583</v>
      </c>
      <c r="C1960" s="9">
        <f>IFERROR(__xludf.DUMMYFUNCTION("""COMPUTED_VALUE"""),1677.35)</f>
        <v>1677.35</v>
      </c>
      <c r="D1960" s="9">
        <f>IFERROR(__xludf.DUMMYFUNCTION("""COMPUTED_VALUE"""),1694.3)</f>
        <v>1694.3</v>
      </c>
      <c r="E1960" s="9">
        <f>IFERROR(__xludf.DUMMYFUNCTION("""COMPUTED_VALUE"""),1662.65)</f>
        <v>1662.65</v>
      </c>
      <c r="F1960" s="9">
        <f>IFERROR(__xludf.DUMMYFUNCTION("""COMPUTED_VALUE"""),1689.1)</f>
        <v>1689.1</v>
      </c>
      <c r="G1960" s="9">
        <f>IFERROR(__xludf.DUMMYFUNCTION("""COMPUTED_VALUE"""),6830050.0)</f>
        <v>6830050</v>
      </c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</row>
    <row r="1961">
      <c r="A1961" s="1"/>
      <c r="B1961" s="22">
        <f>IFERROR(__xludf.DUMMYFUNCTION("""COMPUTED_VALUE"""),44442.64583333333)</f>
        <v>44442.64583</v>
      </c>
      <c r="C1961" s="9">
        <f>IFERROR(__xludf.DUMMYFUNCTION("""COMPUTED_VALUE"""),1696.05)</f>
        <v>1696.05</v>
      </c>
      <c r="D1961" s="9">
        <f>IFERROR(__xludf.DUMMYFUNCTION("""COMPUTED_VALUE"""),1705.95)</f>
        <v>1705.95</v>
      </c>
      <c r="E1961" s="9">
        <f>IFERROR(__xludf.DUMMYFUNCTION("""COMPUTED_VALUE"""),1684.4)</f>
        <v>1684.4</v>
      </c>
      <c r="F1961" s="9">
        <f>IFERROR(__xludf.DUMMYFUNCTION("""COMPUTED_VALUE"""),1700.65)</f>
        <v>1700.65</v>
      </c>
      <c r="G1961" s="9">
        <f>IFERROR(__xludf.DUMMYFUNCTION("""COMPUTED_VALUE"""),5339139.0)</f>
        <v>5339139</v>
      </c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</row>
    <row r="1962">
      <c r="A1962" s="1"/>
      <c r="B1962" s="22">
        <f>IFERROR(__xludf.DUMMYFUNCTION("""COMPUTED_VALUE"""),44445.64583333333)</f>
        <v>44445.64583</v>
      </c>
      <c r="C1962" s="9">
        <f>IFERROR(__xludf.DUMMYFUNCTION("""COMPUTED_VALUE"""),1705.15)</f>
        <v>1705.15</v>
      </c>
      <c r="D1962" s="9">
        <f>IFERROR(__xludf.DUMMYFUNCTION("""COMPUTED_VALUE"""),1732.0)</f>
        <v>1732</v>
      </c>
      <c r="E1962" s="9">
        <f>IFERROR(__xludf.DUMMYFUNCTION("""COMPUTED_VALUE"""),1699.35)</f>
        <v>1699.35</v>
      </c>
      <c r="F1962" s="9">
        <f>IFERROR(__xludf.DUMMYFUNCTION("""COMPUTED_VALUE"""),1730.4)</f>
        <v>1730.4</v>
      </c>
      <c r="G1962" s="9">
        <f>IFERROR(__xludf.DUMMYFUNCTION("""COMPUTED_VALUE"""),4876026.0)</f>
        <v>4876026</v>
      </c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</row>
    <row r="1963">
      <c r="A1963" s="1"/>
      <c r="B1963" s="22">
        <f>IFERROR(__xludf.DUMMYFUNCTION("""COMPUTED_VALUE"""),44446.64583333333)</f>
        <v>44446.64583</v>
      </c>
      <c r="C1963" s="9">
        <f>IFERROR(__xludf.DUMMYFUNCTION("""COMPUTED_VALUE"""),1730.0)</f>
        <v>1730</v>
      </c>
      <c r="D1963" s="9">
        <f>IFERROR(__xludf.DUMMYFUNCTION("""COMPUTED_VALUE"""),1734.9)</f>
        <v>1734.9</v>
      </c>
      <c r="E1963" s="9">
        <f>IFERROR(__xludf.DUMMYFUNCTION("""COMPUTED_VALUE"""),1704.0)</f>
        <v>1704</v>
      </c>
      <c r="F1963" s="9">
        <f>IFERROR(__xludf.DUMMYFUNCTION("""COMPUTED_VALUE"""),1706.65)</f>
        <v>1706.65</v>
      </c>
      <c r="G1963" s="9">
        <f>IFERROR(__xludf.DUMMYFUNCTION("""COMPUTED_VALUE"""),3520341.0)</f>
        <v>3520341</v>
      </c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</row>
    <row r="1964">
      <c r="A1964" s="1"/>
      <c r="B1964" s="22">
        <f>IFERROR(__xludf.DUMMYFUNCTION("""COMPUTED_VALUE"""),44447.64583333333)</f>
        <v>44447.64583</v>
      </c>
      <c r="C1964" s="9">
        <f>IFERROR(__xludf.DUMMYFUNCTION("""COMPUTED_VALUE"""),1700.85)</f>
        <v>1700.85</v>
      </c>
      <c r="D1964" s="9">
        <f>IFERROR(__xludf.DUMMYFUNCTION("""COMPUTED_VALUE"""),1700.85)</f>
        <v>1700.85</v>
      </c>
      <c r="E1964" s="9">
        <f>IFERROR(__xludf.DUMMYFUNCTION("""COMPUTED_VALUE"""),1682.95)</f>
        <v>1682.95</v>
      </c>
      <c r="F1964" s="9">
        <f>IFERROR(__xludf.DUMMYFUNCTION("""COMPUTED_VALUE"""),1693.25)</f>
        <v>1693.25</v>
      </c>
      <c r="G1964" s="9">
        <f>IFERROR(__xludf.DUMMYFUNCTION("""COMPUTED_VALUE"""),4584896.0)</f>
        <v>4584896</v>
      </c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</row>
    <row r="1965">
      <c r="A1965" s="1"/>
      <c r="B1965" s="22">
        <f>IFERROR(__xludf.DUMMYFUNCTION("""COMPUTED_VALUE"""),44448.64583333333)</f>
        <v>44448.64583</v>
      </c>
      <c r="C1965" s="9">
        <f>IFERROR(__xludf.DUMMYFUNCTION("""COMPUTED_VALUE"""),1685.9)</f>
        <v>1685.9</v>
      </c>
      <c r="D1965" s="9">
        <f>IFERROR(__xludf.DUMMYFUNCTION("""COMPUTED_VALUE"""),1694.9)</f>
        <v>1694.9</v>
      </c>
      <c r="E1965" s="9">
        <f>IFERROR(__xludf.DUMMYFUNCTION("""COMPUTED_VALUE"""),1682.15)</f>
        <v>1682.15</v>
      </c>
      <c r="F1965" s="9">
        <f>IFERROR(__xludf.DUMMYFUNCTION("""COMPUTED_VALUE"""),1691.6)</f>
        <v>1691.6</v>
      </c>
      <c r="G1965" s="9">
        <f>IFERROR(__xludf.DUMMYFUNCTION("""COMPUTED_VALUE"""),3331674.0)</f>
        <v>3331674</v>
      </c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</row>
    <row r="1966">
      <c r="A1966" s="1"/>
      <c r="B1966" s="22">
        <f>IFERROR(__xludf.DUMMYFUNCTION("""COMPUTED_VALUE"""),44452.64583333333)</f>
        <v>44452.64583</v>
      </c>
      <c r="C1966" s="9">
        <f>IFERROR(__xludf.DUMMYFUNCTION("""COMPUTED_VALUE"""),1683.0)</f>
        <v>1683</v>
      </c>
      <c r="D1966" s="9">
        <f>IFERROR(__xludf.DUMMYFUNCTION("""COMPUTED_VALUE"""),1701.5)</f>
        <v>1701.5</v>
      </c>
      <c r="E1966" s="9">
        <f>IFERROR(__xludf.DUMMYFUNCTION("""COMPUTED_VALUE"""),1675.2)</f>
        <v>1675.2</v>
      </c>
      <c r="F1966" s="9">
        <f>IFERROR(__xludf.DUMMYFUNCTION("""COMPUTED_VALUE"""),1691.9)</f>
        <v>1691.9</v>
      </c>
      <c r="G1966" s="9">
        <f>IFERROR(__xludf.DUMMYFUNCTION("""COMPUTED_VALUE"""),4662374.0)</f>
        <v>4662374</v>
      </c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</row>
    <row r="1967">
      <c r="A1967" s="1"/>
      <c r="B1967" s="22">
        <f>IFERROR(__xludf.DUMMYFUNCTION("""COMPUTED_VALUE"""),44453.64583333333)</f>
        <v>44453.64583</v>
      </c>
      <c r="C1967" s="9">
        <f>IFERROR(__xludf.DUMMYFUNCTION("""COMPUTED_VALUE"""),1695.95)</f>
        <v>1695.95</v>
      </c>
      <c r="D1967" s="9">
        <f>IFERROR(__xludf.DUMMYFUNCTION("""COMPUTED_VALUE"""),1695.95)</f>
        <v>1695.95</v>
      </c>
      <c r="E1967" s="9">
        <f>IFERROR(__xludf.DUMMYFUNCTION("""COMPUTED_VALUE"""),1678.6)</f>
        <v>1678.6</v>
      </c>
      <c r="F1967" s="9">
        <f>IFERROR(__xludf.DUMMYFUNCTION("""COMPUTED_VALUE"""),1686.15)</f>
        <v>1686.15</v>
      </c>
      <c r="G1967" s="9">
        <f>IFERROR(__xludf.DUMMYFUNCTION("""COMPUTED_VALUE"""),4945167.0)</f>
        <v>4945167</v>
      </c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</row>
    <row r="1968">
      <c r="A1968" s="1"/>
      <c r="B1968" s="22">
        <f>IFERROR(__xludf.DUMMYFUNCTION("""COMPUTED_VALUE"""),44454.64583333333)</f>
        <v>44454.64583</v>
      </c>
      <c r="C1968" s="9">
        <f>IFERROR(__xludf.DUMMYFUNCTION("""COMPUTED_VALUE"""),1693.25)</f>
        <v>1693.25</v>
      </c>
      <c r="D1968" s="9">
        <f>IFERROR(__xludf.DUMMYFUNCTION("""COMPUTED_VALUE"""),1715.1)</f>
        <v>1715.1</v>
      </c>
      <c r="E1968" s="9">
        <f>IFERROR(__xludf.DUMMYFUNCTION("""COMPUTED_VALUE"""),1690.2)</f>
        <v>1690.2</v>
      </c>
      <c r="F1968" s="9">
        <f>IFERROR(__xludf.DUMMYFUNCTION("""COMPUTED_VALUE"""),1711.45)</f>
        <v>1711.45</v>
      </c>
      <c r="G1968" s="9">
        <f>IFERROR(__xludf.DUMMYFUNCTION("""COMPUTED_VALUE"""),4062344.0)</f>
        <v>4062344</v>
      </c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</row>
    <row r="1969">
      <c r="A1969" s="1"/>
      <c r="B1969" s="22">
        <f>IFERROR(__xludf.DUMMYFUNCTION("""COMPUTED_VALUE"""),44455.64583333333)</f>
        <v>44455.64583</v>
      </c>
      <c r="C1969" s="9">
        <f>IFERROR(__xludf.DUMMYFUNCTION("""COMPUTED_VALUE"""),1715.2)</f>
        <v>1715.2</v>
      </c>
      <c r="D1969" s="9">
        <f>IFERROR(__xludf.DUMMYFUNCTION("""COMPUTED_VALUE"""),1719.25)</f>
        <v>1719.25</v>
      </c>
      <c r="E1969" s="9">
        <f>IFERROR(__xludf.DUMMYFUNCTION("""COMPUTED_VALUE"""),1691.45)</f>
        <v>1691.45</v>
      </c>
      <c r="F1969" s="9">
        <f>IFERROR(__xludf.DUMMYFUNCTION("""COMPUTED_VALUE"""),1702.25)</f>
        <v>1702.25</v>
      </c>
      <c r="G1969" s="9">
        <f>IFERROR(__xludf.DUMMYFUNCTION("""COMPUTED_VALUE"""),3246568.0)</f>
        <v>3246568</v>
      </c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</row>
    <row r="1970">
      <c r="A1970" s="1"/>
      <c r="B1970" s="22">
        <f>IFERROR(__xludf.DUMMYFUNCTION("""COMPUTED_VALUE"""),44456.64583333333)</f>
        <v>44456.64583</v>
      </c>
      <c r="C1970" s="9">
        <f>IFERROR(__xludf.DUMMYFUNCTION("""COMPUTED_VALUE"""),1697.0)</f>
        <v>1697</v>
      </c>
      <c r="D1970" s="9">
        <f>IFERROR(__xludf.DUMMYFUNCTION("""COMPUTED_VALUE"""),1718.0)</f>
        <v>1718</v>
      </c>
      <c r="E1970" s="9">
        <f>IFERROR(__xludf.DUMMYFUNCTION("""COMPUTED_VALUE"""),1684.45)</f>
        <v>1684.45</v>
      </c>
      <c r="F1970" s="9">
        <f>IFERROR(__xludf.DUMMYFUNCTION("""COMPUTED_VALUE"""),1691.3)</f>
        <v>1691.3</v>
      </c>
      <c r="G1970" s="9">
        <f>IFERROR(__xludf.DUMMYFUNCTION("""COMPUTED_VALUE"""),7454864.0)</f>
        <v>7454864</v>
      </c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</row>
    <row r="1971">
      <c r="A1971" s="1"/>
      <c r="B1971" s="22">
        <f>IFERROR(__xludf.DUMMYFUNCTION("""COMPUTED_VALUE"""),44459.64583333333)</f>
        <v>44459.64583</v>
      </c>
      <c r="C1971" s="9">
        <f>IFERROR(__xludf.DUMMYFUNCTION("""COMPUTED_VALUE"""),1685.0)</f>
        <v>1685</v>
      </c>
      <c r="D1971" s="9">
        <f>IFERROR(__xludf.DUMMYFUNCTION("""COMPUTED_VALUE"""),1707.7)</f>
        <v>1707.7</v>
      </c>
      <c r="E1971" s="9">
        <f>IFERROR(__xludf.DUMMYFUNCTION("""COMPUTED_VALUE"""),1677.95)</f>
        <v>1677.95</v>
      </c>
      <c r="F1971" s="9">
        <f>IFERROR(__xludf.DUMMYFUNCTION("""COMPUTED_VALUE"""),1687.85)</f>
        <v>1687.85</v>
      </c>
      <c r="G1971" s="9">
        <f>IFERROR(__xludf.DUMMYFUNCTION("""COMPUTED_VALUE"""),5660743.0)</f>
        <v>5660743</v>
      </c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</row>
    <row r="1972">
      <c r="A1972" s="1"/>
      <c r="B1972" s="22">
        <f>IFERROR(__xludf.DUMMYFUNCTION("""COMPUTED_VALUE"""),44460.64583333333)</f>
        <v>44460.64583</v>
      </c>
      <c r="C1972" s="9">
        <f>IFERROR(__xludf.DUMMYFUNCTION("""COMPUTED_VALUE"""),1700.0)</f>
        <v>1700</v>
      </c>
      <c r="D1972" s="9">
        <f>IFERROR(__xludf.DUMMYFUNCTION("""COMPUTED_VALUE"""),1726.75)</f>
        <v>1726.75</v>
      </c>
      <c r="E1972" s="9">
        <f>IFERROR(__xludf.DUMMYFUNCTION("""COMPUTED_VALUE"""),1684.65)</f>
        <v>1684.65</v>
      </c>
      <c r="F1972" s="9">
        <f>IFERROR(__xludf.DUMMYFUNCTION("""COMPUTED_VALUE"""),1718.45)</f>
        <v>1718.45</v>
      </c>
      <c r="G1972" s="9">
        <f>IFERROR(__xludf.DUMMYFUNCTION("""COMPUTED_VALUE"""),4672222.0)</f>
        <v>4672222</v>
      </c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</row>
    <row r="1973">
      <c r="A1973" s="1"/>
      <c r="B1973" s="22">
        <f>IFERROR(__xludf.DUMMYFUNCTION("""COMPUTED_VALUE"""),44461.64583333333)</f>
        <v>44461.64583</v>
      </c>
      <c r="C1973" s="9">
        <f>IFERROR(__xludf.DUMMYFUNCTION("""COMPUTED_VALUE"""),1717.0)</f>
        <v>1717</v>
      </c>
      <c r="D1973" s="9">
        <f>IFERROR(__xludf.DUMMYFUNCTION("""COMPUTED_VALUE"""),1738.9)</f>
        <v>1738.9</v>
      </c>
      <c r="E1973" s="9">
        <f>IFERROR(__xludf.DUMMYFUNCTION("""COMPUTED_VALUE"""),1713.05)</f>
        <v>1713.05</v>
      </c>
      <c r="F1973" s="9">
        <f>IFERROR(__xludf.DUMMYFUNCTION("""COMPUTED_VALUE"""),1716.9)</f>
        <v>1716.9</v>
      </c>
      <c r="G1973" s="9">
        <f>IFERROR(__xludf.DUMMYFUNCTION("""COMPUTED_VALUE"""),4553892.0)</f>
        <v>4553892</v>
      </c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</row>
    <row r="1974">
      <c r="A1974" s="1"/>
      <c r="B1974" s="22">
        <f>IFERROR(__xludf.DUMMYFUNCTION("""COMPUTED_VALUE"""),44462.64583333333)</f>
        <v>44462.64583</v>
      </c>
      <c r="C1974" s="9">
        <f>IFERROR(__xludf.DUMMYFUNCTION("""COMPUTED_VALUE"""),1732.0)</f>
        <v>1732</v>
      </c>
      <c r="D1974" s="9">
        <f>IFERROR(__xludf.DUMMYFUNCTION("""COMPUTED_VALUE"""),1745.0)</f>
        <v>1745</v>
      </c>
      <c r="E1974" s="9">
        <f>IFERROR(__xludf.DUMMYFUNCTION("""COMPUTED_VALUE"""),1721.1)</f>
        <v>1721.1</v>
      </c>
      <c r="F1974" s="9">
        <f>IFERROR(__xludf.DUMMYFUNCTION("""COMPUTED_VALUE"""),1742.55)</f>
        <v>1742.55</v>
      </c>
      <c r="G1974" s="9">
        <f>IFERROR(__xludf.DUMMYFUNCTION("""COMPUTED_VALUE"""),3826090.0)</f>
        <v>3826090</v>
      </c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</row>
    <row r="1975">
      <c r="A1975" s="1"/>
      <c r="B1975" s="22">
        <f>IFERROR(__xludf.DUMMYFUNCTION("""COMPUTED_VALUE"""),44463.64583333333)</f>
        <v>44463.64583</v>
      </c>
      <c r="C1975" s="9">
        <f>IFERROR(__xludf.DUMMYFUNCTION("""COMPUTED_VALUE"""),1758.0)</f>
        <v>1758</v>
      </c>
      <c r="D1975" s="9">
        <f>IFERROR(__xludf.DUMMYFUNCTION("""COMPUTED_VALUE"""),1788.0)</f>
        <v>1788</v>
      </c>
      <c r="E1975" s="9">
        <f>IFERROR(__xludf.DUMMYFUNCTION("""COMPUTED_VALUE"""),1752.45)</f>
        <v>1752.45</v>
      </c>
      <c r="F1975" s="9">
        <f>IFERROR(__xludf.DUMMYFUNCTION("""COMPUTED_VALUE"""),1763.85)</f>
        <v>1763.85</v>
      </c>
      <c r="G1975" s="9">
        <f>IFERROR(__xludf.DUMMYFUNCTION("""COMPUTED_VALUE"""),8280446.0)</f>
        <v>8280446</v>
      </c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</row>
    <row r="1976">
      <c r="A1976" s="1"/>
      <c r="B1976" s="22">
        <f>IFERROR(__xludf.DUMMYFUNCTION("""COMPUTED_VALUE"""),44466.64583333333)</f>
        <v>44466.64583</v>
      </c>
      <c r="C1976" s="9">
        <f>IFERROR(__xludf.DUMMYFUNCTION("""COMPUTED_VALUE"""),1768.75)</f>
        <v>1768.75</v>
      </c>
      <c r="D1976" s="9">
        <f>IFERROR(__xludf.DUMMYFUNCTION("""COMPUTED_VALUE"""),1769.0)</f>
        <v>1769</v>
      </c>
      <c r="E1976" s="9">
        <f>IFERROR(__xludf.DUMMYFUNCTION("""COMPUTED_VALUE"""),1718.1)</f>
        <v>1718.1</v>
      </c>
      <c r="F1976" s="9">
        <f>IFERROR(__xludf.DUMMYFUNCTION("""COMPUTED_VALUE"""),1721.15)</f>
        <v>1721.15</v>
      </c>
      <c r="G1976" s="9">
        <f>IFERROR(__xludf.DUMMYFUNCTION("""COMPUTED_VALUE"""),5045337.0)</f>
        <v>5045337</v>
      </c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</row>
    <row r="1977">
      <c r="A1977" s="1"/>
      <c r="B1977" s="22">
        <f>IFERROR(__xludf.DUMMYFUNCTION("""COMPUTED_VALUE"""),44467.64583333333)</f>
        <v>44467.64583</v>
      </c>
      <c r="C1977" s="9">
        <f>IFERROR(__xludf.DUMMYFUNCTION("""COMPUTED_VALUE"""),1710.0)</f>
        <v>1710</v>
      </c>
      <c r="D1977" s="9">
        <f>IFERROR(__xludf.DUMMYFUNCTION("""COMPUTED_VALUE"""),1710.0)</f>
        <v>1710</v>
      </c>
      <c r="E1977" s="9">
        <f>IFERROR(__xludf.DUMMYFUNCTION("""COMPUTED_VALUE"""),1675.0)</f>
        <v>1675</v>
      </c>
      <c r="F1977" s="9">
        <f>IFERROR(__xludf.DUMMYFUNCTION("""COMPUTED_VALUE"""),1687.1)</f>
        <v>1687.1</v>
      </c>
      <c r="G1977" s="9">
        <f>IFERROR(__xludf.DUMMYFUNCTION("""COMPUTED_VALUE"""),6557197.0)</f>
        <v>6557197</v>
      </c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</row>
    <row r="1978">
      <c r="A1978" s="1"/>
      <c r="B1978" s="22">
        <f>IFERROR(__xludf.DUMMYFUNCTION("""COMPUTED_VALUE"""),44468.64583333333)</f>
        <v>44468.64583</v>
      </c>
      <c r="C1978" s="9">
        <f>IFERROR(__xludf.DUMMYFUNCTION("""COMPUTED_VALUE"""),1659.25)</f>
        <v>1659.25</v>
      </c>
      <c r="D1978" s="9">
        <f>IFERROR(__xludf.DUMMYFUNCTION("""COMPUTED_VALUE"""),1701.4)</f>
        <v>1701.4</v>
      </c>
      <c r="E1978" s="9">
        <f>IFERROR(__xludf.DUMMYFUNCTION("""COMPUTED_VALUE"""),1655.0)</f>
        <v>1655</v>
      </c>
      <c r="F1978" s="9">
        <f>IFERROR(__xludf.DUMMYFUNCTION("""COMPUTED_VALUE"""),1692.25)</f>
        <v>1692.25</v>
      </c>
      <c r="G1978" s="9">
        <f>IFERROR(__xludf.DUMMYFUNCTION("""COMPUTED_VALUE"""),7792548.0)</f>
        <v>7792548</v>
      </c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</row>
    <row r="1979">
      <c r="A1979" s="1"/>
      <c r="B1979" s="22">
        <f>IFERROR(__xludf.DUMMYFUNCTION("""COMPUTED_VALUE"""),44469.64583333333)</f>
        <v>44469.64583</v>
      </c>
      <c r="C1979" s="9">
        <f>IFERROR(__xludf.DUMMYFUNCTION("""COMPUTED_VALUE"""),1703.0)</f>
        <v>1703</v>
      </c>
      <c r="D1979" s="9">
        <f>IFERROR(__xludf.DUMMYFUNCTION("""COMPUTED_VALUE"""),1703.0)</f>
        <v>1703</v>
      </c>
      <c r="E1979" s="9">
        <f>IFERROR(__xludf.DUMMYFUNCTION("""COMPUTED_VALUE"""),1670.1)</f>
        <v>1670.1</v>
      </c>
      <c r="F1979" s="9">
        <f>IFERROR(__xludf.DUMMYFUNCTION("""COMPUTED_VALUE"""),1675.2)</f>
        <v>1675.2</v>
      </c>
      <c r="G1979" s="9">
        <f>IFERROR(__xludf.DUMMYFUNCTION("""COMPUTED_VALUE"""),6914031.0)</f>
        <v>6914031</v>
      </c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</row>
    <row r="1980">
      <c r="A1980" s="1"/>
      <c r="B1980" s="22">
        <f>IFERROR(__xludf.DUMMYFUNCTION("""COMPUTED_VALUE"""),44470.64583333333)</f>
        <v>44470.64583</v>
      </c>
      <c r="C1980" s="9">
        <f>IFERROR(__xludf.DUMMYFUNCTION("""COMPUTED_VALUE"""),1665.1)</f>
        <v>1665.1</v>
      </c>
      <c r="D1980" s="9">
        <f>IFERROR(__xludf.DUMMYFUNCTION("""COMPUTED_VALUE"""),1678.95)</f>
        <v>1678.95</v>
      </c>
      <c r="E1980" s="9">
        <f>IFERROR(__xludf.DUMMYFUNCTION("""COMPUTED_VALUE"""),1661.25)</f>
        <v>1661.25</v>
      </c>
      <c r="F1980" s="9">
        <f>IFERROR(__xludf.DUMMYFUNCTION("""COMPUTED_VALUE"""),1665.15)</f>
        <v>1665.15</v>
      </c>
      <c r="G1980" s="9">
        <f>IFERROR(__xludf.DUMMYFUNCTION("""COMPUTED_VALUE"""),5733906.0)</f>
        <v>5733906</v>
      </c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</row>
    <row r="1981">
      <c r="A1981" s="1"/>
      <c r="B1981" s="22">
        <f>IFERROR(__xludf.DUMMYFUNCTION("""COMPUTED_VALUE"""),44473.64583333333)</f>
        <v>44473.64583</v>
      </c>
      <c r="C1981" s="9">
        <f>IFERROR(__xludf.DUMMYFUNCTION("""COMPUTED_VALUE"""),1672.5)</f>
        <v>1672.5</v>
      </c>
      <c r="D1981" s="9">
        <f>IFERROR(__xludf.DUMMYFUNCTION("""COMPUTED_VALUE"""),1688.0)</f>
        <v>1688</v>
      </c>
      <c r="E1981" s="9">
        <f>IFERROR(__xludf.DUMMYFUNCTION("""COMPUTED_VALUE"""),1665.4)</f>
        <v>1665.4</v>
      </c>
      <c r="F1981" s="9">
        <f>IFERROR(__xludf.DUMMYFUNCTION("""COMPUTED_VALUE"""),1678.75)</f>
        <v>1678.75</v>
      </c>
      <c r="G1981" s="9">
        <f>IFERROR(__xludf.DUMMYFUNCTION("""COMPUTED_VALUE"""),2947154.0)</f>
        <v>2947154</v>
      </c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</row>
    <row r="1982">
      <c r="A1982" s="1"/>
      <c r="B1982" s="22">
        <f>IFERROR(__xludf.DUMMYFUNCTION("""COMPUTED_VALUE"""),44474.64583333333)</f>
        <v>44474.64583</v>
      </c>
      <c r="C1982" s="9">
        <f>IFERROR(__xludf.DUMMYFUNCTION("""COMPUTED_VALUE"""),1671.0)</f>
        <v>1671</v>
      </c>
      <c r="D1982" s="9">
        <f>IFERROR(__xludf.DUMMYFUNCTION("""COMPUTED_VALUE"""),1702.95)</f>
        <v>1702.95</v>
      </c>
      <c r="E1982" s="9">
        <f>IFERROR(__xludf.DUMMYFUNCTION("""COMPUTED_VALUE"""),1663.0)</f>
        <v>1663</v>
      </c>
      <c r="F1982" s="9">
        <f>IFERROR(__xludf.DUMMYFUNCTION("""COMPUTED_VALUE"""),1692.8)</f>
        <v>1692.8</v>
      </c>
      <c r="G1982" s="9">
        <f>IFERROR(__xludf.DUMMYFUNCTION("""COMPUTED_VALUE"""),4373310.0)</f>
        <v>4373310</v>
      </c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</row>
    <row r="1983">
      <c r="A1983" s="1"/>
      <c r="B1983" s="22">
        <f>IFERROR(__xludf.DUMMYFUNCTION("""COMPUTED_VALUE"""),44475.64583333333)</f>
        <v>44475.64583</v>
      </c>
      <c r="C1983" s="9">
        <f>IFERROR(__xludf.DUMMYFUNCTION("""COMPUTED_VALUE"""),1702.1)</f>
        <v>1702.1</v>
      </c>
      <c r="D1983" s="9">
        <f>IFERROR(__xludf.DUMMYFUNCTION("""COMPUTED_VALUE"""),1709.0)</f>
        <v>1709</v>
      </c>
      <c r="E1983" s="9">
        <f>IFERROR(__xludf.DUMMYFUNCTION("""COMPUTED_VALUE"""),1670.0)</f>
        <v>1670</v>
      </c>
      <c r="F1983" s="9">
        <f>IFERROR(__xludf.DUMMYFUNCTION("""COMPUTED_VALUE"""),1673.55)</f>
        <v>1673.55</v>
      </c>
      <c r="G1983" s="9">
        <f>IFERROR(__xludf.DUMMYFUNCTION("""COMPUTED_VALUE"""),4271698.0)</f>
        <v>4271698</v>
      </c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</row>
    <row r="1984">
      <c r="A1984" s="1"/>
      <c r="B1984" s="22">
        <f>IFERROR(__xludf.DUMMYFUNCTION("""COMPUTED_VALUE"""),44476.64583333333)</f>
        <v>44476.64583</v>
      </c>
      <c r="C1984" s="9">
        <f>IFERROR(__xludf.DUMMYFUNCTION("""COMPUTED_VALUE"""),1687.0)</f>
        <v>1687</v>
      </c>
      <c r="D1984" s="9">
        <f>IFERROR(__xludf.DUMMYFUNCTION("""COMPUTED_VALUE"""),1704.2)</f>
        <v>1704.2</v>
      </c>
      <c r="E1984" s="9">
        <f>IFERROR(__xludf.DUMMYFUNCTION("""COMPUTED_VALUE"""),1676.65)</f>
        <v>1676.65</v>
      </c>
      <c r="F1984" s="9">
        <f>IFERROR(__xludf.DUMMYFUNCTION("""COMPUTED_VALUE"""),1691.0)</f>
        <v>1691</v>
      </c>
      <c r="G1984" s="9">
        <f>IFERROR(__xludf.DUMMYFUNCTION("""COMPUTED_VALUE"""),5476108.0)</f>
        <v>5476108</v>
      </c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</row>
    <row r="1985">
      <c r="A1985" s="1"/>
      <c r="B1985" s="22">
        <f>IFERROR(__xludf.DUMMYFUNCTION("""COMPUTED_VALUE"""),44477.64583333333)</f>
        <v>44477.64583</v>
      </c>
      <c r="C1985" s="9">
        <f>IFERROR(__xludf.DUMMYFUNCTION("""COMPUTED_VALUE"""),1705.25)</f>
        <v>1705.25</v>
      </c>
      <c r="D1985" s="9">
        <f>IFERROR(__xludf.DUMMYFUNCTION("""COMPUTED_VALUE"""),1731.5)</f>
        <v>1731.5</v>
      </c>
      <c r="E1985" s="9">
        <f>IFERROR(__xludf.DUMMYFUNCTION("""COMPUTED_VALUE"""),1698.4)</f>
        <v>1698.4</v>
      </c>
      <c r="F1985" s="9">
        <f>IFERROR(__xludf.DUMMYFUNCTION("""COMPUTED_VALUE"""),1723.85)</f>
        <v>1723.85</v>
      </c>
      <c r="G1985" s="9">
        <f>IFERROR(__xludf.DUMMYFUNCTION("""COMPUTED_VALUE"""),4738376.0)</f>
        <v>4738376</v>
      </c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</row>
    <row r="1986">
      <c r="A1986" s="1"/>
      <c r="B1986" s="22">
        <f>IFERROR(__xludf.DUMMYFUNCTION("""COMPUTED_VALUE"""),44480.64583333333)</f>
        <v>44480.64583</v>
      </c>
      <c r="C1986" s="9">
        <f>IFERROR(__xludf.DUMMYFUNCTION("""COMPUTED_VALUE"""),1682.0)</f>
        <v>1682</v>
      </c>
      <c r="D1986" s="9">
        <f>IFERROR(__xludf.DUMMYFUNCTION("""COMPUTED_VALUE"""),1730.0)</f>
        <v>1730</v>
      </c>
      <c r="E1986" s="9">
        <f>IFERROR(__xludf.DUMMYFUNCTION("""COMPUTED_VALUE"""),1663.7)</f>
        <v>1663.7</v>
      </c>
      <c r="F1986" s="9">
        <f>IFERROR(__xludf.DUMMYFUNCTION("""COMPUTED_VALUE"""),1690.95)</f>
        <v>1690.95</v>
      </c>
      <c r="G1986" s="9">
        <f>IFERROR(__xludf.DUMMYFUNCTION("""COMPUTED_VALUE"""),8840633.0)</f>
        <v>8840633</v>
      </c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</row>
    <row r="1987">
      <c r="A1987" s="1"/>
      <c r="B1987" s="22">
        <f>IFERROR(__xludf.DUMMYFUNCTION("""COMPUTED_VALUE"""),44481.64583333333)</f>
        <v>44481.64583</v>
      </c>
      <c r="C1987" s="9">
        <f>IFERROR(__xludf.DUMMYFUNCTION("""COMPUTED_VALUE"""),1677.0)</f>
        <v>1677</v>
      </c>
      <c r="D1987" s="9">
        <f>IFERROR(__xludf.DUMMYFUNCTION("""COMPUTED_VALUE"""),1689.0)</f>
        <v>1689</v>
      </c>
      <c r="E1987" s="9">
        <f>IFERROR(__xludf.DUMMYFUNCTION("""COMPUTED_VALUE"""),1662.0)</f>
        <v>1662</v>
      </c>
      <c r="F1987" s="9">
        <f>IFERROR(__xludf.DUMMYFUNCTION("""COMPUTED_VALUE"""),1685.15)</f>
        <v>1685.15</v>
      </c>
      <c r="G1987" s="9">
        <f>IFERROR(__xludf.DUMMYFUNCTION("""COMPUTED_VALUE"""),7439300.0)</f>
        <v>7439300</v>
      </c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</row>
    <row r="1988">
      <c r="A1988" s="1"/>
      <c r="B1988" s="22">
        <f>IFERROR(__xludf.DUMMYFUNCTION("""COMPUTED_VALUE"""),44482.64583333333)</f>
        <v>44482.64583</v>
      </c>
      <c r="C1988" s="9">
        <f>IFERROR(__xludf.DUMMYFUNCTION("""COMPUTED_VALUE"""),1695.95)</f>
        <v>1695.95</v>
      </c>
      <c r="D1988" s="9">
        <f>IFERROR(__xludf.DUMMYFUNCTION("""COMPUTED_VALUE"""),1713.65)</f>
        <v>1713.65</v>
      </c>
      <c r="E1988" s="9">
        <f>IFERROR(__xludf.DUMMYFUNCTION("""COMPUTED_VALUE"""),1680.05)</f>
        <v>1680.05</v>
      </c>
      <c r="F1988" s="9">
        <f>IFERROR(__xludf.DUMMYFUNCTION("""COMPUTED_VALUE"""),1709.2)</f>
        <v>1709.2</v>
      </c>
      <c r="G1988" s="9">
        <f>IFERROR(__xludf.DUMMYFUNCTION("""COMPUTED_VALUE"""),7104171.0)</f>
        <v>7104171</v>
      </c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</row>
    <row r="1989">
      <c r="A1989" s="1"/>
      <c r="B1989" s="22">
        <f>IFERROR(__xludf.DUMMYFUNCTION("""COMPUTED_VALUE"""),44483.64583333333)</f>
        <v>44483.64583</v>
      </c>
      <c r="C1989" s="9">
        <f>IFERROR(__xludf.DUMMYFUNCTION("""COMPUTED_VALUE"""),1754.0)</f>
        <v>1754</v>
      </c>
      <c r="D1989" s="9">
        <f>IFERROR(__xludf.DUMMYFUNCTION("""COMPUTED_VALUE"""),1783.6)</f>
        <v>1783.6</v>
      </c>
      <c r="E1989" s="9">
        <f>IFERROR(__xludf.DUMMYFUNCTION("""COMPUTED_VALUE"""),1698.2)</f>
        <v>1698.2</v>
      </c>
      <c r="F1989" s="9">
        <f>IFERROR(__xludf.DUMMYFUNCTION("""COMPUTED_VALUE"""),1715.75)</f>
        <v>1715.75</v>
      </c>
      <c r="G1989" s="9">
        <f>IFERROR(__xludf.DUMMYFUNCTION("""COMPUTED_VALUE"""),1.9655776E7)</f>
        <v>19655776</v>
      </c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</row>
    <row r="1990">
      <c r="A1990" s="1"/>
      <c r="B1990" s="22">
        <f>IFERROR(__xludf.DUMMYFUNCTION("""COMPUTED_VALUE"""),44487.64583333333)</f>
        <v>44487.64583</v>
      </c>
      <c r="C1990" s="9">
        <f>IFERROR(__xludf.DUMMYFUNCTION("""COMPUTED_VALUE"""),1740.0)</f>
        <v>1740</v>
      </c>
      <c r="D1990" s="9">
        <f>IFERROR(__xludf.DUMMYFUNCTION("""COMPUTED_VALUE"""),1799.0)</f>
        <v>1799</v>
      </c>
      <c r="E1990" s="9">
        <f>IFERROR(__xludf.DUMMYFUNCTION("""COMPUTED_VALUE"""),1740.0)</f>
        <v>1740</v>
      </c>
      <c r="F1990" s="9">
        <f>IFERROR(__xludf.DUMMYFUNCTION("""COMPUTED_VALUE"""),1792.15)</f>
        <v>1792.15</v>
      </c>
      <c r="G1990" s="9">
        <f>IFERROR(__xludf.DUMMYFUNCTION("""COMPUTED_VALUE"""),1.3438109E7)</f>
        <v>13438109</v>
      </c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</row>
    <row r="1991">
      <c r="A1991" s="1"/>
      <c r="B1991" s="22">
        <f>IFERROR(__xludf.DUMMYFUNCTION("""COMPUTED_VALUE"""),44488.64583333333)</f>
        <v>44488.64583</v>
      </c>
      <c r="C1991" s="9">
        <f>IFERROR(__xludf.DUMMYFUNCTION("""COMPUTED_VALUE"""),1814.0)</f>
        <v>1814</v>
      </c>
      <c r="D1991" s="9">
        <f>IFERROR(__xludf.DUMMYFUNCTION("""COMPUTED_VALUE"""),1834.5)</f>
        <v>1834.5</v>
      </c>
      <c r="E1991" s="9">
        <f>IFERROR(__xludf.DUMMYFUNCTION("""COMPUTED_VALUE"""),1782.3)</f>
        <v>1782.3</v>
      </c>
      <c r="F1991" s="9">
        <f>IFERROR(__xludf.DUMMYFUNCTION("""COMPUTED_VALUE"""),1822.15)</f>
        <v>1822.15</v>
      </c>
      <c r="G1991" s="9">
        <f>IFERROR(__xludf.DUMMYFUNCTION("""COMPUTED_VALUE"""),1.032426E7)</f>
        <v>10324260</v>
      </c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</row>
    <row r="1992">
      <c r="A1992" s="1"/>
      <c r="B1992" s="22">
        <f>IFERROR(__xludf.DUMMYFUNCTION("""COMPUTED_VALUE"""),44489.64583333333)</f>
        <v>44489.64583</v>
      </c>
      <c r="C1992" s="9">
        <f>IFERROR(__xludf.DUMMYFUNCTION("""COMPUTED_VALUE"""),1829.4)</f>
        <v>1829.4</v>
      </c>
      <c r="D1992" s="9">
        <f>IFERROR(__xludf.DUMMYFUNCTION("""COMPUTED_VALUE"""),1848.0)</f>
        <v>1848</v>
      </c>
      <c r="E1992" s="9">
        <f>IFERROR(__xludf.DUMMYFUNCTION("""COMPUTED_VALUE"""),1794.05)</f>
        <v>1794.05</v>
      </c>
      <c r="F1992" s="9">
        <f>IFERROR(__xludf.DUMMYFUNCTION("""COMPUTED_VALUE"""),1802.35)</f>
        <v>1802.35</v>
      </c>
      <c r="G1992" s="9">
        <f>IFERROR(__xludf.DUMMYFUNCTION("""COMPUTED_VALUE"""),5876115.0)</f>
        <v>5876115</v>
      </c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</row>
    <row r="1993">
      <c r="A1993" s="1"/>
      <c r="B1993" s="22">
        <f>IFERROR(__xludf.DUMMYFUNCTION("""COMPUTED_VALUE"""),44490.64583333333)</f>
        <v>44490.64583</v>
      </c>
      <c r="C1993" s="9">
        <f>IFERROR(__xludf.DUMMYFUNCTION("""COMPUTED_VALUE"""),1814.0)</f>
        <v>1814</v>
      </c>
      <c r="D1993" s="9">
        <f>IFERROR(__xludf.DUMMYFUNCTION("""COMPUTED_VALUE"""),1814.0)</f>
        <v>1814</v>
      </c>
      <c r="E1993" s="9">
        <f>IFERROR(__xludf.DUMMYFUNCTION("""COMPUTED_VALUE"""),1746.85)</f>
        <v>1746.85</v>
      </c>
      <c r="F1993" s="9">
        <f>IFERROR(__xludf.DUMMYFUNCTION("""COMPUTED_VALUE"""),1753.65)</f>
        <v>1753.65</v>
      </c>
      <c r="G1993" s="9">
        <f>IFERROR(__xludf.DUMMYFUNCTION("""COMPUTED_VALUE"""),8779629.0)</f>
        <v>8779629</v>
      </c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</row>
    <row r="1994">
      <c r="A1994" s="1"/>
      <c r="B1994" s="22">
        <f>IFERROR(__xludf.DUMMYFUNCTION("""COMPUTED_VALUE"""),44491.64583333333)</f>
        <v>44491.64583</v>
      </c>
      <c r="C1994" s="9">
        <f>IFERROR(__xludf.DUMMYFUNCTION("""COMPUTED_VALUE"""),1749.9)</f>
        <v>1749.9</v>
      </c>
      <c r="D1994" s="9">
        <f>IFERROR(__xludf.DUMMYFUNCTION("""COMPUTED_VALUE"""),1763.2)</f>
        <v>1763.2</v>
      </c>
      <c r="E1994" s="9">
        <f>IFERROR(__xludf.DUMMYFUNCTION("""COMPUTED_VALUE"""),1707.0)</f>
        <v>1707</v>
      </c>
      <c r="F1994" s="9">
        <f>IFERROR(__xludf.DUMMYFUNCTION("""COMPUTED_VALUE"""),1719.8)</f>
        <v>1719.8</v>
      </c>
      <c r="G1994" s="9">
        <f>IFERROR(__xludf.DUMMYFUNCTION("""COMPUTED_VALUE"""),7369809.0)</f>
        <v>7369809</v>
      </c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</row>
    <row r="1995">
      <c r="A1995" s="1"/>
      <c r="B1995" s="22">
        <f>IFERROR(__xludf.DUMMYFUNCTION("""COMPUTED_VALUE"""),44494.64583333333)</f>
        <v>44494.64583</v>
      </c>
      <c r="C1995" s="9">
        <f>IFERROR(__xludf.DUMMYFUNCTION("""COMPUTED_VALUE"""),1722.05)</f>
        <v>1722.05</v>
      </c>
      <c r="D1995" s="9">
        <f>IFERROR(__xludf.DUMMYFUNCTION("""COMPUTED_VALUE"""),1729.75)</f>
        <v>1729.75</v>
      </c>
      <c r="E1995" s="9">
        <f>IFERROR(__xludf.DUMMYFUNCTION("""COMPUTED_VALUE"""),1687.2)</f>
        <v>1687.2</v>
      </c>
      <c r="F1995" s="9">
        <f>IFERROR(__xludf.DUMMYFUNCTION("""COMPUTED_VALUE"""),1707.55)</f>
        <v>1707.55</v>
      </c>
      <c r="G1995" s="9">
        <f>IFERROR(__xludf.DUMMYFUNCTION("""COMPUTED_VALUE"""),5905209.0)</f>
        <v>5905209</v>
      </c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</row>
    <row r="1996">
      <c r="A1996" s="1"/>
      <c r="B1996" s="22">
        <f>IFERROR(__xludf.DUMMYFUNCTION("""COMPUTED_VALUE"""),44495.64583333333)</f>
        <v>44495.64583</v>
      </c>
      <c r="C1996" s="9">
        <f>IFERROR(__xludf.DUMMYFUNCTION("""COMPUTED_VALUE"""),1710.05)</f>
        <v>1710.05</v>
      </c>
      <c r="D1996" s="9">
        <f>IFERROR(__xludf.DUMMYFUNCTION("""COMPUTED_VALUE"""),1726.6)</f>
        <v>1726.6</v>
      </c>
      <c r="E1996" s="9">
        <f>IFERROR(__xludf.DUMMYFUNCTION("""COMPUTED_VALUE"""),1695.9)</f>
        <v>1695.9</v>
      </c>
      <c r="F1996" s="9">
        <f>IFERROR(__xludf.DUMMYFUNCTION("""COMPUTED_VALUE"""),1703.7)</f>
        <v>1703.7</v>
      </c>
      <c r="G1996" s="9">
        <f>IFERROR(__xludf.DUMMYFUNCTION("""COMPUTED_VALUE"""),5871709.0)</f>
        <v>5871709</v>
      </c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</row>
    <row r="1997">
      <c r="A1997" s="1"/>
      <c r="B1997" s="22">
        <f>IFERROR(__xludf.DUMMYFUNCTION("""COMPUTED_VALUE"""),44496.64583333333)</f>
        <v>44496.64583</v>
      </c>
      <c r="C1997" s="9">
        <f>IFERROR(__xludf.DUMMYFUNCTION("""COMPUTED_VALUE"""),1709.1)</f>
        <v>1709.1</v>
      </c>
      <c r="D1997" s="9">
        <f>IFERROR(__xludf.DUMMYFUNCTION("""COMPUTED_VALUE"""),1734.15)</f>
        <v>1734.15</v>
      </c>
      <c r="E1997" s="9">
        <f>IFERROR(__xludf.DUMMYFUNCTION("""COMPUTED_VALUE"""),1701.15)</f>
        <v>1701.15</v>
      </c>
      <c r="F1997" s="9">
        <f>IFERROR(__xludf.DUMMYFUNCTION("""COMPUTED_VALUE"""),1728.95)</f>
        <v>1728.95</v>
      </c>
      <c r="G1997" s="9">
        <f>IFERROR(__xludf.DUMMYFUNCTION("""COMPUTED_VALUE"""),5090259.0)</f>
        <v>5090259</v>
      </c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</row>
    <row r="1998">
      <c r="A1998" s="1"/>
      <c r="B1998" s="22">
        <f>IFERROR(__xludf.DUMMYFUNCTION("""COMPUTED_VALUE"""),44497.64583333333)</f>
        <v>44497.64583</v>
      </c>
      <c r="C1998" s="9">
        <f>IFERROR(__xludf.DUMMYFUNCTION("""COMPUTED_VALUE"""),1719.35)</f>
        <v>1719.35</v>
      </c>
      <c r="D1998" s="9">
        <f>IFERROR(__xludf.DUMMYFUNCTION("""COMPUTED_VALUE"""),1724.75)</f>
        <v>1724.75</v>
      </c>
      <c r="E1998" s="9">
        <f>IFERROR(__xludf.DUMMYFUNCTION("""COMPUTED_VALUE"""),1692.05)</f>
        <v>1692.05</v>
      </c>
      <c r="F1998" s="9">
        <f>IFERROR(__xludf.DUMMYFUNCTION("""COMPUTED_VALUE"""),1703.9)</f>
        <v>1703.9</v>
      </c>
      <c r="G1998" s="9">
        <f>IFERROR(__xludf.DUMMYFUNCTION("""COMPUTED_VALUE"""),5329972.0)</f>
        <v>5329972</v>
      </c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</row>
    <row r="1999">
      <c r="A1999" s="1"/>
      <c r="B1999" s="22">
        <f>IFERROR(__xludf.DUMMYFUNCTION("""COMPUTED_VALUE"""),44498.64583333333)</f>
        <v>44498.64583</v>
      </c>
      <c r="C1999" s="9">
        <f>IFERROR(__xludf.DUMMYFUNCTION("""COMPUTED_VALUE"""),1699.0)</f>
        <v>1699</v>
      </c>
      <c r="D1999" s="9">
        <f>IFERROR(__xludf.DUMMYFUNCTION("""COMPUTED_VALUE"""),1712.6)</f>
        <v>1712.6</v>
      </c>
      <c r="E1999" s="9">
        <f>IFERROR(__xludf.DUMMYFUNCTION("""COMPUTED_VALUE"""),1661.05)</f>
        <v>1661.05</v>
      </c>
      <c r="F1999" s="9">
        <f>IFERROR(__xludf.DUMMYFUNCTION("""COMPUTED_VALUE"""),1667.75)</f>
        <v>1667.75</v>
      </c>
      <c r="G1999" s="9">
        <f>IFERROR(__xludf.DUMMYFUNCTION("""COMPUTED_VALUE"""),5875091.0)</f>
        <v>5875091</v>
      </c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</row>
    <row r="2000">
      <c r="A2000" s="1"/>
      <c r="B2000" s="22">
        <f>IFERROR(__xludf.DUMMYFUNCTION("""COMPUTED_VALUE"""),44501.64583333333)</f>
        <v>44501.64583</v>
      </c>
      <c r="C2000" s="9">
        <f>IFERROR(__xludf.DUMMYFUNCTION("""COMPUTED_VALUE"""),1677.5)</f>
        <v>1677.5</v>
      </c>
      <c r="D2000" s="9">
        <f>IFERROR(__xludf.DUMMYFUNCTION("""COMPUTED_VALUE"""),1707.2)</f>
        <v>1707.2</v>
      </c>
      <c r="E2000" s="9">
        <f>IFERROR(__xludf.DUMMYFUNCTION("""COMPUTED_VALUE"""),1676.0)</f>
        <v>1676</v>
      </c>
      <c r="F2000" s="9">
        <f>IFERROR(__xludf.DUMMYFUNCTION("""COMPUTED_VALUE"""),1700.05)</f>
        <v>1700.05</v>
      </c>
      <c r="G2000" s="9">
        <f>IFERROR(__xludf.DUMMYFUNCTION("""COMPUTED_VALUE"""),3636806.0)</f>
        <v>3636806</v>
      </c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</row>
    <row r="2001">
      <c r="A2001" s="1"/>
      <c r="B2001" s="22">
        <f>IFERROR(__xludf.DUMMYFUNCTION("""COMPUTED_VALUE"""),44502.64583333333)</f>
        <v>44502.64583</v>
      </c>
      <c r="C2001" s="9">
        <f>IFERROR(__xludf.DUMMYFUNCTION("""COMPUTED_VALUE"""),1695.0)</f>
        <v>1695</v>
      </c>
      <c r="D2001" s="9">
        <f>IFERROR(__xludf.DUMMYFUNCTION("""COMPUTED_VALUE"""),1706.45)</f>
        <v>1706.45</v>
      </c>
      <c r="E2001" s="9">
        <f>IFERROR(__xludf.DUMMYFUNCTION("""COMPUTED_VALUE"""),1686.35)</f>
        <v>1686.35</v>
      </c>
      <c r="F2001" s="9">
        <f>IFERROR(__xludf.DUMMYFUNCTION("""COMPUTED_VALUE"""),1697.9)</f>
        <v>1697.9</v>
      </c>
      <c r="G2001" s="9">
        <f>IFERROR(__xludf.DUMMYFUNCTION("""COMPUTED_VALUE"""),3471772.0)</f>
        <v>3471772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</row>
    <row r="2002">
      <c r="A2002" s="1"/>
      <c r="B2002" s="22">
        <f>IFERROR(__xludf.DUMMYFUNCTION("""COMPUTED_VALUE"""),44503.64583333333)</f>
        <v>44503.64583</v>
      </c>
      <c r="C2002" s="9">
        <f>IFERROR(__xludf.DUMMYFUNCTION("""COMPUTED_VALUE"""),1709.0)</f>
        <v>1709</v>
      </c>
      <c r="D2002" s="9">
        <f>IFERROR(__xludf.DUMMYFUNCTION("""COMPUTED_VALUE"""),1717.45)</f>
        <v>1717.45</v>
      </c>
      <c r="E2002" s="9">
        <f>IFERROR(__xludf.DUMMYFUNCTION("""COMPUTED_VALUE"""),1699.0)</f>
        <v>1699</v>
      </c>
      <c r="F2002" s="9">
        <f>IFERROR(__xludf.DUMMYFUNCTION("""COMPUTED_VALUE"""),1702.5)</f>
        <v>1702.5</v>
      </c>
      <c r="G2002" s="9">
        <f>IFERROR(__xludf.DUMMYFUNCTION("""COMPUTED_VALUE"""),3530713.0)</f>
        <v>3530713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</row>
    <row r="2003">
      <c r="A2003" s="1"/>
      <c r="B2003" s="22">
        <f>IFERROR(__xludf.DUMMYFUNCTION("""COMPUTED_VALUE"""),44504.80208333333)</f>
        <v>44504.80208</v>
      </c>
      <c r="C2003" s="9">
        <f>IFERROR(__xludf.DUMMYFUNCTION("""COMPUTED_VALUE"""),1715.0)</f>
        <v>1715</v>
      </c>
      <c r="D2003" s="9">
        <f>IFERROR(__xludf.DUMMYFUNCTION("""COMPUTED_VALUE"""),1717.0)</f>
        <v>1717</v>
      </c>
      <c r="E2003" s="9">
        <f>IFERROR(__xludf.DUMMYFUNCTION("""COMPUTED_VALUE"""),1705.0)</f>
        <v>1705</v>
      </c>
      <c r="F2003" s="9">
        <f>IFERROR(__xludf.DUMMYFUNCTION("""COMPUTED_VALUE"""),1708.7)</f>
        <v>1708.7</v>
      </c>
      <c r="G2003" s="9">
        <f>IFERROR(__xludf.DUMMYFUNCTION("""COMPUTED_VALUE"""),483407.0)</f>
        <v>483407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</row>
    <row r="2004">
      <c r="A2004" s="1"/>
      <c r="B2004" s="22">
        <f>IFERROR(__xludf.DUMMYFUNCTION("""COMPUTED_VALUE"""),44508.64583333333)</f>
        <v>44508.64583</v>
      </c>
      <c r="C2004" s="9">
        <f>IFERROR(__xludf.DUMMYFUNCTION("""COMPUTED_VALUE"""),1730.0)</f>
        <v>1730</v>
      </c>
      <c r="D2004" s="9">
        <f>IFERROR(__xludf.DUMMYFUNCTION("""COMPUTED_VALUE"""),1741.0)</f>
        <v>1741</v>
      </c>
      <c r="E2004" s="9">
        <f>IFERROR(__xludf.DUMMYFUNCTION("""COMPUTED_VALUE"""),1703.0)</f>
        <v>1703</v>
      </c>
      <c r="F2004" s="9">
        <f>IFERROR(__xludf.DUMMYFUNCTION("""COMPUTED_VALUE"""),1737.5)</f>
        <v>1737.5</v>
      </c>
      <c r="G2004" s="9">
        <f>IFERROR(__xludf.DUMMYFUNCTION("""COMPUTED_VALUE"""),5245903.0)</f>
        <v>5245903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</row>
    <row r="2005">
      <c r="A2005" s="1"/>
      <c r="B2005" s="22">
        <f>IFERROR(__xludf.DUMMYFUNCTION("""COMPUTED_VALUE"""),44509.64583333333)</f>
        <v>44509.64583</v>
      </c>
      <c r="C2005" s="9">
        <f>IFERROR(__xludf.DUMMYFUNCTION("""COMPUTED_VALUE"""),1734.75)</f>
        <v>1734.75</v>
      </c>
      <c r="D2005" s="9">
        <f>IFERROR(__xludf.DUMMYFUNCTION("""COMPUTED_VALUE"""),1750.0)</f>
        <v>1750</v>
      </c>
      <c r="E2005" s="9">
        <f>IFERROR(__xludf.DUMMYFUNCTION("""COMPUTED_VALUE"""),1726.0)</f>
        <v>1726</v>
      </c>
      <c r="F2005" s="9">
        <f>IFERROR(__xludf.DUMMYFUNCTION("""COMPUTED_VALUE"""),1742.5)</f>
        <v>1742.5</v>
      </c>
      <c r="G2005" s="9">
        <f>IFERROR(__xludf.DUMMYFUNCTION("""COMPUTED_VALUE"""),4016134.0)</f>
        <v>4016134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</row>
    <row r="2006">
      <c r="A2006" s="1"/>
      <c r="B2006" s="22">
        <f>IFERROR(__xludf.DUMMYFUNCTION("""COMPUTED_VALUE"""),44510.64583333333)</f>
        <v>44510.64583</v>
      </c>
      <c r="C2006" s="9">
        <f>IFERROR(__xludf.DUMMYFUNCTION("""COMPUTED_VALUE"""),1726.0)</f>
        <v>1726</v>
      </c>
      <c r="D2006" s="9">
        <f>IFERROR(__xludf.DUMMYFUNCTION("""COMPUTED_VALUE"""),1750.95)</f>
        <v>1750.95</v>
      </c>
      <c r="E2006" s="9">
        <f>IFERROR(__xludf.DUMMYFUNCTION("""COMPUTED_VALUE"""),1721.95)</f>
        <v>1721.95</v>
      </c>
      <c r="F2006" s="9">
        <f>IFERROR(__xludf.DUMMYFUNCTION("""COMPUTED_VALUE"""),1740.15)</f>
        <v>1740.15</v>
      </c>
      <c r="G2006" s="9">
        <f>IFERROR(__xludf.DUMMYFUNCTION("""COMPUTED_VALUE"""),4780368.0)</f>
        <v>4780368</v>
      </c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</row>
    <row r="2007">
      <c r="A2007" s="1"/>
      <c r="B2007" s="22">
        <f>IFERROR(__xludf.DUMMYFUNCTION("""COMPUTED_VALUE"""),44511.64583333333)</f>
        <v>44511.64583</v>
      </c>
      <c r="C2007" s="9">
        <f>IFERROR(__xludf.DUMMYFUNCTION("""COMPUTED_VALUE"""),1732.95)</f>
        <v>1732.95</v>
      </c>
      <c r="D2007" s="9">
        <f>IFERROR(__xludf.DUMMYFUNCTION("""COMPUTED_VALUE"""),1739.75)</f>
        <v>1739.75</v>
      </c>
      <c r="E2007" s="9">
        <f>IFERROR(__xludf.DUMMYFUNCTION("""COMPUTED_VALUE"""),1709.0)</f>
        <v>1709</v>
      </c>
      <c r="F2007" s="9">
        <f>IFERROR(__xludf.DUMMYFUNCTION("""COMPUTED_VALUE"""),1733.3)</f>
        <v>1733.3</v>
      </c>
      <c r="G2007" s="9">
        <f>IFERROR(__xludf.DUMMYFUNCTION("""COMPUTED_VALUE"""),4731349.0)</f>
        <v>4731349</v>
      </c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</row>
    <row r="2008">
      <c r="A2008" s="1"/>
      <c r="B2008" s="22">
        <f>IFERROR(__xludf.DUMMYFUNCTION("""COMPUTED_VALUE"""),44512.64583333333)</f>
        <v>44512.64583</v>
      </c>
      <c r="C2008" s="9">
        <f>IFERROR(__xludf.DUMMYFUNCTION("""COMPUTED_VALUE"""),1743.0)</f>
        <v>1743</v>
      </c>
      <c r="D2008" s="9">
        <f>IFERROR(__xludf.DUMMYFUNCTION("""COMPUTED_VALUE"""),1782.85)</f>
        <v>1782.85</v>
      </c>
      <c r="E2008" s="9">
        <f>IFERROR(__xludf.DUMMYFUNCTION("""COMPUTED_VALUE"""),1738.05)</f>
        <v>1738.05</v>
      </c>
      <c r="F2008" s="9">
        <f>IFERROR(__xludf.DUMMYFUNCTION("""COMPUTED_VALUE"""),1780.2)</f>
        <v>1780.2</v>
      </c>
      <c r="G2008" s="9">
        <f>IFERROR(__xludf.DUMMYFUNCTION("""COMPUTED_VALUE"""),5069009.0)</f>
        <v>5069009</v>
      </c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</row>
    <row r="2009">
      <c r="A2009" s="1"/>
      <c r="B2009" s="22">
        <f>IFERROR(__xludf.DUMMYFUNCTION("""COMPUTED_VALUE"""),44515.64583333333)</f>
        <v>44515.64583</v>
      </c>
      <c r="C2009" s="9">
        <f>IFERROR(__xludf.DUMMYFUNCTION("""COMPUTED_VALUE"""),1782.1)</f>
        <v>1782.1</v>
      </c>
      <c r="D2009" s="9">
        <f>IFERROR(__xludf.DUMMYFUNCTION("""COMPUTED_VALUE"""),1800.0)</f>
        <v>1800</v>
      </c>
      <c r="E2009" s="9">
        <f>IFERROR(__xludf.DUMMYFUNCTION("""COMPUTED_VALUE"""),1775.5)</f>
        <v>1775.5</v>
      </c>
      <c r="F2009" s="9">
        <f>IFERROR(__xludf.DUMMYFUNCTION("""COMPUTED_VALUE"""),1787.15)</f>
        <v>1787.15</v>
      </c>
      <c r="G2009" s="9">
        <f>IFERROR(__xludf.DUMMYFUNCTION("""COMPUTED_VALUE"""),4354074.0)</f>
        <v>4354074</v>
      </c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</row>
    <row r="2010">
      <c r="A2010" s="1"/>
      <c r="B2010" s="22">
        <f>IFERROR(__xludf.DUMMYFUNCTION("""COMPUTED_VALUE"""),44516.64583333333)</f>
        <v>44516.64583</v>
      </c>
      <c r="C2010" s="9">
        <f>IFERROR(__xludf.DUMMYFUNCTION("""COMPUTED_VALUE"""),1790.0)</f>
        <v>1790</v>
      </c>
      <c r="D2010" s="9">
        <f>IFERROR(__xludf.DUMMYFUNCTION("""COMPUTED_VALUE"""),1808.95)</f>
        <v>1808.95</v>
      </c>
      <c r="E2010" s="9">
        <f>IFERROR(__xludf.DUMMYFUNCTION("""COMPUTED_VALUE"""),1777.0)</f>
        <v>1777</v>
      </c>
      <c r="F2010" s="9">
        <f>IFERROR(__xludf.DUMMYFUNCTION("""COMPUTED_VALUE"""),1792.3)</f>
        <v>1792.3</v>
      </c>
      <c r="G2010" s="9">
        <f>IFERROR(__xludf.DUMMYFUNCTION("""COMPUTED_VALUE"""),6034233.0)</f>
        <v>6034233</v>
      </c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</row>
    <row r="2011">
      <c r="A2011" s="1"/>
      <c r="B2011" s="22">
        <f>IFERROR(__xludf.DUMMYFUNCTION("""COMPUTED_VALUE"""),44517.64583333333)</f>
        <v>44517.64583</v>
      </c>
      <c r="C2011" s="9">
        <f>IFERROR(__xludf.DUMMYFUNCTION("""COMPUTED_VALUE"""),1792.55)</f>
        <v>1792.55</v>
      </c>
      <c r="D2011" s="9">
        <f>IFERROR(__xludf.DUMMYFUNCTION("""COMPUTED_VALUE"""),1802.0)</f>
        <v>1802</v>
      </c>
      <c r="E2011" s="9">
        <f>IFERROR(__xludf.DUMMYFUNCTION("""COMPUTED_VALUE"""),1780.7)</f>
        <v>1780.7</v>
      </c>
      <c r="F2011" s="9">
        <f>IFERROR(__xludf.DUMMYFUNCTION("""COMPUTED_VALUE"""),1787.45)</f>
        <v>1787.45</v>
      </c>
      <c r="G2011" s="9">
        <f>IFERROR(__xludf.DUMMYFUNCTION("""COMPUTED_VALUE"""),4732492.0)</f>
        <v>4732492</v>
      </c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</row>
    <row r="2012">
      <c r="A2012" s="1"/>
      <c r="B2012" s="22">
        <f>IFERROR(__xludf.DUMMYFUNCTION("""COMPUTED_VALUE"""),44518.64583333333)</f>
        <v>44518.64583</v>
      </c>
      <c r="C2012" s="9">
        <f>IFERROR(__xludf.DUMMYFUNCTION("""COMPUTED_VALUE"""),1781.6)</f>
        <v>1781.6</v>
      </c>
      <c r="D2012" s="9">
        <f>IFERROR(__xludf.DUMMYFUNCTION("""COMPUTED_VALUE"""),1789.45)</f>
        <v>1789.45</v>
      </c>
      <c r="E2012" s="9">
        <f>IFERROR(__xludf.DUMMYFUNCTION("""COMPUTED_VALUE"""),1759.0)</f>
        <v>1759</v>
      </c>
      <c r="F2012" s="9">
        <f>IFERROR(__xludf.DUMMYFUNCTION("""COMPUTED_VALUE"""),1779.4)</f>
        <v>1779.4</v>
      </c>
      <c r="G2012" s="9">
        <f>IFERROR(__xludf.DUMMYFUNCTION("""COMPUTED_VALUE"""),4326924.0)</f>
        <v>4326924</v>
      </c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</row>
    <row r="2013">
      <c r="A2013" s="1"/>
      <c r="B2013" s="22">
        <f>IFERROR(__xludf.DUMMYFUNCTION("""COMPUTED_VALUE"""),44522.64583333333)</f>
        <v>44522.64583</v>
      </c>
      <c r="C2013" s="9">
        <f>IFERROR(__xludf.DUMMYFUNCTION("""COMPUTED_VALUE"""),1784.0)</f>
        <v>1784</v>
      </c>
      <c r="D2013" s="9">
        <f>IFERROR(__xludf.DUMMYFUNCTION("""COMPUTED_VALUE"""),1785.4)</f>
        <v>1785.4</v>
      </c>
      <c r="E2013" s="9">
        <f>IFERROR(__xludf.DUMMYFUNCTION("""COMPUTED_VALUE"""),1751.15)</f>
        <v>1751.15</v>
      </c>
      <c r="F2013" s="9">
        <f>IFERROR(__xludf.DUMMYFUNCTION("""COMPUTED_VALUE"""),1759.4)</f>
        <v>1759.4</v>
      </c>
      <c r="G2013" s="9">
        <f>IFERROR(__xludf.DUMMYFUNCTION("""COMPUTED_VALUE"""),6621839.0)</f>
        <v>6621839</v>
      </c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</row>
    <row r="2014">
      <c r="A2014" s="1"/>
      <c r="B2014" s="22">
        <f>IFERROR(__xludf.DUMMYFUNCTION("""COMPUTED_VALUE"""),44523.64583333333)</f>
        <v>44523.64583</v>
      </c>
      <c r="C2014" s="9">
        <f>IFERROR(__xludf.DUMMYFUNCTION("""COMPUTED_VALUE"""),1735.1)</f>
        <v>1735.1</v>
      </c>
      <c r="D2014" s="9">
        <f>IFERROR(__xludf.DUMMYFUNCTION("""COMPUTED_VALUE"""),1747.25)</f>
        <v>1747.25</v>
      </c>
      <c r="E2014" s="9">
        <f>IFERROR(__xludf.DUMMYFUNCTION("""COMPUTED_VALUE"""),1710.0)</f>
        <v>1710</v>
      </c>
      <c r="F2014" s="9">
        <f>IFERROR(__xludf.DUMMYFUNCTION("""COMPUTED_VALUE"""),1736.9)</f>
        <v>1736.9</v>
      </c>
      <c r="G2014" s="9">
        <f>IFERROR(__xludf.DUMMYFUNCTION("""COMPUTED_VALUE"""),8436160.0)</f>
        <v>8436160</v>
      </c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</row>
    <row r="2015">
      <c r="A2015" s="1"/>
      <c r="B2015" s="22">
        <f>IFERROR(__xludf.DUMMYFUNCTION("""COMPUTED_VALUE"""),44524.64583333333)</f>
        <v>44524.64583</v>
      </c>
      <c r="C2015" s="9">
        <f>IFERROR(__xludf.DUMMYFUNCTION("""COMPUTED_VALUE"""),1740.0)</f>
        <v>1740</v>
      </c>
      <c r="D2015" s="9">
        <f>IFERROR(__xludf.DUMMYFUNCTION("""COMPUTED_VALUE"""),1740.5)</f>
        <v>1740.5</v>
      </c>
      <c r="E2015" s="9">
        <f>IFERROR(__xludf.DUMMYFUNCTION("""COMPUTED_VALUE"""),1688.0)</f>
        <v>1688</v>
      </c>
      <c r="F2015" s="9">
        <f>IFERROR(__xludf.DUMMYFUNCTION("""COMPUTED_VALUE"""),1696.0)</f>
        <v>1696</v>
      </c>
      <c r="G2015" s="9">
        <f>IFERROR(__xludf.DUMMYFUNCTION("""COMPUTED_VALUE"""),7333061.0)</f>
        <v>7333061</v>
      </c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</row>
    <row r="2016">
      <c r="A2016" s="1"/>
      <c r="B2016" s="22">
        <f>IFERROR(__xludf.DUMMYFUNCTION("""COMPUTED_VALUE"""),44525.64583333333)</f>
        <v>44525.64583</v>
      </c>
      <c r="C2016" s="9">
        <f>IFERROR(__xludf.DUMMYFUNCTION("""COMPUTED_VALUE"""),1700.0)</f>
        <v>1700</v>
      </c>
      <c r="D2016" s="9">
        <f>IFERROR(__xludf.DUMMYFUNCTION("""COMPUTED_VALUE"""),1726.2)</f>
        <v>1726.2</v>
      </c>
      <c r="E2016" s="9">
        <f>IFERROR(__xludf.DUMMYFUNCTION("""COMPUTED_VALUE"""),1696.95)</f>
        <v>1696.95</v>
      </c>
      <c r="F2016" s="9">
        <f>IFERROR(__xludf.DUMMYFUNCTION("""COMPUTED_VALUE"""),1722.4)</f>
        <v>1722.4</v>
      </c>
      <c r="G2016" s="9">
        <f>IFERROR(__xludf.DUMMYFUNCTION("""COMPUTED_VALUE"""),4476260.0)</f>
        <v>4476260</v>
      </c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</row>
    <row r="2017">
      <c r="A2017" s="1"/>
      <c r="B2017" s="22">
        <f>IFERROR(__xludf.DUMMYFUNCTION("""COMPUTED_VALUE"""),44526.64583333333)</f>
        <v>44526.64583</v>
      </c>
      <c r="C2017" s="9">
        <f>IFERROR(__xludf.DUMMYFUNCTION("""COMPUTED_VALUE"""),1702.55)</f>
        <v>1702.55</v>
      </c>
      <c r="D2017" s="9">
        <f>IFERROR(__xludf.DUMMYFUNCTION("""COMPUTED_VALUE"""),1718.35)</f>
        <v>1718.35</v>
      </c>
      <c r="E2017" s="9">
        <f>IFERROR(__xludf.DUMMYFUNCTION("""COMPUTED_VALUE"""),1684.0)</f>
        <v>1684</v>
      </c>
      <c r="F2017" s="9">
        <f>IFERROR(__xludf.DUMMYFUNCTION("""COMPUTED_VALUE"""),1691.65)</f>
        <v>1691.65</v>
      </c>
      <c r="G2017" s="9">
        <f>IFERROR(__xludf.DUMMYFUNCTION("""COMPUTED_VALUE"""),4494181.0)</f>
        <v>4494181</v>
      </c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</row>
    <row r="2018">
      <c r="A2018" s="1"/>
      <c r="B2018" s="22">
        <f>IFERROR(__xludf.DUMMYFUNCTION("""COMPUTED_VALUE"""),44529.64583333333)</f>
        <v>44529.64583</v>
      </c>
      <c r="C2018" s="9">
        <f>IFERROR(__xludf.DUMMYFUNCTION("""COMPUTED_VALUE"""),1691.0)</f>
        <v>1691</v>
      </c>
      <c r="D2018" s="9">
        <f>IFERROR(__xludf.DUMMYFUNCTION("""COMPUTED_VALUE"""),1712.0)</f>
        <v>1712</v>
      </c>
      <c r="E2018" s="9">
        <f>IFERROR(__xludf.DUMMYFUNCTION("""COMPUTED_VALUE"""),1669.15)</f>
        <v>1669.15</v>
      </c>
      <c r="F2018" s="9">
        <f>IFERROR(__xludf.DUMMYFUNCTION("""COMPUTED_VALUE"""),1696.35)</f>
        <v>1696.35</v>
      </c>
      <c r="G2018" s="9">
        <f>IFERROR(__xludf.DUMMYFUNCTION("""COMPUTED_VALUE"""),3942776.0)</f>
        <v>3942776</v>
      </c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</row>
    <row r="2019">
      <c r="A2019" s="1"/>
      <c r="B2019" s="22">
        <f>IFERROR(__xludf.DUMMYFUNCTION("""COMPUTED_VALUE"""),44530.64583333333)</f>
        <v>44530.64583</v>
      </c>
      <c r="C2019" s="9">
        <f>IFERROR(__xludf.DUMMYFUNCTION("""COMPUTED_VALUE"""),1704.55)</f>
        <v>1704.55</v>
      </c>
      <c r="D2019" s="9">
        <f>IFERROR(__xludf.DUMMYFUNCTION("""COMPUTED_VALUE"""),1729.9)</f>
        <v>1729.9</v>
      </c>
      <c r="E2019" s="9">
        <f>IFERROR(__xludf.DUMMYFUNCTION("""COMPUTED_VALUE"""),1700.05)</f>
        <v>1700.05</v>
      </c>
      <c r="F2019" s="9">
        <f>IFERROR(__xludf.DUMMYFUNCTION("""COMPUTED_VALUE"""),1712.65)</f>
        <v>1712.65</v>
      </c>
      <c r="G2019" s="9">
        <f>IFERROR(__xludf.DUMMYFUNCTION("""COMPUTED_VALUE"""),1.4808963E7)</f>
        <v>14808963</v>
      </c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</row>
    <row r="2020">
      <c r="A2020" s="1"/>
      <c r="B2020" s="22">
        <f>IFERROR(__xludf.DUMMYFUNCTION("""COMPUTED_VALUE"""),44531.64583333333)</f>
        <v>44531.64583</v>
      </c>
      <c r="C2020" s="9">
        <f>IFERROR(__xludf.DUMMYFUNCTION("""COMPUTED_VALUE"""),1715.0)</f>
        <v>1715</v>
      </c>
      <c r="D2020" s="9">
        <f>IFERROR(__xludf.DUMMYFUNCTION("""COMPUTED_VALUE"""),1741.9)</f>
        <v>1741.9</v>
      </c>
      <c r="E2020" s="9">
        <f>IFERROR(__xludf.DUMMYFUNCTION("""COMPUTED_VALUE"""),1713.0)</f>
        <v>1713</v>
      </c>
      <c r="F2020" s="9">
        <f>IFERROR(__xludf.DUMMYFUNCTION("""COMPUTED_VALUE"""),1714.9)</f>
        <v>1714.9</v>
      </c>
      <c r="G2020" s="9">
        <f>IFERROR(__xludf.DUMMYFUNCTION("""COMPUTED_VALUE"""),5193264.0)</f>
        <v>5193264</v>
      </c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</row>
    <row r="2021">
      <c r="A2021" s="1"/>
      <c r="B2021" s="22">
        <f>IFERROR(__xludf.DUMMYFUNCTION("""COMPUTED_VALUE"""),44532.64583333333)</f>
        <v>44532.64583</v>
      </c>
      <c r="C2021" s="9">
        <f>IFERROR(__xludf.DUMMYFUNCTION("""COMPUTED_VALUE"""),1715.0)</f>
        <v>1715</v>
      </c>
      <c r="D2021" s="9">
        <f>IFERROR(__xludf.DUMMYFUNCTION("""COMPUTED_VALUE"""),1750.5)</f>
        <v>1750.5</v>
      </c>
      <c r="E2021" s="9">
        <f>IFERROR(__xludf.DUMMYFUNCTION("""COMPUTED_VALUE"""),1711.35)</f>
        <v>1711.35</v>
      </c>
      <c r="F2021" s="9">
        <f>IFERROR(__xludf.DUMMYFUNCTION("""COMPUTED_VALUE"""),1748.25)</f>
        <v>1748.25</v>
      </c>
      <c r="G2021" s="9">
        <f>IFERROR(__xludf.DUMMYFUNCTION("""COMPUTED_VALUE"""),5559574.0)</f>
        <v>5559574</v>
      </c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</row>
    <row r="2022">
      <c r="A2022" s="1"/>
      <c r="B2022" s="22">
        <f>IFERROR(__xludf.DUMMYFUNCTION("""COMPUTED_VALUE"""),44533.64583333333)</f>
        <v>44533.64583</v>
      </c>
      <c r="C2022" s="9">
        <f>IFERROR(__xludf.DUMMYFUNCTION("""COMPUTED_VALUE"""),1771.1)</f>
        <v>1771.1</v>
      </c>
      <c r="D2022" s="9">
        <f>IFERROR(__xludf.DUMMYFUNCTION("""COMPUTED_VALUE"""),1786.65)</f>
        <v>1786.65</v>
      </c>
      <c r="E2022" s="9">
        <f>IFERROR(__xludf.DUMMYFUNCTION("""COMPUTED_VALUE"""),1732.55)</f>
        <v>1732.55</v>
      </c>
      <c r="F2022" s="9">
        <f>IFERROR(__xludf.DUMMYFUNCTION("""COMPUTED_VALUE"""),1735.55)</f>
        <v>1735.55</v>
      </c>
      <c r="G2022" s="9">
        <f>IFERROR(__xludf.DUMMYFUNCTION("""COMPUTED_VALUE"""),6754012.0)</f>
        <v>6754012</v>
      </c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</row>
    <row r="2023">
      <c r="A2023" s="1"/>
      <c r="B2023" s="22">
        <f>IFERROR(__xludf.DUMMYFUNCTION("""COMPUTED_VALUE"""),44536.64583333333)</f>
        <v>44536.64583</v>
      </c>
      <c r="C2023" s="9">
        <f>IFERROR(__xludf.DUMMYFUNCTION("""COMPUTED_VALUE"""),1730.0)</f>
        <v>1730</v>
      </c>
      <c r="D2023" s="9">
        <f>IFERROR(__xludf.DUMMYFUNCTION("""COMPUTED_VALUE"""),1733.95)</f>
        <v>1733.95</v>
      </c>
      <c r="E2023" s="9">
        <f>IFERROR(__xludf.DUMMYFUNCTION("""COMPUTED_VALUE"""),1691.5)</f>
        <v>1691.5</v>
      </c>
      <c r="F2023" s="9">
        <f>IFERROR(__xludf.DUMMYFUNCTION("""COMPUTED_VALUE"""),1695.3)</f>
        <v>1695.3</v>
      </c>
      <c r="G2023" s="9">
        <f>IFERROR(__xludf.DUMMYFUNCTION("""COMPUTED_VALUE"""),3991449.0)</f>
        <v>3991449</v>
      </c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</row>
    <row r="2024">
      <c r="A2024" s="1"/>
      <c r="B2024" s="22">
        <f>IFERROR(__xludf.DUMMYFUNCTION("""COMPUTED_VALUE"""),44537.64583333333)</f>
        <v>44537.64583</v>
      </c>
      <c r="C2024" s="9">
        <f>IFERROR(__xludf.DUMMYFUNCTION("""COMPUTED_VALUE"""),1701.1)</f>
        <v>1701.1</v>
      </c>
      <c r="D2024" s="9">
        <f>IFERROR(__xludf.DUMMYFUNCTION("""COMPUTED_VALUE"""),1724.9)</f>
        <v>1724.9</v>
      </c>
      <c r="E2024" s="9">
        <f>IFERROR(__xludf.DUMMYFUNCTION("""COMPUTED_VALUE"""),1694.0)</f>
        <v>1694</v>
      </c>
      <c r="F2024" s="9">
        <f>IFERROR(__xludf.DUMMYFUNCTION("""COMPUTED_VALUE"""),1711.65)</f>
        <v>1711.65</v>
      </c>
      <c r="G2024" s="9">
        <f>IFERROR(__xludf.DUMMYFUNCTION("""COMPUTED_VALUE"""),4202122.0)</f>
        <v>4202122</v>
      </c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</row>
    <row r="2025">
      <c r="A2025" s="1"/>
      <c r="B2025" s="22">
        <f>IFERROR(__xludf.DUMMYFUNCTION("""COMPUTED_VALUE"""),44538.64583333333)</f>
        <v>44538.64583</v>
      </c>
      <c r="C2025" s="9">
        <f>IFERROR(__xludf.DUMMYFUNCTION("""COMPUTED_VALUE"""),1733.0)</f>
        <v>1733</v>
      </c>
      <c r="D2025" s="9">
        <f>IFERROR(__xludf.DUMMYFUNCTION("""COMPUTED_VALUE"""),1759.8)</f>
        <v>1759.8</v>
      </c>
      <c r="E2025" s="9">
        <f>IFERROR(__xludf.DUMMYFUNCTION("""COMPUTED_VALUE"""),1732.6)</f>
        <v>1732.6</v>
      </c>
      <c r="F2025" s="9">
        <f>IFERROR(__xludf.DUMMYFUNCTION("""COMPUTED_VALUE"""),1753.35)</f>
        <v>1753.35</v>
      </c>
      <c r="G2025" s="9">
        <f>IFERROR(__xludf.DUMMYFUNCTION("""COMPUTED_VALUE"""),3029169.0)</f>
        <v>3029169</v>
      </c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</row>
    <row r="2026">
      <c r="A2026" s="1"/>
      <c r="B2026" s="22">
        <f>IFERROR(__xludf.DUMMYFUNCTION("""COMPUTED_VALUE"""),44539.64583333333)</f>
        <v>44539.64583</v>
      </c>
      <c r="C2026" s="9">
        <f>IFERROR(__xludf.DUMMYFUNCTION("""COMPUTED_VALUE"""),1759.0)</f>
        <v>1759</v>
      </c>
      <c r="D2026" s="9">
        <f>IFERROR(__xludf.DUMMYFUNCTION("""COMPUTED_VALUE"""),1769.4)</f>
        <v>1769.4</v>
      </c>
      <c r="E2026" s="9">
        <f>IFERROR(__xludf.DUMMYFUNCTION("""COMPUTED_VALUE"""),1742.0)</f>
        <v>1742</v>
      </c>
      <c r="F2026" s="9">
        <f>IFERROR(__xludf.DUMMYFUNCTION("""COMPUTED_VALUE"""),1763.45)</f>
        <v>1763.45</v>
      </c>
      <c r="G2026" s="9">
        <f>IFERROR(__xludf.DUMMYFUNCTION("""COMPUTED_VALUE"""),2082171.0)</f>
        <v>2082171</v>
      </c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</row>
    <row r="2027">
      <c r="A2027" s="1"/>
      <c r="B2027" s="22">
        <f>IFERROR(__xludf.DUMMYFUNCTION("""COMPUTED_VALUE"""),44540.64583333333)</f>
        <v>44540.64583</v>
      </c>
      <c r="C2027" s="9">
        <f>IFERROR(__xludf.DUMMYFUNCTION("""COMPUTED_VALUE"""),1760.0)</f>
        <v>1760</v>
      </c>
      <c r="D2027" s="9">
        <f>IFERROR(__xludf.DUMMYFUNCTION("""COMPUTED_VALUE"""),1763.75)</f>
        <v>1763.75</v>
      </c>
      <c r="E2027" s="9">
        <f>IFERROR(__xludf.DUMMYFUNCTION("""COMPUTED_VALUE"""),1746.0)</f>
        <v>1746</v>
      </c>
      <c r="F2027" s="9">
        <f>IFERROR(__xludf.DUMMYFUNCTION("""COMPUTED_VALUE"""),1759.25)</f>
        <v>1759.25</v>
      </c>
      <c r="G2027" s="9">
        <f>IFERROR(__xludf.DUMMYFUNCTION("""COMPUTED_VALUE"""),1823469.0)</f>
        <v>1823469</v>
      </c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</row>
    <row r="2028">
      <c r="A2028" s="1"/>
      <c r="B2028" s="22">
        <f>IFERROR(__xludf.DUMMYFUNCTION("""COMPUTED_VALUE"""),44543.64583333333)</f>
        <v>44543.64583</v>
      </c>
      <c r="C2028" s="9">
        <f>IFERROR(__xludf.DUMMYFUNCTION("""COMPUTED_VALUE"""),1767.05)</f>
        <v>1767.05</v>
      </c>
      <c r="D2028" s="9">
        <f>IFERROR(__xludf.DUMMYFUNCTION("""COMPUTED_VALUE"""),1771.35)</f>
        <v>1771.35</v>
      </c>
      <c r="E2028" s="9">
        <f>IFERROR(__xludf.DUMMYFUNCTION("""COMPUTED_VALUE"""),1738.8)</f>
        <v>1738.8</v>
      </c>
      <c r="F2028" s="9">
        <f>IFERROR(__xludf.DUMMYFUNCTION("""COMPUTED_VALUE"""),1744.65)</f>
        <v>1744.65</v>
      </c>
      <c r="G2028" s="9">
        <f>IFERROR(__xludf.DUMMYFUNCTION("""COMPUTED_VALUE"""),4040584.0)</f>
        <v>4040584</v>
      </c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</row>
    <row r="2029">
      <c r="A2029" s="1"/>
      <c r="B2029" s="22">
        <f>IFERROR(__xludf.DUMMYFUNCTION("""COMPUTED_VALUE"""),44544.64583333333)</f>
        <v>44544.64583</v>
      </c>
      <c r="C2029" s="9">
        <f>IFERROR(__xludf.DUMMYFUNCTION("""COMPUTED_VALUE"""),1730.9)</f>
        <v>1730.9</v>
      </c>
      <c r="D2029" s="9">
        <f>IFERROR(__xludf.DUMMYFUNCTION("""COMPUTED_VALUE"""),1763.0)</f>
        <v>1763</v>
      </c>
      <c r="E2029" s="9">
        <f>IFERROR(__xludf.DUMMYFUNCTION("""COMPUTED_VALUE"""),1710.35)</f>
        <v>1710.35</v>
      </c>
      <c r="F2029" s="9">
        <f>IFERROR(__xludf.DUMMYFUNCTION("""COMPUTED_VALUE"""),1752.15)</f>
        <v>1752.15</v>
      </c>
      <c r="G2029" s="9">
        <f>IFERROR(__xludf.DUMMYFUNCTION("""COMPUTED_VALUE"""),4768144.0)</f>
        <v>4768144</v>
      </c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</row>
    <row r="2030">
      <c r="A2030" s="1"/>
      <c r="B2030" s="22">
        <f>IFERROR(__xludf.DUMMYFUNCTION("""COMPUTED_VALUE"""),44545.64583333333)</f>
        <v>44545.64583</v>
      </c>
      <c r="C2030" s="9">
        <f>IFERROR(__xludf.DUMMYFUNCTION("""COMPUTED_VALUE"""),1745.0)</f>
        <v>1745</v>
      </c>
      <c r="D2030" s="9">
        <f>IFERROR(__xludf.DUMMYFUNCTION("""COMPUTED_VALUE"""),1747.95)</f>
        <v>1747.95</v>
      </c>
      <c r="E2030" s="9">
        <f>IFERROR(__xludf.DUMMYFUNCTION("""COMPUTED_VALUE"""),1721.2)</f>
        <v>1721.2</v>
      </c>
      <c r="F2030" s="9">
        <f>IFERROR(__xludf.DUMMYFUNCTION("""COMPUTED_VALUE"""),1734.2)</f>
        <v>1734.2</v>
      </c>
      <c r="G2030" s="9">
        <f>IFERROR(__xludf.DUMMYFUNCTION("""COMPUTED_VALUE"""),3053149.0)</f>
        <v>3053149</v>
      </c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</row>
    <row r="2031">
      <c r="A2031" s="1"/>
      <c r="B2031" s="22">
        <f>IFERROR(__xludf.DUMMYFUNCTION("""COMPUTED_VALUE"""),44546.64583333333)</f>
        <v>44546.64583</v>
      </c>
      <c r="C2031" s="9">
        <f>IFERROR(__xludf.DUMMYFUNCTION("""COMPUTED_VALUE"""),1762.65)</f>
        <v>1762.65</v>
      </c>
      <c r="D2031" s="9">
        <f>IFERROR(__xludf.DUMMYFUNCTION("""COMPUTED_VALUE"""),1777.6)</f>
        <v>1777.6</v>
      </c>
      <c r="E2031" s="9">
        <f>IFERROR(__xludf.DUMMYFUNCTION("""COMPUTED_VALUE"""),1758.0)</f>
        <v>1758</v>
      </c>
      <c r="F2031" s="9">
        <f>IFERROR(__xludf.DUMMYFUNCTION("""COMPUTED_VALUE"""),1771.6)</f>
        <v>1771.6</v>
      </c>
      <c r="G2031" s="9">
        <f>IFERROR(__xludf.DUMMYFUNCTION("""COMPUTED_VALUE"""),4481031.0)</f>
        <v>4481031</v>
      </c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</row>
    <row r="2032">
      <c r="A2032" s="1"/>
      <c r="B2032" s="22">
        <f>IFERROR(__xludf.DUMMYFUNCTION("""COMPUTED_VALUE"""),44547.64583333333)</f>
        <v>44547.64583</v>
      </c>
      <c r="C2032" s="9">
        <f>IFERROR(__xludf.DUMMYFUNCTION("""COMPUTED_VALUE"""),1820.0)</f>
        <v>1820</v>
      </c>
      <c r="D2032" s="9">
        <f>IFERROR(__xludf.DUMMYFUNCTION("""COMPUTED_VALUE"""),1842.0)</f>
        <v>1842</v>
      </c>
      <c r="E2032" s="9">
        <f>IFERROR(__xludf.DUMMYFUNCTION("""COMPUTED_VALUE"""),1806.75)</f>
        <v>1806.75</v>
      </c>
      <c r="F2032" s="9">
        <f>IFERROR(__xludf.DUMMYFUNCTION("""COMPUTED_VALUE"""),1820.85)</f>
        <v>1820.85</v>
      </c>
      <c r="G2032" s="9">
        <f>IFERROR(__xludf.DUMMYFUNCTION("""COMPUTED_VALUE"""),1.8887243E7)</f>
        <v>18887243</v>
      </c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</row>
    <row r="2033">
      <c r="A2033" s="1"/>
      <c r="B2033" s="22">
        <f>IFERROR(__xludf.DUMMYFUNCTION("""COMPUTED_VALUE"""),44550.64583333333)</f>
        <v>44550.64583</v>
      </c>
      <c r="C2033" s="9">
        <f>IFERROR(__xludf.DUMMYFUNCTION("""COMPUTED_VALUE"""),1801.7)</f>
        <v>1801.7</v>
      </c>
      <c r="D2033" s="9">
        <f>IFERROR(__xludf.DUMMYFUNCTION("""COMPUTED_VALUE"""),1829.65)</f>
        <v>1829.65</v>
      </c>
      <c r="E2033" s="9">
        <f>IFERROR(__xludf.DUMMYFUNCTION("""COMPUTED_VALUE"""),1787.3)</f>
        <v>1787.3</v>
      </c>
      <c r="F2033" s="9">
        <f>IFERROR(__xludf.DUMMYFUNCTION("""COMPUTED_VALUE"""),1798.9)</f>
        <v>1798.9</v>
      </c>
      <c r="G2033" s="9">
        <f>IFERROR(__xludf.DUMMYFUNCTION("""COMPUTED_VALUE"""),5773891.0)</f>
        <v>5773891</v>
      </c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</row>
    <row r="2034">
      <c r="A2034" s="1"/>
      <c r="B2034" s="22">
        <f>IFERROR(__xludf.DUMMYFUNCTION("""COMPUTED_VALUE"""),44551.64583333333)</f>
        <v>44551.64583</v>
      </c>
      <c r="C2034" s="9">
        <f>IFERROR(__xludf.DUMMYFUNCTION("""COMPUTED_VALUE"""),1801.0)</f>
        <v>1801</v>
      </c>
      <c r="D2034" s="9">
        <f>IFERROR(__xludf.DUMMYFUNCTION("""COMPUTED_VALUE"""),1838.0)</f>
        <v>1838</v>
      </c>
      <c r="E2034" s="9">
        <f>IFERROR(__xludf.DUMMYFUNCTION("""COMPUTED_VALUE"""),1801.0)</f>
        <v>1801</v>
      </c>
      <c r="F2034" s="9">
        <f>IFERROR(__xludf.DUMMYFUNCTION("""COMPUTED_VALUE"""),1811.6)</f>
        <v>1811.6</v>
      </c>
      <c r="G2034" s="9">
        <f>IFERROR(__xludf.DUMMYFUNCTION("""COMPUTED_VALUE"""),5353584.0)</f>
        <v>5353584</v>
      </c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</row>
    <row r="2035">
      <c r="A2035" s="1"/>
      <c r="B2035" s="22">
        <f>IFERROR(__xludf.DUMMYFUNCTION("""COMPUTED_VALUE"""),44552.64583333333)</f>
        <v>44552.64583</v>
      </c>
      <c r="C2035" s="9">
        <f>IFERROR(__xludf.DUMMYFUNCTION("""COMPUTED_VALUE"""),1825.0)</f>
        <v>1825</v>
      </c>
      <c r="D2035" s="9">
        <f>IFERROR(__xludf.DUMMYFUNCTION("""COMPUTED_VALUE"""),1829.15)</f>
        <v>1829.15</v>
      </c>
      <c r="E2035" s="9">
        <f>IFERROR(__xludf.DUMMYFUNCTION("""COMPUTED_VALUE"""),1812.35)</f>
        <v>1812.35</v>
      </c>
      <c r="F2035" s="9">
        <f>IFERROR(__xludf.DUMMYFUNCTION("""COMPUTED_VALUE"""),1824.7)</f>
        <v>1824.7</v>
      </c>
      <c r="G2035" s="9">
        <f>IFERROR(__xludf.DUMMYFUNCTION("""COMPUTED_VALUE"""),4156428.0)</f>
        <v>4156428</v>
      </c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</row>
    <row r="2036">
      <c r="A2036" s="1"/>
      <c r="B2036" s="22">
        <f>IFERROR(__xludf.DUMMYFUNCTION("""COMPUTED_VALUE"""),44553.64583333333)</f>
        <v>44553.64583</v>
      </c>
      <c r="C2036" s="9">
        <f>IFERROR(__xludf.DUMMYFUNCTION("""COMPUTED_VALUE"""),1831.25)</f>
        <v>1831.25</v>
      </c>
      <c r="D2036" s="9">
        <f>IFERROR(__xludf.DUMMYFUNCTION("""COMPUTED_VALUE"""),1861.6)</f>
        <v>1861.6</v>
      </c>
      <c r="E2036" s="9">
        <f>IFERROR(__xludf.DUMMYFUNCTION("""COMPUTED_VALUE"""),1827.0)</f>
        <v>1827</v>
      </c>
      <c r="F2036" s="9">
        <f>IFERROR(__xludf.DUMMYFUNCTION("""COMPUTED_VALUE"""),1857.6)</f>
        <v>1857.6</v>
      </c>
      <c r="G2036" s="9">
        <f>IFERROR(__xludf.DUMMYFUNCTION("""COMPUTED_VALUE"""),4112933.0)</f>
        <v>4112933</v>
      </c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</row>
    <row r="2037">
      <c r="A2037" s="1"/>
      <c r="B2037" s="22">
        <f>IFERROR(__xludf.DUMMYFUNCTION("""COMPUTED_VALUE"""),44554.64583333333)</f>
        <v>44554.64583</v>
      </c>
      <c r="C2037" s="9">
        <f>IFERROR(__xludf.DUMMYFUNCTION("""COMPUTED_VALUE"""),1872.95)</f>
        <v>1872.95</v>
      </c>
      <c r="D2037" s="9">
        <f>IFERROR(__xludf.DUMMYFUNCTION("""COMPUTED_VALUE"""),1875.75)</f>
        <v>1875.75</v>
      </c>
      <c r="E2037" s="9">
        <f>IFERROR(__xludf.DUMMYFUNCTION("""COMPUTED_VALUE"""),1854.0)</f>
        <v>1854</v>
      </c>
      <c r="F2037" s="9">
        <f>IFERROR(__xludf.DUMMYFUNCTION("""COMPUTED_VALUE"""),1863.5)</f>
        <v>1863.5</v>
      </c>
      <c r="G2037" s="9">
        <f>IFERROR(__xludf.DUMMYFUNCTION("""COMPUTED_VALUE"""),3780347.0)</f>
        <v>3780347</v>
      </c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</row>
    <row r="2038">
      <c r="A2038" s="1"/>
      <c r="B2038" s="22">
        <f>IFERROR(__xludf.DUMMYFUNCTION("""COMPUTED_VALUE"""),44557.64583333333)</f>
        <v>44557.64583</v>
      </c>
      <c r="C2038" s="9">
        <f>IFERROR(__xludf.DUMMYFUNCTION("""COMPUTED_VALUE"""),1860.0)</f>
        <v>1860</v>
      </c>
      <c r="D2038" s="9">
        <f>IFERROR(__xludf.DUMMYFUNCTION("""COMPUTED_VALUE"""),1874.5)</f>
        <v>1874.5</v>
      </c>
      <c r="E2038" s="9">
        <f>IFERROR(__xludf.DUMMYFUNCTION("""COMPUTED_VALUE"""),1845.05)</f>
        <v>1845.05</v>
      </c>
      <c r="F2038" s="9">
        <f>IFERROR(__xludf.DUMMYFUNCTION("""COMPUTED_VALUE"""),1866.15)</f>
        <v>1866.15</v>
      </c>
      <c r="G2038" s="9">
        <f>IFERROR(__xludf.DUMMYFUNCTION("""COMPUTED_VALUE"""),2647733.0)</f>
        <v>2647733</v>
      </c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</row>
    <row r="2039">
      <c r="A2039" s="1"/>
      <c r="B2039" s="22">
        <f>IFERROR(__xludf.DUMMYFUNCTION("""COMPUTED_VALUE"""),44558.64583333333)</f>
        <v>44558.64583</v>
      </c>
      <c r="C2039" s="9">
        <f>IFERROR(__xludf.DUMMYFUNCTION("""COMPUTED_VALUE"""),1880.7)</f>
        <v>1880.7</v>
      </c>
      <c r="D2039" s="9">
        <f>IFERROR(__xludf.DUMMYFUNCTION("""COMPUTED_VALUE"""),1895.9)</f>
        <v>1895.9</v>
      </c>
      <c r="E2039" s="9">
        <f>IFERROR(__xludf.DUMMYFUNCTION("""COMPUTED_VALUE"""),1878.4)</f>
        <v>1878.4</v>
      </c>
      <c r="F2039" s="9">
        <f>IFERROR(__xludf.DUMMYFUNCTION("""COMPUTED_VALUE"""),1888.0)</f>
        <v>1888</v>
      </c>
      <c r="G2039" s="9">
        <f>IFERROR(__xludf.DUMMYFUNCTION("""COMPUTED_VALUE"""),3340933.0)</f>
        <v>3340933</v>
      </c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</row>
    <row r="2040">
      <c r="A2040" s="1"/>
      <c r="B2040" s="22">
        <f>IFERROR(__xludf.DUMMYFUNCTION("""COMPUTED_VALUE"""),44559.64583333333)</f>
        <v>44559.64583</v>
      </c>
      <c r="C2040" s="9">
        <f>IFERROR(__xludf.DUMMYFUNCTION("""COMPUTED_VALUE"""),1883.5)</f>
        <v>1883.5</v>
      </c>
      <c r="D2040" s="9">
        <f>IFERROR(__xludf.DUMMYFUNCTION("""COMPUTED_VALUE"""),1893.8)</f>
        <v>1893.8</v>
      </c>
      <c r="E2040" s="9">
        <f>IFERROR(__xludf.DUMMYFUNCTION("""COMPUTED_VALUE"""),1876.4)</f>
        <v>1876.4</v>
      </c>
      <c r="F2040" s="9">
        <f>IFERROR(__xludf.DUMMYFUNCTION("""COMPUTED_VALUE"""),1885.55)</f>
        <v>1885.55</v>
      </c>
      <c r="G2040" s="9">
        <f>IFERROR(__xludf.DUMMYFUNCTION("""COMPUTED_VALUE"""),3236635.0)</f>
        <v>3236635</v>
      </c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</row>
    <row r="2041">
      <c r="A2041" s="1"/>
      <c r="B2041" s="22">
        <f>IFERROR(__xludf.DUMMYFUNCTION("""COMPUTED_VALUE"""),44560.64583333333)</f>
        <v>44560.64583</v>
      </c>
      <c r="C2041" s="9">
        <f>IFERROR(__xludf.DUMMYFUNCTION("""COMPUTED_VALUE"""),1884.5)</f>
        <v>1884.5</v>
      </c>
      <c r="D2041" s="9">
        <f>IFERROR(__xludf.DUMMYFUNCTION("""COMPUTED_VALUE"""),1909.8)</f>
        <v>1909.8</v>
      </c>
      <c r="E2041" s="9">
        <f>IFERROR(__xludf.DUMMYFUNCTION("""COMPUTED_VALUE"""),1874.35)</f>
        <v>1874.35</v>
      </c>
      <c r="F2041" s="9">
        <f>IFERROR(__xludf.DUMMYFUNCTION("""COMPUTED_VALUE"""),1892.85)</f>
        <v>1892.85</v>
      </c>
      <c r="G2041" s="9">
        <f>IFERROR(__xludf.DUMMYFUNCTION("""COMPUTED_VALUE"""),4584738.0)</f>
        <v>4584738</v>
      </c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</row>
    <row r="2042">
      <c r="A2042" s="1"/>
      <c r="B2042" s="22">
        <f>IFERROR(__xludf.DUMMYFUNCTION("""COMPUTED_VALUE"""),44561.64583333333)</f>
        <v>44561.64583</v>
      </c>
      <c r="C2042" s="9">
        <f>IFERROR(__xludf.DUMMYFUNCTION("""COMPUTED_VALUE"""),1890.0)</f>
        <v>1890</v>
      </c>
      <c r="D2042" s="9">
        <f>IFERROR(__xludf.DUMMYFUNCTION("""COMPUTED_VALUE"""),1898.35)</f>
        <v>1898.35</v>
      </c>
      <c r="E2042" s="9">
        <f>IFERROR(__xludf.DUMMYFUNCTION("""COMPUTED_VALUE"""),1871.65)</f>
        <v>1871.65</v>
      </c>
      <c r="F2042" s="9">
        <f>IFERROR(__xludf.DUMMYFUNCTION("""COMPUTED_VALUE"""),1887.75)</f>
        <v>1887.75</v>
      </c>
      <c r="G2042" s="9">
        <f>IFERROR(__xludf.DUMMYFUNCTION("""COMPUTED_VALUE"""),4619420.0)</f>
        <v>4619420</v>
      </c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</row>
    <row r="2043">
      <c r="A2043" s="1"/>
      <c r="B2043" s="22">
        <f>IFERROR(__xludf.DUMMYFUNCTION("""COMPUTED_VALUE"""),44564.64583333333)</f>
        <v>44564.64583</v>
      </c>
      <c r="C2043" s="9">
        <f>IFERROR(__xludf.DUMMYFUNCTION("""COMPUTED_VALUE"""),1887.75)</f>
        <v>1887.75</v>
      </c>
      <c r="D2043" s="9">
        <f>IFERROR(__xludf.DUMMYFUNCTION("""COMPUTED_VALUE"""),1914.05)</f>
        <v>1914.05</v>
      </c>
      <c r="E2043" s="9">
        <f>IFERROR(__xludf.DUMMYFUNCTION("""COMPUTED_VALUE"""),1887.75)</f>
        <v>1887.75</v>
      </c>
      <c r="F2043" s="9">
        <f>IFERROR(__xludf.DUMMYFUNCTION("""COMPUTED_VALUE"""),1898.45)</f>
        <v>1898.45</v>
      </c>
      <c r="G2043" s="9">
        <f>IFERROR(__xludf.DUMMYFUNCTION("""COMPUTED_VALUE"""),3329616.0)</f>
        <v>3329616</v>
      </c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</row>
    <row r="2044">
      <c r="A2044" s="1"/>
      <c r="B2044" s="22">
        <f>IFERROR(__xludf.DUMMYFUNCTION("""COMPUTED_VALUE"""),44565.64583333333)</f>
        <v>44565.64583</v>
      </c>
      <c r="C2044" s="9">
        <f>IFERROR(__xludf.DUMMYFUNCTION("""COMPUTED_VALUE"""),1898.45)</f>
        <v>1898.45</v>
      </c>
      <c r="D2044" s="9">
        <f>IFERROR(__xludf.DUMMYFUNCTION("""COMPUTED_VALUE"""),1906.65)</f>
        <v>1906.65</v>
      </c>
      <c r="E2044" s="9">
        <f>IFERROR(__xludf.DUMMYFUNCTION("""COMPUTED_VALUE"""),1878.0)</f>
        <v>1878</v>
      </c>
      <c r="F2044" s="9">
        <f>IFERROR(__xludf.DUMMYFUNCTION("""COMPUTED_VALUE"""),1899.15)</f>
        <v>1899.15</v>
      </c>
      <c r="G2044" s="9">
        <f>IFERROR(__xludf.DUMMYFUNCTION("""COMPUTED_VALUE"""),3921999.0)</f>
        <v>3921999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</row>
    <row r="2045">
      <c r="A2045" s="1"/>
      <c r="B2045" s="22">
        <f>IFERROR(__xludf.DUMMYFUNCTION("""COMPUTED_VALUE"""),44566.64583333333)</f>
        <v>44566.64583</v>
      </c>
      <c r="C2045" s="9">
        <f>IFERROR(__xludf.DUMMYFUNCTION("""COMPUTED_VALUE"""),1900.0)</f>
        <v>1900</v>
      </c>
      <c r="D2045" s="9">
        <f>IFERROR(__xludf.DUMMYFUNCTION("""COMPUTED_VALUE"""),1902.9)</f>
        <v>1902.9</v>
      </c>
      <c r="E2045" s="9">
        <f>IFERROR(__xludf.DUMMYFUNCTION("""COMPUTED_VALUE"""),1840.0)</f>
        <v>1840</v>
      </c>
      <c r="F2045" s="9">
        <f>IFERROR(__xludf.DUMMYFUNCTION("""COMPUTED_VALUE"""),1844.65)</f>
        <v>1844.65</v>
      </c>
      <c r="G2045" s="9">
        <f>IFERROR(__xludf.DUMMYFUNCTION("""COMPUTED_VALUE"""),6995719.0)</f>
        <v>6995719</v>
      </c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</row>
    <row r="2046">
      <c r="A2046" s="1"/>
      <c r="B2046" s="22">
        <f>IFERROR(__xludf.DUMMYFUNCTION("""COMPUTED_VALUE"""),44567.64583333333)</f>
        <v>44567.64583</v>
      </c>
      <c r="C2046" s="9">
        <f>IFERROR(__xludf.DUMMYFUNCTION("""COMPUTED_VALUE"""),1828.0)</f>
        <v>1828</v>
      </c>
      <c r="D2046" s="9">
        <f>IFERROR(__xludf.DUMMYFUNCTION("""COMPUTED_VALUE"""),1828.0)</f>
        <v>1828</v>
      </c>
      <c r="E2046" s="9">
        <f>IFERROR(__xludf.DUMMYFUNCTION("""COMPUTED_VALUE"""),1800.0)</f>
        <v>1800</v>
      </c>
      <c r="F2046" s="9">
        <f>IFERROR(__xludf.DUMMYFUNCTION("""COMPUTED_VALUE"""),1817.8)</f>
        <v>1817.8</v>
      </c>
      <c r="G2046" s="9">
        <f>IFERROR(__xludf.DUMMYFUNCTION("""COMPUTED_VALUE"""),6449205.0)</f>
        <v>6449205</v>
      </c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</row>
    <row r="2047">
      <c r="A2047" s="1"/>
      <c r="B2047" s="22">
        <f>IFERROR(__xludf.DUMMYFUNCTION("""COMPUTED_VALUE"""),44568.64583333333)</f>
        <v>44568.64583</v>
      </c>
      <c r="C2047" s="9">
        <f>IFERROR(__xludf.DUMMYFUNCTION("""COMPUTED_VALUE"""),1815.45)</f>
        <v>1815.45</v>
      </c>
      <c r="D2047" s="9">
        <f>IFERROR(__xludf.DUMMYFUNCTION("""COMPUTED_VALUE"""),1836.0)</f>
        <v>1836</v>
      </c>
      <c r="E2047" s="9">
        <f>IFERROR(__xludf.DUMMYFUNCTION("""COMPUTED_VALUE"""),1806.8)</f>
        <v>1806.8</v>
      </c>
      <c r="F2047" s="9">
        <f>IFERROR(__xludf.DUMMYFUNCTION("""COMPUTED_VALUE"""),1814.3)</f>
        <v>1814.3</v>
      </c>
      <c r="G2047" s="9">
        <f>IFERROR(__xludf.DUMMYFUNCTION("""COMPUTED_VALUE"""),4834389.0)</f>
        <v>4834389</v>
      </c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</row>
    <row r="2048">
      <c r="A2048" s="1"/>
      <c r="B2048" s="22">
        <f>IFERROR(__xludf.DUMMYFUNCTION("""COMPUTED_VALUE"""),44571.64583333333)</f>
        <v>44571.64583</v>
      </c>
      <c r="C2048" s="9">
        <f>IFERROR(__xludf.DUMMYFUNCTION("""COMPUTED_VALUE"""),1815.0)</f>
        <v>1815</v>
      </c>
      <c r="D2048" s="9">
        <f>IFERROR(__xludf.DUMMYFUNCTION("""COMPUTED_VALUE"""),1869.9)</f>
        <v>1869.9</v>
      </c>
      <c r="E2048" s="9">
        <f>IFERROR(__xludf.DUMMYFUNCTION("""COMPUTED_VALUE"""),1813.0)</f>
        <v>1813</v>
      </c>
      <c r="F2048" s="9">
        <f>IFERROR(__xludf.DUMMYFUNCTION("""COMPUTED_VALUE"""),1850.75)</f>
        <v>1850.75</v>
      </c>
      <c r="G2048" s="9">
        <f>IFERROR(__xludf.DUMMYFUNCTION("""COMPUTED_VALUE"""),7857560.0)</f>
        <v>7857560</v>
      </c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</row>
    <row r="2049">
      <c r="A2049" s="1"/>
      <c r="B2049" s="22">
        <f>IFERROR(__xludf.DUMMYFUNCTION("""COMPUTED_VALUE"""),44572.64583333333)</f>
        <v>44572.64583</v>
      </c>
      <c r="C2049" s="9">
        <f>IFERROR(__xludf.DUMMYFUNCTION("""COMPUTED_VALUE"""),1855.0)</f>
        <v>1855</v>
      </c>
      <c r="D2049" s="9">
        <f>IFERROR(__xludf.DUMMYFUNCTION("""COMPUTED_VALUE"""),1870.0)</f>
        <v>1870</v>
      </c>
      <c r="E2049" s="9">
        <f>IFERROR(__xludf.DUMMYFUNCTION("""COMPUTED_VALUE"""),1850.15)</f>
        <v>1850.15</v>
      </c>
      <c r="F2049" s="9">
        <f>IFERROR(__xludf.DUMMYFUNCTION("""COMPUTED_VALUE"""),1855.6)</f>
        <v>1855.6</v>
      </c>
      <c r="G2049" s="9">
        <f>IFERROR(__xludf.DUMMYFUNCTION("""COMPUTED_VALUE"""),5142287.0)</f>
        <v>5142287</v>
      </c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</row>
    <row r="2050">
      <c r="A2050" s="1"/>
      <c r="B2050" s="22">
        <f>IFERROR(__xludf.DUMMYFUNCTION("""COMPUTED_VALUE"""),44573.64583333333)</f>
        <v>44573.64583</v>
      </c>
      <c r="C2050" s="9">
        <f>IFERROR(__xludf.DUMMYFUNCTION("""COMPUTED_VALUE"""),1868.9)</f>
        <v>1868.9</v>
      </c>
      <c r="D2050" s="9">
        <f>IFERROR(__xludf.DUMMYFUNCTION("""COMPUTED_VALUE"""),1889.0)</f>
        <v>1889</v>
      </c>
      <c r="E2050" s="9">
        <f>IFERROR(__xludf.DUMMYFUNCTION("""COMPUTED_VALUE"""),1860.0)</f>
        <v>1860</v>
      </c>
      <c r="F2050" s="9">
        <f>IFERROR(__xludf.DUMMYFUNCTION("""COMPUTED_VALUE"""),1877.45)</f>
        <v>1877.45</v>
      </c>
      <c r="G2050" s="9">
        <f>IFERROR(__xludf.DUMMYFUNCTION("""COMPUTED_VALUE"""),5362535.0)</f>
        <v>5362535</v>
      </c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</row>
    <row r="2051">
      <c r="A2051" s="1"/>
      <c r="B2051" s="22">
        <f>IFERROR(__xludf.DUMMYFUNCTION("""COMPUTED_VALUE"""),44574.64583333333)</f>
        <v>44574.64583</v>
      </c>
      <c r="C2051" s="9">
        <f>IFERROR(__xludf.DUMMYFUNCTION("""COMPUTED_VALUE"""),1905.0)</f>
        <v>1905</v>
      </c>
      <c r="D2051" s="9">
        <f>IFERROR(__xludf.DUMMYFUNCTION("""COMPUTED_VALUE"""),1912.5)</f>
        <v>1912.5</v>
      </c>
      <c r="E2051" s="9">
        <f>IFERROR(__xludf.DUMMYFUNCTION("""COMPUTED_VALUE"""),1866.35)</f>
        <v>1866.35</v>
      </c>
      <c r="F2051" s="9">
        <f>IFERROR(__xludf.DUMMYFUNCTION("""COMPUTED_VALUE"""),1896.8)</f>
        <v>1896.8</v>
      </c>
      <c r="G2051" s="9">
        <f>IFERROR(__xludf.DUMMYFUNCTION("""COMPUTED_VALUE"""),1.427763E7)</f>
        <v>14277630</v>
      </c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</row>
    <row r="2052">
      <c r="A2052" s="1"/>
      <c r="B2052" s="22">
        <f>IFERROR(__xludf.DUMMYFUNCTION("""COMPUTED_VALUE"""),44575.64583333333)</f>
        <v>44575.64583</v>
      </c>
      <c r="C2052" s="9">
        <f>IFERROR(__xludf.DUMMYFUNCTION("""COMPUTED_VALUE"""),1882.0)</f>
        <v>1882</v>
      </c>
      <c r="D2052" s="9">
        <f>IFERROR(__xludf.DUMMYFUNCTION("""COMPUTED_VALUE"""),1933.0)</f>
        <v>1933</v>
      </c>
      <c r="E2052" s="9">
        <f>IFERROR(__xludf.DUMMYFUNCTION("""COMPUTED_VALUE"""),1881.0)</f>
        <v>1881</v>
      </c>
      <c r="F2052" s="9">
        <f>IFERROR(__xludf.DUMMYFUNCTION("""COMPUTED_VALUE"""),1929.35)</f>
        <v>1929.35</v>
      </c>
      <c r="G2052" s="9">
        <f>IFERROR(__xludf.DUMMYFUNCTION("""COMPUTED_VALUE"""),7688506.0)</f>
        <v>7688506</v>
      </c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</row>
    <row r="2053">
      <c r="A2053" s="1"/>
      <c r="B2053" s="22">
        <f>IFERROR(__xludf.DUMMYFUNCTION("""COMPUTED_VALUE"""),44578.64583333333)</f>
        <v>44578.64583</v>
      </c>
      <c r="C2053" s="9">
        <f>IFERROR(__xludf.DUMMYFUNCTION("""COMPUTED_VALUE"""),1938.55)</f>
        <v>1938.55</v>
      </c>
      <c r="D2053" s="9">
        <f>IFERROR(__xludf.DUMMYFUNCTION("""COMPUTED_VALUE"""),1953.9)</f>
        <v>1953.9</v>
      </c>
      <c r="E2053" s="9">
        <f>IFERROR(__xludf.DUMMYFUNCTION("""COMPUTED_VALUE"""),1930.5)</f>
        <v>1930.5</v>
      </c>
      <c r="F2053" s="9">
        <f>IFERROR(__xludf.DUMMYFUNCTION("""COMPUTED_VALUE"""),1939.5)</f>
        <v>1939.5</v>
      </c>
      <c r="G2053" s="9">
        <f>IFERROR(__xludf.DUMMYFUNCTION("""COMPUTED_VALUE"""),5262464.0)</f>
        <v>5262464</v>
      </c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</row>
    <row r="2054">
      <c r="A2054" s="1"/>
      <c r="B2054" s="22">
        <f>IFERROR(__xludf.DUMMYFUNCTION("""COMPUTED_VALUE"""),44579.64583333333)</f>
        <v>44579.64583</v>
      </c>
      <c r="C2054" s="9">
        <f>IFERROR(__xludf.DUMMYFUNCTION("""COMPUTED_VALUE"""),1922.1)</f>
        <v>1922.1</v>
      </c>
      <c r="D2054" s="9">
        <f>IFERROR(__xludf.DUMMYFUNCTION("""COMPUTED_VALUE"""),1945.0)</f>
        <v>1945</v>
      </c>
      <c r="E2054" s="9">
        <f>IFERROR(__xludf.DUMMYFUNCTION("""COMPUTED_VALUE"""),1911.45)</f>
        <v>1911.45</v>
      </c>
      <c r="F2054" s="9">
        <f>IFERROR(__xludf.DUMMYFUNCTION("""COMPUTED_VALUE"""),1920.75)</f>
        <v>1920.75</v>
      </c>
      <c r="G2054" s="9">
        <f>IFERROR(__xludf.DUMMYFUNCTION("""COMPUTED_VALUE"""),3690315.0)</f>
        <v>3690315</v>
      </c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</row>
    <row r="2055">
      <c r="A2055" s="1"/>
      <c r="B2055" s="22">
        <f>IFERROR(__xludf.DUMMYFUNCTION("""COMPUTED_VALUE"""),44580.64583333333)</f>
        <v>44580.64583</v>
      </c>
      <c r="C2055" s="9">
        <f>IFERROR(__xludf.DUMMYFUNCTION("""COMPUTED_VALUE"""),1916.0)</f>
        <v>1916</v>
      </c>
      <c r="D2055" s="9">
        <f>IFERROR(__xludf.DUMMYFUNCTION("""COMPUTED_VALUE"""),1916.0)</f>
        <v>1916</v>
      </c>
      <c r="E2055" s="9">
        <f>IFERROR(__xludf.DUMMYFUNCTION("""COMPUTED_VALUE"""),1862.85)</f>
        <v>1862.85</v>
      </c>
      <c r="F2055" s="9">
        <f>IFERROR(__xludf.DUMMYFUNCTION("""COMPUTED_VALUE"""),1867.05)</f>
        <v>1867.05</v>
      </c>
      <c r="G2055" s="9">
        <f>IFERROR(__xludf.DUMMYFUNCTION("""COMPUTED_VALUE"""),5747770.0)</f>
        <v>5747770</v>
      </c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</row>
    <row r="2056">
      <c r="A2056" s="1"/>
      <c r="B2056" s="22">
        <f>IFERROR(__xludf.DUMMYFUNCTION("""COMPUTED_VALUE"""),44581.64583333333)</f>
        <v>44581.64583</v>
      </c>
      <c r="C2056" s="9">
        <f>IFERROR(__xludf.DUMMYFUNCTION("""COMPUTED_VALUE"""),1844.0)</f>
        <v>1844</v>
      </c>
      <c r="D2056" s="9">
        <f>IFERROR(__xludf.DUMMYFUNCTION("""COMPUTED_VALUE"""),1848.0)</f>
        <v>1848</v>
      </c>
      <c r="E2056" s="9">
        <f>IFERROR(__xludf.DUMMYFUNCTION("""COMPUTED_VALUE"""),1815.5)</f>
        <v>1815.5</v>
      </c>
      <c r="F2056" s="9">
        <f>IFERROR(__xludf.DUMMYFUNCTION("""COMPUTED_VALUE"""),1823.7)</f>
        <v>1823.7</v>
      </c>
      <c r="G2056" s="9">
        <f>IFERROR(__xludf.DUMMYFUNCTION("""COMPUTED_VALUE"""),5533463.0)</f>
        <v>5533463</v>
      </c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</row>
    <row r="2057">
      <c r="A2057" s="1"/>
      <c r="B2057" s="22">
        <f>IFERROR(__xludf.DUMMYFUNCTION("""COMPUTED_VALUE"""),44582.64583333333)</f>
        <v>44582.64583</v>
      </c>
      <c r="C2057" s="9">
        <f>IFERROR(__xludf.DUMMYFUNCTION("""COMPUTED_VALUE"""),1795.0)</f>
        <v>1795</v>
      </c>
      <c r="D2057" s="9">
        <f>IFERROR(__xludf.DUMMYFUNCTION("""COMPUTED_VALUE"""),1808.0)</f>
        <v>1808</v>
      </c>
      <c r="E2057" s="9">
        <f>IFERROR(__xludf.DUMMYFUNCTION("""COMPUTED_VALUE"""),1776.0)</f>
        <v>1776</v>
      </c>
      <c r="F2057" s="9">
        <f>IFERROR(__xludf.DUMMYFUNCTION("""COMPUTED_VALUE"""),1785.7)</f>
        <v>1785.7</v>
      </c>
      <c r="G2057" s="9">
        <f>IFERROR(__xludf.DUMMYFUNCTION("""COMPUTED_VALUE"""),8252758.0)</f>
        <v>8252758</v>
      </c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</row>
    <row r="2058">
      <c r="A2058" s="1"/>
      <c r="B2058" s="22">
        <f>IFERROR(__xludf.DUMMYFUNCTION("""COMPUTED_VALUE"""),44585.64583333333)</f>
        <v>44585.64583</v>
      </c>
      <c r="C2058" s="9">
        <f>IFERROR(__xludf.DUMMYFUNCTION("""COMPUTED_VALUE"""),1765.0)</f>
        <v>1765</v>
      </c>
      <c r="D2058" s="9">
        <f>IFERROR(__xludf.DUMMYFUNCTION("""COMPUTED_VALUE"""),1768.65)</f>
        <v>1768.65</v>
      </c>
      <c r="E2058" s="9">
        <f>IFERROR(__xludf.DUMMYFUNCTION("""COMPUTED_VALUE"""),1728.0)</f>
        <v>1728</v>
      </c>
      <c r="F2058" s="9">
        <f>IFERROR(__xludf.DUMMYFUNCTION("""COMPUTED_VALUE"""),1736.8)</f>
        <v>1736.8</v>
      </c>
      <c r="G2058" s="9">
        <f>IFERROR(__xludf.DUMMYFUNCTION("""COMPUTED_VALUE"""),7116712.0)</f>
        <v>7116712</v>
      </c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</row>
    <row r="2059">
      <c r="A2059" s="1"/>
      <c r="B2059" s="22">
        <f>IFERROR(__xludf.DUMMYFUNCTION("""COMPUTED_VALUE"""),44586.64583333333)</f>
        <v>44586.64583</v>
      </c>
      <c r="C2059" s="9">
        <f>IFERROR(__xludf.DUMMYFUNCTION("""COMPUTED_VALUE"""),1726.6)</f>
        <v>1726.6</v>
      </c>
      <c r="D2059" s="9">
        <f>IFERROR(__xludf.DUMMYFUNCTION("""COMPUTED_VALUE"""),1740.0)</f>
        <v>1740</v>
      </c>
      <c r="E2059" s="9">
        <f>IFERROR(__xludf.DUMMYFUNCTION("""COMPUTED_VALUE"""),1700.5)</f>
        <v>1700.5</v>
      </c>
      <c r="F2059" s="9">
        <f>IFERROR(__xludf.DUMMYFUNCTION("""COMPUTED_VALUE"""),1722.15)</f>
        <v>1722.15</v>
      </c>
      <c r="G2059" s="9">
        <f>IFERROR(__xludf.DUMMYFUNCTION("""COMPUTED_VALUE"""),9137653.0)</f>
        <v>9137653</v>
      </c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</row>
    <row r="2060">
      <c r="A2060" s="1"/>
      <c r="B2060" s="22">
        <f>IFERROR(__xludf.DUMMYFUNCTION("""COMPUTED_VALUE"""),44588.64583333333)</f>
        <v>44588.64583</v>
      </c>
      <c r="C2060" s="9">
        <f>IFERROR(__xludf.DUMMYFUNCTION("""COMPUTED_VALUE"""),1702.0)</f>
        <v>1702</v>
      </c>
      <c r="D2060" s="9">
        <f>IFERROR(__xludf.DUMMYFUNCTION("""COMPUTED_VALUE"""),1709.7)</f>
        <v>1709.7</v>
      </c>
      <c r="E2060" s="9">
        <f>IFERROR(__xludf.DUMMYFUNCTION("""COMPUTED_VALUE"""),1665.0)</f>
        <v>1665</v>
      </c>
      <c r="F2060" s="9">
        <f>IFERROR(__xludf.DUMMYFUNCTION("""COMPUTED_VALUE"""),1678.6)</f>
        <v>1678.6</v>
      </c>
      <c r="G2060" s="9">
        <f>IFERROR(__xludf.DUMMYFUNCTION("""COMPUTED_VALUE"""),1.1231734E7)</f>
        <v>11231734</v>
      </c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</row>
    <row r="2061">
      <c r="A2061" s="1"/>
      <c r="B2061" s="22">
        <f>IFERROR(__xludf.DUMMYFUNCTION("""COMPUTED_VALUE"""),44589.64583333333)</f>
        <v>44589.64583</v>
      </c>
      <c r="C2061" s="9">
        <f>IFERROR(__xludf.DUMMYFUNCTION("""COMPUTED_VALUE"""),1681.0)</f>
        <v>1681</v>
      </c>
      <c r="D2061" s="9">
        <f>IFERROR(__xludf.DUMMYFUNCTION("""COMPUTED_VALUE"""),1727.55)</f>
        <v>1727.55</v>
      </c>
      <c r="E2061" s="9">
        <f>IFERROR(__xludf.DUMMYFUNCTION("""COMPUTED_VALUE"""),1679.5)</f>
        <v>1679.5</v>
      </c>
      <c r="F2061" s="9">
        <f>IFERROR(__xludf.DUMMYFUNCTION("""COMPUTED_VALUE"""),1686.2)</f>
        <v>1686.2</v>
      </c>
      <c r="G2061" s="9">
        <f>IFERROR(__xludf.DUMMYFUNCTION("""COMPUTED_VALUE"""),1.0998502E7)</f>
        <v>10998502</v>
      </c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</row>
    <row r="2062">
      <c r="A2062" s="1"/>
      <c r="B2062" s="22">
        <f>IFERROR(__xludf.DUMMYFUNCTION("""COMPUTED_VALUE"""),44592.64583333333)</f>
        <v>44592.64583</v>
      </c>
      <c r="C2062" s="9">
        <f>IFERROR(__xludf.DUMMYFUNCTION("""COMPUTED_VALUE"""),1718.0)</f>
        <v>1718</v>
      </c>
      <c r="D2062" s="9">
        <f>IFERROR(__xludf.DUMMYFUNCTION("""COMPUTED_VALUE"""),1749.5)</f>
        <v>1749.5</v>
      </c>
      <c r="E2062" s="9">
        <f>IFERROR(__xludf.DUMMYFUNCTION("""COMPUTED_VALUE"""),1715.35)</f>
        <v>1715.35</v>
      </c>
      <c r="F2062" s="9">
        <f>IFERROR(__xludf.DUMMYFUNCTION("""COMPUTED_VALUE"""),1736.2)</f>
        <v>1736.2</v>
      </c>
      <c r="G2062" s="9">
        <f>IFERROR(__xludf.DUMMYFUNCTION("""COMPUTED_VALUE"""),8788872.0)</f>
        <v>8788872</v>
      </c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</row>
    <row r="2063">
      <c r="A2063" s="1"/>
      <c r="B2063" s="22">
        <f>IFERROR(__xludf.DUMMYFUNCTION("""COMPUTED_VALUE"""),44593.64583333333)</f>
        <v>44593.64583</v>
      </c>
      <c r="C2063" s="9">
        <f>IFERROR(__xludf.DUMMYFUNCTION("""COMPUTED_VALUE"""),1766.1)</f>
        <v>1766.1</v>
      </c>
      <c r="D2063" s="9">
        <f>IFERROR(__xludf.DUMMYFUNCTION("""COMPUTED_VALUE"""),1780.0)</f>
        <v>1780</v>
      </c>
      <c r="E2063" s="9">
        <f>IFERROR(__xludf.DUMMYFUNCTION("""COMPUTED_VALUE"""),1734.7)</f>
        <v>1734.7</v>
      </c>
      <c r="F2063" s="9">
        <f>IFERROR(__xludf.DUMMYFUNCTION("""COMPUTED_VALUE"""),1772.05)</f>
        <v>1772.05</v>
      </c>
      <c r="G2063" s="9">
        <f>IFERROR(__xludf.DUMMYFUNCTION("""COMPUTED_VALUE"""),5119935.0)</f>
        <v>5119935</v>
      </c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</row>
    <row r="2064">
      <c r="A2064" s="1"/>
      <c r="B2064" s="22">
        <f>IFERROR(__xludf.DUMMYFUNCTION("""COMPUTED_VALUE"""),44594.64583333333)</f>
        <v>44594.64583</v>
      </c>
      <c r="C2064" s="9">
        <f>IFERROR(__xludf.DUMMYFUNCTION("""COMPUTED_VALUE"""),1789.0)</f>
        <v>1789</v>
      </c>
      <c r="D2064" s="9">
        <f>IFERROR(__xludf.DUMMYFUNCTION("""COMPUTED_VALUE"""),1792.8)</f>
        <v>1792.8</v>
      </c>
      <c r="E2064" s="9">
        <f>IFERROR(__xludf.DUMMYFUNCTION("""COMPUTED_VALUE"""),1772.0)</f>
        <v>1772</v>
      </c>
      <c r="F2064" s="9">
        <f>IFERROR(__xludf.DUMMYFUNCTION("""COMPUTED_VALUE"""),1787.1)</f>
        <v>1787.1</v>
      </c>
      <c r="G2064" s="9">
        <f>IFERROR(__xludf.DUMMYFUNCTION("""COMPUTED_VALUE"""),4253717.0)</f>
        <v>4253717</v>
      </c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</row>
    <row r="2065">
      <c r="A2065" s="1"/>
      <c r="B2065" s="22">
        <f>IFERROR(__xludf.DUMMYFUNCTION("""COMPUTED_VALUE"""),44595.64583333333)</f>
        <v>44595.64583</v>
      </c>
      <c r="C2065" s="9">
        <f>IFERROR(__xludf.DUMMYFUNCTION("""COMPUTED_VALUE"""),1779.0)</f>
        <v>1779</v>
      </c>
      <c r="D2065" s="9">
        <f>IFERROR(__xludf.DUMMYFUNCTION("""COMPUTED_VALUE"""),1779.0)</f>
        <v>1779</v>
      </c>
      <c r="E2065" s="9">
        <f>IFERROR(__xludf.DUMMYFUNCTION("""COMPUTED_VALUE"""),1734.0)</f>
        <v>1734</v>
      </c>
      <c r="F2065" s="9">
        <f>IFERROR(__xludf.DUMMYFUNCTION("""COMPUTED_VALUE"""),1738.55)</f>
        <v>1738.55</v>
      </c>
      <c r="G2065" s="9">
        <f>IFERROR(__xludf.DUMMYFUNCTION("""COMPUTED_VALUE"""),3832922.0)</f>
        <v>3832922</v>
      </c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</row>
    <row r="2066">
      <c r="A2066" s="1"/>
      <c r="B2066" s="22">
        <f>IFERROR(__xludf.DUMMYFUNCTION("""COMPUTED_VALUE"""),44596.64583333333)</f>
        <v>44596.64583</v>
      </c>
      <c r="C2066" s="9">
        <f>IFERROR(__xludf.DUMMYFUNCTION("""COMPUTED_VALUE"""),1732.0)</f>
        <v>1732</v>
      </c>
      <c r="D2066" s="9">
        <f>IFERROR(__xludf.DUMMYFUNCTION("""COMPUTED_VALUE"""),1753.95)</f>
        <v>1753.95</v>
      </c>
      <c r="E2066" s="9">
        <f>IFERROR(__xludf.DUMMYFUNCTION("""COMPUTED_VALUE"""),1710.15)</f>
        <v>1710.15</v>
      </c>
      <c r="F2066" s="9">
        <f>IFERROR(__xludf.DUMMYFUNCTION("""COMPUTED_VALUE"""),1741.1)</f>
        <v>1741.1</v>
      </c>
      <c r="G2066" s="9">
        <f>IFERROR(__xludf.DUMMYFUNCTION("""COMPUTED_VALUE"""),4700077.0)</f>
        <v>4700077</v>
      </c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</row>
    <row r="2067">
      <c r="A2067" s="1"/>
      <c r="B2067" s="22">
        <f>IFERROR(__xludf.DUMMYFUNCTION("""COMPUTED_VALUE"""),44599.64583333333)</f>
        <v>44599.64583</v>
      </c>
      <c r="C2067" s="9">
        <f>IFERROR(__xludf.DUMMYFUNCTION("""COMPUTED_VALUE"""),1722.2)</f>
        <v>1722.2</v>
      </c>
      <c r="D2067" s="9">
        <f>IFERROR(__xludf.DUMMYFUNCTION("""COMPUTED_VALUE"""),1732.0)</f>
        <v>1732</v>
      </c>
      <c r="E2067" s="9">
        <f>IFERROR(__xludf.DUMMYFUNCTION("""COMPUTED_VALUE"""),1695.4)</f>
        <v>1695.4</v>
      </c>
      <c r="F2067" s="9">
        <f>IFERROR(__xludf.DUMMYFUNCTION("""COMPUTED_VALUE"""),1715.0)</f>
        <v>1715</v>
      </c>
      <c r="G2067" s="9">
        <f>IFERROR(__xludf.DUMMYFUNCTION("""COMPUTED_VALUE"""),4310209.0)</f>
        <v>4310209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</row>
    <row r="2068">
      <c r="A2068" s="1"/>
      <c r="B2068" s="22">
        <f>IFERROR(__xludf.DUMMYFUNCTION("""COMPUTED_VALUE"""),44600.64583333333)</f>
        <v>44600.64583</v>
      </c>
      <c r="C2068" s="9">
        <f>IFERROR(__xludf.DUMMYFUNCTION("""COMPUTED_VALUE"""),1710.0)</f>
        <v>1710</v>
      </c>
      <c r="D2068" s="9">
        <f>IFERROR(__xludf.DUMMYFUNCTION("""COMPUTED_VALUE"""),1725.0)</f>
        <v>1725</v>
      </c>
      <c r="E2068" s="9">
        <f>IFERROR(__xludf.DUMMYFUNCTION("""COMPUTED_VALUE"""),1696.0)</f>
        <v>1696</v>
      </c>
      <c r="F2068" s="9">
        <f>IFERROR(__xludf.DUMMYFUNCTION("""COMPUTED_VALUE"""),1717.3)</f>
        <v>1717.3</v>
      </c>
      <c r="G2068" s="9">
        <f>IFERROR(__xludf.DUMMYFUNCTION("""COMPUTED_VALUE"""),6053401.0)</f>
        <v>6053401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</row>
    <row r="2069">
      <c r="A2069" s="1"/>
      <c r="B2069" s="22">
        <f>IFERROR(__xludf.DUMMYFUNCTION("""COMPUTED_VALUE"""),44601.64583333333)</f>
        <v>44601.64583</v>
      </c>
      <c r="C2069" s="9">
        <f>IFERROR(__xludf.DUMMYFUNCTION("""COMPUTED_VALUE"""),1735.0)</f>
        <v>1735</v>
      </c>
      <c r="D2069" s="9">
        <f>IFERROR(__xludf.DUMMYFUNCTION("""COMPUTED_VALUE"""),1743.0)</f>
        <v>1743</v>
      </c>
      <c r="E2069" s="9">
        <f>IFERROR(__xludf.DUMMYFUNCTION("""COMPUTED_VALUE"""),1725.0)</f>
        <v>1725</v>
      </c>
      <c r="F2069" s="9">
        <f>IFERROR(__xludf.DUMMYFUNCTION("""COMPUTED_VALUE"""),1737.3)</f>
        <v>1737.3</v>
      </c>
      <c r="G2069" s="9">
        <f>IFERROR(__xludf.DUMMYFUNCTION("""COMPUTED_VALUE"""),3867244.0)</f>
        <v>3867244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</row>
    <row r="2070">
      <c r="A2070" s="1"/>
      <c r="B2070" s="22">
        <f>IFERROR(__xludf.DUMMYFUNCTION("""COMPUTED_VALUE"""),44602.64583333333)</f>
        <v>44602.64583</v>
      </c>
      <c r="C2070" s="9">
        <f>IFERROR(__xludf.DUMMYFUNCTION("""COMPUTED_VALUE"""),1755.65)</f>
        <v>1755.65</v>
      </c>
      <c r="D2070" s="9">
        <f>IFERROR(__xludf.DUMMYFUNCTION("""COMPUTED_VALUE"""),1773.9)</f>
        <v>1773.9</v>
      </c>
      <c r="E2070" s="9">
        <f>IFERROR(__xludf.DUMMYFUNCTION("""COMPUTED_VALUE"""),1748.75)</f>
        <v>1748.75</v>
      </c>
      <c r="F2070" s="9">
        <f>IFERROR(__xludf.DUMMYFUNCTION("""COMPUTED_VALUE"""),1769.6)</f>
        <v>1769.6</v>
      </c>
      <c r="G2070" s="9">
        <f>IFERROR(__xludf.DUMMYFUNCTION("""COMPUTED_VALUE"""),4334630.0)</f>
        <v>4334630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</row>
    <row r="2071">
      <c r="A2071" s="1"/>
      <c r="B2071" s="22">
        <f>IFERROR(__xludf.DUMMYFUNCTION("""COMPUTED_VALUE"""),44603.64583333333)</f>
        <v>44603.64583</v>
      </c>
      <c r="C2071" s="9">
        <f>IFERROR(__xludf.DUMMYFUNCTION("""COMPUTED_VALUE"""),1740.0)</f>
        <v>1740</v>
      </c>
      <c r="D2071" s="9">
        <f>IFERROR(__xludf.DUMMYFUNCTION("""COMPUTED_VALUE"""),1745.95)</f>
        <v>1745.95</v>
      </c>
      <c r="E2071" s="9">
        <f>IFERROR(__xludf.DUMMYFUNCTION("""COMPUTED_VALUE"""),1713.0)</f>
        <v>1713</v>
      </c>
      <c r="F2071" s="9">
        <f>IFERROR(__xludf.DUMMYFUNCTION("""COMPUTED_VALUE"""),1721.35)</f>
        <v>1721.35</v>
      </c>
      <c r="G2071" s="9">
        <f>IFERROR(__xludf.DUMMYFUNCTION("""COMPUTED_VALUE"""),7551371.0)</f>
        <v>7551371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</row>
    <row r="2072">
      <c r="A2072" s="1"/>
      <c r="B2072" s="22">
        <f>IFERROR(__xludf.DUMMYFUNCTION("""COMPUTED_VALUE"""),44606.64583333333)</f>
        <v>44606.64583</v>
      </c>
      <c r="C2072" s="9">
        <f>IFERROR(__xludf.DUMMYFUNCTION("""COMPUTED_VALUE"""),1690.0)</f>
        <v>1690</v>
      </c>
      <c r="D2072" s="9">
        <f>IFERROR(__xludf.DUMMYFUNCTION("""COMPUTED_VALUE"""),1718.55)</f>
        <v>1718.55</v>
      </c>
      <c r="E2072" s="9">
        <f>IFERROR(__xludf.DUMMYFUNCTION("""COMPUTED_VALUE"""),1678.25)</f>
        <v>1678.25</v>
      </c>
      <c r="F2072" s="9">
        <f>IFERROR(__xludf.DUMMYFUNCTION("""COMPUTED_VALUE"""),1682.2)</f>
        <v>1682.2</v>
      </c>
      <c r="G2072" s="9">
        <f>IFERROR(__xludf.DUMMYFUNCTION("""COMPUTED_VALUE"""),7459637.0)</f>
        <v>7459637</v>
      </c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</row>
    <row r="2073">
      <c r="A2073" s="1"/>
      <c r="B2073" s="22">
        <f>IFERROR(__xludf.DUMMYFUNCTION("""COMPUTED_VALUE"""),44607.64583333333)</f>
        <v>44607.64583</v>
      </c>
      <c r="C2073" s="9">
        <f>IFERROR(__xludf.DUMMYFUNCTION("""COMPUTED_VALUE"""),1699.0)</f>
        <v>1699</v>
      </c>
      <c r="D2073" s="9">
        <f>IFERROR(__xludf.DUMMYFUNCTION("""COMPUTED_VALUE"""),1746.75)</f>
        <v>1746.75</v>
      </c>
      <c r="E2073" s="9">
        <f>IFERROR(__xludf.DUMMYFUNCTION("""COMPUTED_VALUE"""),1690.45)</f>
        <v>1690.45</v>
      </c>
      <c r="F2073" s="9">
        <f>IFERROR(__xludf.DUMMYFUNCTION("""COMPUTED_VALUE"""),1738.25)</f>
        <v>1738.25</v>
      </c>
      <c r="G2073" s="9">
        <f>IFERROR(__xludf.DUMMYFUNCTION("""COMPUTED_VALUE"""),4669915.0)</f>
        <v>4669915</v>
      </c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</row>
    <row r="2074">
      <c r="A2074" s="1"/>
      <c r="B2074" s="22">
        <f>IFERROR(__xludf.DUMMYFUNCTION("""COMPUTED_VALUE"""),44608.64583333333)</f>
        <v>44608.64583</v>
      </c>
      <c r="C2074" s="9">
        <f>IFERROR(__xludf.DUMMYFUNCTION("""COMPUTED_VALUE"""),1738.25)</f>
        <v>1738.25</v>
      </c>
      <c r="D2074" s="9">
        <f>IFERROR(__xludf.DUMMYFUNCTION("""COMPUTED_VALUE"""),1755.45)</f>
        <v>1755.45</v>
      </c>
      <c r="E2074" s="9">
        <f>IFERROR(__xludf.DUMMYFUNCTION("""COMPUTED_VALUE"""),1726.85)</f>
        <v>1726.85</v>
      </c>
      <c r="F2074" s="9">
        <f>IFERROR(__xludf.DUMMYFUNCTION("""COMPUTED_VALUE"""),1733.3)</f>
        <v>1733.3</v>
      </c>
      <c r="G2074" s="9">
        <f>IFERROR(__xludf.DUMMYFUNCTION("""COMPUTED_VALUE"""),5350642.0)</f>
        <v>5350642</v>
      </c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</row>
    <row r="2075">
      <c r="A2075" s="1"/>
      <c r="B2075" s="22">
        <f>IFERROR(__xludf.DUMMYFUNCTION("""COMPUTED_VALUE"""),44609.64583333333)</f>
        <v>44609.64583</v>
      </c>
      <c r="C2075" s="9">
        <f>IFERROR(__xludf.DUMMYFUNCTION("""COMPUTED_VALUE"""),1744.0)</f>
        <v>1744</v>
      </c>
      <c r="D2075" s="9">
        <f>IFERROR(__xludf.DUMMYFUNCTION("""COMPUTED_VALUE"""),1749.0)</f>
        <v>1749</v>
      </c>
      <c r="E2075" s="9">
        <f>IFERROR(__xludf.DUMMYFUNCTION("""COMPUTED_VALUE"""),1720.3)</f>
        <v>1720.3</v>
      </c>
      <c r="F2075" s="9">
        <f>IFERROR(__xludf.DUMMYFUNCTION("""COMPUTED_VALUE"""),1724.8)</f>
        <v>1724.8</v>
      </c>
      <c r="G2075" s="9">
        <f>IFERROR(__xludf.DUMMYFUNCTION("""COMPUTED_VALUE"""),3937950.0)</f>
        <v>3937950</v>
      </c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</row>
    <row r="2076">
      <c r="A2076" s="1"/>
      <c r="B2076" s="22">
        <f>IFERROR(__xludf.DUMMYFUNCTION("""COMPUTED_VALUE"""),44610.64583333333)</f>
        <v>44610.64583</v>
      </c>
      <c r="C2076" s="9">
        <f>IFERROR(__xludf.DUMMYFUNCTION("""COMPUTED_VALUE"""),1710.0)</f>
        <v>1710</v>
      </c>
      <c r="D2076" s="9">
        <f>IFERROR(__xludf.DUMMYFUNCTION("""COMPUTED_VALUE"""),1722.5)</f>
        <v>1722.5</v>
      </c>
      <c r="E2076" s="9">
        <f>IFERROR(__xludf.DUMMYFUNCTION("""COMPUTED_VALUE"""),1703.5)</f>
        <v>1703.5</v>
      </c>
      <c r="F2076" s="9">
        <f>IFERROR(__xludf.DUMMYFUNCTION("""COMPUTED_VALUE"""),1706.95)</f>
        <v>1706.95</v>
      </c>
      <c r="G2076" s="9">
        <f>IFERROR(__xludf.DUMMYFUNCTION("""COMPUTED_VALUE"""),5602215.0)</f>
        <v>5602215</v>
      </c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</row>
    <row r="2077">
      <c r="A2077" s="1"/>
      <c r="B2077" s="22">
        <f>IFERROR(__xludf.DUMMYFUNCTION("""COMPUTED_VALUE"""),44613.64583333333)</f>
        <v>44613.64583</v>
      </c>
      <c r="C2077" s="9">
        <f>IFERROR(__xludf.DUMMYFUNCTION("""COMPUTED_VALUE"""),1701.0)</f>
        <v>1701</v>
      </c>
      <c r="D2077" s="9">
        <f>IFERROR(__xludf.DUMMYFUNCTION("""COMPUTED_VALUE"""),1737.3)</f>
        <v>1737.3</v>
      </c>
      <c r="E2077" s="9">
        <f>IFERROR(__xludf.DUMMYFUNCTION("""COMPUTED_VALUE"""),1691.5)</f>
        <v>1691.5</v>
      </c>
      <c r="F2077" s="9">
        <f>IFERROR(__xludf.DUMMYFUNCTION("""COMPUTED_VALUE"""),1730.7)</f>
        <v>1730.7</v>
      </c>
      <c r="G2077" s="9">
        <f>IFERROR(__xludf.DUMMYFUNCTION("""COMPUTED_VALUE"""),5120890.0)</f>
        <v>5120890</v>
      </c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</row>
    <row r="2078">
      <c r="A2078" s="1"/>
      <c r="B2078" s="22">
        <f>IFERROR(__xludf.DUMMYFUNCTION("""COMPUTED_VALUE"""),44614.64583333333)</f>
        <v>44614.64583</v>
      </c>
      <c r="C2078" s="9">
        <f>IFERROR(__xludf.DUMMYFUNCTION("""COMPUTED_VALUE"""),1699.9)</f>
        <v>1699.9</v>
      </c>
      <c r="D2078" s="9">
        <f>IFERROR(__xludf.DUMMYFUNCTION("""COMPUTED_VALUE"""),1751.0)</f>
        <v>1751</v>
      </c>
      <c r="E2078" s="9">
        <f>IFERROR(__xludf.DUMMYFUNCTION("""COMPUTED_VALUE"""),1691.05)</f>
        <v>1691.05</v>
      </c>
      <c r="F2078" s="9">
        <f>IFERROR(__xludf.DUMMYFUNCTION("""COMPUTED_VALUE"""),1734.35)</f>
        <v>1734.35</v>
      </c>
      <c r="G2078" s="9">
        <f>IFERROR(__xludf.DUMMYFUNCTION("""COMPUTED_VALUE"""),8878515.0)</f>
        <v>8878515</v>
      </c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</row>
    <row r="2079">
      <c r="A2079" s="1"/>
      <c r="B2079" s="22">
        <f>IFERROR(__xludf.DUMMYFUNCTION("""COMPUTED_VALUE"""),44615.64583333333)</f>
        <v>44615.64583</v>
      </c>
      <c r="C2079" s="9">
        <f>IFERROR(__xludf.DUMMYFUNCTION("""COMPUTED_VALUE"""),1750.0)</f>
        <v>1750</v>
      </c>
      <c r="D2079" s="9">
        <f>IFERROR(__xludf.DUMMYFUNCTION("""COMPUTED_VALUE"""),1758.25)</f>
        <v>1758.25</v>
      </c>
      <c r="E2079" s="9">
        <f>IFERROR(__xludf.DUMMYFUNCTION("""COMPUTED_VALUE"""),1733.4)</f>
        <v>1733.4</v>
      </c>
      <c r="F2079" s="9">
        <f>IFERROR(__xludf.DUMMYFUNCTION("""COMPUTED_VALUE"""),1742.85)</f>
        <v>1742.85</v>
      </c>
      <c r="G2079" s="9">
        <f>IFERROR(__xludf.DUMMYFUNCTION("""COMPUTED_VALUE"""),5478811.0)</f>
        <v>5478811</v>
      </c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</row>
    <row r="2080">
      <c r="A2080" s="1"/>
      <c r="B2080" s="22">
        <f>IFERROR(__xludf.DUMMYFUNCTION("""COMPUTED_VALUE"""),44616.64583333333)</f>
        <v>44616.64583</v>
      </c>
      <c r="C2080" s="9">
        <f>IFERROR(__xludf.DUMMYFUNCTION("""COMPUTED_VALUE"""),1690.1)</f>
        <v>1690.1</v>
      </c>
      <c r="D2080" s="9">
        <f>IFERROR(__xludf.DUMMYFUNCTION("""COMPUTED_VALUE"""),1714.95)</f>
        <v>1714.95</v>
      </c>
      <c r="E2080" s="9">
        <f>IFERROR(__xludf.DUMMYFUNCTION("""COMPUTED_VALUE"""),1670.5)</f>
        <v>1670.5</v>
      </c>
      <c r="F2080" s="9">
        <f>IFERROR(__xludf.DUMMYFUNCTION("""COMPUTED_VALUE"""),1678.15)</f>
        <v>1678.15</v>
      </c>
      <c r="G2080" s="9">
        <f>IFERROR(__xludf.DUMMYFUNCTION("""COMPUTED_VALUE"""),1.3592379E7)</f>
        <v>13592379</v>
      </c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</row>
    <row r="2081">
      <c r="A2081" s="1"/>
      <c r="B2081" s="22">
        <f>IFERROR(__xludf.DUMMYFUNCTION("""COMPUTED_VALUE"""),44617.64583333333)</f>
        <v>44617.64583</v>
      </c>
      <c r="C2081" s="9">
        <f>IFERROR(__xludf.DUMMYFUNCTION("""COMPUTED_VALUE"""),1715.0)</f>
        <v>1715</v>
      </c>
      <c r="D2081" s="9">
        <f>IFERROR(__xludf.DUMMYFUNCTION("""COMPUTED_VALUE"""),1728.15)</f>
        <v>1728.15</v>
      </c>
      <c r="E2081" s="9">
        <f>IFERROR(__xludf.DUMMYFUNCTION("""COMPUTED_VALUE"""),1677.0)</f>
        <v>1677</v>
      </c>
      <c r="F2081" s="9">
        <f>IFERROR(__xludf.DUMMYFUNCTION("""COMPUTED_VALUE"""),1694.6)</f>
        <v>1694.6</v>
      </c>
      <c r="G2081" s="9">
        <f>IFERROR(__xludf.DUMMYFUNCTION("""COMPUTED_VALUE"""),9737281.0)</f>
        <v>9737281</v>
      </c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</row>
    <row r="2082">
      <c r="A2082" s="1"/>
      <c r="B2082" s="22">
        <f>IFERROR(__xludf.DUMMYFUNCTION("""COMPUTED_VALUE"""),44620.64583333333)</f>
        <v>44620.64583</v>
      </c>
      <c r="C2082" s="9">
        <f>IFERROR(__xludf.DUMMYFUNCTION("""COMPUTED_VALUE"""),1682.2)</f>
        <v>1682.2</v>
      </c>
      <c r="D2082" s="9">
        <f>IFERROR(__xludf.DUMMYFUNCTION("""COMPUTED_VALUE"""),1728.05)</f>
        <v>1728.05</v>
      </c>
      <c r="E2082" s="9">
        <f>IFERROR(__xludf.DUMMYFUNCTION("""COMPUTED_VALUE"""),1665.0)</f>
        <v>1665</v>
      </c>
      <c r="F2082" s="9">
        <f>IFERROR(__xludf.DUMMYFUNCTION("""COMPUTED_VALUE"""),1715.6)</f>
        <v>1715.6</v>
      </c>
      <c r="G2082" s="9">
        <f>IFERROR(__xludf.DUMMYFUNCTION("""COMPUTED_VALUE"""),1.5076542E7)</f>
        <v>15076542</v>
      </c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</row>
    <row r="2083">
      <c r="A2083" s="1"/>
      <c r="B2083" s="22">
        <f>IFERROR(__xludf.DUMMYFUNCTION("""COMPUTED_VALUE"""),44622.64583333333)</f>
        <v>44622.64583</v>
      </c>
      <c r="C2083" s="9">
        <f>IFERROR(__xludf.DUMMYFUNCTION("""COMPUTED_VALUE"""),1710.0)</f>
        <v>1710</v>
      </c>
      <c r="D2083" s="9">
        <f>IFERROR(__xludf.DUMMYFUNCTION("""COMPUTED_VALUE"""),1714.4)</f>
        <v>1714.4</v>
      </c>
      <c r="E2083" s="9">
        <f>IFERROR(__xludf.DUMMYFUNCTION("""COMPUTED_VALUE"""),1691.0)</f>
        <v>1691</v>
      </c>
      <c r="F2083" s="9">
        <f>IFERROR(__xludf.DUMMYFUNCTION("""COMPUTED_VALUE"""),1702.8)</f>
        <v>1702.8</v>
      </c>
      <c r="G2083" s="9">
        <f>IFERROR(__xludf.DUMMYFUNCTION("""COMPUTED_VALUE"""),6771489.0)</f>
        <v>6771489</v>
      </c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</row>
    <row r="2084">
      <c r="A2084" s="1"/>
      <c r="B2084" s="22">
        <f>IFERROR(__xludf.DUMMYFUNCTION("""COMPUTED_VALUE"""),44623.64583333333)</f>
        <v>44623.64583</v>
      </c>
      <c r="C2084" s="9">
        <f>IFERROR(__xludf.DUMMYFUNCTION("""COMPUTED_VALUE"""),1720.2)</f>
        <v>1720.2</v>
      </c>
      <c r="D2084" s="9">
        <f>IFERROR(__xludf.DUMMYFUNCTION("""COMPUTED_VALUE"""),1733.9)</f>
        <v>1733.9</v>
      </c>
      <c r="E2084" s="9">
        <f>IFERROR(__xludf.DUMMYFUNCTION("""COMPUTED_VALUE"""),1705.55)</f>
        <v>1705.55</v>
      </c>
      <c r="F2084" s="9">
        <f>IFERROR(__xludf.DUMMYFUNCTION("""COMPUTED_VALUE"""),1720.85)</f>
        <v>1720.85</v>
      </c>
      <c r="G2084" s="9">
        <f>IFERROR(__xludf.DUMMYFUNCTION("""COMPUTED_VALUE"""),7344147.0)</f>
        <v>7344147</v>
      </c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</row>
    <row r="2085">
      <c r="A2085" s="1"/>
      <c r="B2085" s="22">
        <f>IFERROR(__xludf.DUMMYFUNCTION("""COMPUTED_VALUE"""),44624.64583333333)</f>
        <v>44624.64583</v>
      </c>
      <c r="C2085" s="9">
        <f>IFERROR(__xludf.DUMMYFUNCTION("""COMPUTED_VALUE"""),1695.25)</f>
        <v>1695.25</v>
      </c>
      <c r="D2085" s="9">
        <f>IFERROR(__xludf.DUMMYFUNCTION("""COMPUTED_VALUE"""),1736.0)</f>
        <v>1736</v>
      </c>
      <c r="E2085" s="9">
        <f>IFERROR(__xludf.DUMMYFUNCTION("""COMPUTED_VALUE"""),1681.0)</f>
        <v>1681</v>
      </c>
      <c r="F2085" s="9">
        <f>IFERROR(__xludf.DUMMYFUNCTION("""COMPUTED_VALUE"""),1723.3)</f>
        <v>1723.3</v>
      </c>
      <c r="G2085" s="9">
        <f>IFERROR(__xludf.DUMMYFUNCTION("""COMPUTED_VALUE"""),9074499.0)</f>
        <v>9074499</v>
      </c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</row>
    <row r="2086">
      <c r="A2086" s="1"/>
      <c r="B2086" s="22">
        <f>IFERROR(__xludf.DUMMYFUNCTION("""COMPUTED_VALUE"""),44627.64583333333)</f>
        <v>44627.64583</v>
      </c>
      <c r="C2086" s="9">
        <f>IFERROR(__xludf.DUMMYFUNCTION("""COMPUTED_VALUE"""),1697.0)</f>
        <v>1697</v>
      </c>
      <c r="D2086" s="9">
        <f>IFERROR(__xludf.DUMMYFUNCTION("""COMPUTED_VALUE"""),1751.0)</f>
        <v>1751</v>
      </c>
      <c r="E2086" s="9">
        <f>IFERROR(__xludf.DUMMYFUNCTION("""COMPUTED_VALUE"""),1696.0)</f>
        <v>1696</v>
      </c>
      <c r="F2086" s="9">
        <f>IFERROR(__xludf.DUMMYFUNCTION("""COMPUTED_VALUE"""),1739.85)</f>
        <v>1739.85</v>
      </c>
      <c r="G2086" s="9">
        <f>IFERROR(__xludf.DUMMYFUNCTION("""COMPUTED_VALUE"""),9742588.0)</f>
        <v>9742588</v>
      </c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</row>
    <row r="2087">
      <c r="A2087" s="1"/>
      <c r="B2087" s="22">
        <f>IFERROR(__xludf.DUMMYFUNCTION("""COMPUTED_VALUE"""),44628.64583333333)</f>
        <v>44628.64583</v>
      </c>
      <c r="C2087" s="9">
        <f>IFERROR(__xludf.DUMMYFUNCTION("""COMPUTED_VALUE"""),1718.45)</f>
        <v>1718.45</v>
      </c>
      <c r="D2087" s="9">
        <f>IFERROR(__xludf.DUMMYFUNCTION("""COMPUTED_VALUE"""),1800.0)</f>
        <v>1800</v>
      </c>
      <c r="E2087" s="9">
        <f>IFERROR(__xludf.DUMMYFUNCTION("""COMPUTED_VALUE"""),1718.45)</f>
        <v>1718.45</v>
      </c>
      <c r="F2087" s="9">
        <f>IFERROR(__xludf.DUMMYFUNCTION("""COMPUTED_VALUE"""),1778.2)</f>
        <v>1778.2</v>
      </c>
      <c r="G2087" s="9">
        <f>IFERROR(__xludf.DUMMYFUNCTION("""COMPUTED_VALUE"""),1.09845E7)</f>
        <v>10984500</v>
      </c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</row>
    <row r="2088">
      <c r="A2088" s="1"/>
      <c r="B2088" s="22">
        <f>IFERROR(__xludf.DUMMYFUNCTION("""COMPUTED_VALUE"""),44629.64583333333)</f>
        <v>44629.64583</v>
      </c>
      <c r="C2088" s="9">
        <f>IFERROR(__xludf.DUMMYFUNCTION("""COMPUTED_VALUE"""),1791.0)</f>
        <v>1791</v>
      </c>
      <c r="D2088" s="9">
        <f>IFERROR(__xludf.DUMMYFUNCTION("""COMPUTED_VALUE"""),1831.6)</f>
        <v>1831.6</v>
      </c>
      <c r="E2088" s="9">
        <f>IFERROR(__xludf.DUMMYFUNCTION("""COMPUTED_VALUE"""),1791.0)</f>
        <v>1791</v>
      </c>
      <c r="F2088" s="9">
        <f>IFERROR(__xludf.DUMMYFUNCTION("""COMPUTED_VALUE"""),1813.35)</f>
        <v>1813.35</v>
      </c>
      <c r="G2088" s="9">
        <f>IFERROR(__xludf.DUMMYFUNCTION("""COMPUTED_VALUE"""),1.0193515E7)</f>
        <v>10193515</v>
      </c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</row>
    <row r="2089">
      <c r="A2089" s="1"/>
      <c r="B2089" s="22">
        <f>IFERROR(__xludf.DUMMYFUNCTION("""COMPUTED_VALUE"""),44630.64583333333)</f>
        <v>44630.64583</v>
      </c>
      <c r="C2089" s="9">
        <f>IFERROR(__xludf.DUMMYFUNCTION("""COMPUTED_VALUE"""),1844.75)</f>
        <v>1844.75</v>
      </c>
      <c r="D2089" s="9">
        <f>IFERROR(__xludf.DUMMYFUNCTION("""COMPUTED_VALUE"""),1844.75)</f>
        <v>1844.75</v>
      </c>
      <c r="E2089" s="9">
        <f>IFERROR(__xludf.DUMMYFUNCTION("""COMPUTED_VALUE"""),1810.2)</f>
        <v>1810.2</v>
      </c>
      <c r="F2089" s="9">
        <f>IFERROR(__xludf.DUMMYFUNCTION("""COMPUTED_VALUE"""),1825.9)</f>
        <v>1825.9</v>
      </c>
      <c r="G2089" s="9">
        <f>IFERROR(__xludf.DUMMYFUNCTION("""COMPUTED_VALUE"""),6547182.0)</f>
        <v>6547182</v>
      </c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</row>
    <row r="2090">
      <c r="A2090" s="1"/>
      <c r="B2090" s="22">
        <f>IFERROR(__xludf.DUMMYFUNCTION("""COMPUTED_VALUE"""),44631.64583333333)</f>
        <v>44631.64583</v>
      </c>
      <c r="C2090" s="9">
        <f>IFERROR(__xludf.DUMMYFUNCTION("""COMPUTED_VALUE"""),1814.0)</f>
        <v>1814</v>
      </c>
      <c r="D2090" s="9">
        <f>IFERROR(__xludf.DUMMYFUNCTION("""COMPUTED_VALUE"""),1831.4)</f>
        <v>1831.4</v>
      </c>
      <c r="E2090" s="9">
        <f>IFERROR(__xludf.DUMMYFUNCTION("""COMPUTED_VALUE"""),1811.0)</f>
        <v>1811</v>
      </c>
      <c r="F2090" s="9">
        <f>IFERROR(__xludf.DUMMYFUNCTION("""COMPUTED_VALUE"""),1822.0)</f>
        <v>1822</v>
      </c>
      <c r="G2090" s="9">
        <f>IFERROR(__xludf.DUMMYFUNCTION("""COMPUTED_VALUE"""),4758657.0)</f>
        <v>4758657</v>
      </c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</row>
    <row r="2091">
      <c r="A2091" s="1"/>
      <c r="B2091" s="22">
        <f>IFERROR(__xludf.DUMMYFUNCTION("""COMPUTED_VALUE"""),44634.64583333333)</f>
        <v>44634.64583</v>
      </c>
      <c r="C2091" s="9">
        <f>IFERROR(__xludf.DUMMYFUNCTION("""COMPUTED_VALUE"""),1831.55)</f>
        <v>1831.55</v>
      </c>
      <c r="D2091" s="9">
        <f>IFERROR(__xludf.DUMMYFUNCTION("""COMPUTED_VALUE"""),1895.0)</f>
        <v>1895</v>
      </c>
      <c r="E2091" s="9">
        <f>IFERROR(__xludf.DUMMYFUNCTION("""COMPUTED_VALUE"""),1831.55)</f>
        <v>1831.55</v>
      </c>
      <c r="F2091" s="9">
        <f>IFERROR(__xludf.DUMMYFUNCTION("""COMPUTED_VALUE"""),1890.7)</f>
        <v>1890.7</v>
      </c>
      <c r="G2091" s="9">
        <f>IFERROR(__xludf.DUMMYFUNCTION("""COMPUTED_VALUE"""),1.0289724E7)</f>
        <v>10289724</v>
      </c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</row>
    <row r="2092">
      <c r="A2092" s="1"/>
      <c r="B2092" s="22">
        <f>IFERROR(__xludf.DUMMYFUNCTION("""COMPUTED_VALUE"""),44635.64583333333)</f>
        <v>44635.64583</v>
      </c>
      <c r="C2092" s="9">
        <f>IFERROR(__xludf.DUMMYFUNCTION("""COMPUTED_VALUE"""),1888.35)</f>
        <v>1888.35</v>
      </c>
      <c r="D2092" s="9">
        <f>IFERROR(__xludf.DUMMYFUNCTION("""COMPUTED_VALUE"""),1888.35)</f>
        <v>1888.35</v>
      </c>
      <c r="E2092" s="9">
        <f>IFERROR(__xludf.DUMMYFUNCTION("""COMPUTED_VALUE"""),1830.0)</f>
        <v>1830</v>
      </c>
      <c r="F2092" s="9">
        <f>IFERROR(__xludf.DUMMYFUNCTION("""COMPUTED_VALUE"""),1839.3)</f>
        <v>1839.3</v>
      </c>
      <c r="G2092" s="9">
        <f>IFERROR(__xludf.DUMMYFUNCTION("""COMPUTED_VALUE"""),7140443.0)</f>
        <v>7140443</v>
      </c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</row>
    <row r="2093">
      <c r="A2093" s="1"/>
      <c r="B2093" s="22">
        <f>IFERROR(__xludf.DUMMYFUNCTION("""COMPUTED_VALUE"""),44636.64583333333)</f>
        <v>44636.64583</v>
      </c>
      <c r="C2093" s="9">
        <f>IFERROR(__xludf.DUMMYFUNCTION("""COMPUTED_VALUE"""),1865.0)</f>
        <v>1865</v>
      </c>
      <c r="D2093" s="9">
        <f>IFERROR(__xludf.DUMMYFUNCTION("""COMPUTED_VALUE"""),1893.95)</f>
        <v>1893.95</v>
      </c>
      <c r="E2093" s="9">
        <f>IFERROR(__xludf.DUMMYFUNCTION("""COMPUTED_VALUE"""),1849.0)</f>
        <v>1849</v>
      </c>
      <c r="F2093" s="9">
        <f>IFERROR(__xludf.DUMMYFUNCTION("""COMPUTED_VALUE"""),1889.4)</f>
        <v>1889.4</v>
      </c>
      <c r="G2093" s="9">
        <f>IFERROR(__xludf.DUMMYFUNCTION("""COMPUTED_VALUE"""),5233979.0)</f>
        <v>5233979</v>
      </c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</row>
    <row r="2094">
      <c r="A2094" s="1"/>
      <c r="B2094" s="22">
        <f>IFERROR(__xludf.DUMMYFUNCTION("""COMPUTED_VALUE"""),44637.64583333333)</f>
        <v>44637.64583</v>
      </c>
      <c r="C2094" s="9">
        <f>IFERROR(__xludf.DUMMYFUNCTION("""COMPUTED_VALUE"""),1923.3)</f>
        <v>1923.3</v>
      </c>
      <c r="D2094" s="9">
        <f>IFERROR(__xludf.DUMMYFUNCTION("""COMPUTED_VALUE"""),1923.3)</f>
        <v>1923.3</v>
      </c>
      <c r="E2094" s="9">
        <f>IFERROR(__xludf.DUMMYFUNCTION("""COMPUTED_VALUE"""),1833.05)</f>
        <v>1833.05</v>
      </c>
      <c r="F2094" s="9">
        <f>IFERROR(__xludf.DUMMYFUNCTION("""COMPUTED_VALUE"""),1854.6)</f>
        <v>1854.6</v>
      </c>
      <c r="G2094" s="9">
        <f>IFERROR(__xludf.DUMMYFUNCTION("""COMPUTED_VALUE"""),1.7731459E7)</f>
        <v>17731459</v>
      </c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</row>
    <row r="2095">
      <c r="A2095" s="1"/>
      <c r="B2095" s="22">
        <f>IFERROR(__xludf.DUMMYFUNCTION("""COMPUTED_VALUE"""),44641.64583333333)</f>
        <v>44641.64583</v>
      </c>
      <c r="C2095" s="9">
        <f>IFERROR(__xludf.DUMMYFUNCTION("""COMPUTED_VALUE"""),1861.0)</f>
        <v>1861</v>
      </c>
      <c r="D2095" s="9">
        <f>IFERROR(__xludf.DUMMYFUNCTION("""COMPUTED_VALUE"""),1886.9)</f>
        <v>1886.9</v>
      </c>
      <c r="E2095" s="9">
        <f>IFERROR(__xludf.DUMMYFUNCTION("""COMPUTED_VALUE"""),1841.1)</f>
        <v>1841.1</v>
      </c>
      <c r="F2095" s="9">
        <f>IFERROR(__xludf.DUMMYFUNCTION("""COMPUTED_VALUE"""),1853.05)</f>
        <v>1853.05</v>
      </c>
      <c r="G2095" s="9">
        <f>IFERROR(__xludf.DUMMYFUNCTION("""COMPUTED_VALUE"""),8362085.0)</f>
        <v>8362085</v>
      </c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</row>
    <row r="2096">
      <c r="A2096" s="1"/>
      <c r="B2096" s="22">
        <f>IFERROR(__xludf.DUMMYFUNCTION("""COMPUTED_VALUE"""),44642.64583333333)</f>
        <v>44642.64583</v>
      </c>
      <c r="C2096" s="9">
        <f>IFERROR(__xludf.DUMMYFUNCTION("""COMPUTED_VALUE"""),1850.0)</f>
        <v>1850</v>
      </c>
      <c r="D2096" s="9">
        <f>IFERROR(__xludf.DUMMYFUNCTION("""COMPUTED_VALUE"""),1890.0)</f>
        <v>1890</v>
      </c>
      <c r="E2096" s="9">
        <f>IFERROR(__xludf.DUMMYFUNCTION("""COMPUTED_VALUE"""),1839.0)</f>
        <v>1839</v>
      </c>
      <c r="F2096" s="9">
        <f>IFERROR(__xludf.DUMMYFUNCTION("""COMPUTED_VALUE"""),1887.4)</f>
        <v>1887.4</v>
      </c>
      <c r="G2096" s="9">
        <f>IFERROR(__xludf.DUMMYFUNCTION("""COMPUTED_VALUE"""),5709382.0)</f>
        <v>5709382</v>
      </c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</row>
    <row r="2097">
      <c r="A2097" s="1"/>
      <c r="B2097" s="22">
        <f>IFERROR(__xludf.DUMMYFUNCTION("""COMPUTED_VALUE"""),44643.64583333333)</f>
        <v>44643.64583</v>
      </c>
      <c r="C2097" s="9">
        <f>IFERROR(__xludf.DUMMYFUNCTION("""COMPUTED_VALUE"""),1897.0)</f>
        <v>1897</v>
      </c>
      <c r="D2097" s="9">
        <f>IFERROR(__xludf.DUMMYFUNCTION("""COMPUTED_VALUE"""),1900.0)</f>
        <v>1900</v>
      </c>
      <c r="E2097" s="9">
        <f>IFERROR(__xludf.DUMMYFUNCTION("""COMPUTED_VALUE"""),1857.0)</f>
        <v>1857</v>
      </c>
      <c r="F2097" s="9">
        <f>IFERROR(__xludf.DUMMYFUNCTION("""COMPUTED_VALUE"""),1872.4)</f>
        <v>1872.4</v>
      </c>
      <c r="G2097" s="9">
        <f>IFERROR(__xludf.DUMMYFUNCTION("""COMPUTED_VALUE"""),6192824.0)</f>
        <v>6192824</v>
      </c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</row>
    <row r="2098">
      <c r="A2098" s="1"/>
      <c r="B2098" s="22">
        <f>IFERROR(__xludf.DUMMYFUNCTION("""COMPUTED_VALUE"""),44644.64583333333)</f>
        <v>44644.64583</v>
      </c>
      <c r="C2098" s="9">
        <f>IFERROR(__xludf.DUMMYFUNCTION("""COMPUTED_VALUE"""),1856.15)</f>
        <v>1856.15</v>
      </c>
      <c r="D2098" s="9">
        <f>IFERROR(__xludf.DUMMYFUNCTION("""COMPUTED_VALUE"""),1894.6)</f>
        <v>1894.6</v>
      </c>
      <c r="E2098" s="9">
        <f>IFERROR(__xludf.DUMMYFUNCTION("""COMPUTED_VALUE"""),1856.15)</f>
        <v>1856.15</v>
      </c>
      <c r="F2098" s="9">
        <f>IFERROR(__xludf.DUMMYFUNCTION("""COMPUTED_VALUE"""),1886.7)</f>
        <v>1886.7</v>
      </c>
      <c r="G2098" s="9">
        <f>IFERROR(__xludf.DUMMYFUNCTION("""COMPUTED_VALUE"""),3784303.0)</f>
        <v>3784303</v>
      </c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</row>
    <row r="2099">
      <c r="A2099" s="1"/>
      <c r="B2099" s="22">
        <f>IFERROR(__xludf.DUMMYFUNCTION("""COMPUTED_VALUE"""),44645.64583333333)</f>
        <v>44645.64583</v>
      </c>
      <c r="C2099" s="9">
        <f>IFERROR(__xludf.DUMMYFUNCTION("""COMPUTED_VALUE"""),1892.0)</f>
        <v>1892</v>
      </c>
      <c r="D2099" s="9">
        <f>IFERROR(__xludf.DUMMYFUNCTION("""COMPUTED_VALUE"""),1894.0)</f>
        <v>1894</v>
      </c>
      <c r="E2099" s="9">
        <f>IFERROR(__xludf.DUMMYFUNCTION("""COMPUTED_VALUE"""),1858.0)</f>
        <v>1858</v>
      </c>
      <c r="F2099" s="9">
        <f>IFERROR(__xludf.DUMMYFUNCTION("""COMPUTED_VALUE"""),1876.55)</f>
        <v>1876.55</v>
      </c>
      <c r="G2099" s="9">
        <f>IFERROR(__xludf.DUMMYFUNCTION("""COMPUTED_VALUE"""),3438588.0)</f>
        <v>3438588</v>
      </c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</row>
    <row r="2100">
      <c r="A2100" s="1"/>
      <c r="B2100" s="22">
        <f>IFERROR(__xludf.DUMMYFUNCTION("""COMPUTED_VALUE"""),44648.64583333333)</f>
        <v>44648.64583</v>
      </c>
      <c r="C2100" s="9">
        <f>IFERROR(__xludf.DUMMYFUNCTION("""COMPUTED_VALUE"""),1866.0)</f>
        <v>1866</v>
      </c>
      <c r="D2100" s="9">
        <f>IFERROR(__xludf.DUMMYFUNCTION("""COMPUTED_VALUE"""),1880.9)</f>
        <v>1880.9</v>
      </c>
      <c r="E2100" s="9">
        <f>IFERROR(__xludf.DUMMYFUNCTION("""COMPUTED_VALUE"""),1852.65)</f>
        <v>1852.65</v>
      </c>
      <c r="F2100" s="9">
        <f>IFERROR(__xludf.DUMMYFUNCTION("""COMPUTED_VALUE"""),1873.9)</f>
        <v>1873.9</v>
      </c>
      <c r="G2100" s="9">
        <f>IFERROR(__xludf.DUMMYFUNCTION("""COMPUTED_VALUE"""),4008555.0)</f>
        <v>4008555</v>
      </c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</row>
    <row r="2101">
      <c r="A2101" s="1"/>
      <c r="B2101" s="22">
        <f>IFERROR(__xludf.DUMMYFUNCTION("""COMPUTED_VALUE"""),44649.64583333333)</f>
        <v>44649.64583</v>
      </c>
      <c r="C2101" s="9">
        <f>IFERROR(__xludf.DUMMYFUNCTION("""COMPUTED_VALUE"""),1873.9)</f>
        <v>1873.9</v>
      </c>
      <c r="D2101" s="9">
        <f>IFERROR(__xludf.DUMMYFUNCTION("""COMPUTED_VALUE"""),1889.4)</f>
        <v>1889.4</v>
      </c>
      <c r="E2101" s="9">
        <f>IFERROR(__xludf.DUMMYFUNCTION("""COMPUTED_VALUE"""),1860.55)</f>
        <v>1860.55</v>
      </c>
      <c r="F2101" s="9">
        <f>IFERROR(__xludf.DUMMYFUNCTION("""COMPUTED_VALUE"""),1886.0)</f>
        <v>1886</v>
      </c>
      <c r="G2101" s="9">
        <f>IFERROR(__xludf.DUMMYFUNCTION("""COMPUTED_VALUE"""),3917785.0)</f>
        <v>3917785</v>
      </c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</row>
    <row r="2102">
      <c r="A2102" s="1"/>
      <c r="B2102" s="22">
        <f>IFERROR(__xludf.DUMMYFUNCTION("""COMPUTED_VALUE"""),44650.64583333333)</f>
        <v>44650.64583</v>
      </c>
      <c r="C2102" s="9">
        <f>IFERROR(__xludf.DUMMYFUNCTION("""COMPUTED_VALUE"""),1910.0)</f>
        <v>1910</v>
      </c>
      <c r="D2102" s="9">
        <f>IFERROR(__xludf.DUMMYFUNCTION("""COMPUTED_VALUE"""),1919.0)</f>
        <v>1919</v>
      </c>
      <c r="E2102" s="9">
        <f>IFERROR(__xludf.DUMMYFUNCTION("""COMPUTED_VALUE"""),1895.0)</f>
        <v>1895</v>
      </c>
      <c r="F2102" s="9">
        <f>IFERROR(__xludf.DUMMYFUNCTION("""COMPUTED_VALUE"""),1903.95)</f>
        <v>1903.95</v>
      </c>
      <c r="G2102" s="9">
        <f>IFERROR(__xludf.DUMMYFUNCTION("""COMPUTED_VALUE"""),7795839.0)</f>
        <v>7795839</v>
      </c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</row>
    <row r="2103">
      <c r="A2103" s="1"/>
      <c r="B2103" s="22">
        <f>IFERROR(__xludf.DUMMYFUNCTION("""COMPUTED_VALUE"""),44651.64583333333)</f>
        <v>44651.64583</v>
      </c>
      <c r="C2103" s="9">
        <f>IFERROR(__xludf.DUMMYFUNCTION("""COMPUTED_VALUE"""),1900.0)</f>
        <v>1900</v>
      </c>
      <c r="D2103" s="9">
        <f>IFERROR(__xludf.DUMMYFUNCTION("""COMPUTED_VALUE"""),1913.0)</f>
        <v>1913</v>
      </c>
      <c r="E2103" s="9">
        <f>IFERROR(__xludf.DUMMYFUNCTION("""COMPUTED_VALUE"""),1894.2)</f>
        <v>1894.2</v>
      </c>
      <c r="F2103" s="9">
        <f>IFERROR(__xludf.DUMMYFUNCTION("""COMPUTED_VALUE"""),1906.85)</f>
        <v>1906.85</v>
      </c>
      <c r="G2103" s="9">
        <f>IFERROR(__xludf.DUMMYFUNCTION("""COMPUTED_VALUE"""),5399145.0)</f>
        <v>5399145</v>
      </c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</row>
    <row r="2104">
      <c r="A2104" s="1"/>
      <c r="B2104" s="22">
        <f>IFERROR(__xludf.DUMMYFUNCTION("""COMPUTED_VALUE"""),44652.64583333333)</f>
        <v>44652.64583</v>
      </c>
      <c r="C2104" s="9">
        <f>IFERROR(__xludf.DUMMYFUNCTION("""COMPUTED_VALUE"""),1886.85)</f>
        <v>1886.85</v>
      </c>
      <c r="D2104" s="9">
        <f>IFERROR(__xludf.DUMMYFUNCTION("""COMPUTED_VALUE"""),1910.3)</f>
        <v>1910.3</v>
      </c>
      <c r="E2104" s="9">
        <f>IFERROR(__xludf.DUMMYFUNCTION("""COMPUTED_VALUE"""),1878.3)</f>
        <v>1878.3</v>
      </c>
      <c r="F2104" s="9">
        <f>IFERROR(__xludf.DUMMYFUNCTION("""COMPUTED_VALUE"""),1903.55)</f>
        <v>1903.55</v>
      </c>
      <c r="G2104" s="9">
        <f>IFERROR(__xludf.DUMMYFUNCTION("""COMPUTED_VALUE"""),6171518.0)</f>
        <v>6171518</v>
      </c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</row>
    <row r="2105">
      <c r="A2105" s="1"/>
      <c r="B2105" s="22">
        <f>IFERROR(__xludf.DUMMYFUNCTION("""COMPUTED_VALUE"""),44655.64583333333)</f>
        <v>44655.64583</v>
      </c>
      <c r="C2105" s="9">
        <f>IFERROR(__xludf.DUMMYFUNCTION("""COMPUTED_VALUE"""),1889.75)</f>
        <v>1889.75</v>
      </c>
      <c r="D2105" s="9">
        <f>IFERROR(__xludf.DUMMYFUNCTION("""COMPUTED_VALUE"""),1893.0)</f>
        <v>1893</v>
      </c>
      <c r="E2105" s="9">
        <f>IFERROR(__xludf.DUMMYFUNCTION("""COMPUTED_VALUE"""),1873.0)</f>
        <v>1873</v>
      </c>
      <c r="F2105" s="9">
        <f>IFERROR(__xludf.DUMMYFUNCTION("""COMPUTED_VALUE"""),1882.95)</f>
        <v>1882.95</v>
      </c>
      <c r="G2105" s="9">
        <f>IFERROR(__xludf.DUMMYFUNCTION("""COMPUTED_VALUE"""),7364074.0)</f>
        <v>7364074</v>
      </c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</row>
    <row r="2106">
      <c r="A2106" s="1"/>
      <c r="B2106" s="22">
        <f>IFERROR(__xludf.DUMMYFUNCTION("""COMPUTED_VALUE"""),44656.64583333333)</f>
        <v>44656.64583</v>
      </c>
      <c r="C2106" s="9">
        <f>IFERROR(__xludf.DUMMYFUNCTION("""COMPUTED_VALUE"""),1883.8)</f>
        <v>1883.8</v>
      </c>
      <c r="D2106" s="9">
        <f>IFERROR(__xludf.DUMMYFUNCTION("""COMPUTED_VALUE"""),1889.6)</f>
        <v>1889.6</v>
      </c>
      <c r="E2106" s="9">
        <f>IFERROR(__xludf.DUMMYFUNCTION("""COMPUTED_VALUE"""),1857.15)</f>
        <v>1857.15</v>
      </c>
      <c r="F2106" s="9">
        <f>IFERROR(__xludf.DUMMYFUNCTION("""COMPUTED_VALUE"""),1861.1)</f>
        <v>1861.1</v>
      </c>
      <c r="G2106" s="9">
        <f>IFERROR(__xludf.DUMMYFUNCTION("""COMPUTED_VALUE"""),5472024.0)</f>
        <v>5472024</v>
      </c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</row>
    <row r="2107">
      <c r="A2107" s="1"/>
      <c r="B2107" s="22">
        <f>IFERROR(__xludf.DUMMYFUNCTION("""COMPUTED_VALUE"""),44657.64583333333)</f>
        <v>44657.64583</v>
      </c>
      <c r="C2107" s="9">
        <f>IFERROR(__xludf.DUMMYFUNCTION("""COMPUTED_VALUE"""),1855.0)</f>
        <v>1855</v>
      </c>
      <c r="D2107" s="9">
        <f>IFERROR(__xludf.DUMMYFUNCTION("""COMPUTED_VALUE"""),1857.5)</f>
        <v>1857.5</v>
      </c>
      <c r="E2107" s="9">
        <f>IFERROR(__xludf.DUMMYFUNCTION("""COMPUTED_VALUE"""),1822.15)</f>
        <v>1822.15</v>
      </c>
      <c r="F2107" s="9">
        <f>IFERROR(__xludf.DUMMYFUNCTION("""COMPUTED_VALUE"""),1828.85)</f>
        <v>1828.85</v>
      </c>
      <c r="G2107" s="9">
        <f>IFERROR(__xludf.DUMMYFUNCTION("""COMPUTED_VALUE"""),5407453.0)</f>
        <v>5407453</v>
      </c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</row>
    <row r="2108">
      <c r="A2108" s="1"/>
      <c r="B2108" s="22">
        <f>IFERROR(__xludf.DUMMYFUNCTION("""COMPUTED_VALUE"""),44658.64583333333)</f>
        <v>44658.64583</v>
      </c>
      <c r="C2108" s="9">
        <f>IFERROR(__xludf.DUMMYFUNCTION("""COMPUTED_VALUE"""),1821.05)</f>
        <v>1821.05</v>
      </c>
      <c r="D2108" s="9">
        <f>IFERROR(__xludf.DUMMYFUNCTION("""COMPUTED_VALUE"""),1828.15)</f>
        <v>1828.15</v>
      </c>
      <c r="E2108" s="9">
        <f>IFERROR(__xludf.DUMMYFUNCTION("""COMPUTED_VALUE"""),1807.55)</f>
        <v>1807.55</v>
      </c>
      <c r="F2108" s="9">
        <f>IFERROR(__xludf.DUMMYFUNCTION("""COMPUTED_VALUE"""),1811.0)</f>
        <v>1811</v>
      </c>
      <c r="G2108" s="9">
        <f>IFERROR(__xludf.DUMMYFUNCTION("""COMPUTED_VALUE"""),5797544.0)</f>
        <v>5797544</v>
      </c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</row>
    <row r="2109">
      <c r="A2109" s="1"/>
      <c r="B2109" s="22">
        <f>IFERROR(__xludf.DUMMYFUNCTION("""COMPUTED_VALUE"""),44659.64583333333)</f>
        <v>44659.64583</v>
      </c>
      <c r="C2109" s="9">
        <f>IFERROR(__xludf.DUMMYFUNCTION("""COMPUTED_VALUE"""),1823.0)</f>
        <v>1823</v>
      </c>
      <c r="D2109" s="9">
        <f>IFERROR(__xludf.DUMMYFUNCTION("""COMPUTED_VALUE"""),1838.0)</f>
        <v>1838</v>
      </c>
      <c r="E2109" s="9">
        <f>IFERROR(__xludf.DUMMYFUNCTION("""COMPUTED_VALUE"""),1808.0)</f>
        <v>1808</v>
      </c>
      <c r="F2109" s="9">
        <f>IFERROR(__xludf.DUMMYFUNCTION("""COMPUTED_VALUE"""),1814.6)</f>
        <v>1814.6</v>
      </c>
      <c r="G2109" s="9">
        <f>IFERROR(__xludf.DUMMYFUNCTION("""COMPUTED_VALUE"""),5131446.0)</f>
        <v>5131446</v>
      </c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</row>
    <row r="2110">
      <c r="A2110" s="1"/>
      <c r="B2110" s="22">
        <f>IFERROR(__xludf.DUMMYFUNCTION("""COMPUTED_VALUE"""),44662.64583333333)</f>
        <v>44662.64583</v>
      </c>
      <c r="C2110" s="9">
        <f>IFERROR(__xludf.DUMMYFUNCTION("""COMPUTED_VALUE"""),1814.0)</f>
        <v>1814</v>
      </c>
      <c r="D2110" s="9">
        <f>IFERROR(__xludf.DUMMYFUNCTION("""COMPUTED_VALUE"""),1814.0)</f>
        <v>1814</v>
      </c>
      <c r="E2110" s="9">
        <f>IFERROR(__xludf.DUMMYFUNCTION("""COMPUTED_VALUE"""),1762.55)</f>
        <v>1762.55</v>
      </c>
      <c r="F2110" s="9">
        <f>IFERROR(__xludf.DUMMYFUNCTION("""COMPUTED_VALUE"""),1766.55)</f>
        <v>1766.55</v>
      </c>
      <c r="G2110" s="9">
        <f>IFERROR(__xludf.DUMMYFUNCTION("""COMPUTED_VALUE"""),8248407.0)</f>
        <v>8248407</v>
      </c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</row>
    <row r="2111">
      <c r="A2111" s="1"/>
      <c r="B2111" s="22">
        <f>IFERROR(__xludf.DUMMYFUNCTION("""COMPUTED_VALUE"""),44663.64583333333)</f>
        <v>44663.64583</v>
      </c>
      <c r="C2111" s="9">
        <f>IFERROR(__xludf.DUMMYFUNCTION("""COMPUTED_VALUE"""),1757.5)</f>
        <v>1757.5</v>
      </c>
      <c r="D2111" s="9">
        <f>IFERROR(__xludf.DUMMYFUNCTION("""COMPUTED_VALUE"""),1757.5)</f>
        <v>1757.5</v>
      </c>
      <c r="E2111" s="9">
        <f>IFERROR(__xludf.DUMMYFUNCTION("""COMPUTED_VALUE"""),1727.75)</f>
        <v>1727.75</v>
      </c>
      <c r="F2111" s="9">
        <f>IFERROR(__xludf.DUMMYFUNCTION("""COMPUTED_VALUE"""),1742.45)</f>
        <v>1742.45</v>
      </c>
      <c r="G2111" s="9">
        <f>IFERROR(__xludf.DUMMYFUNCTION("""COMPUTED_VALUE"""),6456184.0)</f>
        <v>6456184</v>
      </c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</row>
    <row r="2112">
      <c r="A2112" s="1"/>
      <c r="B2112" s="22">
        <f>IFERROR(__xludf.DUMMYFUNCTION("""COMPUTED_VALUE"""),44664.64583333333)</f>
        <v>44664.64583</v>
      </c>
      <c r="C2112" s="9">
        <f>IFERROR(__xludf.DUMMYFUNCTION("""COMPUTED_VALUE"""),1754.95)</f>
        <v>1754.95</v>
      </c>
      <c r="D2112" s="9">
        <f>IFERROR(__xludf.DUMMYFUNCTION("""COMPUTED_VALUE"""),1757.5)</f>
        <v>1757.5</v>
      </c>
      <c r="E2112" s="9">
        <f>IFERROR(__xludf.DUMMYFUNCTION("""COMPUTED_VALUE"""),1732.0)</f>
        <v>1732</v>
      </c>
      <c r="F2112" s="9">
        <f>IFERROR(__xludf.DUMMYFUNCTION("""COMPUTED_VALUE"""),1748.55)</f>
        <v>1748.55</v>
      </c>
      <c r="G2112" s="9">
        <f>IFERROR(__xludf.DUMMYFUNCTION("""COMPUTED_VALUE"""),6257693.0)</f>
        <v>6257693</v>
      </c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</row>
    <row r="2113">
      <c r="A2113" s="1"/>
      <c r="B2113" s="22">
        <f>IFERROR(__xludf.DUMMYFUNCTION("""COMPUTED_VALUE"""),44669.64583333333)</f>
        <v>44669.64583</v>
      </c>
      <c r="C2113" s="9">
        <f>IFERROR(__xludf.DUMMYFUNCTION("""COMPUTED_VALUE"""),1605.5)</f>
        <v>1605.5</v>
      </c>
      <c r="D2113" s="9">
        <f>IFERROR(__xludf.DUMMYFUNCTION("""COMPUTED_VALUE"""),1650.0)</f>
        <v>1650</v>
      </c>
      <c r="E2113" s="9">
        <f>IFERROR(__xludf.DUMMYFUNCTION("""COMPUTED_VALUE"""),1590.0)</f>
        <v>1590</v>
      </c>
      <c r="F2113" s="9">
        <f>IFERROR(__xludf.DUMMYFUNCTION("""COMPUTED_VALUE"""),1621.4)</f>
        <v>1621.4</v>
      </c>
      <c r="G2113" s="9">
        <f>IFERROR(__xludf.DUMMYFUNCTION("""COMPUTED_VALUE"""),3.0523965E7)</f>
        <v>30523965</v>
      </c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</row>
    <row r="2114">
      <c r="A2114" s="1"/>
      <c r="B2114" s="22">
        <f>IFERROR(__xludf.DUMMYFUNCTION("""COMPUTED_VALUE"""),44670.64583333333)</f>
        <v>44670.64583</v>
      </c>
      <c r="C2114" s="9">
        <f>IFERROR(__xludf.DUMMYFUNCTION("""COMPUTED_VALUE"""),1636.65)</f>
        <v>1636.65</v>
      </c>
      <c r="D2114" s="9">
        <f>IFERROR(__xludf.DUMMYFUNCTION("""COMPUTED_VALUE"""),1636.65)</f>
        <v>1636.65</v>
      </c>
      <c r="E2114" s="9">
        <f>IFERROR(__xludf.DUMMYFUNCTION("""COMPUTED_VALUE"""),1550.0)</f>
        <v>1550</v>
      </c>
      <c r="F2114" s="9">
        <f>IFERROR(__xludf.DUMMYFUNCTION("""COMPUTED_VALUE"""),1562.0)</f>
        <v>1562</v>
      </c>
      <c r="G2114" s="9">
        <f>IFERROR(__xludf.DUMMYFUNCTION("""COMPUTED_VALUE"""),1.7044923E7)</f>
        <v>17044923</v>
      </c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</row>
    <row r="2115">
      <c r="A2115" s="1"/>
      <c r="B2115" s="22">
        <f>IFERROR(__xludf.DUMMYFUNCTION("""COMPUTED_VALUE"""),44671.64583333333)</f>
        <v>44671.64583</v>
      </c>
      <c r="C2115" s="9">
        <f>IFERROR(__xludf.DUMMYFUNCTION("""COMPUTED_VALUE"""),1575.0)</f>
        <v>1575</v>
      </c>
      <c r="D2115" s="9">
        <f>IFERROR(__xludf.DUMMYFUNCTION("""COMPUTED_VALUE"""),1596.3)</f>
        <v>1596.3</v>
      </c>
      <c r="E2115" s="9">
        <f>IFERROR(__xludf.DUMMYFUNCTION("""COMPUTED_VALUE"""),1563.0)</f>
        <v>1563</v>
      </c>
      <c r="F2115" s="9">
        <f>IFERROR(__xludf.DUMMYFUNCTION("""COMPUTED_VALUE"""),1587.7)</f>
        <v>1587.7</v>
      </c>
      <c r="G2115" s="9">
        <f>IFERROR(__xludf.DUMMYFUNCTION("""COMPUTED_VALUE"""),1.0678747E7)</f>
        <v>10678747</v>
      </c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</row>
    <row r="2116">
      <c r="A2116" s="1"/>
      <c r="B2116" s="22">
        <f>IFERROR(__xludf.DUMMYFUNCTION("""COMPUTED_VALUE"""),44672.64583333333)</f>
        <v>44672.64583</v>
      </c>
      <c r="C2116" s="9">
        <f>IFERROR(__xludf.DUMMYFUNCTION("""COMPUTED_VALUE"""),1595.0)</f>
        <v>1595</v>
      </c>
      <c r="D2116" s="9">
        <f>IFERROR(__xludf.DUMMYFUNCTION("""COMPUTED_VALUE"""),1627.2)</f>
        <v>1627.2</v>
      </c>
      <c r="E2116" s="9">
        <f>IFERROR(__xludf.DUMMYFUNCTION("""COMPUTED_VALUE"""),1589.25)</f>
        <v>1589.25</v>
      </c>
      <c r="F2116" s="9">
        <f>IFERROR(__xludf.DUMMYFUNCTION("""COMPUTED_VALUE"""),1618.8)</f>
        <v>1618.8</v>
      </c>
      <c r="G2116" s="9">
        <f>IFERROR(__xludf.DUMMYFUNCTION("""COMPUTED_VALUE"""),7766514.0)</f>
        <v>7766514</v>
      </c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</row>
    <row r="2117">
      <c r="A2117" s="1"/>
      <c r="B2117" s="22">
        <f>IFERROR(__xludf.DUMMYFUNCTION("""COMPUTED_VALUE"""),44673.64583333333)</f>
        <v>44673.64583</v>
      </c>
      <c r="C2117" s="9">
        <f>IFERROR(__xludf.DUMMYFUNCTION("""COMPUTED_VALUE"""),1604.35)</f>
        <v>1604.35</v>
      </c>
      <c r="D2117" s="9">
        <f>IFERROR(__xludf.DUMMYFUNCTION("""COMPUTED_VALUE"""),1610.7)</f>
        <v>1610.7</v>
      </c>
      <c r="E2117" s="9">
        <f>IFERROR(__xludf.DUMMYFUNCTION("""COMPUTED_VALUE"""),1582.4)</f>
        <v>1582.4</v>
      </c>
      <c r="F2117" s="9">
        <f>IFERROR(__xludf.DUMMYFUNCTION("""COMPUTED_VALUE"""),1585.45)</f>
        <v>1585.45</v>
      </c>
      <c r="G2117" s="9">
        <f>IFERROR(__xludf.DUMMYFUNCTION("""COMPUTED_VALUE"""),8134245.0)</f>
        <v>8134245</v>
      </c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</row>
    <row r="2118">
      <c r="A2118" s="1"/>
      <c r="B2118" s="22">
        <f>IFERROR(__xludf.DUMMYFUNCTION("""COMPUTED_VALUE"""),44676.64583333333)</f>
        <v>44676.64583</v>
      </c>
      <c r="C2118" s="9">
        <f>IFERROR(__xludf.DUMMYFUNCTION("""COMPUTED_VALUE"""),1572.8)</f>
        <v>1572.8</v>
      </c>
      <c r="D2118" s="9">
        <f>IFERROR(__xludf.DUMMYFUNCTION("""COMPUTED_VALUE"""),1572.8)</f>
        <v>1572.8</v>
      </c>
      <c r="E2118" s="9">
        <f>IFERROR(__xludf.DUMMYFUNCTION("""COMPUTED_VALUE"""),1554.1)</f>
        <v>1554.1</v>
      </c>
      <c r="F2118" s="9">
        <f>IFERROR(__xludf.DUMMYFUNCTION("""COMPUTED_VALUE"""),1561.1)</f>
        <v>1561.1</v>
      </c>
      <c r="G2118" s="9">
        <f>IFERROR(__xludf.DUMMYFUNCTION("""COMPUTED_VALUE"""),7000570.0)</f>
        <v>7000570</v>
      </c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</row>
    <row r="2119">
      <c r="A2119" s="1"/>
      <c r="B2119" s="22">
        <f>IFERROR(__xludf.DUMMYFUNCTION("""COMPUTED_VALUE"""),44677.64583333333)</f>
        <v>44677.64583</v>
      </c>
      <c r="C2119" s="9">
        <f>IFERROR(__xludf.DUMMYFUNCTION("""COMPUTED_VALUE"""),1577.2)</f>
        <v>1577.2</v>
      </c>
      <c r="D2119" s="9">
        <f>IFERROR(__xludf.DUMMYFUNCTION("""COMPUTED_VALUE"""),1592.0)</f>
        <v>1592</v>
      </c>
      <c r="E2119" s="9">
        <f>IFERROR(__xludf.DUMMYFUNCTION("""COMPUTED_VALUE"""),1566.55)</f>
        <v>1566.55</v>
      </c>
      <c r="F2119" s="9">
        <f>IFERROR(__xludf.DUMMYFUNCTION("""COMPUTED_VALUE"""),1581.0)</f>
        <v>1581</v>
      </c>
      <c r="G2119" s="9">
        <f>IFERROR(__xludf.DUMMYFUNCTION("""COMPUTED_VALUE"""),5345435.0)</f>
        <v>5345435</v>
      </c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</row>
    <row r="2120">
      <c r="A2120" s="1"/>
      <c r="B2120" s="22">
        <f>IFERROR(__xludf.DUMMYFUNCTION("""COMPUTED_VALUE"""),44678.64583333333)</f>
        <v>44678.64583</v>
      </c>
      <c r="C2120" s="9">
        <f>IFERROR(__xludf.DUMMYFUNCTION("""COMPUTED_VALUE"""),1572.75)</f>
        <v>1572.75</v>
      </c>
      <c r="D2120" s="9">
        <f>IFERROR(__xludf.DUMMYFUNCTION("""COMPUTED_VALUE"""),1572.75)</f>
        <v>1572.75</v>
      </c>
      <c r="E2120" s="9">
        <f>IFERROR(__xludf.DUMMYFUNCTION("""COMPUTED_VALUE"""),1550.35)</f>
        <v>1550.35</v>
      </c>
      <c r="F2120" s="9">
        <f>IFERROR(__xludf.DUMMYFUNCTION("""COMPUTED_VALUE"""),1552.8)</f>
        <v>1552.8</v>
      </c>
      <c r="G2120" s="9">
        <f>IFERROR(__xludf.DUMMYFUNCTION("""COMPUTED_VALUE"""),8819356.0)</f>
        <v>8819356</v>
      </c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</row>
    <row r="2121">
      <c r="A2121" s="1"/>
      <c r="B2121" s="22">
        <f>IFERROR(__xludf.DUMMYFUNCTION("""COMPUTED_VALUE"""),44679.64583333333)</f>
        <v>44679.64583</v>
      </c>
      <c r="C2121" s="9">
        <f>IFERROR(__xludf.DUMMYFUNCTION("""COMPUTED_VALUE"""),1570.0)</f>
        <v>1570</v>
      </c>
      <c r="D2121" s="9">
        <f>IFERROR(__xludf.DUMMYFUNCTION("""COMPUTED_VALUE"""),1601.8)</f>
        <v>1601.8</v>
      </c>
      <c r="E2121" s="9">
        <f>IFERROR(__xludf.DUMMYFUNCTION("""COMPUTED_VALUE"""),1557.45)</f>
        <v>1557.45</v>
      </c>
      <c r="F2121" s="9">
        <f>IFERROR(__xludf.DUMMYFUNCTION("""COMPUTED_VALUE"""),1582.6)</f>
        <v>1582.6</v>
      </c>
      <c r="G2121" s="9">
        <f>IFERROR(__xludf.DUMMYFUNCTION("""COMPUTED_VALUE"""),9245177.0)</f>
        <v>9245177</v>
      </c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</row>
    <row r="2122">
      <c r="A2122" s="1"/>
      <c r="B2122" s="22">
        <f>IFERROR(__xludf.DUMMYFUNCTION("""COMPUTED_VALUE"""),44680.64583333333)</f>
        <v>44680.64583</v>
      </c>
      <c r="C2122" s="9">
        <f>IFERROR(__xludf.DUMMYFUNCTION("""COMPUTED_VALUE"""),1590.0)</f>
        <v>1590</v>
      </c>
      <c r="D2122" s="9">
        <f>IFERROR(__xludf.DUMMYFUNCTION("""COMPUTED_VALUE"""),1597.3)</f>
        <v>1597.3</v>
      </c>
      <c r="E2122" s="9">
        <f>IFERROR(__xludf.DUMMYFUNCTION("""COMPUTED_VALUE"""),1560.8)</f>
        <v>1560.8</v>
      </c>
      <c r="F2122" s="9">
        <f>IFERROR(__xludf.DUMMYFUNCTION("""COMPUTED_VALUE"""),1567.55)</f>
        <v>1567.55</v>
      </c>
      <c r="G2122" s="9">
        <f>IFERROR(__xludf.DUMMYFUNCTION("""COMPUTED_VALUE"""),9831395.0)</f>
        <v>9831395</v>
      </c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</row>
    <row r="2123">
      <c r="A2123" s="1"/>
      <c r="B2123" s="22">
        <f>IFERROR(__xludf.DUMMYFUNCTION("""COMPUTED_VALUE"""),44683.64583333333)</f>
        <v>44683.64583</v>
      </c>
      <c r="C2123" s="9">
        <f>IFERROR(__xludf.DUMMYFUNCTION("""COMPUTED_VALUE"""),1550.9)</f>
        <v>1550.9</v>
      </c>
      <c r="D2123" s="9">
        <f>IFERROR(__xludf.DUMMYFUNCTION("""COMPUTED_VALUE"""),1552.75)</f>
        <v>1552.75</v>
      </c>
      <c r="E2123" s="9">
        <f>IFERROR(__xludf.DUMMYFUNCTION("""COMPUTED_VALUE"""),1531.0)</f>
        <v>1531</v>
      </c>
      <c r="F2123" s="9">
        <f>IFERROR(__xludf.DUMMYFUNCTION("""COMPUTED_VALUE"""),1541.0)</f>
        <v>1541</v>
      </c>
      <c r="G2123" s="9">
        <f>IFERROR(__xludf.DUMMYFUNCTION("""COMPUTED_VALUE"""),7072627.0)</f>
        <v>7072627</v>
      </c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</row>
    <row r="2124">
      <c r="A2124" s="1"/>
      <c r="B2124" s="22">
        <f>IFERROR(__xludf.DUMMYFUNCTION("""COMPUTED_VALUE"""),44685.64583333333)</f>
        <v>44685.64583</v>
      </c>
      <c r="C2124" s="9">
        <f>IFERROR(__xludf.DUMMYFUNCTION("""COMPUTED_VALUE"""),1547.25)</f>
        <v>1547.25</v>
      </c>
      <c r="D2124" s="9">
        <f>IFERROR(__xludf.DUMMYFUNCTION("""COMPUTED_VALUE"""),1570.0)</f>
        <v>1570</v>
      </c>
      <c r="E2124" s="9">
        <f>IFERROR(__xludf.DUMMYFUNCTION("""COMPUTED_VALUE"""),1530.15)</f>
        <v>1530.15</v>
      </c>
      <c r="F2124" s="9">
        <f>IFERROR(__xludf.DUMMYFUNCTION("""COMPUTED_VALUE"""),1535.55)</f>
        <v>1535.55</v>
      </c>
      <c r="G2124" s="9">
        <f>IFERROR(__xludf.DUMMYFUNCTION("""COMPUTED_VALUE"""),6220959.0)</f>
        <v>6220959</v>
      </c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</row>
    <row r="2125">
      <c r="A2125" s="1"/>
      <c r="B2125" s="22">
        <f>IFERROR(__xludf.DUMMYFUNCTION("""COMPUTED_VALUE"""),44686.64583333333)</f>
        <v>44686.64583</v>
      </c>
      <c r="C2125" s="9">
        <f>IFERROR(__xludf.DUMMYFUNCTION("""COMPUTED_VALUE"""),1560.05)</f>
        <v>1560.05</v>
      </c>
      <c r="D2125" s="9">
        <f>IFERROR(__xludf.DUMMYFUNCTION("""COMPUTED_VALUE"""),1589.4)</f>
        <v>1589.4</v>
      </c>
      <c r="E2125" s="9">
        <f>IFERROR(__xludf.DUMMYFUNCTION("""COMPUTED_VALUE"""),1557.45)</f>
        <v>1557.45</v>
      </c>
      <c r="F2125" s="9">
        <f>IFERROR(__xludf.DUMMYFUNCTION("""COMPUTED_VALUE"""),1585.15)</f>
        <v>1585.15</v>
      </c>
      <c r="G2125" s="9">
        <f>IFERROR(__xludf.DUMMYFUNCTION("""COMPUTED_VALUE"""),6144870.0)</f>
        <v>6144870</v>
      </c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</row>
    <row r="2126">
      <c r="A2126" s="1"/>
      <c r="B2126" s="22">
        <f>IFERROR(__xludf.DUMMYFUNCTION("""COMPUTED_VALUE"""),44687.64583333333)</f>
        <v>44687.64583</v>
      </c>
      <c r="C2126" s="9">
        <f>IFERROR(__xludf.DUMMYFUNCTION("""COMPUTED_VALUE"""),1550.0)</f>
        <v>1550</v>
      </c>
      <c r="D2126" s="9">
        <f>IFERROR(__xludf.DUMMYFUNCTION("""COMPUTED_VALUE"""),1561.85)</f>
        <v>1561.85</v>
      </c>
      <c r="E2126" s="9">
        <f>IFERROR(__xludf.DUMMYFUNCTION("""COMPUTED_VALUE"""),1535.05)</f>
        <v>1535.05</v>
      </c>
      <c r="F2126" s="9">
        <f>IFERROR(__xludf.DUMMYFUNCTION("""COMPUTED_VALUE"""),1542.85)</f>
        <v>1542.85</v>
      </c>
      <c r="G2126" s="9">
        <f>IFERROR(__xludf.DUMMYFUNCTION("""COMPUTED_VALUE"""),6171472.0)</f>
        <v>6171472</v>
      </c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</row>
    <row r="2127">
      <c r="A2127" s="1"/>
      <c r="B2127" s="22">
        <f>IFERROR(__xludf.DUMMYFUNCTION("""COMPUTED_VALUE"""),44690.64583333333)</f>
        <v>44690.64583</v>
      </c>
      <c r="C2127" s="9">
        <f>IFERROR(__xludf.DUMMYFUNCTION("""COMPUTED_VALUE"""),1540.0)</f>
        <v>1540</v>
      </c>
      <c r="D2127" s="9">
        <f>IFERROR(__xludf.DUMMYFUNCTION("""COMPUTED_VALUE"""),1586.8)</f>
        <v>1586.8</v>
      </c>
      <c r="E2127" s="9">
        <f>IFERROR(__xludf.DUMMYFUNCTION("""COMPUTED_VALUE"""),1522.15)</f>
        <v>1522.15</v>
      </c>
      <c r="F2127" s="9">
        <f>IFERROR(__xludf.DUMMYFUNCTION("""COMPUTED_VALUE"""),1570.35)</f>
        <v>1570.35</v>
      </c>
      <c r="G2127" s="9">
        <f>IFERROR(__xludf.DUMMYFUNCTION("""COMPUTED_VALUE"""),6832202.0)</f>
        <v>6832202</v>
      </c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</row>
    <row r="2128">
      <c r="A2128" s="1"/>
      <c r="B2128" s="22">
        <f>IFERROR(__xludf.DUMMYFUNCTION("""COMPUTED_VALUE"""),44691.64583333333)</f>
        <v>44691.64583</v>
      </c>
      <c r="C2128" s="9">
        <f>IFERROR(__xludf.DUMMYFUNCTION("""COMPUTED_VALUE"""),1558.0)</f>
        <v>1558</v>
      </c>
      <c r="D2128" s="9">
        <f>IFERROR(__xludf.DUMMYFUNCTION("""COMPUTED_VALUE"""),1569.15)</f>
        <v>1569.15</v>
      </c>
      <c r="E2128" s="9">
        <f>IFERROR(__xludf.DUMMYFUNCTION("""COMPUTED_VALUE"""),1546.05)</f>
        <v>1546.05</v>
      </c>
      <c r="F2128" s="9">
        <f>IFERROR(__xludf.DUMMYFUNCTION("""COMPUTED_VALUE"""),1553.0)</f>
        <v>1553</v>
      </c>
      <c r="G2128" s="9">
        <f>IFERROR(__xludf.DUMMYFUNCTION("""COMPUTED_VALUE"""),6212545.0)</f>
        <v>6212545</v>
      </c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</row>
    <row r="2129">
      <c r="A2129" s="1"/>
      <c r="B2129" s="22">
        <f>IFERROR(__xludf.DUMMYFUNCTION("""COMPUTED_VALUE"""),44692.64583333333)</f>
        <v>44692.64583</v>
      </c>
      <c r="C2129" s="9">
        <f>IFERROR(__xludf.DUMMYFUNCTION("""COMPUTED_VALUE"""),1549.95)</f>
        <v>1549.95</v>
      </c>
      <c r="D2129" s="9">
        <f>IFERROR(__xludf.DUMMYFUNCTION("""COMPUTED_VALUE"""),1549.95)</f>
        <v>1549.95</v>
      </c>
      <c r="E2129" s="9">
        <f>IFERROR(__xludf.DUMMYFUNCTION("""COMPUTED_VALUE"""),1511.6)</f>
        <v>1511.6</v>
      </c>
      <c r="F2129" s="9">
        <f>IFERROR(__xludf.DUMMYFUNCTION("""COMPUTED_VALUE"""),1526.75)</f>
        <v>1526.75</v>
      </c>
      <c r="G2129" s="9">
        <f>IFERROR(__xludf.DUMMYFUNCTION("""COMPUTED_VALUE"""),7846080.0)</f>
        <v>7846080</v>
      </c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</row>
    <row r="2130">
      <c r="A2130" s="1"/>
      <c r="B2130" s="22">
        <f>IFERROR(__xludf.DUMMYFUNCTION("""COMPUTED_VALUE"""),44693.64583333333)</f>
        <v>44693.64583</v>
      </c>
      <c r="C2130" s="9">
        <f>IFERROR(__xludf.DUMMYFUNCTION("""COMPUTED_VALUE"""),1514.0)</f>
        <v>1514</v>
      </c>
      <c r="D2130" s="9">
        <f>IFERROR(__xludf.DUMMYFUNCTION("""COMPUTED_VALUE"""),1527.5)</f>
        <v>1527.5</v>
      </c>
      <c r="E2130" s="9">
        <f>IFERROR(__xludf.DUMMYFUNCTION("""COMPUTED_VALUE"""),1504.3)</f>
        <v>1504.3</v>
      </c>
      <c r="F2130" s="9">
        <f>IFERROR(__xludf.DUMMYFUNCTION("""COMPUTED_VALUE"""),1508.8)</f>
        <v>1508.8</v>
      </c>
      <c r="G2130" s="9">
        <f>IFERROR(__xludf.DUMMYFUNCTION("""COMPUTED_VALUE"""),7034979.0)</f>
        <v>7034979</v>
      </c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</row>
    <row r="2131">
      <c r="A2131" s="1"/>
      <c r="B2131" s="22">
        <f>IFERROR(__xludf.DUMMYFUNCTION("""COMPUTED_VALUE"""),44694.64583333333)</f>
        <v>44694.64583</v>
      </c>
      <c r="C2131" s="9">
        <f>IFERROR(__xludf.DUMMYFUNCTION("""COMPUTED_VALUE"""),1519.3)</f>
        <v>1519.3</v>
      </c>
      <c r="D2131" s="9">
        <f>IFERROR(__xludf.DUMMYFUNCTION("""COMPUTED_VALUE"""),1529.25)</f>
        <v>1529.25</v>
      </c>
      <c r="E2131" s="9">
        <f>IFERROR(__xludf.DUMMYFUNCTION("""COMPUTED_VALUE"""),1498.1)</f>
        <v>1498.1</v>
      </c>
      <c r="F2131" s="9">
        <f>IFERROR(__xludf.DUMMYFUNCTION("""COMPUTED_VALUE"""),1504.4)</f>
        <v>1504.4</v>
      </c>
      <c r="G2131" s="9">
        <f>IFERROR(__xludf.DUMMYFUNCTION("""COMPUTED_VALUE"""),6723761.0)</f>
        <v>6723761</v>
      </c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</row>
    <row r="2132">
      <c r="A2132" s="1"/>
      <c r="B2132" s="22">
        <f>IFERROR(__xludf.DUMMYFUNCTION("""COMPUTED_VALUE"""),44697.64583333333)</f>
        <v>44697.64583</v>
      </c>
      <c r="C2132" s="9">
        <f>IFERROR(__xludf.DUMMYFUNCTION("""COMPUTED_VALUE"""),1510.0)</f>
        <v>1510</v>
      </c>
      <c r="D2132" s="9">
        <f>IFERROR(__xludf.DUMMYFUNCTION("""COMPUTED_VALUE"""),1511.85)</f>
        <v>1511.85</v>
      </c>
      <c r="E2132" s="9">
        <f>IFERROR(__xludf.DUMMYFUNCTION("""COMPUTED_VALUE"""),1478.65)</f>
        <v>1478.65</v>
      </c>
      <c r="F2132" s="9">
        <f>IFERROR(__xludf.DUMMYFUNCTION("""COMPUTED_VALUE"""),1489.1)</f>
        <v>1489.1</v>
      </c>
      <c r="G2132" s="9">
        <f>IFERROR(__xludf.DUMMYFUNCTION("""COMPUTED_VALUE"""),6145331.0)</f>
        <v>6145331</v>
      </c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</row>
    <row r="2133">
      <c r="A2133" s="1"/>
      <c r="B2133" s="22">
        <f>IFERROR(__xludf.DUMMYFUNCTION("""COMPUTED_VALUE"""),44698.64583333333)</f>
        <v>44698.64583</v>
      </c>
      <c r="C2133" s="9">
        <f>IFERROR(__xludf.DUMMYFUNCTION("""COMPUTED_VALUE"""),1494.9)</f>
        <v>1494.9</v>
      </c>
      <c r="D2133" s="9">
        <f>IFERROR(__xludf.DUMMYFUNCTION("""COMPUTED_VALUE"""),1525.0)</f>
        <v>1525</v>
      </c>
      <c r="E2133" s="9">
        <f>IFERROR(__xludf.DUMMYFUNCTION("""COMPUTED_VALUE"""),1480.9)</f>
        <v>1480.9</v>
      </c>
      <c r="F2133" s="9">
        <f>IFERROR(__xludf.DUMMYFUNCTION("""COMPUTED_VALUE"""),1518.45)</f>
        <v>1518.45</v>
      </c>
      <c r="G2133" s="9">
        <f>IFERROR(__xludf.DUMMYFUNCTION("""COMPUTED_VALUE"""),6516378.0)</f>
        <v>6516378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</row>
    <row r="2134">
      <c r="A2134" s="1"/>
      <c r="B2134" s="22">
        <f>IFERROR(__xludf.DUMMYFUNCTION("""COMPUTED_VALUE"""),44699.64583333333)</f>
        <v>44699.64583</v>
      </c>
      <c r="C2134" s="9">
        <f>IFERROR(__xludf.DUMMYFUNCTION("""COMPUTED_VALUE"""),1522.0)</f>
        <v>1522</v>
      </c>
      <c r="D2134" s="9">
        <f>IFERROR(__xludf.DUMMYFUNCTION("""COMPUTED_VALUE"""),1549.7)</f>
        <v>1549.7</v>
      </c>
      <c r="E2134" s="9">
        <f>IFERROR(__xludf.DUMMYFUNCTION("""COMPUTED_VALUE"""),1505.3)</f>
        <v>1505.3</v>
      </c>
      <c r="F2134" s="9">
        <f>IFERROR(__xludf.DUMMYFUNCTION("""COMPUTED_VALUE"""),1509.2)</f>
        <v>1509.2</v>
      </c>
      <c r="G2134" s="9">
        <f>IFERROR(__xludf.DUMMYFUNCTION("""COMPUTED_VALUE"""),6594126.0)</f>
        <v>6594126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</row>
    <row r="2135">
      <c r="A2135" s="1"/>
      <c r="B2135" s="22">
        <f>IFERROR(__xludf.DUMMYFUNCTION("""COMPUTED_VALUE"""),44700.64583333333)</f>
        <v>44700.64583</v>
      </c>
      <c r="C2135" s="9">
        <f>IFERROR(__xludf.DUMMYFUNCTION("""COMPUTED_VALUE"""),1481.0)</f>
        <v>1481</v>
      </c>
      <c r="D2135" s="9">
        <f>IFERROR(__xludf.DUMMYFUNCTION("""COMPUTED_VALUE"""),1484.7)</f>
        <v>1484.7</v>
      </c>
      <c r="E2135" s="9">
        <f>IFERROR(__xludf.DUMMYFUNCTION("""COMPUTED_VALUE"""),1417.65)</f>
        <v>1417.65</v>
      </c>
      <c r="F2135" s="9">
        <f>IFERROR(__xludf.DUMMYFUNCTION("""COMPUTED_VALUE"""),1427.15)</f>
        <v>1427.15</v>
      </c>
      <c r="G2135" s="9">
        <f>IFERROR(__xludf.DUMMYFUNCTION("""COMPUTED_VALUE"""),1.656114E7)</f>
        <v>16561140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</row>
    <row r="2136">
      <c r="A2136" s="1"/>
      <c r="B2136" s="22">
        <f>IFERROR(__xludf.DUMMYFUNCTION("""COMPUTED_VALUE"""),44701.64583333333)</f>
        <v>44701.64583</v>
      </c>
      <c r="C2136" s="9">
        <f>IFERROR(__xludf.DUMMYFUNCTION("""COMPUTED_VALUE"""),1453.0)</f>
        <v>1453</v>
      </c>
      <c r="D2136" s="9">
        <f>IFERROR(__xludf.DUMMYFUNCTION("""COMPUTED_VALUE"""),1466.75)</f>
        <v>1466.75</v>
      </c>
      <c r="E2136" s="9">
        <f>IFERROR(__xludf.DUMMYFUNCTION("""COMPUTED_VALUE"""),1446.7)</f>
        <v>1446.7</v>
      </c>
      <c r="F2136" s="9">
        <f>IFERROR(__xludf.DUMMYFUNCTION("""COMPUTED_VALUE"""),1455.15)</f>
        <v>1455.15</v>
      </c>
      <c r="G2136" s="9">
        <f>IFERROR(__xludf.DUMMYFUNCTION("""COMPUTED_VALUE"""),1.0488908E7)</f>
        <v>10488908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</row>
    <row r="2137">
      <c r="A2137" s="1"/>
      <c r="B2137" s="22">
        <f>IFERROR(__xludf.DUMMYFUNCTION("""COMPUTED_VALUE"""),44704.64583333333)</f>
        <v>44704.64583</v>
      </c>
      <c r="C2137" s="9">
        <f>IFERROR(__xludf.DUMMYFUNCTION("""COMPUTED_VALUE"""),1455.1)</f>
        <v>1455.1</v>
      </c>
      <c r="D2137" s="9">
        <f>IFERROR(__xludf.DUMMYFUNCTION("""COMPUTED_VALUE"""),1488.0)</f>
        <v>1488</v>
      </c>
      <c r="E2137" s="9">
        <f>IFERROR(__xludf.DUMMYFUNCTION("""COMPUTED_VALUE"""),1450.05)</f>
        <v>1450.05</v>
      </c>
      <c r="F2137" s="9">
        <f>IFERROR(__xludf.DUMMYFUNCTION("""COMPUTED_VALUE"""),1468.4)</f>
        <v>1468.4</v>
      </c>
      <c r="G2137" s="9">
        <f>IFERROR(__xludf.DUMMYFUNCTION("""COMPUTED_VALUE"""),5887569.0)</f>
        <v>5887569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</row>
    <row r="2138">
      <c r="A2138" s="1"/>
      <c r="B2138" s="22">
        <f>IFERROR(__xludf.DUMMYFUNCTION("""COMPUTED_VALUE"""),44705.64583333333)</f>
        <v>44705.64583</v>
      </c>
      <c r="C2138" s="9">
        <f>IFERROR(__xludf.DUMMYFUNCTION("""COMPUTED_VALUE"""),1468.6)</f>
        <v>1468.6</v>
      </c>
      <c r="D2138" s="9">
        <f>IFERROR(__xludf.DUMMYFUNCTION("""COMPUTED_VALUE"""),1469.55)</f>
        <v>1469.55</v>
      </c>
      <c r="E2138" s="9">
        <f>IFERROR(__xludf.DUMMYFUNCTION("""COMPUTED_VALUE"""),1435.25)</f>
        <v>1435.25</v>
      </c>
      <c r="F2138" s="9">
        <f>IFERROR(__xludf.DUMMYFUNCTION("""COMPUTED_VALUE"""),1441.0)</f>
        <v>1441</v>
      </c>
      <c r="G2138" s="9">
        <f>IFERROR(__xludf.DUMMYFUNCTION("""COMPUTED_VALUE"""),5693167.0)</f>
        <v>5693167</v>
      </c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</row>
    <row r="2139">
      <c r="A2139" s="1"/>
      <c r="B2139" s="22">
        <f>IFERROR(__xludf.DUMMYFUNCTION("""COMPUTED_VALUE"""),44706.64583333333)</f>
        <v>44706.64583</v>
      </c>
      <c r="C2139" s="9">
        <f>IFERROR(__xludf.DUMMYFUNCTION("""COMPUTED_VALUE"""),1435.0)</f>
        <v>1435</v>
      </c>
      <c r="D2139" s="9">
        <f>IFERROR(__xludf.DUMMYFUNCTION("""COMPUTED_VALUE"""),1442.5)</f>
        <v>1442.5</v>
      </c>
      <c r="E2139" s="9">
        <f>IFERROR(__xludf.DUMMYFUNCTION("""COMPUTED_VALUE"""),1399.25)</f>
        <v>1399.25</v>
      </c>
      <c r="F2139" s="9">
        <f>IFERROR(__xludf.DUMMYFUNCTION("""COMPUTED_VALUE"""),1410.45)</f>
        <v>1410.45</v>
      </c>
      <c r="G2139" s="9">
        <f>IFERROR(__xludf.DUMMYFUNCTION("""COMPUTED_VALUE"""),9630092.0)</f>
        <v>9630092</v>
      </c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</row>
    <row r="2140">
      <c r="A2140" s="1"/>
      <c r="B2140" s="22">
        <f>IFERROR(__xludf.DUMMYFUNCTION("""COMPUTED_VALUE"""),44707.64583333333)</f>
        <v>44707.64583</v>
      </c>
      <c r="C2140" s="9">
        <f>IFERROR(__xludf.DUMMYFUNCTION("""COMPUTED_VALUE"""),1418.0)</f>
        <v>1418</v>
      </c>
      <c r="D2140" s="9">
        <f>IFERROR(__xludf.DUMMYFUNCTION("""COMPUTED_VALUE"""),1430.0)</f>
        <v>1430</v>
      </c>
      <c r="E2140" s="9">
        <f>IFERROR(__xludf.DUMMYFUNCTION("""COMPUTED_VALUE"""),1407.05)</f>
        <v>1407.05</v>
      </c>
      <c r="F2140" s="9">
        <f>IFERROR(__xludf.DUMMYFUNCTION("""COMPUTED_VALUE"""),1423.95)</f>
        <v>1423.95</v>
      </c>
      <c r="G2140" s="9">
        <f>IFERROR(__xludf.DUMMYFUNCTION("""COMPUTED_VALUE"""),1.3040065E7)</f>
        <v>13040065</v>
      </c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</row>
    <row r="2141">
      <c r="A2141" s="1"/>
      <c r="B2141" s="22">
        <f>IFERROR(__xludf.DUMMYFUNCTION("""COMPUTED_VALUE"""),44708.64583333333)</f>
        <v>44708.64583</v>
      </c>
      <c r="C2141" s="9">
        <f>IFERROR(__xludf.DUMMYFUNCTION("""COMPUTED_VALUE"""),1443.95)</f>
        <v>1443.95</v>
      </c>
      <c r="D2141" s="9">
        <f>IFERROR(__xludf.DUMMYFUNCTION("""COMPUTED_VALUE"""),1467.0)</f>
        <v>1467</v>
      </c>
      <c r="E2141" s="9">
        <f>IFERROR(__xludf.DUMMYFUNCTION("""COMPUTED_VALUE"""),1437.4)</f>
        <v>1437.4</v>
      </c>
      <c r="F2141" s="9">
        <f>IFERROR(__xludf.DUMMYFUNCTION("""COMPUTED_VALUE"""),1461.35)</f>
        <v>1461.35</v>
      </c>
      <c r="G2141" s="9">
        <f>IFERROR(__xludf.DUMMYFUNCTION("""COMPUTED_VALUE"""),8284860.0)</f>
        <v>8284860</v>
      </c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</row>
    <row r="2142">
      <c r="A2142" s="1"/>
      <c r="B2142" s="22">
        <f>IFERROR(__xludf.DUMMYFUNCTION("""COMPUTED_VALUE"""),44711.64583333333)</f>
        <v>44711.64583</v>
      </c>
      <c r="C2142" s="9">
        <f>IFERROR(__xludf.DUMMYFUNCTION("""COMPUTED_VALUE"""),1487.0)</f>
        <v>1487</v>
      </c>
      <c r="D2142" s="9">
        <f>IFERROR(__xludf.DUMMYFUNCTION("""COMPUTED_VALUE"""),1530.0)</f>
        <v>1530</v>
      </c>
      <c r="E2142" s="9">
        <f>IFERROR(__xludf.DUMMYFUNCTION("""COMPUTED_VALUE"""),1485.0)</f>
        <v>1485</v>
      </c>
      <c r="F2142" s="9">
        <f>IFERROR(__xludf.DUMMYFUNCTION("""COMPUTED_VALUE"""),1526.8)</f>
        <v>1526.8</v>
      </c>
      <c r="G2142" s="9">
        <f>IFERROR(__xludf.DUMMYFUNCTION("""COMPUTED_VALUE"""),1.0904213E7)</f>
        <v>10904213</v>
      </c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</row>
    <row r="2143">
      <c r="A2143" s="1"/>
      <c r="B2143" s="22">
        <f>IFERROR(__xludf.DUMMYFUNCTION("""COMPUTED_VALUE"""),44712.64583333333)</f>
        <v>44712.64583</v>
      </c>
      <c r="C2143" s="9">
        <f>IFERROR(__xludf.DUMMYFUNCTION("""COMPUTED_VALUE"""),1510.7)</f>
        <v>1510.7</v>
      </c>
      <c r="D2143" s="9">
        <f>IFERROR(__xludf.DUMMYFUNCTION("""COMPUTED_VALUE"""),1518.0)</f>
        <v>1518</v>
      </c>
      <c r="E2143" s="9">
        <f>IFERROR(__xludf.DUMMYFUNCTION("""COMPUTED_VALUE"""),1488.15)</f>
        <v>1488.15</v>
      </c>
      <c r="F2143" s="9">
        <f>IFERROR(__xludf.DUMMYFUNCTION("""COMPUTED_VALUE"""),1503.6)</f>
        <v>1503.6</v>
      </c>
      <c r="G2143" s="9">
        <f>IFERROR(__xludf.DUMMYFUNCTION("""COMPUTED_VALUE"""),1.6033857E7)</f>
        <v>16033857</v>
      </c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</row>
    <row r="2144">
      <c r="A2144" s="1"/>
      <c r="B2144" s="22">
        <f>IFERROR(__xludf.DUMMYFUNCTION("""COMPUTED_VALUE"""),44713.64583333333)</f>
        <v>44713.64583</v>
      </c>
      <c r="C2144" s="9">
        <f>IFERROR(__xludf.DUMMYFUNCTION("""COMPUTED_VALUE"""),1513.0)</f>
        <v>1513</v>
      </c>
      <c r="D2144" s="9">
        <f>IFERROR(__xludf.DUMMYFUNCTION("""COMPUTED_VALUE"""),1514.75)</f>
        <v>1514.75</v>
      </c>
      <c r="E2144" s="9">
        <f>IFERROR(__xludf.DUMMYFUNCTION("""COMPUTED_VALUE"""),1472.1)</f>
        <v>1472.1</v>
      </c>
      <c r="F2144" s="9">
        <f>IFERROR(__xludf.DUMMYFUNCTION("""COMPUTED_VALUE"""),1478.55)</f>
        <v>1478.55</v>
      </c>
      <c r="G2144" s="9">
        <f>IFERROR(__xludf.DUMMYFUNCTION("""COMPUTED_VALUE"""),8738508.0)</f>
        <v>8738508</v>
      </c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</row>
    <row r="2145">
      <c r="A2145" s="1"/>
      <c r="B2145" s="22">
        <f>IFERROR(__xludf.DUMMYFUNCTION("""COMPUTED_VALUE"""),44714.64583333333)</f>
        <v>44714.64583</v>
      </c>
      <c r="C2145" s="9">
        <f>IFERROR(__xludf.DUMMYFUNCTION("""COMPUTED_VALUE"""),1484.0)</f>
        <v>1484</v>
      </c>
      <c r="D2145" s="9">
        <f>IFERROR(__xludf.DUMMYFUNCTION("""COMPUTED_VALUE"""),1513.85)</f>
        <v>1513.85</v>
      </c>
      <c r="E2145" s="9">
        <f>IFERROR(__xludf.DUMMYFUNCTION("""COMPUTED_VALUE"""),1475.6)</f>
        <v>1475.6</v>
      </c>
      <c r="F2145" s="9">
        <f>IFERROR(__xludf.DUMMYFUNCTION("""COMPUTED_VALUE"""),1508.0)</f>
        <v>1508</v>
      </c>
      <c r="G2145" s="9">
        <f>IFERROR(__xludf.DUMMYFUNCTION("""COMPUTED_VALUE"""),7205840.0)</f>
        <v>7205840</v>
      </c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</row>
    <row r="2146">
      <c r="A2146" s="1"/>
      <c r="B2146" s="22">
        <f>IFERROR(__xludf.DUMMYFUNCTION("""COMPUTED_VALUE"""),44715.64583333333)</f>
        <v>44715.64583</v>
      </c>
      <c r="C2146" s="9">
        <f>IFERROR(__xludf.DUMMYFUNCTION("""COMPUTED_VALUE"""),1524.9)</f>
        <v>1524.9</v>
      </c>
      <c r="D2146" s="9">
        <f>IFERROR(__xludf.DUMMYFUNCTION("""COMPUTED_VALUE"""),1555.0)</f>
        <v>1555</v>
      </c>
      <c r="E2146" s="9">
        <f>IFERROR(__xludf.DUMMYFUNCTION("""COMPUTED_VALUE"""),1518.0)</f>
        <v>1518</v>
      </c>
      <c r="F2146" s="9">
        <f>IFERROR(__xludf.DUMMYFUNCTION("""COMPUTED_VALUE"""),1521.7)</f>
        <v>1521.7</v>
      </c>
      <c r="G2146" s="9">
        <f>IFERROR(__xludf.DUMMYFUNCTION("""COMPUTED_VALUE"""),9395707.0)</f>
        <v>9395707</v>
      </c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</row>
    <row r="2147">
      <c r="A2147" s="1"/>
      <c r="B2147" s="22">
        <f>IFERROR(__xludf.DUMMYFUNCTION("""COMPUTED_VALUE"""),44718.64583333333)</f>
        <v>44718.64583</v>
      </c>
      <c r="C2147" s="9">
        <f>IFERROR(__xludf.DUMMYFUNCTION("""COMPUTED_VALUE"""),1516.0)</f>
        <v>1516</v>
      </c>
      <c r="D2147" s="9">
        <f>IFERROR(__xludf.DUMMYFUNCTION("""COMPUTED_VALUE"""),1536.6)</f>
        <v>1536.6</v>
      </c>
      <c r="E2147" s="9">
        <f>IFERROR(__xludf.DUMMYFUNCTION("""COMPUTED_VALUE"""),1493.0)</f>
        <v>1493</v>
      </c>
      <c r="F2147" s="9">
        <f>IFERROR(__xludf.DUMMYFUNCTION("""COMPUTED_VALUE"""),1530.05)</f>
        <v>1530.05</v>
      </c>
      <c r="G2147" s="9">
        <f>IFERROR(__xludf.DUMMYFUNCTION("""COMPUTED_VALUE"""),6624883.0)</f>
        <v>6624883</v>
      </c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</row>
    <row r="2148">
      <c r="A2148" s="1"/>
      <c r="B2148" s="22">
        <f>IFERROR(__xludf.DUMMYFUNCTION("""COMPUTED_VALUE"""),44719.64583333333)</f>
        <v>44719.64583</v>
      </c>
      <c r="C2148" s="9">
        <f>IFERROR(__xludf.DUMMYFUNCTION("""COMPUTED_VALUE"""),1519.85)</f>
        <v>1519.85</v>
      </c>
      <c r="D2148" s="9">
        <f>IFERROR(__xludf.DUMMYFUNCTION("""COMPUTED_VALUE"""),1519.85)</f>
        <v>1519.85</v>
      </c>
      <c r="E2148" s="9">
        <f>IFERROR(__xludf.DUMMYFUNCTION("""COMPUTED_VALUE"""),1502.6)</f>
        <v>1502.6</v>
      </c>
      <c r="F2148" s="9">
        <f>IFERROR(__xludf.DUMMYFUNCTION("""COMPUTED_VALUE"""),1506.7)</f>
        <v>1506.7</v>
      </c>
      <c r="G2148" s="9">
        <f>IFERROR(__xludf.DUMMYFUNCTION("""COMPUTED_VALUE"""),4904592.0)</f>
        <v>4904592</v>
      </c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</row>
    <row r="2149">
      <c r="A2149" s="1"/>
      <c r="B2149" s="22">
        <f>IFERROR(__xludf.DUMMYFUNCTION("""COMPUTED_VALUE"""),44720.64583333333)</f>
        <v>44720.64583</v>
      </c>
      <c r="C2149" s="9">
        <f>IFERROR(__xludf.DUMMYFUNCTION("""COMPUTED_VALUE"""),1520.2)</f>
        <v>1520.2</v>
      </c>
      <c r="D2149" s="9">
        <f>IFERROR(__xludf.DUMMYFUNCTION("""COMPUTED_VALUE"""),1520.2)</f>
        <v>1520.2</v>
      </c>
      <c r="E2149" s="9">
        <f>IFERROR(__xludf.DUMMYFUNCTION("""COMPUTED_VALUE"""),1492.0)</f>
        <v>1492</v>
      </c>
      <c r="F2149" s="9">
        <f>IFERROR(__xludf.DUMMYFUNCTION("""COMPUTED_VALUE"""),1500.0)</f>
        <v>1500</v>
      </c>
      <c r="G2149" s="9">
        <f>IFERROR(__xludf.DUMMYFUNCTION("""COMPUTED_VALUE"""),4697608.0)</f>
        <v>4697608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</row>
    <row r="2150">
      <c r="A2150" s="1"/>
      <c r="B2150" s="22">
        <f>IFERROR(__xludf.DUMMYFUNCTION("""COMPUTED_VALUE"""),44721.64583333333)</f>
        <v>44721.64583</v>
      </c>
      <c r="C2150" s="9">
        <f>IFERROR(__xludf.DUMMYFUNCTION("""COMPUTED_VALUE"""),1485.0)</f>
        <v>1485</v>
      </c>
      <c r="D2150" s="9">
        <f>IFERROR(__xludf.DUMMYFUNCTION("""COMPUTED_VALUE"""),1516.95)</f>
        <v>1516.95</v>
      </c>
      <c r="E2150" s="9">
        <f>IFERROR(__xludf.DUMMYFUNCTION("""COMPUTED_VALUE"""),1481.5)</f>
        <v>1481.5</v>
      </c>
      <c r="F2150" s="9">
        <f>IFERROR(__xludf.DUMMYFUNCTION("""COMPUTED_VALUE"""),1515.0)</f>
        <v>1515</v>
      </c>
      <c r="G2150" s="9">
        <f>IFERROR(__xludf.DUMMYFUNCTION("""COMPUTED_VALUE"""),4361061.0)</f>
        <v>4361061</v>
      </c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</row>
    <row r="2151">
      <c r="A2151" s="1"/>
      <c r="B2151" s="22">
        <f>IFERROR(__xludf.DUMMYFUNCTION("""COMPUTED_VALUE"""),44722.64583333333)</f>
        <v>44722.64583</v>
      </c>
      <c r="C2151" s="9">
        <f>IFERROR(__xludf.DUMMYFUNCTION("""COMPUTED_VALUE"""),1486.1)</f>
        <v>1486.1</v>
      </c>
      <c r="D2151" s="9">
        <f>IFERROR(__xludf.DUMMYFUNCTION("""COMPUTED_VALUE"""),1493.95)</f>
        <v>1493.95</v>
      </c>
      <c r="E2151" s="9">
        <f>IFERROR(__xludf.DUMMYFUNCTION("""COMPUTED_VALUE"""),1473.6)</f>
        <v>1473.6</v>
      </c>
      <c r="F2151" s="9">
        <f>IFERROR(__xludf.DUMMYFUNCTION("""COMPUTED_VALUE"""),1476.8)</f>
        <v>1476.8</v>
      </c>
      <c r="G2151" s="9">
        <f>IFERROR(__xludf.DUMMYFUNCTION("""COMPUTED_VALUE"""),6516436.0)</f>
        <v>6516436</v>
      </c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</row>
    <row r="2152">
      <c r="A2152" s="1"/>
      <c r="B2152" s="22">
        <f>IFERROR(__xludf.DUMMYFUNCTION("""COMPUTED_VALUE"""),44725.64583333333)</f>
        <v>44725.64583</v>
      </c>
      <c r="C2152" s="9">
        <f>IFERROR(__xludf.DUMMYFUNCTION("""COMPUTED_VALUE"""),1443.6)</f>
        <v>1443.6</v>
      </c>
      <c r="D2152" s="9">
        <f>IFERROR(__xludf.DUMMYFUNCTION("""COMPUTED_VALUE"""),1443.6)</f>
        <v>1443.6</v>
      </c>
      <c r="E2152" s="9">
        <f>IFERROR(__xludf.DUMMYFUNCTION("""COMPUTED_VALUE"""),1411.7)</f>
        <v>1411.7</v>
      </c>
      <c r="F2152" s="9">
        <f>IFERROR(__xludf.DUMMYFUNCTION("""COMPUTED_VALUE"""),1424.5)</f>
        <v>1424.5</v>
      </c>
      <c r="G2152" s="9">
        <f>IFERROR(__xludf.DUMMYFUNCTION("""COMPUTED_VALUE"""),6987685.0)</f>
        <v>6987685</v>
      </c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</row>
    <row r="2153">
      <c r="A2153" s="1"/>
      <c r="B2153" s="22">
        <f>IFERROR(__xludf.DUMMYFUNCTION("""COMPUTED_VALUE"""),44726.64583333333)</f>
        <v>44726.64583</v>
      </c>
      <c r="C2153" s="9">
        <f>IFERROR(__xludf.DUMMYFUNCTION("""COMPUTED_VALUE"""),1410.0)</f>
        <v>1410</v>
      </c>
      <c r="D2153" s="9">
        <f>IFERROR(__xludf.DUMMYFUNCTION("""COMPUTED_VALUE"""),1448.9)</f>
        <v>1448.9</v>
      </c>
      <c r="E2153" s="9">
        <f>IFERROR(__xludf.DUMMYFUNCTION("""COMPUTED_VALUE"""),1403.15)</f>
        <v>1403.15</v>
      </c>
      <c r="F2153" s="9">
        <f>IFERROR(__xludf.DUMMYFUNCTION("""COMPUTED_VALUE"""),1440.55)</f>
        <v>1440.55</v>
      </c>
      <c r="G2153" s="9">
        <f>IFERROR(__xludf.DUMMYFUNCTION("""COMPUTED_VALUE"""),6090247.0)</f>
        <v>6090247</v>
      </c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</row>
    <row r="2154">
      <c r="A2154" s="1"/>
      <c r="B2154" s="22">
        <f>IFERROR(__xludf.DUMMYFUNCTION("""COMPUTED_VALUE"""),44727.64583333333)</f>
        <v>44727.64583</v>
      </c>
      <c r="C2154" s="9">
        <f>IFERROR(__xludf.DUMMYFUNCTION("""COMPUTED_VALUE"""),1440.2)</f>
        <v>1440.2</v>
      </c>
      <c r="D2154" s="9">
        <f>IFERROR(__xludf.DUMMYFUNCTION("""COMPUTED_VALUE"""),1446.4)</f>
        <v>1446.4</v>
      </c>
      <c r="E2154" s="9">
        <f>IFERROR(__xludf.DUMMYFUNCTION("""COMPUTED_VALUE"""),1418.85)</f>
        <v>1418.85</v>
      </c>
      <c r="F2154" s="9">
        <f>IFERROR(__xludf.DUMMYFUNCTION("""COMPUTED_VALUE"""),1422.2)</f>
        <v>1422.2</v>
      </c>
      <c r="G2154" s="9">
        <f>IFERROR(__xludf.DUMMYFUNCTION("""COMPUTED_VALUE"""),4651958.0)</f>
        <v>4651958</v>
      </c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</row>
    <row r="2155">
      <c r="A2155" s="1"/>
      <c r="B2155" s="22">
        <f>IFERROR(__xludf.DUMMYFUNCTION("""COMPUTED_VALUE"""),44728.64583333333)</f>
        <v>44728.64583</v>
      </c>
      <c r="C2155" s="9">
        <f>IFERROR(__xludf.DUMMYFUNCTION("""COMPUTED_VALUE"""),1438.0)</f>
        <v>1438</v>
      </c>
      <c r="D2155" s="9">
        <f>IFERROR(__xludf.DUMMYFUNCTION("""COMPUTED_VALUE"""),1443.75)</f>
        <v>1443.75</v>
      </c>
      <c r="E2155" s="9">
        <f>IFERROR(__xludf.DUMMYFUNCTION("""COMPUTED_VALUE"""),1392.0)</f>
        <v>1392</v>
      </c>
      <c r="F2155" s="9">
        <f>IFERROR(__xludf.DUMMYFUNCTION("""COMPUTED_VALUE"""),1397.2)</f>
        <v>1397.2</v>
      </c>
      <c r="G2155" s="9">
        <f>IFERROR(__xludf.DUMMYFUNCTION("""COMPUTED_VALUE"""),6641772.0)</f>
        <v>6641772</v>
      </c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</row>
    <row r="2156">
      <c r="A2156" s="1"/>
      <c r="B2156" s="22">
        <f>IFERROR(__xludf.DUMMYFUNCTION("""COMPUTED_VALUE"""),44729.64583333333)</f>
        <v>44729.64583</v>
      </c>
      <c r="C2156" s="9">
        <f>IFERROR(__xludf.DUMMYFUNCTION("""COMPUTED_VALUE"""),1391.05)</f>
        <v>1391.05</v>
      </c>
      <c r="D2156" s="9">
        <f>IFERROR(__xludf.DUMMYFUNCTION("""COMPUTED_VALUE"""),1396.95)</f>
        <v>1396.95</v>
      </c>
      <c r="E2156" s="9">
        <f>IFERROR(__xludf.DUMMYFUNCTION("""COMPUTED_VALUE"""),1367.15)</f>
        <v>1367.15</v>
      </c>
      <c r="F2156" s="9">
        <f>IFERROR(__xludf.DUMMYFUNCTION("""COMPUTED_VALUE"""),1387.3)</f>
        <v>1387.3</v>
      </c>
      <c r="G2156" s="9">
        <f>IFERROR(__xludf.DUMMYFUNCTION("""COMPUTED_VALUE"""),9692047.0)</f>
        <v>9692047</v>
      </c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</row>
    <row r="2157">
      <c r="A2157" s="1"/>
      <c r="B2157" s="22">
        <f>IFERROR(__xludf.DUMMYFUNCTION("""COMPUTED_VALUE"""),44732.64583333333)</f>
        <v>44732.64583</v>
      </c>
      <c r="C2157" s="9">
        <f>IFERROR(__xludf.DUMMYFUNCTION("""COMPUTED_VALUE"""),1390.05)</f>
        <v>1390.05</v>
      </c>
      <c r="D2157" s="9">
        <f>IFERROR(__xludf.DUMMYFUNCTION("""COMPUTED_VALUE"""),1422.35)</f>
        <v>1422.35</v>
      </c>
      <c r="E2157" s="9">
        <f>IFERROR(__xludf.DUMMYFUNCTION("""COMPUTED_VALUE"""),1382.0)</f>
        <v>1382</v>
      </c>
      <c r="F2157" s="9">
        <f>IFERROR(__xludf.DUMMYFUNCTION("""COMPUTED_VALUE"""),1414.15)</f>
        <v>1414.15</v>
      </c>
      <c r="G2157" s="9">
        <f>IFERROR(__xludf.DUMMYFUNCTION("""COMPUTED_VALUE"""),4595194.0)</f>
        <v>4595194</v>
      </c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</row>
    <row r="2158">
      <c r="A2158" s="1"/>
      <c r="B2158" s="22">
        <f>IFERROR(__xludf.DUMMYFUNCTION("""COMPUTED_VALUE"""),44733.64583333333)</f>
        <v>44733.64583</v>
      </c>
      <c r="C2158" s="9">
        <f>IFERROR(__xludf.DUMMYFUNCTION("""COMPUTED_VALUE"""),1424.0)</f>
        <v>1424</v>
      </c>
      <c r="D2158" s="9">
        <f>IFERROR(__xludf.DUMMYFUNCTION("""COMPUTED_VALUE"""),1456.0)</f>
        <v>1456</v>
      </c>
      <c r="E2158" s="9">
        <f>IFERROR(__xludf.DUMMYFUNCTION("""COMPUTED_VALUE"""),1422.75)</f>
        <v>1422.75</v>
      </c>
      <c r="F2158" s="9">
        <f>IFERROR(__xludf.DUMMYFUNCTION("""COMPUTED_VALUE"""),1449.9)</f>
        <v>1449.9</v>
      </c>
      <c r="G2158" s="9">
        <f>IFERROR(__xludf.DUMMYFUNCTION("""COMPUTED_VALUE"""),6270787.0)</f>
        <v>6270787</v>
      </c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</row>
    <row r="2159">
      <c r="A2159" s="1"/>
      <c r="B2159" s="22">
        <f>IFERROR(__xludf.DUMMYFUNCTION("""COMPUTED_VALUE"""),44734.64583333333)</f>
        <v>44734.64583</v>
      </c>
      <c r="C2159" s="9">
        <f>IFERROR(__xludf.DUMMYFUNCTION("""COMPUTED_VALUE"""),1436.05)</f>
        <v>1436.05</v>
      </c>
      <c r="D2159" s="9">
        <f>IFERROR(__xludf.DUMMYFUNCTION("""COMPUTED_VALUE"""),1459.6)</f>
        <v>1459.6</v>
      </c>
      <c r="E2159" s="9">
        <f>IFERROR(__xludf.DUMMYFUNCTION("""COMPUTED_VALUE"""),1435.0)</f>
        <v>1435</v>
      </c>
      <c r="F2159" s="9">
        <f>IFERROR(__xludf.DUMMYFUNCTION("""COMPUTED_VALUE"""),1437.25)</f>
        <v>1437.25</v>
      </c>
      <c r="G2159" s="9">
        <f>IFERROR(__xludf.DUMMYFUNCTION("""COMPUTED_VALUE"""),6253366.0)</f>
        <v>6253366</v>
      </c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</row>
    <row r="2160">
      <c r="A2160" s="1"/>
      <c r="B2160" s="22">
        <f>IFERROR(__xludf.DUMMYFUNCTION("""COMPUTED_VALUE"""),44735.64583333333)</f>
        <v>44735.64583</v>
      </c>
      <c r="C2160" s="9">
        <f>IFERROR(__xludf.DUMMYFUNCTION("""COMPUTED_VALUE"""),1439.8)</f>
        <v>1439.8</v>
      </c>
      <c r="D2160" s="9">
        <f>IFERROR(__xludf.DUMMYFUNCTION("""COMPUTED_VALUE"""),1458.0)</f>
        <v>1458</v>
      </c>
      <c r="E2160" s="9">
        <f>IFERROR(__xludf.DUMMYFUNCTION("""COMPUTED_VALUE"""),1433.0)</f>
        <v>1433</v>
      </c>
      <c r="F2160" s="9">
        <f>IFERROR(__xludf.DUMMYFUNCTION("""COMPUTED_VALUE"""),1452.45)</f>
        <v>1452.45</v>
      </c>
      <c r="G2160" s="9">
        <f>IFERROR(__xludf.DUMMYFUNCTION("""COMPUTED_VALUE"""),6254281.0)</f>
        <v>6254281</v>
      </c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</row>
    <row r="2161">
      <c r="A2161" s="1"/>
      <c r="B2161" s="22">
        <f>IFERROR(__xludf.DUMMYFUNCTION("""COMPUTED_VALUE"""),44736.64583333333)</f>
        <v>44736.64583</v>
      </c>
      <c r="C2161" s="9">
        <f>IFERROR(__xludf.DUMMYFUNCTION("""COMPUTED_VALUE"""),1458.0)</f>
        <v>1458</v>
      </c>
      <c r="D2161" s="9">
        <f>IFERROR(__xludf.DUMMYFUNCTION("""COMPUTED_VALUE"""),1467.5)</f>
        <v>1467.5</v>
      </c>
      <c r="E2161" s="9">
        <f>IFERROR(__xludf.DUMMYFUNCTION("""COMPUTED_VALUE"""),1428.9)</f>
        <v>1428.9</v>
      </c>
      <c r="F2161" s="9">
        <f>IFERROR(__xludf.DUMMYFUNCTION("""COMPUTED_VALUE"""),1441.1)</f>
        <v>1441.1</v>
      </c>
      <c r="G2161" s="9">
        <f>IFERROR(__xludf.DUMMYFUNCTION("""COMPUTED_VALUE"""),6114340.0)</f>
        <v>6114340</v>
      </c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</row>
    <row r="2162">
      <c r="A2162" s="1"/>
      <c r="B2162" s="22">
        <f>IFERROR(__xludf.DUMMYFUNCTION("""COMPUTED_VALUE"""),44739.64583333333)</f>
        <v>44739.64583</v>
      </c>
      <c r="C2162" s="9">
        <f>IFERROR(__xludf.DUMMYFUNCTION("""COMPUTED_VALUE"""),1468.05)</f>
        <v>1468.05</v>
      </c>
      <c r="D2162" s="9">
        <f>IFERROR(__xludf.DUMMYFUNCTION("""COMPUTED_VALUE"""),1484.0)</f>
        <v>1484</v>
      </c>
      <c r="E2162" s="9">
        <f>IFERROR(__xludf.DUMMYFUNCTION("""COMPUTED_VALUE"""),1465.15)</f>
        <v>1465.15</v>
      </c>
      <c r="F2162" s="9">
        <f>IFERROR(__xludf.DUMMYFUNCTION("""COMPUTED_VALUE"""),1474.6)</f>
        <v>1474.6</v>
      </c>
      <c r="G2162" s="9">
        <f>IFERROR(__xludf.DUMMYFUNCTION("""COMPUTED_VALUE"""),4511097.0)</f>
        <v>4511097</v>
      </c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</row>
    <row r="2163">
      <c r="A2163" s="1"/>
      <c r="B2163" s="22">
        <f>IFERROR(__xludf.DUMMYFUNCTION("""COMPUTED_VALUE"""),44740.64583333333)</f>
        <v>44740.64583</v>
      </c>
      <c r="C2163" s="9">
        <f>IFERROR(__xludf.DUMMYFUNCTION("""COMPUTED_VALUE"""),1469.0)</f>
        <v>1469</v>
      </c>
      <c r="D2163" s="9">
        <f>IFERROR(__xludf.DUMMYFUNCTION("""COMPUTED_VALUE"""),1488.25)</f>
        <v>1488.25</v>
      </c>
      <c r="E2163" s="9">
        <f>IFERROR(__xludf.DUMMYFUNCTION("""COMPUTED_VALUE"""),1453.0)</f>
        <v>1453</v>
      </c>
      <c r="F2163" s="9">
        <f>IFERROR(__xludf.DUMMYFUNCTION("""COMPUTED_VALUE"""),1480.15)</f>
        <v>1480.15</v>
      </c>
      <c r="G2163" s="9">
        <f>IFERROR(__xludf.DUMMYFUNCTION("""COMPUTED_VALUE"""),4412178.0)</f>
        <v>4412178</v>
      </c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</row>
    <row r="2164">
      <c r="A2164" s="1"/>
      <c r="B2164" s="22">
        <f>IFERROR(__xludf.DUMMYFUNCTION("""COMPUTED_VALUE"""),44741.64583333333)</f>
        <v>44741.64583</v>
      </c>
      <c r="C2164" s="9">
        <f>IFERROR(__xludf.DUMMYFUNCTION("""COMPUTED_VALUE"""),1464.7)</f>
        <v>1464.7</v>
      </c>
      <c r="D2164" s="9">
        <f>IFERROR(__xludf.DUMMYFUNCTION("""COMPUTED_VALUE"""),1477.0)</f>
        <v>1477</v>
      </c>
      <c r="E2164" s="9">
        <f>IFERROR(__xludf.DUMMYFUNCTION("""COMPUTED_VALUE"""),1457.0)</f>
        <v>1457</v>
      </c>
      <c r="F2164" s="9">
        <f>IFERROR(__xludf.DUMMYFUNCTION("""COMPUTED_VALUE"""),1463.25)</f>
        <v>1463.25</v>
      </c>
      <c r="G2164" s="9">
        <f>IFERROR(__xludf.DUMMYFUNCTION("""COMPUTED_VALUE"""),5060038.0)</f>
        <v>5060038</v>
      </c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</row>
    <row r="2165">
      <c r="A2165" s="1"/>
      <c r="B2165" s="22">
        <f>IFERROR(__xludf.DUMMYFUNCTION("""COMPUTED_VALUE"""),44742.64583333333)</f>
        <v>44742.64583</v>
      </c>
      <c r="C2165" s="9">
        <f>IFERROR(__xludf.DUMMYFUNCTION("""COMPUTED_VALUE"""),1465.05)</f>
        <v>1465.05</v>
      </c>
      <c r="D2165" s="9">
        <f>IFERROR(__xludf.DUMMYFUNCTION("""COMPUTED_VALUE"""),1482.0)</f>
        <v>1482</v>
      </c>
      <c r="E2165" s="9">
        <f>IFERROR(__xludf.DUMMYFUNCTION("""COMPUTED_VALUE"""),1455.0)</f>
        <v>1455</v>
      </c>
      <c r="F2165" s="9">
        <f>IFERROR(__xludf.DUMMYFUNCTION("""COMPUTED_VALUE"""),1461.9)</f>
        <v>1461.9</v>
      </c>
      <c r="G2165" s="9">
        <f>IFERROR(__xludf.DUMMYFUNCTION("""COMPUTED_VALUE"""),9165177.0)</f>
        <v>9165177</v>
      </c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</row>
    <row r="2166">
      <c r="A2166" s="1"/>
      <c r="B2166" s="22">
        <f>IFERROR(__xludf.DUMMYFUNCTION("""COMPUTED_VALUE"""),44743.64583333333)</f>
        <v>44743.64583</v>
      </c>
      <c r="C2166" s="9">
        <f>IFERROR(__xludf.DUMMYFUNCTION("""COMPUTED_VALUE"""),1454.0)</f>
        <v>1454</v>
      </c>
      <c r="D2166" s="9">
        <f>IFERROR(__xludf.DUMMYFUNCTION("""COMPUTED_VALUE"""),1485.0)</f>
        <v>1485</v>
      </c>
      <c r="E2166" s="9">
        <f>IFERROR(__xludf.DUMMYFUNCTION("""COMPUTED_VALUE"""),1442.35)</f>
        <v>1442.35</v>
      </c>
      <c r="F2166" s="9">
        <f>IFERROR(__xludf.DUMMYFUNCTION("""COMPUTED_VALUE"""),1479.4)</f>
        <v>1479.4</v>
      </c>
      <c r="G2166" s="9">
        <f>IFERROR(__xludf.DUMMYFUNCTION("""COMPUTED_VALUE"""),4651635.0)</f>
        <v>4651635</v>
      </c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</row>
    <row r="2167">
      <c r="A2167" s="1"/>
      <c r="B2167" s="22">
        <f>IFERROR(__xludf.DUMMYFUNCTION("""COMPUTED_VALUE"""),44746.64583333333)</f>
        <v>44746.64583</v>
      </c>
      <c r="C2167" s="9">
        <f>IFERROR(__xludf.DUMMYFUNCTION("""COMPUTED_VALUE"""),1480.25)</f>
        <v>1480.25</v>
      </c>
      <c r="D2167" s="9">
        <f>IFERROR(__xludf.DUMMYFUNCTION("""COMPUTED_VALUE"""),1492.25)</f>
        <v>1492.25</v>
      </c>
      <c r="E2167" s="9">
        <f>IFERROR(__xludf.DUMMYFUNCTION("""COMPUTED_VALUE"""),1462.0)</f>
        <v>1462</v>
      </c>
      <c r="F2167" s="9">
        <f>IFERROR(__xludf.DUMMYFUNCTION("""COMPUTED_VALUE"""),1488.0)</f>
        <v>1488</v>
      </c>
      <c r="G2167" s="9">
        <f>IFERROR(__xludf.DUMMYFUNCTION("""COMPUTED_VALUE"""),4800224.0)</f>
        <v>4800224</v>
      </c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</row>
    <row r="2168">
      <c r="A2168" s="1"/>
      <c r="B2168" s="22">
        <f>IFERROR(__xludf.DUMMYFUNCTION("""COMPUTED_VALUE"""),44747.64583333333)</f>
        <v>44747.64583</v>
      </c>
      <c r="C2168" s="9">
        <f>IFERROR(__xludf.DUMMYFUNCTION("""COMPUTED_VALUE"""),1498.8)</f>
        <v>1498.8</v>
      </c>
      <c r="D2168" s="9">
        <f>IFERROR(__xludf.DUMMYFUNCTION("""COMPUTED_VALUE"""),1509.95)</f>
        <v>1509.95</v>
      </c>
      <c r="E2168" s="9">
        <f>IFERROR(__xludf.DUMMYFUNCTION("""COMPUTED_VALUE"""),1472.0)</f>
        <v>1472</v>
      </c>
      <c r="F2168" s="9">
        <f>IFERROR(__xludf.DUMMYFUNCTION("""COMPUTED_VALUE"""),1475.95)</f>
        <v>1475.95</v>
      </c>
      <c r="G2168" s="9">
        <f>IFERROR(__xludf.DUMMYFUNCTION("""COMPUTED_VALUE"""),7379669.0)</f>
        <v>7379669</v>
      </c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</row>
    <row r="2169">
      <c r="A2169" s="1"/>
      <c r="B2169" s="22">
        <f>IFERROR(__xludf.DUMMYFUNCTION("""COMPUTED_VALUE"""),44748.64583333333)</f>
        <v>44748.64583</v>
      </c>
      <c r="C2169" s="9">
        <f>IFERROR(__xludf.DUMMYFUNCTION("""COMPUTED_VALUE"""),1482.2)</f>
        <v>1482.2</v>
      </c>
      <c r="D2169" s="9">
        <f>IFERROR(__xludf.DUMMYFUNCTION("""COMPUTED_VALUE"""),1500.0)</f>
        <v>1500</v>
      </c>
      <c r="E2169" s="9">
        <f>IFERROR(__xludf.DUMMYFUNCTION("""COMPUTED_VALUE"""),1470.0)</f>
        <v>1470</v>
      </c>
      <c r="F2169" s="9">
        <f>IFERROR(__xludf.DUMMYFUNCTION("""COMPUTED_VALUE"""),1491.65)</f>
        <v>1491.65</v>
      </c>
      <c r="G2169" s="9">
        <f>IFERROR(__xludf.DUMMYFUNCTION("""COMPUTED_VALUE"""),5209162.0)</f>
        <v>5209162</v>
      </c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</row>
    <row r="2170">
      <c r="A2170" s="1"/>
      <c r="B2170" s="22">
        <f>IFERROR(__xludf.DUMMYFUNCTION("""COMPUTED_VALUE"""),44749.64583333333)</f>
        <v>44749.64583</v>
      </c>
      <c r="C2170" s="9">
        <f>IFERROR(__xludf.DUMMYFUNCTION("""COMPUTED_VALUE"""),1503.05)</f>
        <v>1503.05</v>
      </c>
      <c r="D2170" s="9">
        <f>IFERROR(__xludf.DUMMYFUNCTION("""COMPUTED_VALUE"""),1513.95)</f>
        <v>1513.95</v>
      </c>
      <c r="E2170" s="9">
        <f>IFERROR(__xludf.DUMMYFUNCTION("""COMPUTED_VALUE"""),1495.7)</f>
        <v>1495.7</v>
      </c>
      <c r="F2170" s="9">
        <f>IFERROR(__xludf.DUMMYFUNCTION("""COMPUTED_VALUE"""),1498.7)</f>
        <v>1498.7</v>
      </c>
      <c r="G2170" s="9">
        <f>IFERROR(__xludf.DUMMYFUNCTION("""COMPUTED_VALUE"""),3323472.0)</f>
        <v>3323472</v>
      </c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</row>
    <row r="2171">
      <c r="A2171" s="1"/>
      <c r="B2171" s="22">
        <f>IFERROR(__xludf.DUMMYFUNCTION("""COMPUTED_VALUE"""),44750.64583333333)</f>
        <v>44750.64583</v>
      </c>
      <c r="C2171" s="9">
        <f>IFERROR(__xludf.DUMMYFUNCTION("""COMPUTED_VALUE"""),1515.0)</f>
        <v>1515</v>
      </c>
      <c r="D2171" s="9">
        <f>IFERROR(__xludf.DUMMYFUNCTION("""COMPUTED_VALUE"""),1516.95)</f>
        <v>1516.95</v>
      </c>
      <c r="E2171" s="9">
        <f>IFERROR(__xludf.DUMMYFUNCTION("""COMPUTED_VALUE"""),1499.95)</f>
        <v>1499.95</v>
      </c>
      <c r="F2171" s="9">
        <f>IFERROR(__xludf.DUMMYFUNCTION("""COMPUTED_VALUE"""),1514.45)</f>
        <v>1514.45</v>
      </c>
      <c r="G2171" s="9">
        <f>IFERROR(__xludf.DUMMYFUNCTION("""COMPUTED_VALUE"""),3652582.0)</f>
        <v>3652582</v>
      </c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</row>
    <row r="2172">
      <c r="A2172" s="1"/>
      <c r="B2172" s="22">
        <f>IFERROR(__xludf.DUMMYFUNCTION("""COMPUTED_VALUE"""),44753.64583333333)</f>
        <v>44753.64583</v>
      </c>
      <c r="C2172" s="9">
        <f>IFERROR(__xludf.DUMMYFUNCTION("""COMPUTED_VALUE"""),1495.0)</f>
        <v>1495</v>
      </c>
      <c r="D2172" s="9">
        <f>IFERROR(__xludf.DUMMYFUNCTION("""COMPUTED_VALUE"""),1499.9)</f>
        <v>1499.9</v>
      </c>
      <c r="E2172" s="9">
        <f>IFERROR(__xludf.DUMMYFUNCTION("""COMPUTED_VALUE"""),1466.4)</f>
        <v>1466.4</v>
      </c>
      <c r="F2172" s="9">
        <f>IFERROR(__xludf.DUMMYFUNCTION("""COMPUTED_VALUE"""),1473.15)</f>
        <v>1473.15</v>
      </c>
      <c r="G2172" s="9">
        <f>IFERROR(__xludf.DUMMYFUNCTION("""COMPUTED_VALUE"""),4702815.0)</f>
        <v>4702815</v>
      </c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</row>
    <row r="2173">
      <c r="A2173" s="1"/>
      <c r="B2173" s="22">
        <f>IFERROR(__xludf.DUMMYFUNCTION("""COMPUTED_VALUE"""),44754.64583333333)</f>
        <v>44754.64583</v>
      </c>
      <c r="C2173" s="9">
        <f>IFERROR(__xludf.DUMMYFUNCTION("""COMPUTED_VALUE"""),1461.8)</f>
        <v>1461.8</v>
      </c>
      <c r="D2173" s="9">
        <f>IFERROR(__xludf.DUMMYFUNCTION("""COMPUTED_VALUE"""),1468.6)</f>
        <v>1468.6</v>
      </c>
      <c r="E2173" s="9">
        <f>IFERROR(__xludf.DUMMYFUNCTION("""COMPUTED_VALUE"""),1436.0)</f>
        <v>1436</v>
      </c>
      <c r="F2173" s="9">
        <f>IFERROR(__xludf.DUMMYFUNCTION("""COMPUTED_VALUE"""),1438.6)</f>
        <v>1438.6</v>
      </c>
      <c r="G2173" s="9">
        <f>IFERROR(__xludf.DUMMYFUNCTION("""COMPUTED_VALUE"""),4710356.0)</f>
        <v>4710356</v>
      </c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</row>
    <row r="2174">
      <c r="A2174" s="1"/>
      <c r="B2174" s="22">
        <f>IFERROR(__xludf.DUMMYFUNCTION("""COMPUTED_VALUE"""),44755.64583333333)</f>
        <v>44755.64583</v>
      </c>
      <c r="C2174" s="9">
        <f>IFERROR(__xludf.DUMMYFUNCTION("""COMPUTED_VALUE"""),1450.0)</f>
        <v>1450</v>
      </c>
      <c r="D2174" s="9">
        <f>IFERROR(__xludf.DUMMYFUNCTION("""COMPUTED_VALUE"""),1460.0)</f>
        <v>1460</v>
      </c>
      <c r="E2174" s="9">
        <f>IFERROR(__xludf.DUMMYFUNCTION("""COMPUTED_VALUE"""),1438.6)</f>
        <v>1438.6</v>
      </c>
      <c r="F2174" s="9">
        <f>IFERROR(__xludf.DUMMYFUNCTION("""COMPUTED_VALUE"""),1444.45)</f>
        <v>1444.45</v>
      </c>
      <c r="G2174" s="9">
        <f>IFERROR(__xludf.DUMMYFUNCTION("""COMPUTED_VALUE"""),5264025.0)</f>
        <v>5264025</v>
      </c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</row>
    <row r="2175">
      <c r="A2175" s="1"/>
      <c r="B2175" s="22">
        <f>IFERROR(__xludf.DUMMYFUNCTION("""COMPUTED_VALUE"""),44756.64583333333)</f>
        <v>44756.64583</v>
      </c>
      <c r="C2175" s="9">
        <f>IFERROR(__xludf.DUMMYFUNCTION("""COMPUTED_VALUE"""),1451.0)</f>
        <v>1451</v>
      </c>
      <c r="D2175" s="9">
        <f>IFERROR(__xludf.DUMMYFUNCTION("""COMPUTED_VALUE"""),1452.95)</f>
        <v>1452.95</v>
      </c>
      <c r="E2175" s="9">
        <f>IFERROR(__xludf.DUMMYFUNCTION("""COMPUTED_VALUE"""),1414.0)</f>
        <v>1414</v>
      </c>
      <c r="F2175" s="9">
        <f>IFERROR(__xludf.DUMMYFUNCTION("""COMPUTED_VALUE"""),1428.85)</f>
        <v>1428.85</v>
      </c>
      <c r="G2175" s="9">
        <f>IFERROR(__xludf.DUMMYFUNCTION("""COMPUTED_VALUE"""),6157606.0)</f>
        <v>6157606</v>
      </c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</row>
    <row r="2176">
      <c r="A2176" s="1"/>
      <c r="B2176" s="22">
        <f>IFERROR(__xludf.DUMMYFUNCTION("""COMPUTED_VALUE"""),44757.64583333333)</f>
        <v>44757.64583</v>
      </c>
      <c r="C2176" s="9">
        <f>IFERROR(__xludf.DUMMYFUNCTION("""COMPUTED_VALUE"""),1446.0)</f>
        <v>1446</v>
      </c>
      <c r="D2176" s="9">
        <f>IFERROR(__xludf.DUMMYFUNCTION("""COMPUTED_VALUE"""),1446.0)</f>
        <v>1446</v>
      </c>
      <c r="E2176" s="9">
        <f>IFERROR(__xludf.DUMMYFUNCTION("""COMPUTED_VALUE"""),1410.65)</f>
        <v>1410.65</v>
      </c>
      <c r="F2176" s="9">
        <f>IFERROR(__xludf.DUMMYFUNCTION("""COMPUTED_VALUE"""),1430.35)</f>
        <v>1430.35</v>
      </c>
      <c r="G2176" s="9">
        <f>IFERROR(__xludf.DUMMYFUNCTION("""COMPUTED_VALUE"""),5620018.0)</f>
        <v>5620018</v>
      </c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</row>
    <row r="2177">
      <c r="A2177" s="1"/>
      <c r="B2177" s="22">
        <f>IFERROR(__xludf.DUMMYFUNCTION("""COMPUTED_VALUE"""),44760.64583333333)</f>
        <v>44760.64583</v>
      </c>
      <c r="C2177" s="9">
        <f>IFERROR(__xludf.DUMMYFUNCTION("""COMPUTED_VALUE"""),1450.0)</f>
        <v>1450</v>
      </c>
      <c r="D2177" s="9">
        <f>IFERROR(__xludf.DUMMYFUNCTION("""COMPUTED_VALUE"""),1493.6)</f>
        <v>1493.6</v>
      </c>
      <c r="E2177" s="9">
        <f>IFERROR(__xludf.DUMMYFUNCTION("""COMPUTED_VALUE"""),1448.05)</f>
        <v>1448.05</v>
      </c>
      <c r="F2177" s="9">
        <f>IFERROR(__xludf.DUMMYFUNCTION("""COMPUTED_VALUE"""),1489.9)</f>
        <v>1489.9</v>
      </c>
      <c r="G2177" s="9">
        <f>IFERROR(__xludf.DUMMYFUNCTION("""COMPUTED_VALUE"""),5835171.0)</f>
        <v>5835171</v>
      </c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</row>
    <row r="2178">
      <c r="A2178" s="1"/>
      <c r="B2178" s="22">
        <f>IFERROR(__xludf.DUMMYFUNCTION("""COMPUTED_VALUE"""),44761.64583333333)</f>
        <v>44761.64583</v>
      </c>
      <c r="C2178" s="9">
        <f>IFERROR(__xludf.DUMMYFUNCTION("""COMPUTED_VALUE"""),1471.55)</f>
        <v>1471.55</v>
      </c>
      <c r="D2178" s="9">
        <f>IFERROR(__xludf.DUMMYFUNCTION("""COMPUTED_VALUE"""),1486.85)</f>
        <v>1486.85</v>
      </c>
      <c r="E2178" s="9">
        <f>IFERROR(__xludf.DUMMYFUNCTION("""COMPUTED_VALUE"""),1470.1)</f>
        <v>1470.1</v>
      </c>
      <c r="F2178" s="9">
        <f>IFERROR(__xludf.DUMMYFUNCTION("""COMPUTED_VALUE"""),1484.15)</f>
        <v>1484.15</v>
      </c>
      <c r="G2178" s="9">
        <f>IFERROR(__xludf.DUMMYFUNCTION("""COMPUTED_VALUE"""),3418540.0)</f>
        <v>3418540</v>
      </c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</row>
    <row r="2179">
      <c r="A2179" s="1"/>
      <c r="B2179" s="22">
        <f>IFERROR(__xludf.DUMMYFUNCTION("""COMPUTED_VALUE"""),44762.64583333333)</f>
        <v>44762.64583</v>
      </c>
      <c r="C2179" s="9">
        <f>IFERROR(__xludf.DUMMYFUNCTION("""COMPUTED_VALUE"""),1501.25)</f>
        <v>1501.25</v>
      </c>
      <c r="D2179" s="9">
        <f>IFERROR(__xludf.DUMMYFUNCTION("""COMPUTED_VALUE"""),1525.8)</f>
        <v>1525.8</v>
      </c>
      <c r="E2179" s="9">
        <f>IFERROR(__xludf.DUMMYFUNCTION("""COMPUTED_VALUE"""),1500.0)</f>
        <v>1500</v>
      </c>
      <c r="F2179" s="9">
        <f>IFERROR(__xludf.DUMMYFUNCTION("""COMPUTED_VALUE"""),1515.3)</f>
        <v>1515.3</v>
      </c>
      <c r="G2179" s="9">
        <f>IFERROR(__xludf.DUMMYFUNCTION("""COMPUTED_VALUE"""),5079392.0)</f>
        <v>5079392</v>
      </c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</row>
    <row r="2180">
      <c r="A2180" s="1"/>
      <c r="B2180" s="22">
        <f>IFERROR(__xludf.DUMMYFUNCTION("""COMPUTED_VALUE"""),44763.64583333333)</f>
        <v>44763.64583</v>
      </c>
      <c r="C2180" s="9">
        <f>IFERROR(__xludf.DUMMYFUNCTION("""COMPUTED_VALUE"""),1517.0)</f>
        <v>1517</v>
      </c>
      <c r="D2180" s="9">
        <f>IFERROR(__xludf.DUMMYFUNCTION("""COMPUTED_VALUE"""),1535.45)</f>
        <v>1535.45</v>
      </c>
      <c r="E2180" s="9">
        <f>IFERROR(__xludf.DUMMYFUNCTION("""COMPUTED_VALUE"""),1503.1)</f>
        <v>1503.1</v>
      </c>
      <c r="F2180" s="9">
        <f>IFERROR(__xludf.DUMMYFUNCTION("""COMPUTED_VALUE"""),1532.9)</f>
        <v>1532.9</v>
      </c>
      <c r="G2180" s="9">
        <f>IFERROR(__xludf.DUMMYFUNCTION("""COMPUTED_VALUE"""),5008061.0)</f>
        <v>5008061</v>
      </c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</row>
    <row r="2181">
      <c r="A2181" s="1"/>
      <c r="B2181" s="22">
        <f>IFERROR(__xludf.DUMMYFUNCTION("""COMPUTED_VALUE"""),44764.64583333333)</f>
        <v>44764.64583</v>
      </c>
      <c r="C2181" s="9">
        <f>IFERROR(__xludf.DUMMYFUNCTION("""COMPUTED_VALUE"""),1534.0)</f>
        <v>1534</v>
      </c>
      <c r="D2181" s="9">
        <f>IFERROR(__xludf.DUMMYFUNCTION("""COMPUTED_VALUE"""),1540.0)</f>
        <v>1540</v>
      </c>
      <c r="E2181" s="9">
        <f>IFERROR(__xludf.DUMMYFUNCTION("""COMPUTED_VALUE"""),1492.15)</f>
        <v>1492.15</v>
      </c>
      <c r="F2181" s="9">
        <f>IFERROR(__xludf.DUMMYFUNCTION("""COMPUTED_VALUE"""),1506.3)</f>
        <v>1506.3</v>
      </c>
      <c r="G2181" s="9">
        <f>IFERROR(__xludf.DUMMYFUNCTION("""COMPUTED_VALUE"""),7020642.0)</f>
        <v>7020642</v>
      </c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</row>
    <row r="2182">
      <c r="A2182" s="1"/>
      <c r="B2182" s="22">
        <f>IFERROR(__xludf.DUMMYFUNCTION("""COMPUTED_VALUE"""),44767.64583333333)</f>
        <v>44767.64583</v>
      </c>
      <c r="C2182" s="9">
        <f>IFERROR(__xludf.DUMMYFUNCTION("""COMPUTED_VALUE"""),1480.1)</f>
        <v>1480.1</v>
      </c>
      <c r="D2182" s="9">
        <f>IFERROR(__xludf.DUMMYFUNCTION("""COMPUTED_VALUE"""),1517.15)</f>
        <v>1517.15</v>
      </c>
      <c r="E2182" s="9">
        <f>IFERROR(__xludf.DUMMYFUNCTION("""COMPUTED_VALUE"""),1480.1)</f>
        <v>1480.1</v>
      </c>
      <c r="F2182" s="9">
        <f>IFERROR(__xludf.DUMMYFUNCTION("""COMPUTED_VALUE"""),1503.6)</f>
        <v>1503.6</v>
      </c>
      <c r="G2182" s="9">
        <f>IFERROR(__xludf.DUMMYFUNCTION("""COMPUTED_VALUE"""),7859626.0)</f>
        <v>7859626</v>
      </c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</row>
    <row r="2183">
      <c r="A2183" s="1"/>
      <c r="B2183" s="22">
        <f>IFERROR(__xludf.DUMMYFUNCTION("""COMPUTED_VALUE"""),44768.64583333333)</f>
        <v>44768.64583</v>
      </c>
      <c r="C2183" s="9">
        <f>IFERROR(__xludf.DUMMYFUNCTION("""COMPUTED_VALUE"""),1496.65)</f>
        <v>1496.65</v>
      </c>
      <c r="D2183" s="9">
        <f>IFERROR(__xludf.DUMMYFUNCTION("""COMPUTED_VALUE"""),1496.65)</f>
        <v>1496.65</v>
      </c>
      <c r="E2183" s="9">
        <f>IFERROR(__xludf.DUMMYFUNCTION("""COMPUTED_VALUE"""),1445.0)</f>
        <v>1445</v>
      </c>
      <c r="F2183" s="9">
        <f>IFERROR(__xludf.DUMMYFUNCTION("""COMPUTED_VALUE"""),1451.15)</f>
        <v>1451.15</v>
      </c>
      <c r="G2183" s="9">
        <f>IFERROR(__xludf.DUMMYFUNCTION("""COMPUTED_VALUE"""),7268273.0)</f>
        <v>7268273</v>
      </c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</row>
    <row r="2184">
      <c r="A2184" s="1"/>
      <c r="B2184" s="22">
        <f>IFERROR(__xludf.DUMMYFUNCTION("""COMPUTED_VALUE"""),44769.64583333333)</f>
        <v>44769.64583</v>
      </c>
      <c r="C2184" s="9">
        <f>IFERROR(__xludf.DUMMYFUNCTION("""COMPUTED_VALUE"""),1451.0)</f>
        <v>1451</v>
      </c>
      <c r="D2184" s="9">
        <f>IFERROR(__xludf.DUMMYFUNCTION("""COMPUTED_VALUE"""),1473.0)</f>
        <v>1473</v>
      </c>
      <c r="E2184" s="9">
        <f>IFERROR(__xludf.DUMMYFUNCTION("""COMPUTED_VALUE"""),1445.0)</f>
        <v>1445</v>
      </c>
      <c r="F2184" s="9">
        <f>IFERROR(__xludf.DUMMYFUNCTION("""COMPUTED_VALUE"""),1471.05)</f>
        <v>1471.05</v>
      </c>
      <c r="G2184" s="9">
        <f>IFERROR(__xludf.DUMMYFUNCTION("""COMPUTED_VALUE"""),4517285.0)</f>
        <v>4517285</v>
      </c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</row>
    <row r="2185">
      <c r="A2185" s="1"/>
      <c r="B2185" s="22">
        <f>IFERROR(__xludf.DUMMYFUNCTION("""COMPUTED_VALUE"""),44770.64583333333)</f>
        <v>44770.64583</v>
      </c>
      <c r="C2185" s="9">
        <f>IFERROR(__xludf.DUMMYFUNCTION("""COMPUTED_VALUE"""),1496.4)</f>
        <v>1496.4</v>
      </c>
      <c r="D2185" s="9">
        <f>IFERROR(__xludf.DUMMYFUNCTION("""COMPUTED_VALUE"""),1524.45)</f>
        <v>1524.45</v>
      </c>
      <c r="E2185" s="9">
        <f>IFERROR(__xludf.DUMMYFUNCTION("""COMPUTED_VALUE"""),1489.85)</f>
        <v>1489.85</v>
      </c>
      <c r="F2185" s="9">
        <f>IFERROR(__xludf.DUMMYFUNCTION("""COMPUTED_VALUE"""),1517.4)</f>
        <v>1517.4</v>
      </c>
      <c r="G2185" s="9">
        <f>IFERROR(__xludf.DUMMYFUNCTION("""COMPUTED_VALUE"""),6636841.0)</f>
        <v>6636841</v>
      </c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</row>
    <row r="2186">
      <c r="A2186" s="1"/>
      <c r="B2186" s="22">
        <f>IFERROR(__xludf.DUMMYFUNCTION("""COMPUTED_VALUE"""),44771.64583333333)</f>
        <v>44771.64583</v>
      </c>
      <c r="C2186" s="9">
        <f>IFERROR(__xludf.DUMMYFUNCTION("""COMPUTED_VALUE"""),1532.8)</f>
        <v>1532.8</v>
      </c>
      <c r="D2186" s="9">
        <f>IFERROR(__xludf.DUMMYFUNCTION("""COMPUTED_VALUE"""),1555.7)</f>
        <v>1555.7</v>
      </c>
      <c r="E2186" s="9">
        <f>IFERROR(__xludf.DUMMYFUNCTION("""COMPUTED_VALUE"""),1528.0)</f>
        <v>1528</v>
      </c>
      <c r="F2186" s="9">
        <f>IFERROR(__xludf.DUMMYFUNCTION("""COMPUTED_VALUE"""),1549.7)</f>
        <v>1549.7</v>
      </c>
      <c r="G2186" s="9">
        <f>IFERROR(__xludf.DUMMYFUNCTION("""COMPUTED_VALUE"""),7009465.0)</f>
        <v>7009465</v>
      </c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</row>
    <row r="2187">
      <c r="A2187" s="1"/>
      <c r="B2187" s="22">
        <f>IFERROR(__xludf.DUMMYFUNCTION("""COMPUTED_VALUE"""),44774.64583333333)</f>
        <v>44774.64583</v>
      </c>
      <c r="C2187" s="9">
        <f>IFERROR(__xludf.DUMMYFUNCTION("""COMPUTED_VALUE"""),1564.0)</f>
        <v>1564</v>
      </c>
      <c r="D2187" s="9">
        <f>IFERROR(__xludf.DUMMYFUNCTION("""COMPUTED_VALUE"""),1564.0)</f>
        <v>1564</v>
      </c>
      <c r="E2187" s="9">
        <f>IFERROR(__xludf.DUMMYFUNCTION("""COMPUTED_VALUE"""),1537.9)</f>
        <v>1537.9</v>
      </c>
      <c r="F2187" s="9">
        <f>IFERROR(__xludf.DUMMYFUNCTION("""COMPUTED_VALUE"""),1551.05)</f>
        <v>1551.05</v>
      </c>
      <c r="G2187" s="9">
        <f>IFERROR(__xludf.DUMMYFUNCTION("""COMPUTED_VALUE"""),2983249.0)</f>
        <v>2983249</v>
      </c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</row>
    <row r="2188">
      <c r="A2188" s="1"/>
      <c r="B2188" s="22">
        <f>IFERROR(__xludf.DUMMYFUNCTION("""COMPUTED_VALUE"""),44775.64583333333)</f>
        <v>44775.64583</v>
      </c>
      <c r="C2188" s="9">
        <f>IFERROR(__xludf.DUMMYFUNCTION("""COMPUTED_VALUE"""),1546.55)</f>
        <v>1546.55</v>
      </c>
      <c r="D2188" s="9">
        <f>IFERROR(__xludf.DUMMYFUNCTION("""COMPUTED_VALUE"""),1547.0)</f>
        <v>1547</v>
      </c>
      <c r="E2188" s="9">
        <f>IFERROR(__xludf.DUMMYFUNCTION("""COMPUTED_VALUE"""),1528.35)</f>
        <v>1528.35</v>
      </c>
      <c r="F2188" s="9">
        <f>IFERROR(__xludf.DUMMYFUNCTION("""COMPUTED_VALUE"""),1543.6)</f>
        <v>1543.6</v>
      </c>
      <c r="G2188" s="9">
        <f>IFERROR(__xludf.DUMMYFUNCTION("""COMPUTED_VALUE"""),4374635.0)</f>
        <v>4374635</v>
      </c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</row>
    <row r="2189">
      <c r="A2189" s="1"/>
      <c r="B2189" s="22">
        <f>IFERROR(__xludf.DUMMYFUNCTION("""COMPUTED_VALUE"""),44776.64583333333)</f>
        <v>44776.64583</v>
      </c>
      <c r="C2189" s="9">
        <f>IFERROR(__xludf.DUMMYFUNCTION("""COMPUTED_VALUE"""),1549.0)</f>
        <v>1549</v>
      </c>
      <c r="D2189" s="9">
        <f>IFERROR(__xludf.DUMMYFUNCTION("""COMPUTED_VALUE"""),1570.0)</f>
        <v>1570</v>
      </c>
      <c r="E2189" s="9">
        <f>IFERROR(__xludf.DUMMYFUNCTION("""COMPUTED_VALUE"""),1539.9)</f>
        <v>1539.9</v>
      </c>
      <c r="F2189" s="9">
        <f>IFERROR(__xludf.DUMMYFUNCTION("""COMPUTED_VALUE"""),1566.1)</f>
        <v>1566.1</v>
      </c>
      <c r="G2189" s="9">
        <f>IFERROR(__xludf.DUMMYFUNCTION("""COMPUTED_VALUE"""),6011955.0)</f>
        <v>6011955</v>
      </c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</row>
    <row r="2190">
      <c r="A2190" s="1"/>
      <c r="B2190" s="22">
        <f>IFERROR(__xludf.DUMMYFUNCTION("""COMPUTED_VALUE"""),44777.64583333333)</f>
        <v>44777.64583</v>
      </c>
      <c r="C2190" s="9">
        <f>IFERROR(__xludf.DUMMYFUNCTION("""COMPUTED_VALUE"""),1587.5)</f>
        <v>1587.5</v>
      </c>
      <c r="D2190" s="9">
        <f>IFERROR(__xludf.DUMMYFUNCTION("""COMPUTED_VALUE"""),1603.85)</f>
        <v>1603.85</v>
      </c>
      <c r="E2190" s="9">
        <f>IFERROR(__xludf.DUMMYFUNCTION("""COMPUTED_VALUE"""),1574.95)</f>
        <v>1574.95</v>
      </c>
      <c r="F2190" s="9">
        <f>IFERROR(__xludf.DUMMYFUNCTION("""COMPUTED_VALUE"""),1599.9)</f>
        <v>1599.9</v>
      </c>
      <c r="G2190" s="9">
        <f>IFERROR(__xludf.DUMMYFUNCTION("""COMPUTED_VALUE"""),7402209.0)</f>
        <v>7402209</v>
      </c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</row>
    <row r="2191">
      <c r="A2191" s="1"/>
      <c r="B2191" s="22">
        <f>IFERROR(__xludf.DUMMYFUNCTION("""COMPUTED_VALUE"""),44778.64583333333)</f>
        <v>44778.64583</v>
      </c>
      <c r="C2191" s="9">
        <f>IFERROR(__xludf.DUMMYFUNCTION("""COMPUTED_VALUE"""),1608.4)</f>
        <v>1608.4</v>
      </c>
      <c r="D2191" s="9">
        <f>IFERROR(__xludf.DUMMYFUNCTION("""COMPUTED_VALUE"""),1625.7)</f>
        <v>1625.7</v>
      </c>
      <c r="E2191" s="9">
        <f>IFERROR(__xludf.DUMMYFUNCTION("""COMPUTED_VALUE"""),1602.3)</f>
        <v>1602.3</v>
      </c>
      <c r="F2191" s="9">
        <f>IFERROR(__xludf.DUMMYFUNCTION("""COMPUTED_VALUE"""),1616.65)</f>
        <v>1616.65</v>
      </c>
      <c r="G2191" s="9">
        <f>IFERROR(__xludf.DUMMYFUNCTION("""COMPUTED_VALUE"""),5361971.0)</f>
        <v>5361971</v>
      </c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</row>
    <row r="2192">
      <c r="A2192" s="1"/>
      <c r="B2192" s="22">
        <f>IFERROR(__xludf.DUMMYFUNCTION("""COMPUTED_VALUE"""),44781.64583333333)</f>
        <v>44781.64583</v>
      </c>
      <c r="C2192" s="9">
        <f>IFERROR(__xludf.DUMMYFUNCTION("""COMPUTED_VALUE"""),1617.0)</f>
        <v>1617</v>
      </c>
      <c r="D2192" s="9">
        <f>IFERROR(__xludf.DUMMYFUNCTION("""COMPUTED_VALUE"""),1622.0)</f>
        <v>1622</v>
      </c>
      <c r="E2192" s="9">
        <f>IFERROR(__xludf.DUMMYFUNCTION("""COMPUTED_VALUE"""),1596.0)</f>
        <v>1596</v>
      </c>
      <c r="F2192" s="9">
        <f>IFERROR(__xludf.DUMMYFUNCTION("""COMPUTED_VALUE"""),1619.4)</f>
        <v>1619.4</v>
      </c>
      <c r="G2192" s="9">
        <f>IFERROR(__xludf.DUMMYFUNCTION("""COMPUTED_VALUE"""),3763409.0)</f>
        <v>3763409</v>
      </c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</row>
    <row r="2193">
      <c r="A2193" s="1"/>
      <c r="B2193" s="22">
        <f>IFERROR(__xludf.DUMMYFUNCTION("""COMPUTED_VALUE"""),44783.64583333333)</f>
        <v>44783.64583</v>
      </c>
      <c r="C2193" s="9">
        <f>IFERROR(__xludf.DUMMYFUNCTION("""COMPUTED_VALUE"""),1621.2)</f>
        <v>1621.2</v>
      </c>
      <c r="D2193" s="9">
        <f>IFERROR(__xludf.DUMMYFUNCTION("""COMPUTED_VALUE"""),1621.2)</f>
        <v>1621.2</v>
      </c>
      <c r="E2193" s="9">
        <f>IFERROR(__xludf.DUMMYFUNCTION("""COMPUTED_VALUE"""),1588.1)</f>
        <v>1588.1</v>
      </c>
      <c r="F2193" s="9">
        <f>IFERROR(__xludf.DUMMYFUNCTION("""COMPUTED_VALUE"""),1602.45)</f>
        <v>1602.45</v>
      </c>
      <c r="G2193" s="9">
        <f>IFERROR(__xludf.DUMMYFUNCTION("""COMPUTED_VALUE"""),4423829.0)</f>
        <v>4423829</v>
      </c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</row>
    <row r="2194">
      <c r="A2194" s="1"/>
      <c r="B2194" s="22">
        <f>IFERROR(__xludf.DUMMYFUNCTION("""COMPUTED_VALUE"""),44784.64583333333)</f>
        <v>44784.64583</v>
      </c>
      <c r="C2194" s="9">
        <f>IFERROR(__xludf.DUMMYFUNCTION("""COMPUTED_VALUE"""),1630.0)</f>
        <v>1630</v>
      </c>
      <c r="D2194" s="9">
        <f>IFERROR(__xludf.DUMMYFUNCTION("""COMPUTED_VALUE"""),1631.35)</f>
        <v>1631.35</v>
      </c>
      <c r="E2194" s="9">
        <f>IFERROR(__xludf.DUMMYFUNCTION("""COMPUTED_VALUE"""),1616.0)</f>
        <v>1616</v>
      </c>
      <c r="F2194" s="9">
        <f>IFERROR(__xludf.DUMMYFUNCTION("""COMPUTED_VALUE"""),1619.95)</f>
        <v>1619.95</v>
      </c>
      <c r="G2194" s="9">
        <f>IFERROR(__xludf.DUMMYFUNCTION("""COMPUTED_VALUE"""),3462090.0)</f>
        <v>3462090</v>
      </c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</row>
    <row r="2195">
      <c r="A2195" s="1"/>
      <c r="B2195" s="22">
        <f>IFERROR(__xludf.DUMMYFUNCTION("""COMPUTED_VALUE"""),44785.64583333333)</f>
        <v>44785.64583</v>
      </c>
      <c r="C2195" s="9">
        <f>IFERROR(__xludf.DUMMYFUNCTION("""COMPUTED_VALUE"""),1613.3)</f>
        <v>1613.3</v>
      </c>
      <c r="D2195" s="9">
        <f>IFERROR(__xludf.DUMMYFUNCTION("""COMPUTED_VALUE"""),1614.0)</f>
        <v>1614</v>
      </c>
      <c r="E2195" s="9">
        <f>IFERROR(__xludf.DUMMYFUNCTION("""COMPUTED_VALUE"""),1590.15)</f>
        <v>1590.15</v>
      </c>
      <c r="F2195" s="9">
        <f>IFERROR(__xludf.DUMMYFUNCTION("""COMPUTED_VALUE"""),1594.1)</f>
        <v>1594.1</v>
      </c>
      <c r="G2195" s="9">
        <f>IFERROR(__xludf.DUMMYFUNCTION("""COMPUTED_VALUE"""),3562286.0)</f>
        <v>3562286</v>
      </c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</row>
    <row r="2196">
      <c r="A2196" s="1"/>
      <c r="B2196" s="22">
        <f>IFERROR(__xludf.DUMMYFUNCTION("""COMPUTED_VALUE"""),44789.64583333333)</f>
        <v>44789.64583</v>
      </c>
      <c r="C2196" s="9">
        <f>IFERROR(__xludf.DUMMYFUNCTION("""COMPUTED_VALUE"""),1609.0)</f>
        <v>1609</v>
      </c>
      <c r="D2196" s="9">
        <f>IFERROR(__xludf.DUMMYFUNCTION("""COMPUTED_VALUE"""),1609.0)</f>
        <v>1609</v>
      </c>
      <c r="E2196" s="9">
        <f>IFERROR(__xludf.DUMMYFUNCTION("""COMPUTED_VALUE"""),1591.1)</f>
        <v>1591.1</v>
      </c>
      <c r="F2196" s="9">
        <f>IFERROR(__xludf.DUMMYFUNCTION("""COMPUTED_VALUE"""),1596.45)</f>
        <v>1596.45</v>
      </c>
      <c r="G2196" s="9">
        <f>IFERROR(__xludf.DUMMYFUNCTION("""COMPUTED_VALUE"""),3004430.0)</f>
        <v>3004430</v>
      </c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</row>
    <row r="2197">
      <c r="A2197" s="1"/>
      <c r="B2197" s="22">
        <f>IFERROR(__xludf.DUMMYFUNCTION("""COMPUTED_VALUE"""),44790.64583333333)</f>
        <v>44790.64583</v>
      </c>
      <c r="C2197" s="9">
        <f>IFERROR(__xludf.DUMMYFUNCTION("""COMPUTED_VALUE"""),1596.45)</f>
        <v>1596.45</v>
      </c>
      <c r="D2197" s="9">
        <f>IFERROR(__xludf.DUMMYFUNCTION("""COMPUTED_VALUE"""),1612.0)</f>
        <v>1612</v>
      </c>
      <c r="E2197" s="9">
        <f>IFERROR(__xludf.DUMMYFUNCTION("""COMPUTED_VALUE"""),1585.0)</f>
        <v>1585</v>
      </c>
      <c r="F2197" s="9">
        <f>IFERROR(__xludf.DUMMYFUNCTION("""COMPUTED_VALUE"""),1606.25)</f>
        <v>1606.25</v>
      </c>
      <c r="G2197" s="9">
        <f>IFERROR(__xludf.DUMMYFUNCTION("""COMPUTED_VALUE"""),4067324.0)</f>
        <v>4067324</v>
      </c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</row>
    <row r="2198">
      <c r="A2198" s="1"/>
      <c r="B2198" s="22">
        <f>IFERROR(__xludf.DUMMYFUNCTION("""COMPUTED_VALUE"""),44791.64583333333)</f>
        <v>44791.64583</v>
      </c>
      <c r="C2198" s="9">
        <f>IFERROR(__xludf.DUMMYFUNCTION("""COMPUTED_VALUE"""),1594.1)</f>
        <v>1594.1</v>
      </c>
      <c r="D2198" s="9">
        <f>IFERROR(__xludf.DUMMYFUNCTION("""COMPUTED_VALUE"""),1598.2)</f>
        <v>1598.2</v>
      </c>
      <c r="E2198" s="9">
        <f>IFERROR(__xludf.DUMMYFUNCTION("""COMPUTED_VALUE"""),1574.0)</f>
        <v>1574</v>
      </c>
      <c r="F2198" s="9">
        <f>IFERROR(__xludf.DUMMYFUNCTION("""COMPUTED_VALUE"""),1582.95)</f>
        <v>1582.95</v>
      </c>
      <c r="G2198" s="9">
        <f>IFERROR(__xludf.DUMMYFUNCTION("""COMPUTED_VALUE"""),4635706.0)</f>
        <v>4635706</v>
      </c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</row>
    <row r="2199">
      <c r="A2199" s="1"/>
      <c r="B2199" s="22">
        <f>IFERROR(__xludf.DUMMYFUNCTION("""COMPUTED_VALUE"""),44792.64583333333)</f>
        <v>44792.64583</v>
      </c>
      <c r="C2199" s="9">
        <f>IFERROR(__xludf.DUMMYFUNCTION("""COMPUTED_VALUE"""),1585.3)</f>
        <v>1585.3</v>
      </c>
      <c r="D2199" s="9">
        <f>IFERROR(__xludf.DUMMYFUNCTION("""COMPUTED_VALUE"""),1604.9)</f>
        <v>1604.9</v>
      </c>
      <c r="E2199" s="9">
        <f>IFERROR(__xludf.DUMMYFUNCTION("""COMPUTED_VALUE"""),1585.1)</f>
        <v>1585.1</v>
      </c>
      <c r="F2199" s="9">
        <f>IFERROR(__xludf.DUMMYFUNCTION("""COMPUTED_VALUE"""),1597.1)</f>
        <v>1597.1</v>
      </c>
      <c r="G2199" s="9">
        <f>IFERROR(__xludf.DUMMYFUNCTION("""COMPUTED_VALUE"""),4739884.0)</f>
        <v>4739884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</row>
    <row r="2200">
      <c r="A2200" s="1"/>
      <c r="B2200" s="22">
        <f>IFERROR(__xludf.DUMMYFUNCTION("""COMPUTED_VALUE"""),44795.64583333333)</f>
        <v>44795.64583</v>
      </c>
      <c r="C2200" s="9">
        <f>IFERROR(__xludf.DUMMYFUNCTION("""COMPUTED_VALUE"""),1586.0)</f>
        <v>1586</v>
      </c>
      <c r="D2200" s="9">
        <f>IFERROR(__xludf.DUMMYFUNCTION("""COMPUTED_VALUE"""),1599.0)</f>
        <v>1599</v>
      </c>
      <c r="E2200" s="9">
        <f>IFERROR(__xludf.DUMMYFUNCTION("""COMPUTED_VALUE"""),1574.0)</f>
        <v>1574</v>
      </c>
      <c r="F2200" s="9">
        <f>IFERROR(__xludf.DUMMYFUNCTION("""COMPUTED_VALUE"""),1575.65)</f>
        <v>1575.65</v>
      </c>
      <c r="G2200" s="9">
        <f>IFERROR(__xludf.DUMMYFUNCTION("""COMPUTED_VALUE"""),3950555.0)</f>
        <v>3950555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</row>
    <row r="2201">
      <c r="A2201" s="1"/>
      <c r="B2201" s="22">
        <f>IFERROR(__xludf.DUMMYFUNCTION("""COMPUTED_VALUE"""),44796.64583333333)</f>
        <v>44796.64583</v>
      </c>
      <c r="C2201" s="9">
        <f>IFERROR(__xludf.DUMMYFUNCTION("""COMPUTED_VALUE"""),1548.0)</f>
        <v>1548</v>
      </c>
      <c r="D2201" s="9">
        <f>IFERROR(__xludf.DUMMYFUNCTION("""COMPUTED_VALUE"""),1554.5)</f>
        <v>1554.5</v>
      </c>
      <c r="E2201" s="9">
        <f>IFERROR(__xludf.DUMMYFUNCTION("""COMPUTED_VALUE"""),1533.0)</f>
        <v>1533</v>
      </c>
      <c r="F2201" s="9">
        <f>IFERROR(__xludf.DUMMYFUNCTION("""COMPUTED_VALUE"""),1542.4)</f>
        <v>1542.4</v>
      </c>
      <c r="G2201" s="9">
        <f>IFERROR(__xludf.DUMMYFUNCTION("""COMPUTED_VALUE"""),5551574.0)</f>
        <v>5551574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</row>
    <row r="2202">
      <c r="A2202" s="1"/>
      <c r="B2202" s="22">
        <f>IFERROR(__xludf.DUMMYFUNCTION("""COMPUTED_VALUE"""),44797.64583333333)</f>
        <v>44797.64583</v>
      </c>
      <c r="C2202" s="9">
        <f>IFERROR(__xludf.DUMMYFUNCTION("""COMPUTED_VALUE"""),1535.0)</f>
        <v>1535</v>
      </c>
      <c r="D2202" s="9">
        <f>IFERROR(__xludf.DUMMYFUNCTION("""COMPUTED_VALUE"""),1546.0)</f>
        <v>1546</v>
      </c>
      <c r="E2202" s="9">
        <f>IFERROR(__xludf.DUMMYFUNCTION("""COMPUTED_VALUE"""),1531.0)</f>
        <v>1531</v>
      </c>
      <c r="F2202" s="9">
        <f>IFERROR(__xludf.DUMMYFUNCTION("""COMPUTED_VALUE"""),1537.5)</f>
        <v>1537.5</v>
      </c>
      <c r="G2202" s="9">
        <f>IFERROR(__xludf.DUMMYFUNCTION("""COMPUTED_VALUE"""),2888426.0)</f>
        <v>2888426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</row>
    <row r="2203">
      <c r="A2203" s="1"/>
      <c r="B2203" s="22">
        <f>IFERROR(__xludf.DUMMYFUNCTION("""COMPUTED_VALUE"""),44798.64583333333)</f>
        <v>44798.64583</v>
      </c>
      <c r="C2203" s="9">
        <f>IFERROR(__xludf.DUMMYFUNCTION("""COMPUTED_VALUE"""),1548.0)</f>
        <v>1548</v>
      </c>
      <c r="D2203" s="9">
        <f>IFERROR(__xludf.DUMMYFUNCTION("""COMPUTED_VALUE"""),1548.7)</f>
        <v>1548.7</v>
      </c>
      <c r="E2203" s="9">
        <f>IFERROR(__xludf.DUMMYFUNCTION("""COMPUTED_VALUE"""),1513.75)</f>
        <v>1513.75</v>
      </c>
      <c r="F2203" s="9">
        <f>IFERROR(__xludf.DUMMYFUNCTION("""COMPUTED_VALUE"""),1518.15)</f>
        <v>1518.15</v>
      </c>
      <c r="G2203" s="9">
        <f>IFERROR(__xludf.DUMMYFUNCTION("""COMPUTED_VALUE"""),4331088.0)</f>
        <v>4331088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</row>
    <row r="2204">
      <c r="A2204" s="1"/>
      <c r="B2204" s="22">
        <f>IFERROR(__xludf.DUMMYFUNCTION("""COMPUTED_VALUE"""),44799.64583333333)</f>
        <v>44799.64583</v>
      </c>
      <c r="C2204" s="9">
        <f>IFERROR(__xludf.DUMMYFUNCTION("""COMPUTED_VALUE"""),1535.15)</f>
        <v>1535.15</v>
      </c>
      <c r="D2204" s="9">
        <f>IFERROR(__xludf.DUMMYFUNCTION("""COMPUTED_VALUE"""),1544.95)</f>
        <v>1544.95</v>
      </c>
      <c r="E2204" s="9">
        <f>IFERROR(__xludf.DUMMYFUNCTION("""COMPUTED_VALUE"""),1517.45)</f>
        <v>1517.45</v>
      </c>
      <c r="F2204" s="9">
        <f>IFERROR(__xludf.DUMMYFUNCTION("""COMPUTED_VALUE"""),1521.55)</f>
        <v>1521.55</v>
      </c>
      <c r="G2204" s="9">
        <f>IFERROR(__xludf.DUMMYFUNCTION("""COMPUTED_VALUE"""),3079136.0)</f>
        <v>3079136</v>
      </c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</row>
    <row r="2205">
      <c r="A2205" s="1"/>
      <c r="B2205" s="22">
        <f>IFERROR(__xludf.DUMMYFUNCTION("""COMPUTED_VALUE"""),44802.64583333333)</f>
        <v>44802.64583</v>
      </c>
      <c r="C2205" s="9">
        <f>IFERROR(__xludf.DUMMYFUNCTION("""COMPUTED_VALUE"""),1468.55)</f>
        <v>1468.55</v>
      </c>
      <c r="D2205" s="9">
        <f>IFERROR(__xludf.DUMMYFUNCTION("""COMPUTED_VALUE"""),1468.55)</f>
        <v>1468.55</v>
      </c>
      <c r="E2205" s="9">
        <f>IFERROR(__xludf.DUMMYFUNCTION("""COMPUTED_VALUE"""),1450.0)</f>
        <v>1450</v>
      </c>
      <c r="F2205" s="9">
        <f>IFERROR(__xludf.DUMMYFUNCTION("""COMPUTED_VALUE"""),1461.75)</f>
        <v>1461.75</v>
      </c>
      <c r="G2205" s="9">
        <f>IFERROR(__xludf.DUMMYFUNCTION("""COMPUTED_VALUE"""),8079050.0)</f>
        <v>8079050</v>
      </c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</row>
    <row r="2206">
      <c r="A2206" s="1"/>
      <c r="B2206" s="22">
        <f>IFERROR(__xludf.DUMMYFUNCTION("""COMPUTED_VALUE"""),44803.64583333333)</f>
        <v>44803.64583</v>
      </c>
      <c r="C2206" s="9">
        <f>IFERROR(__xludf.DUMMYFUNCTION("""COMPUTED_VALUE"""),1473.1)</f>
        <v>1473.1</v>
      </c>
      <c r="D2206" s="9">
        <f>IFERROR(__xludf.DUMMYFUNCTION("""COMPUTED_VALUE"""),1496.1)</f>
        <v>1496.1</v>
      </c>
      <c r="E2206" s="9">
        <f>IFERROR(__xludf.DUMMYFUNCTION("""COMPUTED_VALUE"""),1466.0)</f>
        <v>1466</v>
      </c>
      <c r="F2206" s="9">
        <f>IFERROR(__xludf.DUMMYFUNCTION("""COMPUTED_VALUE"""),1492.95)</f>
        <v>1492.95</v>
      </c>
      <c r="G2206" s="9">
        <f>IFERROR(__xludf.DUMMYFUNCTION("""COMPUTED_VALUE"""),6725875.0)</f>
        <v>6725875</v>
      </c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</row>
    <row r="2207">
      <c r="A2207" s="1"/>
      <c r="B2207" s="22">
        <f>IFERROR(__xludf.DUMMYFUNCTION("""COMPUTED_VALUE"""),44805.64583333333)</f>
        <v>44805.64583</v>
      </c>
      <c r="C2207" s="9">
        <f>IFERROR(__xludf.DUMMYFUNCTION("""COMPUTED_VALUE"""),1460.05)</f>
        <v>1460.05</v>
      </c>
      <c r="D2207" s="9">
        <f>IFERROR(__xludf.DUMMYFUNCTION("""COMPUTED_VALUE"""),1468.1)</f>
        <v>1468.1</v>
      </c>
      <c r="E2207" s="9">
        <f>IFERROR(__xludf.DUMMYFUNCTION("""COMPUTED_VALUE"""),1451.05)</f>
        <v>1451.05</v>
      </c>
      <c r="F2207" s="9">
        <f>IFERROR(__xludf.DUMMYFUNCTION("""COMPUTED_VALUE"""),1464.2)</f>
        <v>1464.2</v>
      </c>
      <c r="G2207" s="9">
        <f>IFERROR(__xludf.DUMMYFUNCTION("""COMPUTED_VALUE"""),8140604.0)</f>
        <v>8140604</v>
      </c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</row>
    <row r="2208">
      <c r="A2208" s="1"/>
      <c r="B2208" s="22">
        <f>IFERROR(__xludf.DUMMYFUNCTION("""COMPUTED_VALUE"""),44806.64583333333)</f>
        <v>44806.64583</v>
      </c>
      <c r="C2208" s="9">
        <f>IFERROR(__xludf.DUMMYFUNCTION("""COMPUTED_VALUE"""),1478.0)</f>
        <v>1478</v>
      </c>
      <c r="D2208" s="9">
        <f>IFERROR(__xludf.DUMMYFUNCTION("""COMPUTED_VALUE"""),1478.0)</f>
        <v>1478</v>
      </c>
      <c r="E2208" s="9">
        <f>IFERROR(__xludf.DUMMYFUNCTION("""COMPUTED_VALUE"""),1448.0)</f>
        <v>1448</v>
      </c>
      <c r="F2208" s="9">
        <f>IFERROR(__xludf.DUMMYFUNCTION("""COMPUTED_VALUE"""),1453.0)</f>
        <v>1453</v>
      </c>
      <c r="G2208" s="9">
        <f>IFERROR(__xludf.DUMMYFUNCTION("""COMPUTED_VALUE"""),5175653.0)</f>
        <v>5175653</v>
      </c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</row>
    <row r="2209">
      <c r="A2209" s="1"/>
      <c r="B2209" s="22">
        <f>IFERROR(__xludf.DUMMYFUNCTION("""COMPUTED_VALUE"""),44809.64583333333)</f>
        <v>44809.64583</v>
      </c>
      <c r="C2209" s="9">
        <f>IFERROR(__xludf.DUMMYFUNCTION("""COMPUTED_VALUE"""),1451.0)</f>
        <v>1451</v>
      </c>
      <c r="D2209" s="9">
        <f>IFERROR(__xludf.DUMMYFUNCTION("""COMPUTED_VALUE"""),1467.0)</f>
        <v>1467</v>
      </c>
      <c r="E2209" s="9">
        <f>IFERROR(__xludf.DUMMYFUNCTION("""COMPUTED_VALUE"""),1446.35)</f>
        <v>1446.35</v>
      </c>
      <c r="F2209" s="9">
        <f>IFERROR(__xludf.DUMMYFUNCTION("""COMPUTED_VALUE"""),1461.3)</f>
        <v>1461.3</v>
      </c>
      <c r="G2209" s="9">
        <f>IFERROR(__xludf.DUMMYFUNCTION("""COMPUTED_VALUE"""),3669352.0)</f>
        <v>3669352</v>
      </c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</row>
    <row r="2210">
      <c r="A2210" s="1"/>
      <c r="B2210" s="22">
        <f>IFERROR(__xludf.DUMMYFUNCTION("""COMPUTED_VALUE"""),44810.64583333333)</f>
        <v>44810.64583</v>
      </c>
      <c r="C2210" s="9">
        <f>IFERROR(__xludf.DUMMYFUNCTION("""COMPUTED_VALUE"""),1461.3)</f>
        <v>1461.3</v>
      </c>
      <c r="D2210" s="9">
        <f>IFERROR(__xludf.DUMMYFUNCTION("""COMPUTED_VALUE"""),1470.0)</f>
        <v>1470</v>
      </c>
      <c r="E2210" s="9">
        <f>IFERROR(__xludf.DUMMYFUNCTION("""COMPUTED_VALUE"""),1445.45)</f>
        <v>1445.45</v>
      </c>
      <c r="F2210" s="9">
        <f>IFERROR(__xludf.DUMMYFUNCTION("""COMPUTED_VALUE"""),1455.1)</f>
        <v>1455.1</v>
      </c>
      <c r="G2210" s="9">
        <f>IFERROR(__xludf.DUMMYFUNCTION("""COMPUTED_VALUE"""),3428442.0)</f>
        <v>3428442</v>
      </c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</row>
    <row r="2211">
      <c r="A2211" s="1"/>
      <c r="B2211" s="22">
        <f>IFERROR(__xludf.DUMMYFUNCTION("""COMPUTED_VALUE"""),44811.64583333333)</f>
        <v>44811.64583</v>
      </c>
      <c r="C2211" s="9">
        <f>IFERROR(__xludf.DUMMYFUNCTION("""COMPUTED_VALUE"""),1440.0)</f>
        <v>1440</v>
      </c>
      <c r="D2211" s="9">
        <f>IFERROR(__xludf.DUMMYFUNCTION("""COMPUTED_VALUE"""),1465.75)</f>
        <v>1465.75</v>
      </c>
      <c r="E2211" s="9">
        <f>IFERROR(__xludf.DUMMYFUNCTION("""COMPUTED_VALUE"""),1438.05)</f>
        <v>1438.05</v>
      </c>
      <c r="F2211" s="9">
        <f>IFERROR(__xludf.DUMMYFUNCTION("""COMPUTED_VALUE"""),1457.65)</f>
        <v>1457.65</v>
      </c>
      <c r="G2211" s="9">
        <f>IFERROR(__xludf.DUMMYFUNCTION("""COMPUTED_VALUE"""),3600574.0)</f>
        <v>3600574</v>
      </c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</row>
    <row r="2212">
      <c r="A2212" s="1"/>
      <c r="B2212" s="22">
        <f>IFERROR(__xludf.DUMMYFUNCTION("""COMPUTED_VALUE"""),44812.64583333333)</f>
        <v>44812.64583</v>
      </c>
      <c r="C2212" s="9">
        <f>IFERROR(__xludf.DUMMYFUNCTION("""COMPUTED_VALUE"""),1475.0)</f>
        <v>1475</v>
      </c>
      <c r="D2212" s="9">
        <f>IFERROR(__xludf.DUMMYFUNCTION("""COMPUTED_VALUE"""),1481.1)</f>
        <v>1481.1</v>
      </c>
      <c r="E2212" s="9">
        <f>IFERROR(__xludf.DUMMYFUNCTION("""COMPUTED_VALUE"""),1463.6)</f>
        <v>1463.6</v>
      </c>
      <c r="F2212" s="9">
        <f>IFERROR(__xludf.DUMMYFUNCTION("""COMPUTED_VALUE"""),1475.9)</f>
        <v>1475.9</v>
      </c>
      <c r="G2212" s="9">
        <f>IFERROR(__xludf.DUMMYFUNCTION("""COMPUTED_VALUE"""),4061475.0)</f>
        <v>4061475</v>
      </c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</row>
    <row r="2213">
      <c r="A2213" s="1"/>
      <c r="B2213" s="22">
        <f>IFERROR(__xludf.DUMMYFUNCTION("""COMPUTED_VALUE"""),44813.64583333333)</f>
        <v>44813.64583</v>
      </c>
      <c r="C2213" s="9">
        <f>IFERROR(__xludf.DUMMYFUNCTION("""COMPUTED_VALUE"""),1488.0)</f>
        <v>1488</v>
      </c>
      <c r="D2213" s="9">
        <f>IFERROR(__xludf.DUMMYFUNCTION("""COMPUTED_VALUE"""),1520.0)</f>
        <v>1520</v>
      </c>
      <c r="E2213" s="9">
        <f>IFERROR(__xludf.DUMMYFUNCTION("""COMPUTED_VALUE"""),1480.0)</f>
        <v>1480</v>
      </c>
      <c r="F2213" s="9">
        <f>IFERROR(__xludf.DUMMYFUNCTION("""COMPUTED_VALUE"""),1511.65)</f>
        <v>1511.65</v>
      </c>
      <c r="G2213" s="9">
        <f>IFERROR(__xludf.DUMMYFUNCTION("""COMPUTED_VALUE"""),4816910.0)</f>
        <v>4816910</v>
      </c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</row>
    <row r="2214">
      <c r="A2214" s="1"/>
      <c r="B2214" s="22">
        <f>IFERROR(__xludf.DUMMYFUNCTION("""COMPUTED_VALUE"""),44816.64583333333)</f>
        <v>44816.64583</v>
      </c>
      <c r="C2214" s="9">
        <f>IFERROR(__xludf.DUMMYFUNCTION("""COMPUTED_VALUE"""),1525.8)</f>
        <v>1525.8</v>
      </c>
      <c r="D2214" s="9">
        <f>IFERROR(__xludf.DUMMYFUNCTION("""COMPUTED_VALUE"""),1545.9)</f>
        <v>1545.9</v>
      </c>
      <c r="E2214" s="9">
        <f>IFERROR(__xludf.DUMMYFUNCTION("""COMPUTED_VALUE"""),1521.15)</f>
        <v>1521.15</v>
      </c>
      <c r="F2214" s="9">
        <f>IFERROR(__xludf.DUMMYFUNCTION("""COMPUTED_VALUE"""),1536.2)</f>
        <v>1536.2</v>
      </c>
      <c r="G2214" s="9">
        <f>IFERROR(__xludf.DUMMYFUNCTION("""COMPUTED_VALUE"""),5494819.0)</f>
        <v>5494819</v>
      </c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</row>
    <row r="2215">
      <c r="A2215" s="1"/>
      <c r="B2215" s="22">
        <f>IFERROR(__xludf.DUMMYFUNCTION("""COMPUTED_VALUE"""),44817.64583333333)</f>
        <v>44817.64583</v>
      </c>
      <c r="C2215" s="9">
        <f>IFERROR(__xludf.DUMMYFUNCTION("""COMPUTED_VALUE"""),1551.9)</f>
        <v>1551.9</v>
      </c>
      <c r="D2215" s="9">
        <f>IFERROR(__xludf.DUMMYFUNCTION("""COMPUTED_VALUE"""),1553.0)</f>
        <v>1553</v>
      </c>
      <c r="E2215" s="9">
        <f>IFERROR(__xludf.DUMMYFUNCTION("""COMPUTED_VALUE"""),1541.3)</f>
        <v>1541.3</v>
      </c>
      <c r="F2215" s="9">
        <f>IFERROR(__xludf.DUMMYFUNCTION("""COMPUTED_VALUE"""),1544.95)</f>
        <v>1544.95</v>
      </c>
      <c r="G2215" s="9">
        <f>IFERROR(__xludf.DUMMYFUNCTION("""COMPUTED_VALUE"""),4947158.0)</f>
        <v>4947158</v>
      </c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</row>
    <row r="2216">
      <c r="A2216" s="1"/>
      <c r="B2216" s="22">
        <f>IFERROR(__xludf.DUMMYFUNCTION("""COMPUTED_VALUE"""),44818.64583333333)</f>
        <v>44818.64583</v>
      </c>
      <c r="C2216" s="9">
        <f>IFERROR(__xludf.DUMMYFUNCTION("""COMPUTED_VALUE"""),1497.0)</f>
        <v>1497</v>
      </c>
      <c r="D2216" s="9">
        <f>IFERROR(__xludf.DUMMYFUNCTION("""COMPUTED_VALUE"""),1498.95)</f>
        <v>1498.95</v>
      </c>
      <c r="E2216" s="9">
        <f>IFERROR(__xludf.DUMMYFUNCTION("""COMPUTED_VALUE"""),1472.0)</f>
        <v>1472</v>
      </c>
      <c r="F2216" s="9">
        <f>IFERROR(__xludf.DUMMYFUNCTION("""COMPUTED_VALUE"""),1475.4)</f>
        <v>1475.4</v>
      </c>
      <c r="G2216" s="9">
        <f>IFERROR(__xludf.DUMMYFUNCTION("""COMPUTED_VALUE"""),1.4332197E7)</f>
        <v>14332197</v>
      </c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</row>
    <row r="2217">
      <c r="A2217" s="1"/>
      <c r="B2217" s="22">
        <f>IFERROR(__xludf.DUMMYFUNCTION("""COMPUTED_VALUE"""),44819.64583333333)</f>
        <v>44819.64583</v>
      </c>
      <c r="C2217" s="9">
        <f>IFERROR(__xludf.DUMMYFUNCTION("""COMPUTED_VALUE"""),1475.0)</f>
        <v>1475</v>
      </c>
      <c r="D2217" s="9">
        <f>IFERROR(__xludf.DUMMYFUNCTION("""COMPUTED_VALUE"""),1475.2)</f>
        <v>1475.2</v>
      </c>
      <c r="E2217" s="9">
        <f>IFERROR(__xludf.DUMMYFUNCTION("""COMPUTED_VALUE"""),1429.05)</f>
        <v>1429.05</v>
      </c>
      <c r="F2217" s="9">
        <f>IFERROR(__xludf.DUMMYFUNCTION("""COMPUTED_VALUE"""),1432.8)</f>
        <v>1432.8</v>
      </c>
      <c r="G2217" s="9">
        <f>IFERROR(__xludf.DUMMYFUNCTION("""COMPUTED_VALUE"""),1.27841E7)</f>
        <v>12784100</v>
      </c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</row>
    <row r="2218">
      <c r="A2218" s="1"/>
      <c r="B2218" s="22">
        <f>IFERROR(__xludf.DUMMYFUNCTION("""COMPUTED_VALUE"""),44820.64583333333)</f>
        <v>44820.64583</v>
      </c>
      <c r="C2218" s="9">
        <f>IFERROR(__xludf.DUMMYFUNCTION("""COMPUTED_VALUE"""),1425.0)</f>
        <v>1425</v>
      </c>
      <c r="D2218" s="9">
        <f>IFERROR(__xludf.DUMMYFUNCTION("""COMPUTED_VALUE"""),1425.0)</f>
        <v>1425</v>
      </c>
      <c r="E2218" s="9">
        <f>IFERROR(__xludf.DUMMYFUNCTION("""COMPUTED_VALUE"""),1368.35)</f>
        <v>1368.35</v>
      </c>
      <c r="F2218" s="9">
        <f>IFERROR(__xludf.DUMMYFUNCTION("""COMPUTED_VALUE"""),1377.05)</f>
        <v>1377.05</v>
      </c>
      <c r="G2218" s="9">
        <f>IFERROR(__xludf.DUMMYFUNCTION("""COMPUTED_VALUE"""),2.0464045E7)</f>
        <v>20464045</v>
      </c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</row>
    <row r="2219">
      <c r="A2219" s="1"/>
      <c r="B2219" s="22">
        <f>IFERROR(__xludf.DUMMYFUNCTION("""COMPUTED_VALUE"""),44823.64583333333)</f>
        <v>44823.64583</v>
      </c>
      <c r="C2219" s="9">
        <f>IFERROR(__xludf.DUMMYFUNCTION("""COMPUTED_VALUE"""),1392.0)</f>
        <v>1392</v>
      </c>
      <c r="D2219" s="9">
        <f>IFERROR(__xludf.DUMMYFUNCTION("""COMPUTED_VALUE"""),1406.0)</f>
        <v>1406</v>
      </c>
      <c r="E2219" s="9">
        <f>IFERROR(__xludf.DUMMYFUNCTION("""COMPUTED_VALUE"""),1380.6)</f>
        <v>1380.6</v>
      </c>
      <c r="F2219" s="9">
        <f>IFERROR(__xludf.DUMMYFUNCTION("""COMPUTED_VALUE"""),1390.3)</f>
        <v>1390.3</v>
      </c>
      <c r="G2219" s="9">
        <f>IFERROR(__xludf.DUMMYFUNCTION("""COMPUTED_VALUE"""),6595241.0)</f>
        <v>6595241</v>
      </c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</row>
    <row r="2220">
      <c r="A2220" s="1"/>
      <c r="B2220" s="22">
        <f>IFERROR(__xludf.DUMMYFUNCTION("""COMPUTED_VALUE"""),44824.64583333333)</f>
        <v>44824.64583</v>
      </c>
      <c r="C2220" s="9">
        <f>IFERROR(__xludf.DUMMYFUNCTION("""COMPUTED_VALUE"""),1407.95)</f>
        <v>1407.95</v>
      </c>
      <c r="D2220" s="9">
        <f>IFERROR(__xludf.DUMMYFUNCTION("""COMPUTED_VALUE"""),1413.55)</f>
        <v>1413.55</v>
      </c>
      <c r="E2220" s="9">
        <f>IFERROR(__xludf.DUMMYFUNCTION("""COMPUTED_VALUE"""),1385.1)</f>
        <v>1385.1</v>
      </c>
      <c r="F2220" s="9">
        <f>IFERROR(__xludf.DUMMYFUNCTION("""COMPUTED_VALUE"""),1388.55)</f>
        <v>1388.55</v>
      </c>
      <c r="G2220" s="9">
        <f>IFERROR(__xludf.DUMMYFUNCTION("""COMPUTED_VALUE"""),7219797.0)</f>
        <v>7219797</v>
      </c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</row>
    <row r="2221">
      <c r="A2221" s="1"/>
      <c r="B2221" s="22">
        <f>IFERROR(__xludf.DUMMYFUNCTION("""COMPUTED_VALUE"""),44825.64583333333)</f>
        <v>44825.64583</v>
      </c>
      <c r="C2221" s="9">
        <f>IFERROR(__xludf.DUMMYFUNCTION("""COMPUTED_VALUE"""),1379.9)</f>
        <v>1379.9</v>
      </c>
      <c r="D2221" s="9">
        <f>IFERROR(__xludf.DUMMYFUNCTION("""COMPUTED_VALUE"""),1388.8)</f>
        <v>1388.8</v>
      </c>
      <c r="E2221" s="9">
        <f>IFERROR(__xludf.DUMMYFUNCTION("""COMPUTED_VALUE"""),1368.4)</f>
        <v>1368.4</v>
      </c>
      <c r="F2221" s="9">
        <f>IFERROR(__xludf.DUMMYFUNCTION("""COMPUTED_VALUE"""),1377.25)</f>
        <v>1377.25</v>
      </c>
      <c r="G2221" s="9">
        <f>IFERROR(__xludf.DUMMYFUNCTION("""COMPUTED_VALUE"""),7917054.0)</f>
        <v>7917054</v>
      </c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</row>
    <row r="2222">
      <c r="A2222" s="1"/>
      <c r="B2222" s="22">
        <f>IFERROR(__xludf.DUMMYFUNCTION("""COMPUTED_VALUE"""),44826.64583333333)</f>
        <v>44826.64583</v>
      </c>
      <c r="C2222" s="9">
        <f>IFERROR(__xludf.DUMMYFUNCTION("""COMPUTED_VALUE"""),1366.35)</f>
        <v>1366.35</v>
      </c>
      <c r="D2222" s="9">
        <f>IFERROR(__xludf.DUMMYFUNCTION("""COMPUTED_VALUE"""),1383.95)</f>
        <v>1383.95</v>
      </c>
      <c r="E2222" s="9">
        <f>IFERROR(__xludf.DUMMYFUNCTION("""COMPUTED_VALUE"""),1360.0)</f>
        <v>1360</v>
      </c>
      <c r="F2222" s="9">
        <f>IFERROR(__xludf.DUMMYFUNCTION("""COMPUTED_VALUE"""),1367.95)</f>
        <v>1367.95</v>
      </c>
      <c r="G2222" s="9">
        <f>IFERROR(__xludf.DUMMYFUNCTION("""COMPUTED_VALUE"""),9168498.0)</f>
        <v>9168498</v>
      </c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</row>
    <row r="2223">
      <c r="A2223" s="1"/>
      <c r="B2223" s="22">
        <f>IFERROR(__xludf.DUMMYFUNCTION("""COMPUTED_VALUE"""),44827.64583333333)</f>
        <v>44827.64583</v>
      </c>
      <c r="C2223" s="9">
        <f>IFERROR(__xludf.DUMMYFUNCTION("""COMPUTED_VALUE"""),1367.5)</f>
        <v>1367.5</v>
      </c>
      <c r="D2223" s="9">
        <f>IFERROR(__xludf.DUMMYFUNCTION("""COMPUTED_VALUE"""),1394.8)</f>
        <v>1394.8</v>
      </c>
      <c r="E2223" s="9">
        <f>IFERROR(__xludf.DUMMYFUNCTION("""COMPUTED_VALUE"""),1362.0)</f>
        <v>1362</v>
      </c>
      <c r="F2223" s="9">
        <f>IFERROR(__xludf.DUMMYFUNCTION("""COMPUTED_VALUE"""),1365.45)</f>
        <v>1365.45</v>
      </c>
      <c r="G2223" s="9">
        <f>IFERROR(__xludf.DUMMYFUNCTION("""COMPUTED_VALUE"""),1.04262E7)</f>
        <v>10426200</v>
      </c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</row>
    <row r="2224">
      <c r="A2224" s="1"/>
      <c r="B2224" s="22">
        <f>IFERROR(__xludf.DUMMYFUNCTION("""COMPUTED_VALUE"""),44830.64583333333)</f>
        <v>44830.64583</v>
      </c>
      <c r="C2224" s="9">
        <f>IFERROR(__xludf.DUMMYFUNCTION("""COMPUTED_VALUE"""),1360.0)</f>
        <v>1360</v>
      </c>
      <c r="D2224" s="9">
        <f>IFERROR(__xludf.DUMMYFUNCTION("""COMPUTED_VALUE"""),1399.45)</f>
        <v>1399.45</v>
      </c>
      <c r="E2224" s="9">
        <f>IFERROR(__xludf.DUMMYFUNCTION("""COMPUTED_VALUE"""),1355.0)</f>
        <v>1355</v>
      </c>
      <c r="F2224" s="9">
        <f>IFERROR(__xludf.DUMMYFUNCTION("""COMPUTED_VALUE"""),1380.25)</f>
        <v>1380.25</v>
      </c>
      <c r="G2224" s="9">
        <f>IFERROR(__xludf.DUMMYFUNCTION("""COMPUTED_VALUE"""),9414587.0)</f>
        <v>9414587</v>
      </c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</row>
    <row r="2225">
      <c r="A2225" s="1"/>
      <c r="B2225" s="22">
        <f>IFERROR(__xludf.DUMMYFUNCTION("""COMPUTED_VALUE"""),44831.64583333333)</f>
        <v>44831.64583</v>
      </c>
      <c r="C2225" s="9">
        <f>IFERROR(__xludf.DUMMYFUNCTION("""COMPUTED_VALUE"""),1393.45)</f>
        <v>1393.45</v>
      </c>
      <c r="D2225" s="9">
        <f>IFERROR(__xludf.DUMMYFUNCTION("""COMPUTED_VALUE"""),1406.5)</f>
        <v>1406.5</v>
      </c>
      <c r="E2225" s="9">
        <f>IFERROR(__xludf.DUMMYFUNCTION("""COMPUTED_VALUE"""),1378.0)</f>
        <v>1378</v>
      </c>
      <c r="F2225" s="9">
        <f>IFERROR(__xludf.DUMMYFUNCTION("""COMPUTED_VALUE"""),1393.55)</f>
        <v>1393.55</v>
      </c>
      <c r="G2225" s="9">
        <f>IFERROR(__xludf.DUMMYFUNCTION("""COMPUTED_VALUE"""),8561254.0)</f>
        <v>8561254</v>
      </c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</row>
    <row r="2226">
      <c r="A2226" s="1"/>
      <c r="B2226" s="22">
        <f>IFERROR(__xludf.DUMMYFUNCTION("""COMPUTED_VALUE"""),44832.64583333333)</f>
        <v>44832.64583</v>
      </c>
      <c r="C2226" s="9">
        <f>IFERROR(__xludf.DUMMYFUNCTION("""COMPUTED_VALUE"""),1379.0)</f>
        <v>1379</v>
      </c>
      <c r="D2226" s="9">
        <f>IFERROR(__xludf.DUMMYFUNCTION("""COMPUTED_VALUE"""),1405.85)</f>
        <v>1405.85</v>
      </c>
      <c r="E2226" s="9">
        <f>IFERROR(__xludf.DUMMYFUNCTION("""COMPUTED_VALUE"""),1377.0)</f>
        <v>1377</v>
      </c>
      <c r="F2226" s="9">
        <f>IFERROR(__xludf.DUMMYFUNCTION("""COMPUTED_VALUE"""),1394.7)</f>
        <v>1394.7</v>
      </c>
      <c r="G2226" s="9">
        <f>IFERROR(__xludf.DUMMYFUNCTION("""COMPUTED_VALUE"""),7022098.0)</f>
        <v>7022098</v>
      </c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</row>
    <row r="2227">
      <c r="A2227" s="1"/>
      <c r="B2227" s="22">
        <f>IFERROR(__xludf.DUMMYFUNCTION("""COMPUTED_VALUE"""),44833.64583333333)</f>
        <v>44833.64583</v>
      </c>
      <c r="C2227" s="9">
        <f>IFERROR(__xludf.DUMMYFUNCTION("""COMPUTED_VALUE"""),1404.9)</f>
        <v>1404.9</v>
      </c>
      <c r="D2227" s="9">
        <f>IFERROR(__xludf.DUMMYFUNCTION("""COMPUTED_VALUE"""),1409.85)</f>
        <v>1409.85</v>
      </c>
      <c r="E2227" s="9">
        <f>IFERROR(__xludf.DUMMYFUNCTION("""COMPUTED_VALUE"""),1393.0)</f>
        <v>1393</v>
      </c>
      <c r="F2227" s="9">
        <f>IFERROR(__xludf.DUMMYFUNCTION("""COMPUTED_VALUE"""),1398.65)</f>
        <v>1398.65</v>
      </c>
      <c r="G2227" s="9">
        <f>IFERROR(__xludf.DUMMYFUNCTION("""COMPUTED_VALUE"""),6119965.0)</f>
        <v>6119965</v>
      </c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</row>
    <row r="2228">
      <c r="A2228" s="1"/>
      <c r="B2228" s="22">
        <f>IFERROR(__xludf.DUMMYFUNCTION("""COMPUTED_VALUE"""),44834.64583333333)</f>
        <v>44834.64583</v>
      </c>
      <c r="C2228" s="9">
        <f>IFERROR(__xludf.DUMMYFUNCTION("""COMPUTED_VALUE"""),1388.95)</f>
        <v>1388.95</v>
      </c>
      <c r="D2228" s="9">
        <f>IFERROR(__xludf.DUMMYFUNCTION("""COMPUTED_VALUE"""),1419.3)</f>
        <v>1419.3</v>
      </c>
      <c r="E2228" s="9">
        <f>IFERROR(__xludf.DUMMYFUNCTION("""COMPUTED_VALUE"""),1376.0)</f>
        <v>1376</v>
      </c>
      <c r="F2228" s="9">
        <f>IFERROR(__xludf.DUMMYFUNCTION("""COMPUTED_VALUE"""),1413.45)</f>
        <v>1413.45</v>
      </c>
      <c r="G2228" s="9">
        <f>IFERROR(__xludf.DUMMYFUNCTION("""COMPUTED_VALUE"""),8120130.0)</f>
        <v>8120130</v>
      </c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</row>
    <row r="2229">
      <c r="A2229" s="1"/>
      <c r="B2229" s="22">
        <f>IFERROR(__xludf.DUMMYFUNCTION("""COMPUTED_VALUE"""),44837.64583333333)</f>
        <v>44837.64583</v>
      </c>
      <c r="C2229" s="9">
        <f>IFERROR(__xludf.DUMMYFUNCTION("""COMPUTED_VALUE"""),1412.0)</f>
        <v>1412</v>
      </c>
      <c r="D2229" s="9">
        <f>IFERROR(__xludf.DUMMYFUNCTION("""COMPUTED_VALUE"""),1412.0)</f>
        <v>1412</v>
      </c>
      <c r="E2229" s="9">
        <f>IFERROR(__xludf.DUMMYFUNCTION("""COMPUTED_VALUE"""),1386.0)</f>
        <v>1386</v>
      </c>
      <c r="F2229" s="9">
        <f>IFERROR(__xludf.DUMMYFUNCTION("""COMPUTED_VALUE"""),1393.75)</f>
        <v>1393.75</v>
      </c>
      <c r="G2229" s="9">
        <f>IFERROR(__xludf.DUMMYFUNCTION("""COMPUTED_VALUE"""),4943169.0)</f>
        <v>4943169</v>
      </c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</row>
    <row r="2230">
      <c r="A2230" s="1"/>
      <c r="B2230" s="22">
        <f>IFERROR(__xludf.DUMMYFUNCTION("""COMPUTED_VALUE"""),44838.64583333333)</f>
        <v>44838.64583</v>
      </c>
      <c r="C2230" s="9">
        <f>IFERROR(__xludf.DUMMYFUNCTION("""COMPUTED_VALUE"""),1419.7)</f>
        <v>1419.7</v>
      </c>
      <c r="D2230" s="9">
        <f>IFERROR(__xludf.DUMMYFUNCTION("""COMPUTED_VALUE"""),1432.25)</f>
        <v>1432.25</v>
      </c>
      <c r="E2230" s="9">
        <f>IFERROR(__xludf.DUMMYFUNCTION("""COMPUTED_VALUE"""),1414.0)</f>
        <v>1414</v>
      </c>
      <c r="F2230" s="9">
        <f>IFERROR(__xludf.DUMMYFUNCTION("""COMPUTED_VALUE"""),1429.4)</f>
        <v>1429.4</v>
      </c>
      <c r="G2230" s="9">
        <f>IFERROR(__xludf.DUMMYFUNCTION("""COMPUTED_VALUE"""),6631341.0)</f>
        <v>6631341</v>
      </c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</row>
    <row r="2231">
      <c r="A2231" s="1"/>
      <c r="B2231" s="22">
        <f>IFERROR(__xludf.DUMMYFUNCTION("""COMPUTED_VALUE"""),44840.64583333333)</f>
        <v>44840.64583</v>
      </c>
      <c r="C2231" s="9">
        <f>IFERROR(__xludf.DUMMYFUNCTION("""COMPUTED_VALUE"""),1445.0)</f>
        <v>1445</v>
      </c>
      <c r="D2231" s="9">
        <f>IFERROR(__xludf.DUMMYFUNCTION("""COMPUTED_VALUE"""),1459.8)</f>
        <v>1459.8</v>
      </c>
      <c r="E2231" s="9">
        <f>IFERROR(__xludf.DUMMYFUNCTION("""COMPUTED_VALUE"""),1444.1)</f>
        <v>1444.1</v>
      </c>
      <c r="F2231" s="9">
        <f>IFERROR(__xludf.DUMMYFUNCTION("""COMPUTED_VALUE"""),1455.15)</f>
        <v>1455.15</v>
      </c>
      <c r="G2231" s="9">
        <f>IFERROR(__xludf.DUMMYFUNCTION("""COMPUTED_VALUE"""),6180672.0)</f>
        <v>6180672</v>
      </c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</row>
    <row r="2232">
      <c r="A2232" s="1"/>
      <c r="B2232" s="22">
        <f>IFERROR(__xludf.DUMMYFUNCTION("""COMPUTED_VALUE"""),44841.64583333333)</f>
        <v>44841.64583</v>
      </c>
      <c r="C2232" s="9">
        <f>IFERROR(__xludf.DUMMYFUNCTION("""COMPUTED_VALUE"""),1446.35)</f>
        <v>1446.35</v>
      </c>
      <c r="D2232" s="9">
        <f>IFERROR(__xludf.DUMMYFUNCTION("""COMPUTED_VALUE"""),1457.85)</f>
        <v>1457.85</v>
      </c>
      <c r="E2232" s="9">
        <f>IFERROR(__xludf.DUMMYFUNCTION("""COMPUTED_VALUE"""),1440.15)</f>
        <v>1440.15</v>
      </c>
      <c r="F2232" s="9">
        <f>IFERROR(__xludf.DUMMYFUNCTION("""COMPUTED_VALUE"""),1451.2)</f>
        <v>1451.2</v>
      </c>
      <c r="G2232" s="9">
        <f>IFERROR(__xludf.DUMMYFUNCTION("""COMPUTED_VALUE"""),3994466.0)</f>
        <v>3994466</v>
      </c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</row>
    <row r="2233">
      <c r="A2233" s="1"/>
      <c r="B2233" s="22">
        <f>IFERROR(__xludf.DUMMYFUNCTION("""COMPUTED_VALUE"""),44844.64583333333)</f>
        <v>44844.64583</v>
      </c>
      <c r="C2233" s="9">
        <f>IFERROR(__xludf.DUMMYFUNCTION("""COMPUTED_VALUE"""),1426.35)</f>
        <v>1426.35</v>
      </c>
      <c r="D2233" s="9">
        <f>IFERROR(__xludf.DUMMYFUNCTION("""COMPUTED_VALUE"""),1465.0)</f>
        <v>1465</v>
      </c>
      <c r="E2233" s="9">
        <f>IFERROR(__xludf.DUMMYFUNCTION("""COMPUTED_VALUE"""),1426.35)</f>
        <v>1426.35</v>
      </c>
      <c r="F2233" s="9">
        <f>IFERROR(__xludf.DUMMYFUNCTION("""COMPUTED_VALUE"""),1462.65)</f>
        <v>1462.65</v>
      </c>
      <c r="G2233" s="9">
        <f>IFERROR(__xludf.DUMMYFUNCTION("""COMPUTED_VALUE"""),5274677.0)</f>
        <v>5274677</v>
      </c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</row>
    <row r="2234">
      <c r="A2234" s="1"/>
      <c r="B2234" s="22">
        <f>IFERROR(__xludf.DUMMYFUNCTION("""COMPUTED_VALUE"""),44845.64583333333)</f>
        <v>44845.64583</v>
      </c>
      <c r="C2234" s="9">
        <f>IFERROR(__xludf.DUMMYFUNCTION("""COMPUTED_VALUE"""),1462.65)</f>
        <v>1462.65</v>
      </c>
      <c r="D2234" s="9">
        <f>IFERROR(__xludf.DUMMYFUNCTION("""COMPUTED_VALUE"""),1479.65)</f>
        <v>1479.65</v>
      </c>
      <c r="E2234" s="9">
        <f>IFERROR(__xludf.DUMMYFUNCTION("""COMPUTED_VALUE"""),1420.1)</f>
        <v>1420.1</v>
      </c>
      <c r="F2234" s="9">
        <f>IFERROR(__xludf.DUMMYFUNCTION("""COMPUTED_VALUE"""),1423.8)</f>
        <v>1423.8</v>
      </c>
      <c r="G2234" s="9">
        <f>IFERROR(__xludf.DUMMYFUNCTION("""COMPUTED_VALUE"""),1.2824774E7)</f>
        <v>12824774</v>
      </c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</row>
    <row r="2235">
      <c r="A2235" s="1"/>
      <c r="B2235" s="22">
        <f>IFERROR(__xludf.DUMMYFUNCTION("""COMPUTED_VALUE"""),44846.64583333333)</f>
        <v>44846.64583</v>
      </c>
      <c r="C2235" s="9">
        <f>IFERROR(__xludf.DUMMYFUNCTION("""COMPUTED_VALUE"""),1437.0)</f>
        <v>1437</v>
      </c>
      <c r="D2235" s="9">
        <f>IFERROR(__xludf.DUMMYFUNCTION("""COMPUTED_VALUE"""),1441.1)</f>
        <v>1441.1</v>
      </c>
      <c r="E2235" s="9">
        <f>IFERROR(__xludf.DUMMYFUNCTION("""COMPUTED_VALUE"""),1413.55)</f>
        <v>1413.55</v>
      </c>
      <c r="F2235" s="9">
        <f>IFERROR(__xludf.DUMMYFUNCTION("""COMPUTED_VALUE"""),1428.7)</f>
        <v>1428.7</v>
      </c>
      <c r="G2235" s="9">
        <f>IFERROR(__xludf.DUMMYFUNCTION("""COMPUTED_VALUE"""),5481467.0)</f>
        <v>5481467</v>
      </c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</row>
    <row r="2236">
      <c r="A2236" s="1"/>
      <c r="B2236" s="22">
        <f>IFERROR(__xludf.DUMMYFUNCTION("""COMPUTED_VALUE"""),44847.64583333333)</f>
        <v>44847.64583</v>
      </c>
      <c r="C2236" s="9">
        <f>IFERROR(__xludf.DUMMYFUNCTION("""COMPUTED_VALUE"""),1431.0)</f>
        <v>1431</v>
      </c>
      <c r="D2236" s="9">
        <f>IFERROR(__xludf.DUMMYFUNCTION("""COMPUTED_VALUE"""),1437.95)</f>
        <v>1437.95</v>
      </c>
      <c r="E2236" s="9">
        <f>IFERROR(__xludf.DUMMYFUNCTION("""COMPUTED_VALUE"""),1415.0)</f>
        <v>1415</v>
      </c>
      <c r="F2236" s="9">
        <f>IFERROR(__xludf.DUMMYFUNCTION("""COMPUTED_VALUE"""),1419.9)</f>
        <v>1419.9</v>
      </c>
      <c r="G2236" s="9">
        <f>IFERROR(__xludf.DUMMYFUNCTION("""COMPUTED_VALUE"""),4821514.0)</f>
        <v>4821514</v>
      </c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</row>
    <row r="2237">
      <c r="A2237" s="1"/>
      <c r="B2237" s="22">
        <f>IFERROR(__xludf.DUMMYFUNCTION("""COMPUTED_VALUE"""),44848.64583333333)</f>
        <v>44848.64583</v>
      </c>
      <c r="C2237" s="9">
        <f>IFERROR(__xludf.DUMMYFUNCTION("""COMPUTED_VALUE"""),1485.0)</f>
        <v>1485</v>
      </c>
      <c r="D2237" s="9">
        <f>IFERROR(__xludf.DUMMYFUNCTION("""COMPUTED_VALUE"""),1494.0)</f>
        <v>1494</v>
      </c>
      <c r="E2237" s="9">
        <f>IFERROR(__xludf.DUMMYFUNCTION("""COMPUTED_VALUE"""),1467.25)</f>
        <v>1467.25</v>
      </c>
      <c r="F2237" s="9">
        <f>IFERROR(__xludf.DUMMYFUNCTION("""COMPUTED_VALUE"""),1474.25)</f>
        <v>1474.25</v>
      </c>
      <c r="G2237" s="9">
        <f>IFERROR(__xludf.DUMMYFUNCTION("""COMPUTED_VALUE"""),1.4990688E7)</f>
        <v>14990688</v>
      </c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</row>
    <row r="2238">
      <c r="A2238" s="1"/>
      <c r="B2238" s="22">
        <f>IFERROR(__xludf.DUMMYFUNCTION("""COMPUTED_VALUE"""),44851.64583333333)</f>
        <v>44851.64583</v>
      </c>
      <c r="C2238" s="9">
        <f>IFERROR(__xludf.DUMMYFUNCTION("""COMPUTED_VALUE"""),1476.9)</f>
        <v>1476.9</v>
      </c>
      <c r="D2238" s="9">
        <f>IFERROR(__xludf.DUMMYFUNCTION("""COMPUTED_VALUE"""),1495.0)</f>
        <v>1495</v>
      </c>
      <c r="E2238" s="9">
        <f>IFERROR(__xludf.DUMMYFUNCTION("""COMPUTED_VALUE"""),1475.5)</f>
        <v>1475.5</v>
      </c>
      <c r="F2238" s="9">
        <f>IFERROR(__xludf.DUMMYFUNCTION("""COMPUTED_VALUE"""),1489.95)</f>
        <v>1489.95</v>
      </c>
      <c r="G2238" s="9">
        <f>IFERROR(__xludf.DUMMYFUNCTION("""COMPUTED_VALUE"""),4286396.0)</f>
        <v>4286396</v>
      </c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</row>
    <row r="2239">
      <c r="A2239" s="1"/>
      <c r="B2239" s="22">
        <f>IFERROR(__xludf.DUMMYFUNCTION("""COMPUTED_VALUE"""),44852.64583333333)</f>
        <v>44852.64583</v>
      </c>
      <c r="C2239" s="9">
        <f>IFERROR(__xludf.DUMMYFUNCTION("""COMPUTED_VALUE"""),1510.0)</f>
        <v>1510</v>
      </c>
      <c r="D2239" s="9">
        <f>IFERROR(__xludf.DUMMYFUNCTION("""COMPUTED_VALUE"""),1510.95)</f>
        <v>1510.95</v>
      </c>
      <c r="E2239" s="9">
        <f>IFERROR(__xludf.DUMMYFUNCTION("""COMPUTED_VALUE"""),1497.25)</f>
        <v>1497.25</v>
      </c>
      <c r="F2239" s="9">
        <f>IFERROR(__xludf.DUMMYFUNCTION("""COMPUTED_VALUE"""),1503.7)</f>
        <v>1503.7</v>
      </c>
      <c r="G2239" s="9">
        <f>IFERROR(__xludf.DUMMYFUNCTION("""COMPUTED_VALUE"""),4692004.0)</f>
        <v>4692004</v>
      </c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</row>
    <row r="2240">
      <c r="A2240" s="1"/>
      <c r="B2240" s="22">
        <f>IFERROR(__xludf.DUMMYFUNCTION("""COMPUTED_VALUE"""),44853.64583333333)</f>
        <v>44853.64583</v>
      </c>
      <c r="C2240" s="9">
        <f>IFERROR(__xludf.DUMMYFUNCTION("""COMPUTED_VALUE"""),1504.0)</f>
        <v>1504</v>
      </c>
      <c r="D2240" s="9">
        <f>IFERROR(__xludf.DUMMYFUNCTION("""COMPUTED_VALUE"""),1504.95)</f>
        <v>1504.95</v>
      </c>
      <c r="E2240" s="9">
        <f>IFERROR(__xludf.DUMMYFUNCTION("""COMPUTED_VALUE"""),1481.3)</f>
        <v>1481.3</v>
      </c>
      <c r="F2240" s="9">
        <f>IFERROR(__xludf.DUMMYFUNCTION("""COMPUTED_VALUE"""),1485.45)</f>
        <v>1485.45</v>
      </c>
      <c r="G2240" s="9">
        <f>IFERROR(__xludf.DUMMYFUNCTION("""COMPUTED_VALUE"""),3553171.0)</f>
        <v>3553171</v>
      </c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</row>
    <row r="2241">
      <c r="A2241" s="1"/>
      <c r="B2241" s="22">
        <f>IFERROR(__xludf.DUMMYFUNCTION("""COMPUTED_VALUE"""),44854.64583333333)</f>
        <v>44854.64583</v>
      </c>
      <c r="C2241" s="9">
        <f>IFERROR(__xludf.DUMMYFUNCTION("""COMPUTED_VALUE"""),1475.0)</f>
        <v>1475</v>
      </c>
      <c r="D2241" s="9">
        <f>IFERROR(__xludf.DUMMYFUNCTION("""COMPUTED_VALUE"""),1504.0)</f>
        <v>1504</v>
      </c>
      <c r="E2241" s="9">
        <f>IFERROR(__xludf.DUMMYFUNCTION("""COMPUTED_VALUE"""),1474.2)</f>
        <v>1474.2</v>
      </c>
      <c r="F2241" s="9">
        <f>IFERROR(__xludf.DUMMYFUNCTION("""COMPUTED_VALUE"""),1500.9)</f>
        <v>1500.9</v>
      </c>
      <c r="G2241" s="9">
        <f>IFERROR(__xludf.DUMMYFUNCTION("""COMPUTED_VALUE"""),4583939.0)</f>
        <v>4583939</v>
      </c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</row>
    <row r="2242">
      <c r="A2242" s="1"/>
      <c r="B2242" s="22">
        <f>IFERROR(__xludf.DUMMYFUNCTION("""COMPUTED_VALUE"""),44855.64583333333)</f>
        <v>44855.64583</v>
      </c>
      <c r="C2242" s="9">
        <f>IFERROR(__xludf.DUMMYFUNCTION("""COMPUTED_VALUE"""),1500.3)</f>
        <v>1500.3</v>
      </c>
      <c r="D2242" s="9">
        <f>IFERROR(__xludf.DUMMYFUNCTION("""COMPUTED_VALUE"""),1506.0)</f>
        <v>1506</v>
      </c>
      <c r="E2242" s="9">
        <f>IFERROR(__xludf.DUMMYFUNCTION("""COMPUTED_VALUE"""),1491.35)</f>
        <v>1491.35</v>
      </c>
      <c r="F2242" s="9">
        <f>IFERROR(__xludf.DUMMYFUNCTION("""COMPUTED_VALUE"""),1500.5)</f>
        <v>1500.5</v>
      </c>
      <c r="G2242" s="9">
        <f>IFERROR(__xludf.DUMMYFUNCTION("""COMPUTED_VALUE"""),3594485.0)</f>
        <v>3594485</v>
      </c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</row>
    <row r="2243">
      <c r="A2243" s="1"/>
      <c r="B2243" s="22">
        <f>IFERROR(__xludf.DUMMYFUNCTION("""COMPUTED_VALUE"""),44859.64583333333)</f>
        <v>44859.64583</v>
      </c>
      <c r="C2243" s="9">
        <f>IFERROR(__xludf.DUMMYFUNCTION("""COMPUTED_VALUE"""),1528.1)</f>
        <v>1528.1</v>
      </c>
      <c r="D2243" s="9">
        <f>IFERROR(__xludf.DUMMYFUNCTION("""COMPUTED_VALUE"""),1532.9)</f>
        <v>1532.9</v>
      </c>
      <c r="E2243" s="9">
        <f>IFERROR(__xludf.DUMMYFUNCTION("""COMPUTED_VALUE"""),1521.05)</f>
        <v>1521.05</v>
      </c>
      <c r="F2243" s="9">
        <f>IFERROR(__xludf.DUMMYFUNCTION("""COMPUTED_VALUE"""),1526.3)</f>
        <v>1526.3</v>
      </c>
      <c r="G2243" s="9">
        <f>IFERROR(__xludf.DUMMYFUNCTION("""COMPUTED_VALUE"""),3914341.0)</f>
        <v>3914341</v>
      </c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</row>
    <row r="2244">
      <c r="A2244" s="1"/>
      <c r="B2244" s="22">
        <f>IFERROR(__xludf.DUMMYFUNCTION("""COMPUTED_VALUE"""),44861.64583333333)</f>
        <v>44861.64583</v>
      </c>
      <c r="C2244" s="9">
        <f>IFERROR(__xludf.DUMMYFUNCTION("""COMPUTED_VALUE"""),1530.8)</f>
        <v>1530.8</v>
      </c>
      <c r="D2244" s="9">
        <f>IFERROR(__xludf.DUMMYFUNCTION("""COMPUTED_VALUE"""),1534.9)</f>
        <v>1534.9</v>
      </c>
      <c r="E2244" s="9">
        <f>IFERROR(__xludf.DUMMYFUNCTION("""COMPUTED_VALUE"""),1512.5)</f>
        <v>1512.5</v>
      </c>
      <c r="F2244" s="9">
        <f>IFERROR(__xludf.DUMMYFUNCTION("""COMPUTED_VALUE"""),1523.95)</f>
        <v>1523.95</v>
      </c>
      <c r="G2244" s="9">
        <f>IFERROR(__xludf.DUMMYFUNCTION("""COMPUTED_VALUE"""),6760137.0)</f>
        <v>6760137</v>
      </c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</row>
    <row r="2245">
      <c r="A2245" s="1"/>
      <c r="B2245" s="22">
        <f>IFERROR(__xludf.DUMMYFUNCTION("""COMPUTED_VALUE"""),44862.64583333333)</f>
        <v>44862.64583</v>
      </c>
      <c r="C2245" s="9">
        <f>IFERROR(__xludf.DUMMYFUNCTION("""COMPUTED_VALUE"""),1526.0)</f>
        <v>1526</v>
      </c>
      <c r="D2245" s="9">
        <f>IFERROR(__xludf.DUMMYFUNCTION("""COMPUTED_VALUE"""),1527.95)</f>
        <v>1527.95</v>
      </c>
      <c r="E2245" s="9">
        <f>IFERROR(__xludf.DUMMYFUNCTION("""COMPUTED_VALUE"""),1507.0)</f>
        <v>1507</v>
      </c>
      <c r="F2245" s="9">
        <f>IFERROR(__xludf.DUMMYFUNCTION("""COMPUTED_VALUE"""),1513.25)</f>
        <v>1513.25</v>
      </c>
      <c r="G2245" s="9">
        <f>IFERROR(__xludf.DUMMYFUNCTION("""COMPUTED_VALUE"""),3053981.0)</f>
        <v>3053981</v>
      </c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</row>
    <row r="2246">
      <c r="A2246" s="1"/>
      <c r="B2246" s="22">
        <f>IFERROR(__xludf.DUMMYFUNCTION("""COMPUTED_VALUE"""),44865.64583333333)</f>
        <v>44865.64583</v>
      </c>
      <c r="C2246" s="9">
        <f>IFERROR(__xludf.DUMMYFUNCTION("""COMPUTED_VALUE"""),1530.25)</f>
        <v>1530.25</v>
      </c>
      <c r="D2246" s="9">
        <f>IFERROR(__xludf.DUMMYFUNCTION("""COMPUTED_VALUE"""),1546.4)</f>
        <v>1546.4</v>
      </c>
      <c r="E2246" s="9">
        <f>IFERROR(__xludf.DUMMYFUNCTION("""COMPUTED_VALUE"""),1530.25)</f>
        <v>1530.25</v>
      </c>
      <c r="F2246" s="9">
        <f>IFERROR(__xludf.DUMMYFUNCTION("""COMPUTED_VALUE"""),1537.65)</f>
        <v>1537.65</v>
      </c>
      <c r="G2246" s="9">
        <f>IFERROR(__xludf.DUMMYFUNCTION("""COMPUTED_VALUE"""),4542336.0)</f>
        <v>4542336</v>
      </c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</row>
    <row r="2247">
      <c r="A2247" s="1"/>
      <c r="B2247" s="22">
        <f>IFERROR(__xludf.DUMMYFUNCTION("""COMPUTED_VALUE"""),44866.64583333333)</f>
        <v>44866.64583</v>
      </c>
      <c r="C2247" s="9">
        <f>IFERROR(__xludf.DUMMYFUNCTION("""COMPUTED_VALUE"""),1553.05)</f>
        <v>1553.05</v>
      </c>
      <c r="D2247" s="9">
        <f>IFERROR(__xludf.DUMMYFUNCTION("""COMPUTED_VALUE"""),1575.0)</f>
        <v>1575</v>
      </c>
      <c r="E2247" s="9">
        <f>IFERROR(__xludf.DUMMYFUNCTION("""COMPUTED_VALUE"""),1547.1)</f>
        <v>1547.1</v>
      </c>
      <c r="F2247" s="9">
        <f>IFERROR(__xludf.DUMMYFUNCTION("""COMPUTED_VALUE"""),1573.0)</f>
        <v>1573</v>
      </c>
      <c r="G2247" s="9">
        <f>IFERROR(__xludf.DUMMYFUNCTION("""COMPUTED_VALUE"""),4542692.0)</f>
        <v>4542692</v>
      </c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</row>
    <row r="2248">
      <c r="A2248" s="1"/>
      <c r="B2248" s="22">
        <f>IFERROR(__xludf.DUMMYFUNCTION("""COMPUTED_VALUE"""),44867.64583333333)</f>
        <v>44867.64583</v>
      </c>
      <c r="C2248" s="9">
        <f>IFERROR(__xludf.DUMMYFUNCTION("""COMPUTED_VALUE"""),1572.0)</f>
        <v>1572</v>
      </c>
      <c r="D2248" s="9">
        <f>IFERROR(__xludf.DUMMYFUNCTION("""COMPUTED_VALUE"""),1572.75)</f>
        <v>1572.75</v>
      </c>
      <c r="E2248" s="9">
        <f>IFERROR(__xludf.DUMMYFUNCTION("""COMPUTED_VALUE"""),1545.0)</f>
        <v>1545</v>
      </c>
      <c r="F2248" s="9">
        <f>IFERROR(__xludf.DUMMYFUNCTION("""COMPUTED_VALUE"""),1553.3)</f>
        <v>1553.3</v>
      </c>
      <c r="G2248" s="9">
        <f>IFERROR(__xludf.DUMMYFUNCTION("""COMPUTED_VALUE"""),2938906.0)</f>
        <v>2938906</v>
      </c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</row>
    <row r="2249">
      <c r="A2249" s="1"/>
      <c r="B2249" s="22">
        <f>IFERROR(__xludf.DUMMYFUNCTION("""COMPUTED_VALUE"""),44868.64583333333)</f>
        <v>44868.64583</v>
      </c>
      <c r="C2249" s="9">
        <f>IFERROR(__xludf.DUMMYFUNCTION("""COMPUTED_VALUE"""),1538.75)</f>
        <v>1538.75</v>
      </c>
      <c r="D2249" s="9">
        <f>IFERROR(__xludf.DUMMYFUNCTION("""COMPUTED_VALUE"""),1543.9)</f>
        <v>1543.9</v>
      </c>
      <c r="E2249" s="9">
        <f>IFERROR(__xludf.DUMMYFUNCTION("""COMPUTED_VALUE"""),1521.65)</f>
        <v>1521.65</v>
      </c>
      <c r="F2249" s="9">
        <f>IFERROR(__xludf.DUMMYFUNCTION("""COMPUTED_VALUE"""),1530.75)</f>
        <v>1530.75</v>
      </c>
      <c r="G2249" s="9">
        <f>IFERROR(__xludf.DUMMYFUNCTION("""COMPUTED_VALUE"""),3174027.0)</f>
        <v>3174027</v>
      </c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</row>
    <row r="2250">
      <c r="A2250" s="1"/>
      <c r="B2250" s="22">
        <f>IFERROR(__xludf.DUMMYFUNCTION("""COMPUTED_VALUE"""),44869.64583333333)</f>
        <v>44869.64583</v>
      </c>
      <c r="C2250" s="9">
        <f>IFERROR(__xludf.DUMMYFUNCTION("""COMPUTED_VALUE"""),1520.45)</f>
        <v>1520.45</v>
      </c>
      <c r="D2250" s="9">
        <f>IFERROR(__xludf.DUMMYFUNCTION("""COMPUTED_VALUE"""),1520.45)</f>
        <v>1520.45</v>
      </c>
      <c r="E2250" s="9">
        <f>IFERROR(__xludf.DUMMYFUNCTION("""COMPUTED_VALUE"""),1501.15)</f>
        <v>1501.15</v>
      </c>
      <c r="F2250" s="9">
        <f>IFERROR(__xludf.DUMMYFUNCTION("""COMPUTED_VALUE"""),1514.0)</f>
        <v>1514</v>
      </c>
      <c r="G2250" s="9">
        <f>IFERROR(__xludf.DUMMYFUNCTION("""COMPUTED_VALUE"""),4509682.0)</f>
        <v>4509682</v>
      </c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</row>
    <row r="2251">
      <c r="A2251" s="1"/>
      <c r="B2251" s="22">
        <f>IFERROR(__xludf.DUMMYFUNCTION("""COMPUTED_VALUE"""),44872.64583333333)</f>
        <v>44872.64583</v>
      </c>
      <c r="C2251" s="9">
        <f>IFERROR(__xludf.DUMMYFUNCTION("""COMPUTED_VALUE"""),1521.4)</f>
        <v>1521.4</v>
      </c>
      <c r="D2251" s="9">
        <f>IFERROR(__xludf.DUMMYFUNCTION("""COMPUTED_VALUE"""),1527.9)</f>
        <v>1527.9</v>
      </c>
      <c r="E2251" s="9">
        <f>IFERROR(__xludf.DUMMYFUNCTION("""COMPUTED_VALUE"""),1491.1)</f>
        <v>1491.1</v>
      </c>
      <c r="F2251" s="9">
        <f>IFERROR(__xludf.DUMMYFUNCTION("""COMPUTED_VALUE"""),1507.45)</f>
        <v>1507.45</v>
      </c>
      <c r="G2251" s="9">
        <f>IFERROR(__xludf.DUMMYFUNCTION("""COMPUTED_VALUE"""),4898592.0)</f>
        <v>4898592</v>
      </c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</row>
    <row r="2252">
      <c r="A2252" s="1"/>
      <c r="B2252" s="22">
        <f>IFERROR(__xludf.DUMMYFUNCTION("""COMPUTED_VALUE"""),44874.64583333333)</f>
        <v>44874.64583</v>
      </c>
      <c r="C2252" s="9">
        <f>IFERROR(__xludf.DUMMYFUNCTION("""COMPUTED_VALUE"""),1529.0)</f>
        <v>1529</v>
      </c>
      <c r="D2252" s="9">
        <f>IFERROR(__xludf.DUMMYFUNCTION("""COMPUTED_VALUE"""),1529.0)</f>
        <v>1529</v>
      </c>
      <c r="E2252" s="9">
        <f>IFERROR(__xludf.DUMMYFUNCTION("""COMPUTED_VALUE"""),1501.1)</f>
        <v>1501.1</v>
      </c>
      <c r="F2252" s="9">
        <f>IFERROR(__xludf.DUMMYFUNCTION("""COMPUTED_VALUE"""),1511.2)</f>
        <v>1511.2</v>
      </c>
      <c r="G2252" s="9">
        <f>IFERROR(__xludf.DUMMYFUNCTION("""COMPUTED_VALUE"""),3334755.0)</f>
        <v>3334755</v>
      </c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</row>
    <row r="2253">
      <c r="A2253" s="1"/>
      <c r="B2253" s="22">
        <f>IFERROR(__xludf.DUMMYFUNCTION("""COMPUTED_VALUE"""),44875.64583333333)</f>
        <v>44875.64583</v>
      </c>
      <c r="C2253" s="9">
        <f>IFERROR(__xludf.DUMMYFUNCTION("""COMPUTED_VALUE"""),1485.0)</f>
        <v>1485</v>
      </c>
      <c r="D2253" s="9">
        <f>IFERROR(__xludf.DUMMYFUNCTION("""COMPUTED_VALUE"""),1512.0)</f>
        <v>1512</v>
      </c>
      <c r="E2253" s="9">
        <f>IFERROR(__xludf.DUMMYFUNCTION("""COMPUTED_VALUE"""),1485.0)</f>
        <v>1485</v>
      </c>
      <c r="F2253" s="9">
        <f>IFERROR(__xludf.DUMMYFUNCTION("""COMPUTED_VALUE"""),1501.95)</f>
        <v>1501.95</v>
      </c>
      <c r="G2253" s="9">
        <f>IFERROR(__xludf.DUMMYFUNCTION("""COMPUTED_VALUE"""),3435763.0)</f>
        <v>3435763</v>
      </c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</row>
    <row r="2254">
      <c r="A2254" s="1"/>
      <c r="B2254" s="22">
        <f>IFERROR(__xludf.DUMMYFUNCTION("""COMPUTED_VALUE"""),44876.64583333333)</f>
        <v>44876.64583</v>
      </c>
      <c r="C2254" s="9">
        <f>IFERROR(__xludf.DUMMYFUNCTION("""COMPUTED_VALUE"""),1546.65)</f>
        <v>1546.65</v>
      </c>
      <c r="D2254" s="9">
        <f>IFERROR(__xludf.DUMMYFUNCTION("""COMPUTED_VALUE"""),1573.5)</f>
        <v>1573.5</v>
      </c>
      <c r="E2254" s="9">
        <f>IFERROR(__xludf.DUMMYFUNCTION("""COMPUTED_VALUE"""),1546.65)</f>
        <v>1546.65</v>
      </c>
      <c r="F2254" s="9">
        <f>IFERROR(__xludf.DUMMYFUNCTION("""COMPUTED_VALUE"""),1570.1)</f>
        <v>1570.1</v>
      </c>
      <c r="G2254" s="9">
        <f>IFERROR(__xludf.DUMMYFUNCTION("""COMPUTED_VALUE"""),7214098.0)</f>
        <v>7214098</v>
      </c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</row>
    <row r="2255">
      <c r="A2255" s="1"/>
      <c r="B2255" s="22">
        <f>IFERROR(__xludf.DUMMYFUNCTION("""COMPUTED_VALUE"""),44879.64583333333)</f>
        <v>44879.64583</v>
      </c>
      <c r="C2255" s="9">
        <f>IFERROR(__xludf.DUMMYFUNCTION("""COMPUTED_VALUE"""),1575.15)</f>
        <v>1575.15</v>
      </c>
      <c r="D2255" s="9">
        <f>IFERROR(__xludf.DUMMYFUNCTION("""COMPUTED_VALUE"""),1591.4)</f>
        <v>1591.4</v>
      </c>
      <c r="E2255" s="9">
        <f>IFERROR(__xludf.DUMMYFUNCTION("""COMPUTED_VALUE"""),1568.45)</f>
        <v>1568.45</v>
      </c>
      <c r="F2255" s="9">
        <f>IFERROR(__xludf.DUMMYFUNCTION("""COMPUTED_VALUE"""),1585.3)</f>
        <v>1585.3</v>
      </c>
      <c r="G2255" s="9">
        <f>IFERROR(__xludf.DUMMYFUNCTION("""COMPUTED_VALUE"""),4908813.0)</f>
        <v>4908813</v>
      </c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</row>
    <row r="2256">
      <c r="A2256" s="1"/>
      <c r="B2256" s="22">
        <f>IFERROR(__xludf.DUMMYFUNCTION("""COMPUTED_VALUE"""),44880.64583333333)</f>
        <v>44880.64583</v>
      </c>
      <c r="C2256" s="9">
        <f>IFERROR(__xludf.DUMMYFUNCTION("""COMPUTED_VALUE"""),1577.85)</f>
        <v>1577.85</v>
      </c>
      <c r="D2256" s="9">
        <f>IFERROR(__xludf.DUMMYFUNCTION("""COMPUTED_VALUE"""),1597.85)</f>
        <v>1597.85</v>
      </c>
      <c r="E2256" s="9">
        <f>IFERROR(__xludf.DUMMYFUNCTION("""COMPUTED_VALUE"""),1572.75)</f>
        <v>1572.75</v>
      </c>
      <c r="F2256" s="9">
        <f>IFERROR(__xludf.DUMMYFUNCTION("""COMPUTED_VALUE"""),1594.0)</f>
        <v>1594</v>
      </c>
      <c r="G2256" s="9">
        <f>IFERROR(__xludf.DUMMYFUNCTION("""COMPUTED_VALUE"""),3497614.0)</f>
        <v>3497614</v>
      </c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</row>
    <row r="2257">
      <c r="A2257" s="1"/>
      <c r="B2257" s="22">
        <f>IFERROR(__xludf.DUMMYFUNCTION("""COMPUTED_VALUE"""),44881.64583333333)</f>
        <v>44881.64583</v>
      </c>
      <c r="C2257" s="9">
        <f>IFERROR(__xludf.DUMMYFUNCTION("""COMPUTED_VALUE"""),1597.15)</f>
        <v>1597.15</v>
      </c>
      <c r="D2257" s="9">
        <f>IFERROR(__xludf.DUMMYFUNCTION("""COMPUTED_VALUE"""),1609.0)</f>
        <v>1609</v>
      </c>
      <c r="E2257" s="9">
        <f>IFERROR(__xludf.DUMMYFUNCTION("""COMPUTED_VALUE"""),1593.5)</f>
        <v>1593.5</v>
      </c>
      <c r="F2257" s="9">
        <f>IFERROR(__xludf.DUMMYFUNCTION("""COMPUTED_VALUE"""),1602.8)</f>
        <v>1602.8</v>
      </c>
      <c r="G2257" s="9">
        <f>IFERROR(__xludf.DUMMYFUNCTION("""COMPUTED_VALUE"""),4497697.0)</f>
        <v>4497697</v>
      </c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</row>
    <row r="2258">
      <c r="A2258" s="1"/>
      <c r="B2258" s="22">
        <f>IFERROR(__xludf.DUMMYFUNCTION("""COMPUTED_VALUE"""),44882.64583333333)</f>
        <v>44882.64583</v>
      </c>
      <c r="C2258" s="9">
        <f>IFERROR(__xludf.DUMMYFUNCTION("""COMPUTED_VALUE"""),1597.2)</f>
        <v>1597.2</v>
      </c>
      <c r="D2258" s="9">
        <f>IFERROR(__xludf.DUMMYFUNCTION("""COMPUTED_VALUE"""),1602.8)</f>
        <v>1602.8</v>
      </c>
      <c r="E2258" s="9">
        <f>IFERROR(__xludf.DUMMYFUNCTION("""COMPUTED_VALUE"""),1582.95)</f>
        <v>1582.95</v>
      </c>
      <c r="F2258" s="9">
        <f>IFERROR(__xludf.DUMMYFUNCTION("""COMPUTED_VALUE"""),1587.4)</f>
        <v>1587.4</v>
      </c>
      <c r="G2258" s="9">
        <f>IFERROR(__xludf.DUMMYFUNCTION("""COMPUTED_VALUE"""),3469515.0)</f>
        <v>3469515</v>
      </c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</row>
    <row r="2259">
      <c r="A2259" s="1"/>
      <c r="B2259" s="22">
        <f>IFERROR(__xludf.DUMMYFUNCTION("""COMPUTED_VALUE"""),44883.64583333333)</f>
        <v>44883.64583</v>
      </c>
      <c r="C2259" s="9">
        <f>IFERROR(__xludf.DUMMYFUNCTION("""COMPUTED_VALUE"""),1591.7)</f>
        <v>1591.7</v>
      </c>
      <c r="D2259" s="9">
        <f>IFERROR(__xludf.DUMMYFUNCTION("""COMPUTED_VALUE"""),1598.0)</f>
        <v>1598</v>
      </c>
      <c r="E2259" s="9">
        <f>IFERROR(__xludf.DUMMYFUNCTION("""COMPUTED_VALUE"""),1575.5)</f>
        <v>1575.5</v>
      </c>
      <c r="F2259" s="9">
        <f>IFERROR(__xludf.DUMMYFUNCTION("""COMPUTED_VALUE"""),1593.4)</f>
        <v>1593.4</v>
      </c>
      <c r="G2259" s="9">
        <f>IFERROR(__xludf.DUMMYFUNCTION("""COMPUTED_VALUE"""),3126064.0)</f>
        <v>3126064</v>
      </c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</row>
    <row r="2260">
      <c r="A2260" s="1"/>
      <c r="B2260" s="22">
        <f>IFERROR(__xludf.DUMMYFUNCTION("""COMPUTED_VALUE"""),44886.64583333333)</f>
        <v>44886.64583</v>
      </c>
      <c r="C2260" s="9">
        <f>IFERROR(__xludf.DUMMYFUNCTION("""COMPUTED_VALUE"""),1582.1)</f>
        <v>1582.1</v>
      </c>
      <c r="D2260" s="9">
        <f>IFERROR(__xludf.DUMMYFUNCTION("""COMPUTED_VALUE"""),1587.85)</f>
        <v>1587.85</v>
      </c>
      <c r="E2260" s="9">
        <f>IFERROR(__xludf.DUMMYFUNCTION("""COMPUTED_VALUE"""),1564.05)</f>
        <v>1564.05</v>
      </c>
      <c r="F2260" s="9">
        <f>IFERROR(__xludf.DUMMYFUNCTION("""COMPUTED_VALUE"""),1568.2)</f>
        <v>1568.2</v>
      </c>
      <c r="G2260" s="9">
        <f>IFERROR(__xludf.DUMMYFUNCTION("""COMPUTED_VALUE"""),3071764.0)</f>
        <v>3071764</v>
      </c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</row>
    <row r="2261">
      <c r="A2261" s="1"/>
      <c r="B2261" s="22">
        <f>IFERROR(__xludf.DUMMYFUNCTION("""COMPUTED_VALUE"""),44887.64583333333)</f>
        <v>44887.64583</v>
      </c>
      <c r="C2261" s="9">
        <f>IFERROR(__xludf.DUMMYFUNCTION("""COMPUTED_VALUE"""),1569.0)</f>
        <v>1569</v>
      </c>
      <c r="D2261" s="9">
        <f>IFERROR(__xludf.DUMMYFUNCTION("""COMPUTED_VALUE"""),1588.0)</f>
        <v>1588</v>
      </c>
      <c r="E2261" s="9">
        <f>IFERROR(__xludf.DUMMYFUNCTION("""COMPUTED_VALUE"""),1562.0)</f>
        <v>1562</v>
      </c>
      <c r="F2261" s="9">
        <f>IFERROR(__xludf.DUMMYFUNCTION("""COMPUTED_VALUE"""),1585.05)</f>
        <v>1585.05</v>
      </c>
      <c r="G2261" s="9">
        <f>IFERROR(__xludf.DUMMYFUNCTION("""COMPUTED_VALUE"""),3399329.0)</f>
        <v>3399329</v>
      </c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</row>
    <row r="2262">
      <c r="A2262" s="1"/>
      <c r="B2262" s="22">
        <f>IFERROR(__xludf.DUMMYFUNCTION("""COMPUTED_VALUE"""),44888.64583333333)</f>
        <v>44888.64583</v>
      </c>
      <c r="C2262" s="9">
        <f>IFERROR(__xludf.DUMMYFUNCTION("""COMPUTED_VALUE"""),1588.9)</f>
        <v>1588.9</v>
      </c>
      <c r="D2262" s="9">
        <f>IFERROR(__xludf.DUMMYFUNCTION("""COMPUTED_VALUE"""),1592.0)</f>
        <v>1592</v>
      </c>
      <c r="E2262" s="9">
        <f>IFERROR(__xludf.DUMMYFUNCTION("""COMPUTED_VALUE"""),1579.3)</f>
        <v>1579.3</v>
      </c>
      <c r="F2262" s="9">
        <f>IFERROR(__xludf.DUMMYFUNCTION("""COMPUTED_VALUE"""),1583.15)</f>
        <v>1583.15</v>
      </c>
      <c r="G2262" s="9">
        <f>IFERROR(__xludf.DUMMYFUNCTION("""COMPUTED_VALUE"""),3245067.0)</f>
        <v>3245067</v>
      </c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</row>
    <row r="2263">
      <c r="A2263" s="1"/>
      <c r="B2263" s="22">
        <f>IFERROR(__xludf.DUMMYFUNCTION("""COMPUTED_VALUE"""),44889.64583333333)</f>
        <v>44889.64583</v>
      </c>
      <c r="C2263" s="9">
        <f>IFERROR(__xludf.DUMMYFUNCTION("""COMPUTED_VALUE"""),1589.0)</f>
        <v>1589</v>
      </c>
      <c r="D2263" s="9">
        <f>IFERROR(__xludf.DUMMYFUNCTION("""COMPUTED_VALUE"""),1636.0)</f>
        <v>1636</v>
      </c>
      <c r="E2263" s="9">
        <f>IFERROR(__xludf.DUMMYFUNCTION("""COMPUTED_VALUE"""),1584.75)</f>
        <v>1584.75</v>
      </c>
      <c r="F2263" s="9">
        <f>IFERROR(__xludf.DUMMYFUNCTION("""COMPUTED_VALUE"""),1629.8)</f>
        <v>1629.8</v>
      </c>
      <c r="G2263" s="9">
        <f>IFERROR(__xludf.DUMMYFUNCTION("""COMPUTED_VALUE"""),5282215.0)</f>
        <v>5282215</v>
      </c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</row>
    <row r="2264">
      <c r="A2264" s="1"/>
      <c r="B2264" s="22">
        <f>IFERROR(__xludf.DUMMYFUNCTION("""COMPUTED_VALUE"""),44890.64583333333)</f>
        <v>44890.64583</v>
      </c>
      <c r="C2264" s="9">
        <f>IFERROR(__xludf.DUMMYFUNCTION("""COMPUTED_VALUE"""),1631.4)</f>
        <v>1631.4</v>
      </c>
      <c r="D2264" s="9">
        <f>IFERROR(__xludf.DUMMYFUNCTION("""COMPUTED_VALUE"""),1644.0)</f>
        <v>1644</v>
      </c>
      <c r="E2264" s="9">
        <f>IFERROR(__xludf.DUMMYFUNCTION("""COMPUTED_VALUE"""),1613.8)</f>
        <v>1613.8</v>
      </c>
      <c r="F2264" s="9">
        <f>IFERROR(__xludf.DUMMYFUNCTION("""COMPUTED_VALUE"""),1635.65)</f>
        <v>1635.65</v>
      </c>
      <c r="G2264" s="9">
        <f>IFERROR(__xludf.DUMMYFUNCTION("""COMPUTED_VALUE"""),4563255.0)</f>
        <v>4563255</v>
      </c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</row>
    <row r="2265">
      <c r="A2265" s="1"/>
      <c r="B2265" s="22">
        <f>IFERROR(__xludf.DUMMYFUNCTION("""COMPUTED_VALUE"""),44893.64583333333)</f>
        <v>44893.64583</v>
      </c>
      <c r="C2265" s="9">
        <f>IFERROR(__xludf.DUMMYFUNCTION("""COMPUTED_VALUE"""),1628.0)</f>
        <v>1628</v>
      </c>
      <c r="D2265" s="9">
        <f>IFERROR(__xludf.DUMMYFUNCTION("""COMPUTED_VALUE"""),1653.5)</f>
        <v>1653.5</v>
      </c>
      <c r="E2265" s="9">
        <f>IFERROR(__xludf.DUMMYFUNCTION("""COMPUTED_VALUE"""),1620.0)</f>
        <v>1620</v>
      </c>
      <c r="F2265" s="9">
        <f>IFERROR(__xludf.DUMMYFUNCTION("""COMPUTED_VALUE"""),1623.4)</f>
        <v>1623.4</v>
      </c>
      <c r="G2265" s="9">
        <f>IFERROR(__xludf.DUMMYFUNCTION("""COMPUTED_VALUE"""),3825766.0)</f>
        <v>3825766</v>
      </c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</row>
    <row r="2266">
      <c r="A2266" s="1"/>
      <c r="B2266" s="22">
        <f>IFERROR(__xludf.DUMMYFUNCTION("""COMPUTED_VALUE"""),44894.64583333333)</f>
        <v>44894.64583</v>
      </c>
      <c r="C2266" s="9">
        <f>IFERROR(__xludf.DUMMYFUNCTION("""COMPUTED_VALUE"""),1621.2)</f>
        <v>1621.2</v>
      </c>
      <c r="D2266" s="9">
        <f>IFERROR(__xludf.DUMMYFUNCTION("""COMPUTED_VALUE"""),1638.75)</f>
        <v>1638.75</v>
      </c>
      <c r="E2266" s="9">
        <f>IFERROR(__xludf.DUMMYFUNCTION("""COMPUTED_VALUE"""),1615.05)</f>
        <v>1615.05</v>
      </c>
      <c r="F2266" s="9">
        <f>IFERROR(__xludf.DUMMYFUNCTION("""COMPUTED_VALUE"""),1629.05)</f>
        <v>1629.05</v>
      </c>
      <c r="G2266" s="9">
        <f>IFERROR(__xludf.DUMMYFUNCTION("""COMPUTED_VALUE"""),3131710.0)</f>
        <v>3131710</v>
      </c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</row>
    <row r="2267">
      <c r="A2267" s="1"/>
      <c r="B2267" s="22">
        <f>IFERROR(__xludf.DUMMYFUNCTION("""COMPUTED_VALUE"""),44895.64583333333)</f>
        <v>44895.64583</v>
      </c>
      <c r="C2267" s="9">
        <f>IFERROR(__xludf.DUMMYFUNCTION("""COMPUTED_VALUE"""),1619.95)</f>
        <v>1619.95</v>
      </c>
      <c r="D2267" s="9">
        <f>IFERROR(__xludf.DUMMYFUNCTION("""COMPUTED_VALUE"""),1645.75)</f>
        <v>1645.75</v>
      </c>
      <c r="E2267" s="9">
        <f>IFERROR(__xludf.DUMMYFUNCTION("""COMPUTED_VALUE"""),1613.15)</f>
        <v>1613.15</v>
      </c>
      <c r="F2267" s="9">
        <f>IFERROR(__xludf.DUMMYFUNCTION("""COMPUTED_VALUE"""),1634.95)</f>
        <v>1634.95</v>
      </c>
      <c r="G2267" s="9">
        <f>IFERROR(__xludf.DUMMYFUNCTION("""COMPUTED_VALUE"""),1.1868134E7)</f>
        <v>11868134</v>
      </c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</row>
    <row r="2268">
      <c r="A2268" s="1"/>
      <c r="B2268" s="22">
        <f>IFERROR(__xludf.DUMMYFUNCTION("""COMPUTED_VALUE"""),44896.64583333333)</f>
        <v>44896.64583</v>
      </c>
      <c r="C2268" s="9">
        <f>IFERROR(__xludf.DUMMYFUNCTION("""COMPUTED_VALUE"""),1656.2)</f>
        <v>1656.2</v>
      </c>
      <c r="D2268" s="9">
        <f>IFERROR(__xludf.DUMMYFUNCTION("""COMPUTED_VALUE"""),1672.6)</f>
        <v>1672.6</v>
      </c>
      <c r="E2268" s="9">
        <f>IFERROR(__xludf.DUMMYFUNCTION("""COMPUTED_VALUE"""),1652.3)</f>
        <v>1652.3</v>
      </c>
      <c r="F2268" s="9">
        <f>IFERROR(__xludf.DUMMYFUNCTION("""COMPUTED_VALUE"""),1657.1)</f>
        <v>1657.1</v>
      </c>
      <c r="G2268" s="9">
        <f>IFERROR(__xludf.DUMMYFUNCTION("""COMPUTED_VALUE"""),5407928.0)</f>
        <v>5407928</v>
      </c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</row>
    <row r="2269">
      <c r="A2269" s="1"/>
      <c r="B2269" s="22">
        <f>IFERROR(__xludf.DUMMYFUNCTION("""COMPUTED_VALUE"""),44897.64583333333)</f>
        <v>44897.64583</v>
      </c>
      <c r="C2269" s="9">
        <f>IFERROR(__xludf.DUMMYFUNCTION("""COMPUTED_VALUE"""),1656.0)</f>
        <v>1656</v>
      </c>
      <c r="D2269" s="9">
        <f>IFERROR(__xludf.DUMMYFUNCTION("""COMPUTED_VALUE"""),1661.8)</f>
        <v>1661.8</v>
      </c>
      <c r="E2269" s="9">
        <f>IFERROR(__xludf.DUMMYFUNCTION("""COMPUTED_VALUE"""),1633.95)</f>
        <v>1633.95</v>
      </c>
      <c r="F2269" s="9">
        <f>IFERROR(__xludf.DUMMYFUNCTION("""COMPUTED_VALUE"""),1637.9)</f>
        <v>1637.9</v>
      </c>
      <c r="G2269" s="9">
        <f>IFERROR(__xludf.DUMMYFUNCTION("""COMPUTED_VALUE"""),4283343.0)</f>
        <v>4283343</v>
      </c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</row>
    <row r="2270">
      <c r="A2270" s="1"/>
      <c r="B2270" s="22">
        <f>IFERROR(__xludf.DUMMYFUNCTION("""COMPUTED_VALUE"""),44900.64583333333)</f>
        <v>44900.64583</v>
      </c>
      <c r="C2270" s="9">
        <f>IFERROR(__xludf.DUMMYFUNCTION("""COMPUTED_VALUE"""),1638.0)</f>
        <v>1638</v>
      </c>
      <c r="D2270" s="9">
        <f>IFERROR(__xludf.DUMMYFUNCTION("""COMPUTED_VALUE"""),1644.85)</f>
        <v>1644.85</v>
      </c>
      <c r="E2270" s="9">
        <f>IFERROR(__xludf.DUMMYFUNCTION("""COMPUTED_VALUE"""),1623.3)</f>
        <v>1623.3</v>
      </c>
      <c r="F2270" s="9">
        <f>IFERROR(__xludf.DUMMYFUNCTION("""COMPUTED_VALUE"""),1639.75)</f>
        <v>1639.75</v>
      </c>
      <c r="G2270" s="9">
        <f>IFERROR(__xludf.DUMMYFUNCTION("""COMPUTED_VALUE"""),3824966.0)</f>
        <v>3824966</v>
      </c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</row>
    <row r="2271">
      <c r="A2271" s="1"/>
      <c r="B2271" s="22">
        <f>IFERROR(__xludf.DUMMYFUNCTION("""COMPUTED_VALUE"""),44901.64583333333)</f>
        <v>44901.64583</v>
      </c>
      <c r="C2271" s="9">
        <f>IFERROR(__xludf.DUMMYFUNCTION("""COMPUTED_VALUE"""),1625.0)</f>
        <v>1625</v>
      </c>
      <c r="D2271" s="9">
        <f>IFERROR(__xludf.DUMMYFUNCTION("""COMPUTED_VALUE"""),1626.0)</f>
        <v>1626</v>
      </c>
      <c r="E2271" s="9">
        <f>IFERROR(__xludf.DUMMYFUNCTION("""COMPUTED_VALUE"""),1607.55)</f>
        <v>1607.55</v>
      </c>
      <c r="F2271" s="9">
        <f>IFERROR(__xludf.DUMMYFUNCTION("""COMPUTED_VALUE"""),1612.9)</f>
        <v>1612.9</v>
      </c>
      <c r="G2271" s="9">
        <f>IFERROR(__xludf.DUMMYFUNCTION("""COMPUTED_VALUE"""),4822398.0)</f>
        <v>4822398</v>
      </c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</row>
    <row r="2272">
      <c r="A2272" s="1"/>
      <c r="B2272" s="22">
        <f>IFERROR(__xludf.DUMMYFUNCTION("""COMPUTED_VALUE"""),44902.64583333333)</f>
        <v>44902.64583</v>
      </c>
      <c r="C2272" s="9">
        <f>IFERROR(__xludf.DUMMYFUNCTION("""COMPUTED_VALUE"""),1608.0)</f>
        <v>1608</v>
      </c>
      <c r="D2272" s="9">
        <f>IFERROR(__xludf.DUMMYFUNCTION("""COMPUTED_VALUE"""),1623.8)</f>
        <v>1623.8</v>
      </c>
      <c r="E2272" s="9">
        <f>IFERROR(__xludf.DUMMYFUNCTION("""COMPUTED_VALUE"""),1596.7)</f>
        <v>1596.7</v>
      </c>
      <c r="F2272" s="9">
        <f>IFERROR(__xludf.DUMMYFUNCTION("""COMPUTED_VALUE"""),1605.5)</f>
        <v>1605.5</v>
      </c>
      <c r="G2272" s="9">
        <f>IFERROR(__xludf.DUMMYFUNCTION("""COMPUTED_VALUE"""),4898087.0)</f>
        <v>4898087</v>
      </c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</row>
    <row r="2273">
      <c r="A2273" s="1"/>
      <c r="B2273" s="22">
        <f>IFERROR(__xludf.DUMMYFUNCTION("""COMPUTED_VALUE"""),44903.64583333333)</f>
        <v>44903.64583</v>
      </c>
      <c r="C2273" s="9">
        <f>IFERROR(__xludf.DUMMYFUNCTION("""COMPUTED_VALUE"""),1605.5)</f>
        <v>1605.5</v>
      </c>
      <c r="D2273" s="9">
        <f>IFERROR(__xludf.DUMMYFUNCTION("""COMPUTED_VALUE"""),1623.9)</f>
        <v>1623.9</v>
      </c>
      <c r="E2273" s="9">
        <f>IFERROR(__xludf.DUMMYFUNCTION("""COMPUTED_VALUE"""),1598.5)</f>
        <v>1598.5</v>
      </c>
      <c r="F2273" s="9">
        <f>IFERROR(__xludf.DUMMYFUNCTION("""COMPUTED_VALUE"""),1620.15)</f>
        <v>1620.15</v>
      </c>
      <c r="G2273" s="9">
        <f>IFERROR(__xludf.DUMMYFUNCTION("""COMPUTED_VALUE"""),4206837.0)</f>
        <v>4206837</v>
      </c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</row>
    <row r="2274">
      <c r="A2274" s="1"/>
      <c r="B2274" s="22">
        <f>IFERROR(__xludf.DUMMYFUNCTION("""COMPUTED_VALUE"""),44904.64583333333)</f>
        <v>44904.64583</v>
      </c>
      <c r="C2274" s="9">
        <f>IFERROR(__xludf.DUMMYFUNCTION("""COMPUTED_VALUE"""),1628.0)</f>
        <v>1628</v>
      </c>
      <c r="D2274" s="9">
        <f>IFERROR(__xludf.DUMMYFUNCTION("""COMPUTED_VALUE"""),1628.0)</f>
        <v>1628</v>
      </c>
      <c r="E2274" s="9">
        <f>IFERROR(__xludf.DUMMYFUNCTION("""COMPUTED_VALUE"""),1561.1)</f>
        <v>1561.1</v>
      </c>
      <c r="F2274" s="9">
        <f>IFERROR(__xludf.DUMMYFUNCTION("""COMPUTED_VALUE"""),1569.3)</f>
        <v>1569.3</v>
      </c>
      <c r="G2274" s="9">
        <f>IFERROR(__xludf.DUMMYFUNCTION("""COMPUTED_VALUE"""),8880658.0)</f>
        <v>8880658</v>
      </c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</row>
    <row r="2275">
      <c r="A2275" s="1"/>
      <c r="B2275" s="22">
        <f>IFERROR(__xludf.DUMMYFUNCTION("""COMPUTED_VALUE"""),44907.64583333333)</f>
        <v>44907.64583</v>
      </c>
      <c r="C2275" s="9">
        <f>IFERROR(__xludf.DUMMYFUNCTION("""COMPUTED_VALUE"""),1550.0)</f>
        <v>1550</v>
      </c>
      <c r="D2275" s="9">
        <f>IFERROR(__xludf.DUMMYFUNCTION("""COMPUTED_VALUE"""),1565.95)</f>
        <v>1565.95</v>
      </c>
      <c r="E2275" s="9">
        <f>IFERROR(__xludf.DUMMYFUNCTION("""COMPUTED_VALUE"""),1530.05)</f>
        <v>1530.05</v>
      </c>
      <c r="F2275" s="9">
        <f>IFERROR(__xludf.DUMMYFUNCTION("""COMPUTED_VALUE"""),1547.2)</f>
        <v>1547.2</v>
      </c>
      <c r="G2275" s="9">
        <f>IFERROR(__xludf.DUMMYFUNCTION("""COMPUTED_VALUE"""),8037679.0)</f>
        <v>8037679</v>
      </c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</row>
    <row r="2276">
      <c r="A2276" s="1"/>
      <c r="B2276" s="22">
        <f>IFERROR(__xludf.DUMMYFUNCTION("""COMPUTED_VALUE"""),44908.64583333333)</f>
        <v>44908.64583</v>
      </c>
      <c r="C2276" s="9">
        <f>IFERROR(__xludf.DUMMYFUNCTION("""COMPUTED_VALUE"""),1547.2)</f>
        <v>1547.2</v>
      </c>
      <c r="D2276" s="9">
        <f>IFERROR(__xludf.DUMMYFUNCTION("""COMPUTED_VALUE"""),1577.5)</f>
        <v>1577.5</v>
      </c>
      <c r="E2276" s="9">
        <f>IFERROR(__xludf.DUMMYFUNCTION("""COMPUTED_VALUE"""),1541.15)</f>
        <v>1541.15</v>
      </c>
      <c r="F2276" s="9">
        <f>IFERROR(__xludf.DUMMYFUNCTION("""COMPUTED_VALUE"""),1572.15)</f>
        <v>1572.15</v>
      </c>
      <c r="G2276" s="9">
        <f>IFERROR(__xludf.DUMMYFUNCTION("""COMPUTED_VALUE"""),6135067.0)</f>
        <v>6135067</v>
      </c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</row>
    <row r="2277">
      <c r="A2277" s="1"/>
      <c r="B2277" s="22">
        <f>IFERROR(__xludf.DUMMYFUNCTION("""COMPUTED_VALUE"""),44909.64583333333)</f>
        <v>44909.64583</v>
      </c>
      <c r="C2277" s="9">
        <f>IFERROR(__xludf.DUMMYFUNCTION("""COMPUTED_VALUE"""),1582.0)</f>
        <v>1582</v>
      </c>
      <c r="D2277" s="9">
        <f>IFERROR(__xludf.DUMMYFUNCTION("""COMPUTED_VALUE"""),1588.5)</f>
        <v>1588.5</v>
      </c>
      <c r="E2277" s="9">
        <f>IFERROR(__xludf.DUMMYFUNCTION("""COMPUTED_VALUE"""),1573.0)</f>
        <v>1573</v>
      </c>
      <c r="F2277" s="9">
        <f>IFERROR(__xludf.DUMMYFUNCTION("""COMPUTED_VALUE"""),1579.4)</f>
        <v>1579.4</v>
      </c>
      <c r="G2277" s="9">
        <f>IFERROR(__xludf.DUMMYFUNCTION("""COMPUTED_VALUE"""),4976020.0)</f>
        <v>4976020</v>
      </c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</row>
    <row r="2278">
      <c r="A2278" s="1"/>
      <c r="B2278" s="22">
        <f>IFERROR(__xludf.DUMMYFUNCTION("""COMPUTED_VALUE"""),44910.64583333333)</f>
        <v>44910.64583</v>
      </c>
      <c r="C2278" s="9">
        <f>IFERROR(__xludf.DUMMYFUNCTION("""COMPUTED_VALUE"""),1569.3)</f>
        <v>1569.3</v>
      </c>
      <c r="D2278" s="9">
        <f>IFERROR(__xludf.DUMMYFUNCTION("""COMPUTED_VALUE"""),1570.0)</f>
        <v>1570</v>
      </c>
      <c r="E2278" s="9">
        <f>IFERROR(__xludf.DUMMYFUNCTION("""COMPUTED_VALUE"""),1535.25)</f>
        <v>1535.25</v>
      </c>
      <c r="F2278" s="9">
        <f>IFERROR(__xludf.DUMMYFUNCTION("""COMPUTED_VALUE"""),1540.5)</f>
        <v>1540.5</v>
      </c>
      <c r="G2278" s="9">
        <f>IFERROR(__xludf.DUMMYFUNCTION("""COMPUTED_VALUE"""),6443866.0)</f>
        <v>6443866</v>
      </c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</row>
    <row r="2279">
      <c r="A2279" s="1"/>
      <c r="B2279" s="22">
        <f>IFERROR(__xludf.DUMMYFUNCTION("""COMPUTED_VALUE"""),44911.64583333333)</f>
        <v>44911.64583</v>
      </c>
      <c r="C2279" s="9">
        <f>IFERROR(__xludf.DUMMYFUNCTION("""COMPUTED_VALUE"""),1525.0)</f>
        <v>1525</v>
      </c>
      <c r="D2279" s="9">
        <f>IFERROR(__xludf.DUMMYFUNCTION("""COMPUTED_VALUE"""),1549.5)</f>
        <v>1549.5</v>
      </c>
      <c r="E2279" s="9">
        <f>IFERROR(__xludf.DUMMYFUNCTION("""COMPUTED_VALUE"""),1512.05)</f>
        <v>1512.05</v>
      </c>
      <c r="F2279" s="9">
        <f>IFERROR(__xludf.DUMMYFUNCTION("""COMPUTED_VALUE"""),1522.2)</f>
        <v>1522.2</v>
      </c>
      <c r="G2279" s="9">
        <f>IFERROR(__xludf.DUMMYFUNCTION("""COMPUTED_VALUE"""),9630453.0)</f>
        <v>9630453</v>
      </c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</row>
    <row r="2280">
      <c r="A2280" s="1"/>
      <c r="B2280" s="22">
        <f>IFERROR(__xludf.DUMMYFUNCTION("""COMPUTED_VALUE"""),44914.64583333333)</f>
        <v>44914.64583</v>
      </c>
      <c r="C2280" s="9">
        <f>IFERROR(__xludf.DUMMYFUNCTION("""COMPUTED_VALUE"""),1507.95)</f>
        <v>1507.95</v>
      </c>
      <c r="D2280" s="9">
        <f>IFERROR(__xludf.DUMMYFUNCTION("""COMPUTED_VALUE"""),1516.9)</f>
        <v>1516.9</v>
      </c>
      <c r="E2280" s="9">
        <f>IFERROR(__xludf.DUMMYFUNCTION("""COMPUTED_VALUE"""),1495.05)</f>
        <v>1495.05</v>
      </c>
      <c r="F2280" s="9">
        <f>IFERROR(__xludf.DUMMYFUNCTION("""COMPUTED_VALUE"""),1507.35)</f>
        <v>1507.35</v>
      </c>
      <c r="G2280" s="9">
        <f>IFERROR(__xludf.DUMMYFUNCTION("""COMPUTED_VALUE"""),6222740.0)</f>
        <v>6222740</v>
      </c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</row>
    <row r="2281">
      <c r="A2281" s="1"/>
      <c r="B2281" s="22">
        <f>IFERROR(__xludf.DUMMYFUNCTION("""COMPUTED_VALUE"""),44915.64583333333)</f>
        <v>44915.64583</v>
      </c>
      <c r="C2281" s="9">
        <f>IFERROR(__xludf.DUMMYFUNCTION("""COMPUTED_VALUE"""),1501.0)</f>
        <v>1501</v>
      </c>
      <c r="D2281" s="9">
        <f>IFERROR(__xludf.DUMMYFUNCTION("""COMPUTED_VALUE"""),1516.0)</f>
        <v>1516</v>
      </c>
      <c r="E2281" s="9">
        <f>IFERROR(__xludf.DUMMYFUNCTION("""COMPUTED_VALUE"""),1482.45)</f>
        <v>1482.45</v>
      </c>
      <c r="F2281" s="9">
        <f>IFERROR(__xludf.DUMMYFUNCTION("""COMPUTED_VALUE"""),1507.3)</f>
        <v>1507.3</v>
      </c>
      <c r="G2281" s="9">
        <f>IFERROR(__xludf.DUMMYFUNCTION("""COMPUTED_VALUE"""),7396259.0)</f>
        <v>7396259</v>
      </c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</row>
    <row r="2282">
      <c r="A2282" s="1"/>
      <c r="B2282" s="22">
        <f>IFERROR(__xludf.DUMMYFUNCTION("""COMPUTED_VALUE"""),44916.64583333333)</f>
        <v>44916.64583</v>
      </c>
      <c r="C2282" s="9">
        <f>IFERROR(__xludf.DUMMYFUNCTION("""COMPUTED_VALUE"""),1515.0)</f>
        <v>1515</v>
      </c>
      <c r="D2282" s="9">
        <f>IFERROR(__xludf.DUMMYFUNCTION("""COMPUTED_VALUE"""),1521.0)</f>
        <v>1521</v>
      </c>
      <c r="E2282" s="9">
        <f>IFERROR(__xludf.DUMMYFUNCTION("""COMPUTED_VALUE"""),1502.35)</f>
        <v>1502.35</v>
      </c>
      <c r="F2282" s="9">
        <f>IFERROR(__xludf.DUMMYFUNCTION("""COMPUTED_VALUE"""),1509.55)</f>
        <v>1509.55</v>
      </c>
      <c r="G2282" s="9">
        <f>IFERROR(__xludf.DUMMYFUNCTION("""COMPUTED_VALUE"""),6236361.0)</f>
        <v>6236361</v>
      </c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</row>
    <row r="2283">
      <c r="A2283" s="1"/>
      <c r="B2283" s="22">
        <f>IFERROR(__xludf.DUMMYFUNCTION("""COMPUTED_VALUE"""),44917.64583333333)</f>
        <v>44917.64583</v>
      </c>
      <c r="C2283" s="9">
        <f>IFERROR(__xludf.DUMMYFUNCTION("""COMPUTED_VALUE"""),1521.5)</f>
        <v>1521.5</v>
      </c>
      <c r="D2283" s="9">
        <f>IFERROR(__xludf.DUMMYFUNCTION("""COMPUTED_VALUE"""),1529.95)</f>
        <v>1529.95</v>
      </c>
      <c r="E2283" s="9">
        <f>IFERROR(__xludf.DUMMYFUNCTION("""COMPUTED_VALUE"""),1511.75)</f>
        <v>1511.75</v>
      </c>
      <c r="F2283" s="9">
        <f>IFERROR(__xludf.DUMMYFUNCTION("""COMPUTED_VALUE"""),1522.05)</f>
        <v>1522.05</v>
      </c>
      <c r="G2283" s="9">
        <f>IFERROR(__xludf.DUMMYFUNCTION("""COMPUTED_VALUE"""),6302640.0)</f>
        <v>6302640</v>
      </c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</row>
    <row r="2284">
      <c r="A2284" s="1"/>
      <c r="B2284" s="22">
        <f>IFERROR(__xludf.DUMMYFUNCTION("""COMPUTED_VALUE"""),44918.64583333333)</f>
        <v>44918.64583</v>
      </c>
      <c r="C2284" s="9">
        <f>IFERROR(__xludf.DUMMYFUNCTION("""COMPUTED_VALUE"""),1508.7)</f>
        <v>1508.7</v>
      </c>
      <c r="D2284" s="9">
        <f>IFERROR(__xludf.DUMMYFUNCTION("""COMPUTED_VALUE"""),1509.9)</f>
        <v>1509.9</v>
      </c>
      <c r="E2284" s="9">
        <f>IFERROR(__xludf.DUMMYFUNCTION("""COMPUTED_VALUE"""),1493.0)</f>
        <v>1493</v>
      </c>
      <c r="F2284" s="9">
        <f>IFERROR(__xludf.DUMMYFUNCTION("""COMPUTED_VALUE"""),1497.1)</f>
        <v>1497.1</v>
      </c>
      <c r="G2284" s="9">
        <f>IFERROR(__xludf.DUMMYFUNCTION("""COMPUTED_VALUE"""),6283822.0)</f>
        <v>6283822</v>
      </c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</row>
    <row r="2285">
      <c r="A2285" s="1"/>
      <c r="B2285" s="22">
        <f>IFERROR(__xludf.DUMMYFUNCTION("""COMPUTED_VALUE"""),44921.64583333333)</f>
        <v>44921.64583</v>
      </c>
      <c r="C2285" s="9">
        <f>IFERROR(__xludf.DUMMYFUNCTION("""COMPUTED_VALUE"""),1500.5)</f>
        <v>1500.5</v>
      </c>
      <c r="D2285" s="9">
        <f>IFERROR(__xludf.DUMMYFUNCTION("""COMPUTED_VALUE"""),1509.9)</f>
        <v>1509.9</v>
      </c>
      <c r="E2285" s="9">
        <f>IFERROR(__xludf.DUMMYFUNCTION("""COMPUTED_VALUE"""),1496.35)</f>
        <v>1496.35</v>
      </c>
      <c r="F2285" s="9">
        <f>IFERROR(__xludf.DUMMYFUNCTION("""COMPUTED_VALUE"""),1502.4)</f>
        <v>1502.4</v>
      </c>
      <c r="G2285" s="9">
        <f>IFERROR(__xludf.DUMMYFUNCTION("""COMPUTED_VALUE"""),4115459.0)</f>
        <v>4115459</v>
      </c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</row>
    <row r="2286">
      <c r="A2286" s="1"/>
      <c r="B2286" s="22">
        <f>IFERROR(__xludf.DUMMYFUNCTION("""COMPUTED_VALUE"""),44922.64583333333)</f>
        <v>44922.64583</v>
      </c>
      <c r="C2286" s="9">
        <f>IFERROR(__xludf.DUMMYFUNCTION("""COMPUTED_VALUE"""),1509.95)</f>
        <v>1509.95</v>
      </c>
      <c r="D2286" s="9">
        <f>IFERROR(__xludf.DUMMYFUNCTION("""COMPUTED_VALUE"""),1521.45)</f>
        <v>1521.45</v>
      </c>
      <c r="E2286" s="9">
        <f>IFERROR(__xludf.DUMMYFUNCTION("""COMPUTED_VALUE"""),1497.5)</f>
        <v>1497.5</v>
      </c>
      <c r="F2286" s="9">
        <f>IFERROR(__xludf.DUMMYFUNCTION("""COMPUTED_VALUE"""),1514.85)</f>
        <v>1514.85</v>
      </c>
      <c r="G2286" s="9">
        <f>IFERROR(__xludf.DUMMYFUNCTION("""COMPUTED_VALUE"""),4860076.0)</f>
        <v>4860076</v>
      </c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</row>
    <row r="2287">
      <c r="A2287" s="1"/>
      <c r="B2287" s="22">
        <f>IFERROR(__xludf.DUMMYFUNCTION("""COMPUTED_VALUE"""),44923.64583333333)</f>
        <v>44923.64583</v>
      </c>
      <c r="C2287" s="9">
        <f>IFERROR(__xludf.DUMMYFUNCTION("""COMPUTED_VALUE"""),1505.1)</f>
        <v>1505.1</v>
      </c>
      <c r="D2287" s="9">
        <f>IFERROR(__xludf.DUMMYFUNCTION("""COMPUTED_VALUE"""),1524.95)</f>
        <v>1524.95</v>
      </c>
      <c r="E2287" s="9">
        <f>IFERROR(__xludf.DUMMYFUNCTION("""COMPUTED_VALUE"""),1498.5)</f>
        <v>1498.5</v>
      </c>
      <c r="F2287" s="9">
        <f>IFERROR(__xludf.DUMMYFUNCTION("""COMPUTED_VALUE"""),1510.15)</f>
        <v>1510.15</v>
      </c>
      <c r="G2287" s="9">
        <f>IFERROR(__xludf.DUMMYFUNCTION("""COMPUTED_VALUE"""),5029860.0)</f>
        <v>5029860</v>
      </c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</row>
    <row r="2288">
      <c r="A2288" s="1"/>
      <c r="B2288" s="22">
        <f>IFERROR(__xludf.DUMMYFUNCTION("""COMPUTED_VALUE"""),44924.64583333333)</f>
        <v>44924.64583</v>
      </c>
      <c r="C2288" s="9">
        <f>IFERROR(__xludf.DUMMYFUNCTION("""COMPUTED_VALUE"""),1504.0)</f>
        <v>1504</v>
      </c>
      <c r="D2288" s="9">
        <f>IFERROR(__xludf.DUMMYFUNCTION("""COMPUTED_VALUE"""),1521.3)</f>
        <v>1521.3</v>
      </c>
      <c r="E2288" s="9">
        <f>IFERROR(__xludf.DUMMYFUNCTION("""COMPUTED_VALUE"""),1501.0)</f>
        <v>1501</v>
      </c>
      <c r="F2288" s="9">
        <f>IFERROR(__xludf.DUMMYFUNCTION("""COMPUTED_VALUE"""),1517.55)</f>
        <v>1517.55</v>
      </c>
      <c r="G2288" s="9">
        <f>IFERROR(__xludf.DUMMYFUNCTION("""COMPUTED_VALUE"""),4624745.0)</f>
        <v>4624745</v>
      </c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</row>
    <row r="2289">
      <c r="A2289" s="1"/>
      <c r="B2289" s="22">
        <f>IFERROR(__xludf.DUMMYFUNCTION("""COMPUTED_VALUE"""),44925.64583333333)</f>
        <v>44925.64583</v>
      </c>
      <c r="C2289" s="9">
        <f>IFERROR(__xludf.DUMMYFUNCTION("""COMPUTED_VALUE"""),1528.0)</f>
        <v>1528</v>
      </c>
      <c r="D2289" s="9">
        <f>IFERROR(__xludf.DUMMYFUNCTION("""COMPUTED_VALUE"""),1530.4)</f>
        <v>1530.4</v>
      </c>
      <c r="E2289" s="9">
        <f>IFERROR(__xludf.DUMMYFUNCTION("""COMPUTED_VALUE"""),1504.05)</f>
        <v>1504.05</v>
      </c>
      <c r="F2289" s="9">
        <f>IFERROR(__xludf.DUMMYFUNCTION("""COMPUTED_VALUE"""),1508.2)</f>
        <v>1508.2</v>
      </c>
      <c r="G2289" s="9">
        <f>IFERROR(__xludf.DUMMYFUNCTION("""COMPUTED_VALUE"""),5060544.0)</f>
        <v>5060544</v>
      </c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</row>
    <row r="2290">
      <c r="A2290" s="1"/>
      <c r="B2290" s="22">
        <f>IFERROR(__xludf.DUMMYFUNCTION("""COMPUTED_VALUE"""),44928.64583333333)</f>
        <v>44928.64583</v>
      </c>
      <c r="C2290" s="9">
        <f>IFERROR(__xludf.DUMMYFUNCTION("""COMPUTED_VALUE"""),1514.0)</f>
        <v>1514</v>
      </c>
      <c r="D2290" s="9">
        <f>IFERROR(__xludf.DUMMYFUNCTION("""COMPUTED_VALUE"""),1526.5)</f>
        <v>1526.5</v>
      </c>
      <c r="E2290" s="9">
        <f>IFERROR(__xludf.DUMMYFUNCTION("""COMPUTED_VALUE"""),1504.05)</f>
        <v>1504.05</v>
      </c>
      <c r="F2290" s="9">
        <f>IFERROR(__xludf.DUMMYFUNCTION("""COMPUTED_VALUE"""),1524.0)</f>
        <v>1524</v>
      </c>
      <c r="G2290" s="9">
        <f>IFERROR(__xludf.DUMMYFUNCTION("""COMPUTED_VALUE"""),3801140.0)</f>
        <v>3801140</v>
      </c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</row>
    <row r="2291">
      <c r="A2291" s="1"/>
      <c r="B2291" s="22">
        <f>IFERROR(__xludf.DUMMYFUNCTION("""COMPUTED_VALUE"""),44929.64583333333)</f>
        <v>44929.64583</v>
      </c>
      <c r="C2291" s="9">
        <f>IFERROR(__xludf.DUMMYFUNCTION("""COMPUTED_VALUE"""),1519.85)</f>
        <v>1519.85</v>
      </c>
      <c r="D2291" s="9">
        <f>IFERROR(__xludf.DUMMYFUNCTION("""COMPUTED_VALUE"""),1532.65)</f>
        <v>1532.65</v>
      </c>
      <c r="E2291" s="9">
        <f>IFERROR(__xludf.DUMMYFUNCTION("""COMPUTED_VALUE"""),1515.1)</f>
        <v>1515.1</v>
      </c>
      <c r="F2291" s="9">
        <f>IFERROR(__xludf.DUMMYFUNCTION("""COMPUTED_VALUE"""),1522.55)</f>
        <v>1522.55</v>
      </c>
      <c r="G2291" s="9">
        <f>IFERROR(__xludf.DUMMYFUNCTION("""COMPUTED_VALUE"""),4551130.0)</f>
        <v>4551130</v>
      </c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</row>
    <row r="2292">
      <c r="A2292" s="1"/>
      <c r="B2292" s="22">
        <f>IFERROR(__xludf.DUMMYFUNCTION("""COMPUTED_VALUE"""),44930.64583333333)</f>
        <v>44930.64583</v>
      </c>
      <c r="C2292" s="9">
        <f>IFERROR(__xludf.DUMMYFUNCTION("""COMPUTED_VALUE"""),1521.0)</f>
        <v>1521</v>
      </c>
      <c r="D2292" s="9">
        <f>IFERROR(__xludf.DUMMYFUNCTION("""COMPUTED_VALUE"""),1521.0)</f>
        <v>1521</v>
      </c>
      <c r="E2292" s="9">
        <f>IFERROR(__xludf.DUMMYFUNCTION("""COMPUTED_VALUE"""),1491.1)</f>
        <v>1491.1</v>
      </c>
      <c r="F2292" s="9">
        <f>IFERROR(__xludf.DUMMYFUNCTION("""COMPUTED_VALUE"""),1494.8)</f>
        <v>1494.8</v>
      </c>
      <c r="G2292" s="9">
        <f>IFERROR(__xludf.DUMMYFUNCTION("""COMPUTED_VALUE"""),7059590.0)</f>
        <v>7059590</v>
      </c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</row>
    <row r="2293">
      <c r="A2293" s="1"/>
      <c r="B2293" s="22">
        <f>IFERROR(__xludf.DUMMYFUNCTION("""COMPUTED_VALUE"""),44931.64583333333)</f>
        <v>44931.64583</v>
      </c>
      <c r="C2293" s="9">
        <f>IFERROR(__xludf.DUMMYFUNCTION("""COMPUTED_VALUE"""),1505.9)</f>
        <v>1505.9</v>
      </c>
      <c r="D2293" s="9">
        <f>IFERROR(__xludf.DUMMYFUNCTION("""COMPUTED_VALUE"""),1505.9)</f>
        <v>1505.9</v>
      </c>
      <c r="E2293" s="9">
        <f>IFERROR(__xludf.DUMMYFUNCTION("""COMPUTED_VALUE"""),1469.25)</f>
        <v>1469.25</v>
      </c>
      <c r="F2293" s="9">
        <f>IFERROR(__xludf.DUMMYFUNCTION("""COMPUTED_VALUE"""),1475.2)</f>
        <v>1475.2</v>
      </c>
      <c r="G2293" s="9">
        <f>IFERROR(__xludf.DUMMYFUNCTION("""COMPUTED_VALUE"""),9868404.0)</f>
        <v>9868404</v>
      </c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</row>
    <row r="2294">
      <c r="A2294" s="1"/>
      <c r="B2294" s="22">
        <f>IFERROR(__xludf.DUMMYFUNCTION("""COMPUTED_VALUE"""),44932.64583333333)</f>
        <v>44932.64583</v>
      </c>
      <c r="C2294" s="9">
        <f>IFERROR(__xludf.DUMMYFUNCTION("""COMPUTED_VALUE"""),1470.0)</f>
        <v>1470</v>
      </c>
      <c r="D2294" s="9">
        <f>IFERROR(__xludf.DUMMYFUNCTION("""COMPUTED_VALUE"""),1475.0)</f>
        <v>1475</v>
      </c>
      <c r="E2294" s="9">
        <f>IFERROR(__xludf.DUMMYFUNCTION("""COMPUTED_VALUE"""),1446.5)</f>
        <v>1446.5</v>
      </c>
      <c r="F2294" s="9">
        <f>IFERROR(__xludf.DUMMYFUNCTION("""COMPUTED_VALUE"""),1448.5)</f>
        <v>1448.5</v>
      </c>
      <c r="G2294" s="9">
        <f>IFERROR(__xludf.DUMMYFUNCTION("""COMPUTED_VALUE"""),6443714.0)</f>
        <v>6443714</v>
      </c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</row>
    <row r="2295">
      <c r="A2295" s="1"/>
      <c r="B2295" s="22">
        <f>IFERROR(__xludf.DUMMYFUNCTION("""COMPUTED_VALUE"""),44935.64583333333)</f>
        <v>44935.64583</v>
      </c>
      <c r="C2295" s="9">
        <f>IFERROR(__xludf.DUMMYFUNCTION("""COMPUTED_VALUE"""),1448.2)</f>
        <v>1448.2</v>
      </c>
      <c r="D2295" s="9">
        <f>IFERROR(__xludf.DUMMYFUNCTION("""COMPUTED_VALUE"""),1489.35)</f>
        <v>1489.35</v>
      </c>
      <c r="E2295" s="9">
        <f>IFERROR(__xludf.DUMMYFUNCTION("""COMPUTED_VALUE"""),1448.2)</f>
        <v>1448.2</v>
      </c>
      <c r="F2295" s="9">
        <f>IFERROR(__xludf.DUMMYFUNCTION("""COMPUTED_VALUE"""),1484.45)</f>
        <v>1484.45</v>
      </c>
      <c r="G2295" s="9">
        <f>IFERROR(__xludf.DUMMYFUNCTION("""COMPUTED_VALUE"""),1.1498717E7)</f>
        <v>11498717</v>
      </c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</row>
    <row r="2296">
      <c r="A2296" s="1"/>
      <c r="B2296" s="22">
        <f>IFERROR(__xludf.DUMMYFUNCTION("""COMPUTED_VALUE"""),44936.64583333333)</f>
        <v>44936.64583</v>
      </c>
      <c r="C2296" s="9">
        <f>IFERROR(__xludf.DUMMYFUNCTION("""COMPUTED_VALUE"""),1482.0)</f>
        <v>1482</v>
      </c>
      <c r="D2296" s="9">
        <f>IFERROR(__xludf.DUMMYFUNCTION("""COMPUTED_VALUE"""),1483.9)</f>
        <v>1483.9</v>
      </c>
      <c r="E2296" s="9">
        <f>IFERROR(__xludf.DUMMYFUNCTION("""COMPUTED_VALUE"""),1454.05)</f>
        <v>1454.05</v>
      </c>
      <c r="F2296" s="9">
        <f>IFERROR(__xludf.DUMMYFUNCTION("""COMPUTED_VALUE"""),1469.75)</f>
        <v>1469.75</v>
      </c>
      <c r="G2296" s="9">
        <f>IFERROR(__xludf.DUMMYFUNCTION("""COMPUTED_VALUE"""),7158624.0)</f>
        <v>7158624</v>
      </c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</row>
    <row r="2297">
      <c r="A2297" s="1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</row>
    <row r="2298">
      <c r="A2298" s="1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</row>
    <row r="2299">
      <c r="A2299" s="1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</row>
    <row r="2300">
      <c r="A2300" s="1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</row>
    <row r="2301">
      <c r="A2301" s="1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</row>
    <row r="2302">
      <c r="A2302" s="1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</row>
    <row r="2303">
      <c r="A2303" s="1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</row>
    <row r="2304">
      <c r="A2304" s="1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</row>
    <row r="2305">
      <c r="A2305" s="1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</row>
    <row r="2306">
      <c r="A2306" s="1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</row>
    <row r="2307">
      <c r="A2307" s="1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</row>
    <row r="2308">
      <c r="A2308" s="1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</row>
    <row r="2309">
      <c r="A2309" s="1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</row>
    <row r="2310">
      <c r="A2310" s="1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</row>
    <row r="2311">
      <c r="A2311" s="1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</row>
    <row r="2312">
      <c r="A2312" s="1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</row>
    <row r="2313">
      <c r="A2313" s="1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</row>
    <row r="2314">
      <c r="A2314" s="1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</row>
    <row r="2315">
      <c r="A2315" s="1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</row>
    <row r="2316">
      <c r="A2316" s="1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</row>
    <row r="2317">
      <c r="A2317" s="1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</row>
    <row r="2318">
      <c r="A2318" s="1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</row>
    <row r="2319">
      <c r="A2319" s="1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</row>
    <row r="2320">
      <c r="A2320" s="1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</row>
    <row r="2321">
      <c r="A2321" s="1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</row>
    <row r="2322">
      <c r="A2322" s="1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</row>
    <row r="2323">
      <c r="A2323" s="1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</row>
    <row r="2324">
      <c r="A2324" s="1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</row>
    <row r="2325">
      <c r="A2325" s="1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</row>
    <row r="2326">
      <c r="A2326" s="1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</row>
    <row r="2327">
      <c r="A2327" s="1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</row>
    <row r="2328">
      <c r="A2328" s="1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</row>
    <row r="2329">
      <c r="A2329" s="1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</row>
    <row r="2330">
      <c r="A2330" s="1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</row>
    <row r="2331">
      <c r="A2331" s="1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</row>
    <row r="2332">
      <c r="A2332" s="1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</row>
    <row r="2333">
      <c r="A2333" s="1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</row>
    <row r="2334">
      <c r="A2334" s="1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</row>
    <row r="2335">
      <c r="A2335" s="1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</row>
    <row r="2336">
      <c r="A2336" s="1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</row>
    <row r="2337">
      <c r="A2337" s="1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</row>
    <row r="2338">
      <c r="A2338" s="1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</row>
    <row r="2339">
      <c r="A2339" s="1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</row>
    <row r="2340">
      <c r="A2340" s="1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</row>
    <row r="2341">
      <c r="A2341" s="1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</row>
    <row r="2342">
      <c r="A2342" s="1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</row>
    <row r="2343">
      <c r="A2343" s="1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</row>
    <row r="2344">
      <c r="A2344" s="1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</row>
    <row r="2345">
      <c r="A2345" s="1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</row>
    <row r="2346">
      <c r="A2346" s="1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</row>
    <row r="2347">
      <c r="A2347" s="1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</row>
    <row r="2348">
      <c r="A2348" s="1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</row>
    <row r="2349">
      <c r="A2349" s="1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</row>
    <row r="2350">
      <c r="A2350" s="1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</row>
    <row r="2351">
      <c r="A2351" s="1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</row>
    <row r="2352">
      <c r="A2352" s="1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</row>
    <row r="2353">
      <c r="A2353" s="1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</row>
    <row r="2354">
      <c r="A2354" s="1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</row>
    <row r="2355">
      <c r="A2355" s="1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</row>
    <row r="2356">
      <c r="A2356" s="1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</row>
    <row r="2357">
      <c r="A2357" s="1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</row>
    <row r="2358">
      <c r="A2358" s="1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</row>
    <row r="2359">
      <c r="A2359" s="1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</row>
    <row r="2360">
      <c r="A2360" s="1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</row>
    <row r="2361">
      <c r="A2361" s="1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</row>
    <row r="2362">
      <c r="A2362" s="1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</row>
    <row r="2363">
      <c r="A2363" s="1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</row>
    <row r="2364">
      <c r="A2364" s="1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</row>
    <row r="2365">
      <c r="A2365" s="1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</row>
    <row r="2366">
      <c r="A2366" s="1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</row>
    <row r="2367">
      <c r="A2367" s="1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</row>
    <row r="2368">
      <c r="A2368" s="1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</row>
    <row r="2369">
      <c r="A2369" s="1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</row>
    <row r="2370">
      <c r="A2370" s="1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</row>
    <row r="2371">
      <c r="A2371" s="1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</row>
    <row r="2372">
      <c r="A2372" s="1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</row>
    <row r="2373">
      <c r="A2373" s="1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</row>
    <row r="2374">
      <c r="A2374" s="1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</row>
    <row r="2375">
      <c r="A2375" s="1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</row>
    <row r="2376">
      <c r="A2376" s="1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</row>
    <row r="2377">
      <c r="A2377" s="1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</row>
    <row r="2378">
      <c r="A2378" s="1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</row>
    <row r="2379">
      <c r="A2379" s="1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</row>
    <row r="2380">
      <c r="A2380" s="1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</row>
    <row r="2381">
      <c r="A2381" s="1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</row>
    <row r="2382">
      <c r="A2382" s="1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</row>
    <row r="2383">
      <c r="A2383" s="1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</row>
    <row r="2384">
      <c r="A2384" s="1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</row>
    <row r="2385">
      <c r="A2385" s="1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</row>
    <row r="2386">
      <c r="A2386" s="1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</row>
    <row r="2387">
      <c r="A2387" s="1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</row>
    <row r="2388">
      <c r="A2388" s="1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</row>
    <row r="2389">
      <c r="A2389" s="1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</row>
    <row r="2390">
      <c r="A2390" s="1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</row>
    <row r="2391">
      <c r="A2391" s="1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</row>
    <row r="2392">
      <c r="A2392" s="1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</row>
    <row r="2393">
      <c r="A2393" s="1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</row>
    <row r="2394">
      <c r="A2394" s="1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</row>
    <row r="2395">
      <c r="A2395" s="1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</row>
    <row r="2396">
      <c r="A2396" s="1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</row>
    <row r="2397">
      <c r="A2397" s="1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</row>
    <row r="2398">
      <c r="A2398" s="1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</row>
    <row r="2399">
      <c r="A2399" s="1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</row>
    <row r="2400">
      <c r="A2400" s="1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</row>
    <row r="2401">
      <c r="A2401" s="1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</row>
    <row r="2402">
      <c r="A2402" s="1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</row>
    <row r="2403">
      <c r="A2403" s="1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</row>
    <row r="2404">
      <c r="A2404" s="1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</row>
    <row r="2405">
      <c r="A2405" s="1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</row>
    <row r="2406">
      <c r="A2406" s="1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</row>
    <row r="2407">
      <c r="A2407" s="1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</row>
    <row r="2408">
      <c r="A2408" s="1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</row>
    <row r="2409">
      <c r="A2409" s="1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</row>
    <row r="2410">
      <c r="A2410" s="1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</row>
    <row r="2411">
      <c r="A2411" s="1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</row>
    <row r="2412">
      <c r="A2412" s="1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</row>
    <row r="2413">
      <c r="A2413" s="1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</row>
    <row r="2414">
      <c r="A2414" s="1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</row>
    <row r="2415">
      <c r="A2415" s="1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</row>
    <row r="2416">
      <c r="A2416" s="1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</row>
    <row r="2417">
      <c r="A2417" s="1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</row>
    <row r="2418">
      <c r="A2418" s="1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</row>
    <row r="2419">
      <c r="A2419" s="1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</row>
    <row r="2420">
      <c r="A2420" s="1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</row>
    <row r="2421">
      <c r="A2421" s="1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</row>
    <row r="2422">
      <c r="A2422" s="1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</row>
    <row r="2423">
      <c r="A2423" s="1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</row>
    <row r="2424">
      <c r="A2424" s="1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</row>
    <row r="2425">
      <c r="A2425" s="1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</row>
    <row r="2426">
      <c r="A2426" s="1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</row>
    <row r="2427">
      <c r="A2427" s="1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</row>
    <row r="2428">
      <c r="A2428" s="1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</row>
    <row r="2429">
      <c r="A2429" s="1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</row>
    <row r="2430">
      <c r="A2430" s="1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</row>
    <row r="2431">
      <c r="A2431" s="1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</row>
    <row r="2432">
      <c r="A2432" s="1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</row>
    <row r="2433">
      <c r="A2433" s="1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</row>
    <row r="2434">
      <c r="A2434" s="1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</row>
    <row r="2435">
      <c r="A2435" s="1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</row>
    <row r="2436">
      <c r="A2436" s="1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</row>
    <row r="2437">
      <c r="A2437" s="1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</row>
    <row r="2438">
      <c r="A2438" s="1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</row>
    <row r="2439">
      <c r="A2439" s="1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</row>
    <row r="2440">
      <c r="A2440" s="1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</row>
    <row r="2441">
      <c r="A2441" s="1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</row>
    <row r="2442">
      <c r="A2442" s="1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</row>
    <row r="2443">
      <c r="A2443" s="1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</row>
    <row r="2444">
      <c r="A2444" s="1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</row>
    <row r="2445">
      <c r="A2445" s="1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</row>
    <row r="2446">
      <c r="A2446" s="1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</row>
    <row r="2447">
      <c r="A2447" s="1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</row>
    <row r="2448">
      <c r="A2448" s="1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</row>
    <row r="2449">
      <c r="A2449" s="1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</row>
    <row r="2450">
      <c r="A2450" s="1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</row>
    <row r="2451">
      <c r="A2451" s="1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</row>
    <row r="2452">
      <c r="A2452" s="1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</row>
    <row r="2453">
      <c r="A2453" s="1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</row>
    <row r="2454">
      <c r="A2454" s="1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</row>
    <row r="2455">
      <c r="A2455" s="1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</row>
    <row r="2456">
      <c r="A2456" s="1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</row>
    <row r="2457">
      <c r="A2457" s="1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</row>
    <row r="2458">
      <c r="A2458" s="1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</row>
    <row r="2459">
      <c r="A2459" s="1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</row>
    <row r="2460">
      <c r="A2460" s="1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</row>
    <row r="2461">
      <c r="A2461" s="1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</row>
    <row r="2462">
      <c r="A2462" s="1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</row>
    <row r="2463">
      <c r="A2463" s="1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</row>
    <row r="2464">
      <c r="A2464" s="1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</row>
    <row r="2465">
      <c r="A2465" s="1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</row>
    <row r="2466">
      <c r="A2466" s="1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</row>
    <row r="2467">
      <c r="A2467" s="1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</row>
    <row r="2468">
      <c r="A2468" s="1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</row>
    <row r="2469">
      <c r="A2469" s="1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</row>
    <row r="2470">
      <c r="A2470" s="1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</row>
    <row r="2471">
      <c r="A2471" s="1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</row>
    <row r="2472">
      <c r="A2472" s="1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</row>
    <row r="2473">
      <c r="A2473" s="1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</row>
    <row r="2474">
      <c r="A2474" s="1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</row>
    <row r="2475">
      <c r="A2475" s="1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</row>
    <row r="2476">
      <c r="A2476" s="1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</row>
    <row r="2477">
      <c r="A2477" s="1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</row>
    <row r="2478">
      <c r="A2478" s="1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</row>
    <row r="2479">
      <c r="A2479" s="1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</row>
    <row r="2480">
      <c r="A2480" s="1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</row>
    <row r="2481">
      <c r="A2481" s="1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</row>
    <row r="2482">
      <c r="A2482" s="1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</row>
    <row r="2483">
      <c r="A2483" s="1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</row>
    <row r="2484">
      <c r="A2484" s="1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</row>
    <row r="2485">
      <c r="A2485" s="1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</row>
    <row r="2486">
      <c r="A2486" s="1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</row>
    <row r="2487">
      <c r="A2487" s="1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</row>
    <row r="2488">
      <c r="A2488" s="1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</row>
    <row r="2489">
      <c r="A2489" s="1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</row>
    <row r="2490">
      <c r="A2490" s="1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</row>
    <row r="2491">
      <c r="A2491" s="1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</row>
    <row r="2492">
      <c r="A2492" s="1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</row>
    <row r="2493">
      <c r="A2493" s="1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</row>
    <row r="2494">
      <c r="A2494" s="1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</row>
    <row r="2495">
      <c r="A2495" s="1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</row>
    <row r="2496">
      <c r="A2496" s="1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</row>
    <row r="2497">
      <c r="A2497" s="1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</row>
    <row r="2498">
      <c r="A2498" s="1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</row>
    <row r="2499">
      <c r="A2499" s="1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</row>
    <row r="2500">
      <c r="A2500" s="1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</row>
    <row r="2501">
      <c r="A2501" s="1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</row>
    <row r="2502">
      <c r="A2502" s="1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</row>
    <row r="2503">
      <c r="A2503" s="1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</row>
    <row r="2504">
      <c r="A2504" s="1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</row>
    <row r="2505">
      <c r="A2505" s="1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</row>
    <row r="2506">
      <c r="A2506" s="1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</row>
    <row r="2507">
      <c r="A2507" s="1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</row>
    <row r="2508">
      <c r="A2508" s="1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</row>
    <row r="2509">
      <c r="A2509" s="1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</row>
    <row r="2510">
      <c r="A2510" s="1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</row>
    <row r="2511">
      <c r="A2511" s="1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</row>
    <row r="2512">
      <c r="A2512" s="1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</row>
    <row r="2513">
      <c r="A2513" s="1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</row>
    <row r="2514">
      <c r="A2514" s="1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</row>
    <row r="2515">
      <c r="A2515" s="1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</row>
    <row r="2516">
      <c r="A2516" s="1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</row>
    <row r="2517">
      <c r="A2517" s="1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</row>
    <row r="2518">
      <c r="A2518" s="1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</row>
    <row r="2519">
      <c r="A2519" s="1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</row>
    <row r="2520">
      <c r="A2520" s="1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</row>
    <row r="2521">
      <c r="A2521" s="1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</row>
    <row r="2522">
      <c r="A2522" s="1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</row>
    <row r="2523">
      <c r="A2523" s="1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</row>
    <row r="2524">
      <c r="A2524" s="1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</row>
    <row r="2525">
      <c r="A2525" s="1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</row>
    <row r="2526">
      <c r="A2526" s="1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</row>
    <row r="2527">
      <c r="A2527" s="1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</row>
    <row r="2528">
      <c r="A2528" s="1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</row>
    <row r="2529">
      <c r="A2529" s="1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</row>
    <row r="2530">
      <c r="A2530" s="1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</row>
    <row r="2531">
      <c r="A2531" s="1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</row>
    <row r="2532">
      <c r="A2532" s="1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</row>
    <row r="2533">
      <c r="A2533" s="1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</row>
    <row r="2534">
      <c r="A2534" s="1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</row>
    <row r="2535">
      <c r="A2535" s="1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</row>
    <row r="2536">
      <c r="A2536" s="1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</row>
    <row r="2537">
      <c r="A2537" s="1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</row>
    <row r="2538">
      <c r="A2538" s="1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</row>
    <row r="2539">
      <c r="A2539" s="1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</row>
    <row r="2540">
      <c r="A2540" s="1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</row>
    <row r="2541">
      <c r="A2541" s="1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</row>
    <row r="2542">
      <c r="A2542" s="1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</row>
    <row r="2543">
      <c r="A2543" s="1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</row>
    <row r="2544">
      <c r="A2544" s="1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</row>
    <row r="2545">
      <c r="A2545" s="1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</row>
    <row r="2546">
      <c r="A2546" s="1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</row>
    <row r="2547">
      <c r="A2547" s="1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</row>
    <row r="2548">
      <c r="A2548" s="1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</row>
    <row r="2549">
      <c r="A2549" s="1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</row>
    <row r="2550">
      <c r="A2550" s="1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</row>
    <row r="2551">
      <c r="A2551" s="1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</row>
    <row r="2552">
      <c r="A2552" s="1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</row>
    <row r="2553">
      <c r="A2553" s="1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</row>
    <row r="2554">
      <c r="A2554" s="1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</row>
    <row r="2555">
      <c r="A2555" s="1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</row>
    <row r="2556">
      <c r="A2556" s="1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</row>
    <row r="2557">
      <c r="A2557" s="1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</row>
    <row r="2558">
      <c r="A2558" s="1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</row>
    <row r="2559">
      <c r="A2559" s="1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</row>
    <row r="2560">
      <c r="A2560" s="1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</row>
    <row r="2561">
      <c r="A2561" s="1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</row>
    <row r="2562">
      <c r="A2562" s="1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</row>
    <row r="2563">
      <c r="A2563" s="1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</row>
    <row r="2564">
      <c r="A2564" s="1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</row>
    <row r="2565">
      <c r="A2565" s="1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</row>
    <row r="2566">
      <c r="A2566" s="1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</row>
    <row r="2567">
      <c r="A2567" s="1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</row>
    <row r="2568">
      <c r="A2568" s="1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</row>
    <row r="2569">
      <c r="A2569" s="1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</row>
    <row r="2570">
      <c r="A2570" s="1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</row>
    <row r="2571">
      <c r="A2571" s="1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</row>
    <row r="2572">
      <c r="A2572" s="1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</row>
    <row r="2573">
      <c r="A2573" s="1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</row>
    <row r="2574">
      <c r="A2574" s="1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</row>
    <row r="2575">
      <c r="A2575" s="1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</row>
    <row r="2576">
      <c r="A2576" s="1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</row>
    <row r="2577">
      <c r="A2577" s="1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</row>
    <row r="2578">
      <c r="A2578" s="1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</row>
    <row r="2579">
      <c r="A2579" s="1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</row>
    <row r="2580">
      <c r="A2580" s="1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</row>
    <row r="2581">
      <c r="A2581" s="1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</row>
    <row r="2582">
      <c r="A2582" s="1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</row>
    <row r="2583">
      <c r="A2583" s="1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</row>
    <row r="2584">
      <c r="A2584" s="1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</row>
    <row r="2585">
      <c r="A2585" s="1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</row>
    <row r="2586">
      <c r="A2586" s="1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</row>
    <row r="2587">
      <c r="A2587" s="1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</row>
    <row r="2588">
      <c r="A2588" s="1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</row>
    <row r="2589">
      <c r="A2589" s="1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</row>
    <row r="2590">
      <c r="A2590" s="1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</row>
    <row r="2591">
      <c r="A2591" s="1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</row>
    <row r="2592">
      <c r="A2592" s="1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</row>
    <row r="2593">
      <c r="A2593" s="1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</row>
    <row r="2594">
      <c r="A2594" s="1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</row>
    <row r="2595">
      <c r="A2595" s="1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</row>
    <row r="2596">
      <c r="A2596" s="1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</row>
    <row r="2597">
      <c r="A2597" s="1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</row>
    <row r="2598">
      <c r="A2598" s="1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</row>
    <row r="2599">
      <c r="A2599" s="1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</row>
    <row r="2600">
      <c r="A2600" s="1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</row>
    <row r="2601">
      <c r="A2601" s="1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</row>
    <row r="2602">
      <c r="A2602" s="1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</row>
    <row r="2603">
      <c r="A2603" s="1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</row>
    <row r="2604">
      <c r="A2604" s="1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</row>
    <row r="2605">
      <c r="A2605" s="1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</row>
    <row r="2606">
      <c r="A2606" s="1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</row>
    <row r="2607">
      <c r="A2607" s="1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</row>
    <row r="2608">
      <c r="A2608" s="1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</row>
    <row r="2609">
      <c r="A2609" s="1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</row>
    <row r="2610">
      <c r="A2610" s="1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</row>
    <row r="2611">
      <c r="A2611" s="1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</row>
    <row r="2612">
      <c r="A2612" s="1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</row>
    <row r="2613">
      <c r="A2613" s="1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</row>
    <row r="2614">
      <c r="A2614" s="1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</row>
    <row r="2615">
      <c r="A2615" s="1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</row>
    <row r="2616">
      <c r="A2616" s="1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</row>
    <row r="2617">
      <c r="A2617" s="1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</row>
    <row r="2618">
      <c r="A2618" s="1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</row>
    <row r="2619">
      <c r="A2619" s="1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</row>
    <row r="2620">
      <c r="A2620" s="1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</row>
    <row r="2621">
      <c r="A2621" s="1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</row>
    <row r="2622">
      <c r="A2622" s="1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</row>
    <row r="2623">
      <c r="A2623" s="1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</row>
    <row r="2624">
      <c r="A2624" s="1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</row>
    <row r="2625">
      <c r="A2625" s="1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</row>
    <row r="2626">
      <c r="A2626" s="1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</row>
    <row r="2627">
      <c r="A2627" s="1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</row>
    <row r="2628">
      <c r="A2628" s="1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</row>
    <row r="2629">
      <c r="A2629" s="1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</row>
    <row r="2630">
      <c r="A2630" s="1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</row>
    <row r="2631">
      <c r="A2631" s="1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</row>
    <row r="2632">
      <c r="A2632" s="1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</row>
    <row r="2633">
      <c r="A2633" s="1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</row>
    <row r="2634">
      <c r="A2634" s="1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</row>
    <row r="2635">
      <c r="A2635" s="1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</row>
    <row r="2636">
      <c r="A2636" s="1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</row>
    <row r="2637">
      <c r="A2637" s="1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</row>
    <row r="2638">
      <c r="A2638" s="1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</row>
    <row r="2639">
      <c r="A2639" s="1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</row>
    <row r="2640">
      <c r="A2640" s="1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</row>
    <row r="2641">
      <c r="A2641" s="1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</row>
    <row r="2642">
      <c r="A2642" s="1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</row>
    <row r="2643">
      <c r="A2643" s="1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</row>
    <row r="2644">
      <c r="A2644" s="1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</row>
    <row r="2645">
      <c r="A2645" s="1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</row>
    <row r="2646">
      <c r="A2646" s="1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</row>
    <row r="2647">
      <c r="A2647" s="1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</row>
    <row r="2648">
      <c r="A2648" s="1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</row>
    <row r="2649">
      <c r="A2649" s="1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</row>
    <row r="2650">
      <c r="A2650" s="1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</row>
    <row r="2651">
      <c r="A2651" s="1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</row>
    <row r="2652">
      <c r="A2652" s="1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</row>
    <row r="2653">
      <c r="A2653" s="1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</row>
    <row r="2654">
      <c r="A2654" s="1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</row>
    <row r="2655">
      <c r="A2655" s="1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</row>
    <row r="2656">
      <c r="A2656" s="1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</row>
    <row r="2657">
      <c r="A2657" s="1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</row>
    <row r="2658">
      <c r="A2658" s="1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</row>
    <row r="2659">
      <c r="A2659" s="1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</row>
    <row r="2660">
      <c r="A2660" s="1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</row>
    <row r="2661">
      <c r="A2661" s="1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</row>
    <row r="2662">
      <c r="A2662" s="1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</row>
    <row r="2663">
      <c r="A2663" s="1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</row>
    <row r="2664">
      <c r="A2664" s="1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</row>
    <row r="2665">
      <c r="A2665" s="1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</row>
    <row r="2666">
      <c r="A2666" s="1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</row>
    <row r="2667">
      <c r="A2667" s="1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</row>
    <row r="2668">
      <c r="A2668" s="1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</row>
    <row r="2669">
      <c r="A2669" s="1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</row>
    <row r="2670">
      <c r="A2670" s="1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</row>
    <row r="2671">
      <c r="A2671" s="1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</row>
    <row r="2672">
      <c r="A2672" s="1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</row>
    <row r="2673">
      <c r="A2673" s="1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</row>
    <row r="2674">
      <c r="A2674" s="1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</row>
    <row r="2675">
      <c r="A2675" s="1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</row>
    <row r="2676">
      <c r="A2676" s="1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</row>
    <row r="2677">
      <c r="A2677" s="1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</row>
    <row r="2678">
      <c r="A2678" s="1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</row>
    <row r="2679">
      <c r="A2679" s="1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</row>
    <row r="2680">
      <c r="A2680" s="1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</row>
    <row r="2681">
      <c r="A2681" s="1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</row>
    <row r="2682">
      <c r="A2682" s="1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</row>
    <row r="2683">
      <c r="A2683" s="1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</row>
    <row r="2684">
      <c r="A2684" s="1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</row>
    <row r="2685">
      <c r="A2685" s="1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</row>
    <row r="2686">
      <c r="A2686" s="1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</row>
    <row r="2687">
      <c r="A2687" s="1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</row>
    <row r="2688">
      <c r="A2688" s="1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</row>
    <row r="2689">
      <c r="A2689" s="1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</row>
    <row r="2690">
      <c r="A2690" s="1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</row>
    <row r="2691">
      <c r="A2691" s="1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</row>
    <row r="2692">
      <c r="A2692" s="1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</row>
    <row r="2693">
      <c r="A2693" s="1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</row>
    <row r="2694">
      <c r="A2694" s="1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</row>
    <row r="2695">
      <c r="A2695" s="1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</row>
    <row r="2696">
      <c r="A2696" s="1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</row>
    <row r="2697">
      <c r="A2697" s="1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</row>
    <row r="2698">
      <c r="A2698" s="1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</row>
    <row r="2699">
      <c r="A2699" s="1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</row>
    <row r="2700">
      <c r="A2700" s="1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</row>
    <row r="2701">
      <c r="A2701" s="1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</row>
    <row r="2702">
      <c r="A2702" s="1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</row>
    <row r="2703">
      <c r="A2703" s="1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</row>
    <row r="2704">
      <c r="A2704" s="1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</row>
    <row r="2705">
      <c r="A2705" s="1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</row>
    <row r="2706">
      <c r="A2706" s="1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</row>
    <row r="2707">
      <c r="A2707" s="1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</row>
    <row r="2708">
      <c r="A2708" s="1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</row>
    <row r="2709">
      <c r="A2709" s="1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</row>
    <row r="2710">
      <c r="A2710" s="1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</row>
    <row r="2711">
      <c r="A2711" s="1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</row>
    <row r="2712">
      <c r="A2712" s="1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</row>
    <row r="2713">
      <c r="A2713" s="1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</row>
    <row r="2714">
      <c r="A2714" s="1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</row>
    <row r="2715">
      <c r="A2715" s="1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</row>
    <row r="2716">
      <c r="A2716" s="1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</row>
    <row r="2717">
      <c r="A2717" s="1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</row>
    <row r="2718">
      <c r="A2718" s="1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</row>
    <row r="2719">
      <c r="A2719" s="1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</row>
    <row r="2720">
      <c r="A2720" s="1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</row>
    <row r="2721">
      <c r="A2721" s="1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</row>
    <row r="2722">
      <c r="A2722" s="1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</row>
    <row r="2723">
      <c r="A2723" s="1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</row>
    <row r="2724">
      <c r="A2724" s="1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</row>
    <row r="2725">
      <c r="A2725" s="1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</row>
    <row r="2726">
      <c r="A2726" s="1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</row>
    <row r="2727">
      <c r="A2727" s="1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</row>
    <row r="2728">
      <c r="A2728" s="1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</row>
    <row r="2729">
      <c r="A2729" s="1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</row>
    <row r="2730">
      <c r="A2730" s="1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</row>
    <row r="2731">
      <c r="A2731" s="1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</row>
    <row r="2732">
      <c r="A2732" s="1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</row>
    <row r="2733">
      <c r="A2733" s="1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</row>
    <row r="2734">
      <c r="A2734" s="1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</row>
    <row r="2735">
      <c r="A2735" s="1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</row>
    <row r="2736">
      <c r="A2736" s="1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</row>
    <row r="2737">
      <c r="A2737" s="1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</row>
    <row r="2738">
      <c r="A2738" s="1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</row>
    <row r="2739">
      <c r="A2739" s="1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</row>
    <row r="2740">
      <c r="A2740" s="1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</row>
    <row r="2741">
      <c r="A2741" s="1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</row>
    <row r="2742">
      <c r="A2742" s="1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</row>
    <row r="2743">
      <c r="A2743" s="1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</row>
    <row r="2744">
      <c r="A2744" s="1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</row>
    <row r="2745">
      <c r="A2745" s="1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</row>
    <row r="2746">
      <c r="A2746" s="1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</row>
    <row r="2747">
      <c r="A2747" s="1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</row>
    <row r="2748">
      <c r="A2748" s="1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</row>
    <row r="2749">
      <c r="A2749" s="1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</row>
    <row r="2750">
      <c r="A2750" s="1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</row>
    <row r="2751">
      <c r="A2751" s="1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</row>
    <row r="2752">
      <c r="A2752" s="1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</row>
    <row r="2753">
      <c r="A2753" s="1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</row>
    <row r="2754">
      <c r="A2754" s="1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</row>
    <row r="2755">
      <c r="A2755" s="1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</row>
    <row r="2756">
      <c r="A2756" s="1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</row>
    <row r="2757">
      <c r="A2757" s="1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</row>
    <row r="2758">
      <c r="A2758" s="1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</row>
    <row r="2759">
      <c r="A2759" s="1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</row>
    <row r="2760">
      <c r="A2760" s="1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</row>
    <row r="2761">
      <c r="A2761" s="1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</row>
    <row r="2762">
      <c r="A2762" s="1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</row>
    <row r="2763">
      <c r="A2763" s="1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</row>
    <row r="2764">
      <c r="A2764" s="1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</row>
    <row r="2765">
      <c r="A2765" s="1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</row>
    <row r="2766">
      <c r="A2766" s="1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</row>
    <row r="2767">
      <c r="A2767" s="1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</row>
    <row r="2768">
      <c r="A2768" s="1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</row>
    <row r="2769">
      <c r="A2769" s="1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</row>
    <row r="2770">
      <c r="A2770" s="1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</row>
    <row r="2771">
      <c r="A2771" s="1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</row>
    <row r="2772">
      <c r="A2772" s="1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</row>
    <row r="2773">
      <c r="A2773" s="1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</row>
    <row r="2774">
      <c r="A2774" s="1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</row>
    <row r="2775">
      <c r="A2775" s="1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</row>
    <row r="2776">
      <c r="A2776" s="1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</row>
    <row r="2777">
      <c r="A2777" s="1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</row>
    <row r="2778">
      <c r="A2778" s="1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</row>
    <row r="2779">
      <c r="A2779" s="1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</row>
    <row r="2780">
      <c r="A2780" s="1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</row>
    <row r="2781">
      <c r="A2781" s="1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</row>
    <row r="2782">
      <c r="A2782" s="1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</row>
    <row r="2783">
      <c r="A2783" s="1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</row>
    <row r="2784">
      <c r="A2784" s="1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</row>
    <row r="2785">
      <c r="A2785" s="1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</row>
    <row r="2786">
      <c r="A2786" s="1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</row>
    <row r="2787">
      <c r="A2787" s="1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</row>
    <row r="2788">
      <c r="A2788" s="1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</row>
    <row r="2789">
      <c r="A2789" s="1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</cols>
  <sheetData>
    <row r="1">
      <c r="A1" s="23" t="str">
        <f>IFERROR(__xludf.DUMMYFUNCTION("GOOGLEFINANCE(""NSE:INFY"",""all"",DATE(2005,1,1), TODAY(), ""DAILY"")"),"Date")</f>
        <v>Date</v>
      </c>
      <c r="B1" s="1" t="str">
        <f>IFERROR(__xludf.DUMMYFUNCTION("""COMPUTED_VALUE"""),"Open")</f>
        <v>Open</v>
      </c>
      <c r="C1" s="1" t="str">
        <f>IFERROR(__xludf.DUMMYFUNCTION("""COMPUTED_VALUE"""),"High")</f>
        <v>High</v>
      </c>
      <c r="D1" s="1" t="str">
        <f>IFERROR(__xludf.DUMMYFUNCTION("""COMPUTED_VALUE"""),"Low")</f>
        <v>Low</v>
      </c>
      <c r="E1" s="1" t="str">
        <f>IFERROR(__xludf.DUMMYFUNCTION("""COMPUTED_VALUE"""),"Close")</f>
        <v>Close</v>
      </c>
      <c r="F1" s="1" t="str">
        <f>IFERROR(__xludf.DUMMYFUNCTION("""COMPUTED_VALUE"""),"Volume")</f>
        <v>Volume</v>
      </c>
      <c r="H1" s="24" t="str">
        <f>IFERROR(__xludf.DUMMYFUNCTION("GOOGLEFINANCE(""NSE:TCS"",""all"",DATE(2005,1,1), TODAY(), ""DAILY"")"),"Date")</f>
        <v>Date</v>
      </c>
      <c r="I1" s="25" t="str">
        <f>IFERROR(__xludf.DUMMYFUNCTION("""COMPUTED_VALUE"""),"Open")</f>
        <v>Open</v>
      </c>
      <c r="J1" s="25" t="str">
        <f>IFERROR(__xludf.DUMMYFUNCTION("""COMPUTED_VALUE"""),"High")</f>
        <v>High</v>
      </c>
      <c r="K1" s="25" t="str">
        <f>IFERROR(__xludf.DUMMYFUNCTION("""COMPUTED_VALUE"""),"Low")</f>
        <v>Low</v>
      </c>
      <c r="L1" s="25" t="str">
        <f>IFERROR(__xludf.DUMMYFUNCTION("""COMPUTED_VALUE"""),"Close")</f>
        <v>Close</v>
      </c>
      <c r="M1" s="25" t="str">
        <f>IFERROR(__xludf.DUMMYFUNCTION("""COMPUTED_VALUE"""),"Volume")</f>
        <v>Volume</v>
      </c>
    </row>
    <row r="2">
      <c r="A2" s="26">
        <f>IFERROR(__xludf.DUMMYFUNCTION("""COMPUTED_VALUE"""),38355.645833333336)</f>
        <v>38355.64583</v>
      </c>
      <c r="B2" s="9">
        <f>IFERROR(__xludf.DUMMYFUNCTION("""COMPUTED_VALUE"""),132.44)</f>
        <v>132.44</v>
      </c>
      <c r="C2" s="9">
        <f>IFERROR(__xludf.DUMMYFUNCTION("""COMPUTED_VALUE"""),149.88)</f>
        <v>149.88</v>
      </c>
      <c r="D2" s="9">
        <f>IFERROR(__xludf.DUMMYFUNCTION("""COMPUTED_VALUE"""),130.97)</f>
        <v>130.97</v>
      </c>
      <c r="E2" s="9">
        <f>IFERROR(__xludf.DUMMYFUNCTION("""COMPUTED_VALUE"""),132.47)</f>
        <v>132.47</v>
      </c>
      <c r="F2" s="9">
        <f>IFERROR(__xludf.DUMMYFUNCTION("""COMPUTED_VALUE"""),569018.0)</f>
        <v>569018</v>
      </c>
      <c r="H2" s="27">
        <f>IFERROR(__xludf.DUMMYFUNCTION("""COMPUTED_VALUE"""),38355.645833333336)</f>
        <v>38355.64583</v>
      </c>
      <c r="I2" s="25">
        <f>IFERROR(__xludf.DUMMYFUNCTION("""COMPUTED_VALUE"""),166.93)</f>
        <v>166.93</v>
      </c>
      <c r="J2" s="25">
        <f>IFERROR(__xludf.DUMMYFUNCTION("""COMPUTED_VALUE"""),169.59)</f>
        <v>169.59</v>
      </c>
      <c r="K2" s="25">
        <f>IFERROR(__xludf.DUMMYFUNCTION("""COMPUTED_VALUE"""),166.93)</f>
        <v>166.93</v>
      </c>
      <c r="L2" s="25">
        <f>IFERROR(__xludf.DUMMYFUNCTION("""COMPUTED_VALUE"""),169.16)</f>
        <v>169.16</v>
      </c>
      <c r="M2" s="25">
        <f>IFERROR(__xludf.DUMMYFUNCTION("""COMPUTED_VALUE"""),591771.0)</f>
        <v>591771</v>
      </c>
    </row>
    <row r="3">
      <c r="A3" s="26">
        <f>IFERROR(__xludf.DUMMYFUNCTION("""COMPUTED_VALUE"""),38356.645833333336)</f>
        <v>38356.64583</v>
      </c>
      <c r="B3" s="9">
        <f>IFERROR(__xludf.DUMMYFUNCTION("""COMPUTED_VALUE"""),132.81)</f>
        <v>132.81</v>
      </c>
      <c r="C3" s="9">
        <f>IFERROR(__xludf.DUMMYFUNCTION("""COMPUTED_VALUE"""),132.81)</f>
        <v>132.81</v>
      </c>
      <c r="D3" s="9">
        <f>IFERROR(__xludf.DUMMYFUNCTION("""COMPUTED_VALUE"""),130.0)</f>
        <v>130</v>
      </c>
      <c r="E3" s="9">
        <f>IFERROR(__xludf.DUMMYFUNCTION("""COMPUTED_VALUE"""),130.63)</f>
        <v>130.63</v>
      </c>
      <c r="F3" s="9">
        <f>IFERROR(__xludf.DUMMYFUNCTION("""COMPUTED_VALUE"""),638804.0)</f>
        <v>638804</v>
      </c>
      <c r="H3" s="27">
        <f>IFERROR(__xludf.DUMMYFUNCTION("""COMPUTED_VALUE"""),38356.645833333336)</f>
        <v>38356.64583</v>
      </c>
      <c r="I3" s="25">
        <f>IFERROR(__xludf.DUMMYFUNCTION("""COMPUTED_VALUE"""),168.75)</f>
        <v>168.75</v>
      </c>
      <c r="J3" s="25">
        <f>IFERROR(__xludf.DUMMYFUNCTION("""COMPUTED_VALUE"""),169.25)</f>
        <v>169.25</v>
      </c>
      <c r="K3" s="25">
        <f>IFERROR(__xludf.DUMMYFUNCTION("""COMPUTED_VALUE"""),166.65)</f>
        <v>166.65</v>
      </c>
      <c r="L3" s="25">
        <f>IFERROR(__xludf.DUMMYFUNCTION("""COMPUTED_VALUE"""),167.66)</f>
        <v>167.66</v>
      </c>
      <c r="M3" s="25">
        <f>IFERROR(__xludf.DUMMYFUNCTION("""COMPUTED_VALUE"""),622388.0)</f>
        <v>622388</v>
      </c>
    </row>
    <row r="4">
      <c r="A4" s="26">
        <f>IFERROR(__xludf.DUMMYFUNCTION("""COMPUTED_VALUE"""),38357.645833333336)</f>
        <v>38357.64583</v>
      </c>
      <c r="B4" s="9">
        <f>IFERROR(__xludf.DUMMYFUNCTION("""COMPUTED_VALUE"""),129.06)</f>
        <v>129.06</v>
      </c>
      <c r="C4" s="9">
        <f>IFERROR(__xludf.DUMMYFUNCTION("""COMPUTED_VALUE"""),130.0)</f>
        <v>130</v>
      </c>
      <c r="D4" s="9">
        <f>IFERROR(__xludf.DUMMYFUNCTION("""COMPUTED_VALUE"""),125.07)</f>
        <v>125.07</v>
      </c>
      <c r="E4" s="9">
        <f>IFERROR(__xludf.DUMMYFUNCTION("""COMPUTED_VALUE"""),128.28)</f>
        <v>128.28</v>
      </c>
      <c r="F4" s="9">
        <f>IFERROR(__xludf.DUMMYFUNCTION("""COMPUTED_VALUE"""),1387367.0)</f>
        <v>1387367</v>
      </c>
      <c r="H4" s="27">
        <f>IFERROR(__xludf.DUMMYFUNCTION("""COMPUTED_VALUE"""),38357.645833333336)</f>
        <v>38357.64583</v>
      </c>
      <c r="I4" s="25">
        <f>IFERROR(__xludf.DUMMYFUNCTION("""COMPUTED_VALUE"""),167.53)</f>
        <v>167.53</v>
      </c>
      <c r="J4" s="25">
        <f>IFERROR(__xludf.DUMMYFUNCTION("""COMPUTED_VALUE"""),167.53)</f>
        <v>167.53</v>
      </c>
      <c r="K4" s="25">
        <f>IFERROR(__xludf.DUMMYFUNCTION("""COMPUTED_VALUE"""),160.04)</f>
        <v>160.04</v>
      </c>
      <c r="L4" s="25">
        <f>IFERROR(__xludf.DUMMYFUNCTION("""COMPUTED_VALUE"""),165.63)</f>
        <v>165.63</v>
      </c>
      <c r="M4" s="25">
        <f>IFERROR(__xludf.DUMMYFUNCTION("""COMPUTED_VALUE"""),1200540.0)</f>
        <v>1200540</v>
      </c>
    </row>
    <row r="5">
      <c r="A5" s="26">
        <f>IFERROR(__xludf.DUMMYFUNCTION("""COMPUTED_VALUE"""),38358.645833333336)</f>
        <v>38358.64583</v>
      </c>
      <c r="B5" s="9">
        <f>IFERROR(__xludf.DUMMYFUNCTION("""COMPUTED_VALUE"""),127.58)</f>
        <v>127.58</v>
      </c>
      <c r="C5" s="9">
        <f>IFERROR(__xludf.DUMMYFUNCTION("""COMPUTED_VALUE"""),130.87)</f>
        <v>130.87</v>
      </c>
      <c r="D5" s="9">
        <f>IFERROR(__xludf.DUMMYFUNCTION("""COMPUTED_VALUE"""),124.88)</f>
        <v>124.88</v>
      </c>
      <c r="E5" s="9">
        <f>IFERROR(__xludf.DUMMYFUNCTION("""COMPUTED_VALUE"""),127.73)</f>
        <v>127.73</v>
      </c>
      <c r="F5" s="9">
        <f>IFERROR(__xludf.DUMMYFUNCTION("""COMPUTED_VALUE"""),1689444.0)</f>
        <v>1689444</v>
      </c>
      <c r="H5" s="27">
        <f>IFERROR(__xludf.DUMMYFUNCTION("""COMPUTED_VALUE"""),38358.645833333336)</f>
        <v>38358.64583</v>
      </c>
      <c r="I5" s="25">
        <f>IFERROR(__xludf.DUMMYFUNCTION("""COMPUTED_VALUE"""),165.0)</f>
        <v>165</v>
      </c>
      <c r="J5" s="25">
        <f>IFERROR(__xludf.DUMMYFUNCTION("""COMPUTED_VALUE"""),168.25)</f>
        <v>168.25</v>
      </c>
      <c r="K5" s="25">
        <f>IFERROR(__xludf.DUMMYFUNCTION("""COMPUTED_VALUE"""),161.56)</f>
        <v>161.56</v>
      </c>
      <c r="L5" s="25">
        <f>IFERROR(__xludf.DUMMYFUNCTION("""COMPUTED_VALUE"""),165.06)</f>
        <v>165.06</v>
      </c>
      <c r="M5" s="25">
        <f>IFERROR(__xludf.DUMMYFUNCTION("""COMPUTED_VALUE"""),1000861.0)</f>
        <v>1000861</v>
      </c>
    </row>
    <row r="6">
      <c r="A6" s="26">
        <f>IFERROR(__xludf.DUMMYFUNCTION("""COMPUTED_VALUE"""),38359.645833333336)</f>
        <v>38359.64583</v>
      </c>
      <c r="B6" s="9">
        <f>IFERROR(__xludf.DUMMYFUNCTION("""COMPUTED_VALUE"""),127.19)</f>
        <v>127.19</v>
      </c>
      <c r="C6" s="9">
        <f>IFERROR(__xludf.DUMMYFUNCTION("""COMPUTED_VALUE"""),129.06)</f>
        <v>129.06</v>
      </c>
      <c r="D6" s="9">
        <f>IFERROR(__xludf.DUMMYFUNCTION("""COMPUTED_VALUE"""),124.69)</f>
        <v>124.69</v>
      </c>
      <c r="E6" s="9">
        <f>IFERROR(__xludf.DUMMYFUNCTION("""COMPUTED_VALUE"""),128.18)</f>
        <v>128.18</v>
      </c>
      <c r="F6" s="9">
        <f>IFERROR(__xludf.DUMMYFUNCTION("""COMPUTED_VALUE"""),2093755.0)</f>
        <v>2093755</v>
      </c>
      <c r="H6" s="27">
        <f>IFERROR(__xludf.DUMMYFUNCTION("""COMPUTED_VALUE"""),38359.645833333336)</f>
        <v>38359.64583</v>
      </c>
      <c r="I6" s="25">
        <f>IFERROR(__xludf.DUMMYFUNCTION("""COMPUTED_VALUE"""),166.25)</f>
        <v>166.25</v>
      </c>
      <c r="J6" s="25">
        <f>IFERROR(__xludf.DUMMYFUNCTION("""COMPUTED_VALUE"""),168.13)</f>
        <v>168.13</v>
      </c>
      <c r="K6" s="25">
        <f>IFERROR(__xludf.DUMMYFUNCTION("""COMPUTED_VALUE"""),164.08)</f>
        <v>164.08</v>
      </c>
      <c r="L6" s="25">
        <f>IFERROR(__xludf.DUMMYFUNCTION("""COMPUTED_VALUE"""),167.49)</f>
        <v>167.49</v>
      </c>
      <c r="M6" s="25">
        <f>IFERROR(__xludf.DUMMYFUNCTION("""COMPUTED_VALUE"""),952892.0)</f>
        <v>952892</v>
      </c>
    </row>
    <row r="7">
      <c r="A7" s="26">
        <f>IFERROR(__xludf.DUMMYFUNCTION("""COMPUTED_VALUE"""),38362.645833333336)</f>
        <v>38362.64583</v>
      </c>
      <c r="B7" s="9">
        <f>IFERROR(__xludf.DUMMYFUNCTION("""COMPUTED_VALUE"""),128.75)</f>
        <v>128.75</v>
      </c>
      <c r="C7" s="9">
        <f>IFERROR(__xludf.DUMMYFUNCTION("""COMPUTED_VALUE"""),131.25)</f>
        <v>131.25</v>
      </c>
      <c r="D7" s="9">
        <f>IFERROR(__xludf.DUMMYFUNCTION("""COMPUTED_VALUE"""),123.81)</f>
        <v>123.81</v>
      </c>
      <c r="E7" s="9">
        <f>IFERROR(__xludf.DUMMYFUNCTION("""COMPUTED_VALUE"""),124.68)</f>
        <v>124.68</v>
      </c>
      <c r="F7" s="9">
        <f>IFERROR(__xludf.DUMMYFUNCTION("""COMPUTED_VALUE"""),1540740.0)</f>
        <v>1540740</v>
      </c>
      <c r="H7" s="27">
        <f>IFERROR(__xludf.DUMMYFUNCTION("""COMPUTED_VALUE"""),38362.645833333336)</f>
        <v>38362.64583</v>
      </c>
      <c r="I7" s="25">
        <f>IFERROR(__xludf.DUMMYFUNCTION("""COMPUTED_VALUE"""),168.58)</f>
        <v>168.58</v>
      </c>
      <c r="J7" s="25">
        <f>IFERROR(__xludf.DUMMYFUNCTION("""COMPUTED_VALUE"""),169.93)</f>
        <v>169.93</v>
      </c>
      <c r="K7" s="25">
        <f>IFERROR(__xludf.DUMMYFUNCTION("""COMPUTED_VALUE"""),165.25)</f>
        <v>165.25</v>
      </c>
      <c r="L7" s="25">
        <f>IFERROR(__xludf.DUMMYFUNCTION("""COMPUTED_VALUE"""),165.93)</f>
        <v>165.93</v>
      </c>
      <c r="M7" s="25">
        <f>IFERROR(__xludf.DUMMYFUNCTION("""COMPUTED_VALUE"""),940196.0)</f>
        <v>940196</v>
      </c>
    </row>
    <row r="8">
      <c r="A8" s="26">
        <f>IFERROR(__xludf.DUMMYFUNCTION("""COMPUTED_VALUE"""),38363.645833333336)</f>
        <v>38363.64583</v>
      </c>
      <c r="B8" s="9">
        <f>IFERROR(__xludf.DUMMYFUNCTION("""COMPUTED_VALUE"""),124.38)</f>
        <v>124.38</v>
      </c>
      <c r="C8" s="9">
        <f>IFERROR(__xludf.DUMMYFUNCTION("""COMPUTED_VALUE"""),126.42)</f>
        <v>126.42</v>
      </c>
      <c r="D8" s="9">
        <f>IFERROR(__xludf.DUMMYFUNCTION("""COMPUTED_VALUE"""),121.94)</f>
        <v>121.94</v>
      </c>
      <c r="E8" s="9">
        <f>IFERROR(__xludf.DUMMYFUNCTION("""COMPUTED_VALUE"""),123.23)</f>
        <v>123.23</v>
      </c>
      <c r="F8" s="9">
        <f>IFERROR(__xludf.DUMMYFUNCTION("""COMPUTED_VALUE"""),2130200.0)</f>
        <v>2130200</v>
      </c>
      <c r="H8" s="27">
        <f>IFERROR(__xludf.DUMMYFUNCTION("""COMPUTED_VALUE"""),38363.645833333336)</f>
        <v>38363.64583</v>
      </c>
      <c r="I8" s="25">
        <f>IFERROR(__xludf.DUMMYFUNCTION("""COMPUTED_VALUE"""),166.25)</f>
        <v>166.25</v>
      </c>
      <c r="J8" s="25">
        <f>IFERROR(__xludf.DUMMYFUNCTION("""COMPUTED_VALUE"""),166.91)</f>
        <v>166.91</v>
      </c>
      <c r="K8" s="25">
        <f>IFERROR(__xludf.DUMMYFUNCTION("""COMPUTED_VALUE"""),162.63)</f>
        <v>162.63</v>
      </c>
      <c r="L8" s="25">
        <f>IFERROR(__xludf.DUMMYFUNCTION("""COMPUTED_VALUE"""),164.22)</f>
        <v>164.22</v>
      </c>
      <c r="M8" s="25">
        <f>IFERROR(__xludf.DUMMYFUNCTION("""COMPUTED_VALUE"""),998297.0)</f>
        <v>998297</v>
      </c>
    </row>
    <row r="9">
      <c r="A9" s="26">
        <f>IFERROR(__xludf.DUMMYFUNCTION("""COMPUTED_VALUE"""),38364.645833333336)</f>
        <v>38364.64583</v>
      </c>
      <c r="B9" s="9">
        <f>IFERROR(__xludf.DUMMYFUNCTION("""COMPUTED_VALUE"""),126.56)</f>
        <v>126.56</v>
      </c>
      <c r="C9" s="9">
        <f>IFERROR(__xludf.DUMMYFUNCTION("""COMPUTED_VALUE"""),126.56)</f>
        <v>126.56</v>
      </c>
      <c r="D9" s="9">
        <f>IFERROR(__xludf.DUMMYFUNCTION("""COMPUTED_VALUE"""),117.2)</f>
        <v>117.2</v>
      </c>
      <c r="E9" s="9">
        <f>IFERROR(__xludf.DUMMYFUNCTION("""COMPUTED_VALUE"""),119.14)</f>
        <v>119.14</v>
      </c>
      <c r="F9" s="9">
        <f>IFERROR(__xludf.DUMMYFUNCTION("""COMPUTED_VALUE"""),3944813.0)</f>
        <v>3944813</v>
      </c>
      <c r="H9" s="27">
        <f>IFERROR(__xludf.DUMMYFUNCTION("""COMPUTED_VALUE"""),38364.645833333336)</f>
        <v>38364.64583</v>
      </c>
      <c r="I9" s="25">
        <f>IFERROR(__xludf.DUMMYFUNCTION("""COMPUTED_VALUE"""),165.74)</f>
        <v>165.74</v>
      </c>
      <c r="J9" s="25">
        <f>IFERROR(__xludf.DUMMYFUNCTION("""COMPUTED_VALUE"""),170.99)</f>
        <v>170.99</v>
      </c>
      <c r="K9" s="25">
        <f>IFERROR(__xludf.DUMMYFUNCTION("""COMPUTED_VALUE"""),160.84)</f>
        <v>160.84</v>
      </c>
      <c r="L9" s="25">
        <f>IFERROR(__xludf.DUMMYFUNCTION("""COMPUTED_VALUE"""),162.26)</f>
        <v>162.26</v>
      </c>
      <c r="M9" s="25">
        <f>IFERROR(__xludf.DUMMYFUNCTION("""COMPUTED_VALUE"""),2590004.0)</f>
        <v>2590004</v>
      </c>
    </row>
    <row r="10">
      <c r="A10" s="26">
        <f>IFERROR(__xludf.DUMMYFUNCTION("""COMPUTED_VALUE"""),38365.645833333336)</f>
        <v>38365.64583</v>
      </c>
      <c r="B10" s="9">
        <f>IFERROR(__xludf.DUMMYFUNCTION("""COMPUTED_VALUE"""),128.13)</f>
        <v>128.13</v>
      </c>
      <c r="C10" s="9">
        <f>IFERROR(__xludf.DUMMYFUNCTION("""COMPUTED_VALUE"""),128.13)</f>
        <v>128.13</v>
      </c>
      <c r="D10" s="9">
        <f>IFERROR(__xludf.DUMMYFUNCTION("""COMPUTED_VALUE"""),120.63)</f>
        <v>120.63</v>
      </c>
      <c r="E10" s="9">
        <f>IFERROR(__xludf.DUMMYFUNCTION("""COMPUTED_VALUE"""),123.02)</f>
        <v>123.02</v>
      </c>
      <c r="F10" s="9">
        <f>IFERROR(__xludf.DUMMYFUNCTION("""COMPUTED_VALUE"""),2191279.0)</f>
        <v>2191279</v>
      </c>
      <c r="H10" s="27">
        <f>IFERROR(__xludf.DUMMYFUNCTION("""COMPUTED_VALUE"""),38365.645833333336)</f>
        <v>38365.64583</v>
      </c>
      <c r="I10" s="25">
        <f>IFERROR(__xludf.DUMMYFUNCTION("""COMPUTED_VALUE"""),163.75)</f>
        <v>163.75</v>
      </c>
      <c r="J10" s="25">
        <f>IFERROR(__xludf.DUMMYFUNCTION("""COMPUTED_VALUE"""),167.34)</f>
        <v>167.34</v>
      </c>
      <c r="K10" s="25">
        <f>IFERROR(__xludf.DUMMYFUNCTION("""COMPUTED_VALUE"""),159.38)</f>
        <v>159.38</v>
      </c>
      <c r="L10" s="25">
        <f>IFERROR(__xludf.DUMMYFUNCTION("""COMPUTED_VALUE"""),161.61)</f>
        <v>161.61</v>
      </c>
      <c r="M10" s="25">
        <f>IFERROR(__xludf.DUMMYFUNCTION("""COMPUTED_VALUE"""),3469744.0)</f>
        <v>3469744</v>
      </c>
    </row>
    <row r="11">
      <c r="A11" s="26">
        <f>IFERROR(__xludf.DUMMYFUNCTION("""COMPUTED_VALUE"""),38366.645833333336)</f>
        <v>38366.64583</v>
      </c>
      <c r="B11" s="9">
        <f>IFERROR(__xludf.DUMMYFUNCTION("""COMPUTED_VALUE"""),123.75)</f>
        <v>123.75</v>
      </c>
      <c r="C11" s="9">
        <f>IFERROR(__xludf.DUMMYFUNCTION("""COMPUTED_VALUE"""),125.52)</f>
        <v>125.52</v>
      </c>
      <c r="D11" s="9">
        <f>IFERROR(__xludf.DUMMYFUNCTION("""COMPUTED_VALUE"""),121.88)</f>
        <v>121.88</v>
      </c>
      <c r="E11" s="9">
        <f>IFERROR(__xludf.DUMMYFUNCTION("""COMPUTED_VALUE"""),123.38)</f>
        <v>123.38</v>
      </c>
      <c r="F11" s="9">
        <f>IFERROR(__xludf.DUMMYFUNCTION("""COMPUTED_VALUE"""),1240756.0)</f>
        <v>1240756</v>
      </c>
      <c r="H11" s="27">
        <f>IFERROR(__xludf.DUMMYFUNCTION("""COMPUTED_VALUE"""),38366.645833333336)</f>
        <v>38366.64583</v>
      </c>
      <c r="I11" s="25">
        <f>IFERROR(__xludf.DUMMYFUNCTION("""COMPUTED_VALUE"""),163.09)</f>
        <v>163.09</v>
      </c>
      <c r="J11" s="25">
        <f>IFERROR(__xludf.DUMMYFUNCTION("""COMPUTED_VALUE"""),164.74)</f>
        <v>164.74</v>
      </c>
      <c r="K11" s="25">
        <f>IFERROR(__xludf.DUMMYFUNCTION("""COMPUTED_VALUE"""),159.63)</f>
        <v>159.63</v>
      </c>
      <c r="L11" s="25">
        <f>IFERROR(__xludf.DUMMYFUNCTION("""COMPUTED_VALUE"""),162.05)</f>
        <v>162.05</v>
      </c>
      <c r="M11" s="25">
        <f>IFERROR(__xludf.DUMMYFUNCTION("""COMPUTED_VALUE"""),1969722.0)</f>
        <v>1969722</v>
      </c>
    </row>
    <row r="12">
      <c r="A12" s="26">
        <f>IFERROR(__xludf.DUMMYFUNCTION("""COMPUTED_VALUE"""),38369.645833333336)</f>
        <v>38369.64583</v>
      </c>
      <c r="B12" s="9">
        <f>IFERROR(__xludf.DUMMYFUNCTION("""COMPUTED_VALUE"""),123.88)</f>
        <v>123.88</v>
      </c>
      <c r="C12" s="9">
        <f>IFERROR(__xludf.DUMMYFUNCTION("""COMPUTED_VALUE"""),125.88)</f>
        <v>125.88</v>
      </c>
      <c r="D12" s="9">
        <f>IFERROR(__xludf.DUMMYFUNCTION("""COMPUTED_VALUE"""),120.95)</f>
        <v>120.95</v>
      </c>
      <c r="E12" s="9">
        <f>IFERROR(__xludf.DUMMYFUNCTION("""COMPUTED_VALUE"""),124.86)</f>
        <v>124.86</v>
      </c>
      <c r="F12" s="9">
        <f>IFERROR(__xludf.DUMMYFUNCTION("""COMPUTED_VALUE"""),1219275.0)</f>
        <v>1219275</v>
      </c>
      <c r="H12" s="27">
        <f>IFERROR(__xludf.DUMMYFUNCTION("""COMPUTED_VALUE"""),38369.645833333336)</f>
        <v>38369.64583</v>
      </c>
      <c r="I12" s="25">
        <f>IFERROR(__xludf.DUMMYFUNCTION("""COMPUTED_VALUE"""),163.7)</f>
        <v>163.7</v>
      </c>
      <c r="J12" s="25">
        <f>IFERROR(__xludf.DUMMYFUNCTION("""COMPUTED_VALUE"""),163.7)</f>
        <v>163.7</v>
      </c>
      <c r="K12" s="25">
        <f>IFERROR(__xludf.DUMMYFUNCTION("""COMPUTED_VALUE"""),155.03)</f>
        <v>155.03</v>
      </c>
      <c r="L12" s="25">
        <f>IFERROR(__xludf.DUMMYFUNCTION("""COMPUTED_VALUE"""),157.91)</f>
        <v>157.91</v>
      </c>
      <c r="M12" s="25">
        <f>IFERROR(__xludf.DUMMYFUNCTION("""COMPUTED_VALUE"""),1706398.0)</f>
        <v>1706398</v>
      </c>
    </row>
    <row r="13">
      <c r="A13" s="26">
        <f>IFERROR(__xludf.DUMMYFUNCTION("""COMPUTED_VALUE"""),38370.645833333336)</f>
        <v>38370.64583</v>
      </c>
      <c r="B13" s="9">
        <f>IFERROR(__xludf.DUMMYFUNCTION("""COMPUTED_VALUE"""),125.63)</f>
        <v>125.63</v>
      </c>
      <c r="C13" s="9">
        <f>IFERROR(__xludf.DUMMYFUNCTION("""COMPUTED_VALUE"""),126.25)</f>
        <v>126.25</v>
      </c>
      <c r="D13" s="9">
        <f>IFERROR(__xludf.DUMMYFUNCTION("""COMPUTED_VALUE"""),121.99)</f>
        <v>121.99</v>
      </c>
      <c r="E13" s="9">
        <f>IFERROR(__xludf.DUMMYFUNCTION("""COMPUTED_VALUE"""),122.84)</f>
        <v>122.84</v>
      </c>
      <c r="F13" s="9">
        <f>IFERROR(__xludf.DUMMYFUNCTION("""COMPUTED_VALUE"""),1177235.0)</f>
        <v>1177235</v>
      </c>
      <c r="H13" s="27">
        <f>IFERROR(__xludf.DUMMYFUNCTION("""COMPUTED_VALUE"""),38370.645833333336)</f>
        <v>38370.64583</v>
      </c>
      <c r="I13" s="25">
        <f>IFERROR(__xludf.DUMMYFUNCTION("""COMPUTED_VALUE"""),159.34)</f>
        <v>159.34</v>
      </c>
      <c r="J13" s="25">
        <f>IFERROR(__xludf.DUMMYFUNCTION("""COMPUTED_VALUE"""),160.5)</f>
        <v>160.5</v>
      </c>
      <c r="K13" s="25">
        <f>IFERROR(__xludf.DUMMYFUNCTION("""COMPUTED_VALUE"""),157.19)</f>
        <v>157.19</v>
      </c>
      <c r="L13" s="25">
        <f>IFERROR(__xludf.DUMMYFUNCTION("""COMPUTED_VALUE"""),157.98)</f>
        <v>157.98</v>
      </c>
      <c r="M13" s="25">
        <f>IFERROR(__xludf.DUMMYFUNCTION("""COMPUTED_VALUE"""),772908.0)</f>
        <v>772908</v>
      </c>
    </row>
    <row r="14">
      <c r="A14" s="26">
        <f>IFERROR(__xludf.DUMMYFUNCTION("""COMPUTED_VALUE"""),38371.645833333336)</f>
        <v>38371.64583</v>
      </c>
      <c r="B14" s="9">
        <f>IFERROR(__xludf.DUMMYFUNCTION("""COMPUTED_VALUE"""),122.2)</f>
        <v>122.2</v>
      </c>
      <c r="C14" s="9">
        <f>IFERROR(__xludf.DUMMYFUNCTION("""COMPUTED_VALUE"""),124.36)</f>
        <v>124.36</v>
      </c>
      <c r="D14" s="9">
        <f>IFERROR(__xludf.DUMMYFUNCTION("""COMPUTED_VALUE"""),121.96)</f>
        <v>121.96</v>
      </c>
      <c r="E14" s="9">
        <f>IFERROR(__xludf.DUMMYFUNCTION("""COMPUTED_VALUE"""),122.43)</f>
        <v>122.43</v>
      </c>
      <c r="F14" s="9">
        <f>IFERROR(__xludf.DUMMYFUNCTION("""COMPUTED_VALUE"""),752342.0)</f>
        <v>752342</v>
      </c>
      <c r="H14" s="27">
        <f>IFERROR(__xludf.DUMMYFUNCTION("""COMPUTED_VALUE"""),38371.645833333336)</f>
        <v>38371.64583</v>
      </c>
      <c r="I14" s="25">
        <f>IFERROR(__xludf.DUMMYFUNCTION("""COMPUTED_VALUE"""),158.25)</f>
        <v>158.25</v>
      </c>
      <c r="J14" s="25">
        <f>IFERROR(__xludf.DUMMYFUNCTION("""COMPUTED_VALUE"""),159.21)</f>
        <v>159.21</v>
      </c>
      <c r="K14" s="25">
        <f>IFERROR(__xludf.DUMMYFUNCTION("""COMPUTED_VALUE"""),156.39)</f>
        <v>156.39</v>
      </c>
      <c r="L14" s="25">
        <f>IFERROR(__xludf.DUMMYFUNCTION("""COMPUTED_VALUE"""),156.93)</f>
        <v>156.93</v>
      </c>
      <c r="M14" s="25">
        <f>IFERROR(__xludf.DUMMYFUNCTION("""COMPUTED_VALUE"""),442311.0)</f>
        <v>442311</v>
      </c>
    </row>
    <row r="15">
      <c r="A15" s="26">
        <f>IFERROR(__xludf.DUMMYFUNCTION("""COMPUTED_VALUE"""),38372.645833333336)</f>
        <v>38372.64583</v>
      </c>
      <c r="B15" s="9">
        <f>IFERROR(__xludf.DUMMYFUNCTION("""COMPUTED_VALUE"""),122.0)</f>
        <v>122</v>
      </c>
      <c r="C15" s="9">
        <f>IFERROR(__xludf.DUMMYFUNCTION("""COMPUTED_VALUE"""),123.63)</f>
        <v>123.63</v>
      </c>
      <c r="D15" s="9">
        <f>IFERROR(__xludf.DUMMYFUNCTION("""COMPUTED_VALUE"""),120.13)</f>
        <v>120.13</v>
      </c>
      <c r="E15" s="9">
        <f>IFERROR(__xludf.DUMMYFUNCTION("""COMPUTED_VALUE"""),122.8)</f>
        <v>122.8</v>
      </c>
      <c r="F15" s="9">
        <f>IFERROR(__xludf.DUMMYFUNCTION("""COMPUTED_VALUE"""),1158695.0)</f>
        <v>1158695</v>
      </c>
      <c r="H15" s="27">
        <f>IFERROR(__xludf.DUMMYFUNCTION("""COMPUTED_VALUE"""),38372.645833333336)</f>
        <v>38372.64583</v>
      </c>
      <c r="I15" s="25">
        <f>IFERROR(__xludf.DUMMYFUNCTION("""COMPUTED_VALUE"""),156.88)</f>
        <v>156.88</v>
      </c>
      <c r="J15" s="25">
        <f>IFERROR(__xludf.DUMMYFUNCTION("""COMPUTED_VALUE"""),156.88)</f>
        <v>156.88</v>
      </c>
      <c r="K15" s="25">
        <f>IFERROR(__xludf.DUMMYFUNCTION("""COMPUTED_VALUE"""),153.75)</f>
        <v>153.75</v>
      </c>
      <c r="L15" s="25">
        <f>IFERROR(__xludf.DUMMYFUNCTION("""COMPUTED_VALUE"""),155.46)</f>
        <v>155.46</v>
      </c>
      <c r="M15" s="25">
        <f>IFERROR(__xludf.DUMMYFUNCTION("""COMPUTED_VALUE"""),567025.0)</f>
        <v>567025</v>
      </c>
    </row>
    <row r="16">
      <c r="A16" s="26">
        <f>IFERROR(__xludf.DUMMYFUNCTION("""COMPUTED_VALUE"""),38376.645833333336)</f>
        <v>38376.64583</v>
      </c>
      <c r="B16" s="9">
        <f>IFERROR(__xludf.DUMMYFUNCTION("""COMPUTED_VALUE"""),122.5)</f>
        <v>122.5</v>
      </c>
      <c r="C16" s="9">
        <f>IFERROR(__xludf.DUMMYFUNCTION("""COMPUTED_VALUE"""),122.81)</f>
        <v>122.81</v>
      </c>
      <c r="D16" s="9">
        <f>IFERROR(__xludf.DUMMYFUNCTION("""COMPUTED_VALUE"""),118.29)</f>
        <v>118.29</v>
      </c>
      <c r="E16" s="9">
        <f>IFERROR(__xludf.DUMMYFUNCTION("""COMPUTED_VALUE"""),119.09)</f>
        <v>119.09</v>
      </c>
      <c r="F16" s="9">
        <f>IFERROR(__xludf.DUMMYFUNCTION("""COMPUTED_VALUE"""),1166426.0)</f>
        <v>1166426</v>
      </c>
      <c r="H16" s="27">
        <f>IFERROR(__xludf.DUMMYFUNCTION("""COMPUTED_VALUE"""),38376.645833333336)</f>
        <v>38376.64583</v>
      </c>
      <c r="I16" s="25">
        <f>IFERROR(__xludf.DUMMYFUNCTION("""COMPUTED_VALUE"""),155.46)</f>
        <v>155.46</v>
      </c>
      <c r="J16" s="25">
        <f>IFERROR(__xludf.DUMMYFUNCTION("""COMPUTED_VALUE"""),155.92)</f>
        <v>155.92</v>
      </c>
      <c r="K16" s="25">
        <f>IFERROR(__xludf.DUMMYFUNCTION("""COMPUTED_VALUE"""),151.92)</f>
        <v>151.92</v>
      </c>
      <c r="L16" s="25">
        <f>IFERROR(__xludf.DUMMYFUNCTION("""COMPUTED_VALUE"""),152.58)</f>
        <v>152.58</v>
      </c>
      <c r="M16" s="25">
        <f>IFERROR(__xludf.DUMMYFUNCTION("""COMPUTED_VALUE"""),453524.0)</f>
        <v>453524</v>
      </c>
    </row>
    <row r="17">
      <c r="A17" s="26">
        <f>IFERROR(__xludf.DUMMYFUNCTION("""COMPUTED_VALUE"""),38377.645833333336)</f>
        <v>38377.64583</v>
      </c>
      <c r="B17" s="9">
        <f>IFERROR(__xludf.DUMMYFUNCTION("""COMPUTED_VALUE"""),119.31)</f>
        <v>119.31</v>
      </c>
      <c r="C17" s="9">
        <f>IFERROR(__xludf.DUMMYFUNCTION("""COMPUTED_VALUE"""),120.13)</f>
        <v>120.13</v>
      </c>
      <c r="D17" s="9">
        <f>IFERROR(__xludf.DUMMYFUNCTION("""COMPUTED_VALUE"""),117.63)</f>
        <v>117.63</v>
      </c>
      <c r="E17" s="9">
        <f>IFERROR(__xludf.DUMMYFUNCTION("""COMPUTED_VALUE"""),119.55)</f>
        <v>119.55</v>
      </c>
      <c r="F17" s="9">
        <f>IFERROR(__xludf.DUMMYFUNCTION("""COMPUTED_VALUE"""),1012566.0)</f>
        <v>1012566</v>
      </c>
      <c r="H17" s="27">
        <f>IFERROR(__xludf.DUMMYFUNCTION("""COMPUTED_VALUE"""),38377.645833333336)</f>
        <v>38377.64583</v>
      </c>
      <c r="I17" s="25">
        <f>IFERROR(__xludf.DUMMYFUNCTION("""COMPUTED_VALUE"""),151.85)</f>
        <v>151.85</v>
      </c>
      <c r="J17" s="25">
        <f>IFERROR(__xludf.DUMMYFUNCTION("""COMPUTED_VALUE"""),154.99)</f>
        <v>154.99</v>
      </c>
      <c r="K17" s="25">
        <f>IFERROR(__xludf.DUMMYFUNCTION("""COMPUTED_VALUE"""),150.89)</f>
        <v>150.89</v>
      </c>
      <c r="L17" s="25">
        <f>IFERROR(__xludf.DUMMYFUNCTION("""COMPUTED_VALUE"""),154.43)</f>
        <v>154.43</v>
      </c>
      <c r="M17" s="25">
        <f>IFERROR(__xludf.DUMMYFUNCTION("""COMPUTED_VALUE"""),558241.0)</f>
        <v>558241</v>
      </c>
    </row>
    <row r="18">
      <c r="A18" s="26">
        <f>IFERROR(__xludf.DUMMYFUNCTION("""COMPUTED_VALUE"""),38379.645833333336)</f>
        <v>38379.64583</v>
      </c>
      <c r="B18" s="9">
        <f>IFERROR(__xludf.DUMMYFUNCTION("""COMPUTED_VALUE"""),120.63)</f>
        <v>120.63</v>
      </c>
      <c r="C18" s="9">
        <f>IFERROR(__xludf.DUMMYFUNCTION("""COMPUTED_VALUE"""),122.78)</f>
        <v>122.78</v>
      </c>
      <c r="D18" s="9">
        <f>IFERROR(__xludf.DUMMYFUNCTION("""COMPUTED_VALUE"""),120.35)</f>
        <v>120.35</v>
      </c>
      <c r="E18" s="9">
        <f>IFERROR(__xludf.DUMMYFUNCTION("""COMPUTED_VALUE"""),122.01)</f>
        <v>122.01</v>
      </c>
      <c r="F18" s="9">
        <f>IFERROR(__xludf.DUMMYFUNCTION("""COMPUTED_VALUE"""),1229261.0)</f>
        <v>1229261</v>
      </c>
      <c r="H18" s="27">
        <f>IFERROR(__xludf.DUMMYFUNCTION("""COMPUTED_VALUE"""),38379.645833333336)</f>
        <v>38379.64583</v>
      </c>
      <c r="I18" s="25">
        <f>IFERROR(__xludf.DUMMYFUNCTION("""COMPUTED_VALUE"""),155.41)</f>
        <v>155.41</v>
      </c>
      <c r="J18" s="25">
        <f>IFERROR(__xludf.DUMMYFUNCTION("""COMPUTED_VALUE"""),156.73)</f>
        <v>156.73</v>
      </c>
      <c r="K18" s="25">
        <f>IFERROR(__xludf.DUMMYFUNCTION("""COMPUTED_VALUE"""),154.41)</f>
        <v>154.41</v>
      </c>
      <c r="L18" s="25">
        <f>IFERROR(__xludf.DUMMYFUNCTION("""COMPUTED_VALUE"""),155.07)</f>
        <v>155.07</v>
      </c>
      <c r="M18" s="25">
        <f>IFERROR(__xludf.DUMMYFUNCTION("""COMPUTED_VALUE"""),681918.0)</f>
        <v>681918</v>
      </c>
    </row>
    <row r="19">
      <c r="A19" s="26">
        <f>IFERROR(__xludf.DUMMYFUNCTION("""COMPUTED_VALUE"""),38380.645833333336)</f>
        <v>38380.64583</v>
      </c>
      <c r="B19" s="9">
        <f>IFERROR(__xludf.DUMMYFUNCTION("""COMPUTED_VALUE"""),122.5)</f>
        <v>122.5</v>
      </c>
      <c r="C19" s="9">
        <f>IFERROR(__xludf.DUMMYFUNCTION("""COMPUTED_VALUE"""),127.99)</f>
        <v>127.99</v>
      </c>
      <c r="D19" s="9">
        <f>IFERROR(__xludf.DUMMYFUNCTION("""COMPUTED_VALUE"""),121.58)</f>
        <v>121.58</v>
      </c>
      <c r="E19" s="9">
        <f>IFERROR(__xludf.DUMMYFUNCTION("""COMPUTED_VALUE"""),127.35)</f>
        <v>127.35</v>
      </c>
      <c r="F19" s="9">
        <f>IFERROR(__xludf.DUMMYFUNCTION("""COMPUTED_VALUE"""),1124972.0)</f>
        <v>1124972</v>
      </c>
      <c r="H19" s="27">
        <f>IFERROR(__xludf.DUMMYFUNCTION("""COMPUTED_VALUE"""),38380.645833333336)</f>
        <v>38380.64583</v>
      </c>
      <c r="I19" s="25">
        <f>IFERROR(__xludf.DUMMYFUNCTION("""COMPUTED_VALUE"""),155.36)</f>
        <v>155.36</v>
      </c>
      <c r="J19" s="25">
        <f>IFERROR(__xludf.DUMMYFUNCTION("""COMPUTED_VALUE"""),161.85)</f>
        <v>161.85</v>
      </c>
      <c r="K19" s="25">
        <f>IFERROR(__xludf.DUMMYFUNCTION("""COMPUTED_VALUE"""),155.31)</f>
        <v>155.31</v>
      </c>
      <c r="L19" s="25">
        <f>IFERROR(__xludf.DUMMYFUNCTION("""COMPUTED_VALUE"""),161.15)</f>
        <v>161.15</v>
      </c>
      <c r="M19" s="25">
        <f>IFERROR(__xludf.DUMMYFUNCTION("""COMPUTED_VALUE"""),1049227.0)</f>
        <v>1049227</v>
      </c>
    </row>
    <row r="20">
      <c r="A20" s="26">
        <f>IFERROR(__xludf.DUMMYFUNCTION("""COMPUTED_VALUE"""),38383.645833333336)</f>
        <v>38383.64583</v>
      </c>
      <c r="B20" s="9">
        <f>IFERROR(__xludf.DUMMYFUNCTION("""COMPUTED_VALUE"""),128.81)</f>
        <v>128.81</v>
      </c>
      <c r="C20" s="9">
        <f>IFERROR(__xludf.DUMMYFUNCTION("""COMPUTED_VALUE"""),131.11)</f>
        <v>131.11</v>
      </c>
      <c r="D20" s="9">
        <f>IFERROR(__xludf.DUMMYFUNCTION("""COMPUTED_VALUE"""),127.0)</f>
        <v>127</v>
      </c>
      <c r="E20" s="9">
        <f>IFERROR(__xludf.DUMMYFUNCTION("""COMPUTED_VALUE"""),129.29)</f>
        <v>129.29</v>
      </c>
      <c r="F20" s="9">
        <f>IFERROR(__xludf.DUMMYFUNCTION("""COMPUTED_VALUE"""),1491545.0)</f>
        <v>1491545</v>
      </c>
      <c r="H20" s="27">
        <f>IFERROR(__xludf.DUMMYFUNCTION("""COMPUTED_VALUE"""),38383.645833333336)</f>
        <v>38383.64583</v>
      </c>
      <c r="I20" s="25">
        <f>IFERROR(__xludf.DUMMYFUNCTION("""COMPUTED_VALUE"""),162.25)</f>
        <v>162.25</v>
      </c>
      <c r="J20" s="25">
        <f>IFERROR(__xludf.DUMMYFUNCTION("""COMPUTED_VALUE"""),163.98)</f>
        <v>163.98</v>
      </c>
      <c r="K20" s="25">
        <f>IFERROR(__xludf.DUMMYFUNCTION("""COMPUTED_VALUE"""),161.28)</f>
        <v>161.28</v>
      </c>
      <c r="L20" s="25">
        <f>IFERROR(__xludf.DUMMYFUNCTION("""COMPUTED_VALUE"""),162.55)</f>
        <v>162.55</v>
      </c>
      <c r="M20" s="25">
        <f>IFERROR(__xludf.DUMMYFUNCTION("""COMPUTED_VALUE"""),731673.0)</f>
        <v>731673</v>
      </c>
    </row>
    <row r="21">
      <c r="A21" s="26">
        <f>IFERROR(__xludf.DUMMYFUNCTION("""COMPUTED_VALUE"""),38384.645833333336)</f>
        <v>38384.64583</v>
      </c>
      <c r="B21" s="9">
        <f>IFERROR(__xludf.DUMMYFUNCTION("""COMPUTED_VALUE"""),129.38)</f>
        <v>129.38</v>
      </c>
      <c r="C21" s="9">
        <f>IFERROR(__xludf.DUMMYFUNCTION("""COMPUTED_VALUE"""),130.88)</f>
        <v>130.88</v>
      </c>
      <c r="D21" s="9">
        <f>IFERROR(__xludf.DUMMYFUNCTION("""COMPUTED_VALUE"""),128.44)</f>
        <v>128.44</v>
      </c>
      <c r="E21" s="9">
        <f>IFERROR(__xludf.DUMMYFUNCTION("""COMPUTED_VALUE"""),128.86)</f>
        <v>128.86</v>
      </c>
      <c r="F21" s="9">
        <f>IFERROR(__xludf.DUMMYFUNCTION("""COMPUTED_VALUE"""),1385412.0)</f>
        <v>1385412</v>
      </c>
      <c r="H21" s="27">
        <f>IFERROR(__xludf.DUMMYFUNCTION("""COMPUTED_VALUE"""),38384.645833333336)</f>
        <v>38384.64583</v>
      </c>
      <c r="I21" s="25">
        <f>IFERROR(__xludf.DUMMYFUNCTION("""COMPUTED_VALUE"""),163.38)</f>
        <v>163.38</v>
      </c>
      <c r="J21" s="25">
        <f>IFERROR(__xludf.DUMMYFUNCTION("""COMPUTED_VALUE"""),165.0)</f>
        <v>165</v>
      </c>
      <c r="K21" s="25">
        <f>IFERROR(__xludf.DUMMYFUNCTION("""COMPUTED_VALUE"""),160.88)</f>
        <v>160.88</v>
      </c>
      <c r="L21" s="25">
        <f>IFERROR(__xludf.DUMMYFUNCTION("""COMPUTED_VALUE"""),164.41)</f>
        <v>164.41</v>
      </c>
      <c r="M21" s="25">
        <f>IFERROR(__xludf.DUMMYFUNCTION("""COMPUTED_VALUE"""),1002480.0)</f>
        <v>1002480</v>
      </c>
    </row>
    <row r="22">
      <c r="A22" s="26">
        <f>IFERROR(__xludf.DUMMYFUNCTION("""COMPUTED_VALUE"""),38385.645833333336)</f>
        <v>38385.64583</v>
      </c>
      <c r="B22" s="9">
        <f>IFERROR(__xludf.DUMMYFUNCTION("""COMPUTED_VALUE"""),129.56)</f>
        <v>129.56</v>
      </c>
      <c r="C22" s="9">
        <f>IFERROR(__xludf.DUMMYFUNCTION("""COMPUTED_VALUE"""),131.81)</f>
        <v>131.81</v>
      </c>
      <c r="D22" s="9">
        <f>IFERROR(__xludf.DUMMYFUNCTION("""COMPUTED_VALUE"""),129.0)</f>
        <v>129</v>
      </c>
      <c r="E22" s="9">
        <f>IFERROR(__xludf.DUMMYFUNCTION("""COMPUTED_VALUE"""),129.49)</f>
        <v>129.49</v>
      </c>
      <c r="F22" s="9">
        <f>IFERROR(__xludf.DUMMYFUNCTION("""COMPUTED_VALUE"""),808641.0)</f>
        <v>808641</v>
      </c>
      <c r="H22" s="27">
        <f>IFERROR(__xludf.DUMMYFUNCTION("""COMPUTED_VALUE"""),38385.645833333336)</f>
        <v>38385.64583</v>
      </c>
      <c r="I22" s="25">
        <f>IFERROR(__xludf.DUMMYFUNCTION("""COMPUTED_VALUE"""),164.88)</f>
        <v>164.88</v>
      </c>
      <c r="J22" s="25">
        <f>IFERROR(__xludf.DUMMYFUNCTION("""COMPUTED_VALUE"""),165.43)</f>
        <v>165.43</v>
      </c>
      <c r="K22" s="25">
        <f>IFERROR(__xludf.DUMMYFUNCTION("""COMPUTED_VALUE"""),162.88)</f>
        <v>162.88</v>
      </c>
      <c r="L22" s="25">
        <f>IFERROR(__xludf.DUMMYFUNCTION("""COMPUTED_VALUE"""),163.62)</f>
        <v>163.62</v>
      </c>
      <c r="M22" s="25">
        <f>IFERROR(__xludf.DUMMYFUNCTION("""COMPUTED_VALUE"""),608807.0)</f>
        <v>608807</v>
      </c>
    </row>
    <row r="23">
      <c r="A23" s="26">
        <f>IFERROR(__xludf.DUMMYFUNCTION("""COMPUTED_VALUE"""),38386.645833333336)</f>
        <v>38386.64583</v>
      </c>
      <c r="B23" s="9">
        <f>IFERROR(__xludf.DUMMYFUNCTION("""COMPUTED_VALUE"""),129.38)</f>
        <v>129.38</v>
      </c>
      <c r="C23" s="9">
        <f>IFERROR(__xludf.DUMMYFUNCTION("""COMPUTED_VALUE"""),131.88)</f>
        <v>131.88</v>
      </c>
      <c r="D23" s="9">
        <f>IFERROR(__xludf.DUMMYFUNCTION("""COMPUTED_VALUE"""),128.89)</f>
        <v>128.89</v>
      </c>
      <c r="E23" s="9">
        <f>IFERROR(__xludf.DUMMYFUNCTION("""COMPUTED_VALUE"""),131.33)</f>
        <v>131.33</v>
      </c>
      <c r="F23" s="9">
        <f>IFERROR(__xludf.DUMMYFUNCTION("""COMPUTED_VALUE"""),925842.0)</f>
        <v>925842</v>
      </c>
      <c r="H23" s="27">
        <f>IFERROR(__xludf.DUMMYFUNCTION("""COMPUTED_VALUE"""),38386.645833333336)</f>
        <v>38386.64583</v>
      </c>
      <c r="I23" s="25">
        <f>IFERROR(__xludf.DUMMYFUNCTION("""COMPUTED_VALUE"""),164.0)</f>
        <v>164</v>
      </c>
      <c r="J23" s="25">
        <f>IFERROR(__xludf.DUMMYFUNCTION("""COMPUTED_VALUE"""),164.35)</f>
        <v>164.35</v>
      </c>
      <c r="K23" s="25">
        <f>IFERROR(__xludf.DUMMYFUNCTION("""COMPUTED_VALUE"""),162.75)</f>
        <v>162.75</v>
      </c>
      <c r="L23" s="25">
        <f>IFERROR(__xludf.DUMMYFUNCTION("""COMPUTED_VALUE"""),163.89)</f>
        <v>163.89</v>
      </c>
      <c r="M23" s="25">
        <f>IFERROR(__xludf.DUMMYFUNCTION("""COMPUTED_VALUE"""),415952.0)</f>
        <v>415952</v>
      </c>
    </row>
    <row r="24">
      <c r="A24" s="26">
        <f>IFERROR(__xludf.DUMMYFUNCTION("""COMPUTED_VALUE"""),38387.645833333336)</f>
        <v>38387.64583</v>
      </c>
      <c r="B24" s="9">
        <f>IFERROR(__xludf.DUMMYFUNCTION("""COMPUTED_VALUE"""),132.19)</f>
        <v>132.19</v>
      </c>
      <c r="C24" s="9">
        <f>IFERROR(__xludf.DUMMYFUNCTION("""COMPUTED_VALUE"""),132.49)</f>
        <v>132.49</v>
      </c>
      <c r="D24" s="9">
        <f>IFERROR(__xludf.DUMMYFUNCTION("""COMPUTED_VALUE"""),129.84)</f>
        <v>129.84</v>
      </c>
      <c r="E24" s="9">
        <f>IFERROR(__xludf.DUMMYFUNCTION("""COMPUTED_VALUE"""),130.34)</f>
        <v>130.34</v>
      </c>
      <c r="F24" s="9">
        <f>IFERROR(__xludf.DUMMYFUNCTION("""COMPUTED_VALUE"""),598786.0)</f>
        <v>598786</v>
      </c>
      <c r="H24" s="27">
        <f>IFERROR(__xludf.DUMMYFUNCTION("""COMPUTED_VALUE"""),38387.645833333336)</f>
        <v>38387.64583</v>
      </c>
      <c r="I24" s="25">
        <f>IFERROR(__xludf.DUMMYFUNCTION("""COMPUTED_VALUE"""),163.75)</f>
        <v>163.75</v>
      </c>
      <c r="J24" s="25">
        <f>IFERROR(__xludf.DUMMYFUNCTION("""COMPUTED_VALUE"""),165.25)</f>
        <v>165.25</v>
      </c>
      <c r="K24" s="25">
        <f>IFERROR(__xludf.DUMMYFUNCTION("""COMPUTED_VALUE"""),162.57)</f>
        <v>162.57</v>
      </c>
      <c r="L24" s="25">
        <f>IFERROR(__xludf.DUMMYFUNCTION("""COMPUTED_VALUE"""),163.31)</f>
        <v>163.31</v>
      </c>
      <c r="M24" s="25">
        <f>IFERROR(__xludf.DUMMYFUNCTION("""COMPUTED_VALUE"""),335505.0)</f>
        <v>335505</v>
      </c>
    </row>
    <row r="25">
      <c r="A25" s="26">
        <f>IFERROR(__xludf.DUMMYFUNCTION("""COMPUTED_VALUE"""),38390.645833333336)</f>
        <v>38390.64583</v>
      </c>
      <c r="B25" s="9">
        <f>IFERROR(__xludf.DUMMYFUNCTION("""COMPUTED_VALUE"""),130.0)</f>
        <v>130</v>
      </c>
      <c r="C25" s="9">
        <f>IFERROR(__xludf.DUMMYFUNCTION("""COMPUTED_VALUE"""),131.56)</f>
        <v>131.56</v>
      </c>
      <c r="D25" s="9">
        <f>IFERROR(__xludf.DUMMYFUNCTION("""COMPUTED_VALUE"""),126.25)</f>
        <v>126.25</v>
      </c>
      <c r="E25" s="9">
        <f>IFERROR(__xludf.DUMMYFUNCTION("""COMPUTED_VALUE"""),126.87)</f>
        <v>126.87</v>
      </c>
      <c r="F25" s="9">
        <f>IFERROR(__xludf.DUMMYFUNCTION("""COMPUTED_VALUE"""),1943090.0)</f>
        <v>1943090</v>
      </c>
      <c r="H25" s="27">
        <f>IFERROR(__xludf.DUMMYFUNCTION("""COMPUTED_VALUE"""),38390.645833333336)</f>
        <v>38390.64583</v>
      </c>
      <c r="I25" s="25">
        <f>IFERROR(__xludf.DUMMYFUNCTION("""COMPUTED_VALUE"""),164.08)</f>
        <v>164.08</v>
      </c>
      <c r="J25" s="25">
        <f>IFERROR(__xludf.DUMMYFUNCTION("""COMPUTED_VALUE"""),166.34)</f>
        <v>166.34</v>
      </c>
      <c r="K25" s="25">
        <f>IFERROR(__xludf.DUMMYFUNCTION("""COMPUTED_VALUE"""),162.63)</f>
        <v>162.63</v>
      </c>
      <c r="L25" s="25">
        <f>IFERROR(__xludf.DUMMYFUNCTION("""COMPUTED_VALUE"""),164.22)</f>
        <v>164.22</v>
      </c>
      <c r="M25" s="25">
        <f>IFERROR(__xludf.DUMMYFUNCTION("""COMPUTED_VALUE"""),743027.0)</f>
        <v>743027</v>
      </c>
    </row>
    <row r="26">
      <c r="A26" s="26">
        <f>IFERROR(__xludf.DUMMYFUNCTION("""COMPUTED_VALUE"""),38391.645833333336)</f>
        <v>38391.64583</v>
      </c>
      <c r="B26" s="9">
        <f>IFERROR(__xludf.DUMMYFUNCTION("""COMPUTED_VALUE"""),128.75)</f>
        <v>128.75</v>
      </c>
      <c r="C26" s="9">
        <f>IFERROR(__xludf.DUMMYFUNCTION("""COMPUTED_VALUE"""),128.75)</f>
        <v>128.75</v>
      </c>
      <c r="D26" s="9">
        <f>IFERROR(__xludf.DUMMYFUNCTION("""COMPUTED_VALUE"""),126.56)</f>
        <v>126.56</v>
      </c>
      <c r="E26" s="9">
        <f>IFERROR(__xludf.DUMMYFUNCTION("""COMPUTED_VALUE"""),127.73)</f>
        <v>127.73</v>
      </c>
      <c r="F26" s="9">
        <f>IFERROR(__xludf.DUMMYFUNCTION("""COMPUTED_VALUE"""),1085279.0)</f>
        <v>1085279</v>
      </c>
      <c r="H26" s="27">
        <f>IFERROR(__xludf.DUMMYFUNCTION("""COMPUTED_VALUE"""),38391.645833333336)</f>
        <v>38391.64583</v>
      </c>
      <c r="I26" s="25">
        <f>IFERROR(__xludf.DUMMYFUNCTION("""COMPUTED_VALUE"""),164.22)</f>
        <v>164.22</v>
      </c>
      <c r="J26" s="25">
        <f>IFERROR(__xludf.DUMMYFUNCTION("""COMPUTED_VALUE"""),165.38)</f>
        <v>165.38</v>
      </c>
      <c r="K26" s="25">
        <f>IFERROR(__xludf.DUMMYFUNCTION("""COMPUTED_VALUE"""),163.5)</f>
        <v>163.5</v>
      </c>
      <c r="L26" s="25">
        <f>IFERROR(__xludf.DUMMYFUNCTION("""COMPUTED_VALUE"""),164.5)</f>
        <v>164.5</v>
      </c>
      <c r="M26" s="25">
        <f>IFERROR(__xludf.DUMMYFUNCTION("""COMPUTED_VALUE"""),410554.0)</f>
        <v>410554</v>
      </c>
    </row>
    <row r="27">
      <c r="A27" s="26">
        <f>IFERROR(__xludf.DUMMYFUNCTION("""COMPUTED_VALUE"""),38392.645833333336)</f>
        <v>38392.64583</v>
      </c>
      <c r="B27" s="9">
        <f>IFERROR(__xludf.DUMMYFUNCTION("""COMPUTED_VALUE"""),128.13)</f>
        <v>128.13</v>
      </c>
      <c r="C27" s="9">
        <f>IFERROR(__xludf.DUMMYFUNCTION("""COMPUTED_VALUE"""),129.03)</f>
        <v>129.03</v>
      </c>
      <c r="D27" s="9">
        <f>IFERROR(__xludf.DUMMYFUNCTION("""COMPUTED_VALUE"""),127.38)</f>
        <v>127.38</v>
      </c>
      <c r="E27" s="9">
        <f>IFERROR(__xludf.DUMMYFUNCTION("""COMPUTED_VALUE"""),127.81)</f>
        <v>127.81</v>
      </c>
      <c r="F27" s="9">
        <f>IFERROR(__xludf.DUMMYFUNCTION("""COMPUTED_VALUE"""),517138.0)</f>
        <v>517138</v>
      </c>
      <c r="H27" s="27">
        <f>IFERROR(__xludf.DUMMYFUNCTION("""COMPUTED_VALUE"""),38392.645833333336)</f>
        <v>38392.64583</v>
      </c>
      <c r="I27" s="25">
        <f>IFERROR(__xludf.DUMMYFUNCTION("""COMPUTED_VALUE"""),165.13)</f>
        <v>165.13</v>
      </c>
      <c r="J27" s="25">
        <f>IFERROR(__xludf.DUMMYFUNCTION("""COMPUTED_VALUE"""),167.95)</f>
        <v>167.95</v>
      </c>
      <c r="K27" s="25">
        <f>IFERROR(__xludf.DUMMYFUNCTION("""COMPUTED_VALUE"""),165.1)</f>
        <v>165.1</v>
      </c>
      <c r="L27" s="25">
        <f>IFERROR(__xludf.DUMMYFUNCTION("""COMPUTED_VALUE"""),166.6)</f>
        <v>166.6</v>
      </c>
      <c r="M27" s="25">
        <f>IFERROR(__xludf.DUMMYFUNCTION("""COMPUTED_VALUE"""),692242.0)</f>
        <v>692242</v>
      </c>
    </row>
    <row r="28">
      <c r="A28" s="26">
        <f>IFERROR(__xludf.DUMMYFUNCTION("""COMPUTED_VALUE"""),38393.645833333336)</f>
        <v>38393.64583</v>
      </c>
      <c r="B28" s="9">
        <f>IFERROR(__xludf.DUMMYFUNCTION("""COMPUTED_VALUE"""),128.44)</f>
        <v>128.44</v>
      </c>
      <c r="C28" s="9">
        <f>IFERROR(__xludf.DUMMYFUNCTION("""COMPUTED_VALUE"""),128.44)</f>
        <v>128.44</v>
      </c>
      <c r="D28" s="9">
        <f>IFERROR(__xludf.DUMMYFUNCTION("""COMPUTED_VALUE"""),126.6)</f>
        <v>126.6</v>
      </c>
      <c r="E28" s="9">
        <f>IFERROR(__xludf.DUMMYFUNCTION("""COMPUTED_VALUE"""),127.78)</f>
        <v>127.78</v>
      </c>
      <c r="F28" s="9">
        <f>IFERROR(__xludf.DUMMYFUNCTION("""COMPUTED_VALUE"""),464726.0)</f>
        <v>464726</v>
      </c>
      <c r="H28" s="27">
        <f>IFERROR(__xludf.DUMMYFUNCTION("""COMPUTED_VALUE"""),38393.645833333336)</f>
        <v>38393.64583</v>
      </c>
      <c r="I28" s="25">
        <f>IFERROR(__xludf.DUMMYFUNCTION("""COMPUTED_VALUE"""),166.25)</f>
        <v>166.25</v>
      </c>
      <c r="J28" s="25">
        <f>IFERROR(__xludf.DUMMYFUNCTION("""COMPUTED_VALUE"""),167.94)</f>
        <v>167.94</v>
      </c>
      <c r="K28" s="25">
        <f>IFERROR(__xludf.DUMMYFUNCTION("""COMPUTED_VALUE"""),165.38)</f>
        <v>165.38</v>
      </c>
      <c r="L28" s="25">
        <f>IFERROR(__xludf.DUMMYFUNCTION("""COMPUTED_VALUE"""),166.58)</f>
        <v>166.58</v>
      </c>
      <c r="M28" s="25">
        <f>IFERROR(__xludf.DUMMYFUNCTION("""COMPUTED_VALUE"""),547081.0)</f>
        <v>547081</v>
      </c>
    </row>
    <row r="29">
      <c r="A29" s="26">
        <f>IFERROR(__xludf.DUMMYFUNCTION("""COMPUTED_VALUE"""),38394.645833333336)</f>
        <v>38394.64583</v>
      </c>
      <c r="B29" s="9">
        <f>IFERROR(__xludf.DUMMYFUNCTION("""COMPUTED_VALUE"""),129.38)</f>
        <v>129.38</v>
      </c>
      <c r="C29" s="9">
        <f>IFERROR(__xludf.DUMMYFUNCTION("""COMPUTED_VALUE"""),131.73)</f>
        <v>131.73</v>
      </c>
      <c r="D29" s="9">
        <f>IFERROR(__xludf.DUMMYFUNCTION("""COMPUTED_VALUE"""),129.38)</f>
        <v>129.38</v>
      </c>
      <c r="E29" s="9">
        <f>IFERROR(__xludf.DUMMYFUNCTION("""COMPUTED_VALUE"""),131.48)</f>
        <v>131.48</v>
      </c>
      <c r="F29" s="9">
        <f>IFERROR(__xludf.DUMMYFUNCTION("""COMPUTED_VALUE"""),1157691.0)</f>
        <v>1157691</v>
      </c>
      <c r="H29" s="27">
        <f>IFERROR(__xludf.DUMMYFUNCTION("""COMPUTED_VALUE"""),38394.645833333336)</f>
        <v>38394.64583</v>
      </c>
      <c r="I29" s="25">
        <f>IFERROR(__xludf.DUMMYFUNCTION("""COMPUTED_VALUE"""),167.25)</f>
        <v>167.25</v>
      </c>
      <c r="J29" s="25">
        <f>IFERROR(__xludf.DUMMYFUNCTION("""COMPUTED_VALUE"""),173.38)</f>
        <v>173.38</v>
      </c>
      <c r="K29" s="25">
        <f>IFERROR(__xludf.DUMMYFUNCTION("""COMPUTED_VALUE"""),167.25)</f>
        <v>167.25</v>
      </c>
      <c r="L29" s="25">
        <f>IFERROR(__xludf.DUMMYFUNCTION("""COMPUTED_VALUE"""),172.72)</f>
        <v>172.72</v>
      </c>
      <c r="M29" s="25">
        <f>IFERROR(__xludf.DUMMYFUNCTION("""COMPUTED_VALUE"""),1295887.0)</f>
        <v>1295887</v>
      </c>
    </row>
    <row r="30">
      <c r="A30" s="26">
        <f>IFERROR(__xludf.DUMMYFUNCTION("""COMPUTED_VALUE"""),38397.645833333336)</f>
        <v>38397.64583</v>
      </c>
      <c r="B30" s="9">
        <f>IFERROR(__xludf.DUMMYFUNCTION("""COMPUTED_VALUE"""),132.5)</f>
        <v>132.5</v>
      </c>
      <c r="C30" s="9">
        <f>IFERROR(__xludf.DUMMYFUNCTION("""COMPUTED_VALUE"""),136.23)</f>
        <v>136.23</v>
      </c>
      <c r="D30" s="9">
        <f>IFERROR(__xludf.DUMMYFUNCTION("""COMPUTED_VALUE"""),132.5)</f>
        <v>132.5</v>
      </c>
      <c r="E30" s="9">
        <f>IFERROR(__xludf.DUMMYFUNCTION("""COMPUTED_VALUE"""),135.6)</f>
        <v>135.6</v>
      </c>
      <c r="F30" s="9">
        <f>IFERROR(__xludf.DUMMYFUNCTION("""COMPUTED_VALUE"""),1315304.0)</f>
        <v>1315304</v>
      </c>
      <c r="H30" s="27">
        <f>IFERROR(__xludf.DUMMYFUNCTION("""COMPUTED_VALUE"""),38397.645833333336)</f>
        <v>38397.64583</v>
      </c>
      <c r="I30" s="25">
        <f>IFERROR(__xludf.DUMMYFUNCTION("""COMPUTED_VALUE"""),173.88)</f>
        <v>173.88</v>
      </c>
      <c r="J30" s="25">
        <f>IFERROR(__xludf.DUMMYFUNCTION("""COMPUTED_VALUE"""),177.25)</f>
        <v>177.25</v>
      </c>
      <c r="K30" s="25">
        <f>IFERROR(__xludf.DUMMYFUNCTION("""COMPUTED_VALUE"""),173.88)</f>
        <v>173.88</v>
      </c>
      <c r="L30" s="25">
        <f>IFERROR(__xludf.DUMMYFUNCTION("""COMPUTED_VALUE"""),176.21)</f>
        <v>176.21</v>
      </c>
      <c r="M30" s="25">
        <f>IFERROR(__xludf.DUMMYFUNCTION("""COMPUTED_VALUE"""),1109408.0)</f>
        <v>1109408</v>
      </c>
    </row>
    <row r="31">
      <c r="A31" s="26">
        <f>IFERROR(__xludf.DUMMYFUNCTION("""COMPUTED_VALUE"""),38398.645833333336)</f>
        <v>38398.64583</v>
      </c>
      <c r="B31" s="9">
        <f>IFERROR(__xludf.DUMMYFUNCTION("""COMPUTED_VALUE"""),135.63)</f>
        <v>135.63</v>
      </c>
      <c r="C31" s="9">
        <f>IFERROR(__xludf.DUMMYFUNCTION("""COMPUTED_VALUE"""),136.75)</f>
        <v>136.75</v>
      </c>
      <c r="D31" s="9">
        <f>IFERROR(__xludf.DUMMYFUNCTION("""COMPUTED_VALUE"""),134.06)</f>
        <v>134.06</v>
      </c>
      <c r="E31" s="9">
        <f>IFERROR(__xludf.DUMMYFUNCTION("""COMPUTED_VALUE"""),136.37)</f>
        <v>136.37</v>
      </c>
      <c r="F31" s="9">
        <f>IFERROR(__xludf.DUMMYFUNCTION("""COMPUTED_VALUE"""),971239.0)</f>
        <v>971239</v>
      </c>
      <c r="H31" s="27">
        <f>IFERROR(__xludf.DUMMYFUNCTION("""COMPUTED_VALUE"""),38398.645833333336)</f>
        <v>38398.64583</v>
      </c>
      <c r="I31" s="25">
        <f>IFERROR(__xludf.DUMMYFUNCTION("""COMPUTED_VALUE"""),176.25)</f>
        <v>176.25</v>
      </c>
      <c r="J31" s="25">
        <f>IFERROR(__xludf.DUMMYFUNCTION("""COMPUTED_VALUE"""),176.88)</f>
        <v>176.88</v>
      </c>
      <c r="K31" s="25">
        <f>IFERROR(__xludf.DUMMYFUNCTION("""COMPUTED_VALUE"""),171.75)</f>
        <v>171.75</v>
      </c>
      <c r="L31" s="25">
        <f>IFERROR(__xludf.DUMMYFUNCTION("""COMPUTED_VALUE"""),172.67)</f>
        <v>172.67</v>
      </c>
      <c r="M31" s="25">
        <f>IFERROR(__xludf.DUMMYFUNCTION("""COMPUTED_VALUE"""),497090.0)</f>
        <v>497090</v>
      </c>
    </row>
    <row r="32">
      <c r="A32" s="26">
        <f>IFERROR(__xludf.DUMMYFUNCTION("""COMPUTED_VALUE"""),38399.645833333336)</f>
        <v>38399.64583</v>
      </c>
      <c r="B32" s="9">
        <f>IFERROR(__xludf.DUMMYFUNCTION("""COMPUTED_VALUE"""),136.5)</f>
        <v>136.5</v>
      </c>
      <c r="C32" s="9">
        <f>IFERROR(__xludf.DUMMYFUNCTION("""COMPUTED_VALUE"""),137.84)</f>
        <v>137.84</v>
      </c>
      <c r="D32" s="9">
        <f>IFERROR(__xludf.DUMMYFUNCTION("""COMPUTED_VALUE"""),135.63)</f>
        <v>135.63</v>
      </c>
      <c r="E32" s="9">
        <f>IFERROR(__xludf.DUMMYFUNCTION("""COMPUTED_VALUE"""),136.48)</f>
        <v>136.48</v>
      </c>
      <c r="F32" s="9">
        <f>IFERROR(__xludf.DUMMYFUNCTION("""COMPUTED_VALUE"""),1047327.0)</f>
        <v>1047327</v>
      </c>
      <c r="H32" s="27">
        <f>IFERROR(__xludf.DUMMYFUNCTION("""COMPUTED_VALUE"""),38399.645833333336)</f>
        <v>38399.64583</v>
      </c>
      <c r="I32" s="25">
        <f>IFERROR(__xludf.DUMMYFUNCTION("""COMPUTED_VALUE"""),174.88)</f>
        <v>174.88</v>
      </c>
      <c r="J32" s="25">
        <f>IFERROR(__xludf.DUMMYFUNCTION("""COMPUTED_VALUE"""),174.88)</f>
        <v>174.88</v>
      </c>
      <c r="K32" s="25">
        <f>IFERROR(__xludf.DUMMYFUNCTION("""COMPUTED_VALUE"""),170.13)</f>
        <v>170.13</v>
      </c>
      <c r="L32" s="25">
        <f>IFERROR(__xludf.DUMMYFUNCTION("""COMPUTED_VALUE"""),171.02)</f>
        <v>171.02</v>
      </c>
      <c r="M32" s="25">
        <f>IFERROR(__xludf.DUMMYFUNCTION("""COMPUTED_VALUE"""),390854.0)</f>
        <v>390854</v>
      </c>
    </row>
    <row r="33">
      <c r="A33" s="26">
        <f>IFERROR(__xludf.DUMMYFUNCTION("""COMPUTED_VALUE"""),38400.645833333336)</f>
        <v>38400.64583</v>
      </c>
      <c r="B33" s="9">
        <f>IFERROR(__xludf.DUMMYFUNCTION("""COMPUTED_VALUE"""),135.63)</f>
        <v>135.63</v>
      </c>
      <c r="C33" s="9">
        <f>IFERROR(__xludf.DUMMYFUNCTION("""COMPUTED_VALUE"""),136.24)</f>
        <v>136.24</v>
      </c>
      <c r="D33" s="9">
        <f>IFERROR(__xludf.DUMMYFUNCTION("""COMPUTED_VALUE"""),133.45)</f>
        <v>133.45</v>
      </c>
      <c r="E33" s="9">
        <f>IFERROR(__xludf.DUMMYFUNCTION("""COMPUTED_VALUE"""),135.87)</f>
        <v>135.87</v>
      </c>
      <c r="F33" s="9">
        <f>IFERROR(__xludf.DUMMYFUNCTION("""COMPUTED_VALUE"""),1095545.0)</f>
        <v>1095545</v>
      </c>
      <c r="H33" s="27">
        <f>IFERROR(__xludf.DUMMYFUNCTION("""COMPUTED_VALUE"""),38400.645833333336)</f>
        <v>38400.64583</v>
      </c>
      <c r="I33" s="25">
        <f>IFERROR(__xludf.DUMMYFUNCTION("""COMPUTED_VALUE"""),171.02)</f>
        <v>171.02</v>
      </c>
      <c r="J33" s="25">
        <f>IFERROR(__xludf.DUMMYFUNCTION("""COMPUTED_VALUE"""),173.25)</f>
        <v>173.25</v>
      </c>
      <c r="K33" s="25">
        <f>IFERROR(__xludf.DUMMYFUNCTION("""COMPUTED_VALUE"""),168.83)</f>
        <v>168.83</v>
      </c>
      <c r="L33" s="25">
        <f>IFERROR(__xludf.DUMMYFUNCTION("""COMPUTED_VALUE"""),172.73)</f>
        <v>172.73</v>
      </c>
      <c r="M33" s="25">
        <f>IFERROR(__xludf.DUMMYFUNCTION("""COMPUTED_VALUE"""),515622.0)</f>
        <v>515622</v>
      </c>
    </row>
    <row r="34">
      <c r="A34" s="26">
        <f>IFERROR(__xludf.DUMMYFUNCTION("""COMPUTED_VALUE"""),38401.645833333336)</f>
        <v>38401.64583</v>
      </c>
      <c r="B34" s="9">
        <f>IFERROR(__xludf.DUMMYFUNCTION("""COMPUTED_VALUE"""),135.63)</f>
        <v>135.63</v>
      </c>
      <c r="C34" s="9">
        <f>IFERROR(__xludf.DUMMYFUNCTION("""COMPUTED_VALUE"""),136.48)</f>
        <v>136.48</v>
      </c>
      <c r="D34" s="9">
        <f>IFERROR(__xludf.DUMMYFUNCTION("""COMPUTED_VALUE"""),131.31)</f>
        <v>131.31</v>
      </c>
      <c r="E34" s="9">
        <f>IFERROR(__xludf.DUMMYFUNCTION("""COMPUTED_VALUE"""),135.29)</f>
        <v>135.29</v>
      </c>
      <c r="F34" s="9">
        <f>IFERROR(__xludf.DUMMYFUNCTION("""COMPUTED_VALUE"""),404461.0)</f>
        <v>404461</v>
      </c>
      <c r="H34" s="27">
        <f>IFERROR(__xludf.DUMMYFUNCTION("""COMPUTED_VALUE"""),38401.645833333336)</f>
        <v>38401.64583</v>
      </c>
      <c r="I34" s="25">
        <f>IFERROR(__xludf.DUMMYFUNCTION("""COMPUTED_VALUE"""),172.5)</f>
        <v>172.5</v>
      </c>
      <c r="J34" s="25">
        <f>IFERROR(__xludf.DUMMYFUNCTION("""COMPUTED_VALUE"""),174.0)</f>
        <v>174</v>
      </c>
      <c r="K34" s="25">
        <f>IFERROR(__xludf.DUMMYFUNCTION("""COMPUTED_VALUE"""),169.38)</f>
        <v>169.38</v>
      </c>
      <c r="L34" s="25">
        <f>IFERROR(__xludf.DUMMYFUNCTION("""COMPUTED_VALUE"""),171.88)</f>
        <v>171.88</v>
      </c>
      <c r="M34" s="25">
        <f>IFERROR(__xludf.DUMMYFUNCTION("""COMPUTED_VALUE"""),318143.0)</f>
        <v>318143</v>
      </c>
    </row>
    <row r="35">
      <c r="A35" s="26">
        <f>IFERROR(__xludf.DUMMYFUNCTION("""COMPUTED_VALUE"""),38404.645833333336)</f>
        <v>38404.64583</v>
      </c>
      <c r="B35" s="9">
        <f>IFERROR(__xludf.DUMMYFUNCTION("""COMPUTED_VALUE"""),135.13)</f>
        <v>135.13</v>
      </c>
      <c r="C35" s="9">
        <f>IFERROR(__xludf.DUMMYFUNCTION("""COMPUTED_VALUE"""),135.31)</f>
        <v>135.31</v>
      </c>
      <c r="D35" s="9">
        <f>IFERROR(__xludf.DUMMYFUNCTION("""COMPUTED_VALUE"""),133.13)</f>
        <v>133.13</v>
      </c>
      <c r="E35" s="9">
        <f>IFERROR(__xludf.DUMMYFUNCTION("""COMPUTED_VALUE"""),133.99)</f>
        <v>133.99</v>
      </c>
      <c r="F35" s="9">
        <f>IFERROR(__xludf.DUMMYFUNCTION("""COMPUTED_VALUE"""),500467.0)</f>
        <v>500467</v>
      </c>
      <c r="H35" s="27">
        <f>IFERROR(__xludf.DUMMYFUNCTION("""COMPUTED_VALUE"""),38404.645833333336)</f>
        <v>38404.64583</v>
      </c>
      <c r="I35" s="25">
        <f>IFERROR(__xludf.DUMMYFUNCTION("""COMPUTED_VALUE"""),171.38)</f>
        <v>171.38</v>
      </c>
      <c r="J35" s="25">
        <f>IFERROR(__xludf.DUMMYFUNCTION("""COMPUTED_VALUE"""),171.98)</f>
        <v>171.98</v>
      </c>
      <c r="K35" s="25">
        <f>IFERROR(__xludf.DUMMYFUNCTION("""COMPUTED_VALUE"""),168.14)</f>
        <v>168.14</v>
      </c>
      <c r="L35" s="25">
        <f>IFERROR(__xludf.DUMMYFUNCTION("""COMPUTED_VALUE"""),170.7)</f>
        <v>170.7</v>
      </c>
      <c r="M35" s="25">
        <f>IFERROR(__xludf.DUMMYFUNCTION("""COMPUTED_VALUE"""),222144.0)</f>
        <v>222144</v>
      </c>
    </row>
    <row r="36">
      <c r="A36" s="26">
        <f>IFERROR(__xludf.DUMMYFUNCTION("""COMPUTED_VALUE"""),38405.645833333336)</f>
        <v>38405.64583</v>
      </c>
      <c r="B36" s="9">
        <f>IFERROR(__xludf.DUMMYFUNCTION("""COMPUTED_VALUE"""),134.31)</f>
        <v>134.31</v>
      </c>
      <c r="C36" s="9">
        <f>IFERROR(__xludf.DUMMYFUNCTION("""COMPUTED_VALUE"""),135.94)</f>
        <v>135.94</v>
      </c>
      <c r="D36" s="9">
        <f>IFERROR(__xludf.DUMMYFUNCTION("""COMPUTED_VALUE"""),131.48)</f>
        <v>131.48</v>
      </c>
      <c r="E36" s="9">
        <f>IFERROR(__xludf.DUMMYFUNCTION("""COMPUTED_VALUE"""),135.06)</f>
        <v>135.06</v>
      </c>
      <c r="F36" s="9">
        <f>IFERROR(__xludf.DUMMYFUNCTION("""COMPUTED_VALUE"""),514552.0)</f>
        <v>514552</v>
      </c>
      <c r="H36" s="27">
        <f>IFERROR(__xludf.DUMMYFUNCTION("""COMPUTED_VALUE"""),38405.645833333336)</f>
        <v>38405.64583</v>
      </c>
      <c r="I36" s="25">
        <f>IFERROR(__xludf.DUMMYFUNCTION("""COMPUTED_VALUE"""),170.59)</f>
        <v>170.59</v>
      </c>
      <c r="J36" s="25">
        <f>IFERROR(__xludf.DUMMYFUNCTION("""COMPUTED_VALUE"""),171.24)</f>
        <v>171.24</v>
      </c>
      <c r="K36" s="25">
        <f>IFERROR(__xludf.DUMMYFUNCTION("""COMPUTED_VALUE"""),168.88)</f>
        <v>168.88</v>
      </c>
      <c r="L36" s="25">
        <f>IFERROR(__xludf.DUMMYFUNCTION("""COMPUTED_VALUE"""),170.43)</f>
        <v>170.43</v>
      </c>
      <c r="M36" s="25">
        <f>IFERROR(__xludf.DUMMYFUNCTION("""COMPUTED_VALUE"""),267380.0)</f>
        <v>267380</v>
      </c>
    </row>
    <row r="37">
      <c r="A37" s="26">
        <f>IFERROR(__xludf.DUMMYFUNCTION("""COMPUTED_VALUE"""),38406.645833333336)</f>
        <v>38406.64583</v>
      </c>
      <c r="B37" s="9">
        <f>IFERROR(__xludf.DUMMYFUNCTION("""COMPUTED_VALUE"""),134.54)</f>
        <v>134.54</v>
      </c>
      <c r="C37" s="9">
        <f>IFERROR(__xludf.DUMMYFUNCTION("""COMPUTED_VALUE"""),134.69)</f>
        <v>134.69</v>
      </c>
      <c r="D37" s="9">
        <f>IFERROR(__xludf.DUMMYFUNCTION("""COMPUTED_VALUE"""),133.44)</f>
        <v>133.44</v>
      </c>
      <c r="E37" s="9">
        <f>IFERROR(__xludf.DUMMYFUNCTION("""COMPUTED_VALUE"""),133.79)</f>
        <v>133.79</v>
      </c>
      <c r="F37" s="9">
        <f>IFERROR(__xludf.DUMMYFUNCTION("""COMPUTED_VALUE"""),476471.0)</f>
        <v>476471</v>
      </c>
      <c r="H37" s="27">
        <f>IFERROR(__xludf.DUMMYFUNCTION("""COMPUTED_VALUE"""),38406.645833333336)</f>
        <v>38406.64583</v>
      </c>
      <c r="I37" s="25">
        <f>IFERROR(__xludf.DUMMYFUNCTION("""COMPUTED_VALUE"""),170.43)</f>
        <v>170.43</v>
      </c>
      <c r="J37" s="25">
        <f>IFERROR(__xludf.DUMMYFUNCTION("""COMPUTED_VALUE"""),172.76)</f>
        <v>172.76</v>
      </c>
      <c r="K37" s="25">
        <f>IFERROR(__xludf.DUMMYFUNCTION("""COMPUTED_VALUE"""),169.4)</f>
        <v>169.4</v>
      </c>
      <c r="L37" s="25">
        <f>IFERROR(__xludf.DUMMYFUNCTION("""COMPUTED_VALUE"""),171.87)</f>
        <v>171.87</v>
      </c>
      <c r="M37" s="25">
        <f>IFERROR(__xludf.DUMMYFUNCTION("""COMPUTED_VALUE"""),645852.0)</f>
        <v>645852</v>
      </c>
    </row>
    <row r="38">
      <c r="A38" s="26">
        <f>IFERROR(__xludf.DUMMYFUNCTION("""COMPUTED_VALUE"""),38407.645833333336)</f>
        <v>38407.64583</v>
      </c>
      <c r="B38" s="9">
        <f>IFERROR(__xludf.DUMMYFUNCTION("""COMPUTED_VALUE"""),134.06)</f>
        <v>134.06</v>
      </c>
      <c r="C38" s="9">
        <f>IFERROR(__xludf.DUMMYFUNCTION("""COMPUTED_VALUE"""),135.94)</f>
        <v>135.94</v>
      </c>
      <c r="D38" s="9">
        <f>IFERROR(__xludf.DUMMYFUNCTION("""COMPUTED_VALUE"""),133.75)</f>
        <v>133.75</v>
      </c>
      <c r="E38" s="9">
        <f>IFERROR(__xludf.DUMMYFUNCTION("""COMPUTED_VALUE"""),135.27)</f>
        <v>135.27</v>
      </c>
      <c r="F38" s="9">
        <f>IFERROR(__xludf.DUMMYFUNCTION("""COMPUTED_VALUE"""),841927.0)</f>
        <v>841927</v>
      </c>
      <c r="H38" s="27">
        <f>IFERROR(__xludf.DUMMYFUNCTION("""COMPUTED_VALUE"""),38407.645833333336)</f>
        <v>38407.64583</v>
      </c>
      <c r="I38" s="25">
        <f>IFERROR(__xludf.DUMMYFUNCTION("""COMPUTED_VALUE"""),171.87)</f>
        <v>171.87</v>
      </c>
      <c r="J38" s="25">
        <f>IFERROR(__xludf.DUMMYFUNCTION("""COMPUTED_VALUE"""),174.49)</f>
        <v>174.49</v>
      </c>
      <c r="K38" s="25">
        <f>IFERROR(__xludf.DUMMYFUNCTION("""COMPUTED_VALUE"""),170.15)</f>
        <v>170.15</v>
      </c>
      <c r="L38" s="25">
        <f>IFERROR(__xludf.DUMMYFUNCTION("""COMPUTED_VALUE"""),170.99)</f>
        <v>170.99</v>
      </c>
      <c r="M38" s="25">
        <f>IFERROR(__xludf.DUMMYFUNCTION("""COMPUTED_VALUE"""),1350805.0)</f>
        <v>1350805</v>
      </c>
    </row>
    <row r="39">
      <c r="A39" s="26">
        <f>IFERROR(__xludf.DUMMYFUNCTION("""COMPUTED_VALUE"""),38408.645833333336)</f>
        <v>38408.64583</v>
      </c>
      <c r="B39" s="9">
        <f>IFERROR(__xludf.DUMMYFUNCTION("""COMPUTED_VALUE"""),134.71)</f>
        <v>134.71</v>
      </c>
      <c r="C39" s="9">
        <f>IFERROR(__xludf.DUMMYFUNCTION("""COMPUTED_VALUE"""),136.63)</f>
        <v>136.63</v>
      </c>
      <c r="D39" s="9">
        <f>IFERROR(__xludf.DUMMYFUNCTION("""COMPUTED_VALUE"""),134.71)</f>
        <v>134.71</v>
      </c>
      <c r="E39" s="9">
        <f>IFERROR(__xludf.DUMMYFUNCTION("""COMPUTED_VALUE"""),136.22)</f>
        <v>136.22</v>
      </c>
      <c r="F39" s="9">
        <f>IFERROR(__xludf.DUMMYFUNCTION("""COMPUTED_VALUE"""),659015.0)</f>
        <v>659015</v>
      </c>
      <c r="H39" s="27">
        <f>IFERROR(__xludf.DUMMYFUNCTION("""COMPUTED_VALUE"""),38408.645833333336)</f>
        <v>38408.64583</v>
      </c>
      <c r="I39" s="25">
        <f>IFERROR(__xludf.DUMMYFUNCTION("""COMPUTED_VALUE"""),172.1)</f>
        <v>172.1</v>
      </c>
      <c r="J39" s="25">
        <f>IFERROR(__xludf.DUMMYFUNCTION("""COMPUTED_VALUE"""),172.38)</f>
        <v>172.38</v>
      </c>
      <c r="K39" s="25">
        <f>IFERROR(__xludf.DUMMYFUNCTION("""COMPUTED_VALUE"""),169.15)</f>
        <v>169.15</v>
      </c>
      <c r="L39" s="25">
        <f>IFERROR(__xludf.DUMMYFUNCTION("""COMPUTED_VALUE"""),170.51)</f>
        <v>170.51</v>
      </c>
      <c r="M39" s="25">
        <f>IFERROR(__xludf.DUMMYFUNCTION("""COMPUTED_VALUE"""),633862.0)</f>
        <v>633862</v>
      </c>
    </row>
    <row r="40">
      <c r="A40" s="26">
        <f>IFERROR(__xludf.DUMMYFUNCTION("""COMPUTED_VALUE"""),38411.645833333336)</f>
        <v>38411.64583</v>
      </c>
      <c r="B40" s="9">
        <f>IFERROR(__xludf.DUMMYFUNCTION("""COMPUTED_VALUE"""),138.06)</f>
        <v>138.06</v>
      </c>
      <c r="C40" s="9">
        <f>IFERROR(__xludf.DUMMYFUNCTION("""COMPUTED_VALUE"""),140.5)</f>
        <v>140.5</v>
      </c>
      <c r="D40" s="9">
        <f>IFERROR(__xludf.DUMMYFUNCTION("""COMPUTED_VALUE"""),134.57)</f>
        <v>134.57</v>
      </c>
      <c r="E40" s="9">
        <f>IFERROR(__xludf.DUMMYFUNCTION("""COMPUTED_VALUE"""),140.01)</f>
        <v>140.01</v>
      </c>
      <c r="F40" s="9">
        <f>IFERROR(__xludf.DUMMYFUNCTION("""COMPUTED_VALUE"""),1092410.0)</f>
        <v>1092410</v>
      </c>
      <c r="H40" s="27">
        <f>IFERROR(__xludf.DUMMYFUNCTION("""COMPUTED_VALUE"""),38411.645833333336)</f>
        <v>38411.64583</v>
      </c>
      <c r="I40" s="25">
        <f>IFERROR(__xludf.DUMMYFUNCTION("""COMPUTED_VALUE"""),172.38)</f>
        <v>172.38</v>
      </c>
      <c r="J40" s="25">
        <f>IFERROR(__xludf.DUMMYFUNCTION("""COMPUTED_VALUE"""),173.13)</f>
        <v>173.13</v>
      </c>
      <c r="K40" s="25">
        <f>IFERROR(__xludf.DUMMYFUNCTION("""COMPUTED_VALUE"""),167.5)</f>
        <v>167.5</v>
      </c>
      <c r="L40" s="25">
        <f>IFERROR(__xludf.DUMMYFUNCTION("""COMPUTED_VALUE"""),172.61)</f>
        <v>172.61</v>
      </c>
      <c r="M40" s="25">
        <f>IFERROR(__xludf.DUMMYFUNCTION("""COMPUTED_VALUE"""),800301.0)</f>
        <v>800301</v>
      </c>
    </row>
    <row r="41">
      <c r="A41" s="26">
        <f>IFERROR(__xludf.DUMMYFUNCTION("""COMPUTED_VALUE"""),38412.645833333336)</f>
        <v>38412.64583</v>
      </c>
      <c r="B41" s="9">
        <f>IFERROR(__xludf.DUMMYFUNCTION("""COMPUTED_VALUE"""),140.0)</f>
        <v>140</v>
      </c>
      <c r="C41" s="9">
        <f>IFERROR(__xludf.DUMMYFUNCTION("""COMPUTED_VALUE"""),140.0)</f>
        <v>140</v>
      </c>
      <c r="D41" s="9">
        <f>IFERROR(__xludf.DUMMYFUNCTION("""COMPUTED_VALUE"""),135.94)</f>
        <v>135.94</v>
      </c>
      <c r="E41" s="9">
        <f>IFERROR(__xludf.DUMMYFUNCTION("""COMPUTED_VALUE"""),136.33)</f>
        <v>136.33</v>
      </c>
      <c r="F41" s="9">
        <f>IFERROR(__xludf.DUMMYFUNCTION("""COMPUTED_VALUE"""),735018.0)</f>
        <v>735018</v>
      </c>
      <c r="H41" s="27">
        <f>IFERROR(__xludf.DUMMYFUNCTION("""COMPUTED_VALUE"""),38412.645833333336)</f>
        <v>38412.64583</v>
      </c>
      <c r="I41" s="25">
        <f>IFERROR(__xludf.DUMMYFUNCTION("""COMPUTED_VALUE"""),172.63)</f>
        <v>172.63</v>
      </c>
      <c r="J41" s="25">
        <f>IFERROR(__xludf.DUMMYFUNCTION("""COMPUTED_VALUE"""),180.0)</f>
        <v>180</v>
      </c>
      <c r="K41" s="25">
        <f>IFERROR(__xludf.DUMMYFUNCTION("""COMPUTED_VALUE"""),168.88)</f>
        <v>168.88</v>
      </c>
      <c r="L41" s="25">
        <f>IFERROR(__xludf.DUMMYFUNCTION("""COMPUTED_VALUE"""),169.68)</f>
        <v>169.68</v>
      </c>
      <c r="M41" s="25">
        <f>IFERROR(__xludf.DUMMYFUNCTION("""COMPUTED_VALUE"""),619769.0)</f>
        <v>619769</v>
      </c>
    </row>
    <row r="42">
      <c r="A42" s="26">
        <f>IFERROR(__xludf.DUMMYFUNCTION("""COMPUTED_VALUE"""),38413.645833333336)</f>
        <v>38413.64583</v>
      </c>
      <c r="B42" s="9">
        <f>IFERROR(__xludf.DUMMYFUNCTION("""COMPUTED_VALUE"""),136.38)</f>
        <v>136.38</v>
      </c>
      <c r="C42" s="9">
        <f>IFERROR(__xludf.DUMMYFUNCTION("""COMPUTED_VALUE"""),137.81)</f>
        <v>137.81</v>
      </c>
      <c r="D42" s="9">
        <f>IFERROR(__xludf.DUMMYFUNCTION("""COMPUTED_VALUE"""),134.38)</f>
        <v>134.38</v>
      </c>
      <c r="E42" s="9">
        <f>IFERROR(__xludf.DUMMYFUNCTION("""COMPUTED_VALUE"""),136.69)</f>
        <v>136.69</v>
      </c>
      <c r="F42" s="9">
        <f>IFERROR(__xludf.DUMMYFUNCTION("""COMPUTED_VALUE"""),942219.0)</f>
        <v>942219</v>
      </c>
      <c r="H42" s="27">
        <f>IFERROR(__xludf.DUMMYFUNCTION("""COMPUTED_VALUE"""),38413.645833333336)</f>
        <v>38413.64583</v>
      </c>
      <c r="I42" s="25">
        <f>IFERROR(__xludf.DUMMYFUNCTION("""COMPUTED_VALUE"""),171.88)</f>
        <v>171.88</v>
      </c>
      <c r="J42" s="25">
        <f>IFERROR(__xludf.DUMMYFUNCTION("""COMPUTED_VALUE"""),171.88)</f>
        <v>171.88</v>
      </c>
      <c r="K42" s="25">
        <f>IFERROR(__xludf.DUMMYFUNCTION("""COMPUTED_VALUE"""),170.2)</f>
        <v>170.2</v>
      </c>
      <c r="L42" s="25">
        <f>IFERROR(__xludf.DUMMYFUNCTION("""COMPUTED_VALUE"""),171.0)</f>
        <v>171</v>
      </c>
      <c r="M42" s="25">
        <f>IFERROR(__xludf.DUMMYFUNCTION("""COMPUTED_VALUE"""),332264.0)</f>
        <v>332264</v>
      </c>
    </row>
    <row r="43">
      <c r="A43" s="26">
        <f>IFERROR(__xludf.DUMMYFUNCTION("""COMPUTED_VALUE"""),38414.645833333336)</f>
        <v>38414.64583</v>
      </c>
      <c r="B43" s="9">
        <f>IFERROR(__xludf.DUMMYFUNCTION("""COMPUTED_VALUE"""),136.31)</f>
        <v>136.31</v>
      </c>
      <c r="C43" s="9">
        <f>IFERROR(__xludf.DUMMYFUNCTION("""COMPUTED_VALUE"""),139.19)</f>
        <v>139.19</v>
      </c>
      <c r="D43" s="9">
        <f>IFERROR(__xludf.DUMMYFUNCTION("""COMPUTED_VALUE"""),136.31)</f>
        <v>136.31</v>
      </c>
      <c r="E43" s="9">
        <f>IFERROR(__xludf.DUMMYFUNCTION("""COMPUTED_VALUE"""),138.4)</f>
        <v>138.4</v>
      </c>
      <c r="F43" s="9">
        <f>IFERROR(__xludf.DUMMYFUNCTION("""COMPUTED_VALUE"""),936420.0)</f>
        <v>936420</v>
      </c>
      <c r="H43" s="27">
        <f>IFERROR(__xludf.DUMMYFUNCTION("""COMPUTED_VALUE"""),38414.645833333336)</f>
        <v>38414.64583</v>
      </c>
      <c r="I43" s="25">
        <f>IFERROR(__xludf.DUMMYFUNCTION("""COMPUTED_VALUE"""),171.25)</f>
        <v>171.25</v>
      </c>
      <c r="J43" s="25">
        <f>IFERROR(__xludf.DUMMYFUNCTION("""COMPUTED_VALUE"""),174.38)</f>
        <v>174.38</v>
      </c>
      <c r="K43" s="25">
        <f>IFERROR(__xludf.DUMMYFUNCTION("""COMPUTED_VALUE"""),170.5)</f>
        <v>170.5</v>
      </c>
      <c r="L43" s="25">
        <f>IFERROR(__xludf.DUMMYFUNCTION("""COMPUTED_VALUE"""),173.7)</f>
        <v>173.7</v>
      </c>
      <c r="M43" s="25">
        <f>IFERROR(__xludf.DUMMYFUNCTION("""COMPUTED_VALUE"""),361395.0)</f>
        <v>361395</v>
      </c>
    </row>
    <row r="44">
      <c r="A44" s="26">
        <f>IFERROR(__xludf.DUMMYFUNCTION("""COMPUTED_VALUE"""),38415.645833333336)</f>
        <v>38415.64583</v>
      </c>
      <c r="B44" s="9">
        <f>IFERROR(__xludf.DUMMYFUNCTION("""COMPUTED_VALUE"""),138.45)</f>
        <v>138.45</v>
      </c>
      <c r="C44" s="9">
        <f>IFERROR(__xludf.DUMMYFUNCTION("""COMPUTED_VALUE"""),140.61)</f>
        <v>140.61</v>
      </c>
      <c r="D44" s="9">
        <f>IFERROR(__xludf.DUMMYFUNCTION("""COMPUTED_VALUE"""),138.44)</f>
        <v>138.44</v>
      </c>
      <c r="E44" s="9">
        <f>IFERROR(__xludf.DUMMYFUNCTION("""COMPUTED_VALUE"""),139.64)</f>
        <v>139.64</v>
      </c>
      <c r="F44" s="9">
        <f>IFERROR(__xludf.DUMMYFUNCTION("""COMPUTED_VALUE"""),781056.0)</f>
        <v>781056</v>
      </c>
      <c r="H44" s="27">
        <f>IFERROR(__xludf.DUMMYFUNCTION("""COMPUTED_VALUE"""),38415.645833333336)</f>
        <v>38415.64583</v>
      </c>
      <c r="I44" s="25">
        <f>IFERROR(__xludf.DUMMYFUNCTION("""COMPUTED_VALUE"""),174.25)</f>
        <v>174.25</v>
      </c>
      <c r="J44" s="25">
        <f>IFERROR(__xludf.DUMMYFUNCTION("""COMPUTED_VALUE"""),175.44)</f>
        <v>175.44</v>
      </c>
      <c r="K44" s="25">
        <f>IFERROR(__xludf.DUMMYFUNCTION("""COMPUTED_VALUE"""),172.75)</f>
        <v>172.75</v>
      </c>
      <c r="L44" s="25">
        <f>IFERROR(__xludf.DUMMYFUNCTION("""COMPUTED_VALUE"""),174.03)</f>
        <v>174.03</v>
      </c>
      <c r="M44" s="25">
        <f>IFERROR(__xludf.DUMMYFUNCTION("""COMPUTED_VALUE"""),502234.0)</f>
        <v>502234</v>
      </c>
    </row>
    <row r="45">
      <c r="A45" s="26">
        <f>IFERROR(__xludf.DUMMYFUNCTION("""COMPUTED_VALUE"""),38418.645833333336)</f>
        <v>38418.64583</v>
      </c>
      <c r="B45" s="9">
        <f>IFERROR(__xludf.DUMMYFUNCTION("""COMPUTED_VALUE"""),139.69)</f>
        <v>139.69</v>
      </c>
      <c r="C45" s="9">
        <f>IFERROR(__xludf.DUMMYFUNCTION("""COMPUTED_VALUE"""),141.38)</f>
        <v>141.38</v>
      </c>
      <c r="D45" s="9">
        <f>IFERROR(__xludf.DUMMYFUNCTION("""COMPUTED_VALUE"""),138.91)</f>
        <v>138.91</v>
      </c>
      <c r="E45" s="9">
        <f>IFERROR(__xludf.DUMMYFUNCTION("""COMPUTED_VALUE"""),140.76)</f>
        <v>140.76</v>
      </c>
      <c r="F45" s="9">
        <f>IFERROR(__xludf.DUMMYFUNCTION("""COMPUTED_VALUE"""),765755.0)</f>
        <v>765755</v>
      </c>
      <c r="H45" s="27">
        <f>IFERROR(__xludf.DUMMYFUNCTION("""COMPUTED_VALUE"""),38418.645833333336)</f>
        <v>38418.64583</v>
      </c>
      <c r="I45" s="25">
        <f>IFERROR(__xludf.DUMMYFUNCTION("""COMPUTED_VALUE"""),174.38)</f>
        <v>174.38</v>
      </c>
      <c r="J45" s="25">
        <f>IFERROR(__xludf.DUMMYFUNCTION("""COMPUTED_VALUE"""),176.0)</f>
        <v>176</v>
      </c>
      <c r="K45" s="25">
        <f>IFERROR(__xludf.DUMMYFUNCTION("""COMPUTED_VALUE"""),174.25)</f>
        <v>174.25</v>
      </c>
      <c r="L45" s="25">
        <f>IFERROR(__xludf.DUMMYFUNCTION("""COMPUTED_VALUE"""),175.03)</f>
        <v>175.03</v>
      </c>
      <c r="M45" s="25">
        <f>IFERROR(__xludf.DUMMYFUNCTION("""COMPUTED_VALUE"""),457254.0)</f>
        <v>457254</v>
      </c>
    </row>
    <row r="46">
      <c r="A46" s="26">
        <f>IFERROR(__xludf.DUMMYFUNCTION("""COMPUTED_VALUE"""),38419.645833333336)</f>
        <v>38419.64583</v>
      </c>
      <c r="B46" s="9">
        <f>IFERROR(__xludf.DUMMYFUNCTION("""COMPUTED_VALUE"""),140.63)</f>
        <v>140.63</v>
      </c>
      <c r="C46" s="9">
        <f>IFERROR(__xludf.DUMMYFUNCTION("""COMPUTED_VALUE"""),142.67)</f>
        <v>142.67</v>
      </c>
      <c r="D46" s="9">
        <f>IFERROR(__xludf.DUMMYFUNCTION("""COMPUTED_VALUE"""),140.0)</f>
        <v>140</v>
      </c>
      <c r="E46" s="9">
        <f>IFERROR(__xludf.DUMMYFUNCTION("""COMPUTED_VALUE"""),141.51)</f>
        <v>141.51</v>
      </c>
      <c r="F46" s="9">
        <f>IFERROR(__xludf.DUMMYFUNCTION("""COMPUTED_VALUE"""),672332.0)</f>
        <v>672332</v>
      </c>
      <c r="H46" s="27">
        <f>IFERROR(__xludf.DUMMYFUNCTION("""COMPUTED_VALUE"""),38419.645833333336)</f>
        <v>38419.64583</v>
      </c>
      <c r="I46" s="25">
        <f>IFERROR(__xludf.DUMMYFUNCTION("""COMPUTED_VALUE"""),175.5)</f>
        <v>175.5</v>
      </c>
      <c r="J46" s="25">
        <f>IFERROR(__xludf.DUMMYFUNCTION("""COMPUTED_VALUE"""),177.61)</f>
        <v>177.61</v>
      </c>
      <c r="K46" s="25">
        <f>IFERROR(__xludf.DUMMYFUNCTION("""COMPUTED_VALUE"""),174.42)</f>
        <v>174.42</v>
      </c>
      <c r="L46" s="25">
        <f>IFERROR(__xludf.DUMMYFUNCTION("""COMPUTED_VALUE"""),176.74)</f>
        <v>176.74</v>
      </c>
      <c r="M46" s="25">
        <f>IFERROR(__xludf.DUMMYFUNCTION("""COMPUTED_VALUE"""),628460.0)</f>
        <v>628460</v>
      </c>
    </row>
    <row r="47">
      <c r="A47" s="26">
        <f>IFERROR(__xludf.DUMMYFUNCTION("""COMPUTED_VALUE"""),38420.645833333336)</f>
        <v>38420.64583</v>
      </c>
      <c r="B47" s="9">
        <f>IFERROR(__xludf.DUMMYFUNCTION("""COMPUTED_VALUE"""),140.63)</f>
        <v>140.63</v>
      </c>
      <c r="C47" s="9">
        <f>IFERROR(__xludf.DUMMYFUNCTION("""COMPUTED_VALUE"""),142.05)</f>
        <v>142.05</v>
      </c>
      <c r="D47" s="9">
        <f>IFERROR(__xludf.DUMMYFUNCTION("""COMPUTED_VALUE"""),139.14)</f>
        <v>139.14</v>
      </c>
      <c r="E47" s="9">
        <f>IFERROR(__xludf.DUMMYFUNCTION("""COMPUTED_VALUE"""),140.74)</f>
        <v>140.74</v>
      </c>
      <c r="F47" s="9">
        <f>IFERROR(__xludf.DUMMYFUNCTION("""COMPUTED_VALUE"""),541886.0)</f>
        <v>541886</v>
      </c>
      <c r="H47" s="27">
        <f>IFERROR(__xludf.DUMMYFUNCTION("""COMPUTED_VALUE"""),38420.645833333336)</f>
        <v>38420.64583</v>
      </c>
      <c r="I47" s="25">
        <f>IFERROR(__xludf.DUMMYFUNCTION("""COMPUTED_VALUE"""),176.13)</f>
        <v>176.13</v>
      </c>
      <c r="J47" s="25">
        <f>IFERROR(__xludf.DUMMYFUNCTION("""COMPUTED_VALUE"""),178.31)</f>
        <v>178.31</v>
      </c>
      <c r="K47" s="25">
        <f>IFERROR(__xludf.DUMMYFUNCTION("""COMPUTED_VALUE"""),174.38)</f>
        <v>174.38</v>
      </c>
      <c r="L47" s="25">
        <f>IFERROR(__xludf.DUMMYFUNCTION("""COMPUTED_VALUE"""),175.94)</f>
        <v>175.94</v>
      </c>
      <c r="M47" s="25">
        <f>IFERROR(__xludf.DUMMYFUNCTION("""COMPUTED_VALUE"""),677761.0)</f>
        <v>677761</v>
      </c>
    </row>
    <row r="48">
      <c r="A48" s="26">
        <f>IFERROR(__xludf.DUMMYFUNCTION("""COMPUTED_VALUE"""),38421.645833333336)</f>
        <v>38421.64583</v>
      </c>
      <c r="B48" s="9">
        <f>IFERROR(__xludf.DUMMYFUNCTION("""COMPUTED_VALUE"""),140.63)</f>
        <v>140.63</v>
      </c>
      <c r="C48" s="9">
        <f>IFERROR(__xludf.DUMMYFUNCTION("""COMPUTED_VALUE"""),140.63)</f>
        <v>140.63</v>
      </c>
      <c r="D48" s="9">
        <f>IFERROR(__xludf.DUMMYFUNCTION("""COMPUTED_VALUE"""),137.19)</f>
        <v>137.19</v>
      </c>
      <c r="E48" s="9">
        <f>IFERROR(__xludf.DUMMYFUNCTION("""COMPUTED_VALUE"""),139.5)</f>
        <v>139.5</v>
      </c>
      <c r="F48" s="9">
        <f>IFERROR(__xludf.DUMMYFUNCTION("""COMPUTED_VALUE"""),829120.0)</f>
        <v>829120</v>
      </c>
      <c r="H48" s="27">
        <f>IFERROR(__xludf.DUMMYFUNCTION("""COMPUTED_VALUE"""),38421.645833333336)</f>
        <v>38421.64583</v>
      </c>
      <c r="I48" s="25">
        <f>IFERROR(__xludf.DUMMYFUNCTION("""COMPUTED_VALUE"""),176.25)</f>
        <v>176.25</v>
      </c>
      <c r="J48" s="25">
        <f>IFERROR(__xludf.DUMMYFUNCTION("""COMPUTED_VALUE"""),176.25)</f>
        <v>176.25</v>
      </c>
      <c r="K48" s="25">
        <f>IFERROR(__xludf.DUMMYFUNCTION("""COMPUTED_VALUE"""),173.78)</f>
        <v>173.78</v>
      </c>
      <c r="L48" s="25">
        <f>IFERROR(__xludf.DUMMYFUNCTION("""COMPUTED_VALUE"""),174.95)</f>
        <v>174.95</v>
      </c>
      <c r="M48" s="25">
        <f>IFERROR(__xludf.DUMMYFUNCTION("""COMPUTED_VALUE"""),287785.0)</f>
        <v>287785</v>
      </c>
    </row>
    <row r="49">
      <c r="A49" s="26">
        <f>IFERROR(__xludf.DUMMYFUNCTION("""COMPUTED_VALUE"""),38422.645833333336)</f>
        <v>38422.64583</v>
      </c>
      <c r="B49" s="9">
        <f>IFERROR(__xludf.DUMMYFUNCTION("""COMPUTED_VALUE"""),140.0)</f>
        <v>140</v>
      </c>
      <c r="C49" s="9">
        <f>IFERROR(__xludf.DUMMYFUNCTION("""COMPUTED_VALUE"""),140.63)</f>
        <v>140.63</v>
      </c>
      <c r="D49" s="9">
        <f>IFERROR(__xludf.DUMMYFUNCTION("""COMPUTED_VALUE"""),137.83)</f>
        <v>137.83</v>
      </c>
      <c r="E49" s="9">
        <f>IFERROR(__xludf.DUMMYFUNCTION("""COMPUTED_VALUE"""),138.42)</f>
        <v>138.42</v>
      </c>
      <c r="F49" s="9">
        <f>IFERROR(__xludf.DUMMYFUNCTION("""COMPUTED_VALUE"""),620165.0)</f>
        <v>620165</v>
      </c>
      <c r="H49" s="27">
        <f>IFERROR(__xludf.DUMMYFUNCTION("""COMPUTED_VALUE"""),38422.645833333336)</f>
        <v>38422.64583</v>
      </c>
      <c r="I49" s="25">
        <f>IFERROR(__xludf.DUMMYFUNCTION("""COMPUTED_VALUE"""),175.75)</f>
        <v>175.75</v>
      </c>
      <c r="J49" s="25">
        <f>IFERROR(__xludf.DUMMYFUNCTION("""COMPUTED_VALUE"""),179.36)</f>
        <v>179.36</v>
      </c>
      <c r="K49" s="25">
        <f>IFERROR(__xludf.DUMMYFUNCTION("""COMPUTED_VALUE"""),175.63)</f>
        <v>175.63</v>
      </c>
      <c r="L49" s="25">
        <f>IFERROR(__xludf.DUMMYFUNCTION("""COMPUTED_VALUE"""),178.43)</f>
        <v>178.43</v>
      </c>
      <c r="M49" s="25">
        <f>IFERROR(__xludf.DUMMYFUNCTION("""COMPUTED_VALUE"""),650718.0)</f>
        <v>650718</v>
      </c>
    </row>
    <row r="50">
      <c r="A50" s="26">
        <f>IFERROR(__xludf.DUMMYFUNCTION("""COMPUTED_VALUE"""),38425.645833333336)</f>
        <v>38425.64583</v>
      </c>
      <c r="B50" s="9">
        <f>IFERROR(__xludf.DUMMYFUNCTION("""COMPUTED_VALUE"""),138.13)</f>
        <v>138.13</v>
      </c>
      <c r="C50" s="9">
        <f>IFERROR(__xludf.DUMMYFUNCTION("""COMPUTED_VALUE"""),140.06)</f>
        <v>140.06</v>
      </c>
      <c r="D50" s="9">
        <f>IFERROR(__xludf.DUMMYFUNCTION("""COMPUTED_VALUE"""),136.88)</f>
        <v>136.88</v>
      </c>
      <c r="E50" s="9">
        <f>IFERROR(__xludf.DUMMYFUNCTION("""COMPUTED_VALUE"""),139.13)</f>
        <v>139.13</v>
      </c>
      <c r="F50" s="9">
        <f>IFERROR(__xludf.DUMMYFUNCTION("""COMPUTED_VALUE"""),657213.0)</f>
        <v>657213</v>
      </c>
      <c r="H50" s="27">
        <f>IFERROR(__xludf.DUMMYFUNCTION("""COMPUTED_VALUE"""),38425.645833333336)</f>
        <v>38425.64583</v>
      </c>
      <c r="I50" s="25">
        <f>IFERROR(__xludf.DUMMYFUNCTION("""COMPUTED_VALUE"""),178.5)</f>
        <v>178.5</v>
      </c>
      <c r="J50" s="25">
        <f>IFERROR(__xludf.DUMMYFUNCTION("""COMPUTED_VALUE"""),182.5)</f>
        <v>182.5</v>
      </c>
      <c r="K50" s="25">
        <f>IFERROR(__xludf.DUMMYFUNCTION("""COMPUTED_VALUE"""),177.5)</f>
        <v>177.5</v>
      </c>
      <c r="L50" s="25">
        <f>IFERROR(__xludf.DUMMYFUNCTION("""COMPUTED_VALUE"""),181.48)</f>
        <v>181.48</v>
      </c>
      <c r="M50" s="25">
        <f>IFERROR(__xludf.DUMMYFUNCTION("""COMPUTED_VALUE"""),816754.0)</f>
        <v>816754</v>
      </c>
    </row>
    <row r="51">
      <c r="A51" s="26">
        <f>IFERROR(__xludf.DUMMYFUNCTION("""COMPUTED_VALUE"""),38426.645833333336)</f>
        <v>38426.64583</v>
      </c>
      <c r="B51" s="9">
        <f>IFERROR(__xludf.DUMMYFUNCTION("""COMPUTED_VALUE"""),137.5)</f>
        <v>137.5</v>
      </c>
      <c r="C51" s="9">
        <f>IFERROR(__xludf.DUMMYFUNCTION("""COMPUTED_VALUE"""),139.36)</f>
        <v>139.36</v>
      </c>
      <c r="D51" s="9">
        <f>IFERROR(__xludf.DUMMYFUNCTION("""COMPUTED_VALUE"""),135.0)</f>
        <v>135</v>
      </c>
      <c r="E51" s="9">
        <f>IFERROR(__xludf.DUMMYFUNCTION("""COMPUTED_VALUE"""),138.18)</f>
        <v>138.18</v>
      </c>
      <c r="F51" s="9">
        <f>IFERROR(__xludf.DUMMYFUNCTION("""COMPUTED_VALUE"""),391768.0)</f>
        <v>391768</v>
      </c>
      <c r="H51" s="27">
        <f>IFERROR(__xludf.DUMMYFUNCTION("""COMPUTED_VALUE"""),38426.645833333336)</f>
        <v>38426.64583</v>
      </c>
      <c r="I51" s="25">
        <f>IFERROR(__xludf.DUMMYFUNCTION("""COMPUTED_VALUE"""),181.38)</f>
        <v>181.38</v>
      </c>
      <c r="J51" s="25">
        <f>IFERROR(__xludf.DUMMYFUNCTION("""COMPUTED_VALUE"""),182.75)</f>
        <v>182.75</v>
      </c>
      <c r="K51" s="25">
        <f>IFERROR(__xludf.DUMMYFUNCTION("""COMPUTED_VALUE"""),178.75)</f>
        <v>178.75</v>
      </c>
      <c r="L51" s="25">
        <f>IFERROR(__xludf.DUMMYFUNCTION("""COMPUTED_VALUE"""),180.33)</f>
        <v>180.33</v>
      </c>
      <c r="M51" s="25">
        <f>IFERROR(__xludf.DUMMYFUNCTION("""COMPUTED_VALUE"""),518310.0)</f>
        <v>518310</v>
      </c>
    </row>
    <row r="52">
      <c r="A52" s="26">
        <f>IFERROR(__xludf.DUMMYFUNCTION("""COMPUTED_VALUE"""),38427.645833333336)</f>
        <v>38427.64583</v>
      </c>
      <c r="B52" s="9">
        <f>IFERROR(__xludf.DUMMYFUNCTION("""COMPUTED_VALUE"""),137.25)</f>
        <v>137.25</v>
      </c>
      <c r="C52" s="9">
        <f>IFERROR(__xludf.DUMMYFUNCTION("""COMPUTED_VALUE"""),139.04)</f>
        <v>139.04</v>
      </c>
      <c r="D52" s="9">
        <f>IFERROR(__xludf.DUMMYFUNCTION("""COMPUTED_VALUE"""),136.63)</f>
        <v>136.63</v>
      </c>
      <c r="E52" s="9">
        <f>IFERROR(__xludf.DUMMYFUNCTION("""COMPUTED_VALUE"""),137.07)</f>
        <v>137.07</v>
      </c>
      <c r="F52" s="9">
        <f>IFERROR(__xludf.DUMMYFUNCTION("""COMPUTED_VALUE"""),668346.0)</f>
        <v>668346</v>
      </c>
      <c r="H52" s="27">
        <f>IFERROR(__xludf.DUMMYFUNCTION("""COMPUTED_VALUE"""),38427.645833333336)</f>
        <v>38427.64583</v>
      </c>
      <c r="I52" s="25">
        <f>IFERROR(__xludf.DUMMYFUNCTION("""COMPUTED_VALUE"""),180.0)</f>
        <v>180</v>
      </c>
      <c r="J52" s="25">
        <f>IFERROR(__xludf.DUMMYFUNCTION("""COMPUTED_VALUE"""),183.45)</f>
        <v>183.45</v>
      </c>
      <c r="K52" s="25">
        <f>IFERROR(__xludf.DUMMYFUNCTION("""COMPUTED_VALUE"""),180.0)</f>
        <v>180</v>
      </c>
      <c r="L52" s="25">
        <f>IFERROR(__xludf.DUMMYFUNCTION("""COMPUTED_VALUE"""),181.51)</f>
        <v>181.51</v>
      </c>
      <c r="M52" s="25">
        <f>IFERROR(__xludf.DUMMYFUNCTION("""COMPUTED_VALUE"""),684177.0)</f>
        <v>684177</v>
      </c>
    </row>
    <row r="53">
      <c r="A53" s="26">
        <f>IFERROR(__xludf.DUMMYFUNCTION("""COMPUTED_VALUE"""),38428.645833333336)</f>
        <v>38428.64583</v>
      </c>
      <c r="B53" s="9">
        <f>IFERROR(__xludf.DUMMYFUNCTION("""COMPUTED_VALUE"""),137.19)</f>
        <v>137.19</v>
      </c>
      <c r="C53" s="9">
        <f>IFERROR(__xludf.DUMMYFUNCTION("""COMPUTED_VALUE"""),137.75)</f>
        <v>137.75</v>
      </c>
      <c r="D53" s="9">
        <f>IFERROR(__xludf.DUMMYFUNCTION("""COMPUTED_VALUE"""),135.69)</f>
        <v>135.69</v>
      </c>
      <c r="E53" s="9">
        <f>IFERROR(__xludf.DUMMYFUNCTION("""COMPUTED_VALUE"""),136.32)</f>
        <v>136.32</v>
      </c>
      <c r="F53" s="9">
        <f>IFERROR(__xludf.DUMMYFUNCTION("""COMPUTED_VALUE"""),513507.0)</f>
        <v>513507</v>
      </c>
      <c r="H53" s="27">
        <f>IFERROR(__xludf.DUMMYFUNCTION("""COMPUTED_VALUE"""),38428.645833333336)</f>
        <v>38428.64583</v>
      </c>
      <c r="I53" s="25">
        <f>IFERROR(__xludf.DUMMYFUNCTION("""COMPUTED_VALUE"""),181.0)</f>
        <v>181</v>
      </c>
      <c r="J53" s="25">
        <f>IFERROR(__xludf.DUMMYFUNCTION("""COMPUTED_VALUE"""),184.21)</f>
        <v>184.21</v>
      </c>
      <c r="K53" s="25">
        <f>IFERROR(__xludf.DUMMYFUNCTION("""COMPUTED_VALUE"""),180.0)</f>
        <v>180</v>
      </c>
      <c r="L53" s="25">
        <f>IFERROR(__xludf.DUMMYFUNCTION("""COMPUTED_VALUE"""),182.62)</f>
        <v>182.62</v>
      </c>
      <c r="M53" s="25">
        <f>IFERROR(__xludf.DUMMYFUNCTION("""COMPUTED_VALUE"""),850666.0)</f>
        <v>850666</v>
      </c>
    </row>
    <row r="54">
      <c r="A54" s="26">
        <f>IFERROR(__xludf.DUMMYFUNCTION("""COMPUTED_VALUE"""),38429.645833333336)</f>
        <v>38429.64583</v>
      </c>
      <c r="B54" s="9">
        <f>IFERROR(__xludf.DUMMYFUNCTION("""COMPUTED_VALUE"""),136.54)</f>
        <v>136.54</v>
      </c>
      <c r="C54" s="9">
        <f>IFERROR(__xludf.DUMMYFUNCTION("""COMPUTED_VALUE"""),137.81)</f>
        <v>137.81</v>
      </c>
      <c r="D54" s="9">
        <f>IFERROR(__xludf.DUMMYFUNCTION("""COMPUTED_VALUE"""),134.06)</f>
        <v>134.06</v>
      </c>
      <c r="E54" s="9">
        <f>IFERROR(__xludf.DUMMYFUNCTION("""COMPUTED_VALUE"""),137.5)</f>
        <v>137.5</v>
      </c>
      <c r="F54" s="9">
        <f>IFERROR(__xludf.DUMMYFUNCTION("""COMPUTED_VALUE"""),966091.0)</f>
        <v>966091</v>
      </c>
      <c r="H54" s="27">
        <f>IFERROR(__xludf.DUMMYFUNCTION("""COMPUTED_VALUE"""),38429.645833333336)</f>
        <v>38429.64583</v>
      </c>
      <c r="I54" s="25">
        <f>IFERROR(__xludf.DUMMYFUNCTION("""COMPUTED_VALUE"""),182.38)</f>
        <v>182.38</v>
      </c>
      <c r="J54" s="25">
        <f>IFERROR(__xludf.DUMMYFUNCTION("""COMPUTED_VALUE"""),184.06)</f>
        <v>184.06</v>
      </c>
      <c r="K54" s="25">
        <f>IFERROR(__xludf.DUMMYFUNCTION("""COMPUTED_VALUE"""),178.13)</f>
        <v>178.13</v>
      </c>
      <c r="L54" s="25">
        <f>IFERROR(__xludf.DUMMYFUNCTION("""COMPUTED_VALUE"""),183.59)</f>
        <v>183.59</v>
      </c>
      <c r="M54" s="25">
        <f>IFERROR(__xludf.DUMMYFUNCTION("""COMPUTED_VALUE"""),765433.0)</f>
        <v>765433</v>
      </c>
    </row>
    <row r="55">
      <c r="A55" s="26">
        <f>IFERROR(__xludf.DUMMYFUNCTION("""COMPUTED_VALUE"""),38432.645833333336)</f>
        <v>38432.64583</v>
      </c>
      <c r="B55" s="9">
        <f>IFERROR(__xludf.DUMMYFUNCTION("""COMPUTED_VALUE"""),138.06)</f>
        <v>138.06</v>
      </c>
      <c r="C55" s="9">
        <f>IFERROR(__xludf.DUMMYFUNCTION("""COMPUTED_VALUE"""),140.55)</f>
        <v>140.55</v>
      </c>
      <c r="D55" s="9">
        <f>IFERROR(__xludf.DUMMYFUNCTION("""COMPUTED_VALUE"""),137.19)</f>
        <v>137.19</v>
      </c>
      <c r="E55" s="9">
        <f>IFERROR(__xludf.DUMMYFUNCTION("""COMPUTED_VALUE"""),139.78)</f>
        <v>139.78</v>
      </c>
      <c r="F55" s="9">
        <f>IFERROR(__xludf.DUMMYFUNCTION("""COMPUTED_VALUE"""),927593.0)</f>
        <v>927593</v>
      </c>
      <c r="H55" s="27">
        <f>IFERROR(__xludf.DUMMYFUNCTION("""COMPUTED_VALUE"""),38432.645833333336)</f>
        <v>38432.64583</v>
      </c>
      <c r="I55" s="25">
        <f>IFERROR(__xludf.DUMMYFUNCTION("""COMPUTED_VALUE"""),183.77)</f>
        <v>183.77</v>
      </c>
      <c r="J55" s="25">
        <f>IFERROR(__xludf.DUMMYFUNCTION("""COMPUTED_VALUE"""),184.38)</f>
        <v>184.38</v>
      </c>
      <c r="K55" s="25">
        <f>IFERROR(__xludf.DUMMYFUNCTION("""COMPUTED_VALUE"""),180.58)</f>
        <v>180.58</v>
      </c>
      <c r="L55" s="25">
        <f>IFERROR(__xludf.DUMMYFUNCTION("""COMPUTED_VALUE"""),182.06)</f>
        <v>182.06</v>
      </c>
      <c r="M55" s="25">
        <f>IFERROR(__xludf.DUMMYFUNCTION("""COMPUTED_VALUE"""),544265.0)</f>
        <v>544265</v>
      </c>
    </row>
    <row r="56">
      <c r="A56" s="26">
        <f>IFERROR(__xludf.DUMMYFUNCTION("""COMPUTED_VALUE"""),38433.645833333336)</f>
        <v>38433.64583</v>
      </c>
      <c r="B56" s="9">
        <f>IFERROR(__xludf.DUMMYFUNCTION("""COMPUTED_VALUE"""),141.19)</f>
        <v>141.19</v>
      </c>
      <c r="C56" s="9">
        <f>IFERROR(__xludf.DUMMYFUNCTION("""COMPUTED_VALUE"""),141.25)</f>
        <v>141.25</v>
      </c>
      <c r="D56" s="9">
        <f>IFERROR(__xludf.DUMMYFUNCTION("""COMPUTED_VALUE"""),137.5)</f>
        <v>137.5</v>
      </c>
      <c r="E56" s="9">
        <f>IFERROR(__xludf.DUMMYFUNCTION("""COMPUTED_VALUE"""),138.98)</f>
        <v>138.98</v>
      </c>
      <c r="F56" s="9">
        <f>IFERROR(__xludf.DUMMYFUNCTION("""COMPUTED_VALUE"""),836551.0)</f>
        <v>836551</v>
      </c>
      <c r="H56" s="27">
        <f>IFERROR(__xludf.DUMMYFUNCTION("""COMPUTED_VALUE"""),38433.645833333336)</f>
        <v>38433.64583</v>
      </c>
      <c r="I56" s="25">
        <f>IFERROR(__xludf.DUMMYFUNCTION("""COMPUTED_VALUE"""),181.85)</f>
        <v>181.85</v>
      </c>
      <c r="J56" s="25">
        <f>IFERROR(__xludf.DUMMYFUNCTION("""COMPUTED_VALUE"""),182.14)</f>
        <v>182.14</v>
      </c>
      <c r="K56" s="25">
        <f>IFERROR(__xludf.DUMMYFUNCTION("""COMPUTED_VALUE"""),180.01)</f>
        <v>180.01</v>
      </c>
      <c r="L56" s="25">
        <f>IFERROR(__xludf.DUMMYFUNCTION("""COMPUTED_VALUE"""),180.45)</f>
        <v>180.45</v>
      </c>
      <c r="M56" s="25">
        <f>IFERROR(__xludf.DUMMYFUNCTION("""COMPUTED_VALUE"""),335554.0)</f>
        <v>335554</v>
      </c>
    </row>
    <row r="57">
      <c r="A57" s="26">
        <f>IFERROR(__xludf.DUMMYFUNCTION("""COMPUTED_VALUE"""),38434.645833333336)</f>
        <v>38434.64583</v>
      </c>
      <c r="B57" s="9">
        <f>IFERROR(__xludf.DUMMYFUNCTION("""COMPUTED_VALUE"""),138.59)</f>
        <v>138.59</v>
      </c>
      <c r="C57" s="9">
        <f>IFERROR(__xludf.DUMMYFUNCTION("""COMPUTED_VALUE"""),138.99)</f>
        <v>138.99</v>
      </c>
      <c r="D57" s="9">
        <f>IFERROR(__xludf.DUMMYFUNCTION("""COMPUTED_VALUE"""),134.46)</f>
        <v>134.46</v>
      </c>
      <c r="E57" s="9">
        <f>IFERROR(__xludf.DUMMYFUNCTION("""COMPUTED_VALUE"""),135.15)</f>
        <v>135.15</v>
      </c>
      <c r="F57" s="9">
        <f>IFERROR(__xludf.DUMMYFUNCTION("""COMPUTED_VALUE"""),749135.0)</f>
        <v>749135</v>
      </c>
      <c r="H57" s="27">
        <f>IFERROR(__xludf.DUMMYFUNCTION("""COMPUTED_VALUE"""),38434.645833333336)</f>
        <v>38434.64583</v>
      </c>
      <c r="I57" s="25">
        <f>IFERROR(__xludf.DUMMYFUNCTION("""COMPUTED_VALUE"""),180.0)</f>
        <v>180</v>
      </c>
      <c r="J57" s="25">
        <f>IFERROR(__xludf.DUMMYFUNCTION("""COMPUTED_VALUE"""),181.0)</f>
        <v>181</v>
      </c>
      <c r="K57" s="25">
        <f>IFERROR(__xludf.DUMMYFUNCTION("""COMPUTED_VALUE"""),176.67)</f>
        <v>176.67</v>
      </c>
      <c r="L57" s="25">
        <f>IFERROR(__xludf.DUMMYFUNCTION("""COMPUTED_VALUE"""),177.66)</f>
        <v>177.66</v>
      </c>
      <c r="M57" s="25">
        <f>IFERROR(__xludf.DUMMYFUNCTION("""COMPUTED_VALUE"""),429927.0)</f>
        <v>429927</v>
      </c>
    </row>
    <row r="58">
      <c r="A58" s="26">
        <f>IFERROR(__xludf.DUMMYFUNCTION("""COMPUTED_VALUE"""),38435.645833333336)</f>
        <v>38435.64583</v>
      </c>
      <c r="B58" s="9">
        <f>IFERROR(__xludf.DUMMYFUNCTION("""COMPUTED_VALUE"""),135.63)</f>
        <v>135.63</v>
      </c>
      <c r="C58" s="9">
        <f>IFERROR(__xludf.DUMMYFUNCTION("""COMPUTED_VALUE"""),136.78)</f>
        <v>136.78</v>
      </c>
      <c r="D58" s="9">
        <f>IFERROR(__xludf.DUMMYFUNCTION("""COMPUTED_VALUE"""),134.38)</f>
        <v>134.38</v>
      </c>
      <c r="E58" s="9">
        <f>IFERROR(__xludf.DUMMYFUNCTION("""COMPUTED_VALUE"""),134.94)</f>
        <v>134.94</v>
      </c>
      <c r="F58" s="9">
        <f>IFERROR(__xludf.DUMMYFUNCTION("""COMPUTED_VALUE"""),785921.0)</f>
        <v>785921</v>
      </c>
      <c r="H58" s="27">
        <f>IFERROR(__xludf.DUMMYFUNCTION("""COMPUTED_VALUE"""),38435.645833333336)</f>
        <v>38435.64583</v>
      </c>
      <c r="I58" s="25">
        <f>IFERROR(__xludf.DUMMYFUNCTION("""COMPUTED_VALUE"""),178.75)</f>
        <v>178.75</v>
      </c>
      <c r="J58" s="25">
        <f>IFERROR(__xludf.DUMMYFUNCTION("""COMPUTED_VALUE"""),179.75)</f>
        <v>179.75</v>
      </c>
      <c r="K58" s="25">
        <f>IFERROR(__xludf.DUMMYFUNCTION("""COMPUTED_VALUE"""),172.21)</f>
        <v>172.21</v>
      </c>
      <c r="L58" s="25">
        <f>IFERROR(__xludf.DUMMYFUNCTION("""COMPUTED_VALUE"""),173.05)</f>
        <v>173.05</v>
      </c>
      <c r="M58" s="25">
        <f>IFERROR(__xludf.DUMMYFUNCTION("""COMPUTED_VALUE"""),744322.0)</f>
        <v>744322</v>
      </c>
    </row>
    <row r="59">
      <c r="A59" s="26">
        <f>IFERROR(__xludf.DUMMYFUNCTION("""COMPUTED_VALUE"""),38439.645833333336)</f>
        <v>38439.64583</v>
      </c>
      <c r="B59" s="9">
        <f>IFERROR(__xludf.DUMMYFUNCTION("""COMPUTED_VALUE"""),135.94)</f>
        <v>135.94</v>
      </c>
      <c r="C59" s="9">
        <f>IFERROR(__xludf.DUMMYFUNCTION("""COMPUTED_VALUE"""),138.56)</f>
        <v>138.56</v>
      </c>
      <c r="D59" s="9">
        <f>IFERROR(__xludf.DUMMYFUNCTION("""COMPUTED_VALUE"""),135.44)</f>
        <v>135.44</v>
      </c>
      <c r="E59" s="9">
        <f>IFERROR(__xludf.DUMMYFUNCTION("""COMPUTED_VALUE"""),136.63)</f>
        <v>136.63</v>
      </c>
      <c r="F59" s="9">
        <f>IFERROR(__xludf.DUMMYFUNCTION("""COMPUTED_VALUE"""),625894.0)</f>
        <v>625894</v>
      </c>
      <c r="H59" s="27">
        <f>IFERROR(__xludf.DUMMYFUNCTION("""COMPUTED_VALUE"""),38439.645833333336)</f>
        <v>38439.64583</v>
      </c>
      <c r="I59" s="25">
        <f>IFERROR(__xludf.DUMMYFUNCTION("""COMPUTED_VALUE"""),173.88)</f>
        <v>173.88</v>
      </c>
      <c r="J59" s="25">
        <f>IFERROR(__xludf.DUMMYFUNCTION("""COMPUTED_VALUE"""),176.11)</f>
        <v>176.11</v>
      </c>
      <c r="K59" s="25">
        <f>IFERROR(__xludf.DUMMYFUNCTION("""COMPUTED_VALUE"""),173.0)</f>
        <v>173</v>
      </c>
      <c r="L59" s="25">
        <f>IFERROR(__xludf.DUMMYFUNCTION("""COMPUTED_VALUE"""),174.05)</f>
        <v>174.05</v>
      </c>
      <c r="M59" s="25">
        <f>IFERROR(__xludf.DUMMYFUNCTION("""COMPUTED_VALUE"""),462466.0)</f>
        <v>462466</v>
      </c>
    </row>
    <row r="60">
      <c r="A60" s="26">
        <f>IFERROR(__xludf.DUMMYFUNCTION("""COMPUTED_VALUE"""),38440.645833333336)</f>
        <v>38440.64583</v>
      </c>
      <c r="B60" s="9">
        <f>IFERROR(__xludf.DUMMYFUNCTION("""COMPUTED_VALUE"""),136.75)</f>
        <v>136.75</v>
      </c>
      <c r="C60" s="9">
        <f>IFERROR(__xludf.DUMMYFUNCTION("""COMPUTED_VALUE"""),136.75)</f>
        <v>136.75</v>
      </c>
      <c r="D60" s="9">
        <f>IFERROR(__xludf.DUMMYFUNCTION("""COMPUTED_VALUE"""),134.38)</f>
        <v>134.38</v>
      </c>
      <c r="E60" s="9">
        <f>IFERROR(__xludf.DUMMYFUNCTION("""COMPUTED_VALUE"""),135.41)</f>
        <v>135.41</v>
      </c>
      <c r="F60" s="9">
        <f>IFERROR(__xludf.DUMMYFUNCTION("""COMPUTED_VALUE"""),526226.0)</f>
        <v>526226</v>
      </c>
      <c r="H60" s="27">
        <f>IFERROR(__xludf.DUMMYFUNCTION("""COMPUTED_VALUE"""),38440.645833333336)</f>
        <v>38440.64583</v>
      </c>
      <c r="I60" s="25">
        <f>IFERROR(__xludf.DUMMYFUNCTION("""COMPUTED_VALUE"""),174.38)</f>
        <v>174.38</v>
      </c>
      <c r="J60" s="25">
        <f>IFERROR(__xludf.DUMMYFUNCTION("""COMPUTED_VALUE"""),174.75)</f>
        <v>174.75</v>
      </c>
      <c r="K60" s="25">
        <f>IFERROR(__xludf.DUMMYFUNCTION("""COMPUTED_VALUE"""),170.28)</f>
        <v>170.28</v>
      </c>
      <c r="L60" s="25">
        <f>IFERROR(__xludf.DUMMYFUNCTION("""COMPUTED_VALUE"""),171.36)</f>
        <v>171.36</v>
      </c>
      <c r="M60" s="25">
        <f>IFERROR(__xludf.DUMMYFUNCTION("""COMPUTED_VALUE"""),381675.0)</f>
        <v>381675</v>
      </c>
    </row>
    <row r="61">
      <c r="A61" s="26">
        <f>IFERROR(__xludf.DUMMYFUNCTION("""COMPUTED_VALUE"""),38441.645833333336)</f>
        <v>38441.64583</v>
      </c>
      <c r="B61" s="9">
        <f>IFERROR(__xludf.DUMMYFUNCTION("""COMPUTED_VALUE"""),134.69)</f>
        <v>134.69</v>
      </c>
      <c r="C61" s="9">
        <f>IFERROR(__xludf.DUMMYFUNCTION("""COMPUTED_VALUE"""),136.88)</f>
        <v>136.88</v>
      </c>
      <c r="D61" s="9">
        <f>IFERROR(__xludf.DUMMYFUNCTION("""COMPUTED_VALUE"""),133.88)</f>
        <v>133.88</v>
      </c>
      <c r="E61" s="9">
        <f>IFERROR(__xludf.DUMMYFUNCTION("""COMPUTED_VALUE"""),135.64)</f>
        <v>135.64</v>
      </c>
      <c r="F61" s="9">
        <f>IFERROR(__xludf.DUMMYFUNCTION("""COMPUTED_VALUE"""),608331.0)</f>
        <v>608331</v>
      </c>
      <c r="H61" s="27">
        <f>IFERROR(__xludf.DUMMYFUNCTION("""COMPUTED_VALUE"""),38441.645833333336)</f>
        <v>38441.64583</v>
      </c>
      <c r="I61" s="25">
        <f>IFERROR(__xludf.DUMMYFUNCTION("""COMPUTED_VALUE"""),171.39)</f>
        <v>171.39</v>
      </c>
      <c r="J61" s="25">
        <f>IFERROR(__xludf.DUMMYFUNCTION("""COMPUTED_VALUE"""),175.0)</f>
        <v>175</v>
      </c>
      <c r="K61" s="25">
        <f>IFERROR(__xludf.DUMMYFUNCTION("""COMPUTED_VALUE"""),170.0)</f>
        <v>170</v>
      </c>
      <c r="L61" s="25">
        <f>IFERROR(__xludf.DUMMYFUNCTION("""COMPUTED_VALUE"""),173.82)</f>
        <v>173.82</v>
      </c>
      <c r="M61" s="25">
        <f>IFERROR(__xludf.DUMMYFUNCTION("""COMPUTED_VALUE"""),514407.0)</f>
        <v>514407</v>
      </c>
    </row>
    <row r="62">
      <c r="A62" s="26">
        <f>IFERROR(__xludf.DUMMYFUNCTION("""COMPUTED_VALUE"""),38442.645833333336)</f>
        <v>38442.64583</v>
      </c>
      <c r="B62" s="9">
        <f>IFERROR(__xludf.DUMMYFUNCTION("""COMPUTED_VALUE"""),139.04)</f>
        <v>139.04</v>
      </c>
      <c r="C62" s="9">
        <f>IFERROR(__xludf.DUMMYFUNCTION("""COMPUTED_VALUE"""),144.69)</f>
        <v>144.69</v>
      </c>
      <c r="D62" s="9">
        <f>IFERROR(__xludf.DUMMYFUNCTION("""COMPUTED_VALUE"""),136.76)</f>
        <v>136.76</v>
      </c>
      <c r="E62" s="9">
        <f>IFERROR(__xludf.DUMMYFUNCTION("""COMPUTED_VALUE"""),141.07)</f>
        <v>141.07</v>
      </c>
      <c r="F62" s="9">
        <f>IFERROR(__xludf.DUMMYFUNCTION("""COMPUTED_VALUE"""),1120777.0)</f>
        <v>1120777</v>
      </c>
      <c r="H62" s="27">
        <f>IFERROR(__xludf.DUMMYFUNCTION("""COMPUTED_VALUE"""),38442.645833333336)</f>
        <v>38442.64583</v>
      </c>
      <c r="I62" s="25">
        <f>IFERROR(__xludf.DUMMYFUNCTION("""COMPUTED_VALUE"""),175.56)</f>
        <v>175.56</v>
      </c>
      <c r="J62" s="25">
        <f>IFERROR(__xludf.DUMMYFUNCTION("""COMPUTED_VALUE"""),180.64)</f>
        <v>180.64</v>
      </c>
      <c r="K62" s="25">
        <f>IFERROR(__xludf.DUMMYFUNCTION("""COMPUTED_VALUE"""),174.66)</f>
        <v>174.66</v>
      </c>
      <c r="L62" s="25">
        <f>IFERROR(__xludf.DUMMYFUNCTION("""COMPUTED_VALUE"""),179.01)</f>
        <v>179.01</v>
      </c>
      <c r="M62" s="25">
        <f>IFERROR(__xludf.DUMMYFUNCTION("""COMPUTED_VALUE"""),864330.0)</f>
        <v>864330</v>
      </c>
    </row>
    <row r="63">
      <c r="A63" s="26">
        <f>IFERROR(__xludf.DUMMYFUNCTION("""COMPUTED_VALUE"""),38443.645833333336)</f>
        <v>38443.64583</v>
      </c>
      <c r="B63" s="9">
        <f>IFERROR(__xludf.DUMMYFUNCTION("""COMPUTED_VALUE"""),141.24)</f>
        <v>141.24</v>
      </c>
      <c r="C63" s="9">
        <f>IFERROR(__xludf.DUMMYFUNCTION("""COMPUTED_VALUE"""),141.24)</f>
        <v>141.24</v>
      </c>
      <c r="D63" s="9">
        <f>IFERROR(__xludf.DUMMYFUNCTION("""COMPUTED_VALUE"""),138.27)</f>
        <v>138.27</v>
      </c>
      <c r="E63" s="9">
        <f>IFERROR(__xludf.DUMMYFUNCTION("""COMPUTED_VALUE"""),139.74)</f>
        <v>139.74</v>
      </c>
      <c r="F63" s="9">
        <f>IFERROR(__xludf.DUMMYFUNCTION("""COMPUTED_VALUE"""),857932.0)</f>
        <v>857932</v>
      </c>
      <c r="H63" s="27">
        <f>IFERROR(__xludf.DUMMYFUNCTION("""COMPUTED_VALUE"""),38443.645833333336)</f>
        <v>38443.64583</v>
      </c>
      <c r="I63" s="25">
        <f>IFERROR(__xludf.DUMMYFUNCTION("""COMPUTED_VALUE"""),179.13)</f>
        <v>179.13</v>
      </c>
      <c r="J63" s="25">
        <f>IFERROR(__xludf.DUMMYFUNCTION("""COMPUTED_VALUE"""),182.13)</f>
        <v>182.13</v>
      </c>
      <c r="K63" s="25">
        <f>IFERROR(__xludf.DUMMYFUNCTION("""COMPUTED_VALUE"""),176.75)</f>
        <v>176.75</v>
      </c>
      <c r="L63" s="25">
        <f>IFERROR(__xludf.DUMMYFUNCTION("""COMPUTED_VALUE"""),181.37)</f>
        <v>181.37</v>
      </c>
      <c r="M63" s="25">
        <f>IFERROR(__xludf.DUMMYFUNCTION("""COMPUTED_VALUE"""),695334.0)</f>
        <v>695334</v>
      </c>
    </row>
    <row r="64">
      <c r="A64" s="26">
        <f>IFERROR(__xludf.DUMMYFUNCTION("""COMPUTED_VALUE"""),38446.645833333336)</f>
        <v>38446.64583</v>
      </c>
      <c r="B64" s="9">
        <f>IFERROR(__xludf.DUMMYFUNCTION("""COMPUTED_VALUE"""),139.81)</f>
        <v>139.81</v>
      </c>
      <c r="C64" s="9">
        <f>IFERROR(__xludf.DUMMYFUNCTION("""COMPUTED_VALUE"""),141.06)</f>
        <v>141.06</v>
      </c>
      <c r="D64" s="9">
        <f>IFERROR(__xludf.DUMMYFUNCTION("""COMPUTED_VALUE"""),138.53)</f>
        <v>138.53</v>
      </c>
      <c r="E64" s="9">
        <f>IFERROR(__xludf.DUMMYFUNCTION("""COMPUTED_VALUE"""),139.29)</f>
        <v>139.29</v>
      </c>
      <c r="F64" s="9">
        <f>IFERROR(__xludf.DUMMYFUNCTION("""COMPUTED_VALUE"""),807511.0)</f>
        <v>807511</v>
      </c>
      <c r="H64" s="27">
        <f>IFERROR(__xludf.DUMMYFUNCTION("""COMPUTED_VALUE"""),38446.645833333336)</f>
        <v>38446.64583</v>
      </c>
      <c r="I64" s="25">
        <f>IFERROR(__xludf.DUMMYFUNCTION("""COMPUTED_VALUE"""),181.5)</f>
        <v>181.5</v>
      </c>
      <c r="J64" s="25">
        <f>IFERROR(__xludf.DUMMYFUNCTION("""COMPUTED_VALUE"""),182.1)</f>
        <v>182.1</v>
      </c>
      <c r="K64" s="25">
        <f>IFERROR(__xludf.DUMMYFUNCTION("""COMPUTED_VALUE"""),177.91)</f>
        <v>177.91</v>
      </c>
      <c r="L64" s="25">
        <f>IFERROR(__xludf.DUMMYFUNCTION("""COMPUTED_VALUE"""),178.47)</f>
        <v>178.47</v>
      </c>
      <c r="M64" s="25">
        <f>IFERROR(__xludf.DUMMYFUNCTION("""COMPUTED_VALUE"""),657170.0)</f>
        <v>657170</v>
      </c>
    </row>
    <row r="65">
      <c r="A65" s="26">
        <f>IFERROR(__xludf.DUMMYFUNCTION("""COMPUTED_VALUE"""),38447.645833333336)</f>
        <v>38447.64583</v>
      </c>
      <c r="B65" s="9">
        <f>IFERROR(__xludf.DUMMYFUNCTION("""COMPUTED_VALUE"""),140.63)</f>
        <v>140.63</v>
      </c>
      <c r="C65" s="9">
        <f>IFERROR(__xludf.DUMMYFUNCTION("""COMPUTED_VALUE"""),151.43)</f>
        <v>151.43</v>
      </c>
      <c r="D65" s="9">
        <f>IFERROR(__xludf.DUMMYFUNCTION("""COMPUTED_VALUE"""),138.31)</f>
        <v>138.31</v>
      </c>
      <c r="E65" s="9">
        <f>IFERROR(__xludf.DUMMYFUNCTION("""COMPUTED_VALUE"""),138.84)</f>
        <v>138.84</v>
      </c>
      <c r="F65" s="9">
        <f>IFERROR(__xludf.DUMMYFUNCTION("""COMPUTED_VALUE"""),488134.0)</f>
        <v>488134</v>
      </c>
      <c r="H65" s="27">
        <f>IFERROR(__xludf.DUMMYFUNCTION("""COMPUTED_VALUE"""),38447.645833333336)</f>
        <v>38447.64583</v>
      </c>
      <c r="I65" s="25">
        <f>IFERROR(__xludf.DUMMYFUNCTION("""COMPUTED_VALUE"""),178.63)</f>
        <v>178.63</v>
      </c>
      <c r="J65" s="25">
        <f>IFERROR(__xludf.DUMMYFUNCTION("""COMPUTED_VALUE"""),180.31)</f>
        <v>180.31</v>
      </c>
      <c r="K65" s="25">
        <f>IFERROR(__xludf.DUMMYFUNCTION("""COMPUTED_VALUE"""),177.01)</f>
        <v>177.01</v>
      </c>
      <c r="L65" s="25">
        <f>IFERROR(__xludf.DUMMYFUNCTION("""COMPUTED_VALUE"""),178.18)</f>
        <v>178.18</v>
      </c>
      <c r="M65" s="25">
        <f>IFERROR(__xludf.DUMMYFUNCTION("""COMPUTED_VALUE"""),420979.0)</f>
        <v>420979</v>
      </c>
    </row>
    <row r="66">
      <c r="A66" s="26">
        <f>IFERROR(__xludf.DUMMYFUNCTION("""COMPUTED_VALUE"""),38448.645833333336)</f>
        <v>38448.64583</v>
      </c>
      <c r="B66" s="9">
        <f>IFERROR(__xludf.DUMMYFUNCTION("""COMPUTED_VALUE"""),139.06)</f>
        <v>139.06</v>
      </c>
      <c r="C66" s="9">
        <f>IFERROR(__xludf.DUMMYFUNCTION("""COMPUTED_VALUE"""),140.0)</f>
        <v>140</v>
      </c>
      <c r="D66" s="9">
        <f>IFERROR(__xludf.DUMMYFUNCTION("""COMPUTED_VALUE"""),138.19)</f>
        <v>138.19</v>
      </c>
      <c r="E66" s="9">
        <f>IFERROR(__xludf.DUMMYFUNCTION("""COMPUTED_VALUE"""),139.77)</f>
        <v>139.77</v>
      </c>
      <c r="F66" s="9">
        <f>IFERROR(__xludf.DUMMYFUNCTION("""COMPUTED_VALUE"""),581060.0)</f>
        <v>581060</v>
      </c>
      <c r="H66" s="27">
        <f>IFERROR(__xludf.DUMMYFUNCTION("""COMPUTED_VALUE"""),38448.645833333336)</f>
        <v>38448.64583</v>
      </c>
      <c r="I66" s="25">
        <f>IFERROR(__xludf.DUMMYFUNCTION("""COMPUTED_VALUE"""),178.38)</f>
        <v>178.38</v>
      </c>
      <c r="J66" s="25">
        <f>IFERROR(__xludf.DUMMYFUNCTION("""COMPUTED_VALUE"""),181.0)</f>
        <v>181</v>
      </c>
      <c r="K66" s="25">
        <f>IFERROR(__xludf.DUMMYFUNCTION("""COMPUTED_VALUE"""),178.38)</f>
        <v>178.38</v>
      </c>
      <c r="L66" s="25">
        <f>IFERROR(__xludf.DUMMYFUNCTION("""COMPUTED_VALUE"""),180.17)</f>
        <v>180.17</v>
      </c>
      <c r="M66" s="25">
        <f>IFERROR(__xludf.DUMMYFUNCTION("""COMPUTED_VALUE"""),244176.0)</f>
        <v>244176</v>
      </c>
    </row>
    <row r="67">
      <c r="A67" s="26">
        <f>IFERROR(__xludf.DUMMYFUNCTION("""COMPUTED_VALUE"""),38449.645833333336)</f>
        <v>38449.64583</v>
      </c>
      <c r="B67" s="9">
        <f>IFERROR(__xludf.DUMMYFUNCTION("""COMPUTED_VALUE"""),139.25)</f>
        <v>139.25</v>
      </c>
      <c r="C67" s="9">
        <f>IFERROR(__xludf.DUMMYFUNCTION("""COMPUTED_VALUE"""),140.29)</f>
        <v>140.29</v>
      </c>
      <c r="D67" s="9">
        <f>IFERROR(__xludf.DUMMYFUNCTION("""COMPUTED_VALUE"""),135.97)</f>
        <v>135.97</v>
      </c>
      <c r="E67" s="9">
        <f>IFERROR(__xludf.DUMMYFUNCTION("""COMPUTED_VALUE"""),136.77)</f>
        <v>136.77</v>
      </c>
      <c r="F67" s="9">
        <f>IFERROR(__xludf.DUMMYFUNCTION("""COMPUTED_VALUE"""),689221.0)</f>
        <v>689221</v>
      </c>
      <c r="H67" s="27">
        <f>IFERROR(__xludf.DUMMYFUNCTION("""COMPUTED_VALUE"""),38449.645833333336)</f>
        <v>38449.64583</v>
      </c>
      <c r="I67" s="25">
        <f>IFERROR(__xludf.DUMMYFUNCTION("""COMPUTED_VALUE"""),180.13)</f>
        <v>180.13</v>
      </c>
      <c r="J67" s="25">
        <f>IFERROR(__xludf.DUMMYFUNCTION("""COMPUTED_VALUE"""),181.25)</f>
        <v>181.25</v>
      </c>
      <c r="K67" s="25">
        <f>IFERROR(__xludf.DUMMYFUNCTION("""COMPUTED_VALUE"""),177.75)</f>
        <v>177.75</v>
      </c>
      <c r="L67" s="25">
        <f>IFERROR(__xludf.DUMMYFUNCTION("""COMPUTED_VALUE"""),178.15)</f>
        <v>178.15</v>
      </c>
      <c r="M67" s="25">
        <f>IFERROR(__xludf.DUMMYFUNCTION("""COMPUTED_VALUE"""),310402.0)</f>
        <v>310402</v>
      </c>
    </row>
    <row r="68">
      <c r="A68" s="26">
        <f>IFERROR(__xludf.DUMMYFUNCTION("""COMPUTED_VALUE"""),38450.645833333336)</f>
        <v>38450.64583</v>
      </c>
      <c r="B68" s="9">
        <f>IFERROR(__xludf.DUMMYFUNCTION("""COMPUTED_VALUE"""),135.97)</f>
        <v>135.97</v>
      </c>
      <c r="C68" s="9">
        <f>IFERROR(__xludf.DUMMYFUNCTION("""COMPUTED_VALUE"""),136.25)</f>
        <v>136.25</v>
      </c>
      <c r="D68" s="9">
        <f>IFERROR(__xludf.DUMMYFUNCTION("""COMPUTED_VALUE"""),132.38)</f>
        <v>132.38</v>
      </c>
      <c r="E68" s="9">
        <f>IFERROR(__xludf.DUMMYFUNCTION("""COMPUTED_VALUE"""),132.99)</f>
        <v>132.99</v>
      </c>
      <c r="F68" s="9">
        <f>IFERROR(__xludf.DUMMYFUNCTION("""COMPUTED_VALUE"""),1229483.0)</f>
        <v>1229483</v>
      </c>
      <c r="H68" s="27">
        <f>IFERROR(__xludf.DUMMYFUNCTION("""COMPUTED_VALUE"""),38450.645833333336)</f>
        <v>38450.64583</v>
      </c>
      <c r="I68" s="25">
        <f>IFERROR(__xludf.DUMMYFUNCTION("""COMPUTED_VALUE"""),178.84)</f>
        <v>178.84</v>
      </c>
      <c r="J68" s="25">
        <f>IFERROR(__xludf.DUMMYFUNCTION("""COMPUTED_VALUE"""),179.36)</f>
        <v>179.36</v>
      </c>
      <c r="K68" s="25">
        <f>IFERROR(__xludf.DUMMYFUNCTION("""COMPUTED_VALUE"""),173.76)</f>
        <v>173.76</v>
      </c>
      <c r="L68" s="25">
        <f>IFERROR(__xludf.DUMMYFUNCTION("""COMPUTED_VALUE"""),174.2)</f>
        <v>174.2</v>
      </c>
      <c r="M68" s="25">
        <f>IFERROR(__xludf.DUMMYFUNCTION("""COMPUTED_VALUE"""),506535.0)</f>
        <v>506535</v>
      </c>
    </row>
    <row r="69">
      <c r="A69" s="26">
        <f>IFERROR(__xludf.DUMMYFUNCTION("""COMPUTED_VALUE"""),38453.645833333336)</f>
        <v>38453.64583</v>
      </c>
      <c r="B69" s="9">
        <f>IFERROR(__xludf.DUMMYFUNCTION("""COMPUTED_VALUE"""),133.0)</f>
        <v>133</v>
      </c>
      <c r="C69" s="9">
        <f>IFERROR(__xludf.DUMMYFUNCTION("""COMPUTED_VALUE"""),133.0)</f>
        <v>133</v>
      </c>
      <c r="D69" s="9">
        <f>IFERROR(__xludf.DUMMYFUNCTION("""COMPUTED_VALUE"""),129.39)</f>
        <v>129.39</v>
      </c>
      <c r="E69" s="9">
        <f>IFERROR(__xludf.DUMMYFUNCTION("""COMPUTED_VALUE"""),129.86)</f>
        <v>129.86</v>
      </c>
      <c r="F69" s="9">
        <f>IFERROR(__xludf.DUMMYFUNCTION("""COMPUTED_VALUE"""),747290.0)</f>
        <v>747290</v>
      </c>
      <c r="H69" s="27">
        <f>IFERROR(__xludf.DUMMYFUNCTION("""COMPUTED_VALUE"""),38453.645833333336)</f>
        <v>38453.64583</v>
      </c>
      <c r="I69" s="25">
        <f>IFERROR(__xludf.DUMMYFUNCTION("""COMPUTED_VALUE"""),174.63)</f>
        <v>174.63</v>
      </c>
      <c r="J69" s="25">
        <f>IFERROR(__xludf.DUMMYFUNCTION("""COMPUTED_VALUE"""),175.0)</f>
        <v>175</v>
      </c>
      <c r="K69" s="25">
        <f>IFERROR(__xludf.DUMMYFUNCTION("""COMPUTED_VALUE"""),170.01)</f>
        <v>170.01</v>
      </c>
      <c r="L69" s="25">
        <f>IFERROR(__xludf.DUMMYFUNCTION("""COMPUTED_VALUE"""),170.45)</f>
        <v>170.45</v>
      </c>
      <c r="M69" s="25">
        <f>IFERROR(__xludf.DUMMYFUNCTION("""COMPUTED_VALUE"""),352874.0)</f>
        <v>352874</v>
      </c>
    </row>
    <row r="70">
      <c r="A70" s="26">
        <f>IFERROR(__xludf.DUMMYFUNCTION("""COMPUTED_VALUE"""),38454.645833333336)</f>
        <v>38454.64583</v>
      </c>
      <c r="B70" s="9">
        <f>IFERROR(__xludf.DUMMYFUNCTION("""COMPUTED_VALUE"""),124.0)</f>
        <v>124</v>
      </c>
      <c r="C70" s="9">
        <f>IFERROR(__xludf.DUMMYFUNCTION("""COMPUTED_VALUE"""),133.13)</f>
        <v>133.13</v>
      </c>
      <c r="D70" s="9">
        <f>IFERROR(__xludf.DUMMYFUNCTION("""COMPUTED_VALUE"""),124.0)</f>
        <v>124</v>
      </c>
      <c r="E70" s="9">
        <f>IFERROR(__xludf.DUMMYFUNCTION("""COMPUTED_VALUE"""),132.35)</f>
        <v>132.35</v>
      </c>
      <c r="F70" s="9">
        <f>IFERROR(__xludf.DUMMYFUNCTION("""COMPUTED_VALUE"""),1077898.0)</f>
        <v>1077898</v>
      </c>
      <c r="H70" s="27">
        <f>IFERROR(__xludf.DUMMYFUNCTION("""COMPUTED_VALUE"""),38454.645833333336)</f>
        <v>38454.64583</v>
      </c>
      <c r="I70" s="25">
        <f>IFERROR(__xludf.DUMMYFUNCTION("""COMPUTED_VALUE"""),174.88)</f>
        <v>174.88</v>
      </c>
      <c r="J70" s="25">
        <f>IFERROR(__xludf.DUMMYFUNCTION("""COMPUTED_VALUE"""),174.88)</f>
        <v>174.88</v>
      </c>
      <c r="K70" s="25">
        <f>IFERROR(__xludf.DUMMYFUNCTION("""COMPUTED_VALUE"""),170.63)</f>
        <v>170.63</v>
      </c>
      <c r="L70" s="25">
        <f>IFERROR(__xludf.DUMMYFUNCTION("""COMPUTED_VALUE"""),172.75)</f>
        <v>172.75</v>
      </c>
      <c r="M70" s="25">
        <f>IFERROR(__xludf.DUMMYFUNCTION("""COMPUTED_VALUE"""),514087.0)</f>
        <v>514087</v>
      </c>
    </row>
    <row r="71">
      <c r="A71" s="26">
        <f>IFERROR(__xludf.DUMMYFUNCTION("""COMPUTED_VALUE"""),38455.645833333336)</f>
        <v>38455.64583</v>
      </c>
      <c r="B71" s="9">
        <f>IFERROR(__xludf.DUMMYFUNCTION("""COMPUTED_VALUE"""),133.75)</f>
        <v>133.75</v>
      </c>
      <c r="C71" s="9">
        <f>IFERROR(__xludf.DUMMYFUNCTION("""COMPUTED_VALUE"""),133.75)</f>
        <v>133.75</v>
      </c>
      <c r="D71" s="9">
        <f>IFERROR(__xludf.DUMMYFUNCTION("""COMPUTED_VALUE"""),130.45)</f>
        <v>130.45</v>
      </c>
      <c r="E71" s="9">
        <f>IFERROR(__xludf.DUMMYFUNCTION("""COMPUTED_VALUE"""),131.34)</f>
        <v>131.34</v>
      </c>
      <c r="F71" s="9">
        <f>IFERROR(__xludf.DUMMYFUNCTION("""COMPUTED_VALUE"""),1189436.0)</f>
        <v>1189436</v>
      </c>
      <c r="H71" s="27">
        <f>IFERROR(__xludf.DUMMYFUNCTION("""COMPUTED_VALUE"""),38455.645833333336)</f>
        <v>38455.64583</v>
      </c>
      <c r="I71" s="25">
        <f>IFERROR(__xludf.DUMMYFUNCTION("""COMPUTED_VALUE"""),174.25)</f>
        <v>174.25</v>
      </c>
      <c r="J71" s="25">
        <f>IFERROR(__xludf.DUMMYFUNCTION("""COMPUTED_VALUE"""),175.88)</f>
        <v>175.88</v>
      </c>
      <c r="K71" s="25">
        <f>IFERROR(__xludf.DUMMYFUNCTION("""COMPUTED_VALUE"""),173.2)</f>
        <v>173.2</v>
      </c>
      <c r="L71" s="25">
        <f>IFERROR(__xludf.DUMMYFUNCTION("""COMPUTED_VALUE"""),175.2)</f>
        <v>175.2</v>
      </c>
      <c r="M71" s="25">
        <f>IFERROR(__xludf.DUMMYFUNCTION("""COMPUTED_VALUE"""),579825.0)</f>
        <v>579825</v>
      </c>
    </row>
    <row r="72">
      <c r="A72" s="26">
        <f>IFERROR(__xludf.DUMMYFUNCTION("""COMPUTED_VALUE"""),38457.645833333336)</f>
        <v>38457.64583</v>
      </c>
      <c r="B72" s="9">
        <f>IFERROR(__xludf.DUMMYFUNCTION("""COMPUTED_VALUE"""),128.13)</f>
        <v>128.13</v>
      </c>
      <c r="C72" s="9">
        <f>IFERROR(__xludf.DUMMYFUNCTION("""COMPUTED_VALUE"""),128.13)</f>
        <v>128.13</v>
      </c>
      <c r="D72" s="9">
        <f>IFERROR(__xludf.DUMMYFUNCTION("""COMPUTED_VALUE"""),120.94)</f>
        <v>120.94</v>
      </c>
      <c r="E72" s="9">
        <f>IFERROR(__xludf.DUMMYFUNCTION("""COMPUTED_VALUE"""),122.32)</f>
        <v>122.32</v>
      </c>
      <c r="F72" s="9">
        <f>IFERROR(__xludf.DUMMYFUNCTION("""COMPUTED_VALUE"""),2182500.0)</f>
        <v>2182500</v>
      </c>
      <c r="H72" s="27">
        <f>IFERROR(__xludf.DUMMYFUNCTION("""COMPUTED_VALUE"""),38457.645833333336)</f>
        <v>38457.64583</v>
      </c>
      <c r="I72" s="25">
        <f>IFERROR(__xludf.DUMMYFUNCTION("""COMPUTED_VALUE"""),174.38)</f>
        <v>174.38</v>
      </c>
      <c r="J72" s="25">
        <f>IFERROR(__xludf.DUMMYFUNCTION("""COMPUTED_VALUE"""),174.38)</f>
        <v>174.38</v>
      </c>
      <c r="K72" s="25">
        <f>IFERROR(__xludf.DUMMYFUNCTION("""COMPUTED_VALUE"""),164.38)</f>
        <v>164.38</v>
      </c>
      <c r="L72" s="25">
        <f>IFERROR(__xludf.DUMMYFUNCTION("""COMPUTED_VALUE"""),164.88)</f>
        <v>164.88</v>
      </c>
      <c r="M72" s="25">
        <f>IFERROR(__xludf.DUMMYFUNCTION("""COMPUTED_VALUE"""),1232810.0)</f>
        <v>1232810</v>
      </c>
    </row>
    <row r="73">
      <c r="A73" s="26">
        <f>IFERROR(__xludf.DUMMYFUNCTION("""COMPUTED_VALUE"""),38460.645833333336)</f>
        <v>38460.64583</v>
      </c>
      <c r="B73" s="9">
        <f>IFERROR(__xludf.DUMMYFUNCTION("""COMPUTED_VALUE"""),121.88)</f>
        <v>121.88</v>
      </c>
      <c r="C73" s="9">
        <f>IFERROR(__xludf.DUMMYFUNCTION("""COMPUTED_VALUE"""),121.88)</f>
        <v>121.88</v>
      </c>
      <c r="D73" s="9">
        <f>IFERROR(__xludf.DUMMYFUNCTION("""COMPUTED_VALUE"""),118.75)</f>
        <v>118.75</v>
      </c>
      <c r="E73" s="9">
        <f>IFERROR(__xludf.DUMMYFUNCTION("""COMPUTED_VALUE"""),119.62)</f>
        <v>119.62</v>
      </c>
      <c r="F73" s="9">
        <f>IFERROR(__xludf.DUMMYFUNCTION("""COMPUTED_VALUE"""),1685205.0)</f>
        <v>1685205</v>
      </c>
      <c r="H73" s="27">
        <f>IFERROR(__xludf.DUMMYFUNCTION("""COMPUTED_VALUE"""),38460.645833333336)</f>
        <v>38460.64583</v>
      </c>
      <c r="I73" s="25">
        <f>IFERROR(__xludf.DUMMYFUNCTION("""COMPUTED_VALUE"""),162.5)</f>
        <v>162.5</v>
      </c>
      <c r="J73" s="25">
        <f>IFERROR(__xludf.DUMMYFUNCTION("""COMPUTED_VALUE"""),168.59)</f>
        <v>168.59</v>
      </c>
      <c r="K73" s="25">
        <f>IFERROR(__xludf.DUMMYFUNCTION("""COMPUTED_VALUE"""),161.38)</f>
        <v>161.38</v>
      </c>
      <c r="L73" s="25">
        <f>IFERROR(__xludf.DUMMYFUNCTION("""COMPUTED_VALUE"""),164.83)</f>
        <v>164.83</v>
      </c>
      <c r="M73" s="25">
        <f>IFERROR(__xludf.DUMMYFUNCTION("""COMPUTED_VALUE"""),753038.0)</f>
        <v>753038</v>
      </c>
    </row>
    <row r="74">
      <c r="A74" s="26">
        <f>IFERROR(__xludf.DUMMYFUNCTION("""COMPUTED_VALUE"""),38461.645833333336)</f>
        <v>38461.64583</v>
      </c>
      <c r="B74" s="9">
        <f>IFERROR(__xludf.DUMMYFUNCTION("""COMPUTED_VALUE"""),120.88)</f>
        <v>120.88</v>
      </c>
      <c r="C74" s="9">
        <f>IFERROR(__xludf.DUMMYFUNCTION("""COMPUTED_VALUE"""),123.42)</f>
        <v>123.42</v>
      </c>
      <c r="D74" s="9">
        <f>IFERROR(__xludf.DUMMYFUNCTION("""COMPUTED_VALUE"""),118.75)</f>
        <v>118.75</v>
      </c>
      <c r="E74" s="9">
        <f>IFERROR(__xludf.DUMMYFUNCTION("""COMPUTED_VALUE"""),119.54)</f>
        <v>119.54</v>
      </c>
      <c r="F74" s="9">
        <f>IFERROR(__xludf.DUMMYFUNCTION("""COMPUTED_VALUE"""),1534425.0)</f>
        <v>1534425</v>
      </c>
      <c r="H74" s="27">
        <f>IFERROR(__xludf.DUMMYFUNCTION("""COMPUTED_VALUE"""),38461.645833333336)</f>
        <v>38461.64583</v>
      </c>
      <c r="I74" s="25">
        <f>IFERROR(__xludf.DUMMYFUNCTION("""COMPUTED_VALUE"""),166.25)</f>
        <v>166.25</v>
      </c>
      <c r="J74" s="25">
        <f>IFERROR(__xludf.DUMMYFUNCTION("""COMPUTED_VALUE"""),168.61)</f>
        <v>168.61</v>
      </c>
      <c r="K74" s="25">
        <f>IFERROR(__xludf.DUMMYFUNCTION("""COMPUTED_VALUE"""),147.26)</f>
        <v>147.26</v>
      </c>
      <c r="L74" s="25">
        <f>IFERROR(__xludf.DUMMYFUNCTION("""COMPUTED_VALUE"""),151.09)</f>
        <v>151.09</v>
      </c>
      <c r="M74" s="25">
        <f>IFERROR(__xludf.DUMMYFUNCTION("""COMPUTED_VALUE"""),3404394.0)</f>
        <v>3404394</v>
      </c>
    </row>
    <row r="75">
      <c r="A75" s="26">
        <f>IFERROR(__xludf.DUMMYFUNCTION("""COMPUTED_VALUE"""),38462.645833333336)</f>
        <v>38462.64583</v>
      </c>
      <c r="B75" s="9">
        <f>IFERROR(__xludf.DUMMYFUNCTION("""COMPUTED_VALUE"""),121.88)</f>
        <v>121.88</v>
      </c>
      <c r="C75" s="9">
        <f>IFERROR(__xludf.DUMMYFUNCTION("""COMPUTED_VALUE"""),122.48)</f>
        <v>122.48</v>
      </c>
      <c r="D75" s="9">
        <f>IFERROR(__xludf.DUMMYFUNCTION("""COMPUTED_VALUE"""),118.33)</f>
        <v>118.33</v>
      </c>
      <c r="E75" s="9">
        <f>IFERROR(__xludf.DUMMYFUNCTION("""COMPUTED_VALUE"""),121.75)</f>
        <v>121.75</v>
      </c>
      <c r="F75" s="9">
        <f>IFERROR(__xludf.DUMMYFUNCTION("""COMPUTED_VALUE"""),1670393.0)</f>
        <v>1670393</v>
      </c>
      <c r="H75" s="27">
        <f>IFERROR(__xludf.DUMMYFUNCTION("""COMPUTED_VALUE"""),38462.645833333336)</f>
        <v>38462.64583</v>
      </c>
      <c r="I75" s="25">
        <f>IFERROR(__xludf.DUMMYFUNCTION("""COMPUTED_VALUE"""),150.0)</f>
        <v>150</v>
      </c>
      <c r="J75" s="25">
        <f>IFERROR(__xludf.DUMMYFUNCTION("""COMPUTED_VALUE"""),150.0)</f>
        <v>150</v>
      </c>
      <c r="K75" s="25">
        <f>IFERROR(__xludf.DUMMYFUNCTION("""COMPUTED_VALUE"""),136.66)</f>
        <v>136.66</v>
      </c>
      <c r="L75" s="25">
        <f>IFERROR(__xludf.DUMMYFUNCTION("""COMPUTED_VALUE"""),139.53)</f>
        <v>139.53</v>
      </c>
      <c r="M75" s="25">
        <f>IFERROR(__xludf.DUMMYFUNCTION("""COMPUTED_VALUE"""),5937282.0)</f>
        <v>5937282</v>
      </c>
    </row>
    <row r="76">
      <c r="A76" s="26">
        <f>IFERROR(__xludf.DUMMYFUNCTION("""COMPUTED_VALUE"""),38463.645833333336)</f>
        <v>38463.64583</v>
      </c>
      <c r="B76" s="9">
        <f>IFERROR(__xludf.DUMMYFUNCTION("""COMPUTED_VALUE"""),121.25)</f>
        <v>121.25</v>
      </c>
      <c r="C76" s="9">
        <f>IFERROR(__xludf.DUMMYFUNCTION("""COMPUTED_VALUE"""),121.88)</f>
        <v>121.88</v>
      </c>
      <c r="D76" s="9">
        <f>IFERROR(__xludf.DUMMYFUNCTION("""COMPUTED_VALUE"""),118.94)</f>
        <v>118.94</v>
      </c>
      <c r="E76" s="9">
        <f>IFERROR(__xludf.DUMMYFUNCTION("""COMPUTED_VALUE"""),121.55)</f>
        <v>121.55</v>
      </c>
      <c r="F76" s="9">
        <f>IFERROR(__xludf.DUMMYFUNCTION("""COMPUTED_VALUE"""),1334519.0)</f>
        <v>1334519</v>
      </c>
      <c r="H76" s="27">
        <f>IFERROR(__xludf.DUMMYFUNCTION("""COMPUTED_VALUE"""),38463.645833333336)</f>
        <v>38463.64583</v>
      </c>
      <c r="I76" s="25">
        <f>IFERROR(__xludf.DUMMYFUNCTION("""COMPUTED_VALUE"""),140.63)</f>
        <v>140.63</v>
      </c>
      <c r="J76" s="25">
        <f>IFERROR(__xludf.DUMMYFUNCTION("""COMPUTED_VALUE"""),143.5)</f>
        <v>143.5</v>
      </c>
      <c r="K76" s="25">
        <f>IFERROR(__xludf.DUMMYFUNCTION("""COMPUTED_VALUE"""),138.75)</f>
        <v>138.75</v>
      </c>
      <c r="L76" s="25">
        <f>IFERROR(__xludf.DUMMYFUNCTION("""COMPUTED_VALUE"""),142.8)</f>
        <v>142.8</v>
      </c>
      <c r="M76" s="25">
        <f>IFERROR(__xludf.DUMMYFUNCTION("""COMPUTED_VALUE"""),1656542.0)</f>
        <v>1656542</v>
      </c>
    </row>
    <row r="77">
      <c r="A77" s="26">
        <f>IFERROR(__xludf.DUMMYFUNCTION("""COMPUTED_VALUE"""),38464.645833333336)</f>
        <v>38464.64583</v>
      </c>
      <c r="B77" s="9">
        <f>IFERROR(__xludf.DUMMYFUNCTION("""COMPUTED_VALUE"""),123.75)</f>
        <v>123.75</v>
      </c>
      <c r="C77" s="9">
        <f>IFERROR(__xludf.DUMMYFUNCTION("""COMPUTED_VALUE"""),125.5)</f>
        <v>125.5</v>
      </c>
      <c r="D77" s="9">
        <f>IFERROR(__xludf.DUMMYFUNCTION("""COMPUTED_VALUE"""),121.74)</f>
        <v>121.74</v>
      </c>
      <c r="E77" s="9">
        <f>IFERROR(__xludf.DUMMYFUNCTION("""COMPUTED_VALUE"""),124.95)</f>
        <v>124.95</v>
      </c>
      <c r="F77" s="9">
        <f>IFERROR(__xludf.DUMMYFUNCTION("""COMPUTED_VALUE"""),1531323.0)</f>
        <v>1531323</v>
      </c>
      <c r="H77" s="27">
        <f>IFERROR(__xludf.DUMMYFUNCTION("""COMPUTED_VALUE"""),38464.645833333336)</f>
        <v>38464.64583</v>
      </c>
      <c r="I77" s="25">
        <f>IFERROR(__xludf.DUMMYFUNCTION("""COMPUTED_VALUE"""),145.0)</f>
        <v>145</v>
      </c>
      <c r="J77" s="25">
        <f>IFERROR(__xludf.DUMMYFUNCTION("""COMPUTED_VALUE"""),146.46)</f>
        <v>146.46</v>
      </c>
      <c r="K77" s="25">
        <f>IFERROR(__xludf.DUMMYFUNCTION("""COMPUTED_VALUE"""),142.53)</f>
        <v>142.53</v>
      </c>
      <c r="L77" s="25">
        <f>IFERROR(__xludf.DUMMYFUNCTION("""COMPUTED_VALUE"""),145.85)</f>
        <v>145.85</v>
      </c>
      <c r="M77" s="25">
        <f>IFERROR(__xludf.DUMMYFUNCTION("""COMPUTED_VALUE"""),1619834.0)</f>
        <v>1619834</v>
      </c>
    </row>
    <row r="78">
      <c r="A78" s="26">
        <f>IFERROR(__xludf.DUMMYFUNCTION("""COMPUTED_VALUE"""),38467.645833333336)</f>
        <v>38467.64583</v>
      </c>
      <c r="B78" s="9">
        <f>IFERROR(__xludf.DUMMYFUNCTION("""COMPUTED_VALUE"""),126.13)</f>
        <v>126.13</v>
      </c>
      <c r="C78" s="9">
        <f>IFERROR(__xludf.DUMMYFUNCTION("""COMPUTED_VALUE"""),126.13)</f>
        <v>126.13</v>
      </c>
      <c r="D78" s="9">
        <f>IFERROR(__xludf.DUMMYFUNCTION("""COMPUTED_VALUE"""),123.44)</f>
        <v>123.44</v>
      </c>
      <c r="E78" s="9">
        <f>IFERROR(__xludf.DUMMYFUNCTION("""COMPUTED_VALUE"""),124.28)</f>
        <v>124.28</v>
      </c>
      <c r="F78" s="9">
        <f>IFERROR(__xludf.DUMMYFUNCTION("""COMPUTED_VALUE"""),853123.0)</f>
        <v>853123</v>
      </c>
      <c r="H78" s="27">
        <f>IFERROR(__xludf.DUMMYFUNCTION("""COMPUTED_VALUE"""),38467.645833333336)</f>
        <v>38467.64583</v>
      </c>
      <c r="I78" s="25">
        <f>IFERROR(__xludf.DUMMYFUNCTION("""COMPUTED_VALUE"""),145.6)</f>
        <v>145.6</v>
      </c>
      <c r="J78" s="25">
        <f>IFERROR(__xludf.DUMMYFUNCTION("""COMPUTED_VALUE"""),145.99)</f>
        <v>145.99</v>
      </c>
      <c r="K78" s="25">
        <f>IFERROR(__xludf.DUMMYFUNCTION("""COMPUTED_VALUE"""),143.5)</f>
        <v>143.5</v>
      </c>
      <c r="L78" s="25">
        <f>IFERROR(__xludf.DUMMYFUNCTION("""COMPUTED_VALUE"""),144.62)</f>
        <v>144.62</v>
      </c>
      <c r="M78" s="25">
        <f>IFERROR(__xludf.DUMMYFUNCTION("""COMPUTED_VALUE"""),860073.0)</f>
        <v>860073</v>
      </c>
    </row>
    <row r="79">
      <c r="A79" s="26">
        <f>IFERROR(__xludf.DUMMYFUNCTION("""COMPUTED_VALUE"""),38468.645833333336)</f>
        <v>38468.64583</v>
      </c>
      <c r="B79" s="9">
        <f>IFERROR(__xludf.DUMMYFUNCTION("""COMPUTED_VALUE"""),123.69)</f>
        <v>123.69</v>
      </c>
      <c r="C79" s="9">
        <f>IFERROR(__xludf.DUMMYFUNCTION("""COMPUTED_VALUE"""),123.73)</f>
        <v>123.73</v>
      </c>
      <c r="D79" s="9">
        <f>IFERROR(__xludf.DUMMYFUNCTION("""COMPUTED_VALUE"""),122.03)</f>
        <v>122.03</v>
      </c>
      <c r="E79" s="9">
        <f>IFERROR(__xludf.DUMMYFUNCTION("""COMPUTED_VALUE"""),122.41)</f>
        <v>122.41</v>
      </c>
      <c r="F79" s="9">
        <f>IFERROR(__xludf.DUMMYFUNCTION("""COMPUTED_VALUE"""),569124.0)</f>
        <v>569124</v>
      </c>
      <c r="H79" s="27">
        <f>IFERROR(__xludf.DUMMYFUNCTION("""COMPUTED_VALUE"""),38468.645833333336)</f>
        <v>38468.64583</v>
      </c>
      <c r="I79" s="25">
        <f>IFERROR(__xludf.DUMMYFUNCTION("""COMPUTED_VALUE"""),144.63)</f>
        <v>144.63</v>
      </c>
      <c r="J79" s="25">
        <f>IFERROR(__xludf.DUMMYFUNCTION("""COMPUTED_VALUE"""),145.48)</f>
        <v>145.48</v>
      </c>
      <c r="K79" s="25">
        <f>IFERROR(__xludf.DUMMYFUNCTION("""COMPUTED_VALUE"""),141.76)</f>
        <v>141.76</v>
      </c>
      <c r="L79" s="25">
        <f>IFERROR(__xludf.DUMMYFUNCTION("""COMPUTED_VALUE"""),142.09)</f>
        <v>142.09</v>
      </c>
      <c r="M79" s="25">
        <f>IFERROR(__xludf.DUMMYFUNCTION("""COMPUTED_VALUE"""),692375.0)</f>
        <v>692375</v>
      </c>
    </row>
    <row r="80">
      <c r="A80" s="26">
        <f>IFERROR(__xludf.DUMMYFUNCTION("""COMPUTED_VALUE"""),38469.645833333336)</f>
        <v>38469.64583</v>
      </c>
      <c r="B80" s="9">
        <f>IFERROR(__xludf.DUMMYFUNCTION("""COMPUTED_VALUE"""),119.69)</f>
        <v>119.69</v>
      </c>
      <c r="C80" s="9">
        <f>IFERROR(__xludf.DUMMYFUNCTION("""COMPUTED_VALUE"""),120.94)</f>
        <v>120.94</v>
      </c>
      <c r="D80" s="9">
        <f>IFERROR(__xludf.DUMMYFUNCTION("""COMPUTED_VALUE"""),117.38)</f>
        <v>117.38</v>
      </c>
      <c r="E80" s="9">
        <f>IFERROR(__xludf.DUMMYFUNCTION("""COMPUTED_VALUE"""),119.63)</f>
        <v>119.63</v>
      </c>
      <c r="F80" s="9">
        <f>IFERROR(__xludf.DUMMYFUNCTION("""COMPUTED_VALUE"""),2027164.0)</f>
        <v>2027164</v>
      </c>
      <c r="H80" s="27">
        <f>IFERROR(__xludf.DUMMYFUNCTION("""COMPUTED_VALUE"""),38469.645833333336)</f>
        <v>38469.64583</v>
      </c>
      <c r="I80" s="25">
        <f>IFERROR(__xludf.DUMMYFUNCTION("""COMPUTED_VALUE"""),142.64)</f>
        <v>142.64</v>
      </c>
      <c r="J80" s="25">
        <f>IFERROR(__xludf.DUMMYFUNCTION("""COMPUTED_VALUE"""),142.64)</f>
        <v>142.64</v>
      </c>
      <c r="K80" s="25">
        <f>IFERROR(__xludf.DUMMYFUNCTION("""COMPUTED_VALUE"""),138.88)</f>
        <v>138.88</v>
      </c>
      <c r="L80" s="25">
        <f>IFERROR(__xludf.DUMMYFUNCTION("""COMPUTED_VALUE"""),139.46)</f>
        <v>139.46</v>
      </c>
      <c r="M80" s="25">
        <f>IFERROR(__xludf.DUMMYFUNCTION("""COMPUTED_VALUE"""),817171.0)</f>
        <v>817171</v>
      </c>
    </row>
    <row r="81">
      <c r="A81" s="26">
        <f>IFERROR(__xludf.DUMMYFUNCTION("""COMPUTED_VALUE"""),38470.645833333336)</f>
        <v>38470.64583</v>
      </c>
      <c r="B81" s="9">
        <f>IFERROR(__xludf.DUMMYFUNCTION("""COMPUTED_VALUE"""),119.38)</f>
        <v>119.38</v>
      </c>
      <c r="C81" s="9">
        <f>IFERROR(__xludf.DUMMYFUNCTION("""COMPUTED_VALUE"""),119.69)</f>
        <v>119.69</v>
      </c>
      <c r="D81" s="9">
        <f>IFERROR(__xludf.DUMMYFUNCTION("""COMPUTED_VALUE"""),118.13)</f>
        <v>118.13</v>
      </c>
      <c r="E81" s="9">
        <f>IFERROR(__xludf.DUMMYFUNCTION("""COMPUTED_VALUE"""),119.1)</f>
        <v>119.1</v>
      </c>
      <c r="F81" s="9">
        <f>IFERROR(__xludf.DUMMYFUNCTION("""COMPUTED_VALUE"""),1382335.0)</f>
        <v>1382335</v>
      </c>
      <c r="H81" s="27">
        <f>IFERROR(__xludf.DUMMYFUNCTION("""COMPUTED_VALUE"""),38470.645833333336)</f>
        <v>38470.64583</v>
      </c>
      <c r="I81" s="25">
        <f>IFERROR(__xludf.DUMMYFUNCTION("""COMPUTED_VALUE"""),139.39)</f>
        <v>139.39</v>
      </c>
      <c r="J81" s="25">
        <f>IFERROR(__xludf.DUMMYFUNCTION("""COMPUTED_VALUE"""),141.25)</f>
        <v>141.25</v>
      </c>
      <c r="K81" s="25">
        <f>IFERROR(__xludf.DUMMYFUNCTION("""COMPUTED_VALUE"""),137.15)</f>
        <v>137.15</v>
      </c>
      <c r="L81" s="25">
        <f>IFERROR(__xludf.DUMMYFUNCTION("""COMPUTED_VALUE"""),139.35)</f>
        <v>139.35</v>
      </c>
      <c r="M81" s="25">
        <f>IFERROR(__xludf.DUMMYFUNCTION("""COMPUTED_VALUE"""),1091109.0)</f>
        <v>1091109</v>
      </c>
    </row>
    <row r="82">
      <c r="A82" s="26">
        <f>IFERROR(__xludf.DUMMYFUNCTION("""COMPUTED_VALUE"""),38471.645833333336)</f>
        <v>38471.64583</v>
      </c>
      <c r="B82" s="9">
        <f>IFERROR(__xludf.DUMMYFUNCTION("""COMPUTED_VALUE"""),119.94)</f>
        <v>119.94</v>
      </c>
      <c r="C82" s="9">
        <f>IFERROR(__xludf.DUMMYFUNCTION("""COMPUTED_VALUE"""),119.94)</f>
        <v>119.94</v>
      </c>
      <c r="D82" s="9">
        <f>IFERROR(__xludf.DUMMYFUNCTION("""COMPUTED_VALUE"""),117.28)</f>
        <v>117.28</v>
      </c>
      <c r="E82" s="9">
        <f>IFERROR(__xludf.DUMMYFUNCTION("""COMPUTED_VALUE"""),117.93)</f>
        <v>117.93</v>
      </c>
      <c r="F82" s="9">
        <f>IFERROR(__xludf.DUMMYFUNCTION("""COMPUTED_VALUE"""),862568.0)</f>
        <v>862568</v>
      </c>
      <c r="H82" s="27">
        <f>IFERROR(__xludf.DUMMYFUNCTION("""COMPUTED_VALUE"""),38471.645833333336)</f>
        <v>38471.64583</v>
      </c>
      <c r="I82" s="25">
        <f>IFERROR(__xludf.DUMMYFUNCTION("""COMPUTED_VALUE"""),141.1)</f>
        <v>141.1</v>
      </c>
      <c r="J82" s="25">
        <f>IFERROR(__xludf.DUMMYFUNCTION("""COMPUTED_VALUE"""),143.09)</f>
        <v>143.09</v>
      </c>
      <c r="K82" s="25">
        <f>IFERROR(__xludf.DUMMYFUNCTION("""COMPUTED_VALUE"""),139.63)</f>
        <v>139.63</v>
      </c>
      <c r="L82" s="25">
        <f>IFERROR(__xludf.DUMMYFUNCTION("""COMPUTED_VALUE"""),141.39)</f>
        <v>141.39</v>
      </c>
      <c r="M82" s="25">
        <f>IFERROR(__xludf.DUMMYFUNCTION("""COMPUTED_VALUE"""),1383213.0)</f>
        <v>1383213</v>
      </c>
    </row>
    <row r="83">
      <c r="A83" s="26">
        <f>IFERROR(__xludf.DUMMYFUNCTION("""COMPUTED_VALUE"""),38474.645833333336)</f>
        <v>38474.64583</v>
      </c>
      <c r="B83" s="9">
        <f>IFERROR(__xludf.DUMMYFUNCTION("""COMPUTED_VALUE"""),118.56)</f>
        <v>118.56</v>
      </c>
      <c r="C83" s="9">
        <f>IFERROR(__xludf.DUMMYFUNCTION("""COMPUTED_VALUE"""),124.09)</f>
        <v>124.09</v>
      </c>
      <c r="D83" s="9">
        <f>IFERROR(__xludf.DUMMYFUNCTION("""COMPUTED_VALUE"""),118.56)</f>
        <v>118.56</v>
      </c>
      <c r="E83" s="9">
        <f>IFERROR(__xludf.DUMMYFUNCTION("""COMPUTED_VALUE"""),119.7)</f>
        <v>119.7</v>
      </c>
      <c r="F83" s="9">
        <f>IFERROR(__xludf.DUMMYFUNCTION("""COMPUTED_VALUE"""),690525.0)</f>
        <v>690525</v>
      </c>
      <c r="H83" s="27">
        <f>IFERROR(__xludf.DUMMYFUNCTION("""COMPUTED_VALUE"""),38474.645833333336)</f>
        <v>38474.64583</v>
      </c>
      <c r="I83" s="25">
        <f>IFERROR(__xludf.DUMMYFUNCTION("""COMPUTED_VALUE"""),143.75)</f>
        <v>143.75</v>
      </c>
      <c r="J83" s="25">
        <f>IFERROR(__xludf.DUMMYFUNCTION("""COMPUTED_VALUE"""),147.25)</f>
        <v>147.25</v>
      </c>
      <c r="K83" s="25">
        <f>IFERROR(__xludf.DUMMYFUNCTION("""COMPUTED_VALUE"""),139.76)</f>
        <v>139.76</v>
      </c>
      <c r="L83" s="25">
        <f>IFERROR(__xludf.DUMMYFUNCTION("""COMPUTED_VALUE"""),141.11)</f>
        <v>141.11</v>
      </c>
      <c r="M83" s="25">
        <f>IFERROR(__xludf.DUMMYFUNCTION("""COMPUTED_VALUE"""),641200.0)</f>
        <v>641200</v>
      </c>
    </row>
    <row r="84">
      <c r="A84" s="26">
        <f>IFERROR(__xludf.DUMMYFUNCTION("""COMPUTED_VALUE"""),38475.645833333336)</f>
        <v>38475.64583</v>
      </c>
      <c r="B84" s="9">
        <f>IFERROR(__xludf.DUMMYFUNCTION("""COMPUTED_VALUE"""),120.31)</f>
        <v>120.31</v>
      </c>
      <c r="C84" s="9">
        <f>IFERROR(__xludf.DUMMYFUNCTION("""COMPUTED_VALUE"""),120.31)</f>
        <v>120.31</v>
      </c>
      <c r="D84" s="9">
        <f>IFERROR(__xludf.DUMMYFUNCTION("""COMPUTED_VALUE"""),118.75)</f>
        <v>118.75</v>
      </c>
      <c r="E84" s="9">
        <f>IFERROR(__xludf.DUMMYFUNCTION("""COMPUTED_VALUE"""),118.84)</f>
        <v>118.84</v>
      </c>
      <c r="F84" s="9">
        <f>IFERROR(__xludf.DUMMYFUNCTION("""COMPUTED_VALUE"""),654224.0)</f>
        <v>654224</v>
      </c>
      <c r="H84" s="27">
        <f>IFERROR(__xludf.DUMMYFUNCTION("""COMPUTED_VALUE"""),38475.645833333336)</f>
        <v>38475.64583</v>
      </c>
      <c r="I84" s="25">
        <f>IFERROR(__xludf.DUMMYFUNCTION("""COMPUTED_VALUE"""),141.25)</f>
        <v>141.25</v>
      </c>
      <c r="J84" s="25">
        <f>IFERROR(__xludf.DUMMYFUNCTION("""COMPUTED_VALUE"""),141.88)</f>
        <v>141.88</v>
      </c>
      <c r="K84" s="25">
        <f>IFERROR(__xludf.DUMMYFUNCTION("""COMPUTED_VALUE"""),138.17)</f>
        <v>138.17</v>
      </c>
      <c r="L84" s="25">
        <f>IFERROR(__xludf.DUMMYFUNCTION("""COMPUTED_VALUE"""),138.57)</f>
        <v>138.57</v>
      </c>
      <c r="M84" s="25">
        <f>IFERROR(__xludf.DUMMYFUNCTION("""COMPUTED_VALUE"""),687881.0)</f>
        <v>687881</v>
      </c>
    </row>
    <row r="85">
      <c r="A85" s="26">
        <f>IFERROR(__xludf.DUMMYFUNCTION("""COMPUTED_VALUE"""),38476.645833333336)</f>
        <v>38476.64583</v>
      </c>
      <c r="B85" s="9">
        <f>IFERROR(__xludf.DUMMYFUNCTION("""COMPUTED_VALUE"""),118.75)</f>
        <v>118.75</v>
      </c>
      <c r="C85" s="9">
        <f>IFERROR(__xludf.DUMMYFUNCTION("""COMPUTED_VALUE"""),121.69)</f>
        <v>121.69</v>
      </c>
      <c r="D85" s="9">
        <f>IFERROR(__xludf.DUMMYFUNCTION("""COMPUTED_VALUE"""),118.75)</f>
        <v>118.75</v>
      </c>
      <c r="E85" s="9">
        <f>IFERROR(__xludf.DUMMYFUNCTION("""COMPUTED_VALUE"""),121.1)</f>
        <v>121.1</v>
      </c>
      <c r="F85" s="9">
        <f>IFERROR(__xludf.DUMMYFUNCTION("""COMPUTED_VALUE"""),710444.0)</f>
        <v>710444</v>
      </c>
      <c r="H85" s="27">
        <f>IFERROR(__xludf.DUMMYFUNCTION("""COMPUTED_VALUE"""),38476.645833333336)</f>
        <v>38476.64583</v>
      </c>
      <c r="I85" s="25">
        <f>IFERROR(__xludf.DUMMYFUNCTION("""COMPUTED_VALUE"""),138.31)</f>
        <v>138.31</v>
      </c>
      <c r="J85" s="25">
        <f>IFERROR(__xludf.DUMMYFUNCTION("""COMPUTED_VALUE"""),140.56)</f>
        <v>140.56</v>
      </c>
      <c r="K85" s="25">
        <f>IFERROR(__xludf.DUMMYFUNCTION("""COMPUTED_VALUE"""),138.31)</f>
        <v>138.31</v>
      </c>
      <c r="L85" s="25">
        <f>IFERROR(__xludf.DUMMYFUNCTION("""COMPUTED_VALUE"""),140.11)</f>
        <v>140.11</v>
      </c>
      <c r="M85" s="25">
        <f>IFERROR(__xludf.DUMMYFUNCTION("""COMPUTED_VALUE"""),599018.0)</f>
        <v>599018</v>
      </c>
    </row>
    <row r="86">
      <c r="A86" s="26">
        <f>IFERROR(__xludf.DUMMYFUNCTION("""COMPUTED_VALUE"""),38477.645833333336)</f>
        <v>38477.64583</v>
      </c>
      <c r="B86" s="9">
        <f>IFERROR(__xludf.DUMMYFUNCTION("""COMPUTED_VALUE"""),123.13)</f>
        <v>123.13</v>
      </c>
      <c r="C86" s="9">
        <f>IFERROR(__xludf.DUMMYFUNCTION("""COMPUTED_VALUE"""),125.44)</f>
        <v>125.44</v>
      </c>
      <c r="D86" s="9">
        <f>IFERROR(__xludf.DUMMYFUNCTION("""COMPUTED_VALUE"""),121.95)</f>
        <v>121.95</v>
      </c>
      <c r="E86" s="9">
        <f>IFERROR(__xludf.DUMMYFUNCTION("""COMPUTED_VALUE"""),124.7)</f>
        <v>124.7</v>
      </c>
      <c r="F86" s="9">
        <f>IFERROR(__xludf.DUMMYFUNCTION("""COMPUTED_VALUE"""),1597625.0)</f>
        <v>1597625</v>
      </c>
      <c r="H86" s="27">
        <f>IFERROR(__xludf.DUMMYFUNCTION("""COMPUTED_VALUE"""),38477.645833333336)</f>
        <v>38477.64583</v>
      </c>
      <c r="I86" s="25">
        <f>IFERROR(__xludf.DUMMYFUNCTION("""COMPUTED_VALUE"""),143.74)</f>
        <v>143.74</v>
      </c>
      <c r="J86" s="25">
        <f>IFERROR(__xludf.DUMMYFUNCTION("""COMPUTED_VALUE"""),143.75)</f>
        <v>143.75</v>
      </c>
      <c r="K86" s="25">
        <f>IFERROR(__xludf.DUMMYFUNCTION("""COMPUTED_VALUE"""),140.7)</f>
        <v>140.7</v>
      </c>
      <c r="L86" s="25">
        <f>IFERROR(__xludf.DUMMYFUNCTION("""COMPUTED_VALUE"""),142.11)</f>
        <v>142.11</v>
      </c>
      <c r="M86" s="25">
        <f>IFERROR(__xludf.DUMMYFUNCTION("""COMPUTED_VALUE"""),811883.0)</f>
        <v>811883</v>
      </c>
    </row>
    <row r="87">
      <c r="A87" s="26">
        <f>IFERROR(__xludf.DUMMYFUNCTION("""COMPUTED_VALUE"""),38478.645833333336)</f>
        <v>38478.64583</v>
      </c>
      <c r="B87" s="9">
        <f>IFERROR(__xludf.DUMMYFUNCTION("""COMPUTED_VALUE"""),125.19)</f>
        <v>125.19</v>
      </c>
      <c r="C87" s="9">
        <f>IFERROR(__xludf.DUMMYFUNCTION("""COMPUTED_VALUE"""),126.88)</f>
        <v>126.88</v>
      </c>
      <c r="D87" s="9">
        <f>IFERROR(__xludf.DUMMYFUNCTION("""COMPUTED_VALUE"""),124.81)</f>
        <v>124.81</v>
      </c>
      <c r="E87" s="9">
        <f>IFERROR(__xludf.DUMMYFUNCTION("""COMPUTED_VALUE"""),126.35)</f>
        <v>126.35</v>
      </c>
      <c r="F87" s="9">
        <f>IFERROR(__xludf.DUMMYFUNCTION("""COMPUTED_VALUE"""),984132.0)</f>
        <v>984132</v>
      </c>
      <c r="H87" s="27">
        <f>IFERROR(__xludf.DUMMYFUNCTION("""COMPUTED_VALUE"""),38478.645833333336)</f>
        <v>38478.64583</v>
      </c>
      <c r="I87" s="25">
        <f>IFERROR(__xludf.DUMMYFUNCTION("""COMPUTED_VALUE"""),142.5)</f>
        <v>142.5</v>
      </c>
      <c r="J87" s="25">
        <f>IFERROR(__xludf.DUMMYFUNCTION("""COMPUTED_VALUE"""),146.46)</f>
        <v>146.46</v>
      </c>
      <c r="K87" s="25">
        <f>IFERROR(__xludf.DUMMYFUNCTION("""COMPUTED_VALUE"""),141.52)</f>
        <v>141.52</v>
      </c>
      <c r="L87" s="25">
        <f>IFERROR(__xludf.DUMMYFUNCTION("""COMPUTED_VALUE"""),145.94)</f>
        <v>145.94</v>
      </c>
      <c r="M87" s="25">
        <f>IFERROR(__xludf.DUMMYFUNCTION("""COMPUTED_VALUE"""),1023583.0)</f>
        <v>1023583</v>
      </c>
    </row>
    <row r="88">
      <c r="A88" s="26">
        <f>IFERROR(__xludf.DUMMYFUNCTION("""COMPUTED_VALUE"""),38481.645833333336)</f>
        <v>38481.64583</v>
      </c>
      <c r="B88" s="9">
        <f>IFERROR(__xludf.DUMMYFUNCTION("""COMPUTED_VALUE"""),127.44)</f>
        <v>127.44</v>
      </c>
      <c r="C88" s="9">
        <f>IFERROR(__xludf.DUMMYFUNCTION("""COMPUTED_VALUE"""),131.47)</f>
        <v>131.47</v>
      </c>
      <c r="D88" s="9">
        <f>IFERROR(__xludf.DUMMYFUNCTION("""COMPUTED_VALUE"""),127.44)</f>
        <v>127.44</v>
      </c>
      <c r="E88" s="9">
        <f>IFERROR(__xludf.DUMMYFUNCTION("""COMPUTED_VALUE"""),131.04)</f>
        <v>131.04</v>
      </c>
      <c r="F88" s="9">
        <f>IFERROR(__xludf.DUMMYFUNCTION("""COMPUTED_VALUE"""),1229618.0)</f>
        <v>1229618</v>
      </c>
      <c r="H88" s="27">
        <f>IFERROR(__xludf.DUMMYFUNCTION("""COMPUTED_VALUE"""),38481.645833333336)</f>
        <v>38481.64583</v>
      </c>
      <c r="I88" s="25">
        <f>IFERROR(__xludf.DUMMYFUNCTION("""COMPUTED_VALUE"""),146.25)</f>
        <v>146.25</v>
      </c>
      <c r="J88" s="25">
        <f>IFERROR(__xludf.DUMMYFUNCTION("""COMPUTED_VALUE"""),147.78)</f>
        <v>147.78</v>
      </c>
      <c r="K88" s="25">
        <f>IFERROR(__xludf.DUMMYFUNCTION("""COMPUTED_VALUE"""),145.78)</f>
        <v>145.78</v>
      </c>
      <c r="L88" s="25">
        <f>IFERROR(__xludf.DUMMYFUNCTION("""COMPUTED_VALUE"""),146.91)</f>
        <v>146.91</v>
      </c>
      <c r="M88" s="25">
        <f>IFERROR(__xludf.DUMMYFUNCTION("""COMPUTED_VALUE"""),592380.0)</f>
        <v>592380</v>
      </c>
    </row>
    <row r="89">
      <c r="A89" s="26">
        <f>IFERROR(__xludf.DUMMYFUNCTION("""COMPUTED_VALUE"""),38482.645833333336)</f>
        <v>38482.64583</v>
      </c>
      <c r="B89" s="9">
        <f>IFERROR(__xludf.DUMMYFUNCTION("""COMPUTED_VALUE"""),131.25)</f>
        <v>131.25</v>
      </c>
      <c r="C89" s="9">
        <f>IFERROR(__xludf.DUMMYFUNCTION("""COMPUTED_VALUE"""),132.44)</f>
        <v>132.44</v>
      </c>
      <c r="D89" s="9">
        <f>IFERROR(__xludf.DUMMYFUNCTION("""COMPUTED_VALUE"""),128.13)</f>
        <v>128.13</v>
      </c>
      <c r="E89" s="9">
        <f>IFERROR(__xludf.DUMMYFUNCTION("""COMPUTED_VALUE"""),128.7)</f>
        <v>128.7</v>
      </c>
      <c r="F89" s="9">
        <f>IFERROR(__xludf.DUMMYFUNCTION("""COMPUTED_VALUE"""),1140931.0)</f>
        <v>1140931</v>
      </c>
      <c r="H89" s="27">
        <f>IFERROR(__xludf.DUMMYFUNCTION("""COMPUTED_VALUE"""),38482.645833333336)</f>
        <v>38482.64583</v>
      </c>
      <c r="I89" s="25">
        <f>IFERROR(__xludf.DUMMYFUNCTION("""COMPUTED_VALUE"""),147.25)</f>
        <v>147.25</v>
      </c>
      <c r="J89" s="25">
        <f>IFERROR(__xludf.DUMMYFUNCTION("""COMPUTED_VALUE"""),147.25)</f>
        <v>147.25</v>
      </c>
      <c r="K89" s="25">
        <f>IFERROR(__xludf.DUMMYFUNCTION("""COMPUTED_VALUE"""),143.28)</f>
        <v>143.28</v>
      </c>
      <c r="L89" s="25">
        <f>IFERROR(__xludf.DUMMYFUNCTION("""COMPUTED_VALUE"""),144.06)</f>
        <v>144.06</v>
      </c>
      <c r="M89" s="25">
        <f>IFERROR(__xludf.DUMMYFUNCTION("""COMPUTED_VALUE"""),884494.0)</f>
        <v>884494</v>
      </c>
    </row>
    <row r="90">
      <c r="A90" s="26">
        <f>IFERROR(__xludf.DUMMYFUNCTION("""COMPUTED_VALUE"""),38483.645833333336)</f>
        <v>38483.64583</v>
      </c>
      <c r="B90" s="9">
        <f>IFERROR(__xludf.DUMMYFUNCTION("""COMPUTED_VALUE"""),124.69)</f>
        <v>124.69</v>
      </c>
      <c r="C90" s="9">
        <f>IFERROR(__xludf.DUMMYFUNCTION("""COMPUTED_VALUE"""),130.0)</f>
        <v>130</v>
      </c>
      <c r="D90" s="9">
        <f>IFERROR(__xludf.DUMMYFUNCTION("""COMPUTED_VALUE"""),124.69)</f>
        <v>124.69</v>
      </c>
      <c r="E90" s="9">
        <f>IFERROR(__xludf.DUMMYFUNCTION("""COMPUTED_VALUE"""),129.12)</f>
        <v>129.12</v>
      </c>
      <c r="F90" s="9">
        <f>IFERROR(__xludf.DUMMYFUNCTION("""COMPUTED_VALUE"""),1005510.0)</f>
        <v>1005510</v>
      </c>
      <c r="H90" s="27">
        <f>IFERROR(__xludf.DUMMYFUNCTION("""COMPUTED_VALUE"""),38483.645833333336)</f>
        <v>38483.64583</v>
      </c>
      <c r="I90" s="25">
        <f>IFERROR(__xludf.DUMMYFUNCTION("""COMPUTED_VALUE"""),143.5)</f>
        <v>143.5</v>
      </c>
      <c r="J90" s="25">
        <f>IFERROR(__xludf.DUMMYFUNCTION("""COMPUTED_VALUE"""),144.07)</f>
        <v>144.07</v>
      </c>
      <c r="K90" s="25">
        <f>IFERROR(__xludf.DUMMYFUNCTION("""COMPUTED_VALUE"""),142.24)</f>
        <v>142.24</v>
      </c>
      <c r="L90" s="25">
        <f>IFERROR(__xludf.DUMMYFUNCTION("""COMPUTED_VALUE"""),143.64)</f>
        <v>143.64</v>
      </c>
      <c r="M90" s="25">
        <f>IFERROR(__xludf.DUMMYFUNCTION("""COMPUTED_VALUE"""),401661.0)</f>
        <v>401661</v>
      </c>
    </row>
    <row r="91">
      <c r="A91" s="26">
        <f>IFERROR(__xludf.DUMMYFUNCTION("""COMPUTED_VALUE"""),38484.645833333336)</f>
        <v>38484.64583</v>
      </c>
      <c r="B91" s="9">
        <f>IFERROR(__xludf.DUMMYFUNCTION("""COMPUTED_VALUE"""),128.92)</f>
        <v>128.92</v>
      </c>
      <c r="C91" s="9">
        <f>IFERROR(__xludf.DUMMYFUNCTION("""COMPUTED_VALUE"""),129.13)</f>
        <v>129.13</v>
      </c>
      <c r="D91" s="9">
        <f>IFERROR(__xludf.DUMMYFUNCTION("""COMPUTED_VALUE"""),127.56)</f>
        <v>127.56</v>
      </c>
      <c r="E91" s="9">
        <f>IFERROR(__xludf.DUMMYFUNCTION("""COMPUTED_VALUE"""),128.82)</f>
        <v>128.82</v>
      </c>
      <c r="F91" s="9">
        <f>IFERROR(__xludf.DUMMYFUNCTION("""COMPUTED_VALUE"""),720509.0)</f>
        <v>720509</v>
      </c>
      <c r="H91" s="27">
        <f>IFERROR(__xludf.DUMMYFUNCTION("""COMPUTED_VALUE"""),38484.645833333336)</f>
        <v>38484.64583</v>
      </c>
      <c r="I91" s="25">
        <f>IFERROR(__xludf.DUMMYFUNCTION("""COMPUTED_VALUE"""),144.88)</f>
        <v>144.88</v>
      </c>
      <c r="J91" s="25">
        <f>IFERROR(__xludf.DUMMYFUNCTION("""COMPUTED_VALUE"""),145.21)</f>
        <v>145.21</v>
      </c>
      <c r="K91" s="25">
        <f>IFERROR(__xludf.DUMMYFUNCTION("""COMPUTED_VALUE"""),142.9)</f>
        <v>142.9</v>
      </c>
      <c r="L91" s="25">
        <f>IFERROR(__xludf.DUMMYFUNCTION("""COMPUTED_VALUE"""),143.35)</f>
        <v>143.35</v>
      </c>
      <c r="M91" s="25">
        <f>IFERROR(__xludf.DUMMYFUNCTION("""COMPUTED_VALUE"""),451118.0)</f>
        <v>451118</v>
      </c>
    </row>
    <row r="92">
      <c r="A92" s="26">
        <f>IFERROR(__xludf.DUMMYFUNCTION("""COMPUTED_VALUE"""),38485.645833333336)</f>
        <v>38485.64583</v>
      </c>
      <c r="B92" s="9">
        <f>IFERROR(__xludf.DUMMYFUNCTION("""COMPUTED_VALUE"""),128.13)</f>
        <v>128.13</v>
      </c>
      <c r="C92" s="9">
        <f>IFERROR(__xludf.DUMMYFUNCTION("""COMPUTED_VALUE"""),128.13)</f>
        <v>128.13</v>
      </c>
      <c r="D92" s="9">
        <f>IFERROR(__xludf.DUMMYFUNCTION("""COMPUTED_VALUE"""),126.28)</f>
        <v>126.28</v>
      </c>
      <c r="E92" s="9">
        <f>IFERROR(__xludf.DUMMYFUNCTION("""COMPUTED_VALUE"""),127.06)</f>
        <v>127.06</v>
      </c>
      <c r="F92" s="9">
        <f>IFERROR(__xludf.DUMMYFUNCTION("""COMPUTED_VALUE"""),1087895.0)</f>
        <v>1087895</v>
      </c>
      <c r="H92" s="27">
        <f>IFERROR(__xludf.DUMMYFUNCTION("""COMPUTED_VALUE"""),38485.645833333336)</f>
        <v>38485.64583</v>
      </c>
      <c r="I92" s="25">
        <f>IFERROR(__xludf.DUMMYFUNCTION("""COMPUTED_VALUE"""),143.63)</f>
        <v>143.63</v>
      </c>
      <c r="J92" s="25">
        <f>IFERROR(__xludf.DUMMYFUNCTION("""COMPUTED_VALUE"""),143.88)</f>
        <v>143.88</v>
      </c>
      <c r="K92" s="25">
        <f>IFERROR(__xludf.DUMMYFUNCTION("""COMPUTED_VALUE"""),142.52)</f>
        <v>142.52</v>
      </c>
      <c r="L92" s="25">
        <f>IFERROR(__xludf.DUMMYFUNCTION("""COMPUTED_VALUE"""),143.57)</f>
        <v>143.57</v>
      </c>
      <c r="M92" s="25">
        <f>IFERROR(__xludf.DUMMYFUNCTION("""COMPUTED_VALUE"""),298594.0)</f>
        <v>298594</v>
      </c>
    </row>
    <row r="93">
      <c r="A93" s="26">
        <f>IFERROR(__xludf.DUMMYFUNCTION("""COMPUTED_VALUE"""),38488.645833333336)</f>
        <v>38488.64583</v>
      </c>
      <c r="B93" s="9">
        <f>IFERROR(__xludf.DUMMYFUNCTION("""COMPUTED_VALUE"""),127.5)</f>
        <v>127.5</v>
      </c>
      <c r="C93" s="9">
        <f>IFERROR(__xludf.DUMMYFUNCTION("""COMPUTED_VALUE"""),130.31)</f>
        <v>130.31</v>
      </c>
      <c r="D93" s="9">
        <f>IFERROR(__xludf.DUMMYFUNCTION("""COMPUTED_VALUE"""),127.5)</f>
        <v>127.5</v>
      </c>
      <c r="E93" s="9">
        <f>IFERROR(__xludf.DUMMYFUNCTION("""COMPUTED_VALUE"""),129.87)</f>
        <v>129.87</v>
      </c>
      <c r="F93" s="9">
        <f>IFERROR(__xludf.DUMMYFUNCTION("""COMPUTED_VALUE"""),1016669.0)</f>
        <v>1016669</v>
      </c>
      <c r="H93" s="27">
        <f>IFERROR(__xludf.DUMMYFUNCTION("""COMPUTED_VALUE"""),38488.645833333336)</f>
        <v>38488.64583</v>
      </c>
      <c r="I93" s="25">
        <f>IFERROR(__xludf.DUMMYFUNCTION("""COMPUTED_VALUE"""),143.13)</f>
        <v>143.13</v>
      </c>
      <c r="J93" s="25">
        <f>IFERROR(__xludf.DUMMYFUNCTION("""COMPUTED_VALUE"""),144.86)</f>
        <v>144.86</v>
      </c>
      <c r="K93" s="25">
        <f>IFERROR(__xludf.DUMMYFUNCTION("""COMPUTED_VALUE"""),142.78)</f>
        <v>142.78</v>
      </c>
      <c r="L93" s="25">
        <f>IFERROR(__xludf.DUMMYFUNCTION("""COMPUTED_VALUE"""),144.29)</f>
        <v>144.29</v>
      </c>
      <c r="M93" s="25">
        <f>IFERROR(__xludf.DUMMYFUNCTION("""COMPUTED_VALUE"""),721900.0)</f>
        <v>721900</v>
      </c>
    </row>
    <row r="94">
      <c r="A94" s="26">
        <f>IFERROR(__xludf.DUMMYFUNCTION("""COMPUTED_VALUE"""),38489.645833333336)</f>
        <v>38489.64583</v>
      </c>
      <c r="B94" s="9">
        <f>IFERROR(__xludf.DUMMYFUNCTION("""COMPUTED_VALUE"""),130.25)</f>
        <v>130.25</v>
      </c>
      <c r="C94" s="9">
        <f>IFERROR(__xludf.DUMMYFUNCTION("""COMPUTED_VALUE"""),132.25)</f>
        <v>132.25</v>
      </c>
      <c r="D94" s="9">
        <f>IFERROR(__xludf.DUMMYFUNCTION("""COMPUTED_VALUE"""),128.48)</f>
        <v>128.48</v>
      </c>
      <c r="E94" s="9">
        <f>IFERROR(__xludf.DUMMYFUNCTION("""COMPUTED_VALUE"""),129.0)</f>
        <v>129</v>
      </c>
      <c r="F94" s="9">
        <f>IFERROR(__xludf.DUMMYFUNCTION("""COMPUTED_VALUE"""),1316706.0)</f>
        <v>1316706</v>
      </c>
      <c r="H94" s="27">
        <f>IFERROR(__xludf.DUMMYFUNCTION("""COMPUTED_VALUE"""),38489.645833333336)</f>
        <v>38489.64583</v>
      </c>
      <c r="I94" s="25">
        <f>IFERROR(__xludf.DUMMYFUNCTION("""COMPUTED_VALUE"""),145.14)</f>
        <v>145.14</v>
      </c>
      <c r="J94" s="25">
        <f>IFERROR(__xludf.DUMMYFUNCTION("""COMPUTED_VALUE"""),145.59)</f>
        <v>145.59</v>
      </c>
      <c r="K94" s="25">
        <f>IFERROR(__xludf.DUMMYFUNCTION("""COMPUTED_VALUE"""),143.05)</f>
        <v>143.05</v>
      </c>
      <c r="L94" s="25">
        <f>IFERROR(__xludf.DUMMYFUNCTION("""COMPUTED_VALUE"""),143.82)</f>
        <v>143.82</v>
      </c>
      <c r="M94" s="25">
        <f>IFERROR(__xludf.DUMMYFUNCTION("""COMPUTED_VALUE"""),583322.0)</f>
        <v>583322</v>
      </c>
    </row>
    <row r="95">
      <c r="A95" s="26">
        <f>IFERROR(__xludf.DUMMYFUNCTION("""COMPUTED_VALUE"""),38490.645833333336)</f>
        <v>38490.64583</v>
      </c>
      <c r="B95" s="9">
        <f>IFERROR(__xludf.DUMMYFUNCTION("""COMPUTED_VALUE"""),128.75)</f>
        <v>128.75</v>
      </c>
      <c r="C95" s="9">
        <f>IFERROR(__xludf.DUMMYFUNCTION("""COMPUTED_VALUE"""),128.87)</f>
        <v>128.87</v>
      </c>
      <c r="D95" s="9">
        <f>IFERROR(__xludf.DUMMYFUNCTION("""COMPUTED_VALUE"""),124.57)</f>
        <v>124.57</v>
      </c>
      <c r="E95" s="9">
        <f>IFERROR(__xludf.DUMMYFUNCTION("""COMPUTED_VALUE"""),127.64)</f>
        <v>127.64</v>
      </c>
      <c r="F95" s="9">
        <f>IFERROR(__xludf.DUMMYFUNCTION("""COMPUTED_VALUE"""),1385709.0)</f>
        <v>1385709</v>
      </c>
      <c r="H95" s="27">
        <f>IFERROR(__xludf.DUMMYFUNCTION("""COMPUTED_VALUE"""),38490.645833333336)</f>
        <v>38490.64583</v>
      </c>
      <c r="I95" s="25">
        <f>IFERROR(__xludf.DUMMYFUNCTION("""COMPUTED_VALUE"""),144.25)</f>
        <v>144.25</v>
      </c>
      <c r="J95" s="25">
        <f>IFERROR(__xludf.DUMMYFUNCTION("""COMPUTED_VALUE"""),144.25)</f>
        <v>144.25</v>
      </c>
      <c r="K95" s="25">
        <f>IFERROR(__xludf.DUMMYFUNCTION("""COMPUTED_VALUE"""),140.38)</f>
        <v>140.38</v>
      </c>
      <c r="L95" s="25">
        <f>IFERROR(__xludf.DUMMYFUNCTION("""COMPUTED_VALUE"""),142.84)</f>
        <v>142.84</v>
      </c>
      <c r="M95" s="25">
        <f>IFERROR(__xludf.DUMMYFUNCTION("""COMPUTED_VALUE"""),573528.0)</f>
        <v>573528</v>
      </c>
    </row>
    <row r="96">
      <c r="A96" s="26">
        <f>IFERROR(__xludf.DUMMYFUNCTION("""COMPUTED_VALUE"""),38491.645833333336)</f>
        <v>38491.64583</v>
      </c>
      <c r="B96" s="9">
        <f>IFERROR(__xludf.DUMMYFUNCTION("""COMPUTED_VALUE"""),129.06)</f>
        <v>129.06</v>
      </c>
      <c r="C96" s="9">
        <f>IFERROR(__xludf.DUMMYFUNCTION("""COMPUTED_VALUE"""),131.88)</f>
        <v>131.88</v>
      </c>
      <c r="D96" s="9">
        <f>IFERROR(__xludf.DUMMYFUNCTION("""COMPUTED_VALUE"""),129.06)</f>
        <v>129.06</v>
      </c>
      <c r="E96" s="9">
        <f>IFERROR(__xludf.DUMMYFUNCTION("""COMPUTED_VALUE"""),131.05)</f>
        <v>131.05</v>
      </c>
      <c r="F96" s="9">
        <f>IFERROR(__xludf.DUMMYFUNCTION("""COMPUTED_VALUE"""),1051705.0)</f>
        <v>1051705</v>
      </c>
      <c r="H96" s="27">
        <f>IFERROR(__xludf.DUMMYFUNCTION("""COMPUTED_VALUE"""),38491.645833333336)</f>
        <v>38491.64583</v>
      </c>
      <c r="I96" s="25">
        <f>IFERROR(__xludf.DUMMYFUNCTION("""COMPUTED_VALUE"""),144.18)</f>
        <v>144.18</v>
      </c>
      <c r="J96" s="25">
        <f>IFERROR(__xludf.DUMMYFUNCTION("""COMPUTED_VALUE"""),146.5)</f>
        <v>146.5</v>
      </c>
      <c r="K96" s="25">
        <f>IFERROR(__xludf.DUMMYFUNCTION("""COMPUTED_VALUE"""),144.15)</f>
        <v>144.15</v>
      </c>
      <c r="L96" s="25">
        <f>IFERROR(__xludf.DUMMYFUNCTION("""COMPUTED_VALUE"""),145.31)</f>
        <v>145.31</v>
      </c>
      <c r="M96" s="25">
        <f>IFERROR(__xludf.DUMMYFUNCTION("""COMPUTED_VALUE"""),457431.0)</f>
        <v>457431</v>
      </c>
    </row>
    <row r="97">
      <c r="A97" s="26">
        <f>IFERROR(__xludf.DUMMYFUNCTION("""COMPUTED_VALUE"""),38492.645833333336)</f>
        <v>38492.64583</v>
      </c>
      <c r="B97" s="9">
        <f>IFERROR(__xludf.DUMMYFUNCTION("""COMPUTED_VALUE"""),132.13)</f>
        <v>132.13</v>
      </c>
      <c r="C97" s="9">
        <f>IFERROR(__xludf.DUMMYFUNCTION("""COMPUTED_VALUE"""),134.38)</f>
        <v>134.38</v>
      </c>
      <c r="D97" s="9">
        <f>IFERROR(__xludf.DUMMYFUNCTION("""COMPUTED_VALUE"""),129.63)</f>
        <v>129.63</v>
      </c>
      <c r="E97" s="9">
        <f>IFERROR(__xludf.DUMMYFUNCTION("""COMPUTED_VALUE"""),133.78)</f>
        <v>133.78</v>
      </c>
      <c r="F97" s="9">
        <f>IFERROR(__xludf.DUMMYFUNCTION("""COMPUTED_VALUE"""),959660.0)</f>
        <v>959660</v>
      </c>
      <c r="H97" s="27">
        <f>IFERROR(__xludf.DUMMYFUNCTION("""COMPUTED_VALUE"""),38492.645833333336)</f>
        <v>38492.64583</v>
      </c>
      <c r="I97" s="25">
        <f>IFERROR(__xludf.DUMMYFUNCTION("""COMPUTED_VALUE"""),145.63)</f>
        <v>145.63</v>
      </c>
      <c r="J97" s="25">
        <f>IFERROR(__xludf.DUMMYFUNCTION("""COMPUTED_VALUE"""),146.84)</f>
        <v>146.84</v>
      </c>
      <c r="K97" s="25">
        <f>IFERROR(__xludf.DUMMYFUNCTION("""COMPUTED_VALUE"""),143.4)</f>
        <v>143.4</v>
      </c>
      <c r="L97" s="25">
        <f>IFERROR(__xludf.DUMMYFUNCTION("""COMPUTED_VALUE"""),146.21)</f>
        <v>146.21</v>
      </c>
      <c r="M97" s="25">
        <f>IFERROR(__xludf.DUMMYFUNCTION("""COMPUTED_VALUE"""),408202.0)</f>
        <v>408202</v>
      </c>
    </row>
    <row r="98">
      <c r="A98" s="26">
        <f>IFERROR(__xludf.DUMMYFUNCTION("""COMPUTED_VALUE"""),38495.645833333336)</f>
        <v>38495.64583</v>
      </c>
      <c r="B98" s="9">
        <f>IFERROR(__xludf.DUMMYFUNCTION("""COMPUTED_VALUE"""),134.25)</f>
        <v>134.25</v>
      </c>
      <c r="C98" s="9">
        <f>IFERROR(__xludf.DUMMYFUNCTION("""COMPUTED_VALUE"""),134.25)</f>
        <v>134.25</v>
      </c>
      <c r="D98" s="9">
        <f>IFERROR(__xludf.DUMMYFUNCTION("""COMPUTED_VALUE"""),132.27)</f>
        <v>132.27</v>
      </c>
      <c r="E98" s="9">
        <f>IFERROR(__xludf.DUMMYFUNCTION("""COMPUTED_VALUE"""),133.41)</f>
        <v>133.41</v>
      </c>
      <c r="F98" s="9">
        <f>IFERROR(__xludf.DUMMYFUNCTION("""COMPUTED_VALUE"""),362733.0)</f>
        <v>362733</v>
      </c>
      <c r="H98" s="27">
        <f>IFERROR(__xludf.DUMMYFUNCTION("""COMPUTED_VALUE"""),38495.645833333336)</f>
        <v>38495.64583</v>
      </c>
      <c r="I98" s="25">
        <f>IFERROR(__xludf.DUMMYFUNCTION("""COMPUTED_VALUE"""),146.25)</f>
        <v>146.25</v>
      </c>
      <c r="J98" s="25">
        <f>IFERROR(__xludf.DUMMYFUNCTION("""COMPUTED_VALUE"""),154.36)</f>
        <v>154.36</v>
      </c>
      <c r="K98" s="25">
        <f>IFERROR(__xludf.DUMMYFUNCTION("""COMPUTED_VALUE"""),146.25)</f>
        <v>146.25</v>
      </c>
      <c r="L98" s="25">
        <f>IFERROR(__xludf.DUMMYFUNCTION("""COMPUTED_VALUE"""),152.98)</f>
        <v>152.98</v>
      </c>
      <c r="M98" s="25">
        <f>IFERROR(__xludf.DUMMYFUNCTION("""COMPUTED_VALUE"""),1295252.0)</f>
        <v>1295252</v>
      </c>
    </row>
    <row r="99">
      <c r="A99" s="26">
        <f>IFERROR(__xludf.DUMMYFUNCTION("""COMPUTED_VALUE"""),38496.645833333336)</f>
        <v>38496.64583</v>
      </c>
      <c r="B99" s="9">
        <f>IFERROR(__xludf.DUMMYFUNCTION("""COMPUTED_VALUE"""),135.13)</f>
        <v>135.13</v>
      </c>
      <c r="C99" s="9">
        <f>IFERROR(__xludf.DUMMYFUNCTION("""COMPUTED_VALUE"""),135.85)</f>
        <v>135.85</v>
      </c>
      <c r="D99" s="9">
        <f>IFERROR(__xludf.DUMMYFUNCTION("""COMPUTED_VALUE"""),133.66)</f>
        <v>133.66</v>
      </c>
      <c r="E99" s="9">
        <f>IFERROR(__xludf.DUMMYFUNCTION("""COMPUTED_VALUE"""),134.72)</f>
        <v>134.72</v>
      </c>
      <c r="F99" s="9">
        <f>IFERROR(__xludf.DUMMYFUNCTION("""COMPUTED_VALUE"""),893314.0)</f>
        <v>893314</v>
      </c>
      <c r="H99" s="27">
        <f>IFERROR(__xludf.DUMMYFUNCTION("""COMPUTED_VALUE"""),38496.645833333336)</f>
        <v>38496.64583</v>
      </c>
      <c r="I99" s="25">
        <f>IFERROR(__xludf.DUMMYFUNCTION("""COMPUTED_VALUE"""),155.59)</f>
        <v>155.59</v>
      </c>
      <c r="J99" s="25">
        <f>IFERROR(__xludf.DUMMYFUNCTION("""COMPUTED_VALUE"""),155.59)</f>
        <v>155.59</v>
      </c>
      <c r="K99" s="25">
        <f>IFERROR(__xludf.DUMMYFUNCTION("""COMPUTED_VALUE"""),150.66)</f>
        <v>150.66</v>
      </c>
      <c r="L99" s="25">
        <f>IFERROR(__xludf.DUMMYFUNCTION("""COMPUTED_VALUE"""),154.36)</f>
        <v>154.36</v>
      </c>
      <c r="M99" s="25">
        <f>IFERROR(__xludf.DUMMYFUNCTION("""COMPUTED_VALUE"""),766107.0)</f>
        <v>766107</v>
      </c>
    </row>
    <row r="100">
      <c r="A100" s="26">
        <f>IFERROR(__xludf.DUMMYFUNCTION("""COMPUTED_VALUE"""),38497.645833333336)</f>
        <v>38497.64583</v>
      </c>
      <c r="B100" s="9">
        <f>IFERROR(__xludf.DUMMYFUNCTION("""COMPUTED_VALUE"""),133.19)</f>
        <v>133.19</v>
      </c>
      <c r="C100" s="9">
        <f>IFERROR(__xludf.DUMMYFUNCTION("""COMPUTED_VALUE"""),137.5)</f>
        <v>137.5</v>
      </c>
      <c r="D100" s="9">
        <f>IFERROR(__xludf.DUMMYFUNCTION("""COMPUTED_VALUE"""),131.95)</f>
        <v>131.95</v>
      </c>
      <c r="E100" s="9">
        <f>IFERROR(__xludf.DUMMYFUNCTION("""COMPUTED_VALUE"""),135.7)</f>
        <v>135.7</v>
      </c>
      <c r="F100" s="9">
        <f>IFERROR(__xludf.DUMMYFUNCTION("""COMPUTED_VALUE"""),1635341.0)</f>
        <v>1635341</v>
      </c>
      <c r="H100" s="27">
        <f>IFERROR(__xludf.DUMMYFUNCTION("""COMPUTED_VALUE"""),38497.645833333336)</f>
        <v>38497.64583</v>
      </c>
      <c r="I100" s="25">
        <f>IFERROR(__xludf.DUMMYFUNCTION("""COMPUTED_VALUE"""),153.71)</f>
        <v>153.71</v>
      </c>
      <c r="J100" s="25">
        <f>IFERROR(__xludf.DUMMYFUNCTION("""COMPUTED_VALUE"""),158.68)</f>
        <v>158.68</v>
      </c>
      <c r="K100" s="25">
        <f>IFERROR(__xludf.DUMMYFUNCTION("""COMPUTED_VALUE"""),151.88)</f>
        <v>151.88</v>
      </c>
      <c r="L100" s="25">
        <f>IFERROR(__xludf.DUMMYFUNCTION("""COMPUTED_VALUE"""),157.57)</f>
        <v>157.57</v>
      </c>
      <c r="M100" s="25">
        <f>IFERROR(__xludf.DUMMYFUNCTION("""COMPUTED_VALUE"""),986809.0)</f>
        <v>986809</v>
      </c>
    </row>
    <row r="101">
      <c r="A101" s="26">
        <f>IFERROR(__xludf.DUMMYFUNCTION("""COMPUTED_VALUE"""),38498.645833333336)</f>
        <v>38498.64583</v>
      </c>
      <c r="B101" s="9">
        <f>IFERROR(__xludf.DUMMYFUNCTION("""COMPUTED_VALUE"""),135.32)</f>
        <v>135.32</v>
      </c>
      <c r="C101" s="9">
        <f>IFERROR(__xludf.DUMMYFUNCTION("""COMPUTED_VALUE"""),139.25)</f>
        <v>139.25</v>
      </c>
      <c r="D101" s="9">
        <f>IFERROR(__xludf.DUMMYFUNCTION("""COMPUTED_VALUE"""),135.32)</f>
        <v>135.32</v>
      </c>
      <c r="E101" s="9">
        <f>IFERROR(__xludf.DUMMYFUNCTION("""COMPUTED_VALUE"""),137.82)</f>
        <v>137.82</v>
      </c>
      <c r="F101" s="9">
        <f>IFERROR(__xludf.DUMMYFUNCTION("""COMPUTED_VALUE"""),2035637.0)</f>
        <v>2035637</v>
      </c>
      <c r="H101" s="27">
        <f>IFERROR(__xludf.DUMMYFUNCTION("""COMPUTED_VALUE"""),38498.645833333336)</f>
        <v>38498.64583</v>
      </c>
      <c r="I101" s="25">
        <f>IFERROR(__xludf.DUMMYFUNCTION("""COMPUTED_VALUE"""),157.25)</f>
        <v>157.25</v>
      </c>
      <c r="J101" s="25">
        <f>IFERROR(__xludf.DUMMYFUNCTION("""COMPUTED_VALUE"""),162.0)</f>
        <v>162</v>
      </c>
      <c r="K101" s="25">
        <f>IFERROR(__xludf.DUMMYFUNCTION("""COMPUTED_VALUE"""),156.4)</f>
        <v>156.4</v>
      </c>
      <c r="L101" s="25">
        <f>IFERROR(__xludf.DUMMYFUNCTION("""COMPUTED_VALUE"""),161.26)</f>
        <v>161.26</v>
      </c>
      <c r="M101" s="25">
        <f>IFERROR(__xludf.DUMMYFUNCTION("""COMPUTED_VALUE"""),1222762.0)</f>
        <v>1222762</v>
      </c>
    </row>
    <row r="102">
      <c r="A102" s="26">
        <f>IFERROR(__xludf.DUMMYFUNCTION("""COMPUTED_VALUE"""),38499.645833333336)</f>
        <v>38499.64583</v>
      </c>
      <c r="B102" s="9">
        <f>IFERROR(__xludf.DUMMYFUNCTION("""COMPUTED_VALUE"""),134.06)</f>
        <v>134.06</v>
      </c>
      <c r="C102" s="9">
        <f>IFERROR(__xludf.DUMMYFUNCTION("""COMPUTED_VALUE"""),141.53)</f>
        <v>141.53</v>
      </c>
      <c r="D102" s="9">
        <f>IFERROR(__xludf.DUMMYFUNCTION("""COMPUTED_VALUE"""),134.06)</f>
        <v>134.06</v>
      </c>
      <c r="E102" s="9">
        <f>IFERROR(__xludf.DUMMYFUNCTION("""COMPUTED_VALUE"""),139.52)</f>
        <v>139.52</v>
      </c>
      <c r="F102" s="9">
        <f>IFERROR(__xludf.DUMMYFUNCTION("""COMPUTED_VALUE"""),1336273.0)</f>
        <v>1336273</v>
      </c>
      <c r="H102" s="27">
        <f>IFERROR(__xludf.DUMMYFUNCTION("""COMPUTED_VALUE"""),38499.645833333336)</f>
        <v>38499.64583</v>
      </c>
      <c r="I102" s="25">
        <f>IFERROR(__xludf.DUMMYFUNCTION("""COMPUTED_VALUE"""),160.38)</f>
        <v>160.38</v>
      </c>
      <c r="J102" s="25">
        <f>IFERROR(__xludf.DUMMYFUNCTION("""COMPUTED_VALUE"""),162.38)</f>
        <v>162.38</v>
      </c>
      <c r="K102" s="25">
        <f>IFERROR(__xludf.DUMMYFUNCTION("""COMPUTED_VALUE"""),156.91)</f>
        <v>156.91</v>
      </c>
      <c r="L102" s="25">
        <f>IFERROR(__xludf.DUMMYFUNCTION("""COMPUTED_VALUE"""),158.65)</f>
        <v>158.65</v>
      </c>
      <c r="M102" s="25">
        <f>IFERROR(__xludf.DUMMYFUNCTION("""COMPUTED_VALUE"""),920435.0)</f>
        <v>920435</v>
      </c>
    </row>
    <row r="103">
      <c r="A103" s="26">
        <f>IFERROR(__xludf.DUMMYFUNCTION("""COMPUTED_VALUE"""),38502.645833333336)</f>
        <v>38502.64583</v>
      </c>
      <c r="B103" s="9">
        <f>IFERROR(__xludf.DUMMYFUNCTION("""COMPUTED_VALUE"""),137.26)</f>
        <v>137.26</v>
      </c>
      <c r="C103" s="9">
        <f>IFERROR(__xludf.DUMMYFUNCTION("""COMPUTED_VALUE"""),140.06)</f>
        <v>140.06</v>
      </c>
      <c r="D103" s="9">
        <f>IFERROR(__xludf.DUMMYFUNCTION("""COMPUTED_VALUE"""),136.91)</f>
        <v>136.91</v>
      </c>
      <c r="E103" s="9">
        <f>IFERROR(__xludf.DUMMYFUNCTION("""COMPUTED_VALUE"""),139.25)</f>
        <v>139.25</v>
      </c>
      <c r="F103" s="9">
        <f>IFERROR(__xludf.DUMMYFUNCTION("""COMPUTED_VALUE"""),885674.0)</f>
        <v>885674</v>
      </c>
      <c r="H103" s="27">
        <f>IFERROR(__xludf.DUMMYFUNCTION("""COMPUTED_VALUE"""),38502.645833333336)</f>
        <v>38502.64583</v>
      </c>
      <c r="I103" s="25">
        <f>IFERROR(__xludf.DUMMYFUNCTION("""COMPUTED_VALUE"""),158.65)</f>
        <v>158.65</v>
      </c>
      <c r="J103" s="25">
        <f>IFERROR(__xludf.DUMMYFUNCTION("""COMPUTED_VALUE"""),166.63)</f>
        <v>166.63</v>
      </c>
      <c r="K103" s="25">
        <f>IFERROR(__xludf.DUMMYFUNCTION("""COMPUTED_VALUE"""),158.0)</f>
        <v>158</v>
      </c>
      <c r="L103" s="25">
        <f>IFERROR(__xludf.DUMMYFUNCTION("""COMPUTED_VALUE"""),164.89)</f>
        <v>164.89</v>
      </c>
      <c r="M103" s="25">
        <f>IFERROR(__xludf.DUMMYFUNCTION("""COMPUTED_VALUE"""),2236648.0)</f>
        <v>2236648</v>
      </c>
    </row>
    <row r="104">
      <c r="A104" s="26">
        <f>IFERROR(__xludf.DUMMYFUNCTION("""COMPUTED_VALUE"""),38503.645833333336)</f>
        <v>38503.64583</v>
      </c>
      <c r="B104" s="9">
        <f>IFERROR(__xludf.DUMMYFUNCTION("""COMPUTED_VALUE"""),138.44)</f>
        <v>138.44</v>
      </c>
      <c r="C104" s="9">
        <f>IFERROR(__xludf.DUMMYFUNCTION("""COMPUTED_VALUE"""),141.13)</f>
        <v>141.13</v>
      </c>
      <c r="D104" s="9">
        <f>IFERROR(__xludf.DUMMYFUNCTION("""COMPUTED_VALUE"""),138.25)</f>
        <v>138.25</v>
      </c>
      <c r="E104" s="9">
        <f>IFERROR(__xludf.DUMMYFUNCTION("""COMPUTED_VALUE"""),140.65)</f>
        <v>140.65</v>
      </c>
      <c r="F104" s="9">
        <f>IFERROR(__xludf.DUMMYFUNCTION("""COMPUTED_VALUE"""),844930.0)</f>
        <v>844930</v>
      </c>
      <c r="H104" s="27">
        <f>IFERROR(__xludf.DUMMYFUNCTION("""COMPUTED_VALUE"""),38503.645833333336)</f>
        <v>38503.64583</v>
      </c>
      <c r="I104" s="25">
        <f>IFERROR(__xludf.DUMMYFUNCTION("""COMPUTED_VALUE"""),165.0)</f>
        <v>165</v>
      </c>
      <c r="J104" s="25">
        <f>IFERROR(__xludf.DUMMYFUNCTION("""COMPUTED_VALUE"""),167.86)</f>
        <v>167.86</v>
      </c>
      <c r="K104" s="25">
        <f>IFERROR(__xludf.DUMMYFUNCTION("""COMPUTED_VALUE"""),163.2)</f>
        <v>163.2</v>
      </c>
      <c r="L104" s="25">
        <f>IFERROR(__xludf.DUMMYFUNCTION("""COMPUTED_VALUE"""),166.78)</f>
        <v>166.78</v>
      </c>
      <c r="M104" s="25">
        <f>IFERROR(__xludf.DUMMYFUNCTION("""COMPUTED_VALUE"""),1295696.0)</f>
        <v>1295696</v>
      </c>
    </row>
    <row r="105">
      <c r="A105" s="26">
        <f>IFERROR(__xludf.DUMMYFUNCTION("""COMPUTED_VALUE"""),38504.645833333336)</f>
        <v>38504.64583</v>
      </c>
      <c r="B105" s="9">
        <f>IFERROR(__xludf.DUMMYFUNCTION("""COMPUTED_VALUE"""),140.94)</f>
        <v>140.94</v>
      </c>
      <c r="C105" s="9">
        <f>IFERROR(__xludf.DUMMYFUNCTION("""COMPUTED_VALUE"""),141.31)</f>
        <v>141.31</v>
      </c>
      <c r="D105" s="9">
        <f>IFERROR(__xludf.DUMMYFUNCTION("""COMPUTED_VALUE"""),138.0)</f>
        <v>138</v>
      </c>
      <c r="E105" s="9">
        <f>IFERROR(__xludf.DUMMYFUNCTION("""COMPUTED_VALUE"""),138.88)</f>
        <v>138.88</v>
      </c>
      <c r="F105" s="9">
        <f>IFERROR(__xludf.DUMMYFUNCTION("""COMPUTED_VALUE"""),774889.0)</f>
        <v>774889</v>
      </c>
      <c r="H105" s="27">
        <f>IFERROR(__xludf.DUMMYFUNCTION("""COMPUTED_VALUE"""),38504.645833333336)</f>
        <v>38504.64583</v>
      </c>
      <c r="I105" s="25">
        <f>IFERROR(__xludf.DUMMYFUNCTION("""COMPUTED_VALUE"""),166.25)</f>
        <v>166.25</v>
      </c>
      <c r="J105" s="25">
        <f>IFERROR(__xludf.DUMMYFUNCTION("""COMPUTED_VALUE"""),166.25)</f>
        <v>166.25</v>
      </c>
      <c r="K105" s="25">
        <f>IFERROR(__xludf.DUMMYFUNCTION("""COMPUTED_VALUE"""),162.2)</f>
        <v>162.2</v>
      </c>
      <c r="L105" s="25">
        <f>IFERROR(__xludf.DUMMYFUNCTION("""COMPUTED_VALUE"""),163.06)</f>
        <v>163.06</v>
      </c>
      <c r="M105" s="25">
        <f>IFERROR(__xludf.DUMMYFUNCTION("""COMPUTED_VALUE"""),941261.0)</f>
        <v>941261</v>
      </c>
    </row>
    <row r="106">
      <c r="A106" s="26">
        <f>IFERROR(__xludf.DUMMYFUNCTION("""COMPUTED_VALUE"""),38505.645833333336)</f>
        <v>38505.64583</v>
      </c>
      <c r="B106" s="9">
        <f>IFERROR(__xludf.DUMMYFUNCTION("""COMPUTED_VALUE"""),139.06)</f>
        <v>139.06</v>
      </c>
      <c r="C106" s="9">
        <f>IFERROR(__xludf.DUMMYFUNCTION("""COMPUTED_VALUE"""),139.5)</f>
        <v>139.5</v>
      </c>
      <c r="D106" s="9">
        <f>IFERROR(__xludf.DUMMYFUNCTION("""COMPUTED_VALUE"""),137.24)</f>
        <v>137.24</v>
      </c>
      <c r="E106" s="9">
        <f>IFERROR(__xludf.DUMMYFUNCTION("""COMPUTED_VALUE"""),137.58)</f>
        <v>137.58</v>
      </c>
      <c r="F106" s="9">
        <f>IFERROR(__xludf.DUMMYFUNCTION("""COMPUTED_VALUE"""),467703.0)</f>
        <v>467703</v>
      </c>
      <c r="H106" s="27">
        <f>IFERROR(__xludf.DUMMYFUNCTION("""COMPUTED_VALUE"""),38505.645833333336)</f>
        <v>38505.64583</v>
      </c>
      <c r="I106" s="25">
        <f>IFERROR(__xludf.DUMMYFUNCTION("""COMPUTED_VALUE"""),163.5)</f>
        <v>163.5</v>
      </c>
      <c r="J106" s="25">
        <f>IFERROR(__xludf.DUMMYFUNCTION("""COMPUTED_VALUE"""),163.63)</f>
        <v>163.63</v>
      </c>
      <c r="K106" s="25">
        <f>IFERROR(__xludf.DUMMYFUNCTION("""COMPUTED_VALUE"""),158.14)</f>
        <v>158.14</v>
      </c>
      <c r="L106" s="25">
        <f>IFERROR(__xludf.DUMMYFUNCTION("""COMPUTED_VALUE"""),158.57)</f>
        <v>158.57</v>
      </c>
      <c r="M106" s="25">
        <f>IFERROR(__xludf.DUMMYFUNCTION("""COMPUTED_VALUE"""),1384578.0)</f>
        <v>1384578</v>
      </c>
    </row>
    <row r="107">
      <c r="A107" s="26">
        <f>IFERROR(__xludf.DUMMYFUNCTION("""COMPUTED_VALUE"""),38506.645833333336)</f>
        <v>38506.64583</v>
      </c>
      <c r="B107" s="9">
        <f>IFERROR(__xludf.DUMMYFUNCTION("""COMPUTED_VALUE"""),138.06)</f>
        <v>138.06</v>
      </c>
      <c r="C107" s="9">
        <f>IFERROR(__xludf.DUMMYFUNCTION("""COMPUTED_VALUE"""),142.18)</f>
        <v>142.18</v>
      </c>
      <c r="D107" s="9">
        <f>IFERROR(__xludf.DUMMYFUNCTION("""COMPUTED_VALUE"""),136.88)</f>
        <v>136.88</v>
      </c>
      <c r="E107" s="9">
        <f>IFERROR(__xludf.DUMMYFUNCTION("""COMPUTED_VALUE"""),140.99)</f>
        <v>140.99</v>
      </c>
      <c r="F107" s="9">
        <f>IFERROR(__xludf.DUMMYFUNCTION("""COMPUTED_VALUE"""),792981.0)</f>
        <v>792981</v>
      </c>
      <c r="H107" s="27">
        <f>IFERROR(__xludf.DUMMYFUNCTION("""COMPUTED_VALUE"""),38506.645833333336)</f>
        <v>38506.64583</v>
      </c>
      <c r="I107" s="25">
        <f>IFERROR(__xludf.DUMMYFUNCTION("""COMPUTED_VALUE"""),158.57)</f>
        <v>158.57</v>
      </c>
      <c r="J107" s="25">
        <f>IFERROR(__xludf.DUMMYFUNCTION("""COMPUTED_VALUE"""),162.09)</f>
        <v>162.09</v>
      </c>
      <c r="K107" s="25">
        <f>IFERROR(__xludf.DUMMYFUNCTION("""COMPUTED_VALUE"""),157.63)</f>
        <v>157.63</v>
      </c>
      <c r="L107" s="25">
        <f>IFERROR(__xludf.DUMMYFUNCTION("""COMPUTED_VALUE"""),161.65)</f>
        <v>161.65</v>
      </c>
      <c r="M107" s="25">
        <f>IFERROR(__xludf.DUMMYFUNCTION("""COMPUTED_VALUE"""),818566.0)</f>
        <v>818566</v>
      </c>
    </row>
    <row r="108">
      <c r="A108" s="26">
        <f>IFERROR(__xludf.DUMMYFUNCTION("""COMPUTED_VALUE"""),38509.645833333336)</f>
        <v>38509.64583</v>
      </c>
      <c r="B108" s="9">
        <f>IFERROR(__xludf.DUMMYFUNCTION("""COMPUTED_VALUE"""),139.71)</f>
        <v>139.71</v>
      </c>
      <c r="C108" s="9">
        <f>IFERROR(__xludf.DUMMYFUNCTION("""COMPUTED_VALUE"""),141.06)</f>
        <v>141.06</v>
      </c>
      <c r="D108" s="9">
        <f>IFERROR(__xludf.DUMMYFUNCTION("""COMPUTED_VALUE"""),137.71)</f>
        <v>137.71</v>
      </c>
      <c r="E108" s="9">
        <f>IFERROR(__xludf.DUMMYFUNCTION("""COMPUTED_VALUE"""),138.53)</f>
        <v>138.53</v>
      </c>
      <c r="F108" s="9">
        <f>IFERROR(__xludf.DUMMYFUNCTION("""COMPUTED_VALUE"""),480421.0)</f>
        <v>480421</v>
      </c>
      <c r="H108" s="27">
        <f>IFERROR(__xludf.DUMMYFUNCTION("""COMPUTED_VALUE"""),38509.645833333336)</f>
        <v>38509.64583</v>
      </c>
      <c r="I108" s="25">
        <f>IFERROR(__xludf.DUMMYFUNCTION("""COMPUTED_VALUE"""),161.88)</f>
        <v>161.88</v>
      </c>
      <c r="J108" s="25">
        <f>IFERROR(__xludf.DUMMYFUNCTION("""COMPUTED_VALUE"""),162.71)</f>
        <v>162.71</v>
      </c>
      <c r="K108" s="25">
        <f>IFERROR(__xludf.DUMMYFUNCTION("""COMPUTED_VALUE"""),158.79)</f>
        <v>158.79</v>
      </c>
      <c r="L108" s="25">
        <f>IFERROR(__xludf.DUMMYFUNCTION("""COMPUTED_VALUE"""),160.05)</f>
        <v>160.05</v>
      </c>
      <c r="M108" s="25">
        <f>IFERROR(__xludf.DUMMYFUNCTION("""COMPUTED_VALUE"""),724064.0)</f>
        <v>724064</v>
      </c>
    </row>
    <row r="109">
      <c r="A109" s="26">
        <f>IFERROR(__xludf.DUMMYFUNCTION("""COMPUTED_VALUE"""),38510.645833333336)</f>
        <v>38510.64583</v>
      </c>
      <c r="B109" s="9">
        <f>IFERROR(__xludf.DUMMYFUNCTION("""COMPUTED_VALUE"""),137.56)</f>
        <v>137.56</v>
      </c>
      <c r="C109" s="9">
        <f>IFERROR(__xludf.DUMMYFUNCTION("""COMPUTED_VALUE"""),140.25)</f>
        <v>140.25</v>
      </c>
      <c r="D109" s="9">
        <f>IFERROR(__xludf.DUMMYFUNCTION("""COMPUTED_VALUE"""),137.56)</f>
        <v>137.56</v>
      </c>
      <c r="E109" s="9">
        <f>IFERROR(__xludf.DUMMYFUNCTION("""COMPUTED_VALUE"""),139.55)</f>
        <v>139.55</v>
      </c>
      <c r="F109" s="9">
        <f>IFERROR(__xludf.DUMMYFUNCTION("""COMPUTED_VALUE"""),611110.0)</f>
        <v>611110</v>
      </c>
      <c r="H109" s="27">
        <f>IFERROR(__xludf.DUMMYFUNCTION("""COMPUTED_VALUE"""),38510.645833333336)</f>
        <v>38510.64583</v>
      </c>
      <c r="I109" s="25">
        <f>IFERROR(__xludf.DUMMYFUNCTION("""COMPUTED_VALUE"""),161.1)</f>
        <v>161.1</v>
      </c>
      <c r="J109" s="25">
        <f>IFERROR(__xludf.DUMMYFUNCTION("""COMPUTED_VALUE"""),161.1)</f>
        <v>161.1</v>
      </c>
      <c r="K109" s="25">
        <f>IFERROR(__xludf.DUMMYFUNCTION("""COMPUTED_VALUE"""),158.63)</f>
        <v>158.63</v>
      </c>
      <c r="L109" s="25">
        <f>IFERROR(__xludf.DUMMYFUNCTION("""COMPUTED_VALUE"""),159.71)</f>
        <v>159.71</v>
      </c>
      <c r="M109" s="25">
        <f>IFERROR(__xludf.DUMMYFUNCTION("""COMPUTED_VALUE"""),462274.0)</f>
        <v>462274</v>
      </c>
    </row>
    <row r="110">
      <c r="A110" s="26">
        <f>IFERROR(__xludf.DUMMYFUNCTION("""COMPUTED_VALUE"""),38511.645833333336)</f>
        <v>38511.64583</v>
      </c>
      <c r="B110" s="9">
        <f>IFERROR(__xludf.DUMMYFUNCTION("""COMPUTED_VALUE"""),138.92)</f>
        <v>138.92</v>
      </c>
      <c r="C110" s="9">
        <f>IFERROR(__xludf.DUMMYFUNCTION("""COMPUTED_VALUE"""),144.06)</f>
        <v>144.06</v>
      </c>
      <c r="D110" s="9">
        <f>IFERROR(__xludf.DUMMYFUNCTION("""COMPUTED_VALUE"""),138.92)</f>
        <v>138.92</v>
      </c>
      <c r="E110" s="9">
        <f>IFERROR(__xludf.DUMMYFUNCTION("""COMPUTED_VALUE"""),143.52)</f>
        <v>143.52</v>
      </c>
      <c r="F110" s="9">
        <f>IFERROR(__xludf.DUMMYFUNCTION("""COMPUTED_VALUE"""),1039065.0)</f>
        <v>1039065</v>
      </c>
      <c r="H110" s="27">
        <f>IFERROR(__xludf.DUMMYFUNCTION("""COMPUTED_VALUE"""),38511.645833333336)</f>
        <v>38511.64583</v>
      </c>
      <c r="I110" s="25">
        <f>IFERROR(__xludf.DUMMYFUNCTION("""COMPUTED_VALUE"""),160.0)</f>
        <v>160</v>
      </c>
      <c r="J110" s="25">
        <f>IFERROR(__xludf.DUMMYFUNCTION("""COMPUTED_VALUE"""),162.0)</f>
        <v>162</v>
      </c>
      <c r="K110" s="25">
        <f>IFERROR(__xludf.DUMMYFUNCTION("""COMPUTED_VALUE"""),159.51)</f>
        <v>159.51</v>
      </c>
      <c r="L110" s="25">
        <f>IFERROR(__xludf.DUMMYFUNCTION("""COMPUTED_VALUE"""),161.51)</f>
        <v>161.51</v>
      </c>
      <c r="M110" s="25">
        <f>IFERROR(__xludf.DUMMYFUNCTION("""COMPUTED_VALUE"""),604064.0)</f>
        <v>604064</v>
      </c>
    </row>
    <row r="111">
      <c r="A111" s="26">
        <f>IFERROR(__xludf.DUMMYFUNCTION("""COMPUTED_VALUE"""),38512.645833333336)</f>
        <v>38512.64583</v>
      </c>
      <c r="B111" s="9">
        <f>IFERROR(__xludf.DUMMYFUNCTION("""COMPUTED_VALUE"""),142.35)</f>
        <v>142.35</v>
      </c>
      <c r="C111" s="9">
        <f>IFERROR(__xludf.DUMMYFUNCTION("""COMPUTED_VALUE"""),143.13)</f>
        <v>143.13</v>
      </c>
      <c r="D111" s="9">
        <f>IFERROR(__xludf.DUMMYFUNCTION("""COMPUTED_VALUE"""),139.19)</f>
        <v>139.19</v>
      </c>
      <c r="E111" s="9">
        <f>IFERROR(__xludf.DUMMYFUNCTION("""COMPUTED_VALUE"""),139.8)</f>
        <v>139.8</v>
      </c>
      <c r="F111" s="9">
        <f>IFERROR(__xludf.DUMMYFUNCTION("""COMPUTED_VALUE"""),806245.0)</f>
        <v>806245</v>
      </c>
      <c r="H111" s="27">
        <f>IFERROR(__xludf.DUMMYFUNCTION("""COMPUTED_VALUE"""),38512.645833333336)</f>
        <v>38512.64583</v>
      </c>
      <c r="I111" s="25">
        <f>IFERROR(__xludf.DUMMYFUNCTION("""COMPUTED_VALUE"""),161.75)</f>
        <v>161.75</v>
      </c>
      <c r="J111" s="25">
        <f>IFERROR(__xludf.DUMMYFUNCTION("""COMPUTED_VALUE"""),162.38)</f>
        <v>162.38</v>
      </c>
      <c r="K111" s="25">
        <f>IFERROR(__xludf.DUMMYFUNCTION("""COMPUTED_VALUE"""),158.92)</f>
        <v>158.92</v>
      </c>
      <c r="L111" s="25">
        <f>IFERROR(__xludf.DUMMYFUNCTION("""COMPUTED_VALUE"""),159.66)</f>
        <v>159.66</v>
      </c>
      <c r="M111" s="25">
        <f>IFERROR(__xludf.DUMMYFUNCTION("""COMPUTED_VALUE"""),449792.0)</f>
        <v>449792</v>
      </c>
    </row>
    <row r="112">
      <c r="A112" s="26">
        <f>IFERROR(__xludf.DUMMYFUNCTION("""COMPUTED_VALUE"""),38513.645833333336)</f>
        <v>38513.64583</v>
      </c>
      <c r="B112" s="9">
        <f>IFERROR(__xludf.DUMMYFUNCTION("""COMPUTED_VALUE"""),140.63)</f>
        <v>140.63</v>
      </c>
      <c r="C112" s="9">
        <f>IFERROR(__xludf.DUMMYFUNCTION("""COMPUTED_VALUE"""),141.88)</f>
        <v>141.88</v>
      </c>
      <c r="D112" s="9">
        <f>IFERROR(__xludf.DUMMYFUNCTION("""COMPUTED_VALUE"""),137.5)</f>
        <v>137.5</v>
      </c>
      <c r="E112" s="9">
        <f>IFERROR(__xludf.DUMMYFUNCTION("""COMPUTED_VALUE"""),138.27)</f>
        <v>138.27</v>
      </c>
      <c r="F112" s="9">
        <f>IFERROR(__xludf.DUMMYFUNCTION("""COMPUTED_VALUE"""),726637.0)</f>
        <v>726637</v>
      </c>
      <c r="H112" s="27">
        <f>IFERROR(__xludf.DUMMYFUNCTION("""COMPUTED_VALUE"""),38513.645833333336)</f>
        <v>38513.64583</v>
      </c>
      <c r="I112" s="25">
        <f>IFERROR(__xludf.DUMMYFUNCTION("""COMPUTED_VALUE"""),160.0)</f>
        <v>160</v>
      </c>
      <c r="J112" s="25">
        <f>IFERROR(__xludf.DUMMYFUNCTION("""COMPUTED_VALUE"""),162.5)</f>
        <v>162.5</v>
      </c>
      <c r="K112" s="25">
        <f>IFERROR(__xludf.DUMMYFUNCTION("""COMPUTED_VALUE"""),157.64)</f>
        <v>157.64</v>
      </c>
      <c r="L112" s="25">
        <f>IFERROR(__xludf.DUMMYFUNCTION("""COMPUTED_VALUE"""),158.27)</f>
        <v>158.27</v>
      </c>
      <c r="M112" s="25">
        <f>IFERROR(__xludf.DUMMYFUNCTION("""COMPUTED_VALUE"""),830328.0)</f>
        <v>830328</v>
      </c>
    </row>
    <row r="113">
      <c r="A113" s="26">
        <f>IFERROR(__xludf.DUMMYFUNCTION("""COMPUTED_VALUE"""),38516.645833333336)</f>
        <v>38516.64583</v>
      </c>
      <c r="B113" s="9">
        <f>IFERROR(__xludf.DUMMYFUNCTION("""COMPUTED_VALUE"""),138.46)</f>
        <v>138.46</v>
      </c>
      <c r="C113" s="9">
        <f>IFERROR(__xludf.DUMMYFUNCTION("""COMPUTED_VALUE"""),140.25)</f>
        <v>140.25</v>
      </c>
      <c r="D113" s="9">
        <f>IFERROR(__xludf.DUMMYFUNCTION("""COMPUTED_VALUE"""),138.46)</f>
        <v>138.46</v>
      </c>
      <c r="E113" s="9">
        <f>IFERROR(__xludf.DUMMYFUNCTION("""COMPUTED_VALUE"""),139.0)</f>
        <v>139</v>
      </c>
      <c r="F113" s="9">
        <f>IFERROR(__xludf.DUMMYFUNCTION("""COMPUTED_VALUE"""),643037.0)</f>
        <v>643037</v>
      </c>
      <c r="H113" s="27">
        <f>IFERROR(__xludf.DUMMYFUNCTION("""COMPUTED_VALUE"""),38516.645833333336)</f>
        <v>38516.64583</v>
      </c>
      <c r="I113" s="25">
        <f>IFERROR(__xludf.DUMMYFUNCTION("""COMPUTED_VALUE"""),159.38)</f>
        <v>159.38</v>
      </c>
      <c r="J113" s="25">
        <f>IFERROR(__xludf.DUMMYFUNCTION("""COMPUTED_VALUE"""),160.38)</f>
        <v>160.38</v>
      </c>
      <c r="K113" s="25">
        <f>IFERROR(__xludf.DUMMYFUNCTION("""COMPUTED_VALUE"""),157.53)</f>
        <v>157.53</v>
      </c>
      <c r="L113" s="25">
        <f>IFERROR(__xludf.DUMMYFUNCTION("""COMPUTED_VALUE"""),158.96)</f>
        <v>158.96</v>
      </c>
      <c r="M113" s="25">
        <f>IFERROR(__xludf.DUMMYFUNCTION("""COMPUTED_VALUE"""),323754.0)</f>
        <v>323754</v>
      </c>
    </row>
    <row r="114">
      <c r="A114" s="26">
        <f>IFERROR(__xludf.DUMMYFUNCTION("""COMPUTED_VALUE"""),38517.645833333336)</f>
        <v>38517.64583</v>
      </c>
      <c r="B114" s="9">
        <f>IFERROR(__xludf.DUMMYFUNCTION("""COMPUTED_VALUE"""),140.0)</f>
        <v>140</v>
      </c>
      <c r="C114" s="9">
        <f>IFERROR(__xludf.DUMMYFUNCTION("""COMPUTED_VALUE"""),141.25)</f>
        <v>141.25</v>
      </c>
      <c r="D114" s="9">
        <f>IFERROR(__xludf.DUMMYFUNCTION("""COMPUTED_VALUE"""),139.06)</f>
        <v>139.06</v>
      </c>
      <c r="E114" s="9">
        <f>IFERROR(__xludf.DUMMYFUNCTION("""COMPUTED_VALUE"""),139.7)</f>
        <v>139.7</v>
      </c>
      <c r="F114" s="9">
        <f>IFERROR(__xludf.DUMMYFUNCTION("""COMPUTED_VALUE"""),481064.0)</f>
        <v>481064</v>
      </c>
      <c r="H114" s="27">
        <f>IFERROR(__xludf.DUMMYFUNCTION("""COMPUTED_VALUE"""),38517.645833333336)</f>
        <v>38517.64583</v>
      </c>
      <c r="I114" s="25">
        <f>IFERROR(__xludf.DUMMYFUNCTION("""COMPUTED_VALUE"""),159.63)</f>
        <v>159.63</v>
      </c>
      <c r="J114" s="25">
        <f>IFERROR(__xludf.DUMMYFUNCTION("""COMPUTED_VALUE"""),159.99)</f>
        <v>159.99</v>
      </c>
      <c r="K114" s="25">
        <f>IFERROR(__xludf.DUMMYFUNCTION("""COMPUTED_VALUE"""),157.53)</f>
        <v>157.53</v>
      </c>
      <c r="L114" s="25">
        <f>IFERROR(__xludf.DUMMYFUNCTION("""COMPUTED_VALUE"""),158.26)</f>
        <v>158.26</v>
      </c>
      <c r="M114" s="25">
        <f>IFERROR(__xludf.DUMMYFUNCTION("""COMPUTED_VALUE"""),431548.0)</f>
        <v>431548</v>
      </c>
    </row>
    <row r="115">
      <c r="A115" s="26">
        <f>IFERROR(__xludf.DUMMYFUNCTION("""COMPUTED_VALUE"""),38518.645833333336)</f>
        <v>38518.64583</v>
      </c>
      <c r="B115" s="9">
        <f>IFERROR(__xludf.DUMMYFUNCTION("""COMPUTED_VALUE"""),140.0)</f>
        <v>140</v>
      </c>
      <c r="C115" s="9">
        <f>IFERROR(__xludf.DUMMYFUNCTION("""COMPUTED_VALUE"""),141.5)</f>
        <v>141.5</v>
      </c>
      <c r="D115" s="9">
        <f>IFERROR(__xludf.DUMMYFUNCTION("""COMPUTED_VALUE"""),139.39)</f>
        <v>139.39</v>
      </c>
      <c r="E115" s="9">
        <f>IFERROR(__xludf.DUMMYFUNCTION("""COMPUTED_VALUE"""),141.04)</f>
        <v>141.04</v>
      </c>
      <c r="F115" s="9">
        <f>IFERROR(__xludf.DUMMYFUNCTION("""COMPUTED_VALUE"""),852068.0)</f>
        <v>852068</v>
      </c>
      <c r="H115" s="27">
        <f>IFERROR(__xludf.DUMMYFUNCTION("""COMPUTED_VALUE"""),38518.645833333336)</f>
        <v>38518.64583</v>
      </c>
      <c r="I115" s="25">
        <f>IFERROR(__xludf.DUMMYFUNCTION("""COMPUTED_VALUE"""),158.72)</f>
        <v>158.72</v>
      </c>
      <c r="J115" s="25">
        <f>IFERROR(__xludf.DUMMYFUNCTION("""COMPUTED_VALUE"""),159.74)</f>
        <v>159.74</v>
      </c>
      <c r="K115" s="25">
        <f>IFERROR(__xludf.DUMMYFUNCTION("""COMPUTED_VALUE"""),158.29)</f>
        <v>158.29</v>
      </c>
      <c r="L115" s="25">
        <f>IFERROR(__xludf.DUMMYFUNCTION("""COMPUTED_VALUE"""),159.02)</f>
        <v>159.02</v>
      </c>
      <c r="M115" s="25">
        <f>IFERROR(__xludf.DUMMYFUNCTION("""COMPUTED_VALUE"""),348884.0)</f>
        <v>348884</v>
      </c>
    </row>
    <row r="116">
      <c r="A116" s="26">
        <f>IFERROR(__xludf.DUMMYFUNCTION("""COMPUTED_VALUE"""),38519.645833333336)</f>
        <v>38519.64583</v>
      </c>
      <c r="B116" s="9">
        <f>IFERROR(__xludf.DUMMYFUNCTION("""COMPUTED_VALUE"""),140.63)</f>
        <v>140.63</v>
      </c>
      <c r="C116" s="9">
        <f>IFERROR(__xludf.DUMMYFUNCTION("""COMPUTED_VALUE"""),143.43)</f>
        <v>143.43</v>
      </c>
      <c r="D116" s="9">
        <f>IFERROR(__xludf.DUMMYFUNCTION("""COMPUTED_VALUE"""),139.7)</f>
        <v>139.7</v>
      </c>
      <c r="E116" s="9">
        <f>IFERROR(__xludf.DUMMYFUNCTION("""COMPUTED_VALUE"""),142.53)</f>
        <v>142.53</v>
      </c>
      <c r="F116" s="9">
        <f>IFERROR(__xludf.DUMMYFUNCTION("""COMPUTED_VALUE"""),1076296.0)</f>
        <v>1076296</v>
      </c>
      <c r="H116" s="27">
        <f>IFERROR(__xludf.DUMMYFUNCTION("""COMPUTED_VALUE"""),38519.645833333336)</f>
        <v>38519.64583</v>
      </c>
      <c r="I116" s="25">
        <f>IFERROR(__xludf.DUMMYFUNCTION("""COMPUTED_VALUE"""),159.73)</f>
        <v>159.73</v>
      </c>
      <c r="J116" s="25">
        <f>IFERROR(__xludf.DUMMYFUNCTION("""COMPUTED_VALUE"""),160.99)</f>
        <v>160.99</v>
      </c>
      <c r="K116" s="25">
        <f>IFERROR(__xludf.DUMMYFUNCTION("""COMPUTED_VALUE"""),158.11)</f>
        <v>158.11</v>
      </c>
      <c r="L116" s="25">
        <f>IFERROR(__xludf.DUMMYFUNCTION("""COMPUTED_VALUE"""),159.71)</f>
        <v>159.71</v>
      </c>
      <c r="M116" s="25">
        <f>IFERROR(__xludf.DUMMYFUNCTION("""COMPUTED_VALUE"""),574194.0)</f>
        <v>574194</v>
      </c>
    </row>
    <row r="117">
      <c r="A117" s="26">
        <f>IFERROR(__xludf.DUMMYFUNCTION("""COMPUTED_VALUE"""),38520.645833333336)</f>
        <v>38520.64583</v>
      </c>
      <c r="B117" s="9">
        <f>IFERROR(__xludf.DUMMYFUNCTION("""COMPUTED_VALUE"""),142.5)</f>
        <v>142.5</v>
      </c>
      <c r="C117" s="9">
        <f>IFERROR(__xludf.DUMMYFUNCTION("""COMPUTED_VALUE"""),143.62)</f>
        <v>143.62</v>
      </c>
      <c r="D117" s="9">
        <f>IFERROR(__xludf.DUMMYFUNCTION("""COMPUTED_VALUE"""),141.5)</f>
        <v>141.5</v>
      </c>
      <c r="E117" s="9">
        <f>IFERROR(__xludf.DUMMYFUNCTION("""COMPUTED_VALUE"""),143.01)</f>
        <v>143.01</v>
      </c>
      <c r="F117" s="9">
        <f>IFERROR(__xludf.DUMMYFUNCTION("""COMPUTED_VALUE"""),968776.0)</f>
        <v>968776</v>
      </c>
      <c r="H117" s="27">
        <f>IFERROR(__xludf.DUMMYFUNCTION("""COMPUTED_VALUE"""),38520.645833333336)</f>
        <v>38520.64583</v>
      </c>
      <c r="I117" s="25">
        <f>IFERROR(__xludf.DUMMYFUNCTION("""COMPUTED_VALUE"""),160.34)</f>
        <v>160.34</v>
      </c>
      <c r="J117" s="25">
        <f>IFERROR(__xludf.DUMMYFUNCTION("""COMPUTED_VALUE"""),160.81)</f>
        <v>160.81</v>
      </c>
      <c r="K117" s="25">
        <f>IFERROR(__xludf.DUMMYFUNCTION("""COMPUTED_VALUE"""),157.89)</f>
        <v>157.89</v>
      </c>
      <c r="L117" s="25">
        <f>IFERROR(__xludf.DUMMYFUNCTION("""COMPUTED_VALUE"""),158.46)</f>
        <v>158.46</v>
      </c>
      <c r="M117" s="25">
        <f>IFERROR(__xludf.DUMMYFUNCTION("""COMPUTED_VALUE"""),383499.0)</f>
        <v>383499</v>
      </c>
    </row>
    <row r="118">
      <c r="A118" s="26">
        <f>IFERROR(__xludf.DUMMYFUNCTION("""COMPUTED_VALUE"""),38523.645833333336)</f>
        <v>38523.64583</v>
      </c>
      <c r="B118" s="9">
        <f>IFERROR(__xludf.DUMMYFUNCTION("""COMPUTED_VALUE"""),143.44)</f>
        <v>143.44</v>
      </c>
      <c r="C118" s="9">
        <f>IFERROR(__xludf.DUMMYFUNCTION("""COMPUTED_VALUE"""),148.92)</f>
        <v>148.92</v>
      </c>
      <c r="D118" s="9">
        <f>IFERROR(__xludf.DUMMYFUNCTION("""COMPUTED_VALUE"""),139.67)</f>
        <v>139.67</v>
      </c>
      <c r="E118" s="9">
        <f>IFERROR(__xludf.DUMMYFUNCTION("""COMPUTED_VALUE"""),148.19)</f>
        <v>148.19</v>
      </c>
      <c r="F118" s="9">
        <f>IFERROR(__xludf.DUMMYFUNCTION("""COMPUTED_VALUE"""),1522694.0)</f>
        <v>1522694</v>
      </c>
      <c r="H118" s="27">
        <f>IFERROR(__xludf.DUMMYFUNCTION("""COMPUTED_VALUE"""),38523.645833333336)</f>
        <v>38523.64583</v>
      </c>
      <c r="I118" s="25">
        <f>IFERROR(__xludf.DUMMYFUNCTION("""COMPUTED_VALUE"""),159.38)</f>
        <v>159.38</v>
      </c>
      <c r="J118" s="25">
        <f>IFERROR(__xludf.DUMMYFUNCTION("""COMPUTED_VALUE"""),162.74)</f>
        <v>162.74</v>
      </c>
      <c r="K118" s="25">
        <f>IFERROR(__xludf.DUMMYFUNCTION("""COMPUTED_VALUE"""),158.79)</f>
        <v>158.79</v>
      </c>
      <c r="L118" s="25">
        <f>IFERROR(__xludf.DUMMYFUNCTION("""COMPUTED_VALUE"""),161.99)</f>
        <v>161.99</v>
      </c>
      <c r="M118" s="25">
        <f>IFERROR(__xludf.DUMMYFUNCTION("""COMPUTED_VALUE"""),801584.0)</f>
        <v>801584</v>
      </c>
    </row>
    <row r="119">
      <c r="A119" s="26">
        <f>IFERROR(__xludf.DUMMYFUNCTION("""COMPUTED_VALUE"""),38524.645833333336)</f>
        <v>38524.64583</v>
      </c>
      <c r="B119" s="9">
        <f>IFERROR(__xludf.DUMMYFUNCTION("""COMPUTED_VALUE"""),146.88)</f>
        <v>146.88</v>
      </c>
      <c r="C119" s="9">
        <f>IFERROR(__xludf.DUMMYFUNCTION("""COMPUTED_VALUE"""),150.0)</f>
        <v>150</v>
      </c>
      <c r="D119" s="9">
        <f>IFERROR(__xludf.DUMMYFUNCTION("""COMPUTED_VALUE"""),145.71)</f>
        <v>145.71</v>
      </c>
      <c r="E119" s="9">
        <f>IFERROR(__xludf.DUMMYFUNCTION("""COMPUTED_VALUE"""),149.59)</f>
        <v>149.59</v>
      </c>
      <c r="F119" s="9">
        <f>IFERROR(__xludf.DUMMYFUNCTION("""COMPUTED_VALUE"""),1222558.0)</f>
        <v>1222558</v>
      </c>
      <c r="H119" s="27">
        <f>IFERROR(__xludf.DUMMYFUNCTION("""COMPUTED_VALUE"""),38524.645833333336)</f>
        <v>38524.64583</v>
      </c>
      <c r="I119" s="25">
        <f>IFERROR(__xludf.DUMMYFUNCTION("""COMPUTED_VALUE"""),162.5)</f>
        <v>162.5</v>
      </c>
      <c r="J119" s="25">
        <f>IFERROR(__xludf.DUMMYFUNCTION("""COMPUTED_VALUE"""),164.05)</f>
        <v>164.05</v>
      </c>
      <c r="K119" s="25">
        <f>IFERROR(__xludf.DUMMYFUNCTION("""COMPUTED_VALUE"""),160.41)</f>
        <v>160.41</v>
      </c>
      <c r="L119" s="25">
        <f>IFERROR(__xludf.DUMMYFUNCTION("""COMPUTED_VALUE"""),163.14)</f>
        <v>163.14</v>
      </c>
      <c r="M119" s="25">
        <f>IFERROR(__xludf.DUMMYFUNCTION("""COMPUTED_VALUE"""),1307943.0)</f>
        <v>1307943</v>
      </c>
    </row>
    <row r="120">
      <c r="A120" s="26">
        <f>IFERROR(__xludf.DUMMYFUNCTION("""COMPUTED_VALUE"""),38525.645833333336)</f>
        <v>38525.64583</v>
      </c>
      <c r="B120" s="9">
        <f>IFERROR(__xludf.DUMMYFUNCTION("""COMPUTED_VALUE"""),147.21)</f>
        <v>147.21</v>
      </c>
      <c r="C120" s="9">
        <f>IFERROR(__xludf.DUMMYFUNCTION("""COMPUTED_VALUE"""),150.87)</f>
        <v>150.87</v>
      </c>
      <c r="D120" s="9">
        <f>IFERROR(__xludf.DUMMYFUNCTION("""COMPUTED_VALUE"""),147.21)</f>
        <v>147.21</v>
      </c>
      <c r="E120" s="9">
        <f>IFERROR(__xludf.DUMMYFUNCTION("""COMPUTED_VALUE"""),149.32)</f>
        <v>149.32</v>
      </c>
      <c r="F120" s="9">
        <f>IFERROR(__xludf.DUMMYFUNCTION("""COMPUTED_VALUE"""),1607601.0)</f>
        <v>1607601</v>
      </c>
      <c r="H120" s="27">
        <f>IFERROR(__xludf.DUMMYFUNCTION("""COMPUTED_VALUE"""),38525.645833333336)</f>
        <v>38525.64583</v>
      </c>
      <c r="I120" s="25">
        <f>IFERROR(__xludf.DUMMYFUNCTION("""COMPUTED_VALUE"""),163.63)</f>
        <v>163.63</v>
      </c>
      <c r="J120" s="25">
        <f>IFERROR(__xludf.DUMMYFUNCTION("""COMPUTED_VALUE"""),167.38)</f>
        <v>167.38</v>
      </c>
      <c r="K120" s="25">
        <f>IFERROR(__xludf.DUMMYFUNCTION("""COMPUTED_VALUE"""),163.63)</f>
        <v>163.63</v>
      </c>
      <c r="L120" s="25">
        <f>IFERROR(__xludf.DUMMYFUNCTION("""COMPUTED_VALUE"""),166.67)</f>
        <v>166.67</v>
      </c>
      <c r="M120" s="25">
        <f>IFERROR(__xludf.DUMMYFUNCTION("""COMPUTED_VALUE"""),1442172.0)</f>
        <v>1442172</v>
      </c>
    </row>
    <row r="121">
      <c r="A121" s="26">
        <f>IFERROR(__xludf.DUMMYFUNCTION("""COMPUTED_VALUE"""),38526.645833333336)</f>
        <v>38526.64583</v>
      </c>
      <c r="B121" s="9">
        <f>IFERROR(__xludf.DUMMYFUNCTION("""COMPUTED_VALUE"""),149.69)</f>
        <v>149.69</v>
      </c>
      <c r="C121" s="9">
        <f>IFERROR(__xludf.DUMMYFUNCTION("""COMPUTED_VALUE"""),149.69)</f>
        <v>149.69</v>
      </c>
      <c r="D121" s="9">
        <f>IFERROR(__xludf.DUMMYFUNCTION("""COMPUTED_VALUE"""),146.13)</f>
        <v>146.13</v>
      </c>
      <c r="E121" s="9">
        <f>IFERROR(__xludf.DUMMYFUNCTION("""COMPUTED_VALUE"""),146.52)</f>
        <v>146.52</v>
      </c>
      <c r="F121" s="9">
        <f>IFERROR(__xludf.DUMMYFUNCTION("""COMPUTED_VALUE"""),1027543.0)</f>
        <v>1027543</v>
      </c>
      <c r="H121" s="27">
        <f>IFERROR(__xludf.DUMMYFUNCTION("""COMPUTED_VALUE"""),38526.645833333336)</f>
        <v>38526.64583</v>
      </c>
      <c r="I121" s="25">
        <f>IFERROR(__xludf.DUMMYFUNCTION("""COMPUTED_VALUE"""),166.25)</f>
        <v>166.25</v>
      </c>
      <c r="J121" s="25">
        <f>IFERROR(__xludf.DUMMYFUNCTION("""COMPUTED_VALUE"""),167.22)</f>
        <v>167.22</v>
      </c>
      <c r="K121" s="25">
        <f>IFERROR(__xludf.DUMMYFUNCTION("""COMPUTED_VALUE"""),163.13)</f>
        <v>163.13</v>
      </c>
      <c r="L121" s="25">
        <f>IFERROR(__xludf.DUMMYFUNCTION("""COMPUTED_VALUE"""),163.43)</f>
        <v>163.43</v>
      </c>
      <c r="M121" s="25">
        <f>IFERROR(__xludf.DUMMYFUNCTION("""COMPUTED_VALUE"""),459618.0)</f>
        <v>459618</v>
      </c>
    </row>
    <row r="122">
      <c r="A122" s="26">
        <f>IFERROR(__xludf.DUMMYFUNCTION("""COMPUTED_VALUE"""),38527.645833333336)</f>
        <v>38527.64583</v>
      </c>
      <c r="B122" s="9">
        <f>IFERROR(__xludf.DUMMYFUNCTION("""COMPUTED_VALUE"""),145.0)</f>
        <v>145</v>
      </c>
      <c r="C122" s="9">
        <f>IFERROR(__xludf.DUMMYFUNCTION("""COMPUTED_VALUE"""),146.56)</f>
        <v>146.56</v>
      </c>
      <c r="D122" s="9">
        <f>IFERROR(__xludf.DUMMYFUNCTION("""COMPUTED_VALUE"""),143.88)</f>
        <v>143.88</v>
      </c>
      <c r="E122" s="9">
        <f>IFERROR(__xludf.DUMMYFUNCTION("""COMPUTED_VALUE"""),144.57)</f>
        <v>144.57</v>
      </c>
      <c r="F122" s="9">
        <f>IFERROR(__xludf.DUMMYFUNCTION("""COMPUTED_VALUE"""),974988.0)</f>
        <v>974988</v>
      </c>
      <c r="H122" s="27">
        <f>IFERROR(__xludf.DUMMYFUNCTION("""COMPUTED_VALUE"""),38527.645833333336)</f>
        <v>38527.64583</v>
      </c>
      <c r="I122" s="25">
        <f>IFERROR(__xludf.DUMMYFUNCTION("""COMPUTED_VALUE"""),162.5)</f>
        <v>162.5</v>
      </c>
      <c r="J122" s="25">
        <f>IFERROR(__xludf.DUMMYFUNCTION("""COMPUTED_VALUE"""),167.29)</f>
        <v>167.29</v>
      </c>
      <c r="K122" s="25">
        <f>IFERROR(__xludf.DUMMYFUNCTION("""COMPUTED_VALUE"""),161.88)</f>
        <v>161.88</v>
      </c>
      <c r="L122" s="25">
        <f>IFERROR(__xludf.DUMMYFUNCTION("""COMPUTED_VALUE"""),165.72)</f>
        <v>165.72</v>
      </c>
      <c r="M122" s="25">
        <f>IFERROR(__xludf.DUMMYFUNCTION("""COMPUTED_VALUE"""),752665.0)</f>
        <v>752665</v>
      </c>
    </row>
    <row r="123">
      <c r="A123" s="26">
        <f>IFERROR(__xludf.DUMMYFUNCTION("""COMPUTED_VALUE"""),38530.645833333336)</f>
        <v>38530.64583</v>
      </c>
      <c r="B123" s="9">
        <f>IFERROR(__xludf.DUMMYFUNCTION("""COMPUTED_VALUE"""),142.51)</f>
        <v>142.51</v>
      </c>
      <c r="C123" s="9">
        <f>IFERROR(__xludf.DUMMYFUNCTION("""COMPUTED_VALUE"""),147.56)</f>
        <v>147.56</v>
      </c>
      <c r="D123" s="9">
        <f>IFERROR(__xludf.DUMMYFUNCTION("""COMPUTED_VALUE"""),142.51)</f>
        <v>142.51</v>
      </c>
      <c r="E123" s="9">
        <f>IFERROR(__xludf.DUMMYFUNCTION("""COMPUTED_VALUE"""),146.15)</f>
        <v>146.15</v>
      </c>
      <c r="F123" s="9">
        <f>IFERROR(__xludf.DUMMYFUNCTION("""COMPUTED_VALUE"""),913215.0)</f>
        <v>913215</v>
      </c>
      <c r="H123" s="27">
        <f>IFERROR(__xludf.DUMMYFUNCTION("""COMPUTED_VALUE"""),38530.645833333336)</f>
        <v>38530.64583</v>
      </c>
      <c r="I123" s="25">
        <f>IFERROR(__xludf.DUMMYFUNCTION("""COMPUTED_VALUE"""),164.96)</f>
        <v>164.96</v>
      </c>
      <c r="J123" s="25">
        <f>IFERROR(__xludf.DUMMYFUNCTION("""COMPUTED_VALUE"""),166.63)</f>
        <v>166.63</v>
      </c>
      <c r="K123" s="25">
        <f>IFERROR(__xludf.DUMMYFUNCTION("""COMPUTED_VALUE"""),163.5)</f>
        <v>163.5</v>
      </c>
      <c r="L123" s="25">
        <f>IFERROR(__xludf.DUMMYFUNCTION("""COMPUTED_VALUE"""),164.56)</f>
        <v>164.56</v>
      </c>
      <c r="M123" s="25">
        <f>IFERROR(__xludf.DUMMYFUNCTION("""COMPUTED_VALUE"""),443516.0)</f>
        <v>443516</v>
      </c>
    </row>
    <row r="124">
      <c r="A124" s="26">
        <f>IFERROR(__xludf.DUMMYFUNCTION("""COMPUTED_VALUE"""),38531.645833333336)</f>
        <v>38531.64583</v>
      </c>
      <c r="B124" s="9">
        <f>IFERROR(__xludf.DUMMYFUNCTION("""COMPUTED_VALUE"""),146.5)</f>
        <v>146.5</v>
      </c>
      <c r="C124" s="9">
        <f>IFERROR(__xludf.DUMMYFUNCTION("""COMPUTED_VALUE"""),146.5)</f>
        <v>146.5</v>
      </c>
      <c r="D124" s="9">
        <f>IFERROR(__xludf.DUMMYFUNCTION("""COMPUTED_VALUE"""),143.0)</f>
        <v>143</v>
      </c>
      <c r="E124" s="9">
        <f>IFERROR(__xludf.DUMMYFUNCTION("""COMPUTED_VALUE"""),143.29)</f>
        <v>143.29</v>
      </c>
      <c r="F124" s="9">
        <f>IFERROR(__xludf.DUMMYFUNCTION("""COMPUTED_VALUE"""),925659.0)</f>
        <v>925659</v>
      </c>
      <c r="H124" s="27">
        <f>IFERROR(__xludf.DUMMYFUNCTION("""COMPUTED_VALUE"""),38531.645833333336)</f>
        <v>38531.64583</v>
      </c>
      <c r="I124" s="25">
        <f>IFERROR(__xludf.DUMMYFUNCTION("""COMPUTED_VALUE"""),164.75)</f>
        <v>164.75</v>
      </c>
      <c r="J124" s="25">
        <f>IFERROR(__xludf.DUMMYFUNCTION("""COMPUTED_VALUE"""),166.0)</f>
        <v>166</v>
      </c>
      <c r="K124" s="25">
        <f>IFERROR(__xludf.DUMMYFUNCTION("""COMPUTED_VALUE"""),164.26)</f>
        <v>164.26</v>
      </c>
      <c r="L124" s="25">
        <f>IFERROR(__xludf.DUMMYFUNCTION("""COMPUTED_VALUE"""),165.45)</f>
        <v>165.45</v>
      </c>
      <c r="M124" s="25">
        <f>IFERROR(__xludf.DUMMYFUNCTION("""COMPUTED_VALUE"""),722014.0)</f>
        <v>722014</v>
      </c>
    </row>
    <row r="125">
      <c r="A125" s="26">
        <f>IFERROR(__xludf.DUMMYFUNCTION("""COMPUTED_VALUE"""),38532.645833333336)</f>
        <v>38532.64583</v>
      </c>
      <c r="B125" s="9">
        <f>IFERROR(__xludf.DUMMYFUNCTION("""COMPUTED_VALUE"""),144.5)</f>
        <v>144.5</v>
      </c>
      <c r="C125" s="9">
        <f>IFERROR(__xludf.DUMMYFUNCTION("""COMPUTED_VALUE"""),145.94)</f>
        <v>145.94</v>
      </c>
      <c r="D125" s="9">
        <f>IFERROR(__xludf.DUMMYFUNCTION("""COMPUTED_VALUE"""),143.75)</f>
        <v>143.75</v>
      </c>
      <c r="E125" s="9">
        <f>IFERROR(__xludf.DUMMYFUNCTION("""COMPUTED_VALUE"""),145.29)</f>
        <v>145.29</v>
      </c>
      <c r="F125" s="9">
        <f>IFERROR(__xludf.DUMMYFUNCTION("""COMPUTED_VALUE"""),802272.0)</f>
        <v>802272</v>
      </c>
      <c r="H125" s="27">
        <f>IFERROR(__xludf.DUMMYFUNCTION("""COMPUTED_VALUE"""),38532.645833333336)</f>
        <v>38532.64583</v>
      </c>
      <c r="I125" s="25">
        <f>IFERROR(__xludf.DUMMYFUNCTION("""COMPUTED_VALUE"""),165.63)</f>
        <v>165.63</v>
      </c>
      <c r="J125" s="25">
        <f>IFERROR(__xludf.DUMMYFUNCTION("""COMPUTED_VALUE"""),169.74)</f>
        <v>169.74</v>
      </c>
      <c r="K125" s="25">
        <f>IFERROR(__xludf.DUMMYFUNCTION("""COMPUTED_VALUE"""),165.27)</f>
        <v>165.27</v>
      </c>
      <c r="L125" s="25">
        <f>IFERROR(__xludf.DUMMYFUNCTION("""COMPUTED_VALUE"""),166.57)</f>
        <v>166.57</v>
      </c>
      <c r="M125" s="25">
        <f>IFERROR(__xludf.DUMMYFUNCTION("""COMPUTED_VALUE"""),805830.0)</f>
        <v>805830</v>
      </c>
    </row>
    <row r="126">
      <c r="A126" s="26">
        <f>IFERROR(__xludf.DUMMYFUNCTION("""COMPUTED_VALUE"""),38533.645833333336)</f>
        <v>38533.64583</v>
      </c>
      <c r="B126" s="9">
        <f>IFERROR(__xludf.DUMMYFUNCTION("""COMPUTED_VALUE"""),146.38)</f>
        <v>146.38</v>
      </c>
      <c r="C126" s="9">
        <f>IFERROR(__xludf.DUMMYFUNCTION("""COMPUTED_VALUE"""),149.37)</f>
        <v>149.37</v>
      </c>
      <c r="D126" s="9">
        <f>IFERROR(__xludf.DUMMYFUNCTION("""COMPUTED_VALUE"""),146.25)</f>
        <v>146.25</v>
      </c>
      <c r="E126" s="9">
        <f>IFERROR(__xludf.DUMMYFUNCTION("""COMPUTED_VALUE"""),147.39)</f>
        <v>147.39</v>
      </c>
      <c r="F126" s="9">
        <f>IFERROR(__xludf.DUMMYFUNCTION("""COMPUTED_VALUE"""),1216514.0)</f>
        <v>1216514</v>
      </c>
      <c r="H126" s="27">
        <f>IFERROR(__xludf.DUMMYFUNCTION("""COMPUTED_VALUE"""),38533.645833333336)</f>
        <v>38533.64583</v>
      </c>
      <c r="I126" s="25">
        <f>IFERROR(__xludf.DUMMYFUNCTION("""COMPUTED_VALUE"""),167.35)</f>
        <v>167.35</v>
      </c>
      <c r="J126" s="25">
        <f>IFERROR(__xludf.DUMMYFUNCTION("""COMPUTED_VALUE"""),170.63)</f>
        <v>170.63</v>
      </c>
      <c r="K126" s="25">
        <f>IFERROR(__xludf.DUMMYFUNCTION("""COMPUTED_VALUE"""),167.35)</f>
        <v>167.35</v>
      </c>
      <c r="L126" s="25">
        <f>IFERROR(__xludf.DUMMYFUNCTION("""COMPUTED_VALUE"""),169.76)</f>
        <v>169.76</v>
      </c>
      <c r="M126" s="25">
        <f>IFERROR(__xludf.DUMMYFUNCTION("""COMPUTED_VALUE"""),898625.0)</f>
        <v>898625</v>
      </c>
    </row>
    <row r="127">
      <c r="A127" s="26">
        <f>IFERROR(__xludf.DUMMYFUNCTION("""COMPUTED_VALUE"""),38534.645833333336)</f>
        <v>38534.64583</v>
      </c>
      <c r="B127" s="9">
        <f>IFERROR(__xludf.DUMMYFUNCTION("""COMPUTED_VALUE"""),146.56)</f>
        <v>146.56</v>
      </c>
      <c r="C127" s="9">
        <f>IFERROR(__xludf.DUMMYFUNCTION("""COMPUTED_VALUE"""),147.88)</f>
        <v>147.88</v>
      </c>
      <c r="D127" s="9">
        <f>IFERROR(__xludf.DUMMYFUNCTION("""COMPUTED_VALUE"""),145.51)</f>
        <v>145.51</v>
      </c>
      <c r="E127" s="9">
        <f>IFERROR(__xludf.DUMMYFUNCTION("""COMPUTED_VALUE"""),146.94)</f>
        <v>146.94</v>
      </c>
      <c r="F127" s="9">
        <f>IFERROR(__xludf.DUMMYFUNCTION("""COMPUTED_VALUE"""),382141.0)</f>
        <v>382141</v>
      </c>
      <c r="H127" s="27">
        <f>IFERROR(__xludf.DUMMYFUNCTION("""COMPUTED_VALUE"""),38534.645833333336)</f>
        <v>38534.64583</v>
      </c>
      <c r="I127" s="25">
        <f>IFERROR(__xludf.DUMMYFUNCTION("""COMPUTED_VALUE"""),168.75)</f>
        <v>168.75</v>
      </c>
      <c r="J127" s="25">
        <f>IFERROR(__xludf.DUMMYFUNCTION("""COMPUTED_VALUE"""),169.59)</f>
        <v>169.59</v>
      </c>
      <c r="K127" s="25">
        <f>IFERROR(__xludf.DUMMYFUNCTION("""COMPUTED_VALUE"""),167.55)</f>
        <v>167.55</v>
      </c>
      <c r="L127" s="25">
        <f>IFERROR(__xludf.DUMMYFUNCTION("""COMPUTED_VALUE"""),169.05)</f>
        <v>169.05</v>
      </c>
      <c r="M127" s="25">
        <f>IFERROR(__xludf.DUMMYFUNCTION("""COMPUTED_VALUE"""),602571.0)</f>
        <v>602571</v>
      </c>
    </row>
    <row r="128">
      <c r="A128" s="26">
        <f>IFERROR(__xludf.DUMMYFUNCTION("""COMPUTED_VALUE"""),38537.645833333336)</f>
        <v>38537.64583</v>
      </c>
      <c r="B128" s="9">
        <f>IFERROR(__xludf.DUMMYFUNCTION("""COMPUTED_VALUE"""),146.88)</f>
        <v>146.88</v>
      </c>
      <c r="C128" s="9">
        <f>IFERROR(__xludf.DUMMYFUNCTION("""COMPUTED_VALUE"""),150.0)</f>
        <v>150</v>
      </c>
      <c r="D128" s="9">
        <f>IFERROR(__xludf.DUMMYFUNCTION("""COMPUTED_VALUE"""),145.77)</f>
        <v>145.77</v>
      </c>
      <c r="E128" s="9">
        <f>IFERROR(__xludf.DUMMYFUNCTION("""COMPUTED_VALUE"""),149.64)</f>
        <v>149.64</v>
      </c>
      <c r="F128" s="9">
        <f>IFERROR(__xludf.DUMMYFUNCTION("""COMPUTED_VALUE"""),463198.0)</f>
        <v>463198</v>
      </c>
      <c r="H128" s="27">
        <f>IFERROR(__xludf.DUMMYFUNCTION("""COMPUTED_VALUE"""),38537.645833333336)</f>
        <v>38537.64583</v>
      </c>
      <c r="I128" s="25">
        <f>IFERROR(__xludf.DUMMYFUNCTION("""COMPUTED_VALUE"""),169.85)</f>
        <v>169.85</v>
      </c>
      <c r="J128" s="25">
        <f>IFERROR(__xludf.DUMMYFUNCTION("""COMPUTED_VALUE"""),171.49)</f>
        <v>171.49</v>
      </c>
      <c r="K128" s="25">
        <f>IFERROR(__xludf.DUMMYFUNCTION("""COMPUTED_VALUE"""),166.38)</f>
        <v>166.38</v>
      </c>
      <c r="L128" s="25">
        <f>IFERROR(__xludf.DUMMYFUNCTION("""COMPUTED_VALUE"""),169.88)</f>
        <v>169.88</v>
      </c>
      <c r="M128" s="25">
        <f>IFERROR(__xludf.DUMMYFUNCTION("""COMPUTED_VALUE"""),493956.0)</f>
        <v>493956</v>
      </c>
    </row>
    <row r="129">
      <c r="A129" s="26">
        <f>IFERROR(__xludf.DUMMYFUNCTION("""COMPUTED_VALUE"""),38538.645833333336)</f>
        <v>38538.64583</v>
      </c>
      <c r="B129" s="9">
        <f>IFERROR(__xludf.DUMMYFUNCTION("""COMPUTED_VALUE"""),149.38)</f>
        <v>149.38</v>
      </c>
      <c r="C129" s="9">
        <f>IFERROR(__xludf.DUMMYFUNCTION("""COMPUTED_VALUE"""),149.94)</f>
        <v>149.94</v>
      </c>
      <c r="D129" s="9">
        <f>IFERROR(__xludf.DUMMYFUNCTION("""COMPUTED_VALUE"""),145.01)</f>
        <v>145.01</v>
      </c>
      <c r="E129" s="9">
        <f>IFERROR(__xludf.DUMMYFUNCTION("""COMPUTED_VALUE"""),145.64)</f>
        <v>145.64</v>
      </c>
      <c r="F129" s="9">
        <f>IFERROR(__xludf.DUMMYFUNCTION("""COMPUTED_VALUE"""),563478.0)</f>
        <v>563478</v>
      </c>
      <c r="H129" s="27">
        <f>IFERROR(__xludf.DUMMYFUNCTION("""COMPUTED_VALUE"""),38538.645833333336)</f>
        <v>38538.64583</v>
      </c>
      <c r="I129" s="25">
        <f>IFERROR(__xludf.DUMMYFUNCTION("""COMPUTED_VALUE"""),171.22)</f>
        <v>171.22</v>
      </c>
      <c r="J129" s="25">
        <f>IFERROR(__xludf.DUMMYFUNCTION("""COMPUTED_VALUE"""),171.22)</f>
        <v>171.22</v>
      </c>
      <c r="K129" s="25">
        <f>IFERROR(__xludf.DUMMYFUNCTION("""COMPUTED_VALUE"""),164.08)</f>
        <v>164.08</v>
      </c>
      <c r="L129" s="25">
        <f>IFERROR(__xludf.DUMMYFUNCTION("""COMPUTED_VALUE"""),165.03)</f>
        <v>165.03</v>
      </c>
      <c r="M129" s="25">
        <f>IFERROR(__xludf.DUMMYFUNCTION("""COMPUTED_VALUE"""),648422.0)</f>
        <v>648422</v>
      </c>
    </row>
    <row r="130">
      <c r="A130" s="26">
        <f>IFERROR(__xludf.DUMMYFUNCTION("""COMPUTED_VALUE"""),38539.645833333336)</f>
        <v>38539.64583</v>
      </c>
      <c r="B130" s="9">
        <f>IFERROR(__xludf.DUMMYFUNCTION("""COMPUTED_VALUE"""),145.63)</f>
        <v>145.63</v>
      </c>
      <c r="C130" s="9">
        <f>IFERROR(__xludf.DUMMYFUNCTION("""COMPUTED_VALUE"""),147.49)</f>
        <v>147.49</v>
      </c>
      <c r="D130" s="9">
        <f>IFERROR(__xludf.DUMMYFUNCTION("""COMPUTED_VALUE"""),144.88)</f>
        <v>144.88</v>
      </c>
      <c r="E130" s="9">
        <f>IFERROR(__xludf.DUMMYFUNCTION("""COMPUTED_VALUE"""),146.6)</f>
        <v>146.6</v>
      </c>
      <c r="F130" s="9">
        <f>IFERROR(__xludf.DUMMYFUNCTION("""COMPUTED_VALUE"""),1176144.0)</f>
        <v>1176144</v>
      </c>
      <c r="H130" s="27">
        <f>IFERROR(__xludf.DUMMYFUNCTION("""COMPUTED_VALUE"""),38539.645833333336)</f>
        <v>38539.64583</v>
      </c>
      <c r="I130" s="25">
        <f>IFERROR(__xludf.DUMMYFUNCTION("""COMPUTED_VALUE"""),165.75)</f>
        <v>165.75</v>
      </c>
      <c r="J130" s="25">
        <f>IFERROR(__xludf.DUMMYFUNCTION("""COMPUTED_VALUE"""),166.58)</f>
        <v>166.58</v>
      </c>
      <c r="K130" s="25">
        <f>IFERROR(__xludf.DUMMYFUNCTION("""COMPUTED_VALUE"""),164.52)</f>
        <v>164.52</v>
      </c>
      <c r="L130" s="25">
        <f>IFERROR(__xludf.DUMMYFUNCTION("""COMPUTED_VALUE"""),165.39)</f>
        <v>165.39</v>
      </c>
      <c r="M130" s="25">
        <f>IFERROR(__xludf.DUMMYFUNCTION("""COMPUTED_VALUE"""),382152.0)</f>
        <v>382152</v>
      </c>
    </row>
    <row r="131">
      <c r="A131" s="26">
        <f>IFERROR(__xludf.DUMMYFUNCTION("""COMPUTED_VALUE"""),38540.645833333336)</f>
        <v>38540.64583</v>
      </c>
      <c r="B131" s="9">
        <f>IFERROR(__xludf.DUMMYFUNCTION("""COMPUTED_VALUE"""),147.0)</f>
        <v>147</v>
      </c>
      <c r="C131" s="9">
        <f>IFERROR(__xludf.DUMMYFUNCTION("""COMPUTED_VALUE"""),148.37)</f>
        <v>148.37</v>
      </c>
      <c r="D131" s="9">
        <f>IFERROR(__xludf.DUMMYFUNCTION("""COMPUTED_VALUE"""),144.17)</f>
        <v>144.17</v>
      </c>
      <c r="E131" s="9">
        <f>IFERROR(__xludf.DUMMYFUNCTION("""COMPUTED_VALUE"""),144.99)</f>
        <v>144.99</v>
      </c>
      <c r="F131" s="9">
        <f>IFERROR(__xludf.DUMMYFUNCTION("""COMPUTED_VALUE"""),927397.0)</f>
        <v>927397</v>
      </c>
      <c r="H131" s="27">
        <f>IFERROR(__xludf.DUMMYFUNCTION("""COMPUTED_VALUE"""),38540.645833333336)</f>
        <v>38540.64583</v>
      </c>
      <c r="I131" s="25">
        <f>IFERROR(__xludf.DUMMYFUNCTION("""COMPUTED_VALUE"""),165.39)</f>
        <v>165.39</v>
      </c>
      <c r="J131" s="25">
        <f>IFERROR(__xludf.DUMMYFUNCTION("""COMPUTED_VALUE"""),167.5)</f>
        <v>167.5</v>
      </c>
      <c r="K131" s="25">
        <f>IFERROR(__xludf.DUMMYFUNCTION("""COMPUTED_VALUE"""),162.91)</f>
        <v>162.91</v>
      </c>
      <c r="L131" s="25">
        <f>IFERROR(__xludf.DUMMYFUNCTION("""COMPUTED_VALUE"""),163.71)</f>
        <v>163.71</v>
      </c>
      <c r="M131" s="25">
        <f>IFERROR(__xludf.DUMMYFUNCTION("""COMPUTED_VALUE"""),436111.0)</f>
        <v>436111</v>
      </c>
    </row>
    <row r="132">
      <c r="A132" s="26">
        <f>IFERROR(__xludf.DUMMYFUNCTION("""COMPUTED_VALUE"""),38541.645833333336)</f>
        <v>38541.64583</v>
      </c>
      <c r="B132" s="9">
        <f>IFERROR(__xludf.DUMMYFUNCTION("""COMPUTED_VALUE"""),146.75)</f>
        <v>146.75</v>
      </c>
      <c r="C132" s="9">
        <f>IFERROR(__xludf.DUMMYFUNCTION("""COMPUTED_VALUE"""),147.25)</f>
        <v>147.25</v>
      </c>
      <c r="D132" s="9">
        <f>IFERROR(__xludf.DUMMYFUNCTION("""COMPUTED_VALUE"""),144.39)</f>
        <v>144.39</v>
      </c>
      <c r="E132" s="9">
        <f>IFERROR(__xludf.DUMMYFUNCTION("""COMPUTED_VALUE"""),145.93)</f>
        <v>145.93</v>
      </c>
      <c r="F132" s="9">
        <f>IFERROR(__xludf.DUMMYFUNCTION("""COMPUTED_VALUE"""),671038.0)</f>
        <v>671038</v>
      </c>
      <c r="H132" s="27">
        <f>IFERROR(__xludf.DUMMYFUNCTION("""COMPUTED_VALUE"""),38541.645833333336)</f>
        <v>38541.64583</v>
      </c>
      <c r="I132" s="25">
        <f>IFERROR(__xludf.DUMMYFUNCTION("""COMPUTED_VALUE"""),163.82)</f>
        <v>163.82</v>
      </c>
      <c r="J132" s="25">
        <f>IFERROR(__xludf.DUMMYFUNCTION("""COMPUTED_VALUE"""),166.18)</f>
        <v>166.18</v>
      </c>
      <c r="K132" s="25">
        <f>IFERROR(__xludf.DUMMYFUNCTION("""COMPUTED_VALUE"""),161.7)</f>
        <v>161.7</v>
      </c>
      <c r="L132" s="25">
        <f>IFERROR(__xludf.DUMMYFUNCTION("""COMPUTED_VALUE"""),163.89)</f>
        <v>163.89</v>
      </c>
      <c r="M132" s="25">
        <f>IFERROR(__xludf.DUMMYFUNCTION("""COMPUTED_VALUE"""),761000.0)</f>
        <v>761000</v>
      </c>
    </row>
    <row r="133">
      <c r="A133" s="26">
        <f>IFERROR(__xludf.DUMMYFUNCTION("""COMPUTED_VALUE"""),38544.645833333336)</f>
        <v>38544.64583</v>
      </c>
      <c r="B133" s="9">
        <f>IFERROR(__xludf.DUMMYFUNCTION("""COMPUTED_VALUE"""),146.88)</f>
        <v>146.88</v>
      </c>
      <c r="C133" s="9">
        <f>IFERROR(__xludf.DUMMYFUNCTION("""COMPUTED_VALUE"""),147.5)</f>
        <v>147.5</v>
      </c>
      <c r="D133" s="9">
        <f>IFERROR(__xludf.DUMMYFUNCTION("""COMPUTED_VALUE"""),144.07)</f>
        <v>144.07</v>
      </c>
      <c r="E133" s="9">
        <f>IFERROR(__xludf.DUMMYFUNCTION("""COMPUTED_VALUE"""),144.74)</f>
        <v>144.74</v>
      </c>
      <c r="F133" s="9">
        <f>IFERROR(__xludf.DUMMYFUNCTION("""COMPUTED_VALUE"""),1166625.0)</f>
        <v>1166625</v>
      </c>
      <c r="H133" s="27">
        <f>IFERROR(__xludf.DUMMYFUNCTION("""COMPUTED_VALUE"""),38544.645833333336)</f>
        <v>38544.64583</v>
      </c>
      <c r="I133" s="25">
        <f>IFERROR(__xludf.DUMMYFUNCTION("""COMPUTED_VALUE"""),163.89)</f>
        <v>163.89</v>
      </c>
      <c r="J133" s="25">
        <f>IFERROR(__xludf.DUMMYFUNCTION("""COMPUTED_VALUE"""),166.25)</f>
        <v>166.25</v>
      </c>
      <c r="K133" s="25">
        <f>IFERROR(__xludf.DUMMYFUNCTION("""COMPUTED_VALUE"""),163.89)</f>
        <v>163.89</v>
      </c>
      <c r="L133" s="25">
        <f>IFERROR(__xludf.DUMMYFUNCTION("""COMPUTED_VALUE"""),165.76)</f>
        <v>165.76</v>
      </c>
      <c r="M133" s="25">
        <f>IFERROR(__xludf.DUMMYFUNCTION("""COMPUTED_VALUE"""),473908.0)</f>
        <v>473908</v>
      </c>
    </row>
    <row r="134">
      <c r="A134" s="26">
        <f>IFERROR(__xludf.DUMMYFUNCTION("""COMPUTED_VALUE"""),38545.645833333336)</f>
        <v>38545.64583</v>
      </c>
      <c r="B134" s="9">
        <f>IFERROR(__xludf.DUMMYFUNCTION("""COMPUTED_VALUE"""),145.0)</f>
        <v>145</v>
      </c>
      <c r="C134" s="9">
        <f>IFERROR(__xludf.DUMMYFUNCTION("""COMPUTED_VALUE"""),145.0)</f>
        <v>145</v>
      </c>
      <c r="D134" s="9">
        <f>IFERROR(__xludf.DUMMYFUNCTION("""COMPUTED_VALUE"""),137.21)</f>
        <v>137.21</v>
      </c>
      <c r="E134" s="9">
        <f>IFERROR(__xludf.DUMMYFUNCTION("""COMPUTED_VALUE"""),138.83)</f>
        <v>138.83</v>
      </c>
      <c r="F134" s="9">
        <f>IFERROR(__xludf.DUMMYFUNCTION("""COMPUTED_VALUE"""),3025132.0)</f>
        <v>3025132</v>
      </c>
      <c r="H134" s="27">
        <f>IFERROR(__xludf.DUMMYFUNCTION("""COMPUTED_VALUE"""),38545.645833333336)</f>
        <v>38545.64583</v>
      </c>
      <c r="I134" s="25">
        <f>IFERROR(__xludf.DUMMYFUNCTION("""COMPUTED_VALUE"""),164.83)</f>
        <v>164.83</v>
      </c>
      <c r="J134" s="25">
        <f>IFERROR(__xludf.DUMMYFUNCTION("""COMPUTED_VALUE"""),165.13)</f>
        <v>165.13</v>
      </c>
      <c r="K134" s="25">
        <f>IFERROR(__xludf.DUMMYFUNCTION("""COMPUTED_VALUE"""),159.04)</f>
        <v>159.04</v>
      </c>
      <c r="L134" s="25">
        <f>IFERROR(__xludf.DUMMYFUNCTION("""COMPUTED_VALUE"""),160.74)</f>
        <v>160.74</v>
      </c>
      <c r="M134" s="25">
        <f>IFERROR(__xludf.DUMMYFUNCTION("""COMPUTED_VALUE"""),768825.0)</f>
        <v>768825</v>
      </c>
    </row>
    <row r="135">
      <c r="A135" s="26">
        <f>IFERROR(__xludf.DUMMYFUNCTION("""COMPUTED_VALUE"""),38546.645833333336)</f>
        <v>38546.64583</v>
      </c>
      <c r="B135" s="9">
        <f>IFERROR(__xludf.DUMMYFUNCTION("""COMPUTED_VALUE"""),139.06)</f>
        <v>139.06</v>
      </c>
      <c r="C135" s="9">
        <f>IFERROR(__xludf.DUMMYFUNCTION("""COMPUTED_VALUE"""),140.67)</f>
        <v>140.67</v>
      </c>
      <c r="D135" s="9">
        <f>IFERROR(__xludf.DUMMYFUNCTION("""COMPUTED_VALUE"""),137.5)</f>
        <v>137.5</v>
      </c>
      <c r="E135" s="9">
        <f>IFERROR(__xludf.DUMMYFUNCTION("""COMPUTED_VALUE"""),137.84)</f>
        <v>137.84</v>
      </c>
      <c r="F135" s="9">
        <f>IFERROR(__xludf.DUMMYFUNCTION("""COMPUTED_VALUE"""),1959750.0)</f>
        <v>1959750</v>
      </c>
      <c r="H135" s="27">
        <f>IFERROR(__xludf.DUMMYFUNCTION("""COMPUTED_VALUE"""),38546.645833333336)</f>
        <v>38546.64583</v>
      </c>
      <c r="I135" s="25">
        <f>IFERROR(__xludf.DUMMYFUNCTION("""COMPUTED_VALUE"""),160.63)</f>
        <v>160.63</v>
      </c>
      <c r="J135" s="25">
        <f>IFERROR(__xludf.DUMMYFUNCTION("""COMPUTED_VALUE"""),162.5)</f>
        <v>162.5</v>
      </c>
      <c r="K135" s="25">
        <f>IFERROR(__xludf.DUMMYFUNCTION("""COMPUTED_VALUE"""),158.38)</f>
        <v>158.38</v>
      </c>
      <c r="L135" s="25">
        <f>IFERROR(__xludf.DUMMYFUNCTION("""COMPUTED_VALUE"""),158.85)</f>
        <v>158.85</v>
      </c>
      <c r="M135" s="25">
        <f>IFERROR(__xludf.DUMMYFUNCTION("""COMPUTED_VALUE"""),808730.0)</f>
        <v>808730</v>
      </c>
    </row>
    <row r="136">
      <c r="A136" s="26">
        <f>IFERROR(__xludf.DUMMYFUNCTION("""COMPUTED_VALUE"""),38547.645833333336)</f>
        <v>38547.64583</v>
      </c>
      <c r="B136" s="9">
        <f>IFERROR(__xludf.DUMMYFUNCTION("""COMPUTED_VALUE"""),138.44)</f>
        <v>138.44</v>
      </c>
      <c r="C136" s="9">
        <f>IFERROR(__xludf.DUMMYFUNCTION("""COMPUTED_VALUE"""),138.9)</f>
        <v>138.9</v>
      </c>
      <c r="D136" s="9">
        <f>IFERROR(__xludf.DUMMYFUNCTION("""COMPUTED_VALUE"""),132.82)</f>
        <v>132.82</v>
      </c>
      <c r="E136" s="9">
        <f>IFERROR(__xludf.DUMMYFUNCTION("""COMPUTED_VALUE"""),133.49)</f>
        <v>133.49</v>
      </c>
      <c r="F136" s="9">
        <f>IFERROR(__xludf.DUMMYFUNCTION("""COMPUTED_VALUE"""),1821247.0)</f>
        <v>1821247</v>
      </c>
      <c r="H136" s="27">
        <f>IFERROR(__xludf.DUMMYFUNCTION("""COMPUTED_VALUE"""),38547.645833333336)</f>
        <v>38547.64583</v>
      </c>
      <c r="I136" s="25">
        <f>IFERROR(__xludf.DUMMYFUNCTION("""COMPUTED_VALUE"""),159.83)</f>
        <v>159.83</v>
      </c>
      <c r="J136" s="25">
        <f>IFERROR(__xludf.DUMMYFUNCTION("""COMPUTED_VALUE"""),160.96)</f>
        <v>160.96</v>
      </c>
      <c r="K136" s="25">
        <f>IFERROR(__xludf.DUMMYFUNCTION("""COMPUTED_VALUE"""),152.04)</f>
        <v>152.04</v>
      </c>
      <c r="L136" s="25">
        <f>IFERROR(__xludf.DUMMYFUNCTION("""COMPUTED_VALUE"""),153.13)</f>
        <v>153.13</v>
      </c>
      <c r="M136" s="25">
        <f>IFERROR(__xludf.DUMMYFUNCTION("""COMPUTED_VALUE"""),1107551.0)</f>
        <v>1107551</v>
      </c>
    </row>
    <row r="137">
      <c r="A137" s="26">
        <f>IFERROR(__xludf.DUMMYFUNCTION("""COMPUTED_VALUE"""),38548.645833333336)</f>
        <v>38548.64583</v>
      </c>
      <c r="B137" s="9">
        <f>IFERROR(__xludf.DUMMYFUNCTION("""COMPUTED_VALUE"""),137.19)</f>
        <v>137.19</v>
      </c>
      <c r="C137" s="9">
        <f>IFERROR(__xludf.DUMMYFUNCTION("""COMPUTED_VALUE"""),137.81)</f>
        <v>137.81</v>
      </c>
      <c r="D137" s="9">
        <f>IFERROR(__xludf.DUMMYFUNCTION("""COMPUTED_VALUE"""),133.7)</f>
        <v>133.7</v>
      </c>
      <c r="E137" s="9">
        <f>IFERROR(__xludf.DUMMYFUNCTION("""COMPUTED_VALUE"""),137.24)</f>
        <v>137.24</v>
      </c>
      <c r="F137" s="9">
        <f>IFERROR(__xludf.DUMMYFUNCTION("""COMPUTED_VALUE"""),1000764.0)</f>
        <v>1000764</v>
      </c>
      <c r="H137" s="27">
        <f>IFERROR(__xludf.DUMMYFUNCTION("""COMPUTED_VALUE"""),38548.645833333336)</f>
        <v>38548.64583</v>
      </c>
      <c r="I137" s="25">
        <f>IFERROR(__xludf.DUMMYFUNCTION("""COMPUTED_VALUE"""),153.88)</f>
        <v>153.88</v>
      </c>
      <c r="J137" s="25">
        <f>IFERROR(__xludf.DUMMYFUNCTION("""COMPUTED_VALUE"""),157.74)</f>
        <v>157.74</v>
      </c>
      <c r="K137" s="25">
        <f>IFERROR(__xludf.DUMMYFUNCTION("""COMPUTED_VALUE"""),151.88)</f>
        <v>151.88</v>
      </c>
      <c r="L137" s="25">
        <f>IFERROR(__xludf.DUMMYFUNCTION("""COMPUTED_VALUE"""),156.06)</f>
        <v>156.06</v>
      </c>
      <c r="M137" s="25">
        <f>IFERROR(__xludf.DUMMYFUNCTION("""COMPUTED_VALUE"""),1167715.0)</f>
        <v>1167715</v>
      </c>
    </row>
    <row r="138">
      <c r="A138" s="26">
        <f>IFERROR(__xludf.DUMMYFUNCTION("""COMPUTED_VALUE"""),38551.645833333336)</f>
        <v>38551.64583</v>
      </c>
      <c r="B138" s="9">
        <f>IFERROR(__xludf.DUMMYFUNCTION("""COMPUTED_VALUE"""),137.26)</f>
        <v>137.26</v>
      </c>
      <c r="C138" s="9">
        <f>IFERROR(__xludf.DUMMYFUNCTION("""COMPUTED_VALUE"""),142.5)</f>
        <v>142.5</v>
      </c>
      <c r="D138" s="9">
        <f>IFERROR(__xludf.DUMMYFUNCTION("""COMPUTED_VALUE"""),137.26)</f>
        <v>137.26</v>
      </c>
      <c r="E138" s="9">
        <f>IFERROR(__xludf.DUMMYFUNCTION("""COMPUTED_VALUE"""),142.0)</f>
        <v>142</v>
      </c>
      <c r="F138" s="9">
        <f>IFERROR(__xludf.DUMMYFUNCTION("""COMPUTED_VALUE"""),1446546.0)</f>
        <v>1446546</v>
      </c>
      <c r="H138" s="27">
        <f>IFERROR(__xludf.DUMMYFUNCTION("""COMPUTED_VALUE"""),38551.645833333336)</f>
        <v>38551.64583</v>
      </c>
      <c r="I138" s="25">
        <f>IFERROR(__xludf.DUMMYFUNCTION("""COMPUTED_VALUE"""),156.5)</f>
        <v>156.5</v>
      </c>
      <c r="J138" s="25">
        <f>IFERROR(__xludf.DUMMYFUNCTION("""COMPUTED_VALUE"""),184.88)</f>
        <v>184.88</v>
      </c>
      <c r="K138" s="25">
        <f>IFERROR(__xludf.DUMMYFUNCTION("""COMPUTED_VALUE"""),156.5)</f>
        <v>156.5</v>
      </c>
      <c r="L138" s="25">
        <f>IFERROR(__xludf.DUMMYFUNCTION("""COMPUTED_VALUE"""),165.28)</f>
        <v>165.28</v>
      </c>
      <c r="M138" s="25">
        <f>IFERROR(__xludf.DUMMYFUNCTION("""COMPUTED_VALUE"""),1809451.0)</f>
        <v>1809451</v>
      </c>
    </row>
    <row r="139">
      <c r="A139" s="26">
        <f>IFERROR(__xludf.DUMMYFUNCTION("""COMPUTED_VALUE"""),38552.645833333336)</f>
        <v>38552.64583</v>
      </c>
      <c r="B139" s="9">
        <f>IFERROR(__xludf.DUMMYFUNCTION("""COMPUTED_VALUE"""),142.0)</f>
        <v>142</v>
      </c>
      <c r="C139" s="9">
        <f>IFERROR(__xludf.DUMMYFUNCTION("""COMPUTED_VALUE"""),142.5)</f>
        <v>142.5</v>
      </c>
      <c r="D139" s="9">
        <f>IFERROR(__xludf.DUMMYFUNCTION("""COMPUTED_VALUE"""),140.63)</f>
        <v>140.63</v>
      </c>
      <c r="E139" s="9">
        <f>IFERROR(__xludf.DUMMYFUNCTION("""COMPUTED_VALUE"""),141.03)</f>
        <v>141.03</v>
      </c>
      <c r="F139" s="9">
        <f>IFERROR(__xludf.DUMMYFUNCTION("""COMPUTED_VALUE"""),689427.0)</f>
        <v>689427</v>
      </c>
      <c r="H139" s="27">
        <f>IFERROR(__xludf.DUMMYFUNCTION("""COMPUTED_VALUE"""),38552.645833333336)</f>
        <v>38552.64583</v>
      </c>
      <c r="I139" s="25">
        <f>IFERROR(__xludf.DUMMYFUNCTION("""COMPUTED_VALUE"""),168.55)</f>
        <v>168.55</v>
      </c>
      <c r="J139" s="25">
        <f>IFERROR(__xludf.DUMMYFUNCTION("""COMPUTED_VALUE"""),169.75)</f>
        <v>169.75</v>
      </c>
      <c r="K139" s="25">
        <f>IFERROR(__xludf.DUMMYFUNCTION("""COMPUTED_VALUE"""),157.5)</f>
        <v>157.5</v>
      </c>
      <c r="L139" s="25">
        <f>IFERROR(__xludf.DUMMYFUNCTION("""COMPUTED_VALUE"""),164.9)</f>
        <v>164.9</v>
      </c>
      <c r="M139" s="25">
        <f>IFERROR(__xludf.DUMMYFUNCTION("""COMPUTED_VALUE"""),584718.0)</f>
        <v>584718</v>
      </c>
    </row>
    <row r="140">
      <c r="A140" s="26">
        <f>IFERROR(__xludf.DUMMYFUNCTION("""COMPUTED_VALUE"""),38553.645833333336)</f>
        <v>38553.64583</v>
      </c>
      <c r="B140" s="9">
        <f>IFERROR(__xludf.DUMMYFUNCTION("""COMPUTED_VALUE"""),141.54)</f>
        <v>141.54</v>
      </c>
      <c r="C140" s="9">
        <f>IFERROR(__xludf.DUMMYFUNCTION("""COMPUTED_VALUE"""),141.54)</f>
        <v>141.54</v>
      </c>
      <c r="D140" s="9">
        <f>IFERROR(__xludf.DUMMYFUNCTION("""COMPUTED_VALUE"""),139.44)</f>
        <v>139.44</v>
      </c>
      <c r="E140" s="9">
        <f>IFERROR(__xludf.DUMMYFUNCTION("""COMPUTED_VALUE"""),139.58)</f>
        <v>139.58</v>
      </c>
      <c r="F140" s="9">
        <f>IFERROR(__xludf.DUMMYFUNCTION("""COMPUTED_VALUE"""),652038.0)</f>
        <v>652038</v>
      </c>
      <c r="H140" s="27">
        <f>IFERROR(__xludf.DUMMYFUNCTION("""COMPUTED_VALUE"""),38553.645833333336)</f>
        <v>38553.64583</v>
      </c>
      <c r="I140" s="25">
        <f>IFERROR(__xludf.DUMMYFUNCTION("""COMPUTED_VALUE"""),166.88)</f>
        <v>166.88</v>
      </c>
      <c r="J140" s="25">
        <f>IFERROR(__xludf.DUMMYFUNCTION("""COMPUTED_VALUE"""),166.88)</f>
        <v>166.88</v>
      </c>
      <c r="K140" s="25">
        <f>IFERROR(__xludf.DUMMYFUNCTION("""COMPUTED_VALUE"""),163.15)</f>
        <v>163.15</v>
      </c>
      <c r="L140" s="25">
        <f>IFERROR(__xludf.DUMMYFUNCTION("""COMPUTED_VALUE"""),163.53)</f>
        <v>163.53</v>
      </c>
      <c r="M140" s="25">
        <f>IFERROR(__xludf.DUMMYFUNCTION("""COMPUTED_VALUE"""),436788.0)</f>
        <v>436788</v>
      </c>
    </row>
    <row r="141">
      <c r="A141" s="26">
        <f>IFERROR(__xludf.DUMMYFUNCTION("""COMPUTED_VALUE"""),38554.645833333336)</f>
        <v>38554.64583</v>
      </c>
      <c r="B141" s="9">
        <f>IFERROR(__xludf.DUMMYFUNCTION("""COMPUTED_VALUE"""),141.54)</f>
        <v>141.54</v>
      </c>
      <c r="C141" s="9">
        <f>IFERROR(__xludf.DUMMYFUNCTION("""COMPUTED_VALUE"""),145.07)</f>
        <v>145.07</v>
      </c>
      <c r="D141" s="9">
        <f>IFERROR(__xludf.DUMMYFUNCTION("""COMPUTED_VALUE"""),137.25)</f>
        <v>137.25</v>
      </c>
      <c r="E141" s="9">
        <f>IFERROR(__xludf.DUMMYFUNCTION("""COMPUTED_VALUE"""),138.06)</f>
        <v>138.06</v>
      </c>
      <c r="F141" s="9">
        <f>IFERROR(__xludf.DUMMYFUNCTION("""COMPUTED_VALUE"""),760941.0)</f>
        <v>760941</v>
      </c>
      <c r="H141" s="27">
        <f>IFERROR(__xludf.DUMMYFUNCTION("""COMPUTED_VALUE"""),38554.645833333336)</f>
        <v>38554.64583</v>
      </c>
      <c r="I141" s="25">
        <f>IFERROR(__xludf.DUMMYFUNCTION("""COMPUTED_VALUE"""),165.13)</f>
        <v>165.13</v>
      </c>
      <c r="J141" s="25">
        <f>IFERROR(__xludf.DUMMYFUNCTION("""COMPUTED_VALUE"""),165.13)</f>
        <v>165.13</v>
      </c>
      <c r="K141" s="25">
        <f>IFERROR(__xludf.DUMMYFUNCTION("""COMPUTED_VALUE"""),160.0)</f>
        <v>160</v>
      </c>
      <c r="L141" s="25">
        <f>IFERROR(__xludf.DUMMYFUNCTION("""COMPUTED_VALUE"""),161.29)</f>
        <v>161.29</v>
      </c>
      <c r="M141" s="25">
        <f>IFERROR(__xludf.DUMMYFUNCTION("""COMPUTED_VALUE"""),524873.0)</f>
        <v>524873</v>
      </c>
    </row>
    <row r="142">
      <c r="A142" s="26">
        <f>IFERROR(__xludf.DUMMYFUNCTION("""COMPUTED_VALUE"""),38555.645833333336)</f>
        <v>38555.64583</v>
      </c>
      <c r="B142" s="9">
        <f>IFERROR(__xludf.DUMMYFUNCTION("""COMPUTED_VALUE"""),138.25)</f>
        <v>138.25</v>
      </c>
      <c r="C142" s="9">
        <f>IFERROR(__xludf.DUMMYFUNCTION("""COMPUTED_VALUE"""),140.5)</f>
        <v>140.5</v>
      </c>
      <c r="D142" s="9">
        <f>IFERROR(__xludf.DUMMYFUNCTION("""COMPUTED_VALUE"""),136.07)</f>
        <v>136.07</v>
      </c>
      <c r="E142" s="9">
        <f>IFERROR(__xludf.DUMMYFUNCTION("""COMPUTED_VALUE"""),139.92)</f>
        <v>139.92</v>
      </c>
      <c r="F142" s="9">
        <f>IFERROR(__xludf.DUMMYFUNCTION("""COMPUTED_VALUE"""),1117284.0)</f>
        <v>1117284</v>
      </c>
      <c r="H142" s="27">
        <f>IFERROR(__xludf.DUMMYFUNCTION("""COMPUTED_VALUE"""),38555.645833333336)</f>
        <v>38555.64583</v>
      </c>
      <c r="I142" s="25">
        <f>IFERROR(__xludf.DUMMYFUNCTION("""COMPUTED_VALUE"""),160.63)</f>
        <v>160.63</v>
      </c>
      <c r="J142" s="25">
        <f>IFERROR(__xludf.DUMMYFUNCTION("""COMPUTED_VALUE"""),162.23)</f>
        <v>162.23</v>
      </c>
      <c r="K142" s="25">
        <f>IFERROR(__xludf.DUMMYFUNCTION("""COMPUTED_VALUE"""),158.8)</f>
        <v>158.8</v>
      </c>
      <c r="L142" s="25">
        <f>IFERROR(__xludf.DUMMYFUNCTION("""COMPUTED_VALUE"""),161.74)</f>
        <v>161.74</v>
      </c>
      <c r="M142" s="25">
        <f>IFERROR(__xludf.DUMMYFUNCTION("""COMPUTED_VALUE"""),647412.0)</f>
        <v>647412</v>
      </c>
    </row>
    <row r="143">
      <c r="A143" s="26">
        <f>IFERROR(__xludf.DUMMYFUNCTION("""COMPUTED_VALUE"""),38558.645833333336)</f>
        <v>38558.64583</v>
      </c>
      <c r="B143" s="9">
        <f>IFERROR(__xludf.DUMMYFUNCTION("""COMPUTED_VALUE"""),139.69)</f>
        <v>139.69</v>
      </c>
      <c r="C143" s="9">
        <f>IFERROR(__xludf.DUMMYFUNCTION("""COMPUTED_VALUE"""),141.17)</f>
        <v>141.17</v>
      </c>
      <c r="D143" s="9">
        <f>IFERROR(__xludf.DUMMYFUNCTION("""COMPUTED_VALUE"""),138.77)</f>
        <v>138.77</v>
      </c>
      <c r="E143" s="9">
        <f>IFERROR(__xludf.DUMMYFUNCTION("""COMPUTED_VALUE"""),139.31)</f>
        <v>139.31</v>
      </c>
      <c r="F143" s="9">
        <f>IFERROR(__xludf.DUMMYFUNCTION("""COMPUTED_VALUE"""),565964.0)</f>
        <v>565964</v>
      </c>
      <c r="H143" s="27">
        <f>IFERROR(__xludf.DUMMYFUNCTION("""COMPUTED_VALUE"""),38558.645833333336)</f>
        <v>38558.64583</v>
      </c>
      <c r="I143" s="25">
        <f>IFERROR(__xludf.DUMMYFUNCTION("""COMPUTED_VALUE"""),162.07)</f>
        <v>162.07</v>
      </c>
      <c r="J143" s="25">
        <f>IFERROR(__xludf.DUMMYFUNCTION("""COMPUTED_VALUE"""),162.79)</f>
        <v>162.79</v>
      </c>
      <c r="K143" s="25">
        <f>IFERROR(__xludf.DUMMYFUNCTION("""COMPUTED_VALUE"""),159.4)</f>
        <v>159.4</v>
      </c>
      <c r="L143" s="25">
        <f>IFERROR(__xludf.DUMMYFUNCTION("""COMPUTED_VALUE"""),160.54)</f>
        <v>160.54</v>
      </c>
      <c r="M143" s="25">
        <f>IFERROR(__xludf.DUMMYFUNCTION("""COMPUTED_VALUE"""),679128.0)</f>
        <v>679128</v>
      </c>
    </row>
    <row r="144">
      <c r="A144" s="26">
        <f>IFERROR(__xludf.DUMMYFUNCTION("""COMPUTED_VALUE"""),38559.645833333336)</f>
        <v>38559.64583</v>
      </c>
      <c r="B144" s="9">
        <f>IFERROR(__xludf.DUMMYFUNCTION("""COMPUTED_VALUE"""),139.38)</f>
        <v>139.38</v>
      </c>
      <c r="C144" s="9">
        <f>IFERROR(__xludf.DUMMYFUNCTION("""COMPUTED_VALUE"""),139.69)</f>
        <v>139.69</v>
      </c>
      <c r="D144" s="9">
        <f>IFERROR(__xludf.DUMMYFUNCTION("""COMPUTED_VALUE"""),138.06)</f>
        <v>138.06</v>
      </c>
      <c r="E144" s="9">
        <f>IFERROR(__xludf.DUMMYFUNCTION("""COMPUTED_VALUE"""),139.15)</f>
        <v>139.15</v>
      </c>
      <c r="F144" s="9">
        <f>IFERROR(__xludf.DUMMYFUNCTION("""COMPUTED_VALUE"""),503956.0)</f>
        <v>503956</v>
      </c>
      <c r="H144" s="27">
        <f>IFERROR(__xludf.DUMMYFUNCTION("""COMPUTED_VALUE"""),38559.645833333336)</f>
        <v>38559.64583</v>
      </c>
      <c r="I144" s="25">
        <f>IFERROR(__xludf.DUMMYFUNCTION("""COMPUTED_VALUE"""),160.73)</f>
        <v>160.73</v>
      </c>
      <c r="J144" s="25">
        <f>IFERROR(__xludf.DUMMYFUNCTION("""COMPUTED_VALUE"""),161.5)</f>
        <v>161.5</v>
      </c>
      <c r="K144" s="25">
        <f>IFERROR(__xludf.DUMMYFUNCTION("""COMPUTED_VALUE"""),157.5)</f>
        <v>157.5</v>
      </c>
      <c r="L144" s="25">
        <f>IFERROR(__xludf.DUMMYFUNCTION("""COMPUTED_VALUE"""),158.16)</f>
        <v>158.16</v>
      </c>
      <c r="M144" s="25">
        <f>IFERROR(__xludf.DUMMYFUNCTION("""COMPUTED_VALUE"""),653710.0)</f>
        <v>653710</v>
      </c>
    </row>
    <row r="145">
      <c r="A145" s="26">
        <f>IFERROR(__xludf.DUMMYFUNCTION("""COMPUTED_VALUE"""),38560.645833333336)</f>
        <v>38560.64583</v>
      </c>
      <c r="B145" s="9">
        <f>IFERROR(__xludf.DUMMYFUNCTION("""COMPUTED_VALUE"""),139.69)</f>
        <v>139.69</v>
      </c>
      <c r="C145" s="9">
        <f>IFERROR(__xludf.DUMMYFUNCTION("""COMPUTED_VALUE"""),140.25)</f>
        <v>140.25</v>
      </c>
      <c r="D145" s="9">
        <f>IFERROR(__xludf.DUMMYFUNCTION("""COMPUTED_VALUE"""),138.63)</f>
        <v>138.63</v>
      </c>
      <c r="E145" s="9">
        <f>IFERROR(__xludf.DUMMYFUNCTION("""COMPUTED_VALUE"""),139.41)</f>
        <v>139.41</v>
      </c>
      <c r="F145" s="9">
        <f>IFERROR(__xludf.DUMMYFUNCTION("""COMPUTED_VALUE"""),456652.0)</f>
        <v>456652</v>
      </c>
      <c r="H145" s="27">
        <f>IFERROR(__xludf.DUMMYFUNCTION("""COMPUTED_VALUE"""),38560.645833333336)</f>
        <v>38560.64583</v>
      </c>
      <c r="I145" s="25">
        <f>IFERROR(__xludf.DUMMYFUNCTION("""COMPUTED_VALUE"""),158.13)</f>
        <v>158.13</v>
      </c>
      <c r="J145" s="25">
        <f>IFERROR(__xludf.DUMMYFUNCTION("""COMPUTED_VALUE"""),161.0)</f>
        <v>161</v>
      </c>
      <c r="K145" s="25">
        <f>IFERROR(__xludf.DUMMYFUNCTION("""COMPUTED_VALUE"""),158.13)</f>
        <v>158.13</v>
      </c>
      <c r="L145" s="25">
        <f>IFERROR(__xludf.DUMMYFUNCTION("""COMPUTED_VALUE"""),160.56)</f>
        <v>160.56</v>
      </c>
      <c r="M145" s="25">
        <f>IFERROR(__xludf.DUMMYFUNCTION("""COMPUTED_VALUE"""),324676.0)</f>
        <v>324676</v>
      </c>
    </row>
    <row r="146">
      <c r="A146" s="26">
        <f>IFERROR(__xludf.DUMMYFUNCTION("""COMPUTED_VALUE"""),38562.645833333336)</f>
        <v>38562.64583</v>
      </c>
      <c r="B146" s="9">
        <f>IFERROR(__xludf.DUMMYFUNCTION("""COMPUTED_VALUE"""),138.81)</f>
        <v>138.81</v>
      </c>
      <c r="C146" s="9">
        <f>IFERROR(__xludf.DUMMYFUNCTION("""COMPUTED_VALUE"""),143.31)</f>
        <v>143.31</v>
      </c>
      <c r="D146" s="9">
        <f>IFERROR(__xludf.DUMMYFUNCTION("""COMPUTED_VALUE"""),138.81)</f>
        <v>138.81</v>
      </c>
      <c r="E146" s="9">
        <f>IFERROR(__xludf.DUMMYFUNCTION("""COMPUTED_VALUE"""),141.78)</f>
        <v>141.78</v>
      </c>
      <c r="F146" s="9">
        <f>IFERROR(__xludf.DUMMYFUNCTION("""COMPUTED_VALUE"""),1762150.0)</f>
        <v>1762150</v>
      </c>
      <c r="H146" s="27">
        <f>IFERROR(__xludf.DUMMYFUNCTION("""COMPUTED_VALUE"""),38562.645833333336)</f>
        <v>38562.64583</v>
      </c>
      <c r="I146" s="25">
        <f>IFERROR(__xludf.DUMMYFUNCTION("""COMPUTED_VALUE"""),159.38)</f>
        <v>159.38</v>
      </c>
      <c r="J146" s="25">
        <f>IFERROR(__xludf.DUMMYFUNCTION("""COMPUTED_VALUE"""),161.25)</f>
        <v>161.25</v>
      </c>
      <c r="K146" s="25">
        <f>IFERROR(__xludf.DUMMYFUNCTION("""COMPUTED_VALUE"""),157.75)</f>
        <v>157.75</v>
      </c>
      <c r="L146" s="25">
        <f>IFERROR(__xludf.DUMMYFUNCTION("""COMPUTED_VALUE"""),158.6)</f>
        <v>158.6</v>
      </c>
      <c r="M146" s="25">
        <f>IFERROR(__xludf.DUMMYFUNCTION("""COMPUTED_VALUE"""),1044819.0)</f>
        <v>1044819</v>
      </c>
    </row>
    <row r="147">
      <c r="A147" s="26">
        <f>IFERROR(__xludf.DUMMYFUNCTION("""COMPUTED_VALUE"""),38565.645833333336)</f>
        <v>38565.64583</v>
      </c>
      <c r="B147" s="9">
        <f>IFERROR(__xludf.DUMMYFUNCTION("""COMPUTED_VALUE"""),137.63)</f>
        <v>137.63</v>
      </c>
      <c r="C147" s="9">
        <f>IFERROR(__xludf.DUMMYFUNCTION("""COMPUTED_VALUE"""),142.15)</f>
        <v>142.15</v>
      </c>
      <c r="D147" s="9">
        <f>IFERROR(__xludf.DUMMYFUNCTION("""COMPUTED_VALUE"""),137.63)</f>
        <v>137.63</v>
      </c>
      <c r="E147" s="9">
        <f>IFERROR(__xludf.DUMMYFUNCTION("""COMPUTED_VALUE"""),141.53)</f>
        <v>141.53</v>
      </c>
      <c r="F147" s="9">
        <f>IFERROR(__xludf.DUMMYFUNCTION("""COMPUTED_VALUE"""),456227.0)</f>
        <v>456227</v>
      </c>
      <c r="H147" s="27">
        <f>IFERROR(__xludf.DUMMYFUNCTION("""COMPUTED_VALUE"""),38565.645833333336)</f>
        <v>38565.64583</v>
      </c>
      <c r="I147" s="25">
        <f>IFERROR(__xludf.DUMMYFUNCTION("""COMPUTED_VALUE"""),158.38)</f>
        <v>158.38</v>
      </c>
      <c r="J147" s="25">
        <f>IFERROR(__xludf.DUMMYFUNCTION("""COMPUTED_VALUE"""),159.38)</f>
        <v>159.38</v>
      </c>
      <c r="K147" s="25">
        <f>IFERROR(__xludf.DUMMYFUNCTION("""COMPUTED_VALUE"""),155.33)</f>
        <v>155.33</v>
      </c>
      <c r="L147" s="25">
        <f>IFERROR(__xludf.DUMMYFUNCTION("""COMPUTED_VALUE"""),156.53)</f>
        <v>156.53</v>
      </c>
      <c r="M147" s="25">
        <f>IFERROR(__xludf.DUMMYFUNCTION("""COMPUTED_VALUE"""),678849.0)</f>
        <v>678849</v>
      </c>
    </row>
    <row r="148">
      <c r="A148" s="26">
        <f>IFERROR(__xludf.DUMMYFUNCTION("""COMPUTED_VALUE"""),38566.645833333336)</f>
        <v>38566.64583</v>
      </c>
      <c r="B148" s="9">
        <f>IFERROR(__xludf.DUMMYFUNCTION("""COMPUTED_VALUE"""),142.15)</f>
        <v>142.15</v>
      </c>
      <c r="C148" s="9">
        <f>IFERROR(__xludf.DUMMYFUNCTION("""COMPUTED_VALUE"""),144.25)</f>
        <v>144.25</v>
      </c>
      <c r="D148" s="9">
        <f>IFERROR(__xludf.DUMMYFUNCTION("""COMPUTED_VALUE"""),141.28)</f>
        <v>141.28</v>
      </c>
      <c r="E148" s="9">
        <f>IFERROR(__xludf.DUMMYFUNCTION("""COMPUTED_VALUE"""),143.7)</f>
        <v>143.7</v>
      </c>
      <c r="F148" s="9">
        <f>IFERROR(__xludf.DUMMYFUNCTION("""COMPUTED_VALUE"""),845574.0)</f>
        <v>845574</v>
      </c>
      <c r="H148" s="27">
        <f>IFERROR(__xludf.DUMMYFUNCTION("""COMPUTED_VALUE"""),38566.645833333336)</f>
        <v>38566.64583</v>
      </c>
      <c r="I148" s="25">
        <f>IFERROR(__xludf.DUMMYFUNCTION("""COMPUTED_VALUE"""),161.5)</f>
        <v>161.5</v>
      </c>
      <c r="J148" s="25">
        <f>IFERROR(__xludf.DUMMYFUNCTION("""COMPUTED_VALUE"""),162.25)</f>
        <v>162.25</v>
      </c>
      <c r="K148" s="25">
        <f>IFERROR(__xludf.DUMMYFUNCTION("""COMPUTED_VALUE"""),157.25)</f>
        <v>157.25</v>
      </c>
      <c r="L148" s="25">
        <f>IFERROR(__xludf.DUMMYFUNCTION("""COMPUTED_VALUE"""),161.29)</f>
        <v>161.29</v>
      </c>
      <c r="M148" s="25">
        <f>IFERROR(__xludf.DUMMYFUNCTION("""COMPUTED_VALUE"""),602690.0)</f>
        <v>602690</v>
      </c>
    </row>
    <row r="149">
      <c r="A149" s="26">
        <f>IFERROR(__xludf.DUMMYFUNCTION("""COMPUTED_VALUE"""),38567.645833333336)</f>
        <v>38567.64583</v>
      </c>
      <c r="B149" s="9">
        <f>IFERROR(__xludf.DUMMYFUNCTION("""COMPUTED_VALUE"""),144.38)</f>
        <v>144.38</v>
      </c>
      <c r="C149" s="9">
        <f>IFERROR(__xludf.DUMMYFUNCTION("""COMPUTED_VALUE"""),147.81)</f>
        <v>147.81</v>
      </c>
      <c r="D149" s="9">
        <f>IFERROR(__xludf.DUMMYFUNCTION("""COMPUTED_VALUE"""),144.38)</f>
        <v>144.38</v>
      </c>
      <c r="E149" s="9">
        <f>IFERROR(__xludf.DUMMYFUNCTION("""COMPUTED_VALUE"""),147.25)</f>
        <v>147.25</v>
      </c>
      <c r="F149" s="9">
        <f>IFERROR(__xludf.DUMMYFUNCTION("""COMPUTED_VALUE"""),1033725.0)</f>
        <v>1033725</v>
      </c>
      <c r="H149" s="27">
        <f>IFERROR(__xludf.DUMMYFUNCTION("""COMPUTED_VALUE"""),38567.645833333336)</f>
        <v>38567.64583</v>
      </c>
      <c r="I149" s="25">
        <f>IFERROR(__xludf.DUMMYFUNCTION("""COMPUTED_VALUE"""),162.19)</f>
        <v>162.19</v>
      </c>
      <c r="J149" s="25">
        <f>IFERROR(__xludf.DUMMYFUNCTION("""COMPUTED_VALUE"""),163.43)</f>
        <v>163.43</v>
      </c>
      <c r="K149" s="25">
        <f>IFERROR(__xludf.DUMMYFUNCTION("""COMPUTED_VALUE"""),160.38)</f>
        <v>160.38</v>
      </c>
      <c r="L149" s="25">
        <f>IFERROR(__xludf.DUMMYFUNCTION("""COMPUTED_VALUE"""),162.6)</f>
        <v>162.6</v>
      </c>
      <c r="M149" s="25">
        <f>IFERROR(__xludf.DUMMYFUNCTION("""COMPUTED_VALUE"""),909290.0)</f>
        <v>909290</v>
      </c>
    </row>
    <row r="150">
      <c r="A150" s="26">
        <f>IFERROR(__xludf.DUMMYFUNCTION("""COMPUTED_VALUE"""),38568.645833333336)</f>
        <v>38568.64583</v>
      </c>
      <c r="B150" s="9">
        <f>IFERROR(__xludf.DUMMYFUNCTION("""COMPUTED_VALUE"""),147.81)</f>
        <v>147.81</v>
      </c>
      <c r="C150" s="9">
        <f>IFERROR(__xludf.DUMMYFUNCTION("""COMPUTED_VALUE"""),148.88)</f>
        <v>148.88</v>
      </c>
      <c r="D150" s="9">
        <f>IFERROR(__xludf.DUMMYFUNCTION("""COMPUTED_VALUE"""),143.96)</f>
        <v>143.96</v>
      </c>
      <c r="E150" s="9">
        <f>IFERROR(__xludf.DUMMYFUNCTION("""COMPUTED_VALUE"""),144.59)</f>
        <v>144.59</v>
      </c>
      <c r="F150" s="9">
        <f>IFERROR(__xludf.DUMMYFUNCTION("""COMPUTED_VALUE"""),727858.0)</f>
        <v>727858</v>
      </c>
      <c r="H150" s="27">
        <f>IFERROR(__xludf.DUMMYFUNCTION("""COMPUTED_VALUE"""),38568.645833333336)</f>
        <v>38568.64583</v>
      </c>
      <c r="I150" s="25">
        <f>IFERROR(__xludf.DUMMYFUNCTION("""COMPUTED_VALUE"""),163.13)</f>
        <v>163.13</v>
      </c>
      <c r="J150" s="25">
        <f>IFERROR(__xludf.DUMMYFUNCTION("""COMPUTED_VALUE"""),164.98)</f>
        <v>164.98</v>
      </c>
      <c r="K150" s="25">
        <f>IFERROR(__xludf.DUMMYFUNCTION("""COMPUTED_VALUE"""),161.0)</f>
        <v>161</v>
      </c>
      <c r="L150" s="25">
        <f>IFERROR(__xludf.DUMMYFUNCTION("""COMPUTED_VALUE"""),161.91)</f>
        <v>161.91</v>
      </c>
      <c r="M150" s="25">
        <f>IFERROR(__xludf.DUMMYFUNCTION("""COMPUTED_VALUE"""),793367.0)</f>
        <v>793367</v>
      </c>
    </row>
    <row r="151">
      <c r="A151" s="26">
        <f>IFERROR(__xludf.DUMMYFUNCTION("""COMPUTED_VALUE"""),38569.645833333336)</f>
        <v>38569.64583</v>
      </c>
      <c r="B151" s="9">
        <f>IFERROR(__xludf.DUMMYFUNCTION("""COMPUTED_VALUE"""),144.13)</f>
        <v>144.13</v>
      </c>
      <c r="C151" s="9">
        <f>IFERROR(__xludf.DUMMYFUNCTION("""COMPUTED_VALUE"""),144.75)</f>
        <v>144.75</v>
      </c>
      <c r="D151" s="9">
        <f>IFERROR(__xludf.DUMMYFUNCTION("""COMPUTED_VALUE"""),142.28)</f>
        <v>142.28</v>
      </c>
      <c r="E151" s="9">
        <f>IFERROR(__xludf.DUMMYFUNCTION("""COMPUTED_VALUE"""),143.22)</f>
        <v>143.22</v>
      </c>
      <c r="F151" s="9">
        <f>IFERROR(__xludf.DUMMYFUNCTION("""COMPUTED_VALUE"""),747139.0)</f>
        <v>747139</v>
      </c>
      <c r="H151" s="27">
        <f>IFERROR(__xludf.DUMMYFUNCTION("""COMPUTED_VALUE"""),38569.645833333336)</f>
        <v>38569.64583</v>
      </c>
      <c r="I151" s="25">
        <f>IFERROR(__xludf.DUMMYFUNCTION("""COMPUTED_VALUE"""),162.5)</f>
        <v>162.5</v>
      </c>
      <c r="J151" s="25">
        <f>IFERROR(__xludf.DUMMYFUNCTION("""COMPUTED_VALUE"""),163.5)</f>
        <v>163.5</v>
      </c>
      <c r="K151" s="25">
        <f>IFERROR(__xludf.DUMMYFUNCTION("""COMPUTED_VALUE"""),159.65)</f>
        <v>159.65</v>
      </c>
      <c r="L151" s="25">
        <f>IFERROR(__xludf.DUMMYFUNCTION("""COMPUTED_VALUE"""),160.68)</f>
        <v>160.68</v>
      </c>
      <c r="M151" s="25">
        <f>IFERROR(__xludf.DUMMYFUNCTION("""COMPUTED_VALUE"""),395356.0)</f>
        <v>395356</v>
      </c>
    </row>
    <row r="152">
      <c r="A152" s="26">
        <f>IFERROR(__xludf.DUMMYFUNCTION("""COMPUTED_VALUE"""),38572.645833333336)</f>
        <v>38572.64583</v>
      </c>
      <c r="B152" s="9">
        <f>IFERROR(__xludf.DUMMYFUNCTION("""COMPUTED_VALUE"""),143.25)</f>
        <v>143.25</v>
      </c>
      <c r="C152" s="9">
        <f>IFERROR(__xludf.DUMMYFUNCTION("""COMPUTED_VALUE"""),143.25)</f>
        <v>143.25</v>
      </c>
      <c r="D152" s="9">
        <f>IFERROR(__xludf.DUMMYFUNCTION("""COMPUTED_VALUE"""),140.63)</f>
        <v>140.63</v>
      </c>
      <c r="E152" s="9">
        <f>IFERROR(__xludf.DUMMYFUNCTION("""COMPUTED_VALUE"""),141.92)</f>
        <v>141.92</v>
      </c>
      <c r="F152" s="9">
        <f>IFERROR(__xludf.DUMMYFUNCTION("""COMPUTED_VALUE"""),603382.0)</f>
        <v>603382</v>
      </c>
      <c r="H152" s="27">
        <f>IFERROR(__xludf.DUMMYFUNCTION("""COMPUTED_VALUE"""),38572.645833333336)</f>
        <v>38572.64583</v>
      </c>
      <c r="I152" s="25">
        <f>IFERROR(__xludf.DUMMYFUNCTION("""COMPUTED_VALUE"""),161.25)</f>
        <v>161.25</v>
      </c>
      <c r="J152" s="25">
        <f>IFERROR(__xludf.DUMMYFUNCTION("""COMPUTED_VALUE"""),161.25)</f>
        <v>161.25</v>
      </c>
      <c r="K152" s="25">
        <f>IFERROR(__xludf.DUMMYFUNCTION("""COMPUTED_VALUE"""),158.41)</f>
        <v>158.41</v>
      </c>
      <c r="L152" s="25">
        <f>IFERROR(__xludf.DUMMYFUNCTION("""COMPUTED_VALUE"""),160.38)</f>
        <v>160.38</v>
      </c>
      <c r="M152" s="25">
        <f>IFERROR(__xludf.DUMMYFUNCTION("""COMPUTED_VALUE"""),513670.0)</f>
        <v>513670</v>
      </c>
    </row>
    <row r="153">
      <c r="A153" s="26">
        <f>IFERROR(__xludf.DUMMYFUNCTION("""COMPUTED_VALUE"""),38573.645833333336)</f>
        <v>38573.64583</v>
      </c>
      <c r="B153" s="9">
        <f>IFERROR(__xludf.DUMMYFUNCTION("""COMPUTED_VALUE"""),140.64)</f>
        <v>140.64</v>
      </c>
      <c r="C153" s="9">
        <f>IFERROR(__xludf.DUMMYFUNCTION("""COMPUTED_VALUE"""),143.04)</f>
        <v>143.04</v>
      </c>
      <c r="D153" s="9">
        <f>IFERROR(__xludf.DUMMYFUNCTION("""COMPUTED_VALUE"""),140.64)</f>
        <v>140.64</v>
      </c>
      <c r="E153" s="9">
        <f>IFERROR(__xludf.DUMMYFUNCTION("""COMPUTED_VALUE"""),141.51)</f>
        <v>141.51</v>
      </c>
      <c r="F153" s="9">
        <f>IFERROR(__xludf.DUMMYFUNCTION("""COMPUTED_VALUE"""),705772.0)</f>
        <v>705772</v>
      </c>
      <c r="H153" s="27">
        <f>IFERROR(__xludf.DUMMYFUNCTION("""COMPUTED_VALUE"""),38573.645833333336)</f>
        <v>38573.64583</v>
      </c>
      <c r="I153" s="25">
        <f>IFERROR(__xludf.DUMMYFUNCTION("""COMPUTED_VALUE"""),159.38)</f>
        <v>159.38</v>
      </c>
      <c r="J153" s="25">
        <f>IFERROR(__xludf.DUMMYFUNCTION("""COMPUTED_VALUE"""),160.88)</f>
        <v>160.88</v>
      </c>
      <c r="K153" s="25">
        <f>IFERROR(__xludf.DUMMYFUNCTION("""COMPUTED_VALUE"""),158.0)</f>
        <v>158</v>
      </c>
      <c r="L153" s="25">
        <f>IFERROR(__xludf.DUMMYFUNCTION("""COMPUTED_VALUE"""),160.55)</f>
        <v>160.55</v>
      </c>
      <c r="M153" s="25">
        <f>IFERROR(__xludf.DUMMYFUNCTION("""COMPUTED_VALUE"""),592969.0)</f>
        <v>592969</v>
      </c>
    </row>
    <row r="154">
      <c r="A154" s="26">
        <f>IFERROR(__xludf.DUMMYFUNCTION("""COMPUTED_VALUE"""),38574.645833333336)</f>
        <v>38574.64583</v>
      </c>
      <c r="B154" s="9">
        <f>IFERROR(__xludf.DUMMYFUNCTION("""COMPUTED_VALUE"""),142.75)</f>
        <v>142.75</v>
      </c>
      <c r="C154" s="9">
        <f>IFERROR(__xludf.DUMMYFUNCTION("""COMPUTED_VALUE"""),145.44)</f>
        <v>145.44</v>
      </c>
      <c r="D154" s="9">
        <f>IFERROR(__xludf.DUMMYFUNCTION("""COMPUTED_VALUE"""),142.38)</f>
        <v>142.38</v>
      </c>
      <c r="E154" s="9">
        <f>IFERROR(__xludf.DUMMYFUNCTION("""COMPUTED_VALUE"""),144.69)</f>
        <v>144.69</v>
      </c>
      <c r="F154" s="9">
        <f>IFERROR(__xludf.DUMMYFUNCTION("""COMPUTED_VALUE"""),800183.0)</f>
        <v>800183</v>
      </c>
      <c r="H154" s="27">
        <f>IFERROR(__xludf.DUMMYFUNCTION("""COMPUTED_VALUE"""),38574.645833333336)</f>
        <v>38574.64583</v>
      </c>
      <c r="I154" s="25">
        <f>IFERROR(__xludf.DUMMYFUNCTION("""COMPUTED_VALUE"""),160.71)</f>
        <v>160.71</v>
      </c>
      <c r="J154" s="25">
        <f>IFERROR(__xludf.DUMMYFUNCTION("""COMPUTED_VALUE"""),164.58)</f>
        <v>164.58</v>
      </c>
      <c r="K154" s="25">
        <f>IFERROR(__xludf.DUMMYFUNCTION("""COMPUTED_VALUE"""),160.71)</f>
        <v>160.71</v>
      </c>
      <c r="L154" s="25">
        <f>IFERROR(__xludf.DUMMYFUNCTION("""COMPUTED_VALUE"""),164.13)</f>
        <v>164.13</v>
      </c>
      <c r="M154" s="25">
        <f>IFERROR(__xludf.DUMMYFUNCTION("""COMPUTED_VALUE"""),869760.0)</f>
        <v>869760</v>
      </c>
    </row>
    <row r="155">
      <c r="A155" s="26">
        <f>IFERROR(__xludf.DUMMYFUNCTION("""COMPUTED_VALUE"""),38575.645833333336)</f>
        <v>38575.64583</v>
      </c>
      <c r="B155" s="9">
        <f>IFERROR(__xludf.DUMMYFUNCTION("""COMPUTED_VALUE"""),145.06)</f>
        <v>145.06</v>
      </c>
      <c r="C155" s="9">
        <f>IFERROR(__xludf.DUMMYFUNCTION("""COMPUTED_VALUE"""),145.31)</f>
        <v>145.31</v>
      </c>
      <c r="D155" s="9">
        <f>IFERROR(__xludf.DUMMYFUNCTION("""COMPUTED_VALUE"""),142.81)</f>
        <v>142.81</v>
      </c>
      <c r="E155" s="9">
        <f>IFERROR(__xludf.DUMMYFUNCTION("""COMPUTED_VALUE"""),143.34)</f>
        <v>143.34</v>
      </c>
      <c r="F155" s="9">
        <f>IFERROR(__xludf.DUMMYFUNCTION("""COMPUTED_VALUE"""),528804.0)</f>
        <v>528804</v>
      </c>
      <c r="H155" s="27">
        <f>IFERROR(__xludf.DUMMYFUNCTION("""COMPUTED_VALUE"""),38575.645833333336)</f>
        <v>38575.64583</v>
      </c>
      <c r="I155" s="25">
        <f>IFERROR(__xludf.DUMMYFUNCTION("""COMPUTED_VALUE"""),164.58)</f>
        <v>164.58</v>
      </c>
      <c r="J155" s="25">
        <f>IFERROR(__xludf.DUMMYFUNCTION("""COMPUTED_VALUE"""),166.13)</f>
        <v>166.13</v>
      </c>
      <c r="K155" s="25">
        <f>IFERROR(__xludf.DUMMYFUNCTION("""COMPUTED_VALUE"""),163.32)</f>
        <v>163.32</v>
      </c>
      <c r="L155" s="25">
        <f>IFERROR(__xludf.DUMMYFUNCTION("""COMPUTED_VALUE"""),164.11)</f>
        <v>164.11</v>
      </c>
      <c r="M155" s="25">
        <f>IFERROR(__xludf.DUMMYFUNCTION("""COMPUTED_VALUE"""),455664.0)</f>
        <v>455664</v>
      </c>
    </row>
    <row r="156">
      <c r="A156" s="26">
        <f>IFERROR(__xludf.DUMMYFUNCTION("""COMPUTED_VALUE"""),38576.645833333336)</f>
        <v>38576.64583</v>
      </c>
      <c r="B156" s="9">
        <f>IFERROR(__xludf.DUMMYFUNCTION("""COMPUTED_VALUE"""),144.38)</f>
        <v>144.38</v>
      </c>
      <c r="C156" s="9">
        <f>IFERROR(__xludf.DUMMYFUNCTION("""COMPUTED_VALUE"""),144.38)</f>
        <v>144.38</v>
      </c>
      <c r="D156" s="9">
        <f>IFERROR(__xludf.DUMMYFUNCTION("""COMPUTED_VALUE"""),140.76)</f>
        <v>140.76</v>
      </c>
      <c r="E156" s="9">
        <f>IFERROR(__xludf.DUMMYFUNCTION("""COMPUTED_VALUE"""),141.34)</f>
        <v>141.34</v>
      </c>
      <c r="F156" s="9">
        <f>IFERROR(__xludf.DUMMYFUNCTION("""COMPUTED_VALUE"""),735248.0)</f>
        <v>735248</v>
      </c>
      <c r="H156" s="27">
        <f>IFERROR(__xludf.DUMMYFUNCTION("""COMPUTED_VALUE"""),38576.645833333336)</f>
        <v>38576.64583</v>
      </c>
      <c r="I156" s="25">
        <f>IFERROR(__xludf.DUMMYFUNCTION("""COMPUTED_VALUE"""),166.05)</f>
        <v>166.05</v>
      </c>
      <c r="J156" s="25">
        <f>IFERROR(__xludf.DUMMYFUNCTION("""COMPUTED_VALUE"""),166.05)</f>
        <v>166.05</v>
      </c>
      <c r="K156" s="25">
        <f>IFERROR(__xludf.DUMMYFUNCTION("""COMPUTED_VALUE"""),159.45)</f>
        <v>159.45</v>
      </c>
      <c r="L156" s="25">
        <f>IFERROR(__xludf.DUMMYFUNCTION("""COMPUTED_VALUE"""),160.36)</f>
        <v>160.36</v>
      </c>
      <c r="M156" s="25">
        <f>IFERROR(__xludf.DUMMYFUNCTION("""COMPUTED_VALUE"""),477729.0)</f>
        <v>477729</v>
      </c>
    </row>
    <row r="157">
      <c r="A157" s="26">
        <f>IFERROR(__xludf.DUMMYFUNCTION("""COMPUTED_VALUE"""),38580.645833333336)</f>
        <v>38580.64583</v>
      </c>
      <c r="B157" s="9">
        <f>IFERROR(__xludf.DUMMYFUNCTION("""COMPUTED_VALUE"""),140.76)</f>
        <v>140.76</v>
      </c>
      <c r="C157" s="9">
        <f>IFERROR(__xludf.DUMMYFUNCTION("""COMPUTED_VALUE"""),141.25)</f>
        <v>141.25</v>
      </c>
      <c r="D157" s="9">
        <f>IFERROR(__xludf.DUMMYFUNCTION("""COMPUTED_VALUE"""),139.38)</f>
        <v>139.38</v>
      </c>
      <c r="E157" s="9">
        <f>IFERROR(__xludf.DUMMYFUNCTION("""COMPUTED_VALUE"""),140.62)</f>
        <v>140.62</v>
      </c>
      <c r="F157" s="9">
        <f>IFERROR(__xludf.DUMMYFUNCTION("""COMPUTED_VALUE"""),781578.0)</f>
        <v>781578</v>
      </c>
      <c r="H157" s="27">
        <f>IFERROR(__xludf.DUMMYFUNCTION("""COMPUTED_VALUE"""),38580.645833333336)</f>
        <v>38580.64583</v>
      </c>
      <c r="I157" s="25">
        <f>IFERROR(__xludf.DUMMYFUNCTION("""COMPUTED_VALUE"""),161.25)</f>
        <v>161.25</v>
      </c>
      <c r="J157" s="25">
        <f>IFERROR(__xludf.DUMMYFUNCTION("""COMPUTED_VALUE"""),161.25)</f>
        <v>161.25</v>
      </c>
      <c r="K157" s="25">
        <f>IFERROR(__xludf.DUMMYFUNCTION("""COMPUTED_VALUE"""),158.13)</f>
        <v>158.13</v>
      </c>
      <c r="L157" s="25">
        <f>IFERROR(__xludf.DUMMYFUNCTION("""COMPUTED_VALUE"""),158.63)</f>
        <v>158.63</v>
      </c>
      <c r="M157" s="25">
        <f>IFERROR(__xludf.DUMMYFUNCTION("""COMPUTED_VALUE"""),456676.0)</f>
        <v>456676</v>
      </c>
    </row>
    <row r="158">
      <c r="A158" s="26">
        <f>IFERROR(__xludf.DUMMYFUNCTION("""COMPUTED_VALUE"""),38581.645833333336)</f>
        <v>38581.64583</v>
      </c>
      <c r="B158" s="9">
        <f>IFERROR(__xludf.DUMMYFUNCTION("""COMPUTED_VALUE"""),140.5)</f>
        <v>140.5</v>
      </c>
      <c r="C158" s="9">
        <f>IFERROR(__xludf.DUMMYFUNCTION("""COMPUTED_VALUE"""),145.56)</f>
        <v>145.56</v>
      </c>
      <c r="D158" s="9">
        <f>IFERROR(__xludf.DUMMYFUNCTION("""COMPUTED_VALUE"""),139.85)</f>
        <v>139.85</v>
      </c>
      <c r="E158" s="9">
        <f>IFERROR(__xludf.DUMMYFUNCTION("""COMPUTED_VALUE"""),144.87)</f>
        <v>144.87</v>
      </c>
      <c r="F158" s="9">
        <f>IFERROR(__xludf.DUMMYFUNCTION("""COMPUTED_VALUE"""),1262282.0)</f>
        <v>1262282</v>
      </c>
      <c r="H158" s="27">
        <f>IFERROR(__xludf.DUMMYFUNCTION("""COMPUTED_VALUE"""),38581.645833333336)</f>
        <v>38581.64583</v>
      </c>
      <c r="I158" s="25">
        <f>IFERROR(__xludf.DUMMYFUNCTION("""COMPUTED_VALUE"""),160.0)</f>
        <v>160</v>
      </c>
      <c r="J158" s="25">
        <f>IFERROR(__xludf.DUMMYFUNCTION("""COMPUTED_VALUE"""),162.75)</f>
        <v>162.75</v>
      </c>
      <c r="K158" s="25">
        <f>IFERROR(__xludf.DUMMYFUNCTION("""COMPUTED_VALUE"""),157.66)</f>
        <v>157.66</v>
      </c>
      <c r="L158" s="25">
        <f>IFERROR(__xludf.DUMMYFUNCTION("""COMPUTED_VALUE"""),162.4)</f>
        <v>162.4</v>
      </c>
      <c r="M158" s="25">
        <f>IFERROR(__xludf.DUMMYFUNCTION("""COMPUTED_VALUE"""),704686.0)</f>
        <v>704686</v>
      </c>
    </row>
    <row r="159">
      <c r="A159" s="26">
        <f>IFERROR(__xludf.DUMMYFUNCTION("""COMPUTED_VALUE"""),38582.645833333336)</f>
        <v>38582.64583</v>
      </c>
      <c r="B159" s="9">
        <f>IFERROR(__xludf.DUMMYFUNCTION("""COMPUTED_VALUE"""),144.88)</f>
        <v>144.88</v>
      </c>
      <c r="C159" s="9">
        <f>IFERROR(__xludf.DUMMYFUNCTION("""COMPUTED_VALUE"""),145.0)</f>
        <v>145</v>
      </c>
      <c r="D159" s="9">
        <f>IFERROR(__xludf.DUMMYFUNCTION("""COMPUTED_VALUE"""),143.05)</f>
        <v>143.05</v>
      </c>
      <c r="E159" s="9">
        <f>IFERROR(__xludf.DUMMYFUNCTION("""COMPUTED_VALUE"""),143.67)</f>
        <v>143.67</v>
      </c>
      <c r="F159" s="9">
        <f>IFERROR(__xludf.DUMMYFUNCTION("""COMPUTED_VALUE"""),695780.0)</f>
        <v>695780</v>
      </c>
      <c r="H159" s="27">
        <f>IFERROR(__xludf.DUMMYFUNCTION("""COMPUTED_VALUE"""),38582.645833333336)</f>
        <v>38582.64583</v>
      </c>
      <c r="I159" s="25">
        <f>IFERROR(__xludf.DUMMYFUNCTION("""COMPUTED_VALUE"""),163.38)</f>
        <v>163.38</v>
      </c>
      <c r="J159" s="25">
        <f>IFERROR(__xludf.DUMMYFUNCTION("""COMPUTED_VALUE"""),165.63)</f>
        <v>165.63</v>
      </c>
      <c r="K159" s="25">
        <f>IFERROR(__xludf.DUMMYFUNCTION("""COMPUTED_VALUE"""),163.16)</f>
        <v>163.16</v>
      </c>
      <c r="L159" s="25">
        <f>IFERROR(__xludf.DUMMYFUNCTION("""COMPUTED_VALUE"""),164.21)</f>
        <v>164.21</v>
      </c>
      <c r="M159" s="25">
        <f>IFERROR(__xludf.DUMMYFUNCTION("""COMPUTED_VALUE"""),976707.0)</f>
        <v>976707</v>
      </c>
    </row>
    <row r="160">
      <c r="A160" s="26">
        <f>IFERROR(__xludf.DUMMYFUNCTION("""COMPUTED_VALUE"""),38583.645833333336)</f>
        <v>38583.64583</v>
      </c>
      <c r="B160" s="9">
        <f>IFERROR(__xludf.DUMMYFUNCTION("""COMPUTED_VALUE"""),145.0)</f>
        <v>145</v>
      </c>
      <c r="C160" s="9">
        <f>IFERROR(__xludf.DUMMYFUNCTION("""COMPUTED_VALUE"""),145.0)</f>
        <v>145</v>
      </c>
      <c r="D160" s="9">
        <f>IFERROR(__xludf.DUMMYFUNCTION("""COMPUTED_VALUE"""),142.07)</f>
        <v>142.07</v>
      </c>
      <c r="E160" s="9">
        <f>IFERROR(__xludf.DUMMYFUNCTION("""COMPUTED_VALUE"""),143.84)</f>
        <v>143.84</v>
      </c>
      <c r="F160" s="9">
        <f>IFERROR(__xludf.DUMMYFUNCTION("""COMPUTED_VALUE"""),476554.0)</f>
        <v>476554</v>
      </c>
      <c r="H160" s="27">
        <f>IFERROR(__xludf.DUMMYFUNCTION("""COMPUTED_VALUE"""),38583.645833333336)</f>
        <v>38583.64583</v>
      </c>
      <c r="I160" s="25">
        <f>IFERROR(__xludf.DUMMYFUNCTION("""COMPUTED_VALUE"""),164.38)</f>
        <v>164.38</v>
      </c>
      <c r="J160" s="25">
        <f>IFERROR(__xludf.DUMMYFUNCTION("""COMPUTED_VALUE"""),166.5)</f>
        <v>166.5</v>
      </c>
      <c r="K160" s="25">
        <f>IFERROR(__xludf.DUMMYFUNCTION("""COMPUTED_VALUE"""),163.89)</f>
        <v>163.89</v>
      </c>
      <c r="L160" s="25">
        <f>IFERROR(__xludf.DUMMYFUNCTION("""COMPUTED_VALUE"""),165.67)</f>
        <v>165.67</v>
      </c>
      <c r="M160" s="25">
        <f>IFERROR(__xludf.DUMMYFUNCTION("""COMPUTED_VALUE"""),620784.0)</f>
        <v>620784</v>
      </c>
    </row>
    <row r="161">
      <c r="A161" s="26">
        <f>IFERROR(__xludf.DUMMYFUNCTION("""COMPUTED_VALUE"""),38586.645833333336)</f>
        <v>38586.64583</v>
      </c>
      <c r="B161" s="9">
        <f>IFERROR(__xludf.DUMMYFUNCTION("""COMPUTED_VALUE"""),145.0)</f>
        <v>145</v>
      </c>
      <c r="C161" s="9">
        <f>IFERROR(__xludf.DUMMYFUNCTION("""COMPUTED_VALUE"""),146.25)</f>
        <v>146.25</v>
      </c>
      <c r="D161" s="9">
        <f>IFERROR(__xludf.DUMMYFUNCTION("""COMPUTED_VALUE"""),143.38)</f>
        <v>143.38</v>
      </c>
      <c r="E161" s="9">
        <f>IFERROR(__xludf.DUMMYFUNCTION("""COMPUTED_VALUE"""),144.68)</f>
        <v>144.68</v>
      </c>
      <c r="F161" s="9">
        <f>IFERROR(__xludf.DUMMYFUNCTION("""COMPUTED_VALUE"""),743961.0)</f>
        <v>743961</v>
      </c>
      <c r="H161" s="27">
        <f>IFERROR(__xludf.DUMMYFUNCTION("""COMPUTED_VALUE"""),38586.645833333336)</f>
        <v>38586.64583</v>
      </c>
      <c r="I161" s="25">
        <f>IFERROR(__xludf.DUMMYFUNCTION("""COMPUTED_VALUE"""),165.63)</f>
        <v>165.63</v>
      </c>
      <c r="J161" s="25">
        <f>IFERROR(__xludf.DUMMYFUNCTION("""COMPUTED_VALUE"""),168.55)</f>
        <v>168.55</v>
      </c>
      <c r="K161" s="25">
        <f>IFERROR(__xludf.DUMMYFUNCTION("""COMPUTED_VALUE"""),155.63)</f>
        <v>155.63</v>
      </c>
      <c r="L161" s="25">
        <f>IFERROR(__xludf.DUMMYFUNCTION("""COMPUTED_VALUE"""),164.73)</f>
        <v>164.73</v>
      </c>
      <c r="M161" s="25">
        <f>IFERROR(__xludf.DUMMYFUNCTION("""COMPUTED_VALUE"""),561502.0)</f>
        <v>561502</v>
      </c>
    </row>
    <row r="162">
      <c r="A162" s="26">
        <f>IFERROR(__xludf.DUMMYFUNCTION("""COMPUTED_VALUE"""),38587.645833333336)</f>
        <v>38587.64583</v>
      </c>
      <c r="B162" s="9">
        <f>IFERROR(__xludf.DUMMYFUNCTION("""COMPUTED_VALUE"""),144.38)</f>
        <v>144.38</v>
      </c>
      <c r="C162" s="9">
        <f>IFERROR(__xludf.DUMMYFUNCTION("""COMPUTED_VALUE"""),145.31)</f>
        <v>145.31</v>
      </c>
      <c r="D162" s="9">
        <f>IFERROR(__xludf.DUMMYFUNCTION("""COMPUTED_VALUE"""),142.65)</f>
        <v>142.65</v>
      </c>
      <c r="E162" s="9">
        <f>IFERROR(__xludf.DUMMYFUNCTION("""COMPUTED_VALUE"""),142.82)</f>
        <v>142.82</v>
      </c>
      <c r="F162" s="9">
        <f>IFERROR(__xludf.DUMMYFUNCTION("""COMPUTED_VALUE"""),893832.0)</f>
        <v>893832</v>
      </c>
      <c r="H162" s="27">
        <f>IFERROR(__xludf.DUMMYFUNCTION("""COMPUTED_VALUE"""),38587.645833333336)</f>
        <v>38587.64583</v>
      </c>
      <c r="I162" s="25">
        <f>IFERROR(__xludf.DUMMYFUNCTION("""COMPUTED_VALUE"""),165.88)</f>
        <v>165.88</v>
      </c>
      <c r="J162" s="25">
        <f>IFERROR(__xludf.DUMMYFUNCTION("""COMPUTED_VALUE"""),166.33)</f>
        <v>166.33</v>
      </c>
      <c r="K162" s="25">
        <f>IFERROR(__xludf.DUMMYFUNCTION("""COMPUTED_VALUE"""),164.13)</f>
        <v>164.13</v>
      </c>
      <c r="L162" s="25">
        <f>IFERROR(__xludf.DUMMYFUNCTION("""COMPUTED_VALUE"""),164.51)</f>
        <v>164.51</v>
      </c>
      <c r="M162" s="25">
        <f>IFERROR(__xludf.DUMMYFUNCTION("""COMPUTED_VALUE"""),585802.0)</f>
        <v>585802</v>
      </c>
    </row>
    <row r="163">
      <c r="A163" s="26">
        <f>IFERROR(__xludf.DUMMYFUNCTION("""COMPUTED_VALUE"""),38588.645833333336)</f>
        <v>38588.64583</v>
      </c>
      <c r="B163" s="9">
        <f>IFERROR(__xludf.DUMMYFUNCTION("""COMPUTED_VALUE"""),143.44)</f>
        <v>143.44</v>
      </c>
      <c r="C163" s="9">
        <f>IFERROR(__xludf.DUMMYFUNCTION("""COMPUTED_VALUE"""),143.44)</f>
        <v>143.44</v>
      </c>
      <c r="D163" s="9">
        <f>IFERROR(__xludf.DUMMYFUNCTION("""COMPUTED_VALUE"""),140.64)</f>
        <v>140.64</v>
      </c>
      <c r="E163" s="9">
        <f>IFERROR(__xludf.DUMMYFUNCTION("""COMPUTED_VALUE"""),141.51)</f>
        <v>141.51</v>
      </c>
      <c r="F163" s="9">
        <f>IFERROR(__xludf.DUMMYFUNCTION("""COMPUTED_VALUE"""),759044.0)</f>
        <v>759044</v>
      </c>
      <c r="H163" s="27">
        <f>IFERROR(__xludf.DUMMYFUNCTION("""COMPUTED_VALUE"""),38588.645833333336)</f>
        <v>38588.64583</v>
      </c>
      <c r="I163" s="25">
        <f>IFERROR(__xludf.DUMMYFUNCTION("""COMPUTED_VALUE"""),164.51)</f>
        <v>164.51</v>
      </c>
      <c r="J163" s="25">
        <f>IFERROR(__xludf.DUMMYFUNCTION("""COMPUTED_VALUE"""),164.75)</f>
        <v>164.75</v>
      </c>
      <c r="K163" s="25">
        <f>IFERROR(__xludf.DUMMYFUNCTION("""COMPUTED_VALUE"""),160.5)</f>
        <v>160.5</v>
      </c>
      <c r="L163" s="25">
        <f>IFERROR(__xludf.DUMMYFUNCTION("""COMPUTED_VALUE"""),161.96)</f>
        <v>161.96</v>
      </c>
      <c r="M163" s="25">
        <f>IFERROR(__xludf.DUMMYFUNCTION("""COMPUTED_VALUE"""),504595.0)</f>
        <v>504595</v>
      </c>
    </row>
    <row r="164">
      <c r="A164" s="26">
        <f>IFERROR(__xludf.DUMMYFUNCTION("""COMPUTED_VALUE"""),38589.645833333336)</f>
        <v>38589.64583</v>
      </c>
      <c r="B164" s="9">
        <f>IFERROR(__xludf.DUMMYFUNCTION("""COMPUTED_VALUE"""),141.88)</f>
        <v>141.88</v>
      </c>
      <c r="C164" s="9">
        <f>IFERROR(__xludf.DUMMYFUNCTION("""COMPUTED_VALUE"""),144.15)</f>
        <v>144.15</v>
      </c>
      <c r="D164" s="9">
        <f>IFERROR(__xludf.DUMMYFUNCTION("""COMPUTED_VALUE"""),141.65)</f>
        <v>141.65</v>
      </c>
      <c r="E164" s="9">
        <f>IFERROR(__xludf.DUMMYFUNCTION("""COMPUTED_VALUE"""),141.99)</f>
        <v>141.99</v>
      </c>
      <c r="F164" s="9">
        <f>IFERROR(__xludf.DUMMYFUNCTION("""COMPUTED_VALUE"""),576403.0)</f>
        <v>576403</v>
      </c>
      <c r="H164" s="27">
        <f>IFERROR(__xludf.DUMMYFUNCTION("""COMPUTED_VALUE"""),38589.645833333336)</f>
        <v>38589.64583</v>
      </c>
      <c r="I164" s="25">
        <f>IFERROR(__xludf.DUMMYFUNCTION("""COMPUTED_VALUE"""),163.13)</f>
        <v>163.13</v>
      </c>
      <c r="J164" s="25">
        <f>IFERROR(__xludf.DUMMYFUNCTION("""COMPUTED_VALUE"""),166.25)</f>
        <v>166.25</v>
      </c>
      <c r="K164" s="25">
        <f>IFERROR(__xludf.DUMMYFUNCTION("""COMPUTED_VALUE"""),162.5)</f>
        <v>162.5</v>
      </c>
      <c r="L164" s="25">
        <f>IFERROR(__xludf.DUMMYFUNCTION("""COMPUTED_VALUE"""),165.46)</f>
        <v>165.46</v>
      </c>
      <c r="M164" s="25">
        <f>IFERROR(__xludf.DUMMYFUNCTION("""COMPUTED_VALUE"""),792653.0)</f>
        <v>792653</v>
      </c>
    </row>
    <row r="165">
      <c r="A165" s="26">
        <f>IFERROR(__xludf.DUMMYFUNCTION("""COMPUTED_VALUE"""),38590.645833333336)</f>
        <v>38590.64583</v>
      </c>
      <c r="B165" s="9">
        <f>IFERROR(__xludf.DUMMYFUNCTION("""COMPUTED_VALUE"""),142.5)</f>
        <v>142.5</v>
      </c>
      <c r="C165" s="9">
        <f>IFERROR(__xludf.DUMMYFUNCTION("""COMPUTED_VALUE"""),144.36)</f>
        <v>144.36</v>
      </c>
      <c r="D165" s="9">
        <f>IFERROR(__xludf.DUMMYFUNCTION("""COMPUTED_VALUE"""),141.25)</f>
        <v>141.25</v>
      </c>
      <c r="E165" s="9">
        <f>IFERROR(__xludf.DUMMYFUNCTION("""COMPUTED_VALUE"""),141.83)</f>
        <v>141.83</v>
      </c>
      <c r="F165" s="9">
        <f>IFERROR(__xludf.DUMMYFUNCTION("""COMPUTED_VALUE"""),732003.0)</f>
        <v>732003</v>
      </c>
      <c r="H165" s="27">
        <f>IFERROR(__xludf.DUMMYFUNCTION("""COMPUTED_VALUE"""),38590.645833333336)</f>
        <v>38590.64583</v>
      </c>
      <c r="I165" s="25">
        <f>IFERROR(__xludf.DUMMYFUNCTION("""COMPUTED_VALUE"""),166.06)</f>
        <v>166.06</v>
      </c>
      <c r="J165" s="25">
        <f>IFERROR(__xludf.DUMMYFUNCTION("""COMPUTED_VALUE"""),171.25)</f>
        <v>171.25</v>
      </c>
      <c r="K165" s="25">
        <f>IFERROR(__xludf.DUMMYFUNCTION("""COMPUTED_VALUE"""),165.63)</f>
        <v>165.63</v>
      </c>
      <c r="L165" s="25">
        <f>IFERROR(__xludf.DUMMYFUNCTION("""COMPUTED_VALUE"""),170.6)</f>
        <v>170.6</v>
      </c>
      <c r="M165" s="25">
        <f>IFERROR(__xludf.DUMMYFUNCTION("""COMPUTED_VALUE"""),1024833.0)</f>
        <v>1024833</v>
      </c>
    </row>
    <row r="166">
      <c r="A166" s="26">
        <f>IFERROR(__xludf.DUMMYFUNCTION("""COMPUTED_VALUE"""),38593.645833333336)</f>
        <v>38593.64583</v>
      </c>
      <c r="B166" s="9">
        <f>IFERROR(__xludf.DUMMYFUNCTION("""COMPUTED_VALUE"""),142.81)</f>
        <v>142.81</v>
      </c>
      <c r="C166" s="9">
        <f>IFERROR(__xludf.DUMMYFUNCTION("""COMPUTED_VALUE"""),144.17)</f>
        <v>144.17</v>
      </c>
      <c r="D166" s="9">
        <f>IFERROR(__xludf.DUMMYFUNCTION("""COMPUTED_VALUE"""),140.63)</f>
        <v>140.63</v>
      </c>
      <c r="E166" s="9">
        <f>IFERROR(__xludf.DUMMYFUNCTION("""COMPUTED_VALUE"""),143.82)</f>
        <v>143.82</v>
      </c>
      <c r="F166" s="9">
        <f>IFERROR(__xludf.DUMMYFUNCTION("""COMPUTED_VALUE"""),715752.0)</f>
        <v>715752</v>
      </c>
      <c r="H166" s="27">
        <f>IFERROR(__xludf.DUMMYFUNCTION("""COMPUTED_VALUE"""),38593.645833333336)</f>
        <v>38593.64583</v>
      </c>
      <c r="I166" s="25">
        <f>IFERROR(__xludf.DUMMYFUNCTION("""COMPUTED_VALUE"""),171.25)</f>
        <v>171.25</v>
      </c>
      <c r="J166" s="25">
        <f>IFERROR(__xludf.DUMMYFUNCTION("""COMPUTED_VALUE"""),172.25)</f>
        <v>172.25</v>
      </c>
      <c r="K166" s="25">
        <f>IFERROR(__xludf.DUMMYFUNCTION("""COMPUTED_VALUE"""),166.25)</f>
        <v>166.25</v>
      </c>
      <c r="L166" s="25">
        <f>IFERROR(__xludf.DUMMYFUNCTION("""COMPUTED_VALUE"""),169.42)</f>
        <v>169.42</v>
      </c>
      <c r="M166" s="25">
        <f>IFERROR(__xludf.DUMMYFUNCTION("""COMPUTED_VALUE"""),510167.0)</f>
        <v>510167</v>
      </c>
    </row>
    <row r="167">
      <c r="A167" s="26">
        <f>IFERROR(__xludf.DUMMYFUNCTION("""COMPUTED_VALUE"""),38594.645833333336)</f>
        <v>38594.64583</v>
      </c>
      <c r="B167" s="9">
        <f>IFERROR(__xludf.DUMMYFUNCTION("""COMPUTED_VALUE"""),144.31)</f>
        <v>144.31</v>
      </c>
      <c r="C167" s="9">
        <f>IFERROR(__xludf.DUMMYFUNCTION("""COMPUTED_VALUE"""),147.0)</f>
        <v>147</v>
      </c>
      <c r="D167" s="9">
        <f>IFERROR(__xludf.DUMMYFUNCTION("""COMPUTED_VALUE"""),143.88)</f>
        <v>143.88</v>
      </c>
      <c r="E167" s="9">
        <f>IFERROR(__xludf.DUMMYFUNCTION("""COMPUTED_VALUE"""),146.68)</f>
        <v>146.68</v>
      </c>
      <c r="F167" s="9">
        <f>IFERROR(__xludf.DUMMYFUNCTION("""COMPUTED_VALUE"""),820210.0)</f>
        <v>820210</v>
      </c>
      <c r="H167" s="27">
        <f>IFERROR(__xludf.DUMMYFUNCTION("""COMPUTED_VALUE"""),38594.645833333336)</f>
        <v>38594.64583</v>
      </c>
      <c r="I167" s="25">
        <f>IFERROR(__xludf.DUMMYFUNCTION("""COMPUTED_VALUE"""),169.46)</f>
        <v>169.46</v>
      </c>
      <c r="J167" s="25">
        <f>IFERROR(__xludf.DUMMYFUNCTION("""COMPUTED_VALUE"""),173.88)</f>
        <v>173.88</v>
      </c>
      <c r="K167" s="25">
        <f>IFERROR(__xludf.DUMMYFUNCTION("""COMPUTED_VALUE"""),169.46)</f>
        <v>169.46</v>
      </c>
      <c r="L167" s="25">
        <f>IFERROR(__xludf.DUMMYFUNCTION("""COMPUTED_VALUE"""),173.05)</f>
        <v>173.05</v>
      </c>
      <c r="M167" s="25">
        <f>IFERROR(__xludf.DUMMYFUNCTION("""COMPUTED_VALUE"""),725949.0)</f>
        <v>725949</v>
      </c>
    </row>
    <row r="168">
      <c r="A168" s="26">
        <f>IFERROR(__xludf.DUMMYFUNCTION("""COMPUTED_VALUE"""),38595.645833333336)</f>
        <v>38595.64583</v>
      </c>
      <c r="B168" s="9">
        <f>IFERROR(__xludf.DUMMYFUNCTION("""COMPUTED_VALUE"""),147.0)</f>
        <v>147</v>
      </c>
      <c r="C168" s="9">
        <f>IFERROR(__xludf.DUMMYFUNCTION("""COMPUTED_VALUE"""),148.94)</f>
        <v>148.94</v>
      </c>
      <c r="D168" s="9">
        <f>IFERROR(__xludf.DUMMYFUNCTION("""COMPUTED_VALUE"""),145.64)</f>
        <v>145.64</v>
      </c>
      <c r="E168" s="9">
        <f>IFERROR(__xludf.DUMMYFUNCTION("""COMPUTED_VALUE"""),148.51)</f>
        <v>148.51</v>
      </c>
      <c r="F168" s="9">
        <f>IFERROR(__xludf.DUMMYFUNCTION("""COMPUTED_VALUE"""),802612.0)</f>
        <v>802612</v>
      </c>
      <c r="H168" s="27">
        <f>IFERROR(__xludf.DUMMYFUNCTION("""COMPUTED_VALUE"""),38595.645833333336)</f>
        <v>38595.64583</v>
      </c>
      <c r="I168" s="25">
        <f>IFERROR(__xludf.DUMMYFUNCTION("""COMPUTED_VALUE"""),172.6)</f>
        <v>172.6</v>
      </c>
      <c r="J168" s="25">
        <f>IFERROR(__xludf.DUMMYFUNCTION("""COMPUTED_VALUE"""),176.92)</f>
        <v>176.92</v>
      </c>
      <c r="K168" s="25">
        <f>IFERROR(__xludf.DUMMYFUNCTION("""COMPUTED_VALUE"""),172.5)</f>
        <v>172.5</v>
      </c>
      <c r="L168" s="25">
        <f>IFERROR(__xludf.DUMMYFUNCTION("""COMPUTED_VALUE"""),175.61)</f>
        <v>175.61</v>
      </c>
      <c r="M168" s="25">
        <f>IFERROR(__xludf.DUMMYFUNCTION("""COMPUTED_VALUE"""),926112.0)</f>
        <v>926112</v>
      </c>
    </row>
    <row r="169">
      <c r="A169" s="26">
        <f>IFERROR(__xludf.DUMMYFUNCTION("""COMPUTED_VALUE"""),38596.645833333336)</f>
        <v>38596.64583</v>
      </c>
      <c r="B169" s="9">
        <f>IFERROR(__xludf.DUMMYFUNCTION("""COMPUTED_VALUE"""),150.13)</f>
        <v>150.13</v>
      </c>
      <c r="C169" s="9">
        <f>IFERROR(__xludf.DUMMYFUNCTION("""COMPUTED_VALUE"""),153.28)</f>
        <v>153.28</v>
      </c>
      <c r="D169" s="9">
        <f>IFERROR(__xludf.DUMMYFUNCTION("""COMPUTED_VALUE"""),150.07)</f>
        <v>150.07</v>
      </c>
      <c r="E169" s="9">
        <f>IFERROR(__xludf.DUMMYFUNCTION("""COMPUTED_VALUE"""),151.6)</f>
        <v>151.6</v>
      </c>
      <c r="F169" s="9">
        <f>IFERROR(__xludf.DUMMYFUNCTION("""COMPUTED_VALUE"""),846163.0)</f>
        <v>846163</v>
      </c>
      <c r="H169" s="27">
        <f>IFERROR(__xludf.DUMMYFUNCTION("""COMPUTED_VALUE"""),38596.645833333336)</f>
        <v>38596.64583</v>
      </c>
      <c r="I169" s="25">
        <f>IFERROR(__xludf.DUMMYFUNCTION("""COMPUTED_VALUE"""),176.23)</f>
        <v>176.23</v>
      </c>
      <c r="J169" s="25">
        <f>IFERROR(__xludf.DUMMYFUNCTION("""COMPUTED_VALUE"""),179.25)</f>
        <v>179.25</v>
      </c>
      <c r="K169" s="25">
        <f>IFERROR(__xludf.DUMMYFUNCTION("""COMPUTED_VALUE"""),176.13)</f>
        <v>176.13</v>
      </c>
      <c r="L169" s="25">
        <f>IFERROR(__xludf.DUMMYFUNCTION("""COMPUTED_VALUE"""),178.03)</f>
        <v>178.03</v>
      </c>
      <c r="M169" s="25">
        <f>IFERROR(__xludf.DUMMYFUNCTION("""COMPUTED_VALUE"""),950023.0)</f>
        <v>950023</v>
      </c>
    </row>
    <row r="170">
      <c r="A170" s="26">
        <f>IFERROR(__xludf.DUMMYFUNCTION("""COMPUTED_VALUE"""),38597.645833333336)</f>
        <v>38597.64583</v>
      </c>
      <c r="B170" s="9">
        <f>IFERROR(__xludf.DUMMYFUNCTION("""COMPUTED_VALUE"""),151.56)</f>
        <v>151.56</v>
      </c>
      <c r="C170" s="9">
        <f>IFERROR(__xludf.DUMMYFUNCTION("""COMPUTED_VALUE"""),153.11)</f>
        <v>153.11</v>
      </c>
      <c r="D170" s="9">
        <f>IFERROR(__xludf.DUMMYFUNCTION("""COMPUTED_VALUE"""),148.75)</f>
        <v>148.75</v>
      </c>
      <c r="E170" s="9">
        <f>IFERROR(__xludf.DUMMYFUNCTION("""COMPUTED_VALUE"""),149.11)</f>
        <v>149.11</v>
      </c>
      <c r="F170" s="9">
        <f>IFERROR(__xludf.DUMMYFUNCTION("""COMPUTED_VALUE"""),682363.0)</f>
        <v>682363</v>
      </c>
      <c r="H170" s="27">
        <f>IFERROR(__xludf.DUMMYFUNCTION("""COMPUTED_VALUE"""),38597.645833333336)</f>
        <v>38597.64583</v>
      </c>
      <c r="I170" s="25">
        <f>IFERROR(__xludf.DUMMYFUNCTION("""COMPUTED_VALUE"""),178.75)</f>
        <v>178.75</v>
      </c>
      <c r="J170" s="25">
        <f>IFERROR(__xludf.DUMMYFUNCTION("""COMPUTED_VALUE"""),180.0)</f>
        <v>180</v>
      </c>
      <c r="K170" s="25">
        <f>IFERROR(__xludf.DUMMYFUNCTION("""COMPUTED_VALUE"""),176.88)</f>
        <v>176.88</v>
      </c>
      <c r="L170" s="25">
        <f>IFERROR(__xludf.DUMMYFUNCTION("""COMPUTED_VALUE"""),178.4)</f>
        <v>178.4</v>
      </c>
      <c r="M170" s="25">
        <f>IFERROR(__xludf.DUMMYFUNCTION("""COMPUTED_VALUE"""),615108.0)</f>
        <v>615108</v>
      </c>
    </row>
    <row r="171">
      <c r="A171" s="26">
        <f>IFERROR(__xludf.DUMMYFUNCTION("""COMPUTED_VALUE"""),38600.645833333336)</f>
        <v>38600.64583</v>
      </c>
      <c r="B171" s="9">
        <f>IFERROR(__xludf.DUMMYFUNCTION("""COMPUTED_VALUE"""),149.13)</f>
        <v>149.13</v>
      </c>
      <c r="C171" s="9">
        <f>IFERROR(__xludf.DUMMYFUNCTION("""COMPUTED_VALUE"""),150.63)</f>
        <v>150.63</v>
      </c>
      <c r="D171" s="9">
        <f>IFERROR(__xludf.DUMMYFUNCTION("""COMPUTED_VALUE"""),146.88)</f>
        <v>146.88</v>
      </c>
      <c r="E171" s="9">
        <f>IFERROR(__xludf.DUMMYFUNCTION("""COMPUTED_VALUE"""),147.17)</f>
        <v>147.17</v>
      </c>
      <c r="F171" s="9">
        <f>IFERROR(__xludf.DUMMYFUNCTION("""COMPUTED_VALUE"""),632372.0)</f>
        <v>632372</v>
      </c>
      <c r="H171" s="27">
        <f>IFERROR(__xludf.DUMMYFUNCTION("""COMPUTED_VALUE"""),38600.645833333336)</f>
        <v>38600.64583</v>
      </c>
      <c r="I171" s="25">
        <f>IFERROR(__xludf.DUMMYFUNCTION("""COMPUTED_VALUE"""),180.0)</f>
        <v>180</v>
      </c>
      <c r="J171" s="25">
        <f>IFERROR(__xludf.DUMMYFUNCTION("""COMPUTED_VALUE"""),183.36)</f>
        <v>183.36</v>
      </c>
      <c r="K171" s="25">
        <f>IFERROR(__xludf.DUMMYFUNCTION("""COMPUTED_VALUE"""),175.8)</f>
        <v>175.8</v>
      </c>
      <c r="L171" s="25">
        <f>IFERROR(__xludf.DUMMYFUNCTION("""COMPUTED_VALUE"""),176.28)</f>
        <v>176.28</v>
      </c>
      <c r="M171" s="25">
        <f>IFERROR(__xludf.DUMMYFUNCTION("""COMPUTED_VALUE"""),906848.0)</f>
        <v>906848</v>
      </c>
    </row>
    <row r="172">
      <c r="A172" s="26">
        <f>IFERROR(__xludf.DUMMYFUNCTION("""COMPUTED_VALUE"""),38601.645833333336)</f>
        <v>38601.64583</v>
      </c>
      <c r="B172" s="9">
        <f>IFERROR(__xludf.DUMMYFUNCTION("""COMPUTED_VALUE"""),149.38)</f>
        <v>149.38</v>
      </c>
      <c r="C172" s="9">
        <f>IFERROR(__xludf.DUMMYFUNCTION("""COMPUTED_VALUE"""),149.38)</f>
        <v>149.38</v>
      </c>
      <c r="D172" s="9">
        <f>IFERROR(__xludf.DUMMYFUNCTION("""COMPUTED_VALUE"""),146.57)</f>
        <v>146.57</v>
      </c>
      <c r="E172" s="9">
        <f>IFERROR(__xludf.DUMMYFUNCTION("""COMPUTED_VALUE"""),147.75)</f>
        <v>147.75</v>
      </c>
      <c r="F172" s="9">
        <f>IFERROR(__xludf.DUMMYFUNCTION("""COMPUTED_VALUE"""),566113.0)</f>
        <v>566113</v>
      </c>
      <c r="H172" s="27">
        <f>IFERROR(__xludf.DUMMYFUNCTION("""COMPUTED_VALUE"""),38601.645833333336)</f>
        <v>38601.64583</v>
      </c>
      <c r="I172" s="25">
        <f>IFERROR(__xludf.DUMMYFUNCTION("""COMPUTED_VALUE"""),176.88)</f>
        <v>176.88</v>
      </c>
      <c r="J172" s="25">
        <f>IFERROR(__xludf.DUMMYFUNCTION("""COMPUTED_VALUE"""),177.49)</f>
        <v>177.49</v>
      </c>
      <c r="K172" s="25">
        <f>IFERROR(__xludf.DUMMYFUNCTION("""COMPUTED_VALUE"""),173.5)</f>
        <v>173.5</v>
      </c>
      <c r="L172" s="25">
        <f>IFERROR(__xludf.DUMMYFUNCTION("""COMPUTED_VALUE"""),174.81)</f>
        <v>174.81</v>
      </c>
      <c r="M172" s="25">
        <f>IFERROR(__xludf.DUMMYFUNCTION("""COMPUTED_VALUE"""),627930.0)</f>
        <v>627930</v>
      </c>
    </row>
    <row r="173">
      <c r="A173" s="26">
        <f>IFERROR(__xludf.DUMMYFUNCTION("""COMPUTED_VALUE"""),38603.645833333336)</f>
        <v>38603.64583</v>
      </c>
      <c r="B173" s="9">
        <f>IFERROR(__xludf.DUMMYFUNCTION("""COMPUTED_VALUE"""),148.36)</f>
        <v>148.36</v>
      </c>
      <c r="C173" s="9">
        <f>IFERROR(__xludf.DUMMYFUNCTION("""COMPUTED_VALUE"""),151.78)</f>
        <v>151.78</v>
      </c>
      <c r="D173" s="9">
        <f>IFERROR(__xludf.DUMMYFUNCTION("""COMPUTED_VALUE"""),147.81)</f>
        <v>147.81</v>
      </c>
      <c r="E173" s="9">
        <f>IFERROR(__xludf.DUMMYFUNCTION("""COMPUTED_VALUE"""),151.4)</f>
        <v>151.4</v>
      </c>
      <c r="F173" s="9">
        <f>IFERROR(__xludf.DUMMYFUNCTION("""COMPUTED_VALUE"""),747443.0)</f>
        <v>747443</v>
      </c>
      <c r="H173" s="27">
        <f>IFERROR(__xludf.DUMMYFUNCTION("""COMPUTED_VALUE"""),38603.645833333336)</f>
        <v>38603.64583</v>
      </c>
      <c r="I173" s="25">
        <f>IFERROR(__xludf.DUMMYFUNCTION("""COMPUTED_VALUE"""),175.0)</f>
        <v>175</v>
      </c>
      <c r="J173" s="25">
        <f>IFERROR(__xludf.DUMMYFUNCTION("""COMPUTED_VALUE"""),176.88)</f>
        <v>176.88</v>
      </c>
      <c r="K173" s="25">
        <f>IFERROR(__xludf.DUMMYFUNCTION("""COMPUTED_VALUE"""),174.41)</f>
        <v>174.41</v>
      </c>
      <c r="L173" s="25">
        <f>IFERROR(__xludf.DUMMYFUNCTION("""COMPUTED_VALUE"""),175.76)</f>
        <v>175.76</v>
      </c>
      <c r="M173" s="25">
        <f>IFERROR(__xludf.DUMMYFUNCTION("""COMPUTED_VALUE"""),359774.0)</f>
        <v>359774</v>
      </c>
    </row>
    <row r="174">
      <c r="A174" s="26">
        <f>IFERROR(__xludf.DUMMYFUNCTION("""COMPUTED_VALUE"""),38604.645833333336)</f>
        <v>38604.64583</v>
      </c>
      <c r="B174" s="9">
        <f>IFERROR(__xludf.DUMMYFUNCTION("""COMPUTED_VALUE"""),151.0)</f>
        <v>151</v>
      </c>
      <c r="C174" s="9">
        <f>IFERROR(__xludf.DUMMYFUNCTION("""COMPUTED_VALUE"""),152.17)</f>
        <v>152.17</v>
      </c>
      <c r="D174" s="9">
        <f>IFERROR(__xludf.DUMMYFUNCTION("""COMPUTED_VALUE"""),150.06)</f>
        <v>150.06</v>
      </c>
      <c r="E174" s="9">
        <f>IFERROR(__xludf.DUMMYFUNCTION("""COMPUTED_VALUE"""),151.07)</f>
        <v>151.07</v>
      </c>
      <c r="F174" s="9">
        <f>IFERROR(__xludf.DUMMYFUNCTION("""COMPUTED_VALUE"""),594364.0)</f>
        <v>594364</v>
      </c>
      <c r="H174" s="27">
        <f>IFERROR(__xludf.DUMMYFUNCTION("""COMPUTED_VALUE"""),38604.645833333336)</f>
        <v>38604.64583</v>
      </c>
      <c r="I174" s="25">
        <f>IFERROR(__xludf.DUMMYFUNCTION("""COMPUTED_VALUE"""),168.88)</f>
        <v>168.88</v>
      </c>
      <c r="J174" s="25">
        <f>IFERROR(__xludf.DUMMYFUNCTION("""COMPUTED_VALUE"""),176.75)</f>
        <v>176.75</v>
      </c>
      <c r="K174" s="25">
        <f>IFERROR(__xludf.DUMMYFUNCTION("""COMPUTED_VALUE"""),168.88)</f>
        <v>168.88</v>
      </c>
      <c r="L174" s="25">
        <f>IFERROR(__xludf.DUMMYFUNCTION("""COMPUTED_VALUE"""),173.99)</f>
        <v>173.99</v>
      </c>
      <c r="M174" s="25">
        <f>IFERROR(__xludf.DUMMYFUNCTION("""COMPUTED_VALUE"""),467722.0)</f>
        <v>467722</v>
      </c>
    </row>
    <row r="175">
      <c r="A175" s="26">
        <f>IFERROR(__xludf.DUMMYFUNCTION("""COMPUTED_VALUE"""),38607.645833333336)</f>
        <v>38607.64583</v>
      </c>
      <c r="B175" s="9">
        <f>IFERROR(__xludf.DUMMYFUNCTION("""COMPUTED_VALUE"""),151.56)</f>
        <v>151.56</v>
      </c>
      <c r="C175" s="9">
        <f>IFERROR(__xludf.DUMMYFUNCTION("""COMPUTED_VALUE"""),152.44)</f>
        <v>152.44</v>
      </c>
      <c r="D175" s="9">
        <f>IFERROR(__xludf.DUMMYFUNCTION("""COMPUTED_VALUE"""),150.97)</f>
        <v>150.97</v>
      </c>
      <c r="E175" s="9">
        <f>IFERROR(__xludf.DUMMYFUNCTION("""COMPUTED_VALUE"""),151.43)</f>
        <v>151.43</v>
      </c>
      <c r="F175" s="9">
        <f>IFERROR(__xludf.DUMMYFUNCTION("""COMPUTED_VALUE"""),432670.0)</f>
        <v>432670</v>
      </c>
      <c r="H175" s="27">
        <f>IFERROR(__xludf.DUMMYFUNCTION("""COMPUTED_VALUE"""),38607.645833333336)</f>
        <v>38607.64583</v>
      </c>
      <c r="I175" s="25">
        <f>IFERROR(__xludf.DUMMYFUNCTION("""COMPUTED_VALUE"""),178.63)</f>
        <v>178.63</v>
      </c>
      <c r="J175" s="25">
        <f>IFERROR(__xludf.DUMMYFUNCTION("""COMPUTED_VALUE"""),204.75)</f>
        <v>204.75</v>
      </c>
      <c r="K175" s="25">
        <f>IFERROR(__xludf.DUMMYFUNCTION("""COMPUTED_VALUE"""),175.81)</f>
        <v>175.81</v>
      </c>
      <c r="L175" s="25">
        <f>IFERROR(__xludf.DUMMYFUNCTION("""COMPUTED_VALUE"""),178.78)</f>
        <v>178.78</v>
      </c>
      <c r="M175" s="25">
        <f>IFERROR(__xludf.DUMMYFUNCTION("""COMPUTED_VALUE"""),828884.0)</f>
        <v>828884</v>
      </c>
    </row>
    <row r="176">
      <c r="A176" s="26">
        <f>IFERROR(__xludf.DUMMYFUNCTION("""COMPUTED_VALUE"""),38608.645833333336)</f>
        <v>38608.64583</v>
      </c>
      <c r="B176" s="9">
        <f>IFERROR(__xludf.DUMMYFUNCTION("""COMPUTED_VALUE"""),152.13)</f>
        <v>152.13</v>
      </c>
      <c r="C176" s="9">
        <f>IFERROR(__xludf.DUMMYFUNCTION("""COMPUTED_VALUE"""),153.13)</f>
        <v>153.13</v>
      </c>
      <c r="D176" s="9">
        <f>IFERROR(__xludf.DUMMYFUNCTION("""COMPUTED_VALUE"""),151.04)</f>
        <v>151.04</v>
      </c>
      <c r="E176" s="9">
        <f>IFERROR(__xludf.DUMMYFUNCTION("""COMPUTED_VALUE"""),152.89)</f>
        <v>152.89</v>
      </c>
      <c r="F176" s="9">
        <f>IFERROR(__xludf.DUMMYFUNCTION("""COMPUTED_VALUE"""),690722.0)</f>
        <v>690722</v>
      </c>
      <c r="H176" s="27">
        <f>IFERROR(__xludf.DUMMYFUNCTION("""COMPUTED_VALUE"""),38608.645833333336)</f>
        <v>38608.64583</v>
      </c>
      <c r="I176" s="25">
        <f>IFERROR(__xludf.DUMMYFUNCTION("""COMPUTED_VALUE"""),178.88)</f>
        <v>178.88</v>
      </c>
      <c r="J176" s="25">
        <f>IFERROR(__xludf.DUMMYFUNCTION("""COMPUTED_VALUE"""),178.88)</f>
        <v>178.88</v>
      </c>
      <c r="K176" s="25">
        <f>IFERROR(__xludf.DUMMYFUNCTION("""COMPUTED_VALUE"""),176.33)</f>
        <v>176.33</v>
      </c>
      <c r="L176" s="25">
        <f>IFERROR(__xludf.DUMMYFUNCTION("""COMPUTED_VALUE"""),177.8)</f>
        <v>177.8</v>
      </c>
      <c r="M176" s="25">
        <f>IFERROR(__xludf.DUMMYFUNCTION("""COMPUTED_VALUE"""),280623.0)</f>
        <v>280623</v>
      </c>
    </row>
    <row r="177">
      <c r="A177" s="26">
        <f>IFERROR(__xludf.DUMMYFUNCTION("""COMPUTED_VALUE"""),38609.645833333336)</f>
        <v>38609.64583</v>
      </c>
      <c r="B177" s="9">
        <f>IFERROR(__xludf.DUMMYFUNCTION("""COMPUTED_VALUE"""),152.66)</f>
        <v>152.66</v>
      </c>
      <c r="C177" s="9">
        <f>IFERROR(__xludf.DUMMYFUNCTION("""COMPUTED_VALUE"""),154.5)</f>
        <v>154.5</v>
      </c>
      <c r="D177" s="9">
        <f>IFERROR(__xludf.DUMMYFUNCTION("""COMPUTED_VALUE"""),151.25)</f>
        <v>151.25</v>
      </c>
      <c r="E177" s="9">
        <f>IFERROR(__xludf.DUMMYFUNCTION("""COMPUTED_VALUE"""),152.86)</f>
        <v>152.86</v>
      </c>
      <c r="F177" s="9">
        <f>IFERROR(__xludf.DUMMYFUNCTION("""COMPUTED_VALUE"""),803111.0)</f>
        <v>803111</v>
      </c>
      <c r="H177" s="27">
        <f>IFERROR(__xludf.DUMMYFUNCTION("""COMPUTED_VALUE"""),38609.645833333336)</f>
        <v>38609.64583</v>
      </c>
      <c r="I177" s="25">
        <f>IFERROR(__xludf.DUMMYFUNCTION("""COMPUTED_VALUE"""),177.5)</f>
        <v>177.5</v>
      </c>
      <c r="J177" s="25">
        <f>IFERROR(__xludf.DUMMYFUNCTION("""COMPUTED_VALUE"""),178.38)</f>
        <v>178.38</v>
      </c>
      <c r="K177" s="25">
        <f>IFERROR(__xludf.DUMMYFUNCTION("""COMPUTED_VALUE"""),173.38)</f>
        <v>173.38</v>
      </c>
      <c r="L177" s="25">
        <f>IFERROR(__xludf.DUMMYFUNCTION("""COMPUTED_VALUE"""),175.02)</f>
        <v>175.02</v>
      </c>
      <c r="M177" s="25">
        <f>IFERROR(__xludf.DUMMYFUNCTION("""COMPUTED_VALUE"""),486260.0)</f>
        <v>486260</v>
      </c>
    </row>
    <row r="178">
      <c r="A178" s="26">
        <f>IFERROR(__xludf.DUMMYFUNCTION("""COMPUTED_VALUE"""),38610.645833333336)</f>
        <v>38610.64583</v>
      </c>
      <c r="B178" s="9">
        <f>IFERROR(__xludf.DUMMYFUNCTION("""COMPUTED_VALUE"""),153.0)</f>
        <v>153</v>
      </c>
      <c r="C178" s="9">
        <f>IFERROR(__xludf.DUMMYFUNCTION("""COMPUTED_VALUE"""),153.44)</f>
        <v>153.44</v>
      </c>
      <c r="D178" s="9">
        <f>IFERROR(__xludf.DUMMYFUNCTION("""COMPUTED_VALUE"""),152.19)</f>
        <v>152.19</v>
      </c>
      <c r="E178" s="9">
        <f>IFERROR(__xludf.DUMMYFUNCTION("""COMPUTED_VALUE"""),153.16)</f>
        <v>153.16</v>
      </c>
      <c r="F178" s="9">
        <f>IFERROR(__xludf.DUMMYFUNCTION("""COMPUTED_VALUE"""),387494.0)</f>
        <v>387494</v>
      </c>
      <c r="H178" s="27">
        <f>IFERROR(__xludf.DUMMYFUNCTION("""COMPUTED_VALUE"""),38610.645833333336)</f>
        <v>38610.64583</v>
      </c>
      <c r="I178" s="25">
        <f>IFERROR(__xludf.DUMMYFUNCTION("""COMPUTED_VALUE"""),175.25)</f>
        <v>175.25</v>
      </c>
      <c r="J178" s="25">
        <f>IFERROR(__xludf.DUMMYFUNCTION("""COMPUTED_VALUE"""),181.85)</f>
        <v>181.85</v>
      </c>
      <c r="K178" s="25">
        <f>IFERROR(__xludf.DUMMYFUNCTION("""COMPUTED_VALUE"""),175.25)</f>
        <v>175.25</v>
      </c>
      <c r="L178" s="25">
        <f>IFERROR(__xludf.DUMMYFUNCTION("""COMPUTED_VALUE"""),181.24)</f>
        <v>181.24</v>
      </c>
      <c r="M178" s="25">
        <f>IFERROR(__xludf.DUMMYFUNCTION("""COMPUTED_VALUE"""),1380092.0)</f>
        <v>1380092</v>
      </c>
    </row>
    <row r="179">
      <c r="A179" s="26">
        <f>IFERROR(__xludf.DUMMYFUNCTION("""COMPUTED_VALUE"""),38611.645833333336)</f>
        <v>38611.64583</v>
      </c>
      <c r="B179" s="9">
        <f>IFERROR(__xludf.DUMMYFUNCTION("""COMPUTED_VALUE"""),153.44)</f>
        <v>153.44</v>
      </c>
      <c r="C179" s="9">
        <f>IFERROR(__xludf.DUMMYFUNCTION("""COMPUTED_VALUE"""),154.0)</f>
        <v>154</v>
      </c>
      <c r="D179" s="9">
        <f>IFERROR(__xludf.DUMMYFUNCTION("""COMPUTED_VALUE"""),152.5)</f>
        <v>152.5</v>
      </c>
      <c r="E179" s="9">
        <f>IFERROR(__xludf.DUMMYFUNCTION("""COMPUTED_VALUE"""),152.93)</f>
        <v>152.93</v>
      </c>
      <c r="F179" s="9">
        <f>IFERROR(__xludf.DUMMYFUNCTION("""COMPUTED_VALUE"""),419234.0)</f>
        <v>419234</v>
      </c>
      <c r="H179" s="27">
        <f>IFERROR(__xludf.DUMMYFUNCTION("""COMPUTED_VALUE"""),38611.645833333336)</f>
        <v>38611.64583</v>
      </c>
      <c r="I179" s="25">
        <f>IFERROR(__xludf.DUMMYFUNCTION("""COMPUTED_VALUE"""),181.85)</f>
        <v>181.85</v>
      </c>
      <c r="J179" s="25">
        <f>IFERROR(__xludf.DUMMYFUNCTION("""COMPUTED_VALUE"""),184.71)</f>
        <v>184.71</v>
      </c>
      <c r="K179" s="25">
        <f>IFERROR(__xludf.DUMMYFUNCTION("""COMPUTED_VALUE"""),179.53)</f>
        <v>179.53</v>
      </c>
      <c r="L179" s="25">
        <f>IFERROR(__xludf.DUMMYFUNCTION("""COMPUTED_VALUE"""),182.2)</f>
        <v>182.2</v>
      </c>
      <c r="M179" s="25">
        <f>IFERROR(__xludf.DUMMYFUNCTION("""COMPUTED_VALUE"""),685023.0)</f>
        <v>685023</v>
      </c>
    </row>
    <row r="180">
      <c r="A180" s="26">
        <f>IFERROR(__xludf.DUMMYFUNCTION("""COMPUTED_VALUE"""),38614.645833333336)</f>
        <v>38614.64583</v>
      </c>
      <c r="B180" s="9">
        <f>IFERROR(__xludf.DUMMYFUNCTION("""COMPUTED_VALUE"""),153.13)</f>
        <v>153.13</v>
      </c>
      <c r="C180" s="9">
        <f>IFERROR(__xludf.DUMMYFUNCTION("""COMPUTED_VALUE"""),153.75)</f>
        <v>153.75</v>
      </c>
      <c r="D180" s="9">
        <f>IFERROR(__xludf.DUMMYFUNCTION("""COMPUTED_VALUE"""),151.95)</f>
        <v>151.95</v>
      </c>
      <c r="E180" s="9">
        <f>IFERROR(__xludf.DUMMYFUNCTION("""COMPUTED_VALUE"""),153.14)</f>
        <v>153.14</v>
      </c>
      <c r="F180" s="9">
        <f>IFERROR(__xludf.DUMMYFUNCTION("""COMPUTED_VALUE"""),431113.0)</f>
        <v>431113</v>
      </c>
      <c r="H180" s="27">
        <f>IFERROR(__xludf.DUMMYFUNCTION("""COMPUTED_VALUE"""),38614.645833333336)</f>
        <v>38614.64583</v>
      </c>
      <c r="I180" s="25">
        <f>IFERROR(__xludf.DUMMYFUNCTION("""COMPUTED_VALUE"""),184.71)</f>
        <v>184.71</v>
      </c>
      <c r="J180" s="25">
        <f>IFERROR(__xludf.DUMMYFUNCTION("""COMPUTED_VALUE"""),185.0)</f>
        <v>185</v>
      </c>
      <c r="K180" s="25">
        <f>IFERROR(__xludf.DUMMYFUNCTION("""COMPUTED_VALUE"""),180.38)</f>
        <v>180.38</v>
      </c>
      <c r="L180" s="25">
        <f>IFERROR(__xludf.DUMMYFUNCTION("""COMPUTED_VALUE"""),181.77)</f>
        <v>181.77</v>
      </c>
      <c r="M180" s="25">
        <f>IFERROR(__xludf.DUMMYFUNCTION("""COMPUTED_VALUE"""),359681.0)</f>
        <v>359681</v>
      </c>
    </row>
    <row r="181">
      <c r="A181" s="26">
        <f>IFERROR(__xludf.DUMMYFUNCTION("""COMPUTED_VALUE"""),38615.645833333336)</f>
        <v>38615.64583</v>
      </c>
      <c r="B181" s="9">
        <f>IFERROR(__xludf.DUMMYFUNCTION("""COMPUTED_VALUE"""),153.38)</f>
        <v>153.38</v>
      </c>
      <c r="C181" s="9">
        <f>IFERROR(__xludf.DUMMYFUNCTION("""COMPUTED_VALUE"""),157.44)</f>
        <v>157.44</v>
      </c>
      <c r="D181" s="9">
        <f>IFERROR(__xludf.DUMMYFUNCTION("""COMPUTED_VALUE"""),152.01)</f>
        <v>152.01</v>
      </c>
      <c r="E181" s="9">
        <f>IFERROR(__xludf.DUMMYFUNCTION("""COMPUTED_VALUE"""),156.48)</f>
        <v>156.48</v>
      </c>
      <c r="F181" s="9">
        <f>IFERROR(__xludf.DUMMYFUNCTION("""COMPUTED_VALUE"""),806007.0)</f>
        <v>806007</v>
      </c>
      <c r="H181" s="27">
        <f>IFERROR(__xludf.DUMMYFUNCTION("""COMPUTED_VALUE"""),38615.645833333336)</f>
        <v>38615.64583</v>
      </c>
      <c r="I181" s="25">
        <f>IFERROR(__xludf.DUMMYFUNCTION("""COMPUTED_VALUE"""),181.88)</f>
        <v>181.88</v>
      </c>
      <c r="J181" s="25">
        <f>IFERROR(__xludf.DUMMYFUNCTION("""COMPUTED_VALUE"""),185.0)</f>
        <v>185</v>
      </c>
      <c r="K181" s="25">
        <f>IFERROR(__xludf.DUMMYFUNCTION("""COMPUTED_VALUE"""),177.5)</f>
        <v>177.5</v>
      </c>
      <c r="L181" s="25">
        <f>IFERROR(__xludf.DUMMYFUNCTION("""COMPUTED_VALUE"""),183.81)</f>
        <v>183.81</v>
      </c>
      <c r="M181" s="25">
        <f>IFERROR(__xludf.DUMMYFUNCTION("""COMPUTED_VALUE"""),786678.0)</f>
        <v>786678</v>
      </c>
    </row>
    <row r="182">
      <c r="A182" s="26">
        <f>IFERROR(__xludf.DUMMYFUNCTION("""COMPUTED_VALUE"""),38616.645833333336)</f>
        <v>38616.64583</v>
      </c>
      <c r="B182" s="9">
        <f>IFERROR(__xludf.DUMMYFUNCTION("""COMPUTED_VALUE"""),156.81)</f>
        <v>156.81</v>
      </c>
      <c r="C182" s="9">
        <f>IFERROR(__xludf.DUMMYFUNCTION("""COMPUTED_VALUE"""),156.88)</f>
        <v>156.88</v>
      </c>
      <c r="D182" s="9">
        <f>IFERROR(__xludf.DUMMYFUNCTION("""COMPUTED_VALUE"""),151.56)</f>
        <v>151.56</v>
      </c>
      <c r="E182" s="9">
        <f>IFERROR(__xludf.DUMMYFUNCTION("""COMPUTED_VALUE"""),153.87)</f>
        <v>153.87</v>
      </c>
      <c r="F182" s="9">
        <f>IFERROR(__xludf.DUMMYFUNCTION("""COMPUTED_VALUE"""),861706.0)</f>
        <v>861706</v>
      </c>
      <c r="H182" s="27">
        <f>IFERROR(__xludf.DUMMYFUNCTION("""COMPUTED_VALUE"""),38616.645833333336)</f>
        <v>38616.64583</v>
      </c>
      <c r="I182" s="25">
        <f>IFERROR(__xludf.DUMMYFUNCTION("""COMPUTED_VALUE"""),184.25)</f>
        <v>184.25</v>
      </c>
      <c r="J182" s="25">
        <f>IFERROR(__xludf.DUMMYFUNCTION("""COMPUTED_VALUE"""),184.5)</f>
        <v>184.5</v>
      </c>
      <c r="K182" s="25">
        <f>IFERROR(__xludf.DUMMYFUNCTION("""COMPUTED_VALUE"""),175.0)</f>
        <v>175</v>
      </c>
      <c r="L182" s="25">
        <f>IFERROR(__xludf.DUMMYFUNCTION("""COMPUTED_VALUE"""),181.71)</f>
        <v>181.71</v>
      </c>
      <c r="M182" s="25">
        <f>IFERROR(__xludf.DUMMYFUNCTION("""COMPUTED_VALUE"""),776915.0)</f>
        <v>776915</v>
      </c>
    </row>
    <row r="183">
      <c r="A183" s="26">
        <f>IFERROR(__xludf.DUMMYFUNCTION("""COMPUTED_VALUE"""),38617.645833333336)</f>
        <v>38617.64583</v>
      </c>
      <c r="B183" s="9">
        <f>IFERROR(__xludf.DUMMYFUNCTION("""COMPUTED_VALUE"""),153.43)</f>
        <v>153.43</v>
      </c>
      <c r="C183" s="9">
        <f>IFERROR(__xludf.DUMMYFUNCTION("""COMPUTED_VALUE"""),154.28)</f>
        <v>154.28</v>
      </c>
      <c r="D183" s="9">
        <f>IFERROR(__xludf.DUMMYFUNCTION("""COMPUTED_VALUE"""),150.0)</f>
        <v>150</v>
      </c>
      <c r="E183" s="9">
        <f>IFERROR(__xludf.DUMMYFUNCTION("""COMPUTED_VALUE"""),150.78)</f>
        <v>150.78</v>
      </c>
      <c r="F183" s="9">
        <f>IFERROR(__xludf.DUMMYFUNCTION("""COMPUTED_VALUE"""),641228.0)</f>
        <v>641228</v>
      </c>
      <c r="H183" s="27">
        <f>IFERROR(__xludf.DUMMYFUNCTION("""COMPUTED_VALUE"""),38617.645833333336)</f>
        <v>38617.64583</v>
      </c>
      <c r="I183" s="25">
        <f>IFERROR(__xludf.DUMMYFUNCTION("""COMPUTED_VALUE"""),184.5)</f>
        <v>184.5</v>
      </c>
      <c r="J183" s="25">
        <f>IFERROR(__xludf.DUMMYFUNCTION("""COMPUTED_VALUE"""),185.88)</f>
        <v>185.88</v>
      </c>
      <c r="K183" s="25">
        <f>IFERROR(__xludf.DUMMYFUNCTION("""COMPUTED_VALUE"""),174.63)</f>
        <v>174.63</v>
      </c>
      <c r="L183" s="25">
        <f>IFERROR(__xludf.DUMMYFUNCTION("""COMPUTED_VALUE"""),175.18)</f>
        <v>175.18</v>
      </c>
      <c r="M183" s="25">
        <f>IFERROR(__xludf.DUMMYFUNCTION("""COMPUTED_VALUE"""),810301.0)</f>
        <v>810301</v>
      </c>
    </row>
    <row r="184">
      <c r="A184" s="26">
        <f>IFERROR(__xludf.DUMMYFUNCTION("""COMPUTED_VALUE"""),38618.645833333336)</f>
        <v>38618.64583</v>
      </c>
      <c r="B184" s="9">
        <f>IFERROR(__xludf.DUMMYFUNCTION("""COMPUTED_VALUE"""),151.19)</f>
        <v>151.19</v>
      </c>
      <c r="C184" s="9">
        <f>IFERROR(__xludf.DUMMYFUNCTION("""COMPUTED_VALUE"""),152.5)</f>
        <v>152.5</v>
      </c>
      <c r="D184" s="9">
        <f>IFERROR(__xludf.DUMMYFUNCTION("""COMPUTED_VALUE"""),148.28)</f>
        <v>148.28</v>
      </c>
      <c r="E184" s="9">
        <f>IFERROR(__xludf.DUMMYFUNCTION("""COMPUTED_VALUE"""),149.91)</f>
        <v>149.91</v>
      </c>
      <c r="F184" s="9">
        <f>IFERROR(__xludf.DUMMYFUNCTION("""COMPUTED_VALUE"""),849365.0)</f>
        <v>849365</v>
      </c>
      <c r="H184" s="27">
        <f>IFERROR(__xludf.DUMMYFUNCTION("""COMPUTED_VALUE"""),38618.645833333336)</f>
        <v>38618.64583</v>
      </c>
      <c r="I184" s="25">
        <f>IFERROR(__xludf.DUMMYFUNCTION("""COMPUTED_VALUE"""),175.05)</f>
        <v>175.05</v>
      </c>
      <c r="J184" s="25">
        <f>IFERROR(__xludf.DUMMYFUNCTION("""COMPUTED_VALUE"""),178.73)</f>
        <v>178.73</v>
      </c>
      <c r="K184" s="25">
        <f>IFERROR(__xludf.DUMMYFUNCTION("""COMPUTED_VALUE"""),175.05)</f>
        <v>175.05</v>
      </c>
      <c r="L184" s="25">
        <f>IFERROR(__xludf.DUMMYFUNCTION("""COMPUTED_VALUE"""),176.56)</f>
        <v>176.56</v>
      </c>
      <c r="M184" s="25">
        <f>IFERROR(__xludf.DUMMYFUNCTION("""COMPUTED_VALUE"""),476978.0)</f>
        <v>476978</v>
      </c>
    </row>
    <row r="185">
      <c r="A185" s="26">
        <f>IFERROR(__xludf.DUMMYFUNCTION("""COMPUTED_VALUE"""),38621.645833333336)</f>
        <v>38621.64583</v>
      </c>
      <c r="B185" s="9">
        <f>IFERROR(__xludf.DUMMYFUNCTION("""COMPUTED_VALUE"""),151.19)</f>
        <v>151.19</v>
      </c>
      <c r="C185" s="9">
        <f>IFERROR(__xludf.DUMMYFUNCTION("""COMPUTED_VALUE"""),155.92)</f>
        <v>155.92</v>
      </c>
      <c r="D185" s="9">
        <f>IFERROR(__xludf.DUMMYFUNCTION("""COMPUTED_VALUE"""),149.78)</f>
        <v>149.78</v>
      </c>
      <c r="E185" s="9">
        <f>IFERROR(__xludf.DUMMYFUNCTION("""COMPUTED_VALUE"""),155.4)</f>
        <v>155.4</v>
      </c>
      <c r="F185" s="9">
        <f>IFERROR(__xludf.DUMMYFUNCTION("""COMPUTED_VALUE"""),621205.0)</f>
        <v>621205</v>
      </c>
      <c r="H185" s="27">
        <f>IFERROR(__xludf.DUMMYFUNCTION("""COMPUTED_VALUE"""),38621.645833333336)</f>
        <v>38621.64583</v>
      </c>
      <c r="I185" s="25">
        <f>IFERROR(__xludf.DUMMYFUNCTION("""COMPUTED_VALUE"""),177.5)</f>
        <v>177.5</v>
      </c>
      <c r="J185" s="25">
        <f>IFERROR(__xludf.DUMMYFUNCTION("""COMPUTED_VALUE"""),184.13)</f>
        <v>184.13</v>
      </c>
      <c r="K185" s="25">
        <f>IFERROR(__xludf.DUMMYFUNCTION("""COMPUTED_VALUE"""),177.0)</f>
        <v>177</v>
      </c>
      <c r="L185" s="25">
        <f>IFERROR(__xludf.DUMMYFUNCTION("""COMPUTED_VALUE"""),183.24)</f>
        <v>183.24</v>
      </c>
      <c r="M185" s="25">
        <f>IFERROR(__xludf.DUMMYFUNCTION("""COMPUTED_VALUE"""),286256.0)</f>
        <v>286256</v>
      </c>
    </row>
    <row r="186">
      <c r="A186" s="26">
        <f>IFERROR(__xludf.DUMMYFUNCTION("""COMPUTED_VALUE"""),38622.645833333336)</f>
        <v>38622.64583</v>
      </c>
      <c r="B186" s="9">
        <f>IFERROR(__xludf.DUMMYFUNCTION("""COMPUTED_VALUE"""),155.4)</f>
        <v>155.4</v>
      </c>
      <c r="C186" s="9">
        <f>IFERROR(__xludf.DUMMYFUNCTION("""COMPUTED_VALUE"""),156.69)</f>
        <v>156.69</v>
      </c>
      <c r="D186" s="9">
        <f>IFERROR(__xludf.DUMMYFUNCTION("""COMPUTED_VALUE"""),153.75)</f>
        <v>153.75</v>
      </c>
      <c r="E186" s="9">
        <f>IFERROR(__xludf.DUMMYFUNCTION("""COMPUTED_VALUE"""),154.86)</f>
        <v>154.86</v>
      </c>
      <c r="F186" s="9">
        <f>IFERROR(__xludf.DUMMYFUNCTION("""COMPUTED_VALUE"""),922411.0)</f>
        <v>922411</v>
      </c>
      <c r="H186" s="27">
        <f>IFERROR(__xludf.DUMMYFUNCTION("""COMPUTED_VALUE"""),38622.645833333336)</f>
        <v>38622.64583</v>
      </c>
      <c r="I186" s="25">
        <f>IFERROR(__xludf.DUMMYFUNCTION("""COMPUTED_VALUE"""),184.38)</f>
        <v>184.38</v>
      </c>
      <c r="J186" s="25">
        <f>IFERROR(__xludf.DUMMYFUNCTION("""COMPUTED_VALUE"""),185.13)</f>
        <v>185.13</v>
      </c>
      <c r="K186" s="25">
        <f>IFERROR(__xludf.DUMMYFUNCTION("""COMPUTED_VALUE"""),180.79)</f>
        <v>180.79</v>
      </c>
      <c r="L186" s="25">
        <f>IFERROR(__xludf.DUMMYFUNCTION("""COMPUTED_VALUE"""),182.79)</f>
        <v>182.79</v>
      </c>
      <c r="M186" s="25">
        <f>IFERROR(__xludf.DUMMYFUNCTION("""COMPUTED_VALUE"""),800501.0)</f>
        <v>800501</v>
      </c>
    </row>
    <row r="187">
      <c r="A187" s="26">
        <f>IFERROR(__xludf.DUMMYFUNCTION("""COMPUTED_VALUE"""),38623.645833333336)</f>
        <v>38623.64583</v>
      </c>
      <c r="B187" s="9">
        <f>IFERROR(__xludf.DUMMYFUNCTION("""COMPUTED_VALUE"""),154.38)</f>
        <v>154.38</v>
      </c>
      <c r="C187" s="9">
        <f>IFERROR(__xludf.DUMMYFUNCTION("""COMPUTED_VALUE"""),154.65)</f>
        <v>154.65</v>
      </c>
      <c r="D187" s="9">
        <f>IFERROR(__xludf.DUMMYFUNCTION("""COMPUTED_VALUE"""),151.56)</f>
        <v>151.56</v>
      </c>
      <c r="E187" s="9">
        <f>IFERROR(__xludf.DUMMYFUNCTION("""COMPUTED_VALUE"""),154.43)</f>
        <v>154.43</v>
      </c>
      <c r="F187" s="9">
        <f>IFERROR(__xludf.DUMMYFUNCTION("""COMPUTED_VALUE"""),1005386.0)</f>
        <v>1005386</v>
      </c>
      <c r="H187" s="27">
        <f>IFERROR(__xludf.DUMMYFUNCTION("""COMPUTED_VALUE"""),38623.645833333336)</f>
        <v>38623.64583</v>
      </c>
      <c r="I187" s="25">
        <f>IFERROR(__xludf.DUMMYFUNCTION("""COMPUTED_VALUE"""),183.0)</f>
        <v>183</v>
      </c>
      <c r="J187" s="25">
        <f>IFERROR(__xludf.DUMMYFUNCTION("""COMPUTED_VALUE"""),184.36)</f>
        <v>184.36</v>
      </c>
      <c r="K187" s="25">
        <f>IFERROR(__xludf.DUMMYFUNCTION("""COMPUTED_VALUE"""),180.88)</f>
        <v>180.88</v>
      </c>
      <c r="L187" s="25">
        <f>IFERROR(__xludf.DUMMYFUNCTION("""COMPUTED_VALUE"""),183.69)</f>
        <v>183.69</v>
      </c>
      <c r="M187" s="25">
        <f>IFERROR(__xludf.DUMMYFUNCTION("""COMPUTED_VALUE"""),737508.0)</f>
        <v>737508</v>
      </c>
    </row>
    <row r="188">
      <c r="A188" s="26">
        <f>IFERROR(__xludf.DUMMYFUNCTION("""COMPUTED_VALUE"""),38624.645833333336)</f>
        <v>38624.64583</v>
      </c>
      <c r="B188" s="9">
        <f>IFERROR(__xludf.DUMMYFUNCTION("""COMPUTED_VALUE"""),154.69)</f>
        <v>154.69</v>
      </c>
      <c r="C188" s="9">
        <f>IFERROR(__xludf.DUMMYFUNCTION("""COMPUTED_VALUE"""),158.75)</f>
        <v>158.75</v>
      </c>
      <c r="D188" s="9">
        <f>IFERROR(__xludf.DUMMYFUNCTION("""COMPUTED_VALUE"""),154.51)</f>
        <v>154.51</v>
      </c>
      <c r="E188" s="9">
        <f>IFERROR(__xludf.DUMMYFUNCTION("""COMPUTED_VALUE"""),157.89)</f>
        <v>157.89</v>
      </c>
      <c r="F188" s="9">
        <f>IFERROR(__xludf.DUMMYFUNCTION("""COMPUTED_VALUE"""),1394569.0)</f>
        <v>1394569</v>
      </c>
      <c r="H188" s="27">
        <f>IFERROR(__xludf.DUMMYFUNCTION("""COMPUTED_VALUE"""),38624.645833333336)</f>
        <v>38624.64583</v>
      </c>
      <c r="I188" s="25">
        <f>IFERROR(__xludf.DUMMYFUNCTION("""COMPUTED_VALUE"""),185.0)</f>
        <v>185</v>
      </c>
      <c r="J188" s="25">
        <f>IFERROR(__xludf.DUMMYFUNCTION("""COMPUTED_VALUE"""),186.8)</f>
        <v>186.8</v>
      </c>
      <c r="K188" s="25">
        <f>IFERROR(__xludf.DUMMYFUNCTION("""COMPUTED_VALUE"""),183.13)</f>
        <v>183.13</v>
      </c>
      <c r="L188" s="25">
        <f>IFERROR(__xludf.DUMMYFUNCTION("""COMPUTED_VALUE"""),184.11)</f>
        <v>184.11</v>
      </c>
      <c r="M188" s="25">
        <f>IFERROR(__xludf.DUMMYFUNCTION("""COMPUTED_VALUE"""),1052736.0)</f>
        <v>1052736</v>
      </c>
    </row>
    <row r="189">
      <c r="A189" s="26">
        <f>IFERROR(__xludf.DUMMYFUNCTION("""COMPUTED_VALUE"""),38625.645833333336)</f>
        <v>38625.64583</v>
      </c>
      <c r="B189" s="9">
        <f>IFERROR(__xludf.DUMMYFUNCTION("""COMPUTED_VALUE"""),158.75)</f>
        <v>158.75</v>
      </c>
      <c r="C189" s="9">
        <f>IFERROR(__xludf.DUMMYFUNCTION("""COMPUTED_VALUE"""),160.06)</f>
        <v>160.06</v>
      </c>
      <c r="D189" s="9">
        <f>IFERROR(__xludf.DUMMYFUNCTION("""COMPUTED_VALUE"""),156.38)</f>
        <v>156.38</v>
      </c>
      <c r="E189" s="9">
        <f>IFERROR(__xludf.DUMMYFUNCTION("""COMPUTED_VALUE"""),157.21)</f>
        <v>157.21</v>
      </c>
      <c r="F189" s="9">
        <f>IFERROR(__xludf.DUMMYFUNCTION("""COMPUTED_VALUE"""),928755.0)</f>
        <v>928755</v>
      </c>
      <c r="H189" s="27">
        <f>IFERROR(__xludf.DUMMYFUNCTION("""COMPUTED_VALUE"""),38625.645833333336)</f>
        <v>38625.64583</v>
      </c>
      <c r="I189" s="25">
        <f>IFERROR(__xludf.DUMMYFUNCTION("""COMPUTED_VALUE"""),185.0)</f>
        <v>185</v>
      </c>
      <c r="J189" s="25">
        <f>IFERROR(__xludf.DUMMYFUNCTION("""COMPUTED_VALUE"""),186.48)</f>
        <v>186.48</v>
      </c>
      <c r="K189" s="25">
        <f>IFERROR(__xludf.DUMMYFUNCTION("""COMPUTED_VALUE"""),183.03)</f>
        <v>183.03</v>
      </c>
      <c r="L189" s="25">
        <f>IFERROR(__xludf.DUMMYFUNCTION("""COMPUTED_VALUE"""),185.3)</f>
        <v>185.3</v>
      </c>
      <c r="M189" s="25">
        <f>IFERROR(__xludf.DUMMYFUNCTION("""COMPUTED_VALUE"""),622872.0)</f>
        <v>622872</v>
      </c>
    </row>
    <row r="190">
      <c r="A190" s="26">
        <f>IFERROR(__xludf.DUMMYFUNCTION("""COMPUTED_VALUE"""),38628.645833333336)</f>
        <v>38628.64583</v>
      </c>
      <c r="B190" s="9">
        <f>IFERROR(__xludf.DUMMYFUNCTION("""COMPUTED_VALUE"""),157.81)</f>
        <v>157.81</v>
      </c>
      <c r="C190" s="9">
        <f>IFERROR(__xludf.DUMMYFUNCTION("""COMPUTED_VALUE"""),160.0)</f>
        <v>160</v>
      </c>
      <c r="D190" s="9">
        <f>IFERROR(__xludf.DUMMYFUNCTION("""COMPUTED_VALUE"""),157.81)</f>
        <v>157.81</v>
      </c>
      <c r="E190" s="9">
        <f>IFERROR(__xludf.DUMMYFUNCTION("""COMPUTED_VALUE"""),159.57)</f>
        <v>159.57</v>
      </c>
      <c r="F190" s="9">
        <f>IFERROR(__xludf.DUMMYFUNCTION("""COMPUTED_VALUE"""),512679.0)</f>
        <v>512679</v>
      </c>
      <c r="H190" s="27">
        <f>IFERROR(__xludf.DUMMYFUNCTION("""COMPUTED_VALUE"""),38628.645833333336)</f>
        <v>38628.64583</v>
      </c>
      <c r="I190" s="25">
        <f>IFERROR(__xludf.DUMMYFUNCTION("""COMPUTED_VALUE"""),181.93)</f>
        <v>181.93</v>
      </c>
      <c r="J190" s="25">
        <f>IFERROR(__xludf.DUMMYFUNCTION("""COMPUTED_VALUE"""),188.11)</f>
        <v>188.11</v>
      </c>
      <c r="K190" s="25">
        <f>IFERROR(__xludf.DUMMYFUNCTION("""COMPUTED_VALUE"""),181.93)</f>
        <v>181.93</v>
      </c>
      <c r="L190" s="25">
        <f>IFERROR(__xludf.DUMMYFUNCTION("""COMPUTED_VALUE"""),187.24)</f>
        <v>187.24</v>
      </c>
      <c r="M190" s="25">
        <f>IFERROR(__xludf.DUMMYFUNCTION("""COMPUTED_VALUE"""),559065.0)</f>
        <v>559065</v>
      </c>
    </row>
    <row r="191">
      <c r="A191" s="26">
        <f>IFERROR(__xludf.DUMMYFUNCTION("""COMPUTED_VALUE"""),38629.645833333336)</f>
        <v>38629.64583</v>
      </c>
      <c r="B191" s="9">
        <f>IFERROR(__xludf.DUMMYFUNCTION("""COMPUTED_VALUE"""),159.99)</f>
        <v>159.99</v>
      </c>
      <c r="C191" s="9">
        <f>IFERROR(__xludf.DUMMYFUNCTION("""COMPUTED_VALUE"""),164.78)</f>
        <v>164.78</v>
      </c>
      <c r="D191" s="9">
        <f>IFERROR(__xludf.DUMMYFUNCTION("""COMPUTED_VALUE"""),158.44)</f>
        <v>158.44</v>
      </c>
      <c r="E191" s="9">
        <f>IFERROR(__xludf.DUMMYFUNCTION("""COMPUTED_VALUE"""),164.24)</f>
        <v>164.24</v>
      </c>
      <c r="F191" s="9">
        <f>IFERROR(__xludf.DUMMYFUNCTION("""COMPUTED_VALUE"""),1340832.0)</f>
        <v>1340832</v>
      </c>
      <c r="H191" s="27">
        <f>IFERROR(__xludf.DUMMYFUNCTION("""COMPUTED_VALUE"""),38629.645833333336)</f>
        <v>38629.64583</v>
      </c>
      <c r="I191" s="25">
        <f>IFERROR(__xludf.DUMMYFUNCTION("""COMPUTED_VALUE"""),187.48)</f>
        <v>187.48</v>
      </c>
      <c r="J191" s="25">
        <f>IFERROR(__xludf.DUMMYFUNCTION("""COMPUTED_VALUE"""),187.75)</f>
        <v>187.75</v>
      </c>
      <c r="K191" s="25">
        <f>IFERROR(__xludf.DUMMYFUNCTION("""COMPUTED_VALUE"""),185.41)</f>
        <v>185.41</v>
      </c>
      <c r="L191" s="25">
        <f>IFERROR(__xludf.DUMMYFUNCTION("""COMPUTED_VALUE"""),186.22)</f>
        <v>186.22</v>
      </c>
      <c r="M191" s="25">
        <f>IFERROR(__xludf.DUMMYFUNCTION("""COMPUTED_VALUE"""),793809.0)</f>
        <v>793809</v>
      </c>
    </row>
    <row r="192">
      <c r="A192" s="26">
        <f>IFERROR(__xludf.DUMMYFUNCTION("""COMPUTED_VALUE"""),38630.645833333336)</f>
        <v>38630.64583</v>
      </c>
      <c r="B192" s="9">
        <f>IFERROR(__xludf.DUMMYFUNCTION("""COMPUTED_VALUE"""),164.19)</f>
        <v>164.19</v>
      </c>
      <c r="C192" s="9">
        <f>IFERROR(__xludf.DUMMYFUNCTION("""COMPUTED_VALUE"""),166.31)</f>
        <v>166.31</v>
      </c>
      <c r="D192" s="9">
        <f>IFERROR(__xludf.DUMMYFUNCTION("""COMPUTED_VALUE"""),161.46)</f>
        <v>161.46</v>
      </c>
      <c r="E192" s="9">
        <f>IFERROR(__xludf.DUMMYFUNCTION("""COMPUTED_VALUE"""),165.0)</f>
        <v>165</v>
      </c>
      <c r="F192" s="9">
        <f>IFERROR(__xludf.DUMMYFUNCTION("""COMPUTED_VALUE"""),1515976.0)</f>
        <v>1515976</v>
      </c>
      <c r="H192" s="27">
        <f>IFERROR(__xludf.DUMMYFUNCTION("""COMPUTED_VALUE"""),38630.645833333336)</f>
        <v>38630.64583</v>
      </c>
      <c r="I192" s="25">
        <f>IFERROR(__xludf.DUMMYFUNCTION("""COMPUTED_VALUE"""),185.5)</f>
        <v>185.5</v>
      </c>
      <c r="J192" s="25">
        <f>IFERROR(__xludf.DUMMYFUNCTION("""COMPUTED_VALUE"""),186.13)</f>
        <v>186.13</v>
      </c>
      <c r="K192" s="25">
        <f>IFERROR(__xludf.DUMMYFUNCTION("""COMPUTED_VALUE"""),183.13)</f>
        <v>183.13</v>
      </c>
      <c r="L192" s="25">
        <f>IFERROR(__xludf.DUMMYFUNCTION("""COMPUTED_VALUE"""),183.75)</f>
        <v>183.75</v>
      </c>
      <c r="M192" s="25">
        <f>IFERROR(__xludf.DUMMYFUNCTION("""COMPUTED_VALUE"""),822215.0)</f>
        <v>822215</v>
      </c>
    </row>
    <row r="193">
      <c r="A193" s="26">
        <f>IFERROR(__xludf.DUMMYFUNCTION("""COMPUTED_VALUE"""),38631.645833333336)</f>
        <v>38631.64583</v>
      </c>
      <c r="B193" s="9">
        <f>IFERROR(__xludf.DUMMYFUNCTION("""COMPUTED_VALUE"""),163.75)</f>
        <v>163.75</v>
      </c>
      <c r="C193" s="9">
        <f>IFERROR(__xludf.DUMMYFUNCTION("""COMPUTED_VALUE"""),166.56)</f>
        <v>166.56</v>
      </c>
      <c r="D193" s="9">
        <f>IFERROR(__xludf.DUMMYFUNCTION("""COMPUTED_VALUE"""),161.5)</f>
        <v>161.5</v>
      </c>
      <c r="E193" s="9">
        <f>IFERROR(__xludf.DUMMYFUNCTION("""COMPUTED_VALUE"""),163.07)</f>
        <v>163.07</v>
      </c>
      <c r="F193" s="9">
        <f>IFERROR(__xludf.DUMMYFUNCTION("""COMPUTED_VALUE"""),1624576.0)</f>
        <v>1624576</v>
      </c>
      <c r="H193" s="27">
        <f>IFERROR(__xludf.DUMMYFUNCTION("""COMPUTED_VALUE"""),38631.645833333336)</f>
        <v>38631.64583</v>
      </c>
      <c r="I193" s="25">
        <f>IFERROR(__xludf.DUMMYFUNCTION("""COMPUTED_VALUE"""),183.13)</f>
        <v>183.13</v>
      </c>
      <c r="J193" s="25">
        <f>IFERROR(__xludf.DUMMYFUNCTION("""COMPUTED_VALUE"""),183.13)</f>
        <v>183.13</v>
      </c>
      <c r="K193" s="25">
        <f>IFERROR(__xludf.DUMMYFUNCTION("""COMPUTED_VALUE"""),177.15)</f>
        <v>177.15</v>
      </c>
      <c r="L193" s="25">
        <f>IFERROR(__xludf.DUMMYFUNCTION("""COMPUTED_VALUE"""),178.08)</f>
        <v>178.08</v>
      </c>
      <c r="M193" s="25">
        <f>IFERROR(__xludf.DUMMYFUNCTION("""COMPUTED_VALUE"""),1029224.0)</f>
        <v>1029224</v>
      </c>
    </row>
    <row r="194">
      <c r="A194" s="26">
        <f>IFERROR(__xludf.DUMMYFUNCTION("""COMPUTED_VALUE"""),38632.645833333336)</f>
        <v>38632.64583</v>
      </c>
      <c r="B194" s="9">
        <f>IFERROR(__xludf.DUMMYFUNCTION("""COMPUTED_VALUE"""),163.07)</f>
        <v>163.07</v>
      </c>
      <c r="C194" s="9">
        <f>IFERROR(__xludf.DUMMYFUNCTION("""COMPUTED_VALUE"""),164.87)</f>
        <v>164.87</v>
      </c>
      <c r="D194" s="9">
        <f>IFERROR(__xludf.DUMMYFUNCTION("""COMPUTED_VALUE"""),160.02)</f>
        <v>160.02</v>
      </c>
      <c r="E194" s="9">
        <f>IFERROR(__xludf.DUMMYFUNCTION("""COMPUTED_VALUE"""),160.78)</f>
        <v>160.78</v>
      </c>
      <c r="F194" s="9">
        <f>IFERROR(__xludf.DUMMYFUNCTION("""COMPUTED_VALUE"""),1066867.0)</f>
        <v>1066867</v>
      </c>
      <c r="H194" s="27">
        <f>IFERROR(__xludf.DUMMYFUNCTION("""COMPUTED_VALUE"""),38632.645833333336)</f>
        <v>38632.64583</v>
      </c>
      <c r="I194" s="25">
        <f>IFERROR(__xludf.DUMMYFUNCTION("""COMPUTED_VALUE"""),178.13)</f>
        <v>178.13</v>
      </c>
      <c r="J194" s="25">
        <f>IFERROR(__xludf.DUMMYFUNCTION("""COMPUTED_VALUE"""),181.75)</f>
        <v>181.75</v>
      </c>
      <c r="K194" s="25">
        <f>IFERROR(__xludf.DUMMYFUNCTION("""COMPUTED_VALUE"""),176.9)</f>
        <v>176.9</v>
      </c>
      <c r="L194" s="25">
        <f>IFERROR(__xludf.DUMMYFUNCTION("""COMPUTED_VALUE"""),180.6)</f>
        <v>180.6</v>
      </c>
      <c r="M194" s="25">
        <f>IFERROR(__xludf.DUMMYFUNCTION("""COMPUTED_VALUE"""),775828.0)</f>
        <v>775828</v>
      </c>
    </row>
    <row r="195">
      <c r="A195" s="26">
        <f>IFERROR(__xludf.DUMMYFUNCTION("""COMPUTED_VALUE"""),38635.645833333336)</f>
        <v>38635.64583</v>
      </c>
      <c r="B195" s="9">
        <f>IFERROR(__xludf.DUMMYFUNCTION("""COMPUTED_VALUE"""),164.06)</f>
        <v>164.06</v>
      </c>
      <c r="C195" s="9">
        <f>IFERROR(__xludf.DUMMYFUNCTION("""COMPUTED_VALUE"""),165.38)</f>
        <v>165.38</v>
      </c>
      <c r="D195" s="9">
        <f>IFERROR(__xludf.DUMMYFUNCTION("""COMPUTED_VALUE"""),161.38)</f>
        <v>161.38</v>
      </c>
      <c r="E195" s="9">
        <f>IFERROR(__xludf.DUMMYFUNCTION("""COMPUTED_VALUE"""),163.89)</f>
        <v>163.89</v>
      </c>
      <c r="F195" s="9">
        <f>IFERROR(__xludf.DUMMYFUNCTION("""COMPUTED_VALUE"""),1204890.0)</f>
        <v>1204890</v>
      </c>
      <c r="H195" s="27">
        <f>IFERROR(__xludf.DUMMYFUNCTION("""COMPUTED_VALUE"""),38635.645833333336)</f>
        <v>38635.64583</v>
      </c>
      <c r="I195" s="25">
        <f>IFERROR(__xludf.DUMMYFUNCTION("""COMPUTED_VALUE"""),181.23)</f>
        <v>181.23</v>
      </c>
      <c r="J195" s="25">
        <f>IFERROR(__xludf.DUMMYFUNCTION("""COMPUTED_VALUE"""),184.38)</f>
        <v>184.38</v>
      </c>
      <c r="K195" s="25">
        <f>IFERROR(__xludf.DUMMYFUNCTION("""COMPUTED_VALUE"""),180.41)</f>
        <v>180.41</v>
      </c>
      <c r="L195" s="25">
        <f>IFERROR(__xludf.DUMMYFUNCTION("""COMPUTED_VALUE"""),181.06)</f>
        <v>181.06</v>
      </c>
      <c r="M195" s="25">
        <f>IFERROR(__xludf.DUMMYFUNCTION("""COMPUTED_VALUE"""),671466.0)</f>
        <v>671466</v>
      </c>
    </row>
    <row r="196">
      <c r="A196" s="26">
        <f>IFERROR(__xludf.DUMMYFUNCTION("""COMPUTED_VALUE"""),38636.645833333336)</f>
        <v>38636.64583</v>
      </c>
      <c r="B196" s="9">
        <f>IFERROR(__xludf.DUMMYFUNCTION("""COMPUTED_VALUE"""),166.38)</f>
        <v>166.38</v>
      </c>
      <c r="C196" s="9">
        <f>IFERROR(__xludf.DUMMYFUNCTION("""COMPUTED_VALUE"""),170.63)</f>
        <v>170.63</v>
      </c>
      <c r="D196" s="9">
        <f>IFERROR(__xludf.DUMMYFUNCTION("""COMPUTED_VALUE"""),164.38)</f>
        <v>164.38</v>
      </c>
      <c r="E196" s="9">
        <f>IFERROR(__xludf.DUMMYFUNCTION("""COMPUTED_VALUE"""),167.68)</f>
        <v>167.68</v>
      </c>
      <c r="F196" s="9">
        <f>IFERROR(__xludf.DUMMYFUNCTION("""COMPUTED_VALUE"""),1956990.0)</f>
        <v>1956990</v>
      </c>
      <c r="H196" s="27">
        <f>IFERROR(__xludf.DUMMYFUNCTION("""COMPUTED_VALUE"""),38636.645833333336)</f>
        <v>38636.64583</v>
      </c>
      <c r="I196" s="25">
        <f>IFERROR(__xludf.DUMMYFUNCTION("""COMPUTED_VALUE"""),182.5)</f>
        <v>182.5</v>
      </c>
      <c r="J196" s="25">
        <f>IFERROR(__xludf.DUMMYFUNCTION("""COMPUTED_VALUE"""),184.35)</f>
        <v>184.35</v>
      </c>
      <c r="K196" s="25">
        <f>IFERROR(__xludf.DUMMYFUNCTION("""COMPUTED_VALUE"""),177.75)</f>
        <v>177.75</v>
      </c>
      <c r="L196" s="25">
        <f>IFERROR(__xludf.DUMMYFUNCTION("""COMPUTED_VALUE"""),183.47)</f>
        <v>183.47</v>
      </c>
      <c r="M196" s="25">
        <f>IFERROR(__xludf.DUMMYFUNCTION("""COMPUTED_VALUE"""),1445640.0)</f>
        <v>1445640</v>
      </c>
    </row>
    <row r="197">
      <c r="A197" s="26">
        <f>IFERROR(__xludf.DUMMYFUNCTION("""COMPUTED_VALUE"""),38638.645833333336)</f>
        <v>38638.64583</v>
      </c>
      <c r="B197" s="9">
        <f>IFERROR(__xludf.DUMMYFUNCTION("""COMPUTED_VALUE"""),165.75)</f>
        <v>165.75</v>
      </c>
      <c r="C197" s="9">
        <f>IFERROR(__xludf.DUMMYFUNCTION("""COMPUTED_VALUE"""),167.75)</f>
        <v>167.75</v>
      </c>
      <c r="D197" s="9">
        <f>IFERROR(__xludf.DUMMYFUNCTION("""COMPUTED_VALUE"""),162.09)</f>
        <v>162.09</v>
      </c>
      <c r="E197" s="9">
        <f>IFERROR(__xludf.DUMMYFUNCTION("""COMPUTED_VALUE"""),163.92)</f>
        <v>163.92</v>
      </c>
      <c r="F197" s="9">
        <f>IFERROR(__xludf.DUMMYFUNCTION("""COMPUTED_VALUE"""),2042937.0)</f>
        <v>2042937</v>
      </c>
      <c r="H197" s="27">
        <f>IFERROR(__xludf.DUMMYFUNCTION("""COMPUTED_VALUE"""),38638.645833333336)</f>
        <v>38638.64583</v>
      </c>
      <c r="I197" s="25">
        <f>IFERROR(__xludf.DUMMYFUNCTION("""COMPUTED_VALUE"""),183.75)</f>
        <v>183.75</v>
      </c>
      <c r="J197" s="25">
        <f>IFERROR(__xludf.DUMMYFUNCTION("""COMPUTED_VALUE"""),185.63)</f>
        <v>185.63</v>
      </c>
      <c r="K197" s="25">
        <f>IFERROR(__xludf.DUMMYFUNCTION("""COMPUTED_VALUE"""),178.8)</f>
        <v>178.8</v>
      </c>
      <c r="L197" s="25">
        <f>IFERROR(__xludf.DUMMYFUNCTION("""COMPUTED_VALUE"""),180.16)</f>
        <v>180.16</v>
      </c>
      <c r="M197" s="25">
        <f>IFERROR(__xludf.DUMMYFUNCTION("""COMPUTED_VALUE"""),1700724.0)</f>
        <v>1700724</v>
      </c>
    </row>
    <row r="198">
      <c r="A198" s="26">
        <f>IFERROR(__xludf.DUMMYFUNCTION("""COMPUTED_VALUE"""),38639.645833333336)</f>
        <v>38639.64583</v>
      </c>
      <c r="B198" s="9">
        <f>IFERROR(__xludf.DUMMYFUNCTION("""COMPUTED_VALUE"""),164.63)</f>
        <v>164.63</v>
      </c>
      <c r="C198" s="9">
        <f>IFERROR(__xludf.DUMMYFUNCTION("""COMPUTED_VALUE"""),165.25)</f>
        <v>165.25</v>
      </c>
      <c r="D198" s="9">
        <f>IFERROR(__xludf.DUMMYFUNCTION("""COMPUTED_VALUE"""),161.88)</f>
        <v>161.88</v>
      </c>
      <c r="E198" s="9">
        <f>IFERROR(__xludf.DUMMYFUNCTION("""COMPUTED_VALUE"""),162.59)</f>
        <v>162.59</v>
      </c>
      <c r="F198" s="9">
        <f>IFERROR(__xludf.DUMMYFUNCTION("""COMPUTED_VALUE"""),1161279.0)</f>
        <v>1161279</v>
      </c>
      <c r="H198" s="27">
        <f>IFERROR(__xludf.DUMMYFUNCTION("""COMPUTED_VALUE"""),38639.645833333336)</f>
        <v>38639.64583</v>
      </c>
      <c r="I198" s="25">
        <f>IFERROR(__xludf.DUMMYFUNCTION("""COMPUTED_VALUE"""),181.25)</f>
        <v>181.25</v>
      </c>
      <c r="J198" s="25">
        <f>IFERROR(__xludf.DUMMYFUNCTION("""COMPUTED_VALUE"""),181.5)</f>
        <v>181.5</v>
      </c>
      <c r="K198" s="25">
        <f>IFERROR(__xludf.DUMMYFUNCTION("""COMPUTED_VALUE"""),176.88)</f>
        <v>176.88</v>
      </c>
      <c r="L198" s="25">
        <f>IFERROR(__xludf.DUMMYFUNCTION("""COMPUTED_VALUE"""),178.01)</f>
        <v>178.01</v>
      </c>
      <c r="M198" s="25">
        <f>IFERROR(__xludf.DUMMYFUNCTION("""COMPUTED_VALUE"""),653274.0)</f>
        <v>653274</v>
      </c>
    </row>
    <row r="199">
      <c r="A199" s="26">
        <f>IFERROR(__xludf.DUMMYFUNCTION("""COMPUTED_VALUE"""),38642.645833333336)</f>
        <v>38642.64583</v>
      </c>
      <c r="B199" s="9">
        <f>IFERROR(__xludf.DUMMYFUNCTION("""COMPUTED_VALUE"""),163.63)</f>
        <v>163.63</v>
      </c>
      <c r="C199" s="9">
        <f>IFERROR(__xludf.DUMMYFUNCTION("""COMPUTED_VALUE"""),164.31)</f>
        <v>164.31</v>
      </c>
      <c r="D199" s="9">
        <f>IFERROR(__xludf.DUMMYFUNCTION("""COMPUTED_VALUE"""),161.39)</f>
        <v>161.39</v>
      </c>
      <c r="E199" s="9">
        <f>IFERROR(__xludf.DUMMYFUNCTION("""COMPUTED_VALUE"""),161.98)</f>
        <v>161.98</v>
      </c>
      <c r="F199" s="9">
        <f>IFERROR(__xludf.DUMMYFUNCTION("""COMPUTED_VALUE"""),971075.0)</f>
        <v>971075</v>
      </c>
      <c r="H199" s="27">
        <f>IFERROR(__xludf.DUMMYFUNCTION("""COMPUTED_VALUE"""),38642.645833333336)</f>
        <v>38642.64583</v>
      </c>
      <c r="I199" s="25">
        <f>IFERROR(__xludf.DUMMYFUNCTION("""COMPUTED_VALUE"""),178.75)</f>
        <v>178.75</v>
      </c>
      <c r="J199" s="25">
        <f>IFERROR(__xludf.DUMMYFUNCTION("""COMPUTED_VALUE"""),180.25)</f>
        <v>180.25</v>
      </c>
      <c r="K199" s="25">
        <f>IFERROR(__xludf.DUMMYFUNCTION("""COMPUTED_VALUE"""),177.99)</f>
        <v>177.99</v>
      </c>
      <c r="L199" s="25">
        <f>IFERROR(__xludf.DUMMYFUNCTION("""COMPUTED_VALUE"""),179.27)</f>
        <v>179.27</v>
      </c>
      <c r="M199" s="25">
        <f>IFERROR(__xludf.DUMMYFUNCTION("""COMPUTED_VALUE"""),548602.0)</f>
        <v>548602</v>
      </c>
    </row>
    <row r="200">
      <c r="A200" s="26">
        <f>IFERROR(__xludf.DUMMYFUNCTION("""COMPUTED_VALUE"""),38643.645833333336)</f>
        <v>38643.64583</v>
      </c>
      <c r="B200" s="9">
        <f>IFERROR(__xludf.DUMMYFUNCTION("""COMPUTED_VALUE"""),162.0)</f>
        <v>162</v>
      </c>
      <c r="C200" s="9">
        <f>IFERROR(__xludf.DUMMYFUNCTION("""COMPUTED_VALUE"""),163.87)</f>
        <v>163.87</v>
      </c>
      <c r="D200" s="9">
        <f>IFERROR(__xludf.DUMMYFUNCTION("""COMPUTED_VALUE"""),157.19)</f>
        <v>157.19</v>
      </c>
      <c r="E200" s="9">
        <f>IFERROR(__xludf.DUMMYFUNCTION("""COMPUTED_VALUE"""),158.16)</f>
        <v>158.16</v>
      </c>
      <c r="F200" s="9">
        <f>IFERROR(__xludf.DUMMYFUNCTION("""COMPUTED_VALUE"""),1639051.0)</f>
        <v>1639051</v>
      </c>
      <c r="H200" s="27">
        <f>IFERROR(__xludf.DUMMYFUNCTION("""COMPUTED_VALUE"""),38643.645833333336)</f>
        <v>38643.64583</v>
      </c>
      <c r="I200" s="25">
        <f>IFERROR(__xludf.DUMMYFUNCTION("""COMPUTED_VALUE"""),180.25)</f>
        <v>180.25</v>
      </c>
      <c r="J200" s="25">
        <f>IFERROR(__xludf.DUMMYFUNCTION("""COMPUTED_VALUE"""),183.1)</f>
        <v>183.1</v>
      </c>
      <c r="K200" s="25">
        <f>IFERROR(__xludf.DUMMYFUNCTION("""COMPUTED_VALUE"""),178.89)</f>
        <v>178.89</v>
      </c>
      <c r="L200" s="25">
        <f>IFERROR(__xludf.DUMMYFUNCTION("""COMPUTED_VALUE"""),180.12)</f>
        <v>180.12</v>
      </c>
      <c r="M200" s="25">
        <f>IFERROR(__xludf.DUMMYFUNCTION("""COMPUTED_VALUE"""),1367700.0)</f>
        <v>1367700</v>
      </c>
    </row>
    <row r="201">
      <c r="A201" s="26">
        <f>IFERROR(__xludf.DUMMYFUNCTION("""COMPUTED_VALUE"""),38644.645833333336)</f>
        <v>38644.64583</v>
      </c>
      <c r="B201" s="9">
        <f>IFERROR(__xludf.DUMMYFUNCTION("""COMPUTED_VALUE"""),157.19)</f>
        <v>157.19</v>
      </c>
      <c r="C201" s="9">
        <f>IFERROR(__xludf.DUMMYFUNCTION("""COMPUTED_VALUE"""),157.75)</f>
        <v>157.75</v>
      </c>
      <c r="D201" s="9">
        <f>IFERROR(__xludf.DUMMYFUNCTION("""COMPUTED_VALUE"""),154.44)</f>
        <v>154.44</v>
      </c>
      <c r="E201" s="9">
        <f>IFERROR(__xludf.DUMMYFUNCTION("""COMPUTED_VALUE"""),156.48)</f>
        <v>156.48</v>
      </c>
      <c r="F201" s="9">
        <f>IFERROR(__xludf.DUMMYFUNCTION("""COMPUTED_VALUE"""),1525953.0)</f>
        <v>1525953</v>
      </c>
      <c r="H201" s="27">
        <f>IFERROR(__xludf.DUMMYFUNCTION("""COMPUTED_VALUE"""),38644.645833333336)</f>
        <v>38644.64583</v>
      </c>
      <c r="I201" s="25">
        <f>IFERROR(__xludf.DUMMYFUNCTION("""COMPUTED_VALUE"""),182.49)</f>
        <v>182.49</v>
      </c>
      <c r="J201" s="25">
        <f>IFERROR(__xludf.DUMMYFUNCTION("""COMPUTED_VALUE"""),182.5)</f>
        <v>182.5</v>
      </c>
      <c r="K201" s="25">
        <f>IFERROR(__xludf.DUMMYFUNCTION("""COMPUTED_VALUE"""),171.52)</f>
        <v>171.52</v>
      </c>
      <c r="L201" s="25">
        <f>IFERROR(__xludf.DUMMYFUNCTION("""COMPUTED_VALUE"""),175.2)</f>
        <v>175.2</v>
      </c>
      <c r="M201" s="25">
        <f>IFERROR(__xludf.DUMMYFUNCTION("""COMPUTED_VALUE"""),1257354.0)</f>
        <v>1257354</v>
      </c>
    </row>
    <row r="202">
      <c r="A202" s="26">
        <f>IFERROR(__xludf.DUMMYFUNCTION("""COMPUTED_VALUE"""),38645.645833333336)</f>
        <v>38645.64583</v>
      </c>
      <c r="B202" s="9">
        <f>IFERROR(__xludf.DUMMYFUNCTION("""COMPUTED_VALUE"""),157.75)</f>
        <v>157.75</v>
      </c>
      <c r="C202" s="9">
        <f>IFERROR(__xludf.DUMMYFUNCTION("""COMPUTED_VALUE"""),160.94)</f>
        <v>160.94</v>
      </c>
      <c r="D202" s="9">
        <f>IFERROR(__xludf.DUMMYFUNCTION("""COMPUTED_VALUE"""),155.71)</f>
        <v>155.71</v>
      </c>
      <c r="E202" s="9">
        <f>IFERROR(__xludf.DUMMYFUNCTION("""COMPUTED_VALUE"""),158.66)</f>
        <v>158.66</v>
      </c>
      <c r="F202" s="9">
        <f>IFERROR(__xludf.DUMMYFUNCTION("""COMPUTED_VALUE"""),1290606.0)</f>
        <v>1290606</v>
      </c>
      <c r="H202" s="27">
        <f>IFERROR(__xludf.DUMMYFUNCTION("""COMPUTED_VALUE"""),38645.645833333336)</f>
        <v>38645.64583</v>
      </c>
      <c r="I202" s="25">
        <f>IFERROR(__xludf.DUMMYFUNCTION("""COMPUTED_VALUE"""),176.89)</f>
        <v>176.89</v>
      </c>
      <c r="J202" s="25">
        <f>IFERROR(__xludf.DUMMYFUNCTION("""COMPUTED_VALUE"""),179.38)</f>
        <v>179.38</v>
      </c>
      <c r="K202" s="25">
        <f>IFERROR(__xludf.DUMMYFUNCTION("""COMPUTED_VALUE"""),173.88)</f>
        <v>173.88</v>
      </c>
      <c r="L202" s="25">
        <f>IFERROR(__xludf.DUMMYFUNCTION("""COMPUTED_VALUE"""),177.05)</f>
        <v>177.05</v>
      </c>
      <c r="M202" s="25">
        <f>IFERROR(__xludf.DUMMYFUNCTION("""COMPUTED_VALUE"""),794119.0)</f>
        <v>794119</v>
      </c>
    </row>
    <row r="203">
      <c r="A203" s="26">
        <f>IFERROR(__xludf.DUMMYFUNCTION("""COMPUTED_VALUE"""),38646.645833333336)</f>
        <v>38646.64583</v>
      </c>
      <c r="B203" s="9">
        <f>IFERROR(__xludf.DUMMYFUNCTION("""COMPUTED_VALUE"""),158.75)</f>
        <v>158.75</v>
      </c>
      <c r="C203" s="9">
        <f>IFERROR(__xludf.DUMMYFUNCTION("""COMPUTED_VALUE"""),160.75)</f>
        <v>160.75</v>
      </c>
      <c r="D203" s="9">
        <f>IFERROR(__xludf.DUMMYFUNCTION("""COMPUTED_VALUE"""),157.56)</f>
        <v>157.56</v>
      </c>
      <c r="E203" s="9">
        <f>IFERROR(__xludf.DUMMYFUNCTION("""COMPUTED_VALUE"""),159.57)</f>
        <v>159.57</v>
      </c>
      <c r="F203" s="9">
        <f>IFERROR(__xludf.DUMMYFUNCTION("""COMPUTED_VALUE"""),923848.0)</f>
        <v>923848</v>
      </c>
      <c r="H203" s="27">
        <f>IFERROR(__xludf.DUMMYFUNCTION("""COMPUTED_VALUE"""),38646.645833333336)</f>
        <v>38646.64583</v>
      </c>
      <c r="I203" s="25">
        <f>IFERROR(__xludf.DUMMYFUNCTION("""COMPUTED_VALUE"""),178.63)</f>
        <v>178.63</v>
      </c>
      <c r="J203" s="25">
        <f>IFERROR(__xludf.DUMMYFUNCTION("""COMPUTED_VALUE"""),179.6)</f>
        <v>179.6</v>
      </c>
      <c r="K203" s="25">
        <f>IFERROR(__xludf.DUMMYFUNCTION("""COMPUTED_VALUE"""),176.13)</f>
        <v>176.13</v>
      </c>
      <c r="L203" s="25">
        <f>IFERROR(__xludf.DUMMYFUNCTION("""COMPUTED_VALUE"""),178.53)</f>
        <v>178.53</v>
      </c>
      <c r="M203" s="25">
        <f>IFERROR(__xludf.DUMMYFUNCTION("""COMPUTED_VALUE"""),740427.0)</f>
        <v>740427</v>
      </c>
    </row>
    <row r="204">
      <c r="A204" s="26">
        <f>IFERROR(__xludf.DUMMYFUNCTION("""COMPUTED_VALUE"""),38649.645833333336)</f>
        <v>38649.64583</v>
      </c>
      <c r="B204" s="9">
        <f>IFERROR(__xludf.DUMMYFUNCTION("""COMPUTED_VALUE"""),160.0)</f>
        <v>160</v>
      </c>
      <c r="C204" s="9">
        <f>IFERROR(__xludf.DUMMYFUNCTION("""COMPUTED_VALUE"""),160.92)</f>
        <v>160.92</v>
      </c>
      <c r="D204" s="9">
        <f>IFERROR(__xludf.DUMMYFUNCTION("""COMPUTED_VALUE"""),155.96)</f>
        <v>155.96</v>
      </c>
      <c r="E204" s="9">
        <f>IFERROR(__xludf.DUMMYFUNCTION("""COMPUTED_VALUE"""),156.96)</f>
        <v>156.96</v>
      </c>
      <c r="F204" s="9">
        <f>IFERROR(__xludf.DUMMYFUNCTION("""COMPUTED_VALUE"""),546481.0)</f>
        <v>546481</v>
      </c>
      <c r="H204" s="27">
        <f>IFERROR(__xludf.DUMMYFUNCTION("""COMPUTED_VALUE"""),38649.645833333336)</f>
        <v>38649.64583</v>
      </c>
      <c r="I204" s="25">
        <f>IFERROR(__xludf.DUMMYFUNCTION("""COMPUTED_VALUE"""),179.03)</f>
        <v>179.03</v>
      </c>
      <c r="J204" s="25">
        <f>IFERROR(__xludf.DUMMYFUNCTION("""COMPUTED_VALUE"""),180.5)</f>
        <v>180.5</v>
      </c>
      <c r="K204" s="25">
        <f>IFERROR(__xludf.DUMMYFUNCTION("""COMPUTED_VALUE"""),175.13)</f>
        <v>175.13</v>
      </c>
      <c r="L204" s="25">
        <f>IFERROR(__xludf.DUMMYFUNCTION("""COMPUTED_VALUE"""),175.94)</f>
        <v>175.94</v>
      </c>
      <c r="M204" s="25">
        <f>IFERROR(__xludf.DUMMYFUNCTION("""COMPUTED_VALUE"""),393704.0)</f>
        <v>393704</v>
      </c>
    </row>
    <row r="205">
      <c r="A205" s="26">
        <f>IFERROR(__xludf.DUMMYFUNCTION("""COMPUTED_VALUE"""),38650.645833333336)</f>
        <v>38650.64583</v>
      </c>
      <c r="B205" s="9">
        <f>IFERROR(__xludf.DUMMYFUNCTION("""COMPUTED_VALUE"""),158.44)</f>
        <v>158.44</v>
      </c>
      <c r="C205" s="9">
        <f>IFERROR(__xludf.DUMMYFUNCTION("""COMPUTED_VALUE"""),159.9)</f>
        <v>159.9</v>
      </c>
      <c r="D205" s="9">
        <f>IFERROR(__xludf.DUMMYFUNCTION("""COMPUTED_VALUE"""),156.69)</f>
        <v>156.69</v>
      </c>
      <c r="E205" s="9">
        <f>IFERROR(__xludf.DUMMYFUNCTION("""COMPUTED_VALUE"""),157.58)</f>
        <v>157.58</v>
      </c>
      <c r="F205" s="9">
        <f>IFERROR(__xludf.DUMMYFUNCTION("""COMPUTED_VALUE"""),809277.0)</f>
        <v>809277</v>
      </c>
      <c r="H205" s="27">
        <f>IFERROR(__xludf.DUMMYFUNCTION("""COMPUTED_VALUE"""),38650.645833333336)</f>
        <v>38650.64583</v>
      </c>
      <c r="I205" s="25">
        <f>IFERROR(__xludf.DUMMYFUNCTION("""COMPUTED_VALUE"""),177.3)</f>
        <v>177.3</v>
      </c>
      <c r="J205" s="25">
        <f>IFERROR(__xludf.DUMMYFUNCTION("""COMPUTED_VALUE"""),181.38)</f>
        <v>181.38</v>
      </c>
      <c r="K205" s="25">
        <f>IFERROR(__xludf.DUMMYFUNCTION("""COMPUTED_VALUE"""),176.06)</f>
        <v>176.06</v>
      </c>
      <c r="L205" s="25">
        <f>IFERROR(__xludf.DUMMYFUNCTION("""COMPUTED_VALUE"""),180.0)</f>
        <v>180</v>
      </c>
      <c r="M205" s="25">
        <f>IFERROR(__xludf.DUMMYFUNCTION("""COMPUTED_VALUE"""),677539.0)</f>
        <v>677539</v>
      </c>
    </row>
    <row r="206">
      <c r="A206" s="26">
        <f>IFERROR(__xludf.DUMMYFUNCTION("""COMPUTED_VALUE"""),38651.645833333336)</f>
        <v>38651.64583</v>
      </c>
      <c r="B206" s="9">
        <f>IFERROR(__xludf.DUMMYFUNCTION("""COMPUTED_VALUE"""),156.19)</f>
        <v>156.19</v>
      </c>
      <c r="C206" s="9">
        <f>IFERROR(__xludf.DUMMYFUNCTION("""COMPUTED_VALUE"""),159.04)</f>
        <v>159.04</v>
      </c>
      <c r="D206" s="9">
        <f>IFERROR(__xludf.DUMMYFUNCTION("""COMPUTED_VALUE"""),153.25)</f>
        <v>153.25</v>
      </c>
      <c r="E206" s="9">
        <f>IFERROR(__xludf.DUMMYFUNCTION("""COMPUTED_VALUE"""),156.88)</f>
        <v>156.88</v>
      </c>
      <c r="F206" s="9">
        <f>IFERROR(__xludf.DUMMYFUNCTION("""COMPUTED_VALUE"""),643588.0)</f>
        <v>643588</v>
      </c>
      <c r="H206" s="27">
        <f>IFERROR(__xludf.DUMMYFUNCTION("""COMPUTED_VALUE"""),38651.645833333336)</f>
        <v>38651.64583</v>
      </c>
      <c r="I206" s="25">
        <f>IFERROR(__xludf.DUMMYFUNCTION("""COMPUTED_VALUE"""),180.0)</f>
        <v>180</v>
      </c>
      <c r="J206" s="25">
        <f>IFERROR(__xludf.DUMMYFUNCTION("""COMPUTED_VALUE"""),180.63)</f>
        <v>180.63</v>
      </c>
      <c r="K206" s="25">
        <f>IFERROR(__xludf.DUMMYFUNCTION("""COMPUTED_VALUE"""),177.39)</f>
        <v>177.39</v>
      </c>
      <c r="L206" s="25">
        <f>IFERROR(__xludf.DUMMYFUNCTION("""COMPUTED_VALUE"""),177.78)</f>
        <v>177.78</v>
      </c>
      <c r="M206" s="25">
        <f>IFERROR(__xludf.DUMMYFUNCTION("""COMPUTED_VALUE"""),517851.0)</f>
        <v>517851</v>
      </c>
    </row>
    <row r="207">
      <c r="A207" s="26">
        <f>IFERROR(__xludf.DUMMYFUNCTION("""COMPUTED_VALUE"""),38652.645833333336)</f>
        <v>38652.64583</v>
      </c>
      <c r="B207" s="9">
        <f>IFERROR(__xludf.DUMMYFUNCTION("""COMPUTED_VALUE"""),157.19)</f>
        <v>157.19</v>
      </c>
      <c r="C207" s="9">
        <f>IFERROR(__xludf.DUMMYFUNCTION("""COMPUTED_VALUE"""),157.81)</f>
        <v>157.81</v>
      </c>
      <c r="D207" s="9">
        <f>IFERROR(__xludf.DUMMYFUNCTION("""COMPUTED_VALUE"""),152.58)</f>
        <v>152.58</v>
      </c>
      <c r="E207" s="9">
        <f>IFERROR(__xludf.DUMMYFUNCTION("""COMPUTED_VALUE"""),154.14)</f>
        <v>154.14</v>
      </c>
      <c r="F207" s="9">
        <f>IFERROR(__xludf.DUMMYFUNCTION("""COMPUTED_VALUE"""),1049581.0)</f>
        <v>1049581</v>
      </c>
      <c r="H207" s="27">
        <f>IFERROR(__xludf.DUMMYFUNCTION("""COMPUTED_VALUE"""),38652.645833333336)</f>
        <v>38652.64583</v>
      </c>
      <c r="I207" s="25">
        <f>IFERROR(__xludf.DUMMYFUNCTION("""COMPUTED_VALUE"""),177.88)</f>
        <v>177.88</v>
      </c>
      <c r="J207" s="25">
        <f>IFERROR(__xludf.DUMMYFUNCTION("""COMPUTED_VALUE"""),178.61)</f>
        <v>178.61</v>
      </c>
      <c r="K207" s="25">
        <f>IFERROR(__xludf.DUMMYFUNCTION("""COMPUTED_VALUE"""),173.75)</f>
        <v>173.75</v>
      </c>
      <c r="L207" s="25">
        <f>IFERROR(__xludf.DUMMYFUNCTION("""COMPUTED_VALUE"""),175.16)</f>
        <v>175.16</v>
      </c>
      <c r="M207" s="25">
        <f>IFERROR(__xludf.DUMMYFUNCTION("""COMPUTED_VALUE"""),846493.0)</f>
        <v>846493</v>
      </c>
    </row>
    <row r="208">
      <c r="A208" s="26">
        <f>IFERROR(__xludf.DUMMYFUNCTION("""COMPUTED_VALUE"""),38653.645833333336)</f>
        <v>38653.64583</v>
      </c>
      <c r="B208" s="9">
        <f>IFERROR(__xludf.DUMMYFUNCTION("""COMPUTED_VALUE"""),153.13)</f>
        <v>153.13</v>
      </c>
      <c r="C208" s="9">
        <f>IFERROR(__xludf.DUMMYFUNCTION("""COMPUTED_VALUE"""),154.0)</f>
        <v>154</v>
      </c>
      <c r="D208" s="9">
        <f>IFERROR(__xludf.DUMMYFUNCTION("""COMPUTED_VALUE"""),150.0)</f>
        <v>150</v>
      </c>
      <c r="E208" s="9">
        <f>IFERROR(__xludf.DUMMYFUNCTION("""COMPUTED_VALUE"""),150.96)</f>
        <v>150.96</v>
      </c>
      <c r="F208" s="9">
        <f>IFERROR(__xludf.DUMMYFUNCTION("""COMPUTED_VALUE"""),764818.0)</f>
        <v>764818</v>
      </c>
      <c r="H208" s="27">
        <f>IFERROR(__xludf.DUMMYFUNCTION("""COMPUTED_VALUE"""),38653.645833333336)</f>
        <v>38653.64583</v>
      </c>
      <c r="I208" s="25">
        <f>IFERROR(__xludf.DUMMYFUNCTION("""COMPUTED_VALUE"""),176.13)</f>
        <v>176.13</v>
      </c>
      <c r="J208" s="25">
        <f>IFERROR(__xludf.DUMMYFUNCTION("""COMPUTED_VALUE"""),176.13)</f>
        <v>176.13</v>
      </c>
      <c r="K208" s="25">
        <f>IFERROR(__xludf.DUMMYFUNCTION("""COMPUTED_VALUE"""),169.38)</f>
        <v>169.38</v>
      </c>
      <c r="L208" s="25">
        <f>IFERROR(__xludf.DUMMYFUNCTION("""COMPUTED_VALUE"""),170.27)</f>
        <v>170.27</v>
      </c>
      <c r="M208" s="25">
        <f>IFERROR(__xludf.DUMMYFUNCTION("""COMPUTED_VALUE"""),562687.0)</f>
        <v>562687</v>
      </c>
    </row>
    <row r="209">
      <c r="A209" s="26">
        <f>IFERROR(__xludf.DUMMYFUNCTION("""COMPUTED_VALUE"""),38656.645833333336)</f>
        <v>38656.64583</v>
      </c>
      <c r="B209" s="9">
        <f>IFERROR(__xludf.DUMMYFUNCTION("""COMPUTED_VALUE"""),150.25)</f>
        <v>150.25</v>
      </c>
      <c r="C209" s="9">
        <f>IFERROR(__xludf.DUMMYFUNCTION("""COMPUTED_VALUE"""),158.38)</f>
        <v>158.38</v>
      </c>
      <c r="D209" s="9">
        <f>IFERROR(__xludf.DUMMYFUNCTION("""COMPUTED_VALUE"""),150.25)</f>
        <v>150.25</v>
      </c>
      <c r="E209" s="9">
        <f>IFERROR(__xludf.DUMMYFUNCTION("""COMPUTED_VALUE"""),157.62)</f>
        <v>157.62</v>
      </c>
      <c r="F209" s="9">
        <f>IFERROR(__xludf.DUMMYFUNCTION("""COMPUTED_VALUE"""),885369.0)</f>
        <v>885369</v>
      </c>
      <c r="H209" s="27">
        <f>IFERROR(__xludf.DUMMYFUNCTION("""COMPUTED_VALUE"""),38656.645833333336)</f>
        <v>38656.64583</v>
      </c>
      <c r="I209" s="25">
        <f>IFERROR(__xludf.DUMMYFUNCTION("""COMPUTED_VALUE"""),170.63)</f>
        <v>170.63</v>
      </c>
      <c r="J209" s="25">
        <f>IFERROR(__xludf.DUMMYFUNCTION("""COMPUTED_VALUE"""),176.0)</f>
        <v>176</v>
      </c>
      <c r="K209" s="25">
        <f>IFERROR(__xludf.DUMMYFUNCTION("""COMPUTED_VALUE"""),170.05)</f>
        <v>170.05</v>
      </c>
      <c r="L209" s="25">
        <f>IFERROR(__xludf.DUMMYFUNCTION("""COMPUTED_VALUE"""),175.16)</f>
        <v>175.16</v>
      </c>
      <c r="M209" s="25">
        <f>IFERROR(__xludf.DUMMYFUNCTION("""COMPUTED_VALUE"""),356496.0)</f>
        <v>356496</v>
      </c>
    </row>
    <row r="210">
      <c r="A210" s="26">
        <f>IFERROR(__xludf.DUMMYFUNCTION("""COMPUTED_VALUE"""),38657.645833333336)</f>
        <v>38657.64583</v>
      </c>
      <c r="B210" s="9">
        <f>IFERROR(__xludf.DUMMYFUNCTION("""COMPUTED_VALUE"""),159.38)</f>
        <v>159.38</v>
      </c>
      <c r="C210" s="9">
        <f>IFERROR(__xludf.DUMMYFUNCTION("""COMPUTED_VALUE"""),162.18)</f>
        <v>162.18</v>
      </c>
      <c r="D210" s="9">
        <f>IFERROR(__xludf.DUMMYFUNCTION("""COMPUTED_VALUE"""),158.13)</f>
        <v>158.13</v>
      </c>
      <c r="E210" s="9">
        <f>IFERROR(__xludf.DUMMYFUNCTION("""COMPUTED_VALUE"""),158.65)</f>
        <v>158.65</v>
      </c>
      <c r="F210" s="9">
        <f>IFERROR(__xludf.DUMMYFUNCTION("""COMPUTED_VALUE"""),201633.0)</f>
        <v>201633</v>
      </c>
      <c r="H210" s="27">
        <f>IFERROR(__xludf.DUMMYFUNCTION("""COMPUTED_VALUE"""),38657.645833333336)</f>
        <v>38657.64583</v>
      </c>
      <c r="I210" s="25">
        <f>IFERROR(__xludf.DUMMYFUNCTION("""COMPUTED_VALUE"""),181.09)</f>
        <v>181.09</v>
      </c>
      <c r="J210" s="25">
        <f>IFERROR(__xludf.DUMMYFUNCTION("""COMPUTED_VALUE"""),181.09)</f>
        <v>181.09</v>
      </c>
      <c r="K210" s="25">
        <f>IFERROR(__xludf.DUMMYFUNCTION("""COMPUTED_VALUE"""),175.0)</f>
        <v>175</v>
      </c>
      <c r="L210" s="25">
        <f>IFERROR(__xludf.DUMMYFUNCTION("""COMPUTED_VALUE"""),176.2)</f>
        <v>176.2</v>
      </c>
      <c r="M210" s="25">
        <f>IFERROR(__xludf.DUMMYFUNCTION("""COMPUTED_VALUE"""),66500.0)</f>
        <v>66500</v>
      </c>
    </row>
    <row r="211">
      <c r="A211" s="26">
        <f>IFERROR(__xludf.DUMMYFUNCTION("""COMPUTED_VALUE"""),38658.645833333336)</f>
        <v>38658.64583</v>
      </c>
      <c r="B211" s="9">
        <f>IFERROR(__xludf.DUMMYFUNCTION("""COMPUTED_VALUE"""),159.38)</f>
        <v>159.38</v>
      </c>
      <c r="C211" s="9">
        <f>IFERROR(__xludf.DUMMYFUNCTION("""COMPUTED_VALUE"""),162.74)</f>
        <v>162.74</v>
      </c>
      <c r="D211" s="9">
        <f>IFERROR(__xludf.DUMMYFUNCTION("""COMPUTED_VALUE"""),156.07)</f>
        <v>156.07</v>
      </c>
      <c r="E211" s="9">
        <f>IFERROR(__xludf.DUMMYFUNCTION("""COMPUTED_VALUE"""),161.66)</f>
        <v>161.66</v>
      </c>
      <c r="F211" s="9">
        <f>IFERROR(__xludf.DUMMYFUNCTION("""COMPUTED_VALUE"""),1051394.0)</f>
        <v>1051394</v>
      </c>
      <c r="H211" s="27">
        <f>IFERROR(__xludf.DUMMYFUNCTION("""COMPUTED_VALUE"""),38658.645833333336)</f>
        <v>38658.64583</v>
      </c>
      <c r="I211" s="25">
        <f>IFERROR(__xludf.DUMMYFUNCTION("""COMPUTED_VALUE"""),175.16)</f>
        <v>175.16</v>
      </c>
      <c r="J211" s="25">
        <f>IFERROR(__xludf.DUMMYFUNCTION("""COMPUTED_VALUE"""),179.5)</f>
        <v>179.5</v>
      </c>
      <c r="K211" s="25">
        <f>IFERROR(__xludf.DUMMYFUNCTION("""COMPUTED_VALUE"""),173.55)</f>
        <v>173.55</v>
      </c>
      <c r="L211" s="25">
        <f>IFERROR(__xludf.DUMMYFUNCTION("""COMPUTED_VALUE"""),178.63)</f>
        <v>178.63</v>
      </c>
      <c r="M211" s="25">
        <f>IFERROR(__xludf.DUMMYFUNCTION("""COMPUTED_VALUE"""),356611.0)</f>
        <v>356611</v>
      </c>
    </row>
    <row r="212">
      <c r="A212" s="26">
        <f>IFERROR(__xludf.DUMMYFUNCTION("""COMPUTED_VALUE"""),38663.645833333336)</f>
        <v>38663.64583</v>
      </c>
      <c r="B212" s="9">
        <f>IFERROR(__xludf.DUMMYFUNCTION("""COMPUTED_VALUE"""),158.38)</f>
        <v>158.38</v>
      </c>
      <c r="C212" s="9">
        <f>IFERROR(__xludf.DUMMYFUNCTION("""COMPUTED_VALUE"""),166.24)</f>
        <v>166.24</v>
      </c>
      <c r="D212" s="9">
        <f>IFERROR(__xludf.DUMMYFUNCTION("""COMPUTED_VALUE"""),158.38)</f>
        <v>158.38</v>
      </c>
      <c r="E212" s="9">
        <f>IFERROR(__xludf.DUMMYFUNCTION("""COMPUTED_VALUE"""),164.9)</f>
        <v>164.9</v>
      </c>
      <c r="F212" s="9">
        <f>IFERROR(__xludf.DUMMYFUNCTION("""COMPUTED_VALUE"""),1097600.0)</f>
        <v>1097600</v>
      </c>
      <c r="H212" s="27">
        <f>IFERROR(__xludf.DUMMYFUNCTION("""COMPUTED_VALUE"""),38663.645833333336)</f>
        <v>38663.64583</v>
      </c>
      <c r="I212" s="25">
        <f>IFERROR(__xludf.DUMMYFUNCTION("""COMPUTED_VALUE"""),176.0)</f>
        <v>176</v>
      </c>
      <c r="J212" s="25">
        <f>IFERROR(__xludf.DUMMYFUNCTION("""COMPUTED_VALUE"""),183.46)</f>
        <v>183.46</v>
      </c>
      <c r="K212" s="25">
        <f>IFERROR(__xludf.DUMMYFUNCTION("""COMPUTED_VALUE"""),176.0)</f>
        <v>176</v>
      </c>
      <c r="L212" s="25">
        <f>IFERROR(__xludf.DUMMYFUNCTION("""COMPUTED_VALUE"""),183.1)</f>
        <v>183.1</v>
      </c>
      <c r="M212" s="25">
        <f>IFERROR(__xludf.DUMMYFUNCTION("""COMPUTED_VALUE"""),523560.0)</f>
        <v>523560</v>
      </c>
    </row>
    <row r="213">
      <c r="A213" s="26">
        <f>IFERROR(__xludf.DUMMYFUNCTION("""COMPUTED_VALUE"""),38664.645833333336)</f>
        <v>38664.64583</v>
      </c>
      <c r="B213" s="9">
        <f>IFERROR(__xludf.DUMMYFUNCTION("""COMPUTED_VALUE"""),164.81)</f>
        <v>164.81</v>
      </c>
      <c r="C213" s="9">
        <f>IFERROR(__xludf.DUMMYFUNCTION("""COMPUTED_VALUE"""),166.56)</f>
        <v>166.56</v>
      </c>
      <c r="D213" s="9">
        <f>IFERROR(__xludf.DUMMYFUNCTION("""COMPUTED_VALUE"""),164.38)</f>
        <v>164.38</v>
      </c>
      <c r="E213" s="9">
        <f>IFERROR(__xludf.DUMMYFUNCTION("""COMPUTED_VALUE"""),165.24)</f>
        <v>165.24</v>
      </c>
      <c r="F213" s="9">
        <f>IFERROR(__xludf.DUMMYFUNCTION("""COMPUTED_VALUE"""),872965.0)</f>
        <v>872965</v>
      </c>
      <c r="H213" s="27">
        <f>IFERROR(__xludf.DUMMYFUNCTION("""COMPUTED_VALUE"""),38664.645833333336)</f>
        <v>38664.64583</v>
      </c>
      <c r="I213" s="25">
        <f>IFERROR(__xludf.DUMMYFUNCTION("""COMPUTED_VALUE"""),184.25)</f>
        <v>184.25</v>
      </c>
      <c r="J213" s="25">
        <f>IFERROR(__xludf.DUMMYFUNCTION("""COMPUTED_VALUE"""),185.53)</f>
        <v>185.53</v>
      </c>
      <c r="K213" s="25">
        <f>IFERROR(__xludf.DUMMYFUNCTION("""COMPUTED_VALUE"""),183.8)</f>
        <v>183.8</v>
      </c>
      <c r="L213" s="25">
        <f>IFERROR(__xludf.DUMMYFUNCTION("""COMPUTED_VALUE"""),184.63)</f>
        <v>184.63</v>
      </c>
      <c r="M213" s="25">
        <f>IFERROR(__xludf.DUMMYFUNCTION("""COMPUTED_VALUE"""),722773.0)</f>
        <v>722773</v>
      </c>
    </row>
    <row r="214">
      <c r="A214" s="26">
        <f>IFERROR(__xludf.DUMMYFUNCTION("""COMPUTED_VALUE"""),38665.645833333336)</f>
        <v>38665.64583</v>
      </c>
      <c r="B214" s="9">
        <f>IFERROR(__xludf.DUMMYFUNCTION("""COMPUTED_VALUE"""),166.56)</f>
        <v>166.56</v>
      </c>
      <c r="C214" s="9">
        <f>IFERROR(__xludf.DUMMYFUNCTION("""COMPUTED_VALUE"""),167.44)</f>
        <v>167.44</v>
      </c>
      <c r="D214" s="9">
        <f>IFERROR(__xludf.DUMMYFUNCTION("""COMPUTED_VALUE"""),162.38)</f>
        <v>162.38</v>
      </c>
      <c r="E214" s="9">
        <f>IFERROR(__xludf.DUMMYFUNCTION("""COMPUTED_VALUE"""),163.07)</f>
        <v>163.07</v>
      </c>
      <c r="F214" s="9">
        <f>IFERROR(__xludf.DUMMYFUNCTION("""COMPUTED_VALUE"""),690513.0)</f>
        <v>690513</v>
      </c>
      <c r="H214" s="27">
        <f>IFERROR(__xludf.DUMMYFUNCTION("""COMPUTED_VALUE"""),38665.645833333336)</f>
        <v>38665.64583</v>
      </c>
      <c r="I214" s="25">
        <f>IFERROR(__xludf.DUMMYFUNCTION("""COMPUTED_VALUE"""),184.63)</f>
        <v>184.63</v>
      </c>
      <c r="J214" s="25">
        <f>IFERROR(__xludf.DUMMYFUNCTION("""COMPUTED_VALUE"""),185.38)</f>
        <v>185.38</v>
      </c>
      <c r="K214" s="25">
        <f>IFERROR(__xludf.DUMMYFUNCTION("""COMPUTED_VALUE"""),181.28)</f>
        <v>181.28</v>
      </c>
      <c r="L214" s="25">
        <f>IFERROR(__xludf.DUMMYFUNCTION("""COMPUTED_VALUE"""),182.1)</f>
        <v>182.1</v>
      </c>
      <c r="M214" s="25">
        <f>IFERROR(__xludf.DUMMYFUNCTION("""COMPUTED_VALUE"""),625099.0)</f>
        <v>625099</v>
      </c>
    </row>
    <row r="215">
      <c r="A215" s="26">
        <f>IFERROR(__xludf.DUMMYFUNCTION("""COMPUTED_VALUE"""),38666.645833333336)</f>
        <v>38666.64583</v>
      </c>
      <c r="B215" s="9">
        <f>IFERROR(__xludf.DUMMYFUNCTION("""COMPUTED_VALUE"""),163.13)</f>
        <v>163.13</v>
      </c>
      <c r="C215" s="9">
        <f>IFERROR(__xludf.DUMMYFUNCTION("""COMPUTED_VALUE"""),166.63)</f>
        <v>166.63</v>
      </c>
      <c r="D215" s="9">
        <f>IFERROR(__xludf.DUMMYFUNCTION("""COMPUTED_VALUE"""),162.63)</f>
        <v>162.63</v>
      </c>
      <c r="E215" s="9">
        <f>IFERROR(__xludf.DUMMYFUNCTION("""COMPUTED_VALUE"""),165.87)</f>
        <v>165.87</v>
      </c>
      <c r="F215" s="9">
        <f>IFERROR(__xludf.DUMMYFUNCTION("""COMPUTED_VALUE"""),878462.0)</f>
        <v>878462</v>
      </c>
      <c r="H215" s="27">
        <f>IFERROR(__xludf.DUMMYFUNCTION("""COMPUTED_VALUE"""),38666.645833333336)</f>
        <v>38666.64583</v>
      </c>
      <c r="I215" s="25">
        <f>IFERROR(__xludf.DUMMYFUNCTION("""COMPUTED_VALUE"""),182.13)</f>
        <v>182.13</v>
      </c>
      <c r="J215" s="25">
        <f>IFERROR(__xludf.DUMMYFUNCTION("""COMPUTED_VALUE"""),184.61)</f>
        <v>184.61</v>
      </c>
      <c r="K215" s="25">
        <f>IFERROR(__xludf.DUMMYFUNCTION("""COMPUTED_VALUE"""),182.13)</f>
        <v>182.13</v>
      </c>
      <c r="L215" s="25">
        <f>IFERROR(__xludf.DUMMYFUNCTION("""COMPUTED_VALUE"""),183.72)</f>
        <v>183.72</v>
      </c>
      <c r="M215" s="25">
        <f>IFERROR(__xludf.DUMMYFUNCTION("""COMPUTED_VALUE"""),386962.0)</f>
        <v>386962</v>
      </c>
    </row>
    <row r="216">
      <c r="A216" s="26">
        <f>IFERROR(__xludf.DUMMYFUNCTION("""COMPUTED_VALUE"""),38667.645833333336)</f>
        <v>38667.64583</v>
      </c>
      <c r="B216" s="9">
        <f>IFERROR(__xludf.DUMMYFUNCTION("""COMPUTED_VALUE"""),166.24)</f>
        <v>166.24</v>
      </c>
      <c r="C216" s="9">
        <f>IFERROR(__xludf.DUMMYFUNCTION("""COMPUTED_VALUE"""),168.63)</f>
        <v>168.63</v>
      </c>
      <c r="D216" s="9">
        <f>IFERROR(__xludf.DUMMYFUNCTION("""COMPUTED_VALUE"""),165.75)</f>
        <v>165.75</v>
      </c>
      <c r="E216" s="9">
        <f>IFERROR(__xludf.DUMMYFUNCTION("""COMPUTED_VALUE"""),167.57)</f>
        <v>167.57</v>
      </c>
      <c r="F216" s="9">
        <f>IFERROR(__xludf.DUMMYFUNCTION("""COMPUTED_VALUE"""),728198.0)</f>
        <v>728198</v>
      </c>
      <c r="H216" s="27">
        <f>IFERROR(__xludf.DUMMYFUNCTION("""COMPUTED_VALUE"""),38667.645833333336)</f>
        <v>38667.64583</v>
      </c>
      <c r="I216" s="25">
        <f>IFERROR(__xludf.DUMMYFUNCTION("""COMPUTED_VALUE"""),183.13)</f>
        <v>183.13</v>
      </c>
      <c r="J216" s="25">
        <f>IFERROR(__xludf.DUMMYFUNCTION("""COMPUTED_VALUE"""),186.0)</f>
        <v>186</v>
      </c>
      <c r="K216" s="25">
        <f>IFERROR(__xludf.DUMMYFUNCTION("""COMPUTED_VALUE"""),183.13)</f>
        <v>183.13</v>
      </c>
      <c r="L216" s="25">
        <f>IFERROR(__xludf.DUMMYFUNCTION("""COMPUTED_VALUE"""),185.33)</f>
        <v>185.33</v>
      </c>
      <c r="M216" s="25">
        <f>IFERROR(__xludf.DUMMYFUNCTION("""COMPUTED_VALUE"""),739986.0)</f>
        <v>739986</v>
      </c>
    </row>
    <row r="217">
      <c r="A217" s="26">
        <f>IFERROR(__xludf.DUMMYFUNCTION("""COMPUTED_VALUE"""),38670.645833333336)</f>
        <v>38670.64583</v>
      </c>
      <c r="B217" s="9">
        <f>IFERROR(__xludf.DUMMYFUNCTION("""COMPUTED_VALUE"""),167.94)</f>
        <v>167.94</v>
      </c>
      <c r="C217" s="9">
        <f>IFERROR(__xludf.DUMMYFUNCTION("""COMPUTED_VALUE"""),169.31)</f>
        <v>169.31</v>
      </c>
      <c r="D217" s="9">
        <f>IFERROR(__xludf.DUMMYFUNCTION("""COMPUTED_VALUE"""),164.44)</f>
        <v>164.44</v>
      </c>
      <c r="E217" s="9">
        <f>IFERROR(__xludf.DUMMYFUNCTION("""COMPUTED_VALUE"""),165.79)</f>
        <v>165.79</v>
      </c>
      <c r="F217" s="9">
        <f>IFERROR(__xludf.DUMMYFUNCTION("""COMPUTED_VALUE"""),801473.0)</f>
        <v>801473</v>
      </c>
      <c r="H217" s="27">
        <f>IFERROR(__xludf.DUMMYFUNCTION("""COMPUTED_VALUE"""),38670.645833333336)</f>
        <v>38670.64583</v>
      </c>
      <c r="I217" s="25">
        <f>IFERROR(__xludf.DUMMYFUNCTION("""COMPUTED_VALUE"""),186.25)</f>
        <v>186.25</v>
      </c>
      <c r="J217" s="25">
        <f>IFERROR(__xludf.DUMMYFUNCTION("""COMPUTED_VALUE"""),189.33)</f>
        <v>189.33</v>
      </c>
      <c r="K217" s="25">
        <f>IFERROR(__xludf.DUMMYFUNCTION("""COMPUTED_VALUE"""),186.25)</f>
        <v>186.25</v>
      </c>
      <c r="L217" s="25">
        <f>IFERROR(__xludf.DUMMYFUNCTION("""COMPUTED_VALUE"""),188.79)</f>
        <v>188.79</v>
      </c>
      <c r="M217" s="25">
        <f>IFERROR(__xludf.DUMMYFUNCTION("""COMPUTED_VALUE"""),1005045.0)</f>
        <v>1005045</v>
      </c>
    </row>
    <row r="218">
      <c r="A218" s="26">
        <f>IFERROR(__xludf.DUMMYFUNCTION("""COMPUTED_VALUE"""),38672.645833333336)</f>
        <v>38672.64583</v>
      </c>
      <c r="B218" s="9">
        <f>IFERROR(__xludf.DUMMYFUNCTION("""COMPUTED_VALUE"""),166.56)</f>
        <v>166.56</v>
      </c>
      <c r="C218" s="9">
        <f>IFERROR(__xludf.DUMMYFUNCTION("""COMPUTED_VALUE"""),171.8)</f>
        <v>171.8</v>
      </c>
      <c r="D218" s="9">
        <f>IFERROR(__xludf.DUMMYFUNCTION("""COMPUTED_VALUE"""),165.94)</f>
        <v>165.94</v>
      </c>
      <c r="E218" s="9">
        <f>IFERROR(__xludf.DUMMYFUNCTION("""COMPUTED_VALUE"""),171.29)</f>
        <v>171.29</v>
      </c>
      <c r="F218" s="9">
        <f>IFERROR(__xludf.DUMMYFUNCTION("""COMPUTED_VALUE"""),1420376.0)</f>
        <v>1420376</v>
      </c>
      <c r="H218" s="27">
        <f>IFERROR(__xludf.DUMMYFUNCTION("""COMPUTED_VALUE"""),38672.645833333336)</f>
        <v>38672.64583</v>
      </c>
      <c r="I218" s="25">
        <f>IFERROR(__xludf.DUMMYFUNCTION("""COMPUTED_VALUE"""),188.91)</f>
        <v>188.91</v>
      </c>
      <c r="J218" s="25">
        <f>IFERROR(__xludf.DUMMYFUNCTION("""COMPUTED_VALUE"""),189.63)</f>
        <v>189.63</v>
      </c>
      <c r="K218" s="25">
        <f>IFERROR(__xludf.DUMMYFUNCTION("""COMPUTED_VALUE"""),187.78)</f>
        <v>187.78</v>
      </c>
      <c r="L218" s="25">
        <f>IFERROR(__xludf.DUMMYFUNCTION("""COMPUTED_VALUE"""),188.96)</f>
        <v>188.96</v>
      </c>
      <c r="M218" s="25">
        <f>IFERROR(__xludf.DUMMYFUNCTION("""COMPUTED_VALUE"""),842822.0)</f>
        <v>842822</v>
      </c>
    </row>
    <row r="219">
      <c r="A219" s="26">
        <f>IFERROR(__xludf.DUMMYFUNCTION("""COMPUTED_VALUE"""),38673.645833333336)</f>
        <v>38673.64583</v>
      </c>
      <c r="B219" s="9">
        <f>IFERROR(__xludf.DUMMYFUNCTION("""COMPUTED_VALUE"""),171.25)</f>
        <v>171.25</v>
      </c>
      <c r="C219" s="9">
        <f>IFERROR(__xludf.DUMMYFUNCTION("""COMPUTED_VALUE"""),171.56)</f>
        <v>171.56</v>
      </c>
      <c r="D219" s="9">
        <f>IFERROR(__xludf.DUMMYFUNCTION("""COMPUTED_VALUE"""),168.19)</f>
        <v>168.19</v>
      </c>
      <c r="E219" s="9">
        <f>IFERROR(__xludf.DUMMYFUNCTION("""COMPUTED_VALUE"""),169.19)</f>
        <v>169.19</v>
      </c>
      <c r="F219" s="9">
        <f>IFERROR(__xludf.DUMMYFUNCTION("""COMPUTED_VALUE"""),852754.0)</f>
        <v>852754</v>
      </c>
      <c r="H219" s="27">
        <f>IFERROR(__xludf.DUMMYFUNCTION("""COMPUTED_VALUE"""),38673.645833333336)</f>
        <v>38673.64583</v>
      </c>
      <c r="I219" s="25">
        <f>IFERROR(__xludf.DUMMYFUNCTION("""COMPUTED_VALUE"""),187.5)</f>
        <v>187.5</v>
      </c>
      <c r="J219" s="25">
        <f>IFERROR(__xludf.DUMMYFUNCTION("""COMPUTED_VALUE"""),189.75)</f>
        <v>189.75</v>
      </c>
      <c r="K219" s="25">
        <f>IFERROR(__xludf.DUMMYFUNCTION("""COMPUTED_VALUE"""),186.56)</f>
        <v>186.56</v>
      </c>
      <c r="L219" s="25">
        <f>IFERROR(__xludf.DUMMYFUNCTION("""COMPUTED_VALUE"""),188.46)</f>
        <v>188.46</v>
      </c>
      <c r="M219" s="25">
        <f>IFERROR(__xludf.DUMMYFUNCTION("""COMPUTED_VALUE"""),609808.0)</f>
        <v>609808</v>
      </c>
    </row>
    <row r="220">
      <c r="A220" s="26">
        <f>IFERROR(__xludf.DUMMYFUNCTION("""COMPUTED_VALUE"""),38674.645833333336)</f>
        <v>38674.64583</v>
      </c>
      <c r="B220" s="9">
        <f>IFERROR(__xludf.DUMMYFUNCTION("""COMPUTED_VALUE"""),170.0)</f>
        <v>170</v>
      </c>
      <c r="C220" s="9">
        <f>IFERROR(__xludf.DUMMYFUNCTION("""COMPUTED_VALUE"""),171.53)</f>
        <v>171.53</v>
      </c>
      <c r="D220" s="9">
        <f>IFERROR(__xludf.DUMMYFUNCTION("""COMPUTED_VALUE"""),168.76)</f>
        <v>168.76</v>
      </c>
      <c r="E220" s="9">
        <f>IFERROR(__xludf.DUMMYFUNCTION("""COMPUTED_VALUE"""),169.65)</f>
        <v>169.65</v>
      </c>
      <c r="F220" s="9">
        <f>IFERROR(__xludf.DUMMYFUNCTION("""COMPUTED_VALUE"""),874373.0)</f>
        <v>874373</v>
      </c>
      <c r="H220" s="27">
        <f>IFERROR(__xludf.DUMMYFUNCTION("""COMPUTED_VALUE"""),38674.645833333336)</f>
        <v>38674.64583</v>
      </c>
      <c r="I220" s="25">
        <f>IFERROR(__xludf.DUMMYFUNCTION("""COMPUTED_VALUE"""),189.0)</f>
        <v>189</v>
      </c>
      <c r="J220" s="25">
        <f>IFERROR(__xludf.DUMMYFUNCTION("""COMPUTED_VALUE"""),191.38)</f>
        <v>191.38</v>
      </c>
      <c r="K220" s="25">
        <f>IFERROR(__xludf.DUMMYFUNCTION("""COMPUTED_VALUE"""),189.0)</f>
        <v>189</v>
      </c>
      <c r="L220" s="25">
        <f>IFERROR(__xludf.DUMMYFUNCTION("""COMPUTED_VALUE"""),190.87)</f>
        <v>190.87</v>
      </c>
      <c r="M220" s="25">
        <f>IFERROR(__xludf.DUMMYFUNCTION("""COMPUTED_VALUE"""),1088465.0)</f>
        <v>1088465</v>
      </c>
    </row>
    <row r="221">
      <c r="A221" s="26">
        <f>IFERROR(__xludf.DUMMYFUNCTION("""COMPUTED_VALUE"""),38677.645833333336)</f>
        <v>38677.64583</v>
      </c>
      <c r="B221" s="9">
        <f>IFERROR(__xludf.DUMMYFUNCTION("""COMPUTED_VALUE"""),169.94)</f>
        <v>169.94</v>
      </c>
      <c r="C221" s="9">
        <f>IFERROR(__xludf.DUMMYFUNCTION("""COMPUTED_VALUE"""),170.62)</f>
        <v>170.62</v>
      </c>
      <c r="D221" s="9">
        <f>IFERROR(__xludf.DUMMYFUNCTION("""COMPUTED_VALUE"""),166.13)</f>
        <v>166.13</v>
      </c>
      <c r="E221" s="9">
        <f>IFERROR(__xludf.DUMMYFUNCTION("""COMPUTED_VALUE"""),167.31)</f>
        <v>167.31</v>
      </c>
      <c r="F221" s="9">
        <f>IFERROR(__xludf.DUMMYFUNCTION("""COMPUTED_VALUE"""),896132.0)</f>
        <v>896132</v>
      </c>
      <c r="H221" s="27">
        <f>IFERROR(__xludf.DUMMYFUNCTION("""COMPUTED_VALUE"""),38677.645833333336)</f>
        <v>38677.64583</v>
      </c>
      <c r="I221" s="25">
        <f>IFERROR(__xludf.DUMMYFUNCTION("""COMPUTED_VALUE"""),191.18)</f>
        <v>191.18</v>
      </c>
      <c r="J221" s="25">
        <f>IFERROR(__xludf.DUMMYFUNCTION("""COMPUTED_VALUE"""),192.34)</f>
        <v>192.34</v>
      </c>
      <c r="K221" s="25">
        <f>IFERROR(__xludf.DUMMYFUNCTION("""COMPUTED_VALUE"""),188.25)</f>
        <v>188.25</v>
      </c>
      <c r="L221" s="25">
        <f>IFERROR(__xludf.DUMMYFUNCTION("""COMPUTED_VALUE"""),189.83)</f>
        <v>189.83</v>
      </c>
      <c r="M221" s="25">
        <f>IFERROR(__xludf.DUMMYFUNCTION("""COMPUTED_VALUE"""),824667.0)</f>
        <v>824667</v>
      </c>
    </row>
    <row r="222">
      <c r="A222" s="26">
        <f>IFERROR(__xludf.DUMMYFUNCTION("""COMPUTED_VALUE"""),38678.645833333336)</f>
        <v>38678.64583</v>
      </c>
      <c r="B222" s="9">
        <f>IFERROR(__xludf.DUMMYFUNCTION("""COMPUTED_VALUE"""),168.13)</f>
        <v>168.13</v>
      </c>
      <c r="C222" s="9">
        <f>IFERROR(__xludf.DUMMYFUNCTION("""COMPUTED_VALUE"""),170.0)</f>
        <v>170</v>
      </c>
      <c r="D222" s="9">
        <f>IFERROR(__xludf.DUMMYFUNCTION("""COMPUTED_VALUE"""),166.69)</f>
        <v>166.69</v>
      </c>
      <c r="E222" s="9">
        <f>IFERROR(__xludf.DUMMYFUNCTION("""COMPUTED_VALUE"""),167.28)</f>
        <v>167.28</v>
      </c>
      <c r="F222" s="9">
        <f>IFERROR(__xludf.DUMMYFUNCTION("""COMPUTED_VALUE"""),793159.0)</f>
        <v>793159</v>
      </c>
      <c r="H222" s="27">
        <f>IFERROR(__xludf.DUMMYFUNCTION("""COMPUTED_VALUE"""),38678.645833333336)</f>
        <v>38678.64583</v>
      </c>
      <c r="I222" s="25">
        <f>IFERROR(__xludf.DUMMYFUNCTION("""COMPUTED_VALUE"""),189.25)</f>
        <v>189.25</v>
      </c>
      <c r="J222" s="25">
        <f>IFERROR(__xludf.DUMMYFUNCTION("""COMPUTED_VALUE"""),190.6)</f>
        <v>190.6</v>
      </c>
      <c r="K222" s="25">
        <f>IFERROR(__xludf.DUMMYFUNCTION("""COMPUTED_VALUE"""),186.0)</f>
        <v>186</v>
      </c>
      <c r="L222" s="25">
        <f>IFERROR(__xludf.DUMMYFUNCTION("""COMPUTED_VALUE"""),187.48)</f>
        <v>187.48</v>
      </c>
      <c r="M222" s="25">
        <f>IFERROR(__xludf.DUMMYFUNCTION("""COMPUTED_VALUE"""),593875.0)</f>
        <v>593875</v>
      </c>
    </row>
    <row r="223">
      <c r="A223" s="26">
        <f>IFERROR(__xludf.DUMMYFUNCTION("""COMPUTED_VALUE"""),38679.645833333336)</f>
        <v>38679.64583</v>
      </c>
      <c r="B223" s="9">
        <f>IFERROR(__xludf.DUMMYFUNCTION("""COMPUTED_VALUE"""),167.25)</f>
        <v>167.25</v>
      </c>
      <c r="C223" s="9">
        <f>IFERROR(__xludf.DUMMYFUNCTION("""COMPUTED_VALUE"""),168.47)</f>
        <v>168.47</v>
      </c>
      <c r="D223" s="9">
        <f>IFERROR(__xludf.DUMMYFUNCTION("""COMPUTED_VALUE"""),166.5)</f>
        <v>166.5</v>
      </c>
      <c r="E223" s="9">
        <f>IFERROR(__xludf.DUMMYFUNCTION("""COMPUTED_VALUE"""),167.7)</f>
        <v>167.7</v>
      </c>
      <c r="F223" s="9">
        <f>IFERROR(__xludf.DUMMYFUNCTION("""COMPUTED_VALUE"""),639946.0)</f>
        <v>639946</v>
      </c>
      <c r="H223" s="27">
        <f>IFERROR(__xludf.DUMMYFUNCTION("""COMPUTED_VALUE"""),38679.645833333336)</f>
        <v>38679.64583</v>
      </c>
      <c r="I223" s="25">
        <f>IFERROR(__xludf.DUMMYFUNCTION("""COMPUTED_VALUE"""),187.5)</f>
        <v>187.5</v>
      </c>
      <c r="J223" s="25">
        <f>IFERROR(__xludf.DUMMYFUNCTION("""COMPUTED_VALUE"""),190.25)</f>
        <v>190.25</v>
      </c>
      <c r="K223" s="25">
        <f>IFERROR(__xludf.DUMMYFUNCTION("""COMPUTED_VALUE"""),187.38)</f>
        <v>187.38</v>
      </c>
      <c r="L223" s="25">
        <f>IFERROR(__xludf.DUMMYFUNCTION("""COMPUTED_VALUE"""),189.58)</f>
        <v>189.58</v>
      </c>
      <c r="M223" s="25">
        <f>IFERROR(__xludf.DUMMYFUNCTION("""COMPUTED_VALUE"""),756847.0)</f>
        <v>756847</v>
      </c>
    </row>
    <row r="224">
      <c r="A224" s="26">
        <f>IFERROR(__xludf.DUMMYFUNCTION("""COMPUTED_VALUE"""),38680.645833333336)</f>
        <v>38680.64583</v>
      </c>
      <c r="B224" s="9">
        <f>IFERROR(__xludf.DUMMYFUNCTION("""COMPUTED_VALUE"""),167.69)</f>
        <v>167.69</v>
      </c>
      <c r="C224" s="9">
        <f>IFERROR(__xludf.DUMMYFUNCTION("""COMPUTED_VALUE"""),170.56)</f>
        <v>170.56</v>
      </c>
      <c r="D224" s="9">
        <f>IFERROR(__xludf.DUMMYFUNCTION("""COMPUTED_VALUE"""),167.69)</f>
        <v>167.69</v>
      </c>
      <c r="E224" s="9">
        <f>IFERROR(__xludf.DUMMYFUNCTION("""COMPUTED_VALUE"""),168.81)</f>
        <v>168.81</v>
      </c>
      <c r="F224" s="9">
        <f>IFERROR(__xludf.DUMMYFUNCTION("""COMPUTED_VALUE"""),1007562.0)</f>
        <v>1007562</v>
      </c>
      <c r="H224" s="27">
        <f>IFERROR(__xludf.DUMMYFUNCTION("""COMPUTED_VALUE"""),38680.645833333336)</f>
        <v>38680.64583</v>
      </c>
      <c r="I224" s="25">
        <f>IFERROR(__xludf.DUMMYFUNCTION("""COMPUTED_VALUE"""),189.5)</f>
        <v>189.5</v>
      </c>
      <c r="J224" s="25">
        <f>IFERROR(__xludf.DUMMYFUNCTION("""COMPUTED_VALUE"""),191.65)</f>
        <v>191.65</v>
      </c>
      <c r="K224" s="25">
        <f>IFERROR(__xludf.DUMMYFUNCTION("""COMPUTED_VALUE"""),189.5)</f>
        <v>189.5</v>
      </c>
      <c r="L224" s="25">
        <f>IFERROR(__xludf.DUMMYFUNCTION("""COMPUTED_VALUE"""),190.53)</f>
        <v>190.53</v>
      </c>
      <c r="M224" s="25">
        <f>IFERROR(__xludf.DUMMYFUNCTION("""COMPUTED_VALUE"""),568011.0)</f>
        <v>568011</v>
      </c>
    </row>
    <row r="225">
      <c r="A225" s="26">
        <f>IFERROR(__xludf.DUMMYFUNCTION("""COMPUTED_VALUE"""),38681.645833333336)</f>
        <v>38681.64583</v>
      </c>
      <c r="B225" s="9">
        <f>IFERROR(__xludf.DUMMYFUNCTION("""COMPUTED_VALUE"""),170.31)</f>
        <v>170.31</v>
      </c>
      <c r="C225" s="9">
        <f>IFERROR(__xludf.DUMMYFUNCTION("""COMPUTED_VALUE"""),172.5)</f>
        <v>172.5</v>
      </c>
      <c r="D225" s="9">
        <f>IFERROR(__xludf.DUMMYFUNCTION("""COMPUTED_VALUE"""),169.25)</f>
        <v>169.25</v>
      </c>
      <c r="E225" s="9">
        <f>IFERROR(__xludf.DUMMYFUNCTION("""COMPUTED_VALUE"""),171.28)</f>
        <v>171.28</v>
      </c>
      <c r="F225" s="9">
        <f>IFERROR(__xludf.DUMMYFUNCTION("""COMPUTED_VALUE"""),841172.0)</f>
        <v>841172</v>
      </c>
      <c r="H225" s="27">
        <f>IFERROR(__xludf.DUMMYFUNCTION("""COMPUTED_VALUE"""),38681.645833333336)</f>
        <v>38681.64583</v>
      </c>
      <c r="I225" s="25">
        <f>IFERROR(__xludf.DUMMYFUNCTION("""COMPUTED_VALUE"""),190.53)</f>
        <v>190.53</v>
      </c>
      <c r="J225" s="25">
        <f>IFERROR(__xludf.DUMMYFUNCTION("""COMPUTED_VALUE"""),192.5)</f>
        <v>192.5</v>
      </c>
      <c r="K225" s="25">
        <f>IFERROR(__xludf.DUMMYFUNCTION("""COMPUTED_VALUE"""),188.8)</f>
        <v>188.8</v>
      </c>
      <c r="L225" s="25">
        <f>IFERROR(__xludf.DUMMYFUNCTION("""COMPUTED_VALUE"""),191.71)</f>
        <v>191.71</v>
      </c>
      <c r="M225" s="25">
        <f>IFERROR(__xludf.DUMMYFUNCTION("""COMPUTED_VALUE"""),418033.0)</f>
        <v>418033</v>
      </c>
    </row>
    <row r="226">
      <c r="A226" s="26">
        <f>IFERROR(__xludf.DUMMYFUNCTION("""COMPUTED_VALUE"""),38684.645833333336)</f>
        <v>38684.64583</v>
      </c>
      <c r="B226" s="9">
        <f>IFERROR(__xludf.DUMMYFUNCTION("""COMPUTED_VALUE"""),171.88)</f>
        <v>171.88</v>
      </c>
      <c r="C226" s="9">
        <f>IFERROR(__xludf.DUMMYFUNCTION("""COMPUTED_VALUE"""),172.94)</f>
        <v>172.94</v>
      </c>
      <c r="D226" s="9">
        <f>IFERROR(__xludf.DUMMYFUNCTION("""COMPUTED_VALUE"""),171.31)</f>
        <v>171.31</v>
      </c>
      <c r="E226" s="9">
        <f>IFERROR(__xludf.DUMMYFUNCTION("""COMPUTED_VALUE"""),172.4)</f>
        <v>172.4</v>
      </c>
      <c r="F226" s="9">
        <f>IFERROR(__xludf.DUMMYFUNCTION("""COMPUTED_VALUE"""),750155.0)</f>
        <v>750155</v>
      </c>
      <c r="H226" s="27">
        <f>IFERROR(__xludf.DUMMYFUNCTION("""COMPUTED_VALUE"""),38684.645833333336)</f>
        <v>38684.64583</v>
      </c>
      <c r="I226" s="25">
        <f>IFERROR(__xludf.DUMMYFUNCTION("""COMPUTED_VALUE"""),192.35)</f>
        <v>192.35</v>
      </c>
      <c r="J226" s="25">
        <f>IFERROR(__xludf.DUMMYFUNCTION("""COMPUTED_VALUE"""),193.75)</f>
        <v>193.75</v>
      </c>
      <c r="K226" s="25">
        <f>IFERROR(__xludf.DUMMYFUNCTION("""COMPUTED_VALUE"""),192.0)</f>
        <v>192</v>
      </c>
      <c r="L226" s="25">
        <f>IFERROR(__xludf.DUMMYFUNCTION("""COMPUTED_VALUE"""),193.46)</f>
        <v>193.46</v>
      </c>
      <c r="M226" s="25">
        <f>IFERROR(__xludf.DUMMYFUNCTION("""COMPUTED_VALUE"""),316906.0)</f>
        <v>316906</v>
      </c>
    </row>
    <row r="227">
      <c r="A227" s="26">
        <f>IFERROR(__xludf.DUMMYFUNCTION("""COMPUTED_VALUE"""),38685.645833333336)</f>
        <v>38685.64583</v>
      </c>
      <c r="B227" s="9">
        <f>IFERROR(__xludf.DUMMYFUNCTION("""COMPUTED_VALUE"""),171.88)</f>
        <v>171.88</v>
      </c>
      <c r="C227" s="9">
        <f>IFERROR(__xludf.DUMMYFUNCTION("""COMPUTED_VALUE"""),171.88)</f>
        <v>171.88</v>
      </c>
      <c r="D227" s="9">
        <f>IFERROR(__xludf.DUMMYFUNCTION("""COMPUTED_VALUE"""),169.51)</f>
        <v>169.51</v>
      </c>
      <c r="E227" s="9">
        <f>IFERROR(__xludf.DUMMYFUNCTION("""COMPUTED_VALUE"""),171.0)</f>
        <v>171</v>
      </c>
      <c r="F227" s="9">
        <f>IFERROR(__xludf.DUMMYFUNCTION("""COMPUTED_VALUE"""),801885.0)</f>
        <v>801885</v>
      </c>
      <c r="H227" s="27">
        <f>IFERROR(__xludf.DUMMYFUNCTION("""COMPUTED_VALUE"""),38685.645833333336)</f>
        <v>38685.64583</v>
      </c>
      <c r="I227" s="25">
        <f>IFERROR(__xludf.DUMMYFUNCTION("""COMPUTED_VALUE"""),193.1)</f>
        <v>193.1</v>
      </c>
      <c r="J227" s="25">
        <f>IFERROR(__xludf.DUMMYFUNCTION("""COMPUTED_VALUE"""),193.75)</f>
        <v>193.75</v>
      </c>
      <c r="K227" s="25">
        <f>IFERROR(__xludf.DUMMYFUNCTION("""COMPUTED_VALUE"""),190.07)</f>
        <v>190.07</v>
      </c>
      <c r="L227" s="25">
        <f>IFERROR(__xludf.DUMMYFUNCTION("""COMPUTED_VALUE"""),193.17)</f>
        <v>193.17</v>
      </c>
      <c r="M227" s="25">
        <f>IFERROR(__xludf.DUMMYFUNCTION("""COMPUTED_VALUE"""),412928.0)</f>
        <v>412928</v>
      </c>
    </row>
    <row r="228">
      <c r="A228" s="26">
        <f>IFERROR(__xludf.DUMMYFUNCTION("""COMPUTED_VALUE"""),38686.645833333336)</f>
        <v>38686.64583</v>
      </c>
      <c r="B228" s="9">
        <f>IFERROR(__xludf.DUMMYFUNCTION("""COMPUTED_VALUE"""),171.25)</f>
        <v>171.25</v>
      </c>
      <c r="C228" s="9">
        <f>IFERROR(__xludf.DUMMYFUNCTION("""COMPUTED_VALUE"""),172.31)</f>
        <v>172.31</v>
      </c>
      <c r="D228" s="9">
        <f>IFERROR(__xludf.DUMMYFUNCTION("""COMPUTED_VALUE"""),167.27)</f>
        <v>167.27</v>
      </c>
      <c r="E228" s="9">
        <f>IFERROR(__xludf.DUMMYFUNCTION("""COMPUTED_VALUE"""),167.78)</f>
        <v>167.78</v>
      </c>
      <c r="F228" s="9">
        <f>IFERROR(__xludf.DUMMYFUNCTION("""COMPUTED_VALUE"""),773478.0)</f>
        <v>773478</v>
      </c>
      <c r="H228" s="27">
        <f>IFERROR(__xludf.DUMMYFUNCTION("""COMPUTED_VALUE"""),38686.645833333336)</f>
        <v>38686.64583</v>
      </c>
      <c r="I228" s="25">
        <f>IFERROR(__xludf.DUMMYFUNCTION("""COMPUTED_VALUE"""),191.5)</f>
        <v>191.5</v>
      </c>
      <c r="J228" s="25">
        <f>IFERROR(__xludf.DUMMYFUNCTION("""COMPUTED_VALUE"""),194.06)</f>
        <v>194.06</v>
      </c>
      <c r="K228" s="25">
        <f>IFERROR(__xludf.DUMMYFUNCTION("""COMPUTED_VALUE"""),189.38)</f>
        <v>189.38</v>
      </c>
      <c r="L228" s="25">
        <f>IFERROR(__xludf.DUMMYFUNCTION("""COMPUTED_VALUE"""),190.14)</f>
        <v>190.14</v>
      </c>
      <c r="M228" s="25">
        <f>IFERROR(__xludf.DUMMYFUNCTION("""COMPUTED_VALUE"""),502922.0)</f>
        <v>502922</v>
      </c>
    </row>
    <row r="229">
      <c r="A229" s="26">
        <f>IFERROR(__xludf.DUMMYFUNCTION("""COMPUTED_VALUE"""),38687.645833333336)</f>
        <v>38687.64583</v>
      </c>
      <c r="B229" s="9">
        <f>IFERROR(__xludf.DUMMYFUNCTION("""COMPUTED_VALUE"""),168.13)</f>
        <v>168.13</v>
      </c>
      <c r="C229" s="9">
        <f>IFERROR(__xludf.DUMMYFUNCTION("""COMPUTED_VALUE"""),174.06)</f>
        <v>174.06</v>
      </c>
      <c r="D229" s="9">
        <f>IFERROR(__xludf.DUMMYFUNCTION("""COMPUTED_VALUE"""),166.63)</f>
        <v>166.63</v>
      </c>
      <c r="E229" s="9">
        <f>IFERROR(__xludf.DUMMYFUNCTION("""COMPUTED_VALUE"""),172.99)</f>
        <v>172.99</v>
      </c>
      <c r="F229" s="9">
        <f>IFERROR(__xludf.DUMMYFUNCTION("""COMPUTED_VALUE"""),1203891.0)</f>
        <v>1203891</v>
      </c>
      <c r="H229" s="27">
        <f>IFERROR(__xludf.DUMMYFUNCTION("""COMPUTED_VALUE"""),38687.645833333336)</f>
        <v>38687.64583</v>
      </c>
      <c r="I229" s="25">
        <f>IFERROR(__xludf.DUMMYFUNCTION("""COMPUTED_VALUE"""),190.0)</f>
        <v>190</v>
      </c>
      <c r="J229" s="25">
        <f>IFERROR(__xludf.DUMMYFUNCTION("""COMPUTED_VALUE"""),194.33)</f>
        <v>194.33</v>
      </c>
      <c r="K229" s="25">
        <f>IFERROR(__xludf.DUMMYFUNCTION("""COMPUTED_VALUE"""),189.85)</f>
        <v>189.85</v>
      </c>
      <c r="L229" s="25">
        <f>IFERROR(__xludf.DUMMYFUNCTION("""COMPUTED_VALUE"""),193.76)</f>
        <v>193.76</v>
      </c>
      <c r="M229" s="25">
        <f>IFERROR(__xludf.DUMMYFUNCTION("""COMPUTED_VALUE"""),520246.0)</f>
        <v>520246</v>
      </c>
    </row>
    <row r="230">
      <c r="A230" s="26">
        <f>IFERROR(__xludf.DUMMYFUNCTION("""COMPUTED_VALUE"""),38688.645833333336)</f>
        <v>38688.64583</v>
      </c>
      <c r="B230" s="9">
        <f>IFERROR(__xludf.DUMMYFUNCTION("""COMPUTED_VALUE"""),174.06)</f>
        <v>174.06</v>
      </c>
      <c r="C230" s="9">
        <f>IFERROR(__xludf.DUMMYFUNCTION("""COMPUTED_VALUE"""),180.92)</f>
        <v>180.92</v>
      </c>
      <c r="D230" s="9">
        <f>IFERROR(__xludf.DUMMYFUNCTION("""COMPUTED_VALUE"""),174.06)</f>
        <v>174.06</v>
      </c>
      <c r="E230" s="9">
        <f>IFERROR(__xludf.DUMMYFUNCTION("""COMPUTED_VALUE"""),177.58)</f>
        <v>177.58</v>
      </c>
      <c r="F230" s="9">
        <f>IFERROR(__xludf.DUMMYFUNCTION("""COMPUTED_VALUE"""),2142224.0)</f>
        <v>2142224</v>
      </c>
      <c r="H230" s="27">
        <f>IFERROR(__xludf.DUMMYFUNCTION("""COMPUTED_VALUE"""),38688.645833333336)</f>
        <v>38688.64583</v>
      </c>
      <c r="I230" s="25">
        <f>IFERROR(__xludf.DUMMYFUNCTION("""COMPUTED_VALUE"""),194.33)</f>
        <v>194.33</v>
      </c>
      <c r="J230" s="25">
        <f>IFERROR(__xludf.DUMMYFUNCTION("""COMPUTED_VALUE"""),196.8)</f>
        <v>196.8</v>
      </c>
      <c r="K230" s="25">
        <f>IFERROR(__xludf.DUMMYFUNCTION("""COMPUTED_VALUE"""),192.63)</f>
        <v>192.63</v>
      </c>
      <c r="L230" s="25">
        <f>IFERROR(__xludf.DUMMYFUNCTION("""COMPUTED_VALUE"""),193.75)</f>
        <v>193.75</v>
      </c>
      <c r="M230" s="25">
        <f>IFERROR(__xludf.DUMMYFUNCTION("""COMPUTED_VALUE"""),598045.0)</f>
        <v>598045</v>
      </c>
    </row>
    <row r="231">
      <c r="A231" s="26">
        <f>IFERROR(__xludf.DUMMYFUNCTION("""COMPUTED_VALUE"""),38691.645833333336)</f>
        <v>38691.64583</v>
      </c>
      <c r="B231" s="9">
        <f>IFERROR(__xludf.DUMMYFUNCTION("""COMPUTED_VALUE"""),179.06)</f>
        <v>179.06</v>
      </c>
      <c r="C231" s="9">
        <f>IFERROR(__xludf.DUMMYFUNCTION("""COMPUTED_VALUE"""),179.65)</f>
        <v>179.65</v>
      </c>
      <c r="D231" s="9">
        <f>IFERROR(__xludf.DUMMYFUNCTION("""COMPUTED_VALUE"""),173.63)</f>
        <v>173.63</v>
      </c>
      <c r="E231" s="9">
        <f>IFERROR(__xludf.DUMMYFUNCTION("""COMPUTED_VALUE"""),174.21)</f>
        <v>174.21</v>
      </c>
      <c r="F231" s="9">
        <f>IFERROR(__xludf.DUMMYFUNCTION("""COMPUTED_VALUE"""),677919.0)</f>
        <v>677919</v>
      </c>
      <c r="H231" s="27">
        <f>IFERROR(__xludf.DUMMYFUNCTION("""COMPUTED_VALUE"""),38691.645833333336)</f>
        <v>38691.64583</v>
      </c>
      <c r="I231" s="25">
        <f>IFERROR(__xludf.DUMMYFUNCTION("""COMPUTED_VALUE"""),194.0)</f>
        <v>194</v>
      </c>
      <c r="J231" s="25">
        <f>IFERROR(__xludf.DUMMYFUNCTION("""COMPUTED_VALUE"""),194.26)</f>
        <v>194.26</v>
      </c>
      <c r="K231" s="25">
        <f>IFERROR(__xludf.DUMMYFUNCTION("""COMPUTED_VALUE"""),190.78)</f>
        <v>190.78</v>
      </c>
      <c r="L231" s="25">
        <f>IFERROR(__xludf.DUMMYFUNCTION("""COMPUTED_VALUE"""),191.42)</f>
        <v>191.42</v>
      </c>
      <c r="M231" s="25">
        <f>IFERROR(__xludf.DUMMYFUNCTION("""COMPUTED_VALUE"""),239135.0)</f>
        <v>239135</v>
      </c>
    </row>
    <row r="232">
      <c r="A232" s="26">
        <f>IFERROR(__xludf.DUMMYFUNCTION("""COMPUTED_VALUE"""),38692.645833333336)</f>
        <v>38692.64583</v>
      </c>
      <c r="B232" s="9">
        <f>IFERROR(__xludf.DUMMYFUNCTION("""COMPUTED_VALUE"""),174.38)</f>
        <v>174.38</v>
      </c>
      <c r="C232" s="9">
        <f>IFERROR(__xludf.DUMMYFUNCTION("""COMPUTED_VALUE"""),177.0)</f>
        <v>177</v>
      </c>
      <c r="D232" s="9">
        <f>IFERROR(__xludf.DUMMYFUNCTION("""COMPUTED_VALUE"""),173.26)</f>
        <v>173.26</v>
      </c>
      <c r="E232" s="9">
        <f>IFERROR(__xludf.DUMMYFUNCTION("""COMPUTED_VALUE"""),174.62)</f>
        <v>174.62</v>
      </c>
      <c r="F232" s="9">
        <f>IFERROR(__xludf.DUMMYFUNCTION("""COMPUTED_VALUE"""),796996.0)</f>
        <v>796996</v>
      </c>
      <c r="H232" s="27">
        <f>IFERROR(__xludf.DUMMYFUNCTION("""COMPUTED_VALUE"""),38692.645833333336)</f>
        <v>38692.64583</v>
      </c>
      <c r="I232" s="25">
        <f>IFERROR(__xludf.DUMMYFUNCTION("""COMPUTED_VALUE"""),191.88)</f>
        <v>191.88</v>
      </c>
      <c r="J232" s="25">
        <f>IFERROR(__xludf.DUMMYFUNCTION("""COMPUTED_VALUE"""),196.25)</f>
        <v>196.25</v>
      </c>
      <c r="K232" s="25">
        <f>IFERROR(__xludf.DUMMYFUNCTION("""COMPUTED_VALUE"""),190.79)</f>
        <v>190.79</v>
      </c>
      <c r="L232" s="25">
        <f>IFERROR(__xludf.DUMMYFUNCTION("""COMPUTED_VALUE"""),194.25)</f>
        <v>194.25</v>
      </c>
      <c r="M232" s="25">
        <f>IFERROR(__xludf.DUMMYFUNCTION("""COMPUTED_VALUE"""),404133.0)</f>
        <v>404133</v>
      </c>
    </row>
    <row r="233">
      <c r="A233" s="26">
        <f>IFERROR(__xludf.DUMMYFUNCTION("""COMPUTED_VALUE"""),38693.645833333336)</f>
        <v>38693.64583</v>
      </c>
      <c r="B233" s="9">
        <f>IFERROR(__xludf.DUMMYFUNCTION("""COMPUTED_VALUE"""),175.0)</f>
        <v>175</v>
      </c>
      <c r="C233" s="9">
        <f>IFERROR(__xludf.DUMMYFUNCTION("""COMPUTED_VALUE"""),176.63)</f>
        <v>176.63</v>
      </c>
      <c r="D233" s="9">
        <f>IFERROR(__xludf.DUMMYFUNCTION("""COMPUTED_VALUE"""),173.5)</f>
        <v>173.5</v>
      </c>
      <c r="E233" s="9">
        <f>IFERROR(__xludf.DUMMYFUNCTION("""COMPUTED_VALUE"""),175.12)</f>
        <v>175.12</v>
      </c>
      <c r="F233" s="9">
        <f>IFERROR(__xludf.DUMMYFUNCTION("""COMPUTED_VALUE"""),961466.0)</f>
        <v>961466</v>
      </c>
      <c r="H233" s="27">
        <f>IFERROR(__xludf.DUMMYFUNCTION("""COMPUTED_VALUE"""),38693.645833333336)</f>
        <v>38693.64583</v>
      </c>
      <c r="I233" s="25">
        <f>IFERROR(__xludf.DUMMYFUNCTION("""COMPUTED_VALUE"""),195.25)</f>
        <v>195.25</v>
      </c>
      <c r="J233" s="25">
        <f>IFERROR(__xludf.DUMMYFUNCTION("""COMPUTED_VALUE"""),200.0)</f>
        <v>200</v>
      </c>
      <c r="K233" s="25">
        <f>IFERROR(__xludf.DUMMYFUNCTION("""COMPUTED_VALUE"""),195.04)</f>
        <v>195.04</v>
      </c>
      <c r="L233" s="25">
        <f>IFERROR(__xludf.DUMMYFUNCTION("""COMPUTED_VALUE"""),199.45)</f>
        <v>199.45</v>
      </c>
      <c r="M233" s="25">
        <f>IFERROR(__xludf.DUMMYFUNCTION("""COMPUTED_VALUE"""),702369.0)</f>
        <v>702369</v>
      </c>
    </row>
    <row r="234">
      <c r="A234" s="26">
        <f>IFERROR(__xludf.DUMMYFUNCTION("""COMPUTED_VALUE"""),38694.645833333336)</f>
        <v>38694.64583</v>
      </c>
      <c r="B234" s="9">
        <f>IFERROR(__xludf.DUMMYFUNCTION("""COMPUTED_VALUE"""),175.63)</f>
        <v>175.63</v>
      </c>
      <c r="C234" s="9">
        <f>IFERROR(__xludf.DUMMYFUNCTION("""COMPUTED_VALUE"""),177.61)</f>
        <v>177.61</v>
      </c>
      <c r="D234" s="9">
        <f>IFERROR(__xludf.DUMMYFUNCTION("""COMPUTED_VALUE"""),174.69)</f>
        <v>174.69</v>
      </c>
      <c r="E234" s="9">
        <f>IFERROR(__xludf.DUMMYFUNCTION("""COMPUTED_VALUE"""),176.33)</f>
        <v>176.33</v>
      </c>
      <c r="F234" s="9">
        <f>IFERROR(__xludf.DUMMYFUNCTION("""COMPUTED_VALUE"""),768115.0)</f>
        <v>768115</v>
      </c>
      <c r="H234" s="27">
        <f>IFERROR(__xludf.DUMMYFUNCTION("""COMPUTED_VALUE"""),38694.645833333336)</f>
        <v>38694.64583</v>
      </c>
      <c r="I234" s="25">
        <f>IFERROR(__xludf.DUMMYFUNCTION("""COMPUTED_VALUE"""),199.38)</f>
        <v>199.38</v>
      </c>
      <c r="J234" s="25">
        <f>IFERROR(__xludf.DUMMYFUNCTION("""COMPUTED_VALUE"""),203.09)</f>
        <v>203.09</v>
      </c>
      <c r="K234" s="25">
        <f>IFERROR(__xludf.DUMMYFUNCTION("""COMPUTED_VALUE"""),199.03)</f>
        <v>199.03</v>
      </c>
      <c r="L234" s="25">
        <f>IFERROR(__xludf.DUMMYFUNCTION("""COMPUTED_VALUE"""),202.07)</f>
        <v>202.07</v>
      </c>
      <c r="M234" s="25">
        <f>IFERROR(__xludf.DUMMYFUNCTION("""COMPUTED_VALUE"""),1198149.0)</f>
        <v>1198149</v>
      </c>
    </row>
    <row r="235">
      <c r="A235" s="26">
        <f>IFERROR(__xludf.DUMMYFUNCTION("""COMPUTED_VALUE"""),38695.645833333336)</f>
        <v>38695.64583</v>
      </c>
      <c r="B235" s="9">
        <f>IFERROR(__xludf.DUMMYFUNCTION("""COMPUTED_VALUE"""),176.56)</f>
        <v>176.56</v>
      </c>
      <c r="C235" s="9">
        <f>IFERROR(__xludf.DUMMYFUNCTION("""COMPUTED_VALUE"""),180.56)</f>
        <v>180.56</v>
      </c>
      <c r="D235" s="9">
        <f>IFERROR(__xludf.DUMMYFUNCTION("""COMPUTED_VALUE"""),175.75)</f>
        <v>175.75</v>
      </c>
      <c r="E235" s="9">
        <f>IFERROR(__xludf.DUMMYFUNCTION("""COMPUTED_VALUE"""),179.6)</f>
        <v>179.6</v>
      </c>
      <c r="F235" s="9">
        <f>IFERROR(__xludf.DUMMYFUNCTION("""COMPUTED_VALUE"""),725824.0)</f>
        <v>725824</v>
      </c>
      <c r="H235" s="27">
        <f>IFERROR(__xludf.DUMMYFUNCTION("""COMPUTED_VALUE"""),38695.645833333336)</f>
        <v>38695.64583</v>
      </c>
      <c r="I235" s="25">
        <f>IFERROR(__xludf.DUMMYFUNCTION("""COMPUTED_VALUE"""),202.25)</f>
        <v>202.25</v>
      </c>
      <c r="J235" s="25">
        <f>IFERROR(__xludf.DUMMYFUNCTION("""COMPUTED_VALUE"""),211.83)</f>
        <v>211.83</v>
      </c>
      <c r="K235" s="25">
        <f>IFERROR(__xludf.DUMMYFUNCTION("""COMPUTED_VALUE"""),201.41)</f>
        <v>201.41</v>
      </c>
      <c r="L235" s="25">
        <f>IFERROR(__xludf.DUMMYFUNCTION("""COMPUTED_VALUE"""),210.34)</f>
        <v>210.34</v>
      </c>
      <c r="M235" s="25">
        <f>IFERROR(__xludf.DUMMYFUNCTION("""COMPUTED_VALUE"""),774278.0)</f>
        <v>774278</v>
      </c>
    </row>
    <row r="236">
      <c r="A236" s="26">
        <f>IFERROR(__xludf.DUMMYFUNCTION("""COMPUTED_VALUE"""),38698.645833333336)</f>
        <v>38698.64583</v>
      </c>
      <c r="B236" s="9">
        <f>IFERROR(__xludf.DUMMYFUNCTION("""COMPUTED_VALUE"""),180.19)</f>
        <v>180.19</v>
      </c>
      <c r="C236" s="9">
        <f>IFERROR(__xludf.DUMMYFUNCTION("""COMPUTED_VALUE"""),183.5)</f>
        <v>183.5</v>
      </c>
      <c r="D236" s="9">
        <f>IFERROR(__xludf.DUMMYFUNCTION("""COMPUTED_VALUE"""),179.15)</f>
        <v>179.15</v>
      </c>
      <c r="E236" s="9">
        <f>IFERROR(__xludf.DUMMYFUNCTION("""COMPUTED_VALUE"""),182.88)</f>
        <v>182.88</v>
      </c>
      <c r="F236" s="9">
        <f>IFERROR(__xludf.DUMMYFUNCTION("""COMPUTED_VALUE"""),755476.0)</f>
        <v>755476</v>
      </c>
      <c r="H236" s="27">
        <f>IFERROR(__xludf.DUMMYFUNCTION("""COMPUTED_VALUE"""),38698.645833333336)</f>
        <v>38698.64583</v>
      </c>
      <c r="I236" s="25">
        <f>IFERROR(__xludf.DUMMYFUNCTION("""COMPUTED_VALUE"""),206.3)</f>
        <v>206.3</v>
      </c>
      <c r="J236" s="25">
        <f>IFERROR(__xludf.DUMMYFUNCTION("""COMPUTED_VALUE"""),213.13)</f>
        <v>213.13</v>
      </c>
      <c r="K236" s="25">
        <f>IFERROR(__xludf.DUMMYFUNCTION("""COMPUTED_VALUE"""),205.25)</f>
        <v>205.25</v>
      </c>
      <c r="L236" s="25">
        <f>IFERROR(__xludf.DUMMYFUNCTION("""COMPUTED_VALUE"""),206.28)</f>
        <v>206.28</v>
      </c>
      <c r="M236" s="25">
        <f>IFERROR(__xludf.DUMMYFUNCTION("""COMPUTED_VALUE"""),773936.0)</f>
        <v>773936</v>
      </c>
    </row>
    <row r="237">
      <c r="A237" s="26">
        <f>IFERROR(__xludf.DUMMYFUNCTION("""COMPUTED_VALUE"""),38699.645833333336)</f>
        <v>38699.64583</v>
      </c>
      <c r="B237" s="9">
        <f>IFERROR(__xludf.DUMMYFUNCTION("""COMPUTED_VALUE"""),183.5)</f>
        <v>183.5</v>
      </c>
      <c r="C237" s="9">
        <f>IFERROR(__xludf.DUMMYFUNCTION("""COMPUTED_VALUE"""),184.69)</f>
        <v>184.69</v>
      </c>
      <c r="D237" s="9">
        <f>IFERROR(__xludf.DUMMYFUNCTION("""COMPUTED_VALUE"""),181.5)</f>
        <v>181.5</v>
      </c>
      <c r="E237" s="9">
        <f>IFERROR(__xludf.DUMMYFUNCTION("""COMPUTED_VALUE"""),184.18)</f>
        <v>184.18</v>
      </c>
      <c r="F237" s="9">
        <f>IFERROR(__xludf.DUMMYFUNCTION("""COMPUTED_VALUE"""),1103697.0)</f>
        <v>1103697</v>
      </c>
      <c r="H237" s="27">
        <f>IFERROR(__xludf.DUMMYFUNCTION("""COMPUTED_VALUE"""),38699.645833333336)</f>
        <v>38699.64583</v>
      </c>
      <c r="I237" s="25">
        <f>IFERROR(__xludf.DUMMYFUNCTION("""COMPUTED_VALUE"""),206.5)</f>
        <v>206.5</v>
      </c>
      <c r="J237" s="25">
        <f>IFERROR(__xludf.DUMMYFUNCTION("""COMPUTED_VALUE"""),209.75)</f>
        <v>209.75</v>
      </c>
      <c r="K237" s="25">
        <f>IFERROR(__xludf.DUMMYFUNCTION("""COMPUTED_VALUE"""),205.63)</f>
        <v>205.63</v>
      </c>
      <c r="L237" s="25">
        <f>IFERROR(__xludf.DUMMYFUNCTION("""COMPUTED_VALUE"""),208.45)</f>
        <v>208.45</v>
      </c>
      <c r="M237" s="25">
        <f>IFERROR(__xludf.DUMMYFUNCTION("""COMPUTED_VALUE"""),753384.0)</f>
        <v>753384</v>
      </c>
    </row>
    <row r="238">
      <c r="A238" s="26">
        <f>IFERROR(__xludf.DUMMYFUNCTION("""COMPUTED_VALUE"""),38700.645833333336)</f>
        <v>38700.64583</v>
      </c>
      <c r="B238" s="9">
        <f>IFERROR(__xludf.DUMMYFUNCTION("""COMPUTED_VALUE"""),183.75)</f>
        <v>183.75</v>
      </c>
      <c r="C238" s="9">
        <f>IFERROR(__xludf.DUMMYFUNCTION("""COMPUTED_VALUE"""),184.19)</f>
        <v>184.19</v>
      </c>
      <c r="D238" s="9">
        <f>IFERROR(__xludf.DUMMYFUNCTION("""COMPUTED_VALUE"""),178.94)</f>
        <v>178.94</v>
      </c>
      <c r="E238" s="9">
        <f>IFERROR(__xludf.DUMMYFUNCTION("""COMPUTED_VALUE"""),180.35)</f>
        <v>180.35</v>
      </c>
      <c r="F238" s="9">
        <f>IFERROR(__xludf.DUMMYFUNCTION("""COMPUTED_VALUE"""),1095644.0)</f>
        <v>1095644</v>
      </c>
      <c r="H238" s="27">
        <f>IFERROR(__xludf.DUMMYFUNCTION("""COMPUTED_VALUE"""),38700.645833333336)</f>
        <v>38700.64583</v>
      </c>
      <c r="I238" s="25">
        <f>IFERROR(__xludf.DUMMYFUNCTION("""COMPUTED_VALUE"""),207.5)</f>
        <v>207.5</v>
      </c>
      <c r="J238" s="25">
        <f>IFERROR(__xludf.DUMMYFUNCTION("""COMPUTED_VALUE"""),212.5)</f>
        <v>212.5</v>
      </c>
      <c r="K238" s="25">
        <f>IFERROR(__xludf.DUMMYFUNCTION("""COMPUTED_VALUE"""),205.0)</f>
        <v>205</v>
      </c>
      <c r="L238" s="25">
        <f>IFERROR(__xludf.DUMMYFUNCTION("""COMPUTED_VALUE"""),210.49)</f>
        <v>210.49</v>
      </c>
      <c r="M238" s="25">
        <f>IFERROR(__xludf.DUMMYFUNCTION("""COMPUTED_VALUE"""),602401.0)</f>
        <v>602401</v>
      </c>
    </row>
    <row r="239">
      <c r="A239" s="26">
        <f>IFERROR(__xludf.DUMMYFUNCTION("""COMPUTED_VALUE"""),38701.645833333336)</f>
        <v>38701.64583</v>
      </c>
      <c r="B239" s="9">
        <f>IFERROR(__xludf.DUMMYFUNCTION("""COMPUTED_VALUE"""),179.06)</f>
        <v>179.06</v>
      </c>
      <c r="C239" s="9">
        <f>IFERROR(__xludf.DUMMYFUNCTION("""COMPUTED_VALUE"""),183.36)</f>
        <v>183.36</v>
      </c>
      <c r="D239" s="9">
        <f>IFERROR(__xludf.DUMMYFUNCTION("""COMPUTED_VALUE"""),179.06)</f>
        <v>179.06</v>
      </c>
      <c r="E239" s="9">
        <f>IFERROR(__xludf.DUMMYFUNCTION("""COMPUTED_VALUE"""),182.35)</f>
        <v>182.35</v>
      </c>
      <c r="F239" s="9">
        <f>IFERROR(__xludf.DUMMYFUNCTION("""COMPUTED_VALUE"""),1506157.0)</f>
        <v>1506157</v>
      </c>
      <c r="H239" s="27">
        <f>IFERROR(__xludf.DUMMYFUNCTION("""COMPUTED_VALUE"""),38701.645833333336)</f>
        <v>38701.64583</v>
      </c>
      <c r="I239" s="25">
        <f>IFERROR(__xludf.DUMMYFUNCTION("""COMPUTED_VALUE"""),211.24)</f>
        <v>211.24</v>
      </c>
      <c r="J239" s="25">
        <f>IFERROR(__xludf.DUMMYFUNCTION("""COMPUTED_VALUE"""),212.31)</f>
        <v>212.31</v>
      </c>
      <c r="K239" s="25">
        <f>IFERROR(__xludf.DUMMYFUNCTION("""COMPUTED_VALUE"""),208.55)</f>
        <v>208.55</v>
      </c>
      <c r="L239" s="25">
        <f>IFERROR(__xludf.DUMMYFUNCTION("""COMPUTED_VALUE"""),210.35)</f>
        <v>210.35</v>
      </c>
      <c r="M239" s="25">
        <f>IFERROR(__xludf.DUMMYFUNCTION("""COMPUTED_VALUE"""),531127.0)</f>
        <v>531127</v>
      </c>
    </row>
    <row r="240">
      <c r="A240" s="26">
        <f>IFERROR(__xludf.DUMMYFUNCTION("""COMPUTED_VALUE"""),38702.645833333336)</f>
        <v>38702.64583</v>
      </c>
      <c r="B240" s="9">
        <f>IFERROR(__xludf.DUMMYFUNCTION("""COMPUTED_VALUE"""),184.38)</f>
        <v>184.38</v>
      </c>
      <c r="C240" s="9">
        <f>IFERROR(__xludf.DUMMYFUNCTION("""COMPUTED_VALUE"""),187.63)</f>
        <v>187.63</v>
      </c>
      <c r="D240" s="9">
        <f>IFERROR(__xludf.DUMMYFUNCTION("""COMPUTED_VALUE"""),181.56)</f>
        <v>181.56</v>
      </c>
      <c r="E240" s="9">
        <f>IFERROR(__xludf.DUMMYFUNCTION("""COMPUTED_VALUE"""),186.39)</f>
        <v>186.39</v>
      </c>
      <c r="F240" s="9">
        <f>IFERROR(__xludf.DUMMYFUNCTION("""COMPUTED_VALUE"""),1430749.0)</f>
        <v>1430749</v>
      </c>
      <c r="H240" s="27">
        <f>IFERROR(__xludf.DUMMYFUNCTION("""COMPUTED_VALUE"""),38702.645833333336)</f>
        <v>38702.64583</v>
      </c>
      <c r="I240" s="25">
        <f>IFERROR(__xludf.DUMMYFUNCTION("""COMPUTED_VALUE"""),211.25)</f>
        <v>211.25</v>
      </c>
      <c r="J240" s="25">
        <f>IFERROR(__xludf.DUMMYFUNCTION("""COMPUTED_VALUE"""),215.75)</f>
        <v>215.75</v>
      </c>
      <c r="K240" s="25">
        <f>IFERROR(__xludf.DUMMYFUNCTION("""COMPUTED_VALUE"""),210.38)</f>
        <v>210.38</v>
      </c>
      <c r="L240" s="25">
        <f>IFERROR(__xludf.DUMMYFUNCTION("""COMPUTED_VALUE"""),214.3)</f>
        <v>214.3</v>
      </c>
      <c r="M240" s="25">
        <f>IFERROR(__xludf.DUMMYFUNCTION("""COMPUTED_VALUE"""),988429.0)</f>
        <v>988429</v>
      </c>
    </row>
    <row r="241">
      <c r="A241" s="26">
        <f>IFERROR(__xludf.DUMMYFUNCTION("""COMPUTED_VALUE"""),38705.645833333336)</f>
        <v>38705.64583</v>
      </c>
      <c r="B241" s="9">
        <f>IFERROR(__xludf.DUMMYFUNCTION("""COMPUTED_VALUE"""),183.38)</f>
        <v>183.38</v>
      </c>
      <c r="C241" s="9">
        <f>IFERROR(__xludf.DUMMYFUNCTION("""COMPUTED_VALUE"""),189.69)</f>
        <v>189.69</v>
      </c>
      <c r="D241" s="9">
        <f>IFERROR(__xludf.DUMMYFUNCTION("""COMPUTED_VALUE"""),183.38)</f>
        <v>183.38</v>
      </c>
      <c r="E241" s="9">
        <f>IFERROR(__xludf.DUMMYFUNCTION("""COMPUTED_VALUE"""),188.98)</f>
        <v>188.98</v>
      </c>
      <c r="F241" s="9">
        <f>IFERROR(__xludf.DUMMYFUNCTION("""COMPUTED_VALUE"""),714063.0)</f>
        <v>714063</v>
      </c>
      <c r="H241" s="27">
        <f>IFERROR(__xludf.DUMMYFUNCTION("""COMPUTED_VALUE"""),38705.645833333336)</f>
        <v>38705.64583</v>
      </c>
      <c r="I241" s="25">
        <f>IFERROR(__xludf.DUMMYFUNCTION("""COMPUTED_VALUE"""),215.75)</f>
        <v>215.75</v>
      </c>
      <c r="J241" s="25">
        <f>IFERROR(__xludf.DUMMYFUNCTION("""COMPUTED_VALUE"""),219.13)</f>
        <v>219.13</v>
      </c>
      <c r="K241" s="25">
        <f>IFERROR(__xludf.DUMMYFUNCTION("""COMPUTED_VALUE"""),214.63)</f>
        <v>214.63</v>
      </c>
      <c r="L241" s="25">
        <f>IFERROR(__xludf.DUMMYFUNCTION("""COMPUTED_VALUE"""),216.82)</f>
        <v>216.82</v>
      </c>
      <c r="M241" s="25">
        <f>IFERROR(__xludf.DUMMYFUNCTION("""COMPUTED_VALUE"""),587646.0)</f>
        <v>587646</v>
      </c>
    </row>
    <row r="242">
      <c r="A242" s="26">
        <f>IFERROR(__xludf.DUMMYFUNCTION("""COMPUTED_VALUE"""),38706.645833333336)</f>
        <v>38706.64583</v>
      </c>
      <c r="B242" s="9">
        <f>IFERROR(__xludf.DUMMYFUNCTION("""COMPUTED_VALUE"""),188.13)</f>
        <v>188.13</v>
      </c>
      <c r="C242" s="9">
        <f>IFERROR(__xludf.DUMMYFUNCTION("""COMPUTED_VALUE"""),188.13)</f>
        <v>188.13</v>
      </c>
      <c r="D242" s="9">
        <f>IFERROR(__xludf.DUMMYFUNCTION("""COMPUTED_VALUE"""),184.73)</f>
        <v>184.73</v>
      </c>
      <c r="E242" s="9">
        <f>IFERROR(__xludf.DUMMYFUNCTION("""COMPUTED_VALUE"""),185.64)</f>
        <v>185.64</v>
      </c>
      <c r="F242" s="9">
        <f>IFERROR(__xludf.DUMMYFUNCTION("""COMPUTED_VALUE"""),429798.0)</f>
        <v>429798</v>
      </c>
      <c r="H242" s="27">
        <f>IFERROR(__xludf.DUMMYFUNCTION("""COMPUTED_VALUE"""),38706.645833333336)</f>
        <v>38706.64583</v>
      </c>
      <c r="I242" s="25">
        <f>IFERROR(__xludf.DUMMYFUNCTION("""COMPUTED_VALUE"""),218.75)</f>
        <v>218.75</v>
      </c>
      <c r="J242" s="25">
        <f>IFERROR(__xludf.DUMMYFUNCTION("""COMPUTED_VALUE"""),218.75)</f>
        <v>218.75</v>
      </c>
      <c r="K242" s="25">
        <f>IFERROR(__xludf.DUMMYFUNCTION("""COMPUTED_VALUE"""),210.88)</f>
        <v>210.88</v>
      </c>
      <c r="L242" s="25">
        <f>IFERROR(__xludf.DUMMYFUNCTION("""COMPUTED_VALUE"""),211.69)</f>
        <v>211.69</v>
      </c>
      <c r="M242" s="25">
        <f>IFERROR(__xludf.DUMMYFUNCTION("""COMPUTED_VALUE"""),578571.0)</f>
        <v>578571</v>
      </c>
    </row>
    <row r="243">
      <c r="A243" s="26">
        <f>IFERROR(__xludf.DUMMYFUNCTION("""COMPUTED_VALUE"""),38707.645833333336)</f>
        <v>38707.64583</v>
      </c>
      <c r="B243" s="9">
        <f>IFERROR(__xludf.DUMMYFUNCTION("""COMPUTED_VALUE"""),185.31)</f>
        <v>185.31</v>
      </c>
      <c r="C243" s="9">
        <f>IFERROR(__xludf.DUMMYFUNCTION("""COMPUTED_VALUE"""),187.94)</f>
        <v>187.94</v>
      </c>
      <c r="D243" s="9">
        <f>IFERROR(__xludf.DUMMYFUNCTION("""COMPUTED_VALUE"""),183.63)</f>
        <v>183.63</v>
      </c>
      <c r="E243" s="9">
        <f>IFERROR(__xludf.DUMMYFUNCTION("""COMPUTED_VALUE"""),185.88)</f>
        <v>185.88</v>
      </c>
      <c r="F243" s="9">
        <f>IFERROR(__xludf.DUMMYFUNCTION("""COMPUTED_VALUE"""),639187.0)</f>
        <v>639187</v>
      </c>
      <c r="H243" s="27">
        <f>IFERROR(__xludf.DUMMYFUNCTION("""COMPUTED_VALUE"""),38707.645833333336)</f>
        <v>38707.64583</v>
      </c>
      <c r="I243" s="25">
        <f>IFERROR(__xludf.DUMMYFUNCTION("""COMPUTED_VALUE"""),213.13)</f>
        <v>213.13</v>
      </c>
      <c r="J243" s="25">
        <f>IFERROR(__xludf.DUMMYFUNCTION("""COMPUTED_VALUE"""),214.33)</f>
        <v>214.33</v>
      </c>
      <c r="K243" s="25">
        <f>IFERROR(__xludf.DUMMYFUNCTION("""COMPUTED_VALUE"""),208.88)</f>
        <v>208.88</v>
      </c>
      <c r="L243" s="25">
        <f>IFERROR(__xludf.DUMMYFUNCTION("""COMPUTED_VALUE"""),210.76)</f>
        <v>210.76</v>
      </c>
      <c r="M243" s="25">
        <f>IFERROR(__xludf.DUMMYFUNCTION("""COMPUTED_VALUE"""),410304.0)</f>
        <v>410304</v>
      </c>
    </row>
    <row r="244">
      <c r="A244" s="26">
        <f>IFERROR(__xludf.DUMMYFUNCTION("""COMPUTED_VALUE"""),38708.645833333336)</f>
        <v>38708.64583</v>
      </c>
      <c r="B244" s="9">
        <f>IFERROR(__xludf.DUMMYFUNCTION("""COMPUTED_VALUE"""),187.38)</f>
        <v>187.38</v>
      </c>
      <c r="C244" s="9">
        <f>IFERROR(__xludf.DUMMYFUNCTION("""COMPUTED_VALUE"""),187.63)</f>
        <v>187.63</v>
      </c>
      <c r="D244" s="9">
        <f>IFERROR(__xludf.DUMMYFUNCTION("""COMPUTED_VALUE"""),185.75)</f>
        <v>185.75</v>
      </c>
      <c r="E244" s="9">
        <f>IFERROR(__xludf.DUMMYFUNCTION("""COMPUTED_VALUE"""),186.43)</f>
        <v>186.43</v>
      </c>
      <c r="F244" s="9">
        <f>IFERROR(__xludf.DUMMYFUNCTION("""COMPUTED_VALUE"""),485075.0)</f>
        <v>485075</v>
      </c>
      <c r="H244" s="27">
        <f>IFERROR(__xludf.DUMMYFUNCTION("""COMPUTED_VALUE"""),38708.645833333336)</f>
        <v>38708.64583</v>
      </c>
      <c r="I244" s="25">
        <f>IFERROR(__xludf.DUMMYFUNCTION("""COMPUTED_VALUE"""),211.25)</f>
        <v>211.25</v>
      </c>
      <c r="J244" s="25">
        <f>IFERROR(__xludf.DUMMYFUNCTION("""COMPUTED_VALUE"""),212.46)</f>
        <v>212.46</v>
      </c>
      <c r="K244" s="25">
        <f>IFERROR(__xludf.DUMMYFUNCTION("""COMPUTED_VALUE"""),209.87)</f>
        <v>209.87</v>
      </c>
      <c r="L244" s="25">
        <f>IFERROR(__xludf.DUMMYFUNCTION("""COMPUTED_VALUE"""),210.59)</f>
        <v>210.59</v>
      </c>
      <c r="M244" s="25">
        <f>IFERROR(__xludf.DUMMYFUNCTION("""COMPUTED_VALUE"""),314901.0)</f>
        <v>314901</v>
      </c>
    </row>
    <row r="245">
      <c r="A245" s="26">
        <f>IFERROR(__xludf.DUMMYFUNCTION("""COMPUTED_VALUE"""),38709.645833333336)</f>
        <v>38709.64583</v>
      </c>
      <c r="B245" s="9">
        <f>IFERROR(__xludf.DUMMYFUNCTION("""COMPUTED_VALUE"""),186.88)</f>
        <v>186.88</v>
      </c>
      <c r="C245" s="9">
        <f>IFERROR(__xludf.DUMMYFUNCTION("""COMPUTED_VALUE"""),188.43)</f>
        <v>188.43</v>
      </c>
      <c r="D245" s="9">
        <f>IFERROR(__xludf.DUMMYFUNCTION("""COMPUTED_VALUE"""),185.94)</f>
        <v>185.94</v>
      </c>
      <c r="E245" s="9">
        <f>IFERROR(__xludf.DUMMYFUNCTION("""COMPUTED_VALUE"""),186.32)</f>
        <v>186.32</v>
      </c>
      <c r="F245" s="9">
        <f>IFERROR(__xludf.DUMMYFUNCTION("""COMPUTED_VALUE"""),653634.0)</f>
        <v>653634</v>
      </c>
      <c r="H245" s="27">
        <f>IFERROR(__xludf.DUMMYFUNCTION("""COMPUTED_VALUE"""),38709.645833333336)</f>
        <v>38709.64583</v>
      </c>
      <c r="I245" s="25">
        <f>IFERROR(__xludf.DUMMYFUNCTION("""COMPUTED_VALUE"""),210.88)</f>
        <v>210.88</v>
      </c>
      <c r="J245" s="25">
        <f>IFERROR(__xludf.DUMMYFUNCTION("""COMPUTED_VALUE"""),213.13)</f>
        <v>213.13</v>
      </c>
      <c r="K245" s="25">
        <f>IFERROR(__xludf.DUMMYFUNCTION("""COMPUTED_VALUE"""),208.13)</f>
        <v>208.13</v>
      </c>
      <c r="L245" s="25">
        <f>IFERROR(__xludf.DUMMYFUNCTION("""COMPUTED_VALUE"""),208.97)</f>
        <v>208.97</v>
      </c>
      <c r="M245" s="25">
        <f>IFERROR(__xludf.DUMMYFUNCTION("""COMPUTED_VALUE"""),306879.0)</f>
        <v>306879</v>
      </c>
    </row>
    <row r="246">
      <c r="A246" s="26">
        <f>IFERROR(__xludf.DUMMYFUNCTION("""COMPUTED_VALUE"""),38712.645833333336)</f>
        <v>38712.64583</v>
      </c>
      <c r="B246" s="9">
        <f>IFERROR(__xludf.DUMMYFUNCTION("""COMPUTED_VALUE"""),186.38)</f>
        <v>186.38</v>
      </c>
      <c r="C246" s="9">
        <f>IFERROR(__xludf.DUMMYFUNCTION("""COMPUTED_VALUE"""),186.88)</f>
        <v>186.88</v>
      </c>
      <c r="D246" s="9">
        <f>IFERROR(__xludf.DUMMYFUNCTION("""COMPUTED_VALUE"""),183.76)</f>
        <v>183.76</v>
      </c>
      <c r="E246" s="9">
        <f>IFERROR(__xludf.DUMMYFUNCTION("""COMPUTED_VALUE"""),184.43)</f>
        <v>184.43</v>
      </c>
      <c r="F246" s="9">
        <f>IFERROR(__xludf.DUMMYFUNCTION("""COMPUTED_VALUE"""),392339.0)</f>
        <v>392339</v>
      </c>
      <c r="H246" s="27">
        <f>IFERROR(__xludf.DUMMYFUNCTION("""COMPUTED_VALUE"""),38712.645833333336)</f>
        <v>38712.64583</v>
      </c>
      <c r="I246" s="25">
        <f>IFERROR(__xludf.DUMMYFUNCTION("""COMPUTED_VALUE"""),209.25)</f>
        <v>209.25</v>
      </c>
      <c r="J246" s="25">
        <f>IFERROR(__xludf.DUMMYFUNCTION("""COMPUTED_VALUE"""),209.25)</f>
        <v>209.25</v>
      </c>
      <c r="K246" s="25">
        <f>IFERROR(__xludf.DUMMYFUNCTION("""COMPUTED_VALUE"""),207.03)</f>
        <v>207.03</v>
      </c>
      <c r="L246" s="25">
        <f>IFERROR(__xludf.DUMMYFUNCTION("""COMPUTED_VALUE"""),207.86)</f>
        <v>207.86</v>
      </c>
      <c r="M246" s="25">
        <f>IFERROR(__xludf.DUMMYFUNCTION("""COMPUTED_VALUE"""),203160.0)</f>
        <v>203160</v>
      </c>
    </row>
    <row r="247">
      <c r="A247" s="26">
        <f>IFERROR(__xludf.DUMMYFUNCTION("""COMPUTED_VALUE"""),38713.645833333336)</f>
        <v>38713.64583</v>
      </c>
      <c r="B247" s="9">
        <f>IFERROR(__xludf.DUMMYFUNCTION("""COMPUTED_VALUE"""),184.69)</f>
        <v>184.69</v>
      </c>
      <c r="C247" s="9">
        <f>IFERROR(__xludf.DUMMYFUNCTION("""COMPUTED_VALUE"""),187.5)</f>
        <v>187.5</v>
      </c>
      <c r="D247" s="9">
        <f>IFERROR(__xludf.DUMMYFUNCTION("""COMPUTED_VALUE"""),182.57)</f>
        <v>182.57</v>
      </c>
      <c r="E247" s="9">
        <f>IFERROR(__xludf.DUMMYFUNCTION("""COMPUTED_VALUE"""),187.15)</f>
        <v>187.15</v>
      </c>
      <c r="F247" s="9">
        <f>IFERROR(__xludf.DUMMYFUNCTION("""COMPUTED_VALUE"""),404278.0)</f>
        <v>404278</v>
      </c>
      <c r="H247" s="27">
        <f>IFERROR(__xludf.DUMMYFUNCTION("""COMPUTED_VALUE"""),38713.645833333336)</f>
        <v>38713.64583</v>
      </c>
      <c r="I247" s="25">
        <f>IFERROR(__xludf.DUMMYFUNCTION("""COMPUTED_VALUE"""),207.85)</f>
        <v>207.85</v>
      </c>
      <c r="J247" s="25">
        <f>IFERROR(__xludf.DUMMYFUNCTION("""COMPUTED_VALUE"""),212.88)</f>
        <v>212.88</v>
      </c>
      <c r="K247" s="25">
        <f>IFERROR(__xludf.DUMMYFUNCTION("""COMPUTED_VALUE"""),205.38)</f>
        <v>205.38</v>
      </c>
      <c r="L247" s="25">
        <f>IFERROR(__xludf.DUMMYFUNCTION("""COMPUTED_VALUE"""),212.27)</f>
        <v>212.27</v>
      </c>
      <c r="M247" s="25">
        <f>IFERROR(__xludf.DUMMYFUNCTION("""COMPUTED_VALUE"""),195651.0)</f>
        <v>195651</v>
      </c>
    </row>
    <row r="248">
      <c r="A248" s="26">
        <f>IFERROR(__xludf.DUMMYFUNCTION("""COMPUTED_VALUE"""),38714.645833333336)</f>
        <v>38714.64583</v>
      </c>
      <c r="B248" s="9">
        <f>IFERROR(__xludf.DUMMYFUNCTION("""COMPUTED_VALUE"""),187.44)</f>
        <v>187.44</v>
      </c>
      <c r="C248" s="9">
        <f>IFERROR(__xludf.DUMMYFUNCTION("""COMPUTED_VALUE"""),187.5)</f>
        <v>187.5</v>
      </c>
      <c r="D248" s="9">
        <f>IFERROR(__xludf.DUMMYFUNCTION("""COMPUTED_VALUE"""),185.13)</f>
        <v>185.13</v>
      </c>
      <c r="E248" s="9">
        <f>IFERROR(__xludf.DUMMYFUNCTION("""COMPUTED_VALUE"""),186.79)</f>
        <v>186.79</v>
      </c>
      <c r="F248" s="9">
        <f>IFERROR(__xludf.DUMMYFUNCTION("""COMPUTED_VALUE"""),429033.0)</f>
        <v>429033</v>
      </c>
      <c r="H248" s="27">
        <f>IFERROR(__xludf.DUMMYFUNCTION("""COMPUTED_VALUE"""),38714.645833333336)</f>
        <v>38714.64583</v>
      </c>
      <c r="I248" s="25">
        <f>IFERROR(__xludf.DUMMYFUNCTION("""COMPUTED_VALUE"""),211.88)</f>
        <v>211.88</v>
      </c>
      <c r="J248" s="25">
        <f>IFERROR(__xludf.DUMMYFUNCTION("""COMPUTED_VALUE"""),213.75)</f>
        <v>213.75</v>
      </c>
      <c r="K248" s="25">
        <f>IFERROR(__xludf.DUMMYFUNCTION("""COMPUTED_VALUE"""),209.58)</f>
        <v>209.58</v>
      </c>
      <c r="L248" s="25">
        <f>IFERROR(__xludf.DUMMYFUNCTION("""COMPUTED_VALUE"""),210.71)</f>
        <v>210.71</v>
      </c>
      <c r="M248" s="25">
        <f>IFERROR(__xludf.DUMMYFUNCTION("""COMPUTED_VALUE"""),322757.0)</f>
        <v>322757</v>
      </c>
    </row>
    <row r="249">
      <c r="A249" s="26">
        <f>IFERROR(__xludf.DUMMYFUNCTION("""COMPUTED_VALUE"""),38715.645833333336)</f>
        <v>38715.64583</v>
      </c>
      <c r="B249" s="9">
        <f>IFERROR(__xludf.DUMMYFUNCTION("""COMPUTED_VALUE"""),187.19)</f>
        <v>187.19</v>
      </c>
      <c r="C249" s="9">
        <f>IFERROR(__xludf.DUMMYFUNCTION("""COMPUTED_VALUE"""),189.38)</f>
        <v>189.38</v>
      </c>
      <c r="D249" s="9">
        <f>IFERROR(__xludf.DUMMYFUNCTION("""COMPUTED_VALUE"""),185.69)</f>
        <v>185.69</v>
      </c>
      <c r="E249" s="9">
        <f>IFERROR(__xludf.DUMMYFUNCTION("""COMPUTED_VALUE"""),186.72)</f>
        <v>186.72</v>
      </c>
      <c r="F249" s="9">
        <f>IFERROR(__xludf.DUMMYFUNCTION("""COMPUTED_VALUE"""),1101347.0)</f>
        <v>1101347</v>
      </c>
      <c r="H249" s="27">
        <f>IFERROR(__xludf.DUMMYFUNCTION("""COMPUTED_VALUE"""),38715.645833333336)</f>
        <v>38715.64583</v>
      </c>
      <c r="I249" s="25">
        <f>IFERROR(__xludf.DUMMYFUNCTION("""COMPUTED_VALUE"""),211.25)</f>
        <v>211.25</v>
      </c>
      <c r="J249" s="25">
        <f>IFERROR(__xludf.DUMMYFUNCTION("""COMPUTED_VALUE"""),214.99)</f>
        <v>214.99</v>
      </c>
      <c r="K249" s="25">
        <f>IFERROR(__xludf.DUMMYFUNCTION("""COMPUTED_VALUE"""),210.21)</f>
        <v>210.21</v>
      </c>
      <c r="L249" s="25">
        <f>IFERROR(__xludf.DUMMYFUNCTION("""COMPUTED_VALUE"""),213.76)</f>
        <v>213.76</v>
      </c>
      <c r="M249" s="25">
        <f>IFERROR(__xludf.DUMMYFUNCTION("""COMPUTED_VALUE"""),432723.0)</f>
        <v>432723</v>
      </c>
    </row>
    <row r="250">
      <c r="A250" s="26">
        <f>IFERROR(__xludf.DUMMYFUNCTION("""COMPUTED_VALUE"""),38716.645833333336)</f>
        <v>38716.64583</v>
      </c>
      <c r="B250" s="9">
        <f>IFERROR(__xludf.DUMMYFUNCTION("""COMPUTED_VALUE"""),188.13)</f>
        <v>188.13</v>
      </c>
      <c r="C250" s="9">
        <f>IFERROR(__xludf.DUMMYFUNCTION("""COMPUTED_VALUE"""),188.68)</f>
        <v>188.68</v>
      </c>
      <c r="D250" s="9">
        <f>IFERROR(__xludf.DUMMYFUNCTION("""COMPUTED_VALUE"""),185.89)</f>
        <v>185.89</v>
      </c>
      <c r="E250" s="9">
        <f>IFERROR(__xludf.DUMMYFUNCTION("""COMPUTED_VALUE"""),187.3)</f>
        <v>187.3</v>
      </c>
      <c r="F250" s="9">
        <f>IFERROR(__xludf.DUMMYFUNCTION("""COMPUTED_VALUE"""),850628.0)</f>
        <v>850628</v>
      </c>
      <c r="H250" s="27">
        <f>IFERROR(__xludf.DUMMYFUNCTION("""COMPUTED_VALUE"""),38716.645833333336)</f>
        <v>38716.64583</v>
      </c>
      <c r="I250" s="25">
        <f>IFERROR(__xludf.DUMMYFUNCTION("""COMPUTED_VALUE"""),210.0)</f>
        <v>210</v>
      </c>
      <c r="J250" s="25">
        <f>IFERROR(__xludf.DUMMYFUNCTION("""COMPUTED_VALUE"""),214.99)</f>
        <v>214.99</v>
      </c>
      <c r="K250" s="25">
        <f>IFERROR(__xludf.DUMMYFUNCTION("""COMPUTED_VALUE"""),210.0)</f>
        <v>210</v>
      </c>
      <c r="L250" s="25">
        <f>IFERROR(__xludf.DUMMYFUNCTION("""COMPUTED_VALUE"""),212.86)</f>
        <v>212.86</v>
      </c>
      <c r="M250" s="25">
        <f>IFERROR(__xludf.DUMMYFUNCTION("""COMPUTED_VALUE"""),297531.0)</f>
        <v>297531</v>
      </c>
    </row>
    <row r="251">
      <c r="A251" s="26">
        <f>IFERROR(__xludf.DUMMYFUNCTION("""COMPUTED_VALUE"""),38719.645833333336)</f>
        <v>38719.64583</v>
      </c>
      <c r="B251" s="9">
        <f>IFERROR(__xludf.DUMMYFUNCTION("""COMPUTED_VALUE"""),187.94)</f>
        <v>187.94</v>
      </c>
      <c r="C251" s="9">
        <f>IFERROR(__xludf.DUMMYFUNCTION("""COMPUTED_VALUE"""),187.94)</f>
        <v>187.94</v>
      </c>
      <c r="D251" s="9">
        <f>IFERROR(__xludf.DUMMYFUNCTION("""COMPUTED_VALUE"""),185.81)</f>
        <v>185.81</v>
      </c>
      <c r="E251" s="9">
        <f>IFERROR(__xludf.DUMMYFUNCTION("""COMPUTED_VALUE"""),186.21)</f>
        <v>186.21</v>
      </c>
      <c r="F251" s="9">
        <f>IFERROR(__xludf.DUMMYFUNCTION("""COMPUTED_VALUE"""),415500.0)</f>
        <v>415500</v>
      </c>
      <c r="H251" s="27">
        <f>IFERROR(__xludf.DUMMYFUNCTION("""COMPUTED_VALUE"""),38719.645833333336)</f>
        <v>38719.64583</v>
      </c>
      <c r="I251" s="25">
        <f>IFERROR(__xludf.DUMMYFUNCTION("""COMPUTED_VALUE"""),213.5)</f>
        <v>213.5</v>
      </c>
      <c r="J251" s="25">
        <f>IFERROR(__xludf.DUMMYFUNCTION("""COMPUTED_VALUE"""),213.86)</f>
        <v>213.86</v>
      </c>
      <c r="K251" s="25">
        <f>IFERROR(__xludf.DUMMYFUNCTION("""COMPUTED_VALUE"""),210.17)</f>
        <v>210.17</v>
      </c>
      <c r="L251" s="25">
        <f>IFERROR(__xludf.DUMMYFUNCTION("""COMPUTED_VALUE"""),210.95)</f>
        <v>210.95</v>
      </c>
      <c r="M251" s="25">
        <f>IFERROR(__xludf.DUMMYFUNCTION("""COMPUTED_VALUE"""),206688.0)</f>
        <v>206688</v>
      </c>
    </row>
    <row r="252">
      <c r="A252" s="26">
        <f>IFERROR(__xludf.DUMMYFUNCTION("""COMPUTED_VALUE"""),38720.645833333336)</f>
        <v>38720.64583</v>
      </c>
      <c r="B252" s="9">
        <f>IFERROR(__xludf.DUMMYFUNCTION("""COMPUTED_VALUE"""),186.88)</f>
        <v>186.88</v>
      </c>
      <c r="C252" s="9">
        <f>IFERROR(__xludf.DUMMYFUNCTION("""COMPUTED_VALUE"""),188.44)</f>
        <v>188.44</v>
      </c>
      <c r="D252" s="9">
        <f>IFERROR(__xludf.DUMMYFUNCTION("""COMPUTED_VALUE"""),186.19)</f>
        <v>186.19</v>
      </c>
      <c r="E252" s="9">
        <f>IFERROR(__xludf.DUMMYFUNCTION("""COMPUTED_VALUE"""),187.93)</f>
        <v>187.93</v>
      </c>
      <c r="F252" s="9">
        <f>IFERROR(__xludf.DUMMYFUNCTION("""COMPUTED_VALUE"""),497496.0)</f>
        <v>497496</v>
      </c>
      <c r="H252" s="27">
        <f>IFERROR(__xludf.DUMMYFUNCTION("""COMPUTED_VALUE"""),38720.645833333336)</f>
        <v>38720.64583</v>
      </c>
      <c r="I252" s="25">
        <f>IFERROR(__xludf.DUMMYFUNCTION("""COMPUTED_VALUE"""),210.66)</f>
        <v>210.66</v>
      </c>
      <c r="J252" s="25">
        <f>IFERROR(__xludf.DUMMYFUNCTION("""COMPUTED_VALUE"""),217.49)</f>
        <v>217.49</v>
      </c>
      <c r="K252" s="25">
        <f>IFERROR(__xludf.DUMMYFUNCTION("""COMPUTED_VALUE"""),210.25)</f>
        <v>210.25</v>
      </c>
      <c r="L252" s="25">
        <f>IFERROR(__xludf.DUMMYFUNCTION("""COMPUTED_VALUE"""),216.65)</f>
        <v>216.65</v>
      </c>
      <c r="M252" s="25">
        <f>IFERROR(__xludf.DUMMYFUNCTION("""COMPUTED_VALUE"""),424617.0)</f>
        <v>424617</v>
      </c>
    </row>
    <row r="253">
      <c r="A253" s="26">
        <f>IFERROR(__xludf.DUMMYFUNCTION("""COMPUTED_VALUE"""),38721.645833333336)</f>
        <v>38721.64583</v>
      </c>
      <c r="B253" s="9">
        <f>IFERROR(__xludf.DUMMYFUNCTION("""COMPUTED_VALUE"""),188.19)</f>
        <v>188.19</v>
      </c>
      <c r="C253" s="9">
        <f>IFERROR(__xludf.DUMMYFUNCTION("""COMPUTED_VALUE"""),191.56)</f>
        <v>191.56</v>
      </c>
      <c r="D253" s="9">
        <f>IFERROR(__xludf.DUMMYFUNCTION("""COMPUTED_VALUE"""),187.2)</f>
        <v>187.2</v>
      </c>
      <c r="E253" s="9">
        <f>IFERROR(__xludf.DUMMYFUNCTION("""COMPUTED_VALUE"""),190.96)</f>
        <v>190.96</v>
      </c>
      <c r="F253" s="9">
        <f>IFERROR(__xludf.DUMMYFUNCTION("""COMPUTED_VALUE"""),784558.0)</f>
        <v>784558</v>
      </c>
      <c r="H253" s="27">
        <f>IFERROR(__xludf.DUMMYFUNCTION("""COMPUTED_VALUE"""),38721.645833333336)</f>
        <v>38721.64583</v>
      </c>
      <c r="I253" s="25">
        <f>IFERROR(__xludf.DUMMYFUNCTION("""COMPUTED_VALUE"""),217.5)</f>
        <v>217.5</v>
      </c>
      <c r="J253" s="25">
        <f>IFERROR(__xludf.DUMMYFUNCTION("""COMPUTED_VALUE"""),218.74)</f>
        <v>218.74</v>
      </c>
      <c r="K253" s="25">
        <f>IFERROR(__xludf.DUMMYFUNCTION("""COMPUTED_VALUE"""),215.28)</f>
        <v>215.28</v>
      </c>
      <c r="L253" s="25">
        <f>IFERROR(__xludf.DUMMYFUNCTION("""COMPUTED_VALUE"""),217.89)</f>
        <v>217.89</v>
      </c>
      <c r="M253" s="25">
        <f>IFERROR(__xludf.DUMMYFUNCTION("""COMPUTED_VALUE"""),443202.0)</f>
        <v>443202</v>
      </c>
    </row>
    <row r="254">
      <c r="A254" s="26">
        <f>IFERROR(__xludf.DUMMYFUNCTION("""COMPUTED_VALUE"""),38722.645833333336)</f>
        <v>38722.64583</v>
      </c>
      <c r="B254" s="9">
        <f>IFERROR(__xludf.DUMMYFUNCTION("""COMPUTED_VALUE"""),191.5)</f>
        <v>191.5</v>
      </c>
      <c r="C254" s="9">
        <f>IFERROR(__xludf.DUMMYFUNCTION("""COMPUTED_VALUE"""),191.87)</f>
        <v>191.87</v>
      </c>
      <c r="D254" s="9">
        <f>IFERROR(__xludf.DUMMYFUNCTION("""COMPUTED_VALUE"""),190.08)</f>
        <v>190.08</v>
      </c>
      <c r="E254" s="9">
        <f>IFERROR(__xludf.DUMMYFUNCTION("""COMPUTED_VALUE"""),190.93)</f>
        <v>190.93</v>
      </c>
      <c r="F254" s="9">
        <f>IFERROR(__xludf.DUMMYFUNCTION("""COMPUTED_VALUE"""),472285.0)</f>
        <v>472285</v>
      </c>
      <c r="H254" s="27">
        <f>IFERROR(__xludf.DUMMYFUNCTION("""COMPUTED_VALUE"""),38722.645833333336)</f>
        <v>38722.64583</v>
      </c>
      <c r="I254" s="25">
        <f>IFERROR(__xludf.DUMMYFUNCTION("""COMPUTED_VALUE"""),218.13)</f>
        <v>218.13</v>
      </c>
      <c r="J254" s="25">
        <f>IFERROR(__xludf.DUMMYFUNCTION("""COMPUTED_VALUE"""),218.25)</f>
        <v>218.25</v>
      </c>
      <c r="K254" s="25">
        <f>IFERROR(__xludf.DUMMYFUNCTION("""COMPUTED_VALUE"""),215.24)</f>
        <v>215.24</v>
      </c>
      <c r="L254" s="25">
        <f>IFERROR(__xludf.DUMMYFUNCTION("""COMPUTED_VALUE"""),216.55)</f>
        <v>216.55</v>
      </c>
      <c r="M254" s="25">
        <f>IFERROR(__xludf.DUMMYFUNCTION("""COMPUTED_VALUE"""),178978.0)</f>
        <v>178978</v>
      </c>
    </row>
    <row r="255">
      <c r="A255" s="26">
        <f>IFERROR(__xludf.DUMMYFUNCTION("""COMPUTED_VALUE"""),38723.645833333336)</f>
        <v>38723.64583</v>
      </c>
      <c r="B255" s="9">
        <f>IFERROR(__xludf.DUMMYFUNCTION("""COMPUTED_VALUE"""),190.63)</f>
        <v>190.63</v>
      </c>
      <c r="C255" s="9">
        <f>IFERROR(__xludf.DUMMYFUNCTION("""COMPUTED_VALUE"""),191.88)</f>
        <v>191.88</v>
      </c>
      <c r="D255" s="9">
        <f>IFERROR(__xludf.DUMMYFUNCTION("""COMPUTED_VALUE"""),188.64)</f>
        <v>188.64</v>
      </c>
      <c r="E255" s="9">
        <f>IFERROR(__xludf.DUMMYFUNCTION("""COMPUTED_VALUE"""),190.83)</f>
        <v>190.83</v>
      </c>
      <c r="F255" s="9">
        <f>IFERROR(__xludf.DUMMYFUNCTION("""COMPUTED_VALUE"""),1062988.0)</f>
        <v>1062988</v>
      </c>
      <c r="H255" s="27">
        <f>IFERROR(__xludf.DUMMYFUNCTION("""COMPUTED_VALUE"""),38723.645833333336)</f>
        <v>38723.64583</v>
      </c>
      <c r="I255" s="25">
        <f>IFERROR(__xludf.DUMMYFUNCTION("""COMPUTED_VALUE"""),216.88)</f>
        <v>216.88</v>
      </c>
      <c r="J255" s="25">
        <f>IFERROR(__xludf.DUMMYFUNCTION("""COMPUTED_VALUE"""),217.49)</f>
        <v>217.49</v>
      </c>
      <c r="K255" s="25">
        <f>IFERROR(__xludf.DUMMYFUNCTION("""COMPUTED_VALUE"""),211.5)</f>
        <v>211.5</v>
      </c>
      <c r="L255" s="25">
        <f>IFERROR(__xludf.DUMMYFUNCTION("""COMPUTED_VALUE"""),213.2)</f>
        <v>213.2</v>
      </c>
      <c r="M255" s="25">
        <f>IFERROR(__xludf.DUMMYFUNCTION("""COMPUTED_VALUE"""),370718.0)</f>
        <v>370718</v>
      </c>
    </row>
    <row r="256">
      <c r="A256" s="26">
        <f>IFERROR(__xludf.DUMMYFUNCTION("""COMPUTED_VALUE"""),38726.645833333336)</f>
        <v>38726.64583</v>
      </c>
      <c r="B256" s="9">
        <f>IFERROR(__xludf.DUMMYFUNCTION("""COMPUTED_VALUE"""),191.88)</f>
        <v>191.88</v>
      </c>
      <c r="C256" s="9">
        <f>IFERROR(__xludf.DUMMYFUNCTION("""COMPUTED_VALUE"""),192.49)</f>
        <v>192.49</v>
      </c>
      <c r="D256" s="9">
        <f>IFERROR(__xludf.DUMMYFUNCTION("""COMPUTED_VALUE"""),189.08)</f>
        <v>189.08</v>
      </c>
      <c r="E256" s="9">
        <f>IFERROR(__xludf.DUMMYFUNCTION("""COMPUTED_VALUE"""),189.74)</f>
        <v>189.74</v>
      </c>
      <c r="F256" s="9">
        <f>IFERROR(__xludf.DUMMYFUNCTION("""COMPUTED_VALUE"""),1004424.0)</f>
        <v>1004424</v>
      </c>
      <c r="H256" s="27">
        <f>IFERROR(__xludf.DUMMYFUNCTION("""COMPUTED_VALUE"""),38726.645833333336)</f>
        <v>38726.64583</v>
      </c>
      <c r="I256" s="25">
        <f>IFERROR(__xludf.DUMMYFUNCTION("""COMPUTED_VALUE"""),213.77)</f>
        <v>213.77</v>
      </c>
      <c r="J256" s="25">
        <f>IFERROR(__xludf.DUMMYFUNCTION("""COMPUTED_VALUE"""),216.25)</f>
        <v>216.25</v>
      </c>
      <c r="K256" s="25">
        <f>IFERROR(__xludf.DUMMYFUNCTION("""COMPUTED_VALUE"""),210.13)</f>
        <v>210.13</v>
      </c>
      <c r="L256" s="25">
        <f>IFERROR(__xludf.DUMMYFUNCTION("""COMPUTED_VALUE"""),211.12)</f>
        <v>211.12</v>
      </c>
      <c r="M256" s="25">
        <f>IFERROR(__xludf.DUMMYFUNCTION("""COMPUTED_VALUE"""),485409.0)</f>
        <v>485409</v>
      </c>
    </row>
    <row r="257">
      <c r="A257" s="26">
        <f>IFERROR(__xludf.DUMMYFUNCTION("""COMPUTED_VALUE"""),38727.645833333336)</f>
        <v>38727.64583</v>
      </c>
      <c r="B257" s="9">
        <f>IFERROR(__xludf.DUMMYFUNCTION("""COMPUTED_VALUE"""),190.95)</f>
        <v>190.95</v>
      </c>
      <c r="C257" s="9">
        <f>IFERROR(__xludf.DUMMYFUNCTION("""COMPUTED_VALUE"""),190.95)</f>
        <v>190.95</v>
      </c>
      <c r="D257" s="9">
        <f>IFERROR(__xludf.DUMMYFUNCTION("""COMPUTED_VALUE"""),185.06)</f>
        <v>185.06</v>
      </c>
      <c r="E257" s="9">
        <f>IFERROR(__xludf.DUMMYFUNCTION("""COMPUTED_VALUE"""),185.95)</f>
        <v>185.95</v>
      </c>
      <c r="F257" s="9">
        <f>IFERROR(__xludf.DUMMYFUNCTION("""COMPUTED_VALUE"""),1343815.0)</f>
        <v>1343815</v>
      </c>
      <c r="H257" s="27">
        <f>IFERROR(__xludf.DUMMYFUNCTION("""COMPUTED_VALUE"""),38727.645833333336)</f>
        <v>38727.64583</v>
      </c>
      <c r="I257" s="25">
        <f>IFERROR(__xludf.DUMMYFUNCTION("""COMPUTED_VALUE"""),211.25)</f>
        <v>211.25</v>
      </c>
      <c r="J257" s="25">
        <f>IFERROR(__xludf.DUMMYFUNCTION("""COMPUTED_VALUE"""),212.48)</f>
        <v>212.48</v>
      </c>
      <c r="K257" s="25">
        <f>IFERROR(__xludf.DUMMYFUNCTION("""COMPUTED_VALUE"""),207.63)</f>
        <v>207.63</v>
      </c>
      <c r="L257" s="25">
        <f>IFERROR(__xludf.DUMMYFUNCTION("""COMPUTED_VALUE"""),209.06)</f>
        <v>209.06</v>
      </c>
      <c r="M257" s="25">
        <f>IFERROR(__xludf.DUMMYFUNCTION("""COMPUTED_VALUE"""),496581.0)</f>
        <v>496581</v>
      </c>
    </row>
    <row r="258">
      <c r="A258" s="26">
        <f>IFERROR(__xludf.DUMMYFUNCTION("""COMPUTED_VALUE"""),38729.645833333336)</f>
        <v>38729.64583</v>
      </c>
      <c r="B258" s="9">
        <f>IFERROR(__xludf.DUMMYFUNCTION("""COMPUTED_VALUE"""),184.38)</f>
        <v>184.38</v>
      </c>
      <c r="C258" s="9">
        <f>IFERROR(__xludf.DUMMYFUNCTION("""COMPUTED_VALUE"""),184.38)</f>
        <v>184.38</v>
      </c>
      <c r="D258" s="9">
        <f>IFERROR(__xludf.DUMMYFUNCTION("""COMPUTED_VALUE"""),172.69)</f>
        <v>172.69</v>
      </c>
      <c r="E258" s="9">
        <f>IFERROR(__xludf.DUMMYFUNCTION("""COMPUTED_VALUE"""),177.36)</f>
        <v>177.36</v>
      </c>
      <c r="F258" s="9">
        <f>IFERROR(__xludf.DUMMYFUNCTION("""COMPUTED_VALUE"""),4912611.0)</f>
        <v>4912611</v>
      </c>
      <c r="H258" s="27">
        <f>IFERROR(__xludf.DUMMYFUNCTION("""COMPUTED_VALUE"""),38729.645833333336)</f>
        <v>38729.64583</v>
      </c>
      <c r="I258" s="25">
        <f>IFERROR(__xludf.DUMMYFUNCTION("""COMPUTED_VALUE"""),206.63)</f>
        <v>206.63</v>
      </c>
      <c r="J258" s="25">
        <f>IFERROR(__xludf.DUMMYFUNCTION("""COMPUTED_VALUE"""),211.13)</f>
        <v>211.13</v>
      </c>
      <c r="K258" s="25">
        <f>IFERROR(__xludf.DUMMYFUNCTION("""COMPUTED_VALUE"""),201.88)</f>
        <v>201.88</v>
      </c>
      <c r="L258" s="25">
        <f>IFERROR(__xludf.DUMMYFUNCTION("""COMPUTED_VALUE"""),209.21)</f>
        <v>209.21</v>
      </c>
      <c r="M258" s="25">
        <f>IFERROR(__xludf.DUMMYFUNCTION("""COMPUTED_VALUE"""),1739962.0)</f>
        <v>1739962</v>
      </c>
    </row>
    <row r="259">
      <c r="A259" s="26">
        <f>IFERROR(__xludf.DUMMYFUNCTION("""COMPUTED_VALUE"""),38730.645833333336)</f>
        <v>38730.64583</v>
      </c>
      <c r="B259" s="9">
        <f>IFERROR(__xludf.DUMMYFUNCTION("""COMPUTED_VALUE"""),178.13)</f>
        <v>178.13</v>
      </c>
      <c r="C259" s="9">
        <f>IFERROR(__xludf.DUMMYFUNCTION("""COMPUTED_VALUE"""),179.94)</f>
        <v>179.94</v>
      </c>
      <c r="D259" s="9">
        <f>IFERROR(__xludf.DUMMYFUNCTION("""COMPUTED_VALUE"""),176.94)</f>
        <v>176.94</v>
      </c>
      <c r="E259" s="9">
        <f>IFERROR(__xludf.DUMMYFUNCTION("""COMPUTED_VALUE"""),177.79)</f>
        <v>177.79</v>
      </c>
      <c r="F259" s="9">
        <f>IFERROR(__xludf.DUMMYFUNCTION("""COMPUTED_VALUE"""),959981.0)</f>
        <v>959981</v>
      </c>
      <c r="H259" s="27">
        <f>IFERROR(__xludf.DUMMYFUNCTION("""COMPUTED_VALUE"""),38730.645833333336)</f>
        <v>38730.64583</v>
      </c>
      <c r="I259" s="25">
        <f>IFERROR(__xludf.DUMMYFUNCTION("""COMPUTED_VALUE"""),210.0)</f>
        <v>210</v>
      </c>
      <c r="J259" s="25">
        <f>IFERROR(__xludf.DUMMYFUNCTION("""COMPUTED_VALUE"""),211.25)</f>
        <v>211.25</v>
      </c>
      <c r="K259" s="25">
        <f>IFERROR(__xludf.DUMMYFUNCTION("""COMPUTED_VALUE"""),205.5)</f>
        <v>205.5</v>
      </c>
      <c r="L259" s="25">
        <f>IFERROR(__xludf.DUMMYFUNCTION("""COMPUTED_VALUE"""),206.47)</f>
        <v>206.47</v>
      </c>
      <c r="M259" s="25">
        <f>IFERROR(__xludf.DUMMYFUNCTION("""COMPUTED_VALUE"""),451071.0)</f>
        <v>451071</v>
      </c>
    </row>
    <row r="260">
      <c r="A260" s="26">
        <f>IFERROR(__xludf.DUMMYFUNCTION("""COMPUTED_VALUE"""),38733.645833333336)</f>
        <v>38733.64583</v>
      </c>
      <c r="B260" s="9">
        <f>IFERROR(__xludf.DUMMYFUNCTION("""COMPUTED_VALUE"""),176.89)</f>
        <v>176.89</v>
      </c>
      <c r="C260" s="9">
        <f>IFERROR(__xludf.DUMMYFUNCTION("""COMPUTED_VALUE"""),178.44)</f>
        <v>178.44</v>
      </c>
      <c r="D260" s="9">
        <f>IFERROR(__xludf.DUMMYFUNCTION("""COMPUTED_VALUE"""),173.27)</f>
        <v>173.27</v>
      </c>
      <c r="E260" s="9">
        <f>IFERROR(__xludf.DUMMYFUNCTION("""COMPUTED_VALUE"""),173.77)</f>
        <v>173.77</v>
      </c>
      <c r="F260" s="9">
        <f>IFERROR(__xludf.DUMMYFUNCTION("""COMPUTED_VALUE"""),1393033.0)</f>
        <v>1393033</v>
      </c>
      <c r="H260" s="27">
        <f>IFERROR(__xludf.DUMMYFUNCTION("""COMPUTED_VALUE"""),38733.645833333336)</f>
        <v>38733.64583</v>
      </c>
      <c r="I260" s="25">
        <f>IFERROR(__xludf.DUMMYFUNCTION("""COMPUTED_VALUE"""),206.38)</f>
        <v>206.38</v>
      </c>
      <c r="J260" s="25">
        <f>IFERROR(__xludf.DUMMYFUNCTION("""COMPUTED_VALUE"""),206.38)</f>
        <v>206.38</v>
      </c>
      <c r="K260" s="25">
        <f>IFERROR(__xludf.DUMMYFUNCTION("""COMPUTED_VALUE"""),200.32)</f>
        <v>200.32</v>
      </c>
      <c r="L260" s="25">
        <f>IFERROR(__xludf.DUMMYFUNCTION("""COMPUTED_VALUE"""),201.1)</f>
        <v>201.1</v>
      </c>
      <c r="M260" s="25">
        <f>IFERROR(__xludf.DUMMYFUNCTION("""COMPUTED_VALUE"""),600614.0)</f>
        <v>600614</v>
      </c>
    </row>
    <row r="261">
      <c r="A261" s="26">
        <f>IFERROR(__xludf.DUMMYFUNCTION("""COMPUTED_VALUE"""),38734.645833333336)</f>
        <v>38734.64583</v>
      </c>
      <c r="B261" s="9">
        <f>IFERROR(__xludf.DUMMYFUNCTION("""COMPUTED_VALUE"""),175.0)</f>
        <v>175</v>
      </c>
      <c r="C261" s="9">
        <f>IFERROR(__xludf.DUMMYFUNCTION("""COMPUTED_VALUE"""),175.81)</f>
        <v>175.81</v>
      </c>
      <c r="D261" s="9">
        <f>IFERROR(__xludf.DUMMYFUNCTION("""COMPUTED_VALUE"""),171.88)</f>
        <v>171.88</v>
      </c>
      <c r="E261" s="9">
        <f>IFERROR(__xludf.DUMMYFUNCTION("""COMPUTED_VALUE"""),172.64)</f>
        <v>172.64</v>
      </c>
      <c r="F261" s="9">
        <f>IFERROR(__xludf.DUMMYFUNCTION("""COMPUTED_VALUE"""),942586.0)</f>
        <v>942586</v>
      </c>
      <c r="H261" s="27">
        <f>IFERROR(__xludf.DUMMYFUNCTION("""COMPUTED_VALUE"""),38734.645833333336)</f>
        <v>38734.64583</v>
      </c>
      <c r="I261" s="25">
        <f>IFERROR(__xludf.DUMMYFUNCTION("""COMPUTED_VALUE"""),201.38)</f>
        <v>201.38</v>
      </c>
      <c r="J261" s="25">
        <f>IFERROR(__xludf.DUMMYFUNCTION("""COMPUTED_VALUE"""),205.0)</f>
        <v>205</v>
      </c>
      <c r="K261" s="25">
        <f>IFERROR(__xludf.DUMMYFUNCTION("""COMPUTED_VALUE"""),201.25)</f>
        <v>201.25</v>
      </c>
      <c r="L261" s="25">
        <f>IFERROR(__xludf.DUMMYFUNCTION("""COMPUTED_VALUE"""),202.93)</f>
        <v>202.93</v>
      </c>
      <c r="M261" s="25">
        <f>IFERROR(__xludf.DUMMYFUNCTION("""COMPUTED_VALUE"""),469132.0)</f>
        <v>469132</v>
      </c>
    </row>
    <row r="262">
      <c r="A262" s="26">
        <f>IFERROR(__xludf.DUMMYFUNCTION("""COMPUTED_VALUE"""),38735.645833333336)</f>
        <v>38735.64583</v>
      </c>
      <c r="B262" s="9">
        <f>IFERROR(__xludf.DUMMYFUNCTION("""COMPUTED_VALUE"""),173.13)</f>
        <v>173.13</v>
      </c>
      <c r="C262" s="9">
        <f>IFERROR(__xludf.DUMMYFUNCTION("""COMPUTED_VALUE"""),173.13)</f>
        <v>173.13</v>
      </c>
      <c r="D262" s="9">
        <f>IFERROR(__xludf.DUMMYFUNCTION("""COMPUTED_VALUE"""),168.76)</f>
        <v>168.76</v>
      </c>
      <c r="E262" s="9">
        <f>IFERROR(__xludf.DUMMYFUNCTION("""COMPUTED_VALUE"""),171.24)</f>
        <v>171.24</v>
      </c>
      <c r="F262" s="9">
        <f>IFERROR(__xludf.DUMMYFUNCTION("""COMPUTED_VALUE"""),1300916.0)</f>
        <v>1300916</v>
      </c>
      <c r="H262" s="27">
        <f>IFERROR(__xludf.DUMMYFUNCTION("""COMPUTED_VALUE"""),38735.645833333336)</f>
        <v>38735.64583</v>
      </c>
      <c r="I262" s="25">
        <f>IFERROR(__xludf.DUMMYFUNCTION("""COMPUTED_VALUE"""),202.28)</f>
        <v>202.28</v>
      </c>
      <c r="J262" s="25">
        <f>IFERROR(__xludf.DUMMYFUNCTION("""COMPUTED_VALUE"""),202.98)</f>
        <v>202.98</v>
      </c>
      <c r="K262" s="25">
        <f>IFERROR(__xludf.DUMMYFUNCTION("""COMPUTED_VALUE"""),200.26)</f>
        <v>200.26</v>
      </c>
      <c r="L262" s="25">
        <f>IFERROR(__xludf.DUMMYFUNCTION("""COMPUTED_VALUE"""),202.45)</f>
        <v>202.45</v>
      </c>
      <c r="M262" s="25">
        <f>IFERROR(__xludf.DUMMYFUNCTION("""COMPUTED_VALUE"""),395640.0)</f>
        <v>395640</v>
      </c>
    </row>
    <row r="263">
      <c r="A263" s="26">
        <f>IFERROR(__xludf.DUMMYFUNCTION("""COMPUTED_VALUE"""),38736.645833333336)</f>
        <v>38736.64583</v>
      </c>
      <c r="B263" s="9">
        <f>IFERROR(__xludf.DUMMYFUNCTION("""COMPUTED_VALUE"""),171.88)</f>
        <v>171.88</v>
      </c>
      <c r="C263" s="9">
        <f>IFERROR(__xludf.DUMMYFUNCTION("""COMPUTED_VALUE"""),177.42)</f>
        <v>177.42</v>
      </c>
      <c r="D263" s="9">
        <f>IFERROR(__xludf.DUMMYFUNCTION("""COMPUTED_VALUE"""),171.88)</f>
        <v>171.88</v>
      </c>
      <c r="E263" s="9">
        <f>IFERROR(__xludf.DUMMYFUNCTION("""COMPUTED_VALUE"""),176.31)</f>
        <v>176.31</v>
      </c>
      <c r="F263" s="9">
        <f>IFERROR(__xludf.DUMMYFUNCTION("""COMPUTED_VALUE"""),1115512.0)</f>
        <v>1115512</v>
      </c>
      <c r="H263" s="27">
        <f>IFERROR(__xludf.DUMMYFUNCTION("""COMPUTED_VALUE"""),38736.645833333336)</f>
        <v>38736.64583</v>
      </c>
      <c r="I263" s="25">
        <f>IFERROR(__xludf.DUMMYFUNCTION("""COMPUTED_VALUE"""),202.98)</f>
        <v>202.98</v>
      </c>
      <c r="J263" s="25">
        <f>IFERROR(__xludf.DUMMYFUNCTION("""COMPUTED_VALUE"""),206.84)</f>
        <v>206.84</v>
      </c>
      <c r="K263" s="25">
        <f>IFERROR(__xludf.DUMMYFUNCTION("""COMPUTED_VALUE"""),202.98)</f>
        <v>202.98</v>
      </c>
      <c r="L263" s="25">
        <f>IFERROR(__xludf.DUMMYFUNCTION("""COMPUTED_VALUE"""),206.3)</f>
        <v>206.3</v>
      </c>
      <c r="M263" s="25">
        <f>IFERROR(__xludf.DUMMYFUNCTION("""COMPUTED_VALUE"""),446841.0)</f>
        <v>446841</v>
      </c>
    </row>
    <row r="264">
      <c r="A264" s="26">
        <f>IFERROR(__xludf.DUMMYFUNCTION("""COMPUTED_VALUE"""),38737.645833333336)</f>
        <v>38737.64583</v>
      </c>
      <c r="B264" s="9">
        <f>IFERROR(__xludf.DUMMYFUNCTION("""COMPUTED_VALUE"""),177.81)</f>
        <v>177.81</v>
      </c>
      <c r="C264" s="9">
        <f>IFERROR(__xludf.DUMMYFUNCTION("""COMPUTED_VALUE"""),179.06)</f>
        <v>179.06</v>
      </c>
      <c r="D264" s="9">
        <f>IFERROR(__xludf.DUMMYFUNCTION("""COMPUTED_VALUE"""),175.13)</f>
        <v>175.13</v>
      </c>
      <c r="E264" s="9">
        <f>IFERROR(__xludf.DUMMYFUNCTION("""COMPUTED_VALUE"""),175.85)</f>
        <v>175.85</v>
      </c>
      <c r="F264" s="9">
        <f>IFERROR(__xludf.DUMMYFUNCTION("""COMPUTED_VALUE"""),748813.0)</f>
        <v>748813</v>
      </c>
      <c r="H264" s="27">
        <f>IFERROR(__xludf.DUMMYFUNCTION("""COMPUTED_VALUE"""),38737.645833333336)</f>
        <v>38737.64583</v>
      </c>
      <c r="I264" s="25">
        <f>IFERROR(__xludf.DUMMYFUNCTION("""COMPUTED_VALUE"""),206.88)</f>
        <v>206.88</v>
      </c>
      <c r="J264" s="25">
        <f>IFERROR(__xludf.DUMMYFUNCTION("""COMPUTED_VALUE"""),208.73)</f>
        <v>208.73</v>
      </c>
      <c r="K264" s="25">
        <f>IFERROR(__xludf.DUMMYFUNCTION("""COMPUTED_VALUE"""),204.38)</f>
        <v>204.38</v>
      </c>
      <c r="L264" s="25">
        <f>IFERROR(__xludf.DUMMYFUNCTION("""COMPUTED_VALUE"""),205.5)</f>
        <v>205.5</v>
      </c>
      <c r="M264" s="25">
        <f>IFERROR(__xludf.DUMMYFUNCTION("""COMPUTED_VALUE"""),411780.0)</f>
        <v>411780</v>
      </c>
    </row>
    <row r="265">
      <c r="A265" s="26">
        <f>IFERROR(__xludf.DUMMYFUNCTION("""COMPUTED_VALUE"""),38740.645833333336)</f>
        <v>38740.64583</v>
      </c>
      <c r="B265" s="9">
        <f>IFERROR(__xludf.DUMMYFUNCTION("""COMPUTED_VALUE"""),175.13)</f>
        <v>175.13</v>
      </c>
      <c r="C265" s="9">
        <f>IFERROR(__xludf.DUMMYFUNCTION("""COMPUTED_VALUE"""),175.13)</f>
        <v>175.13</v>
      </c>
      <c r="D265" s="9">
        <f>IFERROR(__xludf.DUMMYFUNCTION("""COMPUTED_VALUE"""),171.01)</f>
        <v>171.01</v>
      </c>
      <c r="E265" s="9">
        <f>IFERROR(__xludf.DUMMYFUNCTION("""COMPUTED_VALUE"""),171.54)</f>
        <v>171.54</v>
      </c>
      <c r="F265" s="9">
        <f>IFERROR(__xludf.DUMMYFUNCTION("""COMPUTED_VALUE"""),1123937.0)</f>
        <v>1123937</v>
      </c>
      <c r="H265" s="27">
        <f>IFERROR(__xludf.DUMMYFUNCTION("""COMPUTED_VALUE"""),38740.645833333336)</f>
        <v>38740.64583</v>
      </c>
      <c r="I265" s="25">
        <f>IFERROR(__xludf.DUMMYFUNCTION("""COMPUTED_VALUE"""),204.38)</f>
        <v>204.38</v>
      </c>
      <c r="J265" s="25">
        <f>IFERROR(__xludf.DUMMYFUNCTION("""COMPUTED_VALUE"""),204.38)</f>
        <v>204.38</v>
      </c>
      <c r="K265" s="25">
        <f>IFERROR(__xludf.DUMMYFUNCTION("""COMPUTED_VALUE"""),201.41)</f>
        <v>201.41</v>
      </c>
      <c r="L265" s="25">
        <f>IFERROR(__xludf.DUMMYFUNCTION("""COMPUTED_VALUE"""),202.77)</f>
        <v>202.77</v>
      </c>
      <c r="M265" s="25">
        <f>IFERROR(__xludf.DUMMYFUNCTION("""COMPUTED_VALUE"""),285034.0)</f>
        <v>285034</v>
      </c>
    </row>
    <row r="266">
      <c r="A266" s="26">
        <f>IFERROR(__xludf.DUMMYFUNCTION("""COMPUTED_VALUE"""),38741.645833333336)</f>
        <v>38741.64583</v>
      </c>
      <c r="B266" s="9">
        <f>IFERROR(__xludf.DUMMYFUNCTION("""COMPUTED_VALUE"""),172.75)</f>
        <v>172.75</v>
      </c>
      <c r="C266" s="9">
        <f>IFERROR(__xludf.DUMMYFUNCTION("""COMPUTED_VALUE"""),176.94)</f>
        <v>176.94</v>
      </c>
      <c r="D266" s="9">
        <f>IFERROR(__xludf.DUMMYFUNCTION("""COMPUTED_VALUE"""),172.5)</f>
        <v>172.5</v>
      </c>
      <c r="E266" s="9">
        <f>IFERROR(__xludf.DUMMYFUNCTION("""COMPUTED_VALUE"""),176.37)</f>
        <v>176.37</v>
      </c>
      <c r="F266" s="9">
        <f>IFERROR(__xludf.DUMMYFUNCTION("""COMPUTED_VALUE"""),794044.0)</f>
        <v>794044</v>
      </c>
      <c r="H266" s="27">
        <f>IFERROR(__xludf.DUMMYFUNCTION("""COMPUTED_VALUE"""),38741.645833333336)</f>
        <v>38741.64583</v>
      </c>
      <c r="I266" s="25">
        <f>IFERROR(__xludf.DUMMYFUNCTION("""COMPUTED_VALUE"""),204.38)</f>
        <v>204.38</v>
      </c>
      <c r="J266" s="25">
        <f>IFERROR(__xludf.DUMMYFUNCTION("""COMPUTED_VALUE"""),206.13)</f>
        <v>206.13</v>
      </c>
      <c r="K266" s="25">
        <f>IFERROR(__xludf.DUMMYFUNCTION("""COMPUTED_VALUE"""),203.8)</f>
        <v>203.8</v>
      </c>
      <c r="L266" s="25">
        <f>IFERROR(__xludf.DUMMYFUNCTION("""COMPUTED_VALUE"""),205.33)</f>
        <v>205.33</v>
      </c>
      <c r="M266" s="25">
        <f>IFERROR(__xludf.DUMMYFUNCTION("""COMPUTED_VALUE"""),236258.0)</f>
        <v>236258</v>
      </c>
    </row>
    <row r="267">
      <c r="A267" s="26">
        <f>IFERROR(__xludf.DUMMYFUNCTION("""COMPUTED_VALUE"""),38742.645833333336)</f>
        <v>38742.64583</v>
      </c>
      <c r="B267" s="9">
        <f>IFERROR(__xludf.DUMMYFUNCTION("""COMPUTED_VALUE"""),176.94)</f>
        <v>176.94</v>
      </c>
      <c r="C267" s="9">
        <f>IFERROR(__xludf.DUMMYFUNCTION("""COMPUTED_VALUE"""),179.06)</f>
        <v>179.06</v>
      </c>
      <c r="D267" s="9">
        <f>IFERROR(__xludf.DUMMYFUNCTION("""COMPUTED_VALUE"""),175.69)</f>
        <v>175.69</v>
      </c>
      <c r="E267" s="9">
        <f>IFERROR(__xludf.DUMMYFUNCTION("""COMPUTED_VALUE"""),176.74)</f>
        <v>176.74</v>
      </c>
      <c r="F267" s="9">
        <f>IFERROR(__xludf.DUMMYFUNCTION("""COMPUTED_VALUE"""),1077986.0)</f>
        <v>1077986</v>
      </c>
      <c r="H267" s="27">
        <f>IFERROR(__xludf.DUMMYFUNCTION("""COMPUTED_VALUE"""),38742.645833333336)</f>
        <v>38742.64583</v>
      </c>
      <c r="I267" s="25">
        <f>IFERROR(__xludf.DUMMYFUNCTION("""COMPUTED_VALUE"""),206.13)</f>
        <v>206.13</v>
      </c>
      <c r="J267" s="25">
        <f>IFERROR(__xludf.DUMMYFUNCTION("""COMPUTED_VALUE"""),207.49)</f>
        <v>207.49</v>
      </c>
      <c r="K267" s="25">
        <f>IFERROR(__xludf.DUMMYFUNCTION("""COMPUTED_VALUE"""),205.44)</f>
        <v>205.44</v>
      </c>
      <c r="L267" s="25">
        <f>IFERROR(__xludf.DUMMYFUNCTION("""COMPUTED_VALUE"""),206.4)</f>
        <v>206.4</v>
      </c>
      <c r="M267" s="25">
        <f>IFERROR(__xludf.DUMMYFUNCTION("""COMPUTED_VALUE"""),795717.0)</f>
        <v>795717</v>
      </c>
    </row>
    <row r="268">
      <c r="A268" s="26">
        <f>IFERROR(__xludf.DUMMYFUNCTION("""COMPUTED_VALUE"""),38744.645833333336)</f>
        <v>38744.64583</v>
      </c>
      <c r="B268" s="9">
        <f>IFERROR(__xludf.DUMMYFUNCTION("""COMPUTED_VALUE"""),178.44)</f>
        <v>178.44</v>
      </c>
      <c r="C268" s="9">
        <f>IFERROR(__xludf.DUMMYFUNCTION("""COMPUTED_VALUE"""),181.93)</f>
        <v>181.93</v>
      </c>
      <c r="D268" s="9">
        <f>IFERROR(__xludf.DUMMYFUNCTION("""COMPUTED_VALUE"""),178.0)</f>
        <v>178</v>
      </c>
      <c r="E268" s="9">
        <f>IFERROR(__xludf.DUMMYFUNCTION("""COMPUTED_VALUE"""),181.43)</f>
        <v>181.43</v>
      </c>
      <c r="F268" s="9">
        <f>IFERROR(__xludf.DUMMYFUNCTION("""COMPUTED_VALUE"""),1047966.0)</f>
        <v>1047966</v>
      </c>
      <c r="H268" s="27">
        <f>IFERROR(__xludf.DUMMYFUNCTION("""COMPUTED_VALUE"""),38744.645833333336)</f>
        <v>38744.64583</v>
      </c>
      <c r="I268" s="25">
        <f>IFERROR(__xludf.DUMMYFUNCTION("""COMPUTED_VALUE"""),210.0)</f>
        <v>210</v>
      </c>
      <c r="J268" s="25">
        <f>IFERROR(__xludf.DUMMYFUNCTION("""COMPUTED_VALUE"""),210.0)</f>
        <v>210</v>
      </c>
      <c r="K268" s="25">
        <f>IFERROR(__xludf.DUMMYFUNCTION("""COMPUTED_VALUE"""),206.33)</f>
        <v>206.33</v>
      </c>
      <c r="L268" s="25">
        <f>IFERROR(__xludf.DUMMYFUNCTION("""COMPUTED_VALUE"""),207.4)</f>
        <v>207.4</v>
      </c>
      <c r="M268" s="25">
        <f>IFERROR(__xludf.DUMMYFUNCTION("""COMPUTED_VALUE"""),375477.0)</f>
        <v>375477</v>
      </c>
    </row>
    <row r="269">
      <c r="A269" s="26">
        <f>IFERROR(__xludf.DUMMYFUNCTION("""COMPUTED_VALUE"""),38747.645833333336)</f>
        <v>38747.64583</v>
      </c>
      <c r="B269" s="9">
        <f>IFERROR(__xludf.DUMMYFUNCTION("""COMPUTED_VALUE"""),181.25)</f>
        <v>181.25</v>
      </c>
      <c r="C269" s="9">
        <f>IFERROR(__xludf.DUMMYFUNCTION("""COMPUTED_VALUE"""),182.75)</f>
        <v>182.75</v>
      </c>
      <c r="D269" s="9">
        <f>IFERROR(__xludf.DUMMYFUNCTION("""COMPUTED_VALUE"""),178.26)</f>
        <v>178.26</v>
      </c>
      <c r="E269" s="9">
        <f>IFERROR(__xludf.DUMMYFUNCTION("""COMPUTED_VALUE"""),178.93)</f>
        <v>178.93</v>
      </c>
      <c r="F269" s="9">
        <f>IFERROR(__xludf.DUMMYFUNCTION("""COMPUTED_VALUE"""),531561.0)</f>
        <v>531561</v>
      </c>
      <c r="H269" s="27">
        <f>IFERROR(__xludf.DUMMYFUNCTION("""COMPUTED_VALUE"""),38747.645833333336)</f>
        <v>38747.64583</v>
      </c>
      <c r="I269" s="25">
        <f>IFERROR(__xludf.DUMMYFUNCTION("""COMPUTED_VALUE"""),208.18)</f>
        <v>208.18</v>
      </c>
      <c r="J269" s="25">
        <f>IFERROR(__xludf.DUMMYFUNCTION("""COMPUTED_VALUE"""),209.95)</f>
        <v>209.95</v>
      </c>
      <c r="K269" s="25">
        <f>IFERROR(__xludf.DUMMYFUNCTION("""COMPUTED_VALUE"""),206.51)</f>
        <v>206.51</v>
      </c>
      <c r="L269" s="25">
        <f>IFERROR(__xludf.DUMMYFUNCTION("""COMPUTED_VALUE"""),207.36)</f>
        <v>207.36</v>
      </c>
      <c r="M269" s="25">
        <f>IFERROR(__xludf.DUMMYFUNCTION("""COMPUTED_VALUE"""),172893.0)</f>
        <v>172893</v>
      </c>
    </row>
    <row r="270">
      <c r="A270" s="26">
        <f>IFERROR(__xludf.DUMMYFUNCTION("""COMPUTED_VALUE"""),38748.645833333336)</f>
        <v>38748.64583</v>
      </c>
      <c r="B270" s="9">
        <f>IFERROR(__xludf.DUMMYFUNCTION("""COMPUTED_VALUE"""),173.85)</f>
        <v>173.85</v>
      </c>
      <c r="C270" s="9">
        <f>IFERROR(__xludf.DUMMYFUNCTION("""COMPUTED_VALUE"""),180.63)</f>
        <v>180.63</v>
      </c>
      <c r="D270" s="9">
        <f>IFERROR(__xludf.DUMMYFUNCTION("""COMPUTED_VALUE"""),173.85)</f>
        <v>173.85</v>
      </c>
      <c r="E270" s="9">
        <f>IFERROR(__xludf.DUMMYFUNCTION("""COMPUTED_VALUE"""),180.02)</f>
        <v>180.02</v>
      </c>
      <c r="F270" s="9">
        <f>IFERROR(__xludf.DUMMYFUNCTION("""COMPUTED_VALUE"""),304324.0)</f>
        <v>304324</v>
      </c>
      <c r="H270" s="27">
        <f>IFERROR(__xludf.DUMMYFUNCTION("""COMPUTED_VALUE"""),38748.645833333336)</f>
        <v>38748.64583</v>
      </c>
      <c r="I270" s="25">
        <f>IFERROR(__xludf.DUMMYFUNCTION("""COMPUTED_VALUE"""),209.95)</f>
        <v>209.95</v>
      </c>
      <c r="J270" s="25">
        <f>IFERROR(__xludf.DUMMYFUNCTION("""COMPUTED_VALUE"""),209.95)</f>
        <v>209.95</v>
      </c>
      <c r="K270" s="25">
        <f>IFERROR(__xludf.DUMMYFUNCTION("""COMPUTED_VALUE"""),206.55)</f>
        <v>206.55</v>
      </c>
      <c r="L270" s="25">
        <f>IFERROR(__xludf.DUMMYFUNCTION("""COMPUTED_VALUE"""),208.8)</f>
        <v>208.8</v>
      </c>
      <c r="M270" s="25">
        <f>IFERROR(__xludf.DUMMYFUNCTION("""COMPUTED_VALUE"""),187895.0)</f>
        <v>187895</v>
      </c>
    </row>
    <row r="271">
      <c r="A271" s="26">
        <f>IFERROR(__xludf.DUMMYFUNCTION("""COMPUTED_VALUE"""),38749.645833333336)</f>
        <v>38749.64583</v>
      </c>
      <c r="B271" s="9">
        <f>IFERROR(__xludf.DUMMYFUNCTION("""COMPUTED_VALUE"""),180.38)</f>
        <v>180.38</v>
      </c>
      <c r="C271" s="9">
        <f>IFERROR(__xludf.DUMMYFUNCTION("""COMPUTED_VALUE"""),182.81)</f>
        <v>182.81</v>
      </c>
      <c r="D271" s="9">
        <f>IFERROR(__xludf.DUMMYFUNCTION("""COMPUTED_VALUE"""),178.57)</f>
        <v>178.57</v>
      </c>
      <c r="E271" s="9">
        <f>IFERROR(__xludf.DUMMYFUNCTION("""COMPUTED_VALUE"""),179.75)</f>
        <v>179.75</v>
      </c>
      <c r="F271" s="9">
        <f>IFERROR(__xludf.DUMMYFUNCTION("""COMPUTED_VALUE"""),759749.0)</f>
        <v>759749</v>
      </c>
      <c r="H271" s="27">
        <f>IFERROR(__xludf.DUMMYFUNCTION("""COMPUTED_VALUE"""),38749.645833333336)</f>
        <v>38749.64583</v>
      </c>
      <c r="I271" s="25">
        <f>IFERROR(__xludf.DUMMYFUNCTION("""COMPUTED_VALUE"""),207.0)</f>
        <v>207</v>
      </c>
      <c r="J271" s="25">
        <f>IFERROR(__xludf.DUMMYFUNCTION("""COMPUTED_VALUE"""),209.75)</f>
        <v>209.75</v>
      </c>
      <c r="K271" s="25">
        <f>IFERROR(__xludf.DUMMYFUNCTION("""COMPUTED_VALUE"""),206.3)</f>
        <v>206.3</v>
      </c>
      <c r="L271" s="25">
        <f>IFERROR(__xludf.DUMMYFUNCTION("""COMPUTED_VALUE"""),208.33)</f>
        <v>208.33</v>
      </c>
      <c r="M271" s="25">
        <f>IFERROR(__xludf.DUMMYFUNCTION("""COMPUTED_VALUE"""),487087.0)</f>
        <v>487087</v>
      </c>
    </row>
    <row r="272">
      <c r="A272" s="26">
        <f>IFERROR(__xludf.DUMMYFUNCTION("""COMPUTED_VALUE"""),38750.645833333336)</f>
        <v>38750.64583</v>
      </c>
      <c r="B272" s="9">
        <f>IFERROR(__xludf.DUMMYFUNCTION("""COMPUTED_VALUE"""),178.75)</f>
        <v>178.75</v>
      </c>
      <c r="C272" s="9">
        <f>IFERROR(__xludf.DUMMYFUNCTION("""COMPUTED_VALUE"""),181.88)</f>
        <v>181.88</v>
      </c>
      <c r="D272" s="9">
        <f>IFERROR(__xludf.DUMMYFUNCTION("""COMPUTED_VALUE"""),176.08)</f>
        <v>176.08</v>
      </c>
      <c r="E272" s="9">
        <f>IFERROR(__xludf.DUMMYFUNCTION("""COMPUTED_VALUE"""),176.76)</f>
        <v>176.76</v>
      </c>
      <c r="F272" s="9">
        <f>IFERROR(__xludf.DUMMYFUNCTION("""COMPUTED_VALUE"""),743139.0)</f>
        <v>743139</v>
      </c>
      <c r="H272" s="27">
        <f>IFERROR(__xludf.DUMMYFUNCTION("""COMPUTED_VALUE"""),38750.645833333336)</f>
        <v>38750.64583</v>
      </c>
      <c r="I272" s="25">
        <f>IFERROR(__xludf.DUMMYFUNCTION("""COMPUTED_VALUE"""),208.75)</f>
        <v>208.75</v>
      </c>
      <c r="J272" s="25">
        <f>IFERROR(__xludf.DUMMYFUNCTION("""COMPUTED_VALUE"""),209.5)</f>
        <v>209.5</v>
      </c>
      <c r="K272" s="25">
        <f>IFERROR(__xludf.DUMMYFUNCTION("""COMPUTED_VALUE"""),203.71)</f>
        <v>203.71</v>
      </c>
      <c r="L272" s="25">
        <f>IFERROR(__xludf.DUMMYFUNCTION("""COMPUTED_VALUE"""),204.6)</f>
        <v>204.6</v>
      </c>
      <c r="M272" s="25">
        <f>IFERROR(__xludf.DUMMYFUNCTION("""COMPUTED_VALUE"""),391967.0)</f>
        <v>391967</v>
      </c>
    </row>
    <row r="273">
      <c r="A273" s="26">
        <f>IFERROR(__xludf.DUMMYFUNCTION("""COMPUTED_VALUE"""),38751.645833333336)</f>
        <v>38751.64583</v>
      </c>
      <c r="B273" s="9">
        <f>IFERROR(__xludf.DUMMYFUNCTION("""COMPUTED_VALUE"""),176.75)</f>
        <v>176.75</v>
      </c>
      <c r="C273" s="9">
        <f>IFERROR(__xludf.DUMMYFUNCTION("""COMPUTED_VALUE"""),176.76)</f>
        <v>176.76</v>
      </c>
      <c r="D273" s="9">
        <f>IFERROR(__xludf.DUMMYFUNCTION("""COMPUTED_VALUE"""),173.83)</f>
        <v>173.83</v>
      </c>
      <c r="E273" s="9">
        <f>IFERROR(__xludf.DUMMYFUNCTION("""COMPUTED_VALUE"""),174.18)</f>
        <v>174.18</v>
      </c>
      <c r="F273" s="9">
        <f>IFERROR(__xludf.DUMMYFUNCTION("""COMPUTED_VALUE"""),838993.0)</f>
        <v>838993</v>
      </c>
      <c r="H273" s="27">
        <f>IFERROR(__xludf.DUMMYFUNCTION("""COMPUTED_VALUE"""),38751.645833333336)</f>
        <v>38751.64583</v>
      </c>
      <c r="I273" s="25">
        <f>IFERROR(__xludf.DUMMYFUNCTION("""COMPUTED_VALUE"""),204.99)</f>
        <v>204.99</v>
      </c>
      <c r="J273" s="25">
        <f>IFERROR(__xludf.DUMMYFUNCTION("""COMPUTED_VALUE"""),205.98)</f>
        <v>205.98</v>
      </c>
      <c r="K273" s="25">
        <f>IFERROR(__xludf.DUMMYFUNCTION("""COMPUTED_VALUE"""),201.55)</f>
        <v>201.55</v>
      </c>
      <c r="L273" s="25">
        <f>IFERROR(__xludf.DUMMYFUNCTION("""COMPUTED_VALUE"""),203.85)</f>
        <v>203.85</v>
      </c>
      <c r="M273" s="25">
        <f>IFERROR(__xludf.DUMMYFUNCTION("""COMPUTED_VALUE"""),544690.0)</f>
        <v>544690</v>
      </c>
    </row>
    <row r="274">
      <c r="A274" s="26">
        <f>IFERROR(__xludf.DUMMYFUNCTION("""COMPUTED_VALUE"""),38754.645833333336)</f>
        <v>38754.64583</v>
      </c>
      <c r="B274" s="9">
        <f>IFERROR(__xludf.DUMMYFUNCTION("""COMPUTED_VALUE"""),174.38)</f>
        <v>174.38</v>
      </c>
      <c r="C274" s="9">
        <f>IFERROR(__xludf.DUMMYFUNCTION("""COMPUTED_VALUE"""),178.13)</f>
        <v>178.13</v>
      </c>
      <c r="D274" s="9">
        <f>IFERROR(__xludf.DUMMYFUNCTION("""COMPUTED_VALUE"""),174.08)</f>
        <v>174.08</v>
      </c>
      <c r="E274" s="9">
        <f>IFERROR(__xludf.DUMMYFUNCTION("""COMPUTED_VALUE"""),177.66)</f>
        <v>177.66</v>
      </c>
      <c r="F274" s="9">
        <f>IFERROR(__xludf.DUMMYFUNCTION("""COMPUTED_VALUE"""),528578.0)</f>
        <v>528578</v>
      </c>
      <c r="H274" s="27">
        <f>IFERROR(__xludf.DUMMYFUNCTION("""COMPUTED_VALUE"""),38754.645833333336)</f>
        <v>38754.64583</v>
      </c>
      <c r="I274" s="25">
        <f>IFERROR(__xludf.DUMMYFUNCTION("""COMPUTED_VALUE"""),203.74)</f>
        <v>203.74</v>
      </c>
      <c r="J274" s="25">
        <f>IFERROR(__xludf.DUMMYFUNCTION("""COMPUTED_VALUE"""),210.38)</f>
        <v>210.38</v>
      </c>
      <c r="K274" s="25">
        <f>IFERROR(__xludf.DUMMYFUNCTION("""COMPUTED_VALUE"""),203.3)</f>
        <v>203.3</v>
      </c>
      <c r="L274" s="25">
        <f>IFERROR(__xludf.DUMMYFUNCTION("""COMPUTED_VALUE"""),209.88)</f>
        <v>209.88</v>
      </c>
      <c r="M274" s="25">
        <f>IFERROR(__xludf.DUMMYFUNCTION("""COMPUTED_VALUE"""),361872.0)</f>
        <v>361872</v>
      </c>
    </row>
    <row r="275">
      <c r="A275" s="26">
        <f>IFERROR(__xludf.DUMMYFUNCTION("""COMPUTED_VALUE"""),38755.645833333336)</f>
        <v>38755.64583</v>
      </c>
      <c r="B275" s="9">
        <f>IFERROR(__xludf.DUMMYFUNCTION("""COMPUTED_VALUE"""),177.5)</f>
        <v>177.5</v>
      </c>
      <c r="C275" s="9">
        <f>IFERROR(__xludf.DUMMYFUNCTION("""COMPUTED_VALUE"""),180.63)</f>
        <v>180.63</v>
      </c>
      <c r="D275" s="9">
        <f>IFERROR(__xludf.DUMMYFUNCTION("""COMPUTED_VALUE"""),176.9)</f>
        <v>176.9</v>
      </c>
      <c r="E275" s="9">
        <f>IFERROR(__xludf.DUMMYFUNCTION("""COMPUTED_VALUE"""),179.54)</f>
        <v>179.54</v>
      </c>
      <c r="F275" s="9">
        <f>IFERROR(__xludf.DUMMYFUNCTION("""COMPUTED_VALUE"""),795304.0)</f>
        <v>795304</v>
      </c>
      <c r="H275" s="27">
        <f>IFERROR(__xludf.DUMMYFUNCTION("""COMPUTED_VALUE"""),38755.645833333336)</f>
        <v>38755.64583</v>
      </c>
      <c r="I275" s="25">
        <f>IFERROR(__xludf.DUMMYFUNCTION("""COMPUTED_VALUE"""),210.0)</f>
        <v>210</v>
      </c>
      <c r="J275" s="25">
        <f>IFERROR(__xludf.DUMMYFUNCTION("""COMPUTED_VALUE"""),211.69)</f>
        <v>211.69</v>
      </c>
      <c r="K275" s="25">
        <f>IFERROR(__xludf.DUMMYFUNCTION("""COMPUTED_VALUE"""),205.53)</f>
        <v>205.53</v>
      </c>
      <c r="L275" s="25">
        <f>IFERROR(__xludf.DUMMYFUNCTION("""COMPUTED_VALUE"""),209.26)</f>
        <v>209.26</v>
      </c>
      <c r="M275" s="25">
        <f>IFERROR(__xludf.DUMMYFUNCTION("""COMPUTED_VALUE"""),875348.0)</f>
        <v>875348</v>
      </c>
    </row>
    <row r="276">
      <c r="A276" s="26">
        <f>IFERROR(__xludf.DUMMYFUNCTION("""COMPUTED_VALUE"""),38756.645833333336)</f>
        <v>38756.64583</v>
      </c>
      <c r="B276" s="9">
        <f>IFERROR(__xludf.DUMMYFUNCTION("""COMPUTED_VALUE"""),177.5)</f>
        <v>177.5</v>
      </c>
      <c r="C276" s="9">
        <f>IFERROR(__xludf.DUMMYFUNCTION("""COMPUTED_VALUE"""),181.88)</f>
        <v>181.88</v>
      </c>
      <c r="D276" s="9">
        <f>IFERROR(__xludf.DUMMYFUNCTION("""COMPUTED_VALUE"""),176.33)</f>
        <v>176.33</v>
      </c>
      <c r="E276" s="9">
        <f>IFERROR(__xludf.DUMMYFUNCTION("""COMPUTED_VALUE"""),181.42)</f>
        <v>181.42</v>
      </c>
      <c r="F276" s="9">
        <f>IFERROR(__xludf.DUMMYFUNCTION("""COMPUTED_VALUE"""),1270419.0)</f>
        <v>1270419</v>
      </c>
      <c r="H276" s="27">
        <f>IFERROR(__xludf.DUMMYFUNCTION("""COMPUTED_VALUE"""),38756.645833333336)</f>
        <v>38756.64583</v>
      </c>
      <c r="I276" s="25">
        <f>IFERROR(__xludf.DUMMYFUNCTION("""COMPUTED_VALUE"""),208.25)</f>
        <v>208.25</v>
      </c>
      <c r="J276" s="25">
        <f>IFERROR(__xludf.DUMMYFUNCTION("""COMPUTED_VALUE"""),209.01)</f>
        <v>209.01</v>
      </c>
      <c r="K276" s="25">
        <f>IFERROR(__xludf.DUMMYFUNCTION("""COMPUTED_VALUE"""),206.55)</f>
        <v>206.55</v>
      </c>
      <c r="L276" s="25">
        <f>IFERROR(__xludf.DUMMYFUNCTION("""COMPUTED_VALUE"""),207.81)</f>
        <v>207.81</v>
      </c>
      <c r="M276" s="25">
        <f>IFERROR(__xludf.DUMMYFUNCTION("""COMPUTED_VALUE"""),416581.0)</f>
        <v>416581</v>
      </c>
    </row>
    <row r="277">
      <c r="A277" s="26">
        <f>IFERROR(__xludf.DUMMYFUNCTION("""COMPUTED_VALUE"""),38758.645833333336)</f>
        <v>38758.64583</v>
      </c>
      <c r="B277" s="9">
        <f>IFERROR(__xludf.DUMMYFUNCTION("""COMPUTED_VALUE"""),180.63)</f>
        <v>180.63</v>
      </c>
      <c r="C277" s="9">
        <f>IFERROR(__xludf.DUMMYFUNCTION("""COMPUTED_VALUE"""),182.5)</f>
        <v>182.5</v>
      </c>
      <c r="D277" s="9">
        <f>IFERROR(__xludf.DUMMYFUNCTION("""COMPUTED_VALUE"""),178.0)</f>
        <v>178</v>
      </c>
      <c r="E277" s="9">
        <f>IFERROR(__xludf.DUMMYFUNCTION("""COMPUTED_VALUE"""),179.02)</f>
        <v>179.02</v>
      </c>
      <c r="F277" s="9">
        <f>IFERROR(__xludf.DUMMYFUNCTION("""COMPUTED_VALUE"""),1478753.0)</f>
        <v>1478753</v>
      </c>
      <c r="H277" s="27">
        <f>IFERROR(__xludf.DUMMYFUNCTION("""COMPUTED_VALUE"""),38758.645833333336)</f>
        <v>38758.64583</v>
      </c>
      <c r="I277" s="25">
        <f>IFERROR(__xludf.DUMMYFUNCTION("""COMPUTED_VALUE"""),208.77)</f>
        <v>208.77</v>
      </c>
      <c r="J277" s="25">
        <f>IFERROR(__xludf.DUMMYFUNCTION("""COMPUTED_VALUE"""),209.75)</f>
        <v>209.75</v>
      </c>
      <c r="K277" s="25">
        <f>IFERROR(__xludf.DUMMYFUNCTION("""COMPUTED_VALUE"""),205.63)</f>
        <v>205.63</v>
      </c>
      <c r="L277" s="25">
        <f>IFERROR(__xludf.DUMMYFUNCTION("""COMPUTED_VALUE"""),208.7)</f>
        <v>208.7</v>
      </c>
      <c r="M277" s="25">
        <f>IFERROR(__xludf.DUMMYFUNCTION("""COMPUTED_VALUE"""),341025.0)</f>
        <v>341025</v>
      </c>
    </row>
    <row r="278">
      <c r="A278" s="26">
        <f>IFERROR(__xludf.DUMMYFUNCTION("""COMPUTED_VALUE"""),38761.645833333336)</f>
        <v>38761.64583</v>
      </c>
      <c r="B278" s="9">
        <f>IFERROR(__xludf.DUMMYFUNCTION("""COMPUTED_VALUE"""),178.88)</f>
        <v>178.88</v>
      </c>
      <c r="C278" s="9">
        <f>IFERROR(__xludf.DUMMYFUNCTION("""COMPUTED_VALUE"""),180.0)</f>
        <v>180</v>
      </c>
      <c r="D278" s="9">
        <f>IFERROR(__xludf.DUMMYFUNCTION("""COMPUTED_VALUE"""),178.13)</f>
        <v>178.13</v>
      </c>
      <c r="E278" s="9">
        <f>IFERROR(__xludf.DUMMYFUNCTION("""COMPUTED_VALUE"""),178.88)</f>
        <v>178.88</v>
      </c>
      <c r="F278" s="9">
        <f>IFERROR(__xludf.DUMMYFUNCTION("""COMPUTED_VALUE"""),863820.0)</f>
        <v>863820</v>
      </c>
      <c r="H278" s="27">
        <f>IFERROR(__xludf.DUMMYFUNCTION("""COMPUTED_VALUE"""),38761.645833333336)</f>
        <v>38761.64583</v>
      </c>
      <c r="I278" s="25">
        <f>IFERROR(__xludf.DUMMYFUNCTION("""COMPUTED_VALUE"""),208.7)</f>
        <v>208.7</v>
      </c>
      <c r="J278" s="25">
        <f>IFERROR(__xludf.DUMMYFUNCTION("""COMPUTED_VALUE"""),208.75)</f>
        <v>208.75</v>
      </c>
      <c r="K278" s="25">
        <f>IFERROR(__xludf.DUMMYFUNCTION("""COMPUTED_VALUE"""),206.0)</f>
        <v>206</v>
      </c>
      <c r="L278" s="25">
        <f>IFERROR(__xludf.DUMMYFUNCTION("""COMPUTED_VALUE"""),206.38)</f>
        <v>206.38</v>
      </c>
      <c r="M278" s="25">
        <f>IFERROR(__xludf.DUMMYFUNCTION("""COMPUTED_VALUE"""),252568.0)</f>
        <v>252568</v>
      </c>
    </row>
    <row r="279">
      <c r="A279" s="26">
        <f>IFERROR(__xludf.DUMMYFUNCTION("""COMPUTED_VALUE"""),38762.645833333336)</f>
        <v>38762.64583</v>
      </c>
      <c r="B279" s="9">
        <f>IFERROR(__xludf.DUMMYFUNCTION("""COMPUTED_VALUE"""),179.05)</f>
        <v>179.05</v>
      </c>
      <c r="C279" s="9">
        <f>IFERROR(__xludf.DUMMYFUNCTION("""COMPUTED_VALUE"""),179.05)</f>
        <v>179.05</v>
      </c>
      <c r="D279" s="9">
        <f>IFERROR(__xludf.DUMMYFUNCTION("""COMPUTED_VALUE"""),176.04)</f>
        <v>176.04</v>
      </c>
      <c r="E279" s="9">
        <f>IFERROR(__xludf.DUMMYFUNCTION("""COMPUTED_VALUE"""),176.37)</f>
        <v>176.37</v>
      </c>
      <c r="F279" s="9">
        <f>IFERROR(__xludf.DUMMYFUNCTION("""COMPUTED_VALUE"""),820373.0)</f>
        <v>820373</v>
      </c>
      <c r="H279" s="27">
        <f>IFERROR(__xludf.DUMMYFUNCTION("""COMPUTED_VALUE"""),38762.645833333336)</f>
        <v>38762.64583</v>
      </c>
      <c r="I279" s="25">
        <f>IFERROR(__xludf.DUMMYFUNCTION("""COMPUTED_VALUE"""),208.75)</f>
        <v>208.75</v>
      </c>
      <c r="J279" s="25">
        <f>IFERROR(__xludf.DUMMYFUNCTION("""COMPUTED_VALUE"""),208.75)</f>
        <v>208.75</v>
      </c>
      <c r="K279" s="25">
        <f>IFERROR(__xludf.DUMMYFUNCTION("""COMPUTED_VALUE"""),201.75)</f>
        <v>201.75</v>
      </c>
      <c r="L279" s="25">
        <f>IFERROR(__xludf.DUMMYFUNCTION("""COMPUTED_VALUE"""),202.32)</f>
        <v>202.32</v>
      </c>
      <c r="M279" s="25">
        <f>IFERROR(__xludf.DUMMYFUNCTION("""COMPUTED_VALUE"""),870258.0)</f>
        <v>870258</v>
      </c>
    </row>
    <row r="280">
      <c r="A280" s="26">
        <f>IFERROR(__xludf.DUMMYFUNCTION("""COMPUTED_VALUE"""),38763.645833333336)</f>
        <v>38763.64583</v>
      </c>
      <c r="B280" s="9">
        <f>IFERROR(__xludf.DUMMYFUNCTION("""COMPUTED_VALUE"""),176.25)</f>
        <v>176.25</v>
      </c>
      <c r="C280" s="9">
        <f>IFERROR(__xludf.DUMMYFUNCTION("""COMPUTED_VALUE"""),177.79)</f>
        <v>177.79</v>
      </c>
      <c r="D280" s="9">
        <f>IFERROR(__xludf.DUMMYFUNCTION("""COMPUTED_VALUE"""),172.29)</f>
        <v>172.29</v>
      </c>
      <c r="E280" s="9">
        <f>IFERROR(__xludf.DUMMYFUNCTION("""COMPUTED_VALUE"""),173.51)</f>
        <v>173.51</v>
      </c>
      <c r="F280" s="9">
        <f>IFERROR(__xludf.DUMMYFUNCTION("""COMPUTED_VALUE"""),1760846.0)</f>
        <v>1760846</v>
      </c>
      <c r="H280" s="27">
        <f>IFERROR(__xludf.DUMMYFUNCTION("""COMPUTED_VALUE"""),38763.645833333336)</f>
        <v>38763.64583</v>
      </c>
      <c r="I280" s="25">
        <f>IFERROR(__xludf.DUMMYFUNCTION("""COMPUTED_VALUE"""),205.99)</f>
        <v>205.99</v>
      </c>
      <c r="J280" s="25">
        <f>IFERROR(__xludf.DUMMYFUNCTION("""COMPUTED_VALUE"""),205.99)</f>
        <v>205.99</v>
      </c>
      <c r="K280" s="25">
        <f>IFERROR(__xludf.DUMMYFUNCTION("""COMPUTED_VALUE"""),200.63)</f>
        <v>200.63</v>
      </c>
      <c r="L280" s="25">
        <f>IFERROR(__xludf.DUMMYFUNCTION("""COMPUTED_VALUE"""),202.42)</f>
        <v>202.42</v>
      </c>
      <c r="M280" s="25">
        <f>IFERROR(__xludf.DUMMYFUNCTION("""COMPUTED_VALUE"""),526165.0)</f>
        <v>526165</v>
      </c>
    </row>
    <row r="281">
      <c r="A281" s="26">
        <f>IFERROR(__xludf.DUMMYFUNCTION("""COMPUTED_VALUE"""),38764.645833333336)</f>
        <v>38764.64583</v>
      </c>
      <c r="B281" s="9">
        <f>IFERROR(__xludf.DUMMYFUNCTION("""COMPUTED_VALUE"""),173.75)</f>
        <v>173.75</v>
      </c>
      <c r="C281" s="9">
        <f>IFERROR(__xludf.DUMMYFUNCTION("""COMPUTED_VALUE"""),176.69)</f>
        <v>176.69</v>
      </c>
      <c r="D281" s="9">
        <f>IFERROR(__xludf.DUMMYFUNCTION("""COMPUTED_VALUE"""),173.29)</f>
        <v>173.29</v>
      </c>
      <c r="E281" s="9">
        <f>IFERROR(__xludf.DUMMYFUNCTION("""COMPUTED_VALUE"""),173.82)</f>
        <v>173.82</v>
      </c>
      <c r="F281" s="9">
        <f>IFERROR(__xludf.DUMMYFUNCTION("""COMPUTED_VALUE"""),865536.0)</f>
        <v>865536</v>
      </c>
      <c r="H281" s="27">
        <f>IFERROR(__xludf.DUMMYFUNCTION("""COMPUTED_VALUE"""),38764.645833333336)</f>
        <v>38764.64583</v>
      </c>
      <c r="I281" s="25">
        <f>IFERROR(__xludf.DUMMYFUNCTION("""COMPUTED_VALUE"""),203.13)</f>
        <v>203.13</v>
      </c>
      <c r="J281" s="25">
        <f>IFERROR(__xludf.DUMMYFUNCTION("""COMPUTED_VALUE"""),204.98)</f>
        <v>204.98</v>
      </c>
      <c r="K281" s="25">
        <f>IFERROR(__xludf.DUMMYFUNCTION("""COMPUTED_VALUE"""),201.5)</f>
        <v>201.5</v>
      </c>
      <c r="L281" s="25">
        <f>IFERROR(__xludf.DUMMYFUNCTION("""COMPUTED_VALUE"""),203.65)</f>
        <v>203.65</v>
      </c>
      <c r="M281" s="25">
        <f>IFERROR(__xludf.DUMMYFUNCTION("""COMPUTED_VALUE"""),660561.0)</f>
        <v>660561</v>
      </c>
    </row>
    <row r="282">
      <c r="A282" s="26">
        <f>IFERROR(__xludf.DUMMYFUNCTION("""COMPUTED_VALUE"""),38765.645833333336)</f>
        <v>38765.64583</v>
      </c>
      <c r="B282" s="9">
        <f>IFERROR(__xludf.DUMMYFUNCTION("""COMPUTED_VALUE"""),171.88)</f>
        <v>171.88</v>
      </c>
      <c r="C282" s="9">
        <f>IFERROR(__xludf.DUMMYFUNCTION("""COMPUTED_VALUE"""),174.88)</f>
        <v>174.88</v>
      </c>
      <c r="D282" s="9">
        <f>IFERROR(__xludf.DUMMYFUNCTION("""COMPUTED_VALUE"""),171.63)</f>
        <v>171.63</v>
      </c>
      <c r="E282" s="9">
        <f>IFERROR(__xludf.DUMMYFUNCTION("""COMPUTED_VALUE"""),174.09)</f>
        <v>174.09</v>
      </c>
      <c r="F282" s="9">
        <f>IFERROR(__xludf.DUMMYFUNCTION("""COMPUTED_VALUE"""),960899.0)</f>
        <v>960899</v>
      </c>
      <c r="H282" s="27">
        <f>IFERROR(__xludf.DUMMYFUNCTION("""COMPUTED_VALUE"""),38765.645833333336)</f>
        <v>38765.64583</v>
      </c>
      <c r="I282" s="25">
        <f>IFERROR(__xludf.DUMMYFUNCTION("""COMPUTED_VALUE"""),206.25)</f>
        <v>206.25</v>
      </c>
      <c r="J282" s="25">
        <f>IFERROR(__xludf.DUMMYFUNCTION("""COMPUTED_VALUE"""),207.05)</f>
        <v>207.05</v>
      </c>
      <c r="K282" s="25">
        <f>IFERROR(__xludf.DUMMYFUNCTION("""COMPUTED_VALUE"""),202.5)</f>
        <v>202.5</v>
      </c>
      <c r="L282" s="25">
        <f>IFERROR(__xludf.DUMMYFUNCTION("""COMPUTED_VALUE"""),203.13)</f>
        <v>203.13</v>
      </c>
      <c r="M282" s="25">
        <f>IFERROR(__xludf.DUMMYFUNCTION("""COMPUTED_VALUE"""),365431.0)</f>
        <v>365431</v>
      </c>
    </row>
    <row r="283">
      <c r="A283" s="26">
        <f>IFERROR(__xludf.DUMMYFUNCTION("""COMPUTED_VALUE"""),38768.645833333336)</f>
        <v>38768.64583</v>
      </c>
      <c r="B283" s="9">
        <f>IFERROR(__xludf.DUMMYFUNCTION("""COMPUTED_VALUE"""),174.06)</f>
        <v>174.06</v>
      </c>
      <c r="C283" s="9">
        <f>IFERROR(__xludf.DUMMYFUNCTION("""COMPUTED_VALUE"""),177.35)</f>
        <v>177.35</v>
      </c>
      <c r="D283" s="9">
        <f>IFERROR(__xludf.DUMMYFUNCTION("""COMPUTED_VALUE"""),171.88)</f>
        <v>171.88</v>
      </c>
      <c r="E283" s="9">
        <f>IFERROR(__xludf.DUMMYFUNCTION("""COMPUTED_VALUE"""),176.78)</f>
        <v>176.78</v>
      </c>
      <c r="F283" s="9">
        <f>IFERROR(__xludf.DUMMYFUNCTION("""COMPUTED_VALUE"""),788270.0)</f>
        <v>788270</v>
      </c>
      <c r="H283" s="27">
        <f>IFERROR(__xludf.DUMMYFUNCTION("""COMPUTED_VALUE"""),38768.645833333336)</f>
        <v>38768.64583</v>
      </c>
      <c r="I283" s="25">
        <f>IFERROR(__xludf.DUMMYFUNCTION("""COMPUTED_VALUE"""),204.88)</f>
        <v>204.88</v>
      </c>
      <c r="J283" s="25">
        <f>IFERROR(__xludf.DUMMYFUNCTION("""COMPUTED_VALUE"""),206.88)</f>
        <v>206.88</v>
      </c>
      <c r="K283" s="25">
        <f>IFERROR(__xludf.DUMMYFUNCTION("""COMPUTED_VALUE"""),203.43)</f>
        <v>203.43</v>
      </c>
      <c r="L283" s="25">
        <f>IFERROR(__xludf.DUMMYFUNCTION("""COMPUTED_VALUE"""),206.23)</f>
        <v>206.23</v>
      </c>
      <c r="M283" s="25">
        <f>IFERROR(__xludf.DUMMYFUNCTION("""COMPUTED_VALUE"""),330451.0)</f>
        <v>330451</v>
      </c>
    </row>
    <row r="284">
      <c r="A284" s="26">
        <f>IFERROR(__xludf.DUMMYFUNCTION("""COMPUTED_VALUE"""),38769.645833333336)</f>
        <v>38769.64583</v>
      </c>
      <c r="B284" s="9">
        <f>IFERROR(__xludf.DUMMYFUNCTION("""COMPUTED_VALUE"""),176.88)</f>
        <v>176.88</v>
      </c>
      <c r="C284" s="9">
        <f>IFERROR(__xludf.DUMMYFUNCTION("""COMPUTED_VALUE"""),177.73)</f>
        <v>177.73</v>
      </c>
      <c r="D284" s="9">
        <f>IFERROR(__xludf.DUMMYFUNCTION("""COMPUTED_VALUE"""),175.25)</f>
        <v>175.25</v>
      </c>
      <c r="E284" s="9">
        <f>IFERROR(__xludf.DUMMYFUNCTION("""COMPUTED_VALUE"""),176.1)</f>
        <v>176.1</v>
      </c>
      <c r="F284" s="9">
        <f>IFERROR(__xludf.DUMMYFUNCTION("""COMPUTED_VALUE"""),534657.0)</f>
        <v>534657</v>
      </c>
      <c r="H284" s="27">
        <f>IFERROR(__xludf.DUMMYFUNCTION("""COMPUTED_VALUE"""),38769.645833333336)</f>
        <v>38769.64583</v>
      </c>
      <c r="I284" s="25">
        <f>IFERROR(__xludf.DUMMYFUNCTION("""COMPUTED_VALUE"""),206.88)</f>
        <v>206.88</v>
      </c>
      <c r="J284" s="25">
        <f>IFERROR(__xludf.DUMMYFUNCTION("""COMPUTED_VALUE"""),208.88)</f>
        <v>208.88</v>
      </c>
      <c r="K284" s="25">
        <f>IFERROR(__xludf.DUMMYFUNCTION("""COMPUTED_VALUE"""),206.39)</f>
        <v>206.39</v>
      </c>
      <c r="L284" s="25">
        <f>IFERROR(__xludf.DUMMYFUNCTION("""COMPUTED_VALUE"""),208.25)</f>
        <v>208.25</v>
      </c>
      <c r="M284" s="25">
        <f>IFERROR(__xludf.DUMMYFUNCTION("""COMPUTED_VALUE"""),287655.0)</f>
        <v>287655</v>
      </c>
    </row>
    <row r="285">
      <c r="A285" s="26">
        <f>IFERROR(__xludf.DUMMYFUNCTION("""COMPUTED_VALUE"""),38770.645833333336)</f>
        <v>38770.64583</v>
      </c>
      <c r="B285" s="9">
        <f>IFERROR(__xludf.DUMMYFUNCTION("""COMPUTED_VALUE"""),176.06)</f>
        <v>176.06</v>
      </c>
      <c r="C285" s="9">
        <f>IFERROR(__xludf.DUMMYFUNCTION("""COMPUTED_VALUE"""),176.25)</f>
        <v>176.25</v>
      </c>
      <c r="D285" s="9">
        <f>IFERROR(__xludf.DUMMYFUNCTION("""COMPUTED_VALUE"""),173.83)</f>
        <v>173.83</v>
      </c>
      <c r="E285" s="9">
        <f>IFERROR(__xludf.DUMMYFUNCTION("""COMPUTED_VALUE"""),175.03)</f>
        <v>175.03</v>
      </c>
      <c r="F285" s="9">
        <f>IFERROR(__xludf.DUMMYFUNCTION("""COMPUTED_VALUE"""),702403.0)</f>
        <v>702403</v>
      </c>
      <c r="H285" s="27">
        <f>IFERROR(__xludf.DUMMYFUNCTION("""COMPUTED_VALUE"""),38770.645833333336)</f>
        <v>38770.64583</v>
      </c>
      <c r="I285" s="25">
        <f>IFERROR(__xludf.DUMMYFUNCTION("""COMPUTED_VALUE"""),208.75)</f>
        <v>208.75</v>
      </c>
      <c r="J285" s="25">
        <f>IFERROR(__xludf.DUMMYFUNCTION("""COMPUTED_VALUE"""),208.75)</f>
        <v>208.75</v>
      </c>
      <c r="K285" s="25">
        <f>IFERROR(__xludf.DUMMYFUNCTION("""COMPUTED_VALUE"""),206.41)</f>
        <v>206.41</v>
      </c>
      <c r="L285" s="25">
        <f>IFERROR(__xludf.DUMMYFUNCTION("""COMPUTED_VALUE"""),207.73)</f>
        <v>207.73</v>
      </c>
      <c r="M285" s="25">
        <f>IFERROR(__xludf.DUMMYFUNCTION("""COMPUTED_VALUE"""),144574.0)</f>
        <v>144574</v>
      </c>
    </row>
    <row r="286">
      <c r="A286" s="26">
        <f>IFERROR(__xludf.DUMMYFUNCTION("""COMPUTED_VALUE"""),38771.645833333336)</f>
        <v>38771.64583</v>
      </c>
      <c r="B286" s="9">
        <f>IFERROR(__xludf.DUMMYFUNCTION("""COMPUTED_VALUE"""),175.63)</f>
        <v>175.63</v>
      </c>
      <c r="C286" s="9">
        <f>IFERROR(__xludf.DUMMYFUNCTION("""COMPUTED_VALUE"""),177.56)</f>
        <v>177.56</v>
      </c>
      <c r="D286" s="9">
        <f>IFERROR(__xludf.DUMMYFUNCTION("""COMPUTED_VALUE"""),173.5)</f>
        <v>173.5</v>
      </c>
      <c r="E286" s="9">
        <f>IFERROR(__xludf.DUMMYFUNCTION("""COMPUTED_VALUE"""),174.66)</f>
        <v>174.66</v>
      </c>
      <c r="F286" s="9">
        <f>IFERROR(__xludf.DUMMYFUNCTION("""COMPUTED_VALUE"""),1166765.0)</f>
        <v>1166765</v>
      </c>
      <c r="H286" s="27">
        <f>IFERROR(__xludf.DUMMYFUNCTION("""COMPUTED_VALUE"""),38771.645833333336)</f>
        <v>38771.64583</v>
      </c>
      <c r="I286" s="25">
        <f>IFERROR(__xludf.DUMMYFUNCTION("""COMPUTED_VALUE"""),207.5)</f>
        <v>207.5</v>
      </c>
      <c r="J286" s="25">
        <f>IFERROR(__xludf.DUMMYFUNCTION("""COMPUTED_VALUE"""),211.24)</f>
        <v>211.24</v>
      </c>
      <c r="K286" s="25">
        <f>IFERROR(__xludf.DUMMYFUNCTION("""COMPUTED_VALUE"""),207.5)</f>
        <v>207.5</v>
      </c>
      <c r="L286" s="25">
        <f>IFERROR(__xludf.DUMMYFUNCTION("""COMPUTED_VALUE"""),208.82)</f>
        <v>208.82</v>
      </c>
      <c r="M286" s="25">
        <f>IFERROR(__xludf.DUMMYFUNCTION("""COMPUTED_VALUE"""),517698.0)</f>
        <v>517698</v>
      </c>
    </row>
    <row r="287">
      <c r="A287" s="26">
        <f>IFERROR(__xludf.DUMMYFUNCTION("""COMPUTED_VALUE"""),38772.645833333336)</f>
        <v>38772.64583</v>
      </c>
      <c r="B287" s="9">
        <f>IFERROR(__xludf.DUMMYFUNCTION("""COMPUTED_VALUE"""),174.66)</f>
        <v>174.66</v>
      </c>
      <c r="C287" s="9">
        <f>IFERROR(__xludf.DUMMYFUNCTION("""COMPUTED_VALUE"""),175.62)</f>
        <v>175.62</v>
      </c>
      <c r="D287" s="9">
        <f>IFERROR(__xludf.DUMMYFUNCTION("""COMPUTED_VALUE"""),171.89)</f>
        <v>171.89</v>
      </c>
      <c r="E287" s="9">
        <f>IFERROR(__xludf.DUMMYFUNCTION("""COMPUTED_VALUE"""),172.35)</f>
        <v>172.35</v>
      </c>
      <c r="F287" s="9">
        <f>IFERROR(__xludf.DUMMYFUNCTION("""COMPUTED_VALUE"""),625214.0)</f>
        <v>625214</v>
      </c>
      <c r="H287" s="27">
        <f>IFERROR(__xludf.DUMMYFUNCTION("""COMPUTED_VALUE"""),38772.645833333336)</f>
        <v>38772.64583</v>
      </c>
      <c r="I287" s="25">
        <f>IFERROR(__xludf.DUMMYFUNCTION("""COMPUTED_VALUE"""),208.78)</f>
        <v>208.78</v>
      </c>
      <c r="J287" s="25">
        <f>IFERROR(__xludf.DUMMYFUNCTION("""COMPUTED_VALUE"""),210.0)</f>
        <v>210</v>
      </c>
      <c r="K287" s="25">
        <f>IFERROR(__xludf.DUMMYFUNCTION("""COMPUTED_VALUE"""),207.04)</f>
        <v>207.04</v>
      </c>
      <c r="L287" s="25">
        <f>IFERROR(__xludf.DUMMYFUNCTION("""COMPUTED_VALUE"""),208.76)</f>
        <v>208.76</v>
      </c>
      <c r="M287" s="25">
        <f>IFERROR(__xludf.DUMMYFUNCTION("""COMPUTED_VALUE"""),137167.0)</f>
        <v>137167</v>
      </c>
    </row>
    <row r="288">
      <c r="A288" s="26">
        <f>IFERROR(__xludf.DUMMYFUNCTION("""COMPUTED_VALUE"""),38775.645833333336)</f>
        <v>38775.64583</v>
      </c>
      <c r="B288" s="9">
        <f>IFERROR(__xludf.DUMMYFUNCTION("""COMPUTED_VALUE"""),173.13)</f>
        <v>173.13</v>
      </c>
      <c r="C288" s="9">
        <f>IFERROR(__xludf.DUMMYFUNCTION("""COMPUTED_VALUE"""),178.66)</f>
        <v>178.66</v>
      </c>
      <c r="D288" s="9">
        <f>IFERROR(__xludf.DUMMYFUNCTION("""COMPUTED_VALUE"""),172.96)</f>
        <v>172.96</v>
      </c>
      <c r="E288" s="9">
        <f>IFERROR(__xludf.DUMMYFUNCTION("""COMPUTED_VALUE"""),178.16)</f>
        <v>178.16</v>
      </c>
      <c r="F288" s="9">
        <f>IFERROR(__xludf.DUMMYFUNCTION("""COMPUTED_VALUE"""),1197602.0)</f>
        <v>1197602</v>
      </c>
      <c r="H288" s="27">
        <f>IFERROR(__xludf.DUMMYFUNCTION("""COMPUTED_VALUE"""),38775.645833333336)</f>
        <v>38775.64583</v>
      </c>
      <c r="I288" s="25">
        <f>IFERROR(__xludf.DUMMYFUNCTION("""COMPUTED_VALUE"""),208.38)</f>
        <v>208.38</v>
      </c>
      <c r="J288" s="25">
        <f>IFERROR(__xludf.DUMMYFUNCTION("""COMPUTED_VALUE"""),211.88)</f>
        <v>211.88</v>
      </c>
      <c r="K288" s="25">
        <f>IFERROR(__xludf.DUMMYFUNCTION("""COMPUTED_VALUE"""),208.3)</f>
        <v>208.3</v>
      </c>
      <c r="L288" s="25">
        <f>IFERROR(__xludf.DUMMYFUNCTION("""COMPUTED_VALUE"""),211.3)</f>
        <v>211.3</v>
      </c>
      <c r="M288" s="25">
        <f>IFERROR(__xludf.DUMMYFUNCTION("""COMPUTED_VALUE"""),315139.0)</f>
        <v>315139</v>
      </c>
    </row>
    <row r="289">
      <c r="A289" s="26">
        <f>IFERROR(__xludf.DUMMYFUNCTION("""COMPUTED_VALUE"""),38776.645833333336)</f>
        <v>38776.64583</v>
      </c>
      <c r="B289" s="9">
        <f>IFERROR(__xludf.DUMMYFUNCTION("""COMPUTED_VALUE"""),178.66)</f>
        <v>178.66</v>
      </c>
      <c r="C289" s="9">
        <f>IFERROR(__xludf.DUMMYFUNCTION("""COMPUTED_VALUE"""),180.5)</f>
        <v>180.5</v>
      </c>
      <c r="D289" s="9">
        <f>IFERROR(__xludf.DUMMYFUNCTION("""COMPUTED_VALUE"""),175.16)</f>
        <v>175.16</v>
      </c>
      <c r="E289" s="9">
        <f>IFERROR(__xludf.DUMMYFUNCTION("""COMPUTED_VALUE"""),176.81)</f>
        <v>176.81</v>
      </c>
      <c r="F289" s="9">
        <f>IFERROR(__xludf.DUMMYFUNCTION("""COMPUTED_VALUE"""),1378468.0)</f>
        <v>1378468</v>
      </c>
      <c r="H289" s="27">
        <f>IFERROR(__xludf.DUMMYFUNCTION("""COMPUTED_VALUE"""),38776.645833333336)</f>
        <v>38776.64583</v>
      </c>
      <c r="I289" s="25">
        <f>IFERROR(__xludf.DUMMYFUNCTION("""COMPUTED_VALUE"""),211.88)</f>
        <v>211.88</v>
      </c>
      <c r="J289" s="25">
        <f>IFERROR(__xludf.DUMMYFUNCTION("""COMPUTED_VALUE"""),213.0)</f>
        <v>213</v>
      </c>
      <c r="K289" s="25">
        <f>IFERROR(__xludf.DUMMYFUNCTION("""COMPUTED_VALUE"""),208.75)</f>
        <v>208.75</v>
      </c>
      <c r="L289" s="25">
        <f>IFERROR(__xludf.DUMMYFUNCTION("""COMPUTED_VALUE"""),212.6)</f>
        <v>212.6</v>
      </c>
      <c r="M289" s="25">
        <f>IFERROR(__xludf.DUMMYFUNCTION("""COMPUTED_VALUE"""),352718.0)</f>
        <v>352718</v>
      </c>
    </row>
    <row r="290">
      <c r="A290" s="26">
        <f>IFERROR(__xludf.DUMMYFUNCTION("""COMPUTED_VALUE"""),38777.645833333336)</f>
        <v>38777.64583</v>
      </c>
      <c r="B290" s="9">
        <f>IFERROR(__xludf.DUMMYFUNCTION("""COMPUTED_VALUE"""),176.19)</f>
        <v>176.19</v>
      </c>
      <c r="C290" s="9">
        <f>IFERROR(__xludf.DUMMYFUNCTION("""COMPUTED_VALUE"""),182.18)</f>
        <v>182.18</v>
      </c>
      <c r="D290" s="9">
        <f>IFERROR(__xludf.DUMMYFUNCTION("""COMPUTED_VALUE"""),174.69)</f>
        <v>174.69</v>
      </c>
      <c r="E290" s="9">
        <f>IFERROR(__xludf.DUMMYFUNCTION("""COMPUTED_VALUE"""),181.57)</f>
        <v>181.57</v>
      </c>
      <c r="F290" s="9">
        <f>IFERROR(__xludf.DUMMYFUNCTION("""COMPUTED_VALUE"""),1285990.0)</f>
        <v>1285990</v>
      </c>
      <c r="H290" s="27">
        <f>IFERROR(__xludf.DUMMYFUNCTION("""COMPUTED_VALUE"""),38777.645833333336)</f>
        <v>38777.64583</v>
      </c>
      <c r="I290" s="25">
        <f>IFERROR(__xludf.DUMMYFUNCTION("""COMPUTED_VALUE"""),212.5)</f>
        <v>212.5</v>
      </c>
      <c r="J290" s="25">
        <f>IFERROR(__xludf.DUMMYFUNCTION("""COMPUTED_VALUE"""),218.18)</f>
        <v>218.18</v>
      </c>
      <c r="K290" s="25">
        <f>IFERROR(__xludf.DUMMYFUNCTION("""COMPUTED_VALUE"""),210.91)</f>
        <v>210.91</v>
      </c>
      <c r="L290" s="25">
        <f>IFERROR(__xludf.DUMMYFUNCTION("""COMPUTED_VALUE"""),217.53)</f>
        <v>217.53</v>
      </c>
      <c r="M290" s="25">
        <f>IFERROR(__xludf.DUMMYFUNCTION("""COMPUTED_VALUE"""),563269.0)</f>
        <v>563269</v>
      </c>
    </row>
    <row r="291">
      <c r="A291" s="26">
        <f>IFERROR(__xludf.DUMMYFUNCTION("""COMPUTED_VALUE"""),38778.645833333336)</f>
        <v>38778.64583</v>
      </c>
      <c r="B291" s="9">
        <f>IFERROR(__xludf.DUMMYFUNCTION("""COMPUTED_VALUE"""),181.88)</f>
        <v>181.88</v>
      </c>
      <c r="C291" s="9">
        <f>IFERROR(__xludf.DUMMYFUNCTION("""COMPUTED_VALUE"""),182.38)</f>
        <v>182.38</v>
      </c>
      <c r="D291" s="9">
        <f>IFERROR(__xludf.DUMMYFUNCTION("""COMPUTED_VALUE"""),177.81)</f>
        <v>177.81</v>
      </c>
      <c r="E291" s="9">
        <f>IFERROR(__xludf.DUMMYFUNCTION("""COMPUTED_VALUE"""),178.39)</f>
        <v>178.39</v>
      </c>
      <c r="F291" s="9">
        <f>IFERROR(__xludf.DUMMYFUNCTION("""COMPUTED_VALUE"""),1091935.0)</f>
        <v>1091935</v>
      </c>
      <c r="H291" s="27">
        <f>IFERROR(__xludf.DUMMYFUNCTION("""COMPUTED_VALUE"""),38778.645833333336)</f>
        <v>38778.64583</v>
      </c>
      <c r="I291" s="25">
        <f>IFERROR(__xludf.DUMMYFUNCTION("""COMPUTED_VALUE"""),218.18)</f>
        <v>218.18</v>
      </c>
      <c r="J291" s="25">
        <f>IFERROR(__xludf.DUMMYFUNCTION("""COMPUTED_VALUE"""),219.25)</f>
        <v>219.25</v>
      </c>
      <c r="K291" s="25">
        <f>IFERROR(__xludf.DUMMYFUNCTION("""COMPUTED_VALUE"""),215.05)</f>
        <v>215.05</v>
      </c>
      <c r="L291" s="25">
        <f>IFERROR(__xludf.DUMMYFUNCTION("""COMPUTED_VALUE"""),217.73)</f>
        <v>217.73</v>
      </c>
      <c r="M291" s="25">
        <f>IFERROR(__xludf.DUMMYFUNCTION("""COMPUTED_VALUE"""),409712.0)</f>
        <v>409712</v>
      </c>
    </row>
    <row r="292">
      <c r="A292" s="26">
        <f>IFERROR(__xludf.DUMMYFUNCTION("""COMPUTED_VALUE"""),38779.645833333336)</f>
        <v>38779.64583</v>
      </c>
      <c r="B292" s="9">
        <f>IFERROR(__xludf.DUMMYFUNCTION("""COMPUTED_VALUE"""),178.75)</f>
        <v>178.75</v>
      </c>
      <c r="C292" s="9">
        <f>IFERROR(__xludf.DUMMYFUNCTION("""COMPUTED_VALUE"""),180.13)</f>
        <v>180.13</v>
      </c>
      <c r="D292" s="9">
        <f>IFERROR(__xludf.DUMMYFUNCTION("""COMPUTED_VALUE"""),175.07)</f>
        <v>175.07</v>
      </c>
      <c r="E292" s="9">
        <f>IFERROR(__xludf.DUMMYFUNCTION("""COMPUTED_VALUE"""),176.52)</f>
        <v>176.52</v>
      </c>
      <c r="F292" s="9">
        <f>IFERROR(__xludf.DUMMYFUNCTION("""COMPUTED_VALUE"""),854241.0)</f>
        <v>854241</v>
      </c>
      <c r="H292" s="27">
        <f>IFERROR(__xludf.DUMMYFUNCTION("""COMPUTED_VALUE"""),38779.645833333336)</f>
        <v>38779.64583</v>
      </c>
      <c r="I292" s="25">
        <f>IFERROR(__xludf.DUMMYFUNCTION("""COMPUTED_VALUE"""),217.75)</f>
        <v>217.75</v>
      </c>
      <c r="J292" s="25">
        <f>IFERROR(__xludf.DUMMYFUNCTION("""COMPUTED_VALUE"""),217.75)</f>
        <v>217.75</v>
      </c>
      <c r="K292" s="25">
        <f>IFERROR(__xludf.DUMMYFUNCTION("""COMPUTED_VALUE"""),212.17)</f>
        <v>212.17</v>
      </c>
      <c r="L292" s="25">
        <f>IFERROR(__xludf.DUMMYFUNCTION("""COMPUTED_VALUE"""),213.22)</f>
        <v>213.22</v>
      </c>
      <c r="M292" s="25">
        <f>IFERROR(__xludf.DUMMYFUNCTION("""COMPUTED_VALUE"""),265555.0)</f>
        <v>265555</v>
      </c>
    </row>
    <row r="293">
      <c r="A293" s="26">
        <f>IFERROR(__xludf.DUMMYFUNCTION("""COMPUTED_VALUE"""),38782.645833333336)</f>
        <v>38782.64583</v>
      </c>
      <c r="B293" s="9">
        <f>IFERROR(__xludf.DUMMYFUNCTION("""COMPUTED_VALUE"""),176.5)</f>
        <v>176.5</v>
      </c>
      <c r="C293" s="9">
        <f>IFERROR(__xludf.DUMMYFUNCTION("""COMPUTED_VALUE"""),179.81)</f>
        <v>179.81</v>
      </c>
      <c r="D293" s="9">
        <f>IFERROR(__xludf.DUMMYFUNCTION("""COMPUTED_VALUE"""),176.25)</f>
        <v>176.25</v>
      </c>
      <c r="E293" s="9">
        <f>IFERROR(__xludf.DUMMYFUNCTION("""COMPUTED_VALUE"""),178.44)</f>
        <v>178.44</v>
      </c>
      <c r="F293" s="9">
        <f>IFERROR(__xludf.DUMMYFUNCTION("""COMPUTED_VALUE"""),664545.0)</f>
        <v>664545</v>
      </c>
      <c r="H293" s="27">
        <f>IFERROR(__xludf.DUMMYFUNCTION("""COMPUTED_VALUE"""),38782.645833333336)</f>
        <v>38782.64583</v>
      </c>
      <c r="I293" s="25">
        <f>IFERROR(__xludf.DUMMYFUNCTION("""COMPUTED_VALUE"""),214.5)</f>
        <v>214.5</v>
      </c>
      <c r="J293" s="25">
        <f>IFERROR(__xludf.DUMMYFUNCTION("""COMPUTED_VALUE"""),219.13)</f>
        <v>219.13</v>
      </c>
      <c r="K293" s="25">
        <f>IFERROR(__xludf.DUMMYFUNCTION("""COMPUTED_VALUE"""),213.75)</f>
        <v>213.75</v>
      </c>
      <c r="L293" s="25">
        <f>IFERROR(__xludf.DUMMYFUNCTION("""COMPUTED_VALUE"""),218.04)</f>
        <v>218.04</v>
      </c>
      <c r="M293" s="25">
        <f>IFERROR(__xludf.DUMMYFUNCTION("""COMPUTED_VALUE"""),453948.0)</f>
        <v>453948</v>
      </c>
    </row>
    <row r="294">
      <c r="A294" s="26">
        <f>IFERROR(__xludf.DUMMYFUNCTION("""COMPUTED_VALUE"""),38783.645833333336)</f>
        <v>38783.64583</v>
      </c>
      <c r="B294" s="9">
        <f>IFERROR(__xludf.DUMMYFUNCTION("""COMPUTED_VALUE"""),178.75)</f>
        <v>178.75</v>
      </c>
      <c r="C294" s="9">
        <f>IFERROR(__xludf.DUMMYFUNCTION("""COMPUTED_VALUE"""),178.75)</f>
        <v>178.75</v>
      </c>
      <c r="D294" s="9">
        <f>IFERROR(__xludf.DUMMYFUNCTION("""COMPUTED_VALUE"""),175.19)</f>
        <v>175.19</v>
      </c>
      <c r="E294" s="9">
        <f>IFERROR(__xludf.DUMMYFUNCTION("""COMPUTED_VALUE"""),176.22)</f>
        <v>176.22</v>
      </c>
      <c r="F294" s="9">
        <f>IFERROR(__xludf.DUMMYFUNCTION("""COMPUTED_VALUE"""),1160967.0)</f>
        <v>1160967</v>
      </c>
      <c r="H294" s="27">
        <f>IFERROR(__xludf.DUMMYFUNCTION("""COMPUTED_VALUE"""),38783.645833333336)</f>
        <v>38783.64583</v>
      </c>
      <c r="I294" s="25">
        <f>IFERROR(__xludf.DUMMYFUNCTION("""COMPUTED_VALUE"""),217.52)</f>
        <v>217.52</v>
      </c>
      <c r="J294" s="25">
        <f>IFERROR(__xludf.DUMMYFUNCTION("""COMPUTED_VALUE"""),218.75)</f>
        <v>218.75</v>
      </c>
      <c r="K294" s="25">
        <f>IFERROR(__xludf.DUMMYFUNCTION("""COMPUTED_VALUE"""),215.0)</f>
        <v>215</v>
      </c>
      <c r="L294" s="25">
        <f>IFERROR(__xludf.DUMMYFUNCTION("""COMPUTED_VALUE"""),215.59)</f>
        <v>215.59</v>
      </c>
      <c r="M294" s="25">
        <f>IFERROR(__xludf.DUMMYFUNCTION("""COMPUTED_VALUE"""),248146.0)</f>
        <v>248146</v>
      </c>
    </row>
    <row r="295">
      <c r="A295" s="26">
        <f>IFERROR(__xludf.DUMMYFUNCTION("""COMPUTED_VALUE"""),38784.645833333336)</f>
        <v>38784.64583</v>
      </c>
      <c r="B295" s="9">
        <f>IFERROR(__xludf.DUMMYFUNCTION("""COMPUTED_VALUE"""),176.56)</f>
        <v>176.56</v>
      </c>
      <c r="C295" s="9">
        <f>IFERROR(__xludf.DUMMYFUNCTION("""COMPUTED_VALUE"""),177.96)</f>
        <v>177.96</v>
      </c>
      <c r="D295" s="9">
        <f>IFERROR(__xludf.DUMMYFUNCTION("""COMPUTED_VALUE"""),173.31)</f>
        <v>173.31</v>
      </c>
      <c r="E295" s="9">
        <f>IFERROR(__xludf.DUMMYFUNCTION("""COMPUTED_VALUE"""),175.07)</f>
        <v>175.07</v>
      </c>
      <c r="F295" s="9">
        <f>IFERROR(__xludf.DUMMYFUNCTION("""COMPUTED_VALUE"""),1695016.0)</f>
        <v>1695016</v>
      </c>
      <c r="H295" s="27">
        <f>IFERROR(__xludf.DUMMYFUNCTION("""COMPUTED_VALUE"""),38784.645833333336)</f>
        <v>38784.64583</v>
      </c>
      <c r="I295" s="25">
        <f>IFERROR(__xludf.DUMMYFUNCTION("""COMPUTED_VALUE"""),216.5)</f>
        <v>216.5</v>
      </c>
      <c r="J295" s="25">
        <f>IFERROR(__xludf.DUMMYFUNCTION("""COMPUTED_VALUE"""),217.5)</f>
        <v>217.5</v>
      </c>
      <c r="K295" s="25">
        <f>IFERROR(__xludf.DUMMYFUNCTION("""COMPUTED_VALUE"""),213.13)</f>
        <v>213.13</v>
      </c>
      <c r="L295" s="25">
        <f>IFERROR(__xludf.DUMMYFUNCTION("""COMPUTED_VALUE"""),215.32)</f>
        <v>215.32</v>
      </c>
      <c r="M295" s="25">
        <f>IFERROR(__xludf.DUMMYFUNCTION("""COMPUTED_VALUE"""),476686.0)</f>
        <v>476686</v>
      </c>
    </row>
    <row r="296">
      <c r="A296" s="26">
        <f>IFERROR(__xludf.DUMMYFUNCTION("""COMPUTED_VALUE"""),38785.645833333336)</f>
        <v>38785.64583</v>
      </c>
      <c r="B296" s="9">
        <f>IFERROR(__xludf.DUMMYFUNCTION("""COMPUTED_VALUE"""),174.19)</f>
        <v>174.19</v>
      </c>
      <c r="C296" s="9">
        <f>IFERROR(__xludf.DUMMYFUNCTION("""COMPUTED_VALUE"""),178.44)</f>
        <v>178.44</v>
      </c>
      <c r="D296" s="9">
        <f>IFERROR(__xludf.DUMMYFUNCTION("""COMPUTED_VALUE"""),173.75)</f>
        <v>173.75</v>
      </c>
      <c r="E296" s="9">
        <f>IFERROR(__xludf.DUMMYFUNCTION("""COMPUTED_VALUE"""),177.69)</f>
        <v>177.69</v>
      </c>
      <c r="F296" s="9">
        <f>IFERROR(__xludf.DUMMYFUNCTION("""COMPUTED_VALUE"""),908192.0)</f>
        <v>908192</v>
      </c>
      <c r="H296" s="27">
        <f>IFERROR(__xludf.DUMMYFUNCTION("""COMPUTED_VALUE"""),38785.645833333336)</f>
        <v>38785.64583</v>
      </c>
      <c r="I296" s="25">
        <f>IFERROR(__xludf.DUMMYFUNCTION("""COMPUTED_VALUE"""),215.0)</f>
        <v>215</v>
      </c>
      <c r="J296" s="25">
        <f>IFERROR(__xludf.DUMMYFUNCTION("""COMPUTED_VALUE"""),216.0)</f>
        <v>216</v>
      </c>
      <c r="K296" s="25">
        <f>IFERROR(__xludf.DUMMYFUNCTION("""COMPUTED_VALUE"""),211.25)</f>
        <v>211.25</v>
      </c>
      <c r="L296" s="25">
        <f>IFERROR(__xludf.DUMMYFUNCTION("""COMPUTED_VALUE"""),215.61)</f>
        <v>215.61</v>
      </c>
      <c r="M296" s="25">
        <f>IFERROR(__xludf.DUMMYFUNCTION("""COMPUTED_VALUE"""),582839.0)</f>
        <v>582839</v>
      </c>
    </row>
    <row r="297">
      <c r="A297" s="26">
        <f>IFERROR(__xludf.DUMMYFUNCTION("""COMPUTED_VALUE"""),38786.645833333336)</f>
        <v>38786.64583</v>
      </c>
      <c r="B297" s="9">
        <f>IFERROR(__xludf.DUMMYFUNCTION("""COMPUTED_VALUE"""),178.75)</f>
        <v>178.75</v>
      </c>
      <c r="C297" s="9">
        <f>IFERROR(__xludf.DUMMYFUNCTION("""COMPUTED_VALUE"""),182.75)</f>
        <v>182.75</v>
      </c>
      <c r="D297" s="9">
        <f>IFERROR(__xludf.DUMMYFUNCTION("""COMPUTED_VALUE"""),177.63)</f>
        <v>177.63</v>
      </c>
      <c r="E297" s="9">
        <f>IFERROR(__xludf.DUMMYFUNCTION("""COMPUTED_VALUE"""),182.09)</f>
        <v>182.09</v>
      </c>
      <c r="F297" s="9">
        <f>IFERROR(__xludf.DUMMYFUNCTION("""COMPUTED_VALUE"""),1227648.0)</f>
        <v>1227648</v>
      </c>
      <c r="H297" s="27">
        <f>IFERROR(__xludf.DUMMYFUNCTION("""COMPUTED_VALUE"""),38786.645833333336)</f>
        <v>38786.64583</v>
      </c>
      <c r="I297" s="25">
        <f>IFERROR(__xludf.DUMMYFUNCTION("""COMPUTED_VALUE"""),211.5)</f>
        <v>211.5</v>
      </c>
      <c r="J297" s="25">
        <f>IFERROR(__xludf.DUMMYFUNCTION("""COMPUTED_VALUE"""),221.88)</f>
        <v>221.88</v>
      </c>
      <c r="K297" s="25">
        <f>IFERROR(__xludf.DUMMYFUNCTION("""COMPUTED_VALUE"""),211.25)</f>
        <v>211.25</v>
      </c>
      <c r="L297" s="25">
        <f>IFERROR(__xludf.DUMMYFUNCTION("""COMPUTED_VALUE"""),220.46)</f>
        <v>220.46</v>
      </c>
      <c r="M297" s="25">
        <f>IFERROR(__xludf.DUMMYFUNCTION("""COMPUTED_VALUE"""),804368.0)</f>
        <v>804368</v>
      </c>
    </row>
    <row r="298">
      <c r="A298" s="26">
        <f>IFERROR(__xludf.DUMMYFUNCTION("""COMPUTED_VALUE"""),38789.645833333336)</f>
        <v>38789.64583</v>
      </c>
      <c r="B298" s="9">
        <f>IFERROR(__xludf.DUMMYFUNCTION("""COMPUTED_VALUE"""),182.88)</f>
        <v>182.88</v>
      </c>
      <c r="C298" s="9">
        <f>IFERROR(__xludf.DUMMYFUNCTION("""COMPUTED_VALUE"""),185.9)</f>
        <v>185.9</v>
      </c>
      <c r="D298" s="9">
        <f>IFERROR(__xludf.DUMMYFUNCTION("""COMPUTED_VALUE"""),181.88)</f>
        <v>181.88</v>
      </c>
      <c r="E298" s="9">
        <f>IFERROR(__xludf.DUMMYFUNCTION("""COMPUTED_VALUE"""),183.45)</f>
        <v>183.45</v>
      </c>
      <c r="F298" s="9">
        <f>IFERROR(__xludf.DUMMYFUNCTION("""COMPUTED_VALUE"""),1115378.0)</f>
        <v>1115378</v>
      </c>
      <c r="H298" s="27">
        <f>IFERROR(__xludf.DUMMYFUNCTION("""COMPUTED_VALUE"""),38789.645833333336)</f>
        <v>38789.64583</v>
      </c>
      <c r="I298" s="25">
        <f>IFERROR(__xludf.DUMMYFUNCTION("""COMPUTED_VALUE"""),221.73)</f>
        <v>221.73</v>
      </c>
      <c r="J298" s="25">
        <f>IFERROR(__xludf.DUMMYFUNCTION("""COMPUTED_VALUE"""),230.95)</f>
        <v>230.95</v>
      </c>
      <c r="K298" s="25">
        <f>IFERROR(__xludf.DUMMYFUNCTION("""COMPUTED_VALUE"""),221.73)</f>
        <v>221.73</v>
      </c>
      <c r="L298" s="25">
        <f>IFERROR(__xludf.DUMMYFUNCTION("""COMPUTED_VALUE"""),228.58)</f>
        <v>228.58</v>
      </c>
      <c r="M298" s="25">
        <f>IFERROR(__xludf.DUMMYFUNCTION("""COMPUTED_VALUE"""),897319.0)</f>
        <v>897319</v>
      </c>
    </row>
    <row r="299">
      <c r="A299" s="26">
        <f>IFERROR(__xludf.DUMMYFUNCTION("""COMPUTED_VALUE"""),38790.645833333336)</f>
        <v>38790.64583</v>
      </c>
      <c r="B299" s="9">
        <f>IFERROR(__xludf.DUMMYFUNCTION("""COMPUTED_VALUE"""),187.34)</f>
        <v>187.34</v>
      </c>
      <c r="C299" s="9">
        <f>IFERROR(__xludf.DUMMYFUNCTION("""COMPUTED_VALUE"""),187.34)</f>
        <v>187.34</v>
      </c>
      <c r="D299" s="9">
        <f>IFERROR(__xludf.DUMMYFUNCTION("""COMPUTED_VALUE"""),181.63)</f>
        <v>181.63</v>
      </c>
      <c r="E299" s="9">
        <f>IFERROR(__xludf.DUMMYFUNCTION("""COMPUTED_VALUE"""),183.28)</f>
        <v>183.28</v>
      </c>
      <c r="F299" s="9">
        <f>IFERROR(__xludf.DUMMYFUNCTION("""COMPUTED_VALUE"""),930115.0)</f>
        <v>930115</v>
      </c>
      <c r="H299" s="27">
        <f>IFERROR(__xludf.DUMMYFUNCTION("""COMPUTED_VALUE"""),38790.645833333336)</f>
        <v>38790.64583</v>
      </c>
      <c r="I299" s="25">
        <f>IFERROR(__xludf.DUMMYFUNCTION("""COMPUTED_VALUE"""),228.11)</f>
        <v>228.11</v>
      </c>
      <c r="J299" s="25">
        <f>IFERROR(__xludf.DUMMYFUNCTION("""COMPUTED_VALUE"""),228.46)</f>
        <v>228.46</v>
      </c>
      <c r="K299" s="25">
        <f>IFERROR(__xludf.DUMMYFUNCTION("""COMPUTED_VALUE"""),223.89)</f>
        <v>223.89</v>
      </c>
      <c r="L299" s="25">
        <f>IFERROR(__xludf.DUMMYFUNCTION("""COMPUTED_VALUE"""),225.4)</f>
        <v>225.4</v>
      </c>
      <c r="M299" s="25">
        <f>IFERROR(__xludf.DUMMYFUNCTION("""COMPUTED_VALUE"""),434682.0)</f>
        <v>434682</v>
      </c>
    </row>
    <row r="300">
      <c r="A300" s="26">
        <f>IFERROR(__xludf.DUMMYFUNCTION("""COMPUTED_VALUE"""),38792.645833333336)</f>
        <v>38792.64583</v>
      </c>
      <c r="B300" s="9">
        <f>IFERROR(__xludf.DUMMYFUNCTION("""COMPUTED_VALUE"""),183.5)</f>
        <v>183.5</v>
      </c>
      <c r="C300" s="9">
        <f>IFERROR(__xludf.DUMMYFUNCTION("""COMPUTED_VALUE"""),183.69)</f>
        <v>183.69</v>
      </c>
      <c r="D300" s="9">
        <f>IFERROR(__xludf.DUMMYFUNCTION("""COMPUTED_VALUE"""),181.54)</f>
        <v>181.54</v>
      </c>
      <c r="E300" s="9">
        <f>IFERROR(__xludf.DUMMYFUNCTION("""COMPUTED_VALUE"""),182.61)</f>
        <v>182.61</v>
      </c>
      <c r="F300" s="9">
        <f>IFERROR(__xludf.DUMMYFUNCTION("""COMPUTED_VALUE"""),1290000.0)</f>
        <v>1290000</v>
      </c>
      <c r="H300" s="27">
        <f>IFERROR(__xludf.DUMMYFUNCTION("""COMPUTED_VALUE"""),38792.645833333336)</f>
        <v>38792.64583</v>
      </c>
      <c r="I300" s="25">
        <f>IFERROR(__xludf.DUMMYFUNCTION("""COMPUTED_VALUE"""),227.13)</f>
        <v>227.13</v>
      </c>
      <c r="J300" s="25">
        <f>IFERROR(__xludf.DUMMYFUNCTION("""COMPUTED_VALUE"""),229.99)</f>
        <v>229.99</v>
      </c>
      <c r="K300" s="25">
        <f>IFERROR(__xludf.DUMMYFUNCTION("""COMPUTED_VALUE"""),225.79)</f>
        <v>225.79</v>
      </c>
      <c r="L300" s="25">
        <f>IFERROR(__xludf.DUMMYFUNCTION("""COMPUTED_VALUE"""),229.43)</f>
        <v>229.43</v>
      </c>
      <c r="M300" s="25">
        <f>IFERROR(__xludf.DUMMYFUNCTION("""COMPUTED_VALUE"""),575008.0)</f>
        <v>575008</v>
      </c>
    </row>
    <row r="301">
      <c r="A301" s="26">
        <f>IFERROR(__xludf.DUMMYFUNCTION("""COMPUTED_VALUE"""),38793.645833333336)</f>
        <v>38793.64583</v>
      </c>
      <c r="B301" s="9">
        <f>IFERROR(__xludf.DUMMYFUNCTION("""COMPUTED_VALUE"""),184.31)</f>
        <v>184.31</v>
      </c>
      <c r="C301" s="9">
        <f>IFERROR(__xludf.DUMMYFUNCTION("""COMPUTED_VALUE"""),184.31)</f>
        <v>184.31</v>
      </c>
      <c r="D301" s="9">
        <f>IFERROR(__xludf.DUMMYFUNCTION("""COMPUTED_VALUE"""),179.07)</f>
        <v>179.07</v>
      </c>
      <c r="E301" s="9">
        <f>IFERROR(__xludf.DUMMYFUNCTION("""COMPUTED_VALUE"""),179.87)</f>
        <v>179.87</v>
      </c>
      <c r="F301" s="9">
        <f>IFERROR(__xludf.DUMMYFUNCTION("""COMPUTED_VALUE"""),849448.0)</f>
        <v>849448</v>
      </c>
      <c r="H301" s="27">
        <f>IFERROR(__xludf.DUMMYFUNCTION("""COMPUTED_VALUE"""),38793.645833333336)</f>
        <v>38793.64583</v>
      </c>
      <c r="I301" s="25">
        <f>IFERROR(__xludf.DUMMYFUNCTION("""COMPUTED_VALUE"""),230.0)</f>
        <v>230</v>
      </c>
      <c r="J301" s="25">
        <f>IFERROR(__xludf.DUMMYFUNCTION("""COMPUTED_VALUE"""),235.06)</f>
        <v>235.06</v>
      </c>
      <c r="K301" s="25">
        <f>IFERROR(__xludf.DUMMYFUNCTION("""COMPUTED_VALUE"""),230.0)</f>
        <v>230</v>
      </c>
      <c r="L301" s="25">
        <f>IFERROR(__xludf.DUMMYFUNCTION("""COMPUTED_VALUE"""),232.63)</f>
        <v>232.63</v>
      </c>
      <c r="M301" s="25">
        <f>IFERROR(__xludf.DUMMYFUNCTION("""COMPUTED_VALUE"""),741530.0)</f>
        <v>741530</v>
      </c>
    </row>
    <row r="302">
      <c r="A302" s="26">
        <f>IFERROR(__xludf.DUMMYFUNCTION("""COMPUTED_VALUE"""),38796.645833333336)</f>
        <v>38796.64583</v>
      </c>
      <c r="B302" s="9">
        <f>IFERROR(__xludf.DUMMYFUNCTION("""COMPUTED_VALUE"""),179.69)</f>
        <v>179.69</v>
      </c>
      <c r="C302" s="9">
        <f>IFERROR(__xludf.DUMMYFUNCTION("""COMPUTED_VALUE"""),186.31)</f>
        <v>186.31</v>
      </c>
      <c r="D302" s="9">
        <f>IFERROR(__xludf.DUMMYFUNCTION("""COMPUTED_VALUE"""),179.69)</f>
        <v>179.69</v>
      </c>
      <c r="E302" s="9">
        <f>IFERROR(__xludf.DUMMYFUNCTION("""COMPUTED_VALUE"""),185.43)</f>
        <v>185.43</v>
      </c>
      <c r="F302" s="9">
        <f>IFERROR(__xludf.DUMMYFUNCTION("""COMPUTED_VALUE"""),922595.0)</f>
        <v>922595</v>
      </c>
      <c r="H302" s="27">
        <f>IFERROR(__xludf.DUMMYFUNCTION("""COMPUTED_VALUE"""),38796.645833333336)</f>
        <v>38796.64583</v>
      </c>
      <c r="I302" s="25">
        <f>IFERROR(__xludf.DUMMYFUNCTION("""COMPUTED_VALUE"""),234.25)</f>
        <v>234.25</v>
      </c>
      <c r="J302" s="25">
        <f>IFERROR(__xludf.DUMMYFUNCTION("""COMPUTED_VALUE"""),239.38)</f>
        <v>239.38</v>
      </c>
      <c r="K302" s="25">
        <f>IFERROR(__xludf.DUMMYFUNCTION("""COMPUTED_VALUE"""),233.19)</f>
        <v>233.19</v>
      </c>
      <c r="L302" s="25">
        <f>IFERROR(__xludf.DUMMYFUNCTION("""COMPUTED_VALUE"""),238.5)</f>
        <v>238.5</v>
      </c>
      <c r="M302" s="25">
        <f>IFERROR(__xludf.DUMMYFUNCTION("""COMPUTED_VALUE"""),876609.0)</f>
        <v>876609</v>
      </c>
    </row>
    <row r="303">
      <c r="A303" s="26">
        <f>IFERROR(__xludf.DUMMYFUNCTION("""COMPUTED_VALUE"""),38797.645833333336)</f>
        <v>38797.64583</v>
      </c>
      <c r="B303" s="9">
        <f>IFERROR(__xludf.DUMMYFUNCTION("""COMPUTED_VALUE"""),185.63)</f>
        <v>185.63</v>
      </c>
      <c r="C303" s="9">
        <f>IFERROR(__xludf.DUMMYFUNCTION("""COMPUTED_VALUE"""),187.38)</f>
        <v>187.38</v>
      </c>
      <c r="D303" s="9">
        <f>IFERROR(__xludf.DUMMYFUNCTION("""COMPUTED_VALUE"""),182.81)</f>
        <v>182.81</v>
      </c>
      <c r="E303" s="9">
        <f>IFERROR(__xludf.DUMMYFUNCTION("""COMPUTED_VALUE"""),184.98)</f>
        <v>184.98</v>
      </c>
      <c r="F303" s="9">
        <f>IFERROR(__xludf.DUMMYFUNCTION("""COMPUTED_VALUE"""),1000826.0)</f>
        <v>1000826</v>
      </c>
      <c r="H303" s="27">
        <f>IFERROR(__xludf.DUMMYFUNCTION("""COMPUTED_VALUE"""),38797.645833333336)</f>
        <v>38797.64583</v>
      </c>
      <c r="I303" s="25">
        <f>IFERROR(__xludf.DUMMYFUNCTION("""COMPUTED_VALUE"""),238.5)</f>
        <v>238.5</v>
      </c>
      <c r="J303" s="25">
        <f>IFERROR(__xludf.DUMMYFUNCTION("""COMPUTED_VALUE"""),241.88)</f>
        <v>241.88</v>
      </c>
      <c r="K303" s="25">
        <f>IFERROR(__xludf.DUMMYFUNCTION("""COMPUTED_VALUE"""),237.33)</f>
        <v>237.33</v>
      </c>
      <c r="L303" s="25">
        <f>IFERROR(__xludf.DUMMYFUNCTION("""COMPUTED_VALUE"""),239.4)</f>
        <v>239.4</v>
      </c>
      <c r="M303" s="25">
        <f>IFERROR(__xludf.DUMMYFUNCTION("""COMPUTED_VALUE"""),662673.0)</f>
        <v>662673</v>
      </c>
    </row>
    <row r="304">
      <c r="A304" s="26">
        <f>IFERROR(__xludf.DUMMYFUNCTION("""COMPUTED_VALUE"""),38798.645833333336)</f>
        <v>38798.64583</v>
      </c>
      <c r="B304" s="9">
        <f>IFERROR(__xludf.DUMMYFUNCTION("""COMPUTED_VALUE"""),185.0)</f>
        <v>185</v>
      </c>
      <c r="C304" s="9">
        <f>IFERROR(__xludf.DUMMYFUNCTION("""COMPUTED_VALUE"""),185.0)</f>
        <v>185</v>
      </c>
      <c r="D304" s="9">
        <f>IFERROR(__xludf.DUMMYFUNCTION("""COMPUTED_VALUE"""),181.31)</f>
        <v>181.31</v>
      </c>
      <c r="E304" s="9">
        <f>IFERROR(__xludf.DUMMYFUNCTION("""COMPUTED_VALUE"""),182.5)</f>
        <v>182.5</v>
      </c>
      <c r="F304" s="9">
        <f>IFERROR(__xludf.DUMMYFUNCTION("""COMPUTED_VALUE"""),465129.0)</f>
        <v>465129</v>
      </c>
      <c r="H304" s="27">
        <f>IFERROR(__xludf.DUMMYFUNCTION("""COMPUTED_VALUE"""),38798.645833333336)</f>
        <v>38798.64583</v>
      </c>
      <c r="I304" s="25">
        <f>IFERROR(__xludf.DUMMYFUNCTION("""COMPUTED_VALUE"""),240.0)</f>
        <v>240</v>
      </c>
      <c r="J304" s="25">
        <f>IFERROR(__xludf.DUMMYFUNCTION("""COMPUTED_VALUE"""),240.0)</f>
        <v>240</v>
      </c>
      <c r="K304" s="25">
        <f>IFERROR(__xludf.DUMMYFUNCTION("""COMPUTED_VALUE"""),235.15)</f>
        <v>235.15</v>
      </c>
      <c r="L304" s="25">
        <f>IFERROR(__xludf.DUMMYFUNCTION("""COMPUTED_VALUE"""),236.67)</f>
        <v>236.67</v>
      </c>
      <c r="M304" s="25">
        <f>IFERROR(__xludf.DUMMYFUNCTION("""COMPUTED_VALUE"""),640146.0)</f>
        <v>640146</v>
      </c>
    </row>
    <row r="305">
      <c r="A305" s="26">
        <f>IFERROR(__xludf.DUMMYFUNCTION("""COMPUTED_VALUE"""),38799.645833333336)</f>
        <v>38799.64583</v>
      </c>
      <c r="B305" s="9">
        <f>IFERROR(__xludf.DUMMYFUNCTION("""COMPUTED_VALUE"""),182.5)</f>
        <v>182.5</v>
      </c>
      <c r="C305" s="9">
        <f>IFERROR(__xludf.DUMMYFUNCTION("""COMPUTED_VALUE"""),184.38)</f>
        <v>184.38</v>
      </c>
      <c r="D305" s="9">
        <f>IFERROR(__xludf.DUMMYFUNCTION("""COMPUTED_VALUE"""),180.0)</f>
        <v>180</v>
      </c>
      <c r="E305" s="9">
        <f>IFERROR(__xludf.DUMMYFUNCTION("""COMPUTED_VALUE"""),180.65)</f>
        <v>180.65</v>
      </c>
      <c r="F305" s="9">
        <f>IFERROR(__xludf.DUMMYFUNCTION("""COMPUTED_VALUE"""),940358.0)</f>
        <v>940358</v>
      </c>
      <c r="H305" s="27">
        <f>IFERROR(__xludf.DUMMYFUNCTION("""COMPUTED_VALUE"""),38799.645833333336)</f>
        <v>38799.64583</v>
      </c>
      <c r="I305" s="25">
        <f>IFERROR(__xludf.DUMMYFUNCTION("""COMPUTED_VALUE"""),237.5)</f>
        <v>237.5</v>
      </c>
      <c r="J305" s="25">
        <f>IFERROR(__xludf.DUMMYFUNCTION("""COMPUTED_VALUE"""),239.88)</f>
        <v>239.88</v>
      </c>
      <c r="K305" s="25">
        <f>IFERROR(__xludf.DUMMYFUNCTION("""COMPUTED_VALUE"""),233.53)</f>
        <v>233.53</v>
      </c>
      <c r="L305" s="25">
        <f>IFERROR(__xludf.DUMMYFUNCTION("""COMPUTED_VALUE"""),234.28)</f>
        <v>234.28</v>
      </c>
      <c r="M305" s="25">
        <f>IFERROR(__xludf.DUMMYFUNCTION("""COMPUTED_VALUE"""),330561.0)</f>
        <v>330561</v>
      </c>
    </row>
    <row r="306">
      <c r="A306" s="26">
        <f>IFERROR(__xludf.DUMMYFUNCTION("""COMPUTED_VALUE"""),38800.645833333336)</f>
        <v>38800.64583</v>
      </c>
      <c r="B306" s="9">
        <f>IFERROR(__xludf.DUMMYFUNCTION("""COMPUTED_VALUE"""),180.65)</f>
        <v>180.65</v>
      </c>
      <c r="C306" s="9">
        <f>IFERROR(__xludf.DUMMYFUNCTION("""COMPUTED_VALUE"""),182.18)</f>
        <v>182.18</v>
      </c>
      <c r="D306" s="9">
        <f>IFERROR(__xludf.DUMMYFUNCTION("""COMPUTED_VALUE"""),180.0)</f>
        <v>180</v>
      </c>
      <c r="E306" s="9">
        <f>IFERROR(__xludf.DUMMYFUNCTION("""COMPUTED_VALUE"""),181.02)</f>
        <v>181.02</v>
      </c>
      <c r="F306" s="9">
        <f>IFERROR(__xludf.DUMMYFUNCTION("""COMPUTED_VALUE"""),671880.0)</f>
        <v>671880</v>
      </c>
      <c r="H306" s="27">
        <f>IFERROR(__xludf.DUMMYFUNCTION("""COMPUTED_VALUE"""),38800.645833333336)</f>
        <v>38800.64583</v>
      </c>
      <c r="I306" s="25">
        <f>IFERROR(__xludf.DUMMYFUNCTION("""COMPUTED_VALUE"""),235.88)</f>
        <v>235.88</v>
      </c>
      <c r="J306" s="25">
        <f>IFERROR(__xludf.DUMMYFUNCTION("""COMPUTED_VALUE"""),238.13)</f>
        <v>238.13</v>
      </c>
      <c r="K306" s="25">
        <f>IFERROR(__xludf.DUMMYFUNCTION("""COMPUTED_VALUE"""),233.63)</f>
        <v>233.63</v>
      </c>
      <c r="L306" s="25">
        <f>IFERROR(__xludf.DUMMYFUNCTION("""COMPUTED_VALUE"""),236.43)</f>
        <v>236.43</v>
      </c>
      <c r="M306" s="25">
        <f>IFERROR(__xludf.DUMMYFUNCTION("""COMPUTED_VALUE"""),364673.0)</f>
        <v>364673</v>
      </c>
    </row>
    <row r="307">
      <c r="A307" s="26">
        <f>IFERROR(__xludf.DUMMYFUNCTION("""COMPUTED_VALUE"""),38803.645833333336)</f>
        <v>38803.64583</v>
      </c>
      <c r="B307" s="9">
        <f>IFERROR(__xludf.DUMMYFUNCTION("""COMPUTED_VALUE"""),181.88)</f>
        <v>181.88</v>
      </c>
      <c r="C307" s="9">
        <f>IFERROR(__xludf.DUMMYFUNCTION("""COMPUTED_VALUE"""),181.88)</f>
        <v>181.88</v>
      </c>
      <c r="D307" s="9">
        <f>IFERROR(__xludf.DUMMYFUNCTION("""COMPUTED_VALUE"""),179.38)</f>
        <v>179.38</v>
      </c>
      <c r="E307" s="9">
        <f>IFERROR(__xludf.DUMMYFUNCTION("""COMPUTED_VALUE"""),179.96)</f>
        <v>179.96</v>
      </c>
      <c r="F307" s="9">
        <f>IFERROR(__xludf.DUMMYFUNCTION("""COMPUTED_VALUE"""),581169.0)</f>
        <v>581169</v>
      </c>
      <c r="H307" s="27">
        <f>IFERROR(__xludf.DUMMYFUNCTION("""COMPUTED_VALUE"""),38803.645833333336)</f>
        <v>38803.64583</v>
      </c>
      <c r="I307" s="25">
        <f>IFERROR(__xludf.DUMMYFUNCTION("""COMPUTED_VALUE"""),236.88)</f>
        <v>236.88</v>
      </c>
      <c r="J307" s="25">
        <f>IFERROR(__xludf.DUMMYFUNCTION("""COMPUTED_VALUE"""),238.75)</f>
        <v>238.75</v>
      </c>
      <c r="K307" s="25">
        <f>IFERROR(__xludf.DUMMYFUNCTION("""COMPUTED_VALUE"""),235.7)</f>
        <v>235.7</v>
      </c>
      <c r="L307" s="25">
        <f>IFERROR(__xludf.DUMMYFUNCTION("""COMPUTED_VALUE"""),236.37)</f>
        <v>236.37</v>
      </c>
      <c r="M307" s="25">
        <f>IFERROR(__xludf.DUMMYFUNCTION("""COMPUTED_VALUE"""),366054.0)</f>
        <v>366054</v>
      </c>
    </row>
    <row r="308">
      <c r="A308" s="26">
        <f>IFERROR(__xludf.DUMMYFUNCTION("""COMPUTED_VALUE"""),38804.645833333336)</f>
        <v>38804.64583</v>
      </c>
      <c r="B308" s="9">
        <f>IFERROR(__xludf.DUMMYFUNCTION("""COMPUTED_VALUE"""),181.23)</f>
        <v>181.23</v>
      </c>
      <c r="C308" s="9">
        <f>IFERROR(__xludf.DUMMYFUNCTION("""COMPUTED_VALUE"""),186.09)</f>
        <v>186.09</v>
      </c>
      <c r="D308" s="9">
        <f>IFERROR(__xludf.DUMMYFUNCTION("""COMPUTED_VALUE"""),180.31)</f>
        <v>180.31</v>
      </c>
      <c r="E308" s="9">
        <f>IFERROR(__xludf.DUMMYFUNCTION("""COMPUTED_VALUE"""),185.0)</f>
        <v>185</v>
      </c>
      <c r="F308" s="9">
        <f>IFERROR(__xludf.DUMMYFUNCTION("""COMPUTED_VALUE"""),1096341.0)</f>
        <v>1096341</v>
      </c>
      <c r="H308" s="27">
        <f>IFERROR(__xludf.DUMMYFUNCTION("""COMPUTED_VALUE"""),38804.645833333336)</f>
        <v>38804.64583</v>
      </c>
      <c r="I308" s="25">
        <f>IFERROR(__xludf.DUMMYFUNCTION("""COMPUTED_VALUE"""),237.5)</f>
        <v>237.5</v>
      </c>
      <c r="J308" s="25">
        <f>IFERROR(__xludf.DUMMYFUNCTION("""COMPUTED_VALUE"""),238.88)</f>
        <v>238.88</v>
      </c>
      <c r="K308" s="25">
        <f>IFERROR(__xludf.DUMMYFUNCTION("""COMPUTED_VALUE"""),235.13)</f>
        <v>235.13</v>
      </c>
      <c r="L308" s="25">
        <f>IFERROR(__xludf.DUMMYFUNCTION("""COMPUTED_VALUE"""),235.95)</f>
        <v>235.95</v>
      </c>
      <c r="M308" s="25">
        <f>IFERROR(__xludf.DUMMYFUNCTION("""COMPUTED_VALUE"""),468909.0)</f>
        <v>468909</v>
      </c>
    </row>
    <row r="309">
      <c r="A309" s="26">
        <f>IFERROR(__xludf.DUMMYFUNCTION("""COMPUTED_VALUE"""),38805.645833333336)</f>
        <v>38805.64583</v>
      </c>
      <c r="B309" s="9">
        <f>IFERROR(__xludf.DUMMYFUNCTION("""COMPUTED_VALUE"""),186.27)</f>
        <v>186.27</v>
      </c>
      <c r="C309" s="9">
        <f>IFERROR(__xludf.DUMMYFUNCTION("""COMPUTED_VALUE"""),190.25)</f>
        <v>190.25</v>
      </c>
      <c r="D309" s="9">
        <f>IFERROR(__xludf.DUMMYFUNCTION("""COMPUTED_VALUE"""),184.44)</f>
        <v>184.44</v>
      </c>
      <c r="E309" s="9">
        <f>IFERROR(__xludf.DUMMYFUNCTION("""COMPUTED_VALUE"""),189.78)</f>
        <v>189.78</v>
      </c>
      <c r="F309" s="9">
        <f>IFERROR(__xludf.DUMMYFUNCTION("""COMPUTED_VALUE"""),867109.0)</f>
        <v>867109</v>
      </c>
      <c r="H309" s="27">
        <f>IFERROR(__xludf.DUMMYFUNCTION("""COMPUTED_VALUE"""),38805.645833333336)</f>
        <v>38805.64583</v>
      </c>
      <c r="I309" s="25">
        <f>IFERROR(__xludf.DUMMYFUNCTION("""COMPUTED_VALUE"""),234.88)</f>
        <v>234.88</v>
      </c>
      <c r="J309" s="25">
        <f>IFERROR(__xludf.DUMMYFUNCTION("""COMPUTED_VALUE"""),237.86)</f>
        <v>237.86</v>
      </c>
      <c r="K309" s="25">
        <f>IFERROR(__xludf.DUMMYFUNCTION("""COMPUTED_VALUE"""),233.38)</f>
        <v>233.38</v>
      </c>
      <c r="L309" s="25">
        <f>IFERROR(__xludf.DUMMYFUNCTION("""COMPUTED_VALUE"""),237.27)</f>
        <v>237.27</v>
      </c>
      <c r="M309" s="25">
        <f>IFERROR(__xludf.DUMMYFUNCTION("""COMPUTED_VALUE"""),535537.0)</f>
        <v>535537</v>
      </c>
    </row>
    <row r="310">
      <c r="A310" s="26">
        <f>IFERROR(__xludf.DUMMYFUNCTION("""COMPUTED_VALUE"""),38806.645833333336)</f>
        <v>38806.64583</v>
      </c>
      <c r="B310" s="9">
        <f>IFERROR(__xludf.DUMMYFUNCTION("""COMPUTED_VALUE"""),190.32)</f>
        <v>190.32</v>
      </c>
      <c r="C310" s="9">
        <f>IFERROR(__xludf.DUMMYFUNCTION("""COMPUTED_VALUE"""),192.13)</f>
        <v>192.13</v>
      </c>
      <c r="D310" s="9">
        <f>IFERROR(__xludf.DUMMYFUNCTION("""COMPUTED_VALUE"""),188.27)</f>
        <v>188.27</v>
      </c>
      <c r="E310" s="9">
        <f>IFERROR(__xludf.DUMMYFUNCTION("""COMPUTED_VALUE"""),190.19)</f>
        <v>190.19</v>
      </c>
      <c r="F310" s="9">
        <f>IFERROR(__xludf.DUMMYFUNCTION("""COMPUTED_VALUE"""),1105940.0)</f>
        <v>1105940</v>
      </c>
      <c r="H310" s="27">
        <f>IFERROR(__xludf.DUMMYFUNCTION("""COMPUTED_VALUE"""),38806.645833333336)</f>
        <v>38806.64583</v>
      </c>
      <c r="I310" s="25">
        <f>IFERROR(__xludf.DUMMYFUNCTION("""COMPUTED_VALUE"""),237.86)</f>
        <v>237.86</v>
      </c>
      <c r="J310" s="25">
        <f>IFERROR(__xludf.DUMMYFUNCTION("""COMPUTED_VALUE"""),251.25)</f>
        <v>251.25</v>
      </c>
      <c r="K310" s="25">
        <f>IFERROR(__xludf.DUMMYFUNCTION("""COMPUTED_VALUE"""),237.86)</f>
        <v>237.86</v>
      </c>
      <c r="L310" s="25">
        <f>IFERROR(__xludf.DUMMYFUNCTION("""COMPUTED_VALUE"""),246.01)</f>
        <v>246.01</v>
      </c>
      <c r="M310" s="25">
        <f>IFERROR(__xludf.DUMMYFUNCTION("""COMPUTED_VALUE"""),723021.0)</f>
        <v>723021</v>
      </c>
    </row>
    <row r="311">
      <c r="A311" s="26">
        <f>IFERROR(__xludf.DUMMYFUNCTION("""COMPUTED_VALUE"""),38807.645833333336)</f>
        <v>38807.64583</v>
      </c>
      <c r="B311" s="9">
        <f>IFERROR(__xludf.DUMMYFUNCTION("""COMPUTED_VALUE"""),190.56)</f>
        <v>190.56</v>
      </c>
      <c r="C311" s="9">
        <f>IFERROR(__xludf.DUMMYFUNCTION("""COMPUTED_VALUE"""),190.56)</f>
        <v>190.56</v>
      </c>
      <c r="D311" s="9">
        <f>IFERROR(__xludf.DUMMYFUNCTION("""COMPUTED_VALUE"""),185.63)</f>
        <v>185.63</v>
      </c>
      <c r="E311" s="9">
        <f>IFERROR(__xludf.DUMMYFUNCTION("""COMPUTED_VALUE"""),186.34)</f>
        <v>186.34</v>
      </c>
      <c r="F311" s="9">
        <f>IFERROR(__xludf.DUMMYFUNCTION("""COMPUTED_VALUE"""),964382.0)</f>
        <v>964382</v>
      </c>
      <c r="H311" s="27">
        <f>IFERROR(__xludf.DUMMYFUNCTION("""COMPUTED_VALUE"""),38807.645833333336)</f>
        <v>38807.64583</v>
      </c>
      <c r="I311" s="25">
        <f>IFERROR(__xludf.DUMMYFUNCTION("""COMPUTED_VALUE"""),244.74)</f>
        <v>244.74</v>
      </c>
      <c r="J311" s="25">
        <f>IFERROR(__xludf.DUMMYFUNCTION("""COMPUTED_VALUE"""),244.74)</f>
        <v>244.74</v>
      </c>
      <c r="K311" s="25">
        <f>IFERROR(__xludf.DUMMYFUNCTION("""COMPUTED_VALUE"""),238.75)</f>
        <v>238.75</v>
      </c>
      <c r="L311" s="25">
        <f>IFERROR(__xludf.DUMMYFUNCTION("""COMPUTED_VALUE"""),239.44)</f>
        <v>239.44</v>
      </c>
      <c r="M311" s="25">
        <f>IFERROR(__xludf.DUMMYFUNCTION("""COMPUTED_VALUE"""),365021.0)</f>
        <v>365021</v>
      </c>
    </row>
    <row r="312">
      <c r="A312" s="26">
        <f>IFERROR(__xludf.DUMMYFUNCTION("""COMPUTED_VALUE"""),38810.645833333336)</f>
        <v>38810.64583</v>
      </c>
      <c r="B312" s="9">
        <f>IFERROR(__xludf.DUMMYFUNCTION("""COMPUTED_VALUE"""),187.5)</f>
        <v>187.5</v>
      </c>
      <c r="C312" s="9">
        <f>IFERROR(__xludf.DUMMYFUNCTION("""COMPUTED_VALUE"""),197.19)</f>
        <v>197.19</v>
      </c>
      <c r="D312" s="9">
        <f>IFERROR(__xludf.DUMMYFUNCTION("""COMPUTED_VALUE"""),187.5)</f>
        <v>187.5</v>
      </c>
      <c r="E312" s="9">
        <f>IFERROR(__xludf.DUMMYFUNCTION("""COMPUTED_VALUE"""),196.38)</f>
        <v>196.38</v>
      </c>
      <c r="F312" s="9">
        <f>IFERROR(__xludf.DUMMYFUNCTION("""COMPUTED_VALUE"""),1567790.0)</f>
        <v>1567790</v>
      </c>
      <c r="H312" s="27">
        <f>IFERROR(__xludf.DUMMYFUNCTION("""COMPUTED_VALUE"""),38810.645833333336)</f>
        <v>38810.64583</v>
      </c>
      <c r="I312" s="25">
        <f>IFERROR(__xludf.DUMMYFUNCTION("""COMPUTED_VALUE"""),240.88)</f>
        <v>240.88</v>
      </c>
      <c r="J312" s="25">
        <f>IFERROR(__xludf.DUMMYFUNCTION("""COMPUTED_VALUE"""),244.5)</f>
        <v>244.5</v>
      </c>
      <c r="K312" s="25">
        <f>IFERROR(__xludf.DUMMYFUNCTION("""COMPUTED_VALUE"""),240.0)</f>
        <v>240</v>
      </c>
      <c r="L312" s="25">
        <f>IFERROR(__xludf.DUMMYFUNCTION("""COMPUTED_VALUE"""),243.85)</f>
        <v>243.85</v>
      </c>
      <c r="M312" s="25">
        <f>IFERROR(__xludf.DUMMYFUNCTION("""COMPUTED_VALUE"""),388209.0)</f>
        <v>388209</v>
      </c>
    </row>
    <row r="313">
      <c r="A313" s="26">
        <f>IFERROR(__xludf.DUMMYFUNCTION("""COMPUTED_VALUE"""),38811.645833333336)</f>
        <v>38811.64583</v>
      </c>
      <c r="B313" s="9">
        <f>IFERROR(__xludf.DUMMYFUNCTION("""COMPUTED_VALUE"""),198.88)</f>
        <v>198.88</v>
      </c>
      <c r="C313" s="9">
        <f>IFERROR(__xludf.DUMMYFUNCTION("""COMPUTED_VALUE"""),199.12)</f>
        <v>199.12</v>
      </c>
      <c r="D313" s="9">
        <f>IFERROR(__xludf.DUMMYFUNCTION("""COMPUTED_VALUE"""),195.01)</f>
        <v>195.01</v>
      </c>
      <c r="E313" s="9">
        <f>IFERROR(__xludf.DUMMYFUNCTION("""COMPUTED_VALUE"""),197.04)</f>
        <v>197.04</v>
      </c>
      <c r="F313" s="9">
        <f>IFERROR(__xludf.DUMMYFUNCTION("""COMPUTED_VALUE"""),1133881.0)</f>
        <v>1133881</v>
      </c>
      <c r="H313" s="27">
        <f>IFERROR(__xludf.DUMMYFUNCTION("""COMPUTED_VALUE"""),38811.645833333336)</f>
        <v>38811.64583</v>
      </c>
      <c r="I313" s="25">
        <f>IFERROR(__xludf.DUMMYFUNCTION("""COMPUTED_VALUE"""),243.8)</f>
        <v>243.8</v>
      </c>
      <c r="J313" s="25">
        <f>IFERROR(__xludf.DUMMYFUNCTION("""COMPUTED_VALUE"""),245.0)</f>
        <v>245</v>
      </c>
      <c r="K313" s="25">
        <f>IFERROR(__xludf.DUMMYFUNCTION("""COMPUTED_VALUE"""),242.51)</f>
        <v>242.51</v>
      </c>
      <c r="L313" s="25">
        <f>IFERROR(__xludf.DUMMYFUNCTION("""COMPUTED_VALUE"""),243.57)</f>
        <v>243.57</v>
      </c>
      <c r="M313" s="25">
        <f>IFERROR(__xludf.DUMMYFUNCTION("""COMPUTED_VALUE"""),371451.0)</f>
        <v>371451</v>
      </c>
    </row>
    <row r="314">
      <c r="A314" s="26">
        <f>IFERROR(__xludf.DUMMYFUNCTION("""COMPUTED_VALUE"""),38812.645833333336)</f>
        <v>38812.64583</v>
      </c>
      <c r="B314" s="9">
        <f>IFERROR(__xludf.DUMMYFUNCTION("""COMPUTED_VALUE"""),197.19)</f>
        <v>197.19</v>
      </c>
      <c r="C314" s="9">
        <f>IFERROR(__xludf.DUMMYFUNCTION("""COMPUTED_VALUE"""),198.94)</f>
        <v>198.94</v>
      </c>
      <c r="D314" s="9">
        <f>IFERROR(__xludf.DUMMYFUNCTION("""COMPUTED_VALUE"""),193.81)</f>
        <v>193.81</v>
      </c>
      <c r="E314" s="9">
        <f>IFERROR(__xludf.DUMMYFUNCTION("""COMPUTED_VALUE"""),194.67)</f>
        <v>194.67</v>
      </c>
      <c r="F314" s="9">
        <f>IFERROR(__xludf.DUMMYFUNCTION("""COMPUTED_VALUE"""),952612.0)</f>
        <v>952612</v>
      </c>
      <c r="H314" s="27">
        <f>IFERROR(__xludf.DUMMYFUNCTION("""COMPUTED_VALUE"""),38812.645833333336)</f>
        <v>38812.64583</v>
      </c>
      <c r="I314" s="25">
        <f>IFERROR(__xludf.DUMMYFUNCTION("""COMPUTED_VALUE"""),243.76)</f>
        <v>243.76</v>
      </c>
      <c r="J314" s="25">
        <f>IFERROR(__xludf.DUMMYFUNCTION("""COMPUTED_VALUE"""),245.65)</f>
        <v>245.65</v>
      </c>
      <c r="K314" s="25">
        <f>IFERROR(__xludf.DUMMYFUNCTION("""COMPUTED_VALUE"""),240.0)</f>
        <v>240</v>
      </c>
      <c r="L314" s="25">
        <f>IFERROR(__xludf.DUMMYFUNCTION("""COMPUTED_VALUE"""),241.51)</f>
        <v>241.51</v>
      </c>
      <c r="M314" s="25">
        <f>IFERROR(__xludf.DUMMYFUNCTION("""COMPUTED_VALUE"""),347116.0)</f>
        <v>347116</v>
      </c>
    </row>
    <row r="315">
      <c r="A315" s="26">
        <f>IFERROR(__xludf.DUMMYFUNCTION("""COMPUTED_VALUE"""),38814.645833333336)</f>
        <v>38814.64583</v>
      </c>
      <c r="B315" s="9">
        <f>IFERROR(__xludf.DUMMYFUNCTION("""COMPUTED_VALUE"""),210.32)</f>
        <v>210.32</v>
      </c>
      <c r="C315" s="9">
        <f>IFERROR(__xludf.DUMMYFUNCTION("""COMPUTED_VALUE"""),215.56)</f>
        <v>215.56</v>
      </c>
      <c r="D315" s="9">
        <f>IFERROR(__xludf.DUMMYFUNCTION("""COMPUTED_VALUE"""),197.17)</f>
        <v>197.17</v>
      </c>
      <c r="E315" s="9">
        <f>IFERROR(__xludf.DUMMYFUNCTION("""COMPUTED_VALUE"""),197.94)</f>
        <v>197.94</v>
      </c>
      <c r="F315" s="9">
        <f>IFERROR(__xludf.DUMMYFUNCTION("""COMPUTED_VALUE"""),3926770.0)</f>
        <v>3926770</v>
      </c>
      <c r="H315" s="27">
        <f>IFERROR(__xludf.DUMMYFUNCTION("""COMPUTED_VALUE"""),38814.645833333336)</f>
        <v>38814.64583</v>
      </c>
      <c r="I315" s="25">
        <f>IFERROR(__xludf.DUMMYFUNCTION("""COMPUTED_VALUE"""),243.5)</f>
        <v>243.5</v>
      </c>
      <c r="J315" s="25">
        <f>IFERROR(__xludf.DUMMYFUNCTION("""COMPUTED_VALUE"""),249.63)</f>
        <v>249.63</v>
      </c>
      <c r="K315" s="25">
        <f>IFERROR(__xludf.DUMMYFUNCTION("""COMPUTED_VALUE"""),234.38)</f>
        <v>234.38</v>
      </c>
      <c r="L315" s="25">
        <f>IFERROR(__xludf.DUMMYFUNCTION("""COMPUTED_VALUE"""),236.16)</f>
        <v>236.16</v>
      </c>
      <c r="M315" s="25">
        <f>IFERROR(__xludf.DUMMYFUNCTION("""COMPUTED_VALUE"""),923195.0)</f>
        <v>923195</v>
      </c>
    </row>
    <row r="316">
      <c r="A316" s="26">
        <f>IFERROR(__xludf.DUMMYFUNCTION("""COMPUTED_VALUE"""),38817.645833333336)</f>
        <v>38817.64583</v>
      </c>
      <c r="B316" s="9">
        <f>IFERROR(__xludf.DUMMYFUNCTION("""COMPUTED_VALUE"""),201.19)</f>
        <v>201.19</v>
      </c>
      <c r="C316" s="9">
        <f>IFERROR(__xludf.DUMMYFUNCTION("""COMPUTED_VALUE"""),204.38)</f>
        <v>204.38</v>
      </c>
      <c r="D316" s="9">
        <f>IFERROR(__xludf.DUMMYFUNCTION("""COMPUTED_VALUE"""),198.34)</f>
        <v>198.34</v>
      </c>
      <c r="E316" s="9">
        <f>IFERROR(__xludf.DUMMYFUNCTION("""COMPUTED_VALUE"""),199.33)</f>
        <v>199.33</v>
      </c>
      <c r="F316" s="9">
        <f>IFERROR(__xludf.DUMMYFUNCTION("""COMPUTED_VALUE"""),1080528.0)</f>
        <v>1080528</v>
      </c>
      <c r="H316" s="27">
        <f>IFERROR(__xludf.DUMMYFUNCTION("""COMPUTED_VALUE"""),38817.645833333336)</f>
        <v>38817.64583</v>
      </c>
      <c r="I316" s="25">
        <f>IFERROR(__xludf.DUMMYFUNCTION("""COMPUTED_VALUE"""),237.5)</f>
        <v>237.5</v>
      </c>
      <c r="J316" s="25">
        <f>IFERROR(__xludf.DUMMYFUNCTION("""COMPUTED_VALUE"""),239.99)</f>
        <v>239.99</v>
      </c>
      <c r="K316" s="25">
        <f>IFERROR(__xludf.DUMMYFUNCTION("""COMPUTED_VALUE"""),235.0)</f>
        <v>235</v>
      </c>
      <c r="L316" s="25">
        <f>IFERROR(__xludf.DUMMYFUNCTION("""COMPUTED_VALUE"""),236.76)</f>
        <v>236.76</v>
      </c>
      <c r="M316" s="25">
        <f>IFERROR(__xludf.DUMMYFUNCTION("""COMPUTED_VALUE"""),879305.0)</f>
        <v>879305</v>
      </c>
    </row>
    <row r="317">
      <c r="A317" s="26">
        <f>IFERROR(__xludf.DUMMYFUNCTION("""COMPUTED_VALUE"""),38819.645833333336)</f>
        <v>38819.64583</v>
      </c>
      <c r="B317" s="9">
        <f>IFERROR(__xludf.DUMMYFUNCTION("""COMPUTED_VALUE"""),201.56)</f>
        <v>201.56</v>
      </c>
      <c r="C317" s="9">
        <f>IFERROR(__xludf.DUMMYFUNCTION("""COMPUTED_VALUE"""),202.49)</f>
        <v>202.49</v>
      </c>
      <c r="D317" s="9">
        <f>IFERROR(__xludf.DUMMYFUNCTION("""COMPUTED_VALUE"""),191.6)</f>
        <v>191.6</v>
      </c>
      <c r="E317" s="9">
        <f>IFERROR(__xludf.DUMMYFUNCTION("""COMPUTED_VALUE"""),192.23)</f>
        <v>192.23</v>
      </c>
      <c r="F317" s="9">
        <f>IFERROR(__xludf.DUMMYFUNCTION("""COMPUTED_VALUE"""),1694989.0)</f>
        <v>1694989</v>
      </c>
      <c r="H317" s="27">
        <f>IFERROR(__xludf.DUMMYFUNCTION("""COMPUTED_VALUE"""),38819.645833333336)</f>
        <v>38819.64583</v>
      </c>
      <c r="I317" s="25">
        <f>IFERROR(__xludf.DUMMYFUNCTION("""COMPUTED_VALUE"""),237.28)</f>
        <v>237.28</v>
      </c>
      <c r="J317" s="25">
        <f>IFERROR(__xludf.DUMMYFUNCTION("""COMPUTED_VALUE"""),237.5)</f>
        <v>237.5</v>
      </c>
      <c r="K317" s="25">
        <f>IFERROR(__xludf.DUMMYFUNCTION("""COMPUTED_VALUE"""),220.38)</f>
        <v>220.38</v>
      </c>
      <c r="L317" s="25">
        <f>IFERROR(__xludf.DUMMYFUNCTION("""COMPUTED_VALUE"""),222.6)</f>
        <v>222.6</v>
      </c>
      <c r="M317" s="25">
        <f>IFERROR(__xludf.DUMMYFUNCTION("""COMPUTED_VALUE"""),1644672.0)</f>
        <v>1644672</v>
      </c>
    </row>
    <row r="318">
      <c r="A318" s="26">
        <f>IFERROR(__xludf.DUMMYFUNCTION("""COMPUTED_VALUE"""),38820.645833333336)</f>
        <v>38820.64583</v>
      </c>
      <c r="B318" s="9">
        <f>IFERROR(__xludf.DUMMYFUNCTION("""COMPUTED_VALUE"""),193.5)</f>
        <v>193.5</v>
      </c>
      <c r="C318" s="9">
        <f>IFERROR(__xludf.DUMMYFUNCTION("""COMPUTED_VALUE"""),196.54)</f>
        <v>196.54</v>
      </c>
      <c r="D318" s="9">
        <f>IFERROR(__xludf.DUMMYFUNCTION("""COMPUTED_VALUE"""),186.38)</f>
        <v>186.38</v>
      </c>
      <c r="E318" s="9">
        <f>IFERROR(__xludf.DUMMYFUNCTION("""COMPUTED_VALUE"""),188.68)</f>
        <v>188.68</v>
      </c>
      <c r="F318" s="9">
        <f>IFERROR(__xludf.DUMMYFUNCTION("""COMPUTED_VALUE"""),2569190.0)</f>
        <v>2569190</v>
      </c>
      <c r="H318" s="27">
        <f>IFERROR(__xludf.DUMMYFUNCTION("""COMPUTED_VALUE"""),38820.645833333336)</f>
        <v>38820.64583</v>
      </c>
      <c r="I318" s="25">
        <f>IFERROR(__xludf.DUMMYFUNCTION("""COMPUTED_VALUE"""),225.63)</f>
        <v>225.63</v>
      </c>
      <c r="J318" s="25">
        <f>IFERROR(__xludf.DUMMYFUNCTION("""COMPUTED_VALUE"""),228.71)</f>
        <v>228.71</v>
      </c>
      <c r="K318" s="25">
        <f>IFERROR(__xludf.DUMMYFUNCTION("""COMPUTED_VALUE"""),221.25)</f>
        <v>221.25</v>
      </c>
      <c r="L318" s="25">
        <f>IFERROR(__xludf.DUMMYFUNCTION("""COMPUTED_VALUE"""),224.65)</f>
        <v>224.65</v>
      </c>
      <c r="M318" s="25">
        <f>IFERROR(__xludf.DUMMYFUNCTION("""COMPUTED_VALUE"""),1075209.0)</f>
        <v>1075209</v>
      </c>
    </row>
    <row r="319">
      <c r="A319" s="26">
        <f>IFERROR(__xludf.DUMMYFUNCTION("""COMPUTED_VALUE"""),38824.645833333336)</f>
        <v>38824.64583</v>
      </c>
      <c r="B319" s="9">
        <f>IFERROR(__xludf.DUMMYFUNCTION("""COMPUTED_VALUE"""),195.31)</f>
        <v>195.31</v>
      </c>
      <c r="C319" s="9">
        <f>IFERROR(__xludf.DUMMYFUNCTION("""COMPUTED_VALUE"""),202.8)</f>
        <v>202.8</v>
      </c>
      <c r="D319" s="9">
        <f>IFERROR(__xludf.DUMMYFUNCTION("""COMPUTED_VALUE"""),193.76)</f>
        <v>193.76</v>
      </c>
      <c r="E319" s="9">
        <f>IFERROR(__xludf.DUMMYFUNCTION("""COMPUTED_VALUE"""),201.87)</f>
        <v>201.87</v>
      </c>
      <c r="F319" s="9">
        <f>IFERROR(__xludf.DUMMYFUNCTION("""COMPUTED_VALUE"""),2581949.0)</f>
        <v>2581949</v>
      </c>
      <c r="H319" s="27">
        <f>IFERROR(__xludf.DUMMYFUNCTION("""COMPUTED_VALUE"""),38824.645833333336)</f>
        <v>38824.64583</v>
      </c>
      <c r="I319" s="25">
        <f>IFERROR(__xludf.DUMMYFUNCTION("""COMPUTED_VALUE"""),228.13)</f>
        <v>228.13</v>
      </c>
      <c r="J319" s="25">
        <f>IFERROR(__xludf.DUMMYFUNCTION("""COMPUTED_VALUE"""),238.88)</f>
        <v>238.88</v>
      </c>
      <c r="K319" s="25">
        <f>IFERROR(__xludf.DUMMYFUNCTION("""COMPUTED_VALUE"""),226.91)</f>
        <v>226.91</v>
      </c>
      <c r="L319" s="25">
        <f>IFERROR(__xludf.DUMMYFUNCTION("""COMPUTED_VALUE"""),238.32)</f>
        <v>238.32</v>
      </c>
      <c r="M319" s="25">
        <f>IFERROR(__xludf.DUMMYFUNCTION("""COMPUTED_VALUE"""),1211094.0)</f>
        <v>1211094</v>
      </c>
    </row>
    <row r="320">
      <c r="A320" s="26">
        <f>IFERROR(__xludf.DUMMYFUNCTION("""COMPUTED_VALUE"""),38825.645833333336)</f>
        <v>38825.64583</v>
      </c>
      <c r="B320" s="9">
        <f>IFERROR(__xludf.DUMMYFUNCTION("""COMPUTED_VALUE"""),203.46)</f>
        <v>203.46</v>
      </c>
      <c r="C320" s="9">
        <f>IFERROR(__xludf.DUMMYFUNCTION("""COMPUTED_VALUE"""),209.19)</f>
        <v>209.19</v>
      </c>
      <c r="D320" s="9">
        <f>IFERROR(__xludf.DUMMYFUNCTION("""COMPUTED_VALUE"""),203.46)</f>
        <v>203.46</v>
      </c>
      <c r="E320" s="9">
        <f>IFERROR(__xludf.DUMMYFUNCTION("""COMPUTED_VALUE"""),208.5)</f>
        <v>208.5</v>
      </c>
      <c r="F320" s="9">
        <f>IFERROR(__xludf.DUMMYFUNCTION("""COMPUTED_VALUE"""),1575534.0)</f>
        <v>1575534</v>
      </c>
      <c r="H320" s="27">
        <f>IFERROR(__xludf.DUMMYFUNCTION("""COMPUTED_VALUE"""),38825.645833333336)</f>
        <v>38825.64583</v>
      </c>
      <c r="I320" s="25">
        <f>IFERROR(__xludf.DUMMYFUNCTION("""COMPUTED_VALUE"""),247.25)</f>
        <v>247.25</v>
      </c>
      <c r="J320" s="25">
        <f>IFERROR(__xludf.DUMMYFUNCTION("""COMPUTED_VALUE"""),261.0)</f>
        <v>261</v>
      </c>
      <c r="K320" s="25">
        <f>IFERROR(__xludf.DUMMYFUNCTION("""COMPUTED_VALUE"""),247.25)</f>
        <v>247.25</v>
      </c>
      <c r="L320" s="25">
        <f>IFERROR(__xludf.DUMMYFUNCTION("""COMPUTED_VALUE"""),251.19)</f>
        <v>251.19</v>
      </c>
      <c r="M320" s="25">
        <f>IFERROR(__xludf.DUMMYFUNCTION("""COMPUTED_VALUE"""),1847311.0)</f>
        <v>1847311</v>
      </c>
    </row>
    <row r="321">
      <c r="A321" s="26">
        <f>IFERROR(__xludf.DUMMYFUNCTION("""COMPUTED_VALUE"""),38826.645833333336)</f>
        <v>38826.64583</v>
      </c>
      <c r="B321" s="9">
        <f>IFERROR(__xludf.DUMMYFUNCTION("""COMPUTED_VALUE"""),209.38)</f>
        <v>209.38</v>
      </c>
      <c r="C321" s="9">
        <f>IFERROR(__xludf.DUMMYFUNCTION("""COMPUTED_VALUE"""),209.81)</f>
        <v>209.81</v>
      </c>
      <c r="D321" s="9">
        <f>IFERROR(__xludf.DUMMYFUNCTION("""COMPUTED_VALUE"""),203.13)</f>
        <v>203.13</v>
      </c>
      <c r="E321" s="9">
        <f>IFERROR(__xludf.DUMMYFUNCTION("""COMPUTED_VALUE"""),204.93)</f>
        <v>204.93</v>
      </c>
      <c r="F321" s="9">
        <f>IFERROR(__xludf.DUMMYFUNCTION("""COMPUTED_VALUE"""),923049.0)</f>
        <v>923049</v>
      </c>
      <c r="H321" s="27">
        <f>IFERROR(__xludf.DUMMYFUNCTION("""COMPUTED_VALUE"""),38826.645833333336)</f>
        <v>38826.64583</v>
      </c>
      <c r="I321" s="25">
        <f>IFERROR(__xludf.DUMMYFUNCTION("""COMPUTED_VALUE"""),253.63)</f>
        <v>253.63</v>
      </c>
      <c r="J321" s="25">
        <f>IFERROR(__xludf.DUMMYFUNCTION("""COMPUTED_VALUE"""),256.25)</f>
        <v>256.25</v>
      </c>
      <c r="K321" s="25">
        <f>IFERROR(__xludf.DUMMYFUNCTION("""COMPUTED_VALUE"""),249.75)</f>
        <v>249.75</v>
      </c>
      <c r="L321" s="25">
        <f>IFERROR(__xludf.DUMMYFUNCTION("""COMPUTED_VALUE"""),251.6)</f>
        <v>251.6</v>
      </c>
      <c r="M321" s="25">
        <f>IFERROR(__xludf.DUMMYFUNCTION("""COMPUTED_VALUE"""),1225414.0)</f>
        <v>1225414</v>
      </c>
    </row>
    <row r="322">
      <c r="A322" s="26">
        <f>IFERROR(__xludf.DUMMYFUNCTION("""COMPUTED_VALUE"""),38827.645833333336)</f>
        <v>38827.64583</v>
      </c>
      <c r="B322" s="9">
        <f>IFERROR(__xludf.DUMMYFUNCTION("""COMPUTED_VALUE"""),205.0)</f>
        <v>205</v>
      </c>
      <c r="C322" s="9">
        <f>IFERROR(__xludf.DUMMYFUNCTION("""COMPUTED_VALUE"""),205.63)</f>
        <v>205.63</v>
      </c>
      <c r="D322" s="9">
        <f>IFERROR(__xludf.DUMMYFUNCTION("""COMPUTED_VALUE"""),202.26)</f>
        <v>202.26</v>
      </c>
      <c r="E322" s="9">
        <f>IFERROR(__xludf.DUMMYFUNCTION("""COMPUTED_VALUE"""),204.79)</f>
        <v>204.79</v>
      </c>
      <c r="F322" s="9">
        <f>IFERROR(__xludf.DUMMYFUNCTION("""COMPUTED_VALUE"""),792376.0)</f>
        <v>792376</v>
      </c>
      <c r="H322" s="27">
        <f>IFERROR(__xludf.DUMMYFUNCTION("""COMPUTED_VALUE"""),38827.645833333336)</f>
        <v>38827.64583</v>
      </c>
      <c r="I322" s="25">
        <f>IFERROR(__xludf.DUMMYFUNCTION("""COMPUTED_VALUE"""),252.49)</f>
        <v>252.49</v>
      </c>
      <c r="J322" s="25">
        <f>IFERROR(__xludf.DUMMYFUNCTION("""COMPUTED_VALUE"""),253.12)</f>
        <v>253.12</v>
      </c>
      <c r="K322" s="25">
        <f>IFERROR(__xludf.DUMMYFUNCTION("""COMPUTED_VALUE"""),246.88)</f>
        <v>246.88</v>
      </c>
      <c r="L322" s="25">
        <f>IFERROR(__xludf.DUMMYFUNCTION("""COMPUTED_VALUE"""),248.74)</f>
        <v>248.74</v>
      </c>
      <c r="M322" s="25">
        <f>IFERROR(__xludf.DUMMYFUNCTION("""COMPUTED_VALUE"""),787118.0)</f>
        <v>787118</v>
      </c>
    </row>
    <row r="323">
      <c r="A323" s="26">
        <f>IFERROR(__xludf.DUMMYFUNCTION("""COMPUTED_VALUE"""),38828.645833333336)</f>
        <v>38828.64583</v>
      </c>
      <c r="B323" s="9">
        <f>IFERROR(__xludf.DUMMYFUNCTION("""COMPUTED_VALUE"""),205.63)</f>
        <v>205.63</v>
      </c>
      <c r="C323" s="9">
        <f>IFERROR(__xludf.DUMMYFUNCTION("""COMPUTED_VALUE"""),207.79)</f>
        <v>207.79</v>
      </c>
      <c r="D323" s="9">
        <f>IFERROR(__xludf.DUMMYFUNCTION("""COMPUTED_VALUE"""),203.25)</f>
        <v>203.25</v>
      </c>
      <c r="E323" s="9">
        <f>IFERROR(__xludf.DUMMYFUNCTION("""COMPUTED_VALUE"""),206.36)</f>
        <v>206.36</v>
      </c>
      <c r="F323" s="9">
        <f>IFERROR(__xludf.DUMMYFUNCTION("""COMPUTED_VALUE"""),986940.0)</f>
        <v>986940</v>
      </c>
      <c r="H323" s="27">
        <f>IFERROR(__xludf.DUMMYFUNCTION("""COMPUTED_VALUE"""),38828.645833333336)</f>
        <v>38828.64583</v>
      </c>
      <c r="I323" s="25">
        <f>IFERROR(__xludf.DUMMYFUNCTION("""COMPUTED_VALUE"""),250.0)</f>
        <v>250</v>
      </c>
      <c r="J323" s="25">
        <f>IFERROR(__xludf.DUMMYFUNCTION("""COMPUTED_VALUE"""),253.75)</f>
        <v>253.75</v>
      </c>
      <c r="K323" s="25">
        <f>IFERROR(__xludf.DUMMYFUNCTION("""COMPUTED_VALUE"""),245.63)</f>
        <v>245.63</v>
      </c>
      <c r="L323" s="25">
        <f>IFERROR(__xludf.DUMMYFUNCTION("""COMPUTED_VALUE"""),249.88)</f>
        <v>249.88</v>
      </c>
      <c r="M323" s="25">
        <f>IFERROR(__xludf.DUMMYFUNCTION("""COMPUTED_VALUE"""),621625.0)</f>
        <v>621625</v>
      </c>
    </row>
    <row r="324">
      <c r="A324" s="26">
        <f>IFERROR(__xludf.DUMMYFUNCTION("""COMPUTED_VALUE"""),38831.645833333336)</f>
        <v>38831.64583</v>
      </c>
      <c r="B324" s="9">
        <f>IFERROR(__xludf.DUMMYFUNCTION("""COMPUTED_VALUE"""),206.88)</f>
        <v>206.88</v>
      </c>
      <c r="C324" s="9">
        <f>IFERROR(__xludf.DUMMYFUNCTION("""COMPUTED_VALUE"""),206.88)</f>
        <v>206.88</v>
      </c>
      <c r="D324" s="9">
        <f>IFERROR(__xludf.DUMMYFUNCTION("""COMPUTED_VALUE"""),199.06)</f>
        <v>199.06</v>
      </c>
      <c r="E324" s="9">
        <f>IFERROR(__xludf.DUMMYFUNCTION("""COMPUTED_VALUE"""),200.3)</f>
        <v>200.3</v>
      </c>
      <c r="F324" s="9">
        <f>IFERROR(__xludf.DUMMYFUNCTION("""COMPUTED_VALUE"""),1108937.0)</f>
        <v>1108937</v>
      </c>
      <c r="H324" s="27">
        <f>IFERROR(__xludf.DUMMYFUNCTION("""COMPUTED_VALUE"""),38831.645833333336)</f>
        <v>38831.64583</v>
      </c>
      <c r="I324" s="25">
        <f>IFERROR(__xludf.DUMMYFUNCTION("""COMPUTED_VALUE"""),249.75)</f>
        <v>249.75</v>
      </c>
      <c r="J324" s="25">
        <f>IFERROR(__xludf.DUMMYFUNCTION("""COMPUTED_VALUE"""),249.96)</f>
        <v>249.96</v>
      </c>
      <c r="K324" s="25">
        <f>IFERROR(__xludf.DUMMYFUNCTION("""COMPUTED_VALUE"""),245.63)</f>
        <v>245.63</v>
      </c>
      <c r="L324" s="25">
        <f>IFERROR(__xludf.DUMMYFUNCTION("""COMPUTED_VALUE"""),247.41)</f>
        <v>247.41</v>
      </c>
      <c r="M324" s="25">
        <f>IFERROR(__xludf.DUMMYFUNCTION("""COMPUTED_VALUE"""),654351.0)</f>
        <v>654351</v>
      </c>
    </row>
    <row r="325">
      <c r="A325" s="26">
        <f>IFERROR(__xludf.DUMMYFUNCTION("""COMPUTED_VALUE"""),38832.645833333336)</f>
        <v>38832.64583</v>
      </c>
      <c r="B325" s="9">
        <f>IFERROR(__xludf.DUMMYFUNCTION("""COMPUTED_VALUE"""),200.63)</f>
        <v>200.63</v>
      </c>
      <c r="C325" s="9">
        <f>IFERROR(__xludf.DUMMYFUNCTION("""COMPUTED_VALUE"""),200.63)</f>
        <v>200.63</v>
      </c>
      <c r="D325" s="9">
        <f>IFERROR(__xludf.DUMMYFUNCTION("""COMPUTED_VALUE"""),194.38)</f>
        <v>194.38</v>
      </c>
      <c r="E325" s="9">
        <f>IFERROR(__xludf.DUMMYFUNCTION("""COMPUTED_VALUE"""),196.37)</f>
        <v>196.37</v>
      </c>
      <c r="F325" s="9">
        <f>IFERROR(__xludf.DUMMYFUNCTION("""COMPUTED_VALUE"""),1260108.0)</f>
        <v>1260108</v>
      </c>
      <c r="H325" s="27">
        <f>IFERROR(__xludf.DUMMYFUNCTION("""COMPUTED_VALUE"""),38832.645833333336)</f>
        <v>38832.64583</v>
      </c>
      <c r="I325" s="25">
        <f>IFERROR(__xludf.DUMMYFUNCTION("""COMPUTED_VALUE"""),247.49)</f>
        <v>247.49</v>
      </c>
      <c r="J325" s="25">
        <f>IFERROR(__xludf.DUMMYFUNCTION("""COMPUTED_VALUE"""),247.49)</f>
        <v>247.49</v>
      </c>
      <c r="K325" s="25">
        <f>IFERROR(__xludf.DUMMYFUNCTION("""COMPUTED_VALUE"""),237.38)</f>
        <v>237.38</v>
      </c>
      <c r="L325" s="25">
        <f>IFERROR(__xludf.DUMMYFUNCTION("""COMPUTED_VALUE"""),240.87)</f>
        <v>240.87</v>
      </c>
      <c r="M325" s="25">
        <f>IFERROR(__xludf.DUMMYFUNCTION("""COMPUTED_VALUE"""),712776.0)</f>
        <v>712776</v>
      </c>
    </row>
    <row r="326">
      <c r="A326" s="26">
        <f>IFERROR(__xludf.DUMMYFUNCTION("""COMPUTED_VALUE"""),38833.645833333336)</f>
        <v>38833.64583</v>
      </c>
      <c r="B326" s="9">
        <f>IFERROR(__xludf.DUMMYFUNCTION("""COMPUTED_VALUE"""),197.5)</f>
        <v>197.5</v>
      </c>
      <c r="C326" s="9">
        <f>IFERROR(__xludf.DUMMYFUNCTION("""COMPUTED_VALUE"""),202.81)</f>
        <v>202.81</v>
      </c>
      <c r="D326" s="9">
        <f>IFERROR(__xludf.DUMMYFUNCTION("""COMPUTED_VALUE"""),196.88)</f>
        <v>196.88</v>
      </c>
      <c r="E326" s="9">
        <f>IFERROR(__xludf.DUMMYFUNCTION("""COMPUTED_VALUE"""),201.56)</f>
        <v>201.56</v>
      </c>
      <c r="F326" s="9">
        <f>IFERROR(__xludf.DUMMYFUNCTION("""COMPUTED_VALUE"""),839431.0)</f>
        <v>839431</v>
      </c>
      <c r="H326" s="27">
        <f>IFERROR(__xludf.DUMMYFUNCTION("""COMPUTED_VALUE"""),38833.645833333336)</f>
        <v>38833.64583</v>
      </c>
      <c r="I326" s="25">
        <f>IFERROR(__xludf.DUMMYFUNCTION("""COMPUTED_VALUE"""),241.0)</f>
        <v>241</v>
      </c>
      <c r="J326" s="25">
        <f>IFERROR(__xludf.DUMMYFUNCTION("""COMPUTED_VALUE"""),244.5)</f>
        <v>244.5</v>
      </c>
      <c r="K326" s="25">
        <f>IFERROR(__xludf.DUMMYFUNCTION("""COMPUTED_VALUE"""),238.75)</f>
        <v>238.75</v>
      </c>
      <c r="L326" s="25">
        <f>IFERROR(__xludf.DUMMYFUNCTION("""COMPUTED_VALUE"""),242.8)</f>
        <v>242.8</v>
      </c>
      <c r="M326" s="25">
        <f>IFERROR(__xludf.DUMMYFUNCTION("""COMPUTED_VALUE"""),883892.0)</f>
        <v>883892</v>
      </c>
    </row>
    <row r="327">
      <c r="A327" s="26">
        <f>IFERROR(__xludf.DUMMYFUNCTION("""COMPUTED_VALUE"""),38834.645833333336)</f>
        <v>38834.64583</v>
      </c>
      <c r="B327" s="9">
        <f>IFERROR(__xludf.DUMMYFUNCTION("""COMPUTED_VALUE"""),202.0)</f>
        <v>202</v>
      </c>
      <c r="C327" s="9">
        <f>IFERROR(__xludf.DUMMYFUNCTION("""COMPUTED_VALUE"""),202.0)</f>
        <v>202</v>
      </c>
      <c r="D327" s="9">
        <f>IFERROR(__xludf.DUMMYFUNCTION("""COMPUTED_VALUE"""),194.5)</f>
        <v>194.5</v>
      </c>
      <c r="E327" s="9">
        <f>IFERROR(__xludf.DUMMYFUNCTION("""COMPUTED_VALUE"""),195.79)</f>
        <v>195.79</v>
      </c>
      <c r="F327" s="9">
        <f>IFERROR(__xludf.DUMMYFUNCTION("""COMPUTED_VALUE"""),1883371.0)</f>
        <v>1883371</v>
      </c>
      <c r="H327" s="27">
        <f>IFERROR(__xludf.DUMMYFUNCTION("""COMPUTED_VALUE"""),38834.645833333336)</f>
        <v>38834.64583</v>
      </c>
      <c r="I327" s="25">
        <f>IFERROR(__xludf.DUMMYFUNCTION("""COMPUTED_VALUE"""),242.8)</f>
        <v>242.8</v>
      </c>
      <c r="J327" s="25">
        <f>IFERROR(__xludf.DUMMYFUNCTION("""COMPUTED_VALUE"""),250.38)</f>
        <v>250.38</v>
      </c>
      <c r="K327" s="25">
        <f>IFERROR(__xludf.DUMMYFUNCTION("""COMPUTED_VALUE"""),241.25)</f>
        <v>241.25</v>
      </c>
      <c r="L327" s="25">
        <f>IFERROR(__xludf.DUMMYFUNCTION("""COMPUTED_VALUE"""),243.23)</f>
        <v>243.23</v>
      </c>
      <c r="M327" s="25">
        <f>IFERROR(__xludf.DUMMYFUNCTION("""COMPUTED_VALUE"""),895606.0)</f>
        <v>895606</v>
      </c>
    </row>
    <row r="328">
      <c r="A328" s="26">
        <f>IFERROR(__xludf.DUMMYFUNCTION("""COMPUTED_VALUE"""),38835.645833333336)</f>
        <v>38835.64583</v>
      </c>
      <c r="B328" s="9">
        <f>IFERROR(__xludf.DUMMYFUNCTION("""COMPUTED_VALUE"""),196.25)</f>
        <v>196.25</v>
      </c>
      <c r="C328" s="9">
        <f>IFERROR(__xludf.DUMMYFUNCTION("""COMPUTED_VALUE"""),197.0)</f>
        <v>197</v>
      </c>
      <c r="D328" s="9">
        <f>IFERROR(__xludf.DUMMYFUNCTION("""COMPUTED_VALUE"""),187.56)</f>
        <v>187.56</v>
      </c>
      <c r="E328" s="9">
        <f>IFERROR(__xludf.DUMMYFUNCTION("""COMPUTED_VALUE"""),196.23)</f>
        <v>196.23</v>
      </c>
      <c r="F328" s="9">
        <f>IFERROR(__xludf.DUMMYFUNCTION("""COMPUTED_VALUE"""),914814.0)</f>
        <v>914814</v>
      </c>
      <c r="H328" s="27">
        <f>IFERROR(__xludf.DUMMYFUNCTION("""COMPUTED_VALUE"""),38835.645833333336)</f>
        <v>38835.64583</v>
      </c>
      <c r="I328" s="25">
        <f>IFERROR(__xludf.DUMMYFUNCTION("""COMPUTED_VALUE"""),238.38)</f>
        <v>238.38</v>
      </c>
      <c r="J328" s="25">
        <f>IFERROR(__xludf.DUMMYFUNCTION("""COMPUTED_VALUE"""),248.88)</f>
        <v>248.88</v>
      </c>
      <c r="K328" s="25">
        <f>IFERROR(__xludf.DUMMYFUNCTION("""COMPUTED_VALUE"""),228.8)</f>
        <v>228.8</v>
      </c>
      <c r="L328" s="25">
        <f>IFERROR(__xludf.DUMMYFUNCTION("""COMPUTED_VALUE"""),247.26)</f>
        <v>247.26</v>
      </c>
      <c r="M328" s="25">
        <f>IFERROR(__xludf.DUMMYFUNCTION("""COMPUTED_VALUE"""),661545.0)</f>
        <v>661545</v>
      </c>
    </row>
    <row r="329">
      <c r="A329" s="26">
        <f>IFERROR(__xludf.DUMMYFUNCTION("""COMPUTED_VALUE"""),38839.645833333336)</f>
        <v>38839.64583</v>
      </c>
      <c r="B329" s="9">
        <f>IFERROR(__xludf.DUMMYFUNCTION("""COMPUTED_VALUE"""),199.34)</f>
        <v>199.34</v>
      </c>
      <c r="C329" s="9">
        <f>IFERROR(__xludf.DUMMYFUNCTION("""COMPUTED_VALUE"""),202.19)</f>
        <v>202.19</v>
      </c>
      <c r="D329" s="9">
        <f>IFERROR(__xludf.DUMMYFUNCTION("""COMPUTED_VALUE"""),197.0)</f>
        <v>197</v>
      </c>
      <c r="E329" s="9">
        <f>IFERROR(__xludf.DUMMYFUNCTION("""COMPUTED_VALUE"""),197.77)</f>
        <v>197.77</v>
      </c>
      <c r="F329" s="9">
        <f>IFERROR(__xludf.DUMMYFUNCTION("""COMPUTED_VALUE"""),999136.0)</f>
        <v>999136</v>
      </c>
      <c r="H329" s="27">
        <f>IFERROR(__xludf.DUMMYFUNCTION("""COMPUTED_VALUE"""),38839.645833333336)</f>
        <v>38839.64583</v>
      </c>
      <c r="I329" s="25">
        <f>IFERROR(__xludf.DUMMYFUNCTION("""COMPUTED_VALUE"""),248.0)</f>
        <v>248</v>
      </c>
      <c r="J329" s="25">
        <f>IFERROR(__xludf.DUMMYFUNCTION("""COMPUTED_VALUE"""),253.05)</f>
        <v>253.05</v>
      </c>
      <c r="K329" s="25">
        <f>IFERROR(__xludf.DUMMYFUNCTION("""COMPUTED_VALUE"""),247.5)</f>
        <v>247.5</v>
      </c>
      <c r="L329" s="25">
        <f>IFERROR(__xludf.DUMMYFUNCTION("""COMPUTED_VALUE"""),251.65)</f>
        <v>251.65</v>
      </c>
      <c r="M329" s="25">
        <f>IFERROR(__xludf.DUMMYFUNCTION("""COMPUTED_VALUE"""),779910.0)</f>
        <v>779910</v>
      </c>
    </row>
    <row r="330">
      <c r="A330" s="26">
        <f>IFERROR(__xludf.DUMMYFUNCTION("""COMPUTED_VALUE"""),38840.645833333336)</f>
        <v>38840.64583</v>
      </c>
      <c r="B330" s="9">
        <f>IFERROR(__xludf.DUMMYFUNCTION("""COMPUTED_VALUE"""),198.56)</f>
        <v>198.56</v>
      </c>
      <c r="C330" s="9">
        <f>IFERROR(__xludf.DUMMYFUNCTION("""COMPUTED_VALUE"""),199.5)</f>
        <v>199.5</v>
      </c>
      <c r="D330" s="9">
        <f>IFERROR(__xludf.DUMMYFUNCTION("""COMPUTED_VALUE"""),196.2)</f>
        <v>196.2</v>
      </c>
      <c r="E330" s="9">
        <f>IFERROR(__xludf.DUMMYFUNCTION("""COMPUTED_VALUE"""),198.21)</f>
        <v>198.21</v>
      </c>
      <c r="F330" s="9">
        <f>IFERROR(__xludf.DUMMYFUNCTION("""COMPUTED_VALUE"""),729933.0)</f>
        <v>729933</v>
      </c>
      <c r="H330" s="27">
        <f>IFERROR(__xludf.DUMMYFUNCTION("""COMPUTED_VALUE"""),38840.645833333336)</f>
        <v>38840.64583</v>
      </c>
      <c r="I330" s="25">
        <f>IFERROR(__xludf.DUMMYFUNCTION("""COMPUTED_VALUE"""),253.0)</f>
        <v>253</v>
      </c>
      <c r="J330" s="25">
        <f>IFERROR(__xludf.DUMMYFUNCTION("""COMPUTED_VALUE"""),254.99)</f>
        <v>254.99</v>
      </c>
      <c r="K330" s="25">
        <f>IFERROR(__xludf.DUMMYFUNCTION("""COMPUTED_VALUE"""),251.88)</f>
        <v>251.88</v>
      </c>
      <c r="L330" s="25">
        <f>IFERROR(__xludf.DUMMYFUNCTION("""COMPUTED_VALUE"""),253.95)</f>
        <v>253.95</v>
      </c>
      <c r="M330" s="25">
        <f>IFERROR(__xludf.DUMMYFUNCTION("""COMPUTED_VALUE"""),393520.0)</f>
        <v>393520</v>
      </c>
    </row>
    <row r="331">
      <c r="A331" s="26">
        <f>IFERROR(__xludf.DUMMYFUNCTION("""COMPUTED_VALUE"""),38841.645833333336)</f>
        <v>38841.64583</v>
      </c>
      <c r="B331" s="9">
        <f>IFERROR(__xludf.DUMMYFUNCTION("""COMPUTED_VALUE"""),198.25)</f>
        <v>198.25</v>
      </c>
      <c r="C331" s="9">
        <f>IFERROR(__xludf.DUMMYFUNCTION("""COMPUTED_VALUE"""),201.53)</f>
        <v>201.53</v>
      </c>
      <c r="D331" s="9">
        <f>IFERROR(__xludf.DUMMYFUNCTION("""COMPUTED_VALUE"""),198.25)</f>
        <v>198.25</v>
      </c>
      <c r="E331" s="9">
        <f>IFERROR(__xludf.DUMMYFUNCTION("""COMPUTED_VALUE"""),200.71)</f>
        <v>200.71</v>
      </c>
      <c r="F331" s="9">
        <f>IFERROR(__xludf.DUMMYFUNCTION("""COMPUTED_VALUE"""),484327.0)</f>
        <v>484327</v>
      </c>
      <c r="H331" s="27">
        <f>IFERROR(__xludf.DUMMYFUNCTION("""COMPUTED_VALUE"""),38841.645833333336)</f>
        <v>38841.64583</v>
      </c>
      <c r="I331" s="25">
        <f>IFERROR(__xludf.DUMMYFUNCTION("""COMPUTED_VALUE"""),253.5)</f>
        <v>253.5</v>
      </c>
      <c r="J331" s="25">
        <f>IFERROR(__xludf.DUMMYFUNCTION("""COMPUTED_VALUE"""),257.24)</f>
        <v>257.24</v>
      </c>
      <c r="K331" s="25">
        <f>IFERROR(__xludf.DUMMYFUNCTION("""COMPUTED_VALUE"""),252.66)</f>
        <v>252.66</v>
      </c>
      <c r="L331" s="25">
        <f>IFERROR(__xludf.DUMMYFUNCTION("""COMPUTED_VALUE"""),255.46)</f>
        <v>255.46</v>
      </c>
      <c r="M331" s="25">
        <f>IFERROR(__xludf.DUMMYFUNCTION("""COMPUTED_VALUE"""),491228.0)</f>
        <v>491228</v>
      </c>
    </row>
    <row r="332">
      <c r="A332" s="26">
        <f>IFERROR(__xludf.DUMMYFUNCTION("""COMPUTED_VALUE"""),38842.645833333336)</f>
        <v>38842.64583</v>
      </c>
      <c r="B332" s="9">
        <f>IFERROR(__xludf.DUMMYFUNCTION("""COMPUTED_VALUE"""),200.94)</f>
        <v>200.94</v>
      </c>
      <c r="C332" s="9">
        <f>IFERROR(__xludf.DUMMYFUNCTION("""COMPUTED_VALUE"""),203.06)</f>
        <v>203.06</v>
      </c>
      <c r="D332" s="9">
        <f>IFERROR(__xludf.DUMMYFUNCTION("""COMPUTED_VALUE"""),199.38)</f>
        <v>199.38</v>
      </c>
      <c r="E332" s="9">
        <f>IFERROR(__xludf.DUMMYFUNCTION("""COMPUTED_VALUE"""),200.76)</f>
        <v>200.76</v>
      </c>
      <c r="F332" s="9">
        <f>IFERROR(__xludf.DUMMYFUNCTION("""COMPUTED_VALUE"""),503115.0)</f>
        <v>503115</v>
      </c>
      <c r="H332" s="27">
        <f>IFERROR(__xludf.DUMMYFUNCTION("""COMPUTED_VALUE"""),38842.645833333336)</f>
        <v>38842.64583</v>
      </c>
      <c r="I332" s="25">
        <f>IFERROR(__xludf.DUMMYFUNCTION("""COMPUTED_VALUE"""),256.88)</f>
        <v>256.88</v>
      </c>
      <c r="J332" s="25">
        <f>IFERROR(__xludf.DUMMYFUNCTION("""COMPUTED_VALUE"""),256.88)</f>
        <v>256.88</v>
      </c>
      <c r="K332" s="25">
        <f>IFERROR(__xludf.DUMMYFUNCTION("""COMPUTED_VALUE"""),249.38)</f>
        <v>249.38</v>
      </c>
      <c r="L332" s="25">
        <f>IFERROR(__xludf.DUMMYFUNCTION("""COMPUTED_VALUE"""),250.83)</f>
        <v>250.83</v>
      </c>
      <c r="M332" s="25">
        <f>IFERROR(__xludf.DUMMYFUNCTION("""COMPUTED_VALUE"""),338815.0)</f>
        <v>338815</v>
      </c>
    </row>
    <row r="333">
      <c r="A333" s="26">
        <f>IFERROR(__xludf.DUMMYFUNCTION("""COMPUTED_VALUE"""),38845.645833333336)</f>
        <v>38845.64583</v>
      </c>
      <c r="B333" s="9">
        <f>IFERROR(__xludf.DUMMYFUNCTION("""COMPUTED_VALUE"""),202.19)</f>
        <v>202.19</v>
      </c>
      <c r="C333" s="9">
        <f>IFERROR(__xludf.DUMMYFUNCTION("""COMPUTED_VALUE"""),202.47)</f>
        <v>202.47</v>
      </c>
      <c r="D333" s="9">
        <f>IFERROR(__xludf.DUMMYFUNCTION("""COMPUTED_VALUE"""),201.25)</f>
        <v>201.25</v>
      </c>
      <c r="E333" s="9">
        <f>IFERROR(__xludf.DUMMYFUNCTION("""COMPUTED_VALUE"""),201.77)</f>
        <v>201.77</v>
      </c>
      <c r="F333" s="9">
        <f>IFERROR(__xludf.DUMMYFUNCTION("""COMPUTED_VALUE"""),308525.0)</f>
        <v>308525</v>
      </c>
      <c r="H333" s="27">
        <f>IFERROR(__xludf.DUMMYFUNCTION("""COMPUTED_VALUE"""),38845.645833333336)</f>
        <v>38845.64583</v>
      </c>
      <c r="I333" s="25">
        <f>IFERROR(__xludf.DUMMYFUNCTION("""COMPUTED_VALUE"""),252.63)</f>
        <v>252.63</v>
      </c>
      <c r="J333" s="25">
        <f>IFERROR(__xludf.DUMMYFUNCTION("""COMPUTED_VALUE"""),261.5)</f>
        <v>261.5</v>
      </c>
      <c r="K333" s="25">
        <f>IFERROR(__xludf.DUMMYFUNCTION("""COMPUTED_VALUE"""),251.25)</f>
        <v>251.25</v>
      </c>
      <c r="L333" s="25">
        <f>IFERROR(__xludf.DUMMYFUNCTION("""COMPUTED_VALUE"""),252.43)</f>
        <v>252.43</v>
      </c>
      <c r="M333" s="25">
        <f>IFERROR(__xludf.DUMMYFUNCTION("""COMPUTED_VALUE"""),185589.0)</f>
        <v>185589</v>
      </c>
    </row>
    <row r="334">
      <c r="A334" s="26">
        <f>IFERROR(__xludf.DUMMYFUNCTION("""COMPUTED_VALUE"""),38846.645833333336)</f>
        <v>38846.64583</v>
      </c>
      <c r="B334" s="9">
        <f>IFERROR(__xludf.DUMMYFUNCTION("""COMPUTED_VALUE"""),201.06)</f>
        <v>201.06</v>
      </c>
      <c r="C334" s="9">
        <f>IFERROR(__xludf.DUMMYFUNCTION("""COMPUTED_VALUE"""),203.94)</f>
        <v>203.94</v>
      </c>
      <c r="D334" s="9">
        <f>IFERROR(__xludf.DUMMYFUNCTION("""COMPUTED_VALUE"""),198.82)</f>
        <v>198.82</v>
      </c>
      <c r="E334" s="9">
        <f>IFERROR(__xludf.DUMMYFUNCTION("""COMPUTED_VALUE"""),202.32)</f>
        <v>202.32</v>
      </c>
      <c r="F334" s="9">
        <f>IFERROR(__xludf.DUMMYFUNCTION("""COMPUTED_VALUE"""),579767.0)</f>
        <v>579767</v>
      </c>
      <c r="H334" s="27">
        <f>IFERROR(__xludf.DUMMYFUNCTION("""COMPUTED_VALUE"""),38846.645833333336)</f>
        <v>38846.64583</v>
      </c>
      <c r="I334" s="25">
        <f>IFERROR(__xludf.DUMMYFUNCTION("""COMPUTED_VALUE"""),254.0)</f>
        <v>254</v>
      </c>
      <c r="J334" s="25">
        <f>IFERROR(__xludf.DUMMYFUNCTION("""COMPUTED_VALUE"""),255.55)</f>
        <v>255.55</v>
      </c>
      <c r="K334" s="25">
        <f>IFERROR(__xludf.DUMMYFUNCTION("""COMPUTED_VALUE"""),250.63)</f>
        <v>250.63</v>
      </c>
      <c r="L334" s="25">
        <f>IFERROR(__xludf.DUMMYFUNCTION("""COMPUTED_VALUE"""),253.11)</f>
        <v>253.11</v>
      </c>
      <c r="M334" s="25">
        <f>IFERROR(__xludf.DUMMYFUNCTION("""COMPUTED_VALUE"""),225049.0)</f>
        <v>225049</v>
      </c>
    </row>
    <row r="335">
      <c r="A335" s="26">
        <f>IFERROR(__xludf.DUMMYFUNCTION("""COMPUTED_VALUE"""),38847.645833333336)</f>
        <v>38847.64583</v>
      </c>
      <c r="B335" s="9">
        <f>IFERROR(__xludf.DUMMYFUNCTION("""COMPUTED_VALUE"""),202.19)</f>
        <v>202.19</v>
      </c>
      <c r="C335" s="9">
        <f>IFERROR(__xludf.DUMMYFUNCTION("""COMPUTED_VALUE"""),204.5)</f>
        <v>204.5</v>
      </c>
      <c r="D335" s="9">
        <f>IFERROR(__xludf.DUMMYFUNCTION("""COMPUTED_VALUE"""),202.19)</f>
        <v>202.19</v>
      </c>
      <c r="E335" s="9">
        <f>IFERROR(__xludf.DUMMYFUNCTION("""COMPUTED_VALUE"""),203.52)</f>
        <v>203.52</v>
      </c>
      <c r="F335" s="9">
        <f>IFERROR(__xludf.DUMMYFUNCTION("""COMPUTED_VALUE"""),493230.0)</f>
        <v>493230</v>
      </c>
      <c r="H335" s="27">
        <f>IFERROR(__xludf.DUMMYFUNCTION("""COMPUTED_VALUE"""),38847.645833333336)</f>
        <v>38847.64583</v>
      </c>
      <c r="I335" s="25">
        <f>IFERROR(__xludf.DUMMYFUNCTION("""COMPUTED_VALUE"""),255.55)</f>
        <v>255.55</v>
      </c>
      <c r="J335" s="25">
        <f>IFERROR(__xludf.DUMMYFUNCTION("""COMPUTED_VALUE"""),255.88)</f>
        <v>255.88</v>
      </c>
      <c r="K335" s="25">
        <f>IFERROR(__xludf.DUMMYFUNCTION("""COMPUTED_VALUE"""),250.29)</f>
        <v>250.29</v>
      </c>
      <c r="L335" s="25">
        <f>IFERROR(__xludf.DUMMYFUNCTION("""COMPUTED_VALUE"""),252.71)</f>
        <v>252.71</v>
      </c>
      <c r="M335" s="25">
        <f>IFERROR(__xludf.DUMMYFUNCTION("""COMPUTED_VALUE"""),247274.0)</f>
        <v>247274</v>
      </c>
    </row>
    <row r="336">
      <c r="A336" s="26">
        <f>IFERROR(__xludf.DUMMYFUNCTION("""COMPUTED_VALUE"""),38848.645833333336)</f>
        <v>38848.64583</v>
      </c>
      <c r="B336" s="9">
        <f>IFERROR(__xludf.DUMMYFUNCTION("""COMPUTED_VALUE"""),203.31)</f>
        <v>203.31</v>
      </c>
      <c r="C336" s="9">
        <f>IFERROR(__xludf.DUMMYFUNCTION("""COMPUTED_VALUE"""),204.55)</f>
        <v>204.55</v>
      </c>
      <c r="D336" s="9">
        <f>IFERROR(__xludf.DUMMYFUNCTION("""COMPUTED_VALUE"""),200.95)</f>
        <v>200.95</v>
      </c>
      <c r="E336" s="9">
        <f>IFERROR(__xludf.DUMMYFUNCTION("""COMPUTED_VALUE"""),203.5)</f>
        <v>203.5</v>
      </c>
      <c r="F336" s="9">
        <f>IFERROR(__xludf.DUMMYFUNCTION("""COMPUTED_VALUE"""),556985.0)</f>
        <v>556985</v>
      </c>
      <c r="H336" s="27">
        <f>IFERROR(__xludf.DUMMYFUNCTION("""COMPUTED_VALUE"""),38848.645833333336)</f>
        <v>38848.64583</v>
      </c>
      <c r="I336" s="25">
        <f>IFERROR(__xludf.DUMMYFUNCTION("""COMPUTED_VALUE"""),253.66)</f>
        <v>253.66</v>
      </c>
      <c r="J336" s="25">
        <f>IFERROR(__xludf.DUMMYFUNCTION("""COMPUTED_VALUE"""),253.66)</f>
        <v>253.66</v>
      </c>
      <c r="K336" s="25">
        <f>IFERROR(__xludf.DUMMYFUNCTION("""COMPUTED_VALUE"""),250.68)</f>
        <v>250.68</v>
      </c>
      <c r="L336" s="25">
        <f>IFERROR(__xludf.DUMMYFUNCTION("""COMPUTED_VALUE"""),252.34)</f>
        <v>252.34</v>
      </c>
      <c r="M336" s="25">
        <f>IFERROR(__xludf.DUMMYFUNCTION("""COMPUTED_VALUE"""),245503.0)</f>
        <v>245503</v>
      </c>
    </row>
    <row r="337">
      <c r="A337" s="26">
        <f>IFERROR(__xludf.DUMMYFUNCTION("""COMPUTED_VALUE"""),38849.645833333336)</f>
        <v>38849.64583</v>
      </c>
      <c r="B337" s="9">
        <f>IFERROR(__xludf.DUMMYFUNCTION("""COMPUTED_VALUE"""),202.19)</f>
        <v>202.19</v>
      </c>
      <c r="C337" s="9">
        <f>IFERROR(__xludf.DUMMYFUNCTION("""COMPUTED_VALUE"""),205.31)</f>
        <v>205.31</v>
      </c>
      <c r="D337" s="9">
        <f>IFERROR(__xludf.DUMMYFUNCTION("""COMPUTED_VALUE"""),199.44)</f>
        <v>199.44</v>
      </c>
      <c r="E337" s="9">
        <f>IFERROR(__xludf.DUMMYFUNCTION("""COMPUTED_VALUE"""),202.64)</f>
        <v>202.64</v>
      </c>
      <c r="F337" s="9">
        <f>IFERROR(__xludf.DUMMYFUNCTION("""COMPUTED_VALUE"""),558157.0)</f>
        <v>558157</v>
      </c>
      <c r="H337" s="27">
        <f>IFERROR(__xludf.DUMMYFUNCTION("""COMPUTED_VALUE"""),38849.645833333336)</f>
        <v>38849.64583</v>
      </c>
      <c r="I337" s="25">
        <f>IFERROR(__xludf.DUMMYFUNCTION("""COMPUTED_VALUE"""),251.38)</f>
        <v>251.38</v>
      </c>
      <c r="J337" s="25">
        <f>IFERROR(__xludf.DUMMYFUNCTION("""COMPUTED_VALUE"""),253.11)</f>
        <v>253.11</v>
      </c>
      <c r="K337" s="25">
        <f>IFERROR(__xludf.DUMMYFUNCTION("""COMPUTED_VALUE"""),246.29)</f>
        <v>246.29</v>
      </c>
      <c r="L337" s="25">
        <f>IFERROR(__xludf.DUMMYFUNCTION("""COMPUTED_VALUE"""),249.52)</f>
        <v>249.52</v>
      </c>
      <c r="M337" s="25">
        <f>IFERROR(__xludf.DUMMYFUNCTION("""COMPUTED_VALUE"""),347142.0)</f>
        <v>347142</v>
      </c>
    </row>
    <row r="338">
      <c r="A338" s="26">
        <f>IFERROR(__xludf.DUMMYFUNCTION("""COMPUTED_VALUE"""),38852.645833333336)</f>
        <v>38852.64583</v>
      </c>
      <c r="B338" s="9">
        <f>IFERROR(__xludf.DUMMYFUNCTION("""COMPUTED_VALUE"""),199.38)</f>
        <v>199.38</v>
      </c>
      <c r="C338" s="9">
        <f>IFERROR(__xludf.DUMMYFUNCTION("""COMPUTED_VALUE"""),203.06)</f>
        <v>203.06</v>
      </c>
      <c r="D338" s="9">
        <f>IFERROR(__xludf.DUMMYFUNCTION("""COMPUTED_VALUE"""),194.44)</f>
        <v>194.44</v>
      </c>
      <c r="E338" s="9">
        <f>IFERROR(__xludf.DUMMYFUNCTION("""COMPUTED_VALUE"""),196.94)</f>
        <v>196.94</v>
      </c>
      <c r="F338" s="9">
        <f>IFERROR(__xludf.DUMMYFUNCTION("""COMPUTED_VALUE"""),909991.0)</f>
        <v>909991</v>
      </c>
      <c r="H338" s="27">
        <f>IFERROR(__xludf.DUMMYFUNCTION("""COMPUTED_VALUE"""),38852.645833333336)</f>
        <v>38852.64583</v>
      </c>
      <c r="I338" s="25">
        <f>IFERROR(__xludf.DUMMYFUNCTION("""COMPUTED_VALUE"""),247.5)</f>
        <v>247.5</v>
      </c>
      <c r="J338" s="25">
        <f>IFERROR(__xludf.DUMMYFUNCTION("""COMPUTED_VALUE"""),250.13)</f>
        <v>250.13</v>
      </c>
      <c r="K338" s="25">
        <f>IFERROR(__xludf.DUMMYFUNCTION("""COMPUTED_VALUE"""),240.0)</f>
        <v>240</v>
      </c>
      <c r="L338" s="25">
        <f>IFERROR(__xludf.DUMMYFUNCTION("""COMPUTED_VALUE"""),245.11)</f>
        <v>245.11</v>
      </c>
      <c r="M338" s="25">
        <f>IFERROR(__xludf.DUMMYFUNCTION("""COMPUTED_VALUE"""),504313.0)</f>
        <v>504313</v>
      </c>
    </row>
    <row r="339">
      <c r="A339" s="26">
        <f>IFERROR(__xludf.DUMMYFUNCTION("""COMPUTED_VALUE"""),38853.645833333336)</f>
        <v>38853.64583</v>
      </c>
      <c r="B339" s="9">
        <f>IFERROR(__xludf.DUMMYFUNCTION("""COMPUTED_VALUE"""),197.5)</f>
        <v>197.5</v>
      </c>
      <c r="C339" s="9">
        <f>IFERROR(__xludf.DUMMYFUNCTION("""COMPUTED_VALUE"""),206.25)</f>
        <v>206.25</v>
      </c>
      <c r="D339" s="9">
        <f>IFERROR(__xludf.DUMMYFUNCTION("""COMPUTED_VALUE"""),191.31)</f>
        <v>191.31</v>
      </c>
      <c r="E339" s="9">
        <f>IFERROR(__xludf.DUMMYFUNCTION("""COMPUTED_VALUE"""),196.88)</f>
        <v>196.88</v>
      </c>
      <c r="F339" s="9">
        <f>IFERROR(__xludf.DUMMYFUNCTION("""COMPUTED_VALUE"""),863942.0)</f>
        <v>863942</v>
      </c>
      <c r="H339" s="27">
        <f>IFERROR(__xludf.DUMMYFUNCTION("""COMPUTED_VALUE"""),38853.645833333336)</f>
        <v>38853.64583</v>
      </c>
      <c r="I339" s="25">
        <f>IFERROR(__xludf.DUMMYFUNCTION("""COMPUTED_VALUE"""),244.99)</f>
        <v>244.99</v>
      </c>
      <c r="J339" s="25">
        <f>IFERROR(__xludf.DUMMYFUNCTION("""COMPUTED_VALUE"""),249.38)</f>
        <v>249.38</v>
      </c>
      <c r="K339" s="25">
        <f>IFERROR(__xludf.DUMMYFUNCTION("""COMPUTED_VALUE"""),239.98)</f>
        <v>239.98</v>
      </c>
      <c r="L339" s="25">
        <f>IFERROR(__xludf.DUMMYFUNCTION("""COMPUTED_VALUE"""),246.84)</f>
        <v>246.84</v>
      </c>
      <c r="M339" s="25">
        <f>IFERROR(__xludf.DUMMYFUNCTION("""COMPUTED_VALUE"""),333946.0)</f>
        <v>333946</v>
      </c>
    </row>
    <row r="340">
      <c r="A340" s="26">
        <f>IFERROR(__xludf.DUMMYFUNCTION("""COMPUTED_VALUE"""),38854.645833333336)</f>
        <v>38854.64583</v>
      </c>
      <c r="B340" s="9">
        <f>IFERROR(__xludf.DUMMYFUNCTION("""COMPUTED_VALUE"""),199.37)</f>
        <v>199.37</v>
      </c>
      <c r="C340" s="9">
        <f>IFERROR(__xludf.DUMMYFUNCTION("""COMPUTED_VALUE"""),203.06)</f>
        <v>203.06</v>
      </c>
      <c r="D340" s="9">
        <f>IFERROR(__xludf.DUMMYFUNCTION("""COMPUTED_VALUE"""),197.81)</f>
        <v>197.81</v>
      </c>
      <c r="E340" s="9">
        <f>IFERROR(__xludf.DUMMYFUNCTION("""COMPUTED_VALUE"""),200.51)</f>
        <v>200.51</v>
      </c>
      <c r="F340" s="9">
        <f>IFERROR(__xludf.DUMMYFUNCTION("""COMPUTED_VALUE"""),647645.0)</f>
        <v>647645</v>
      </c>
      <c r="H340" s="27">
        <f>IFERROR(__xludf.DUMMYFUNCTION("""COMPUTED_VALUE"""),38854.645833333336)</f>
        <v>38854.64583</v>
      </c>
      <c r="I340" s="25">
        <f>IFERROR(__xludf.DUMMYFUNCTION("""COMPUTED_VALUE"""),249.38)</f>
        <v>249.38</v>
      </c>
      <c r="J340" s="25">
        <f>IFERROR(__xludf.DUMMYFUNCTION("""COMPUTED_VALUE"""),252.5)</f>
        <v>252.5</v>
      </c>
      <c r="K340" s="25">
        <f>IFERROR(__xludf.DUMMYFUNCTION("""COMPUTED_VALUE"""),248.75)</f>
        <v>248.75</v>
      </c>
      <c r="L340" s="25">
        <f>IFERROR(__xludf.DUMMYFUNCTION("""COMPUTED_VALUE"""),252.07)</f>
        <v>252.07</v>
      </c>
      <c r="M340" s="25">
        <f>IFERROR(__xludf.DUMMYFUNCTION("""COMPUTED_VALUE"""),167921.0)</f>
        <v>167921</v>
      </c>
    </row>
    <row r="341">
      <c r="A341" s="26">
        <f>IFERROR(__xludf.DUMMYFUNCTION("""COMPUTED_VALUE"""),38855.645833333336)</f>
        <v>38855.64583</v>
      </c>
      <c r="B341" s="9">
        <f>IFERROR(__xludf.DUMMYFUNCTION("""COMPUTED_VALUE"""),199.57)</f>
        <v>199.57</v>
      </c>
      <c r="C341" s="9">
        <f>IFERROR(__xludf.DUMMYFUNCTION("""COMPUTED_VALUE"""),199.57)</f>
        <v>199.57</v>
      </c>
      <c r="D341" s="9">
        <f>IFERROR(__xludf.DUMMYFUNCTION("""COMPUTED_VALUE"""),187.5)</f>
        <v>187.5</v>
      </c>
      <c r="E341" s="9">
        <f>IFERROR(__xludf.DUMMYFUNCTION("""COMPUTED_VALUE"""),189.62)</f>
        <v>189.62</v>
      </c>
      <c r="F341" s="9">
        <f>IFERROR(__xludf.DUMMYFUNCTION("""COMPUTED_VALUE"""),1034941.0)</f>
        <v>1034941</v>
      </c>
      <c r="H341" s="27">
        <f>IFERROR(__xludf.DUMMYFUNCTION("""COMPUTED_VALUE"""),38855.645833333336)</f>
        <v>38855.64583</v>
      </c>
      <c r="I341" s="25">
        <f>IFERROR(__xludf.DUMMYFUNCTION("""COMPUTED_VALUE"""),248.75)</f>
        <v>248.75</v>
      </c>
      <c r="J341" s="25">
        <f>IFERROR(__xludf.DUMMYFUNCTION("""COMPUTED_VALUE"""),249.99)</f>
        <v>249.99</v>
      </c>
      <c r="K341" s="25">
        <f>IFERROR(__xludf.DUMMYFUNCTION("""COMPUTED_VALUE"""),237.5)</f>
        <v>237.5</v>
      </c>
      <c r="L341" s="25">
        <f>IFERROR(__xludf.DUMMYFUNCTION("""COMPUTED_VALUE"""),240.71)</f>
        <v>240.71</v>
      </c>
      <c r="M341" s="25">
        <f>IFERROR(__xludf.DUMMYFUNCTION("""COMPUTED_VALUE"""),567795.0)</f>
        <v>567795</v>
      </c>
    </row>
    <row r="342">
      <c r="A342" s="26">
        <f>IFERROR(__xludf.DUMMYFUNCTION("""COMPUTED_VALUE"""),38856.645833333336)</f>
        <v>38856.64583</v>
      </c>
      <c r="B342" s="9">
        <f>IFERROR(__xludf.DUMMYFUNCTION("""COMPUTED_VALUE"""),195.0)</f>
        <v>195</v>
      </c>
      <c r="C342" s="9">
        <f>IFERROR(__xludf.DUMMYFUNCTION("""COMPUTED_VALUE"""),196.56)</f>
        <v>196.56</v>
      </c>
      <c r="D342" s="9">
        <f>IFERROR(__xludf.DUMMYFUNCTION("""COMPUTED_VALUE"""),183.25)</f>
        <v>183.25</v>
      </c>
      <c r="E342" s="9">
        <f>IFERROR(__xludf.DUMMYFUNCTION("""COMPUTED_VALUE"""),185.9)</f>
        <v>185.9</v>
      </c>
      <c r="F342" s="9">
        <f>IFERROR(__xludf.DUMMYFUNCTION("""COMPUTED_VALUE"""),1257204.0)</f>
        <v>1257204</v>
      </c>
      <c r="H342" s="27">
        <f>IFERROR(__xludf.DUMMYFUNCTION("""COMPUTED_VALUE"""),38856.645833333336)</f>
        <v>38856.64583</v>
      </c>
      <c r="I342" s="25">
        <f>IFERROR(__xludf.DUMMYFUNCTION("""COMPUTED_VALUE"""),243.75)</f>
        <v>243.75</v>
      </c>
      <c r="J342" s="25">
        <f>IFERROR(__xludf.DUMMYFUNCTION("""COMPUTED_VALUE"""),244.98)</f>
        <v>244.98</v>
      </c>
      <c r="K342" s="25">
        <f>IFERROR(__xludf.DUMMYFUNCTION("""COMPUTED_VALUE"""),231.44)</f>
        <v>231.44</v>
      </c>
      <c r="L342" s="25">
        <f>IFERROR(__xludf.DUMMYFUNCTION("""COMPUTED_VALUE"""),236.55)</f>
        <v>236.55</v>
      </c>
      <c r="M342" s="25">
        <f>IFERROR(__xludf.DUMMYFUNCTION("""COMPUTED_VALUE"""),608527.0)</f>
        <v>608527</v>
      </c>
    </row>
    <row r="343">
      <c r="A343" s="26">
        <f>IFERROR(__xludf.DUMMYFUNCTION("""COMPUTED_VALUE"""),38859.645833333336)</f>
        <v>38859.64583</v>
      </c>
      <c r="B343" s="9">
        <f>IFERROR(__xludf.DUMMYFUNCTION("""COMPUTED_VALUE"""),189.04)</f>
        <v>189.04</v>
      </c>
      <c r="C343" s="9">
        <f>IFERROR(__xludf.DUMMYFUNCTION("""COMPUTED_VALUE"""),193.61)</f>
        <v>193.61</v>
      </c>
      <c r="D343" s="9">
        <f>IFERROR(__xludf.DUMMYFUNCTION("""COMPUTED_VALUE"""),173.44)</f>
        <v>173.44</v>
      </c>
      <c r="E343" s="9">
        <f>IFERROR(__xludf.DUMMYFUNCTION("""COMPUTED_VALUE"""),176.48)</f>
        <v>176.48</v>
      </c>
      <c r="F343" s="9">
        <f>IFERROR(__xludf.DUMMYFUNCTION("""COMPUTED_VALUE"""),1339265.0)</f>
        <v>1339265</v>
      </c>
      <c r="H343" s="27">
        <f>IFERROR(__xludf.DUMMYFUNCTION("""COMPUTED_VALUE"""),38859.645833333336)</f>
        <v>38859.64583</v>
      </c>
      <c r="I343" s="25">
        <f>IFERROR(__xludf.DUMMYFUNCTION("""COMPUTED_VALUE"""),240.0)</f>
        <v>240</v>
      </c>
      <c r="J343" s="25">
        <f>IFERROR(__xludf.DUMMYFUNCTION("""COMPUTED_VALUE"""),240.0)</f>
        <v>240</v>
      </c>
      <c r="K343" s="25">
        <f>IFERROR(__xludf.DUMMYFUNCTION("""COMPUTED_VALUE"""),218.0)</f>
        <v>218</v>
      </c>
      <c r="L343" s="25">
        <f>IFERROR(__xludf.DUMMYFUNCTION("""COMPUTED_VALUE"""),222.56)</f>
        <v>222.56</v>
      </c>
      <c r="M343" s="25">
        <f>IFERROR(__xludf.DUMMYFUNCTION("""COMPUTED_VALUE"""),587427.0)</f>
        <v>587427</v>
      </c>
    </row>
    <row r="344">
      <c r="A344" s="26">
        <f>IFERROR(__xludf.DUMMYFUNCTION("""COMPUTED_VALUE"""),38860.645833333336)</f>
        <v>38860.64583</v>
      </c>
      <c r="B344" s="9">
        <f>IFERROR(__xludf.DUMMYFUNCTION("""COMPUTED_VALUE"""),176.88)</f>
        <v>176.88</v>
      </c>
      <c r="C344" s="9">
        <f>IFERROR(__xludf.DUMMYFUNCTION("""COMPUTED_VALUE"""),184.06)</f>
        <v>184.06</v>
      </c>
      <c r="D344" s="9">
        <f>IFERROR(__xludf.DUMMYFUNCTION("""COMPUTED_VALUE"""),173.21)</f>
        <v>173.21</v>
      </c>
      <c r="E344" s="9">
        <f>IFERROR(__xludf.DUMMYFUNCTION("""COMPUTED_VALUE"""),181.92)</f>
        <v>181.92</v>
      </c>
      <c r="F344" s="9">
        <f>IFERROR(__xludf.DUMMYFUNCTION("""COMPUTED_VALUE"""),1005754.0)</f>
        <v>1005754</v>
      </c>
      <c r="H344" s="27">
        <f>IFERROR(__xludf.DUMMYFUNCTION("""COMPUTED_VALUE"""),38860.645833333336)</f>
        <v>38860.64583</v>
      </c>
      <c r="I344" s="25">
        <f>IFERROR(__xludf.DUMMYFUNCTION("""COMPUTED_VALUE"""),225.0)</f>
        <v>225</v>
      </c>
      <c r="J344" s="25">
        <f>IFERROR(__xludf.DUMMYFUNCTION("""COMPUTED_VALUE"""),234.25)</f>
        <v>234.25</v>
      </c>
      <c r="K344" s="25">
        <f>IFERROR(__xludf.DUMMYFUNCTION("""COMPUTED_VALUE"""),212.63)</f>
        <v>212.63</v>
      </c>
      <c r="L344" s="25">
        <f>IFERROR(__xludf.DUMMYFUNCTION("""COMPUTED_VALUE"""),228.78)</f>
        <v>228.78</v>
      </c>
      <c r="M344" s="25">
        <f>IFERROR(__xludf.DUMMYFUNCTION("""COMPUTED_VALUE"""),673517.0)</f>
        <v>673517</v>
      </c>
    </row>
    <row r="345">
      <c r="A345" s="26">
        <f>IFERROR(__xludf.DUMMYFUNCTION("""COMPUTED_VALUE"""),38861.645833333336)</f>
        <v>38861.64583</v>
      </c>
      <c r="B345" s="9">
        <f>IFERROR(__xludf.DUMMYFUNCTION("""COMPUTED_VALUE"""),183.75)</f>
        <v>183.75</v>
      </c>
      <c r="C345" s="9">
        <f>IFERROR(__xludf.DUMMYFUNCTION("""COMPUTED_VALUE"""),183.81)</f>
        <v>183.81</v>
      </c>
      <c r="D345" s="9">
        <f>IFERROR(__xludf.DUMMYFUNCTION("""COMPUTED_VALUE"""),175.7)</f>
        <v>175.7</v>
      </c>
      <c r="E345" s="9">
        <f>IFERROR(__xludf.DUMMYFUNCTION("""COMPUTED_VALUE"""),178.81)</f>
        <v>178.81</v>
      </c>
      <c r="F345" s="9">
        <f>IFERROR(__xludf.DUMMYFUNCTION("""COMPUTED_VALUE"""),1131211.0)</f>
        <v>1131211</v>
      </c>
      <c r="H345" s="27">
        <f>IFERROR(__xludf.DUMMYFUNCTION("""COMPUTED_VALUE"""),38861.645833333336)</f>
        <v>38861.64583</v>
      </c>
      <c r="I345" s="25">
        <f>IFERROR(__xludf.DUMMYFUNCTION("""COMPUTED_VALUE"""),233.75)</f>
        <v>233.75</v>
      </c>
      <c r="J345" s="25">
        <f>IFERROR(__xludf.DUMMYFUNCTION("""COMPUTED_VALUE"""),235.0)</f>
        <v>235</v>
      </c>
      <c r="K345" s="25">
        <f>IFERROR(__xludf.DUMMYFUNCTION("""COMPUTED_VALUE"""),220.0)</f>
        <v>220</v>
      </c>
      <c r="L345" s="25">
        <f>IFERROR(__xludf.DUMMYFUNCTION("""COMPUTED_VALUE"""),223.83)</f>
        <v>223.83</v>
      </c>
      <c r="M345" s="25">
        <f>IFERROR(__xludf.DUMMYFUNCTION("""COMPUTED_VALUE"""),713196.0)</f>
        <v>713196</v>
      </c>
    </row>
    <row r="346">
      <c r="A346" s="26">
        <f>IFERROR(__xludf.DUMMYFUNCTION("""COMPUTED_VALUE"""),38862.645833333336)</f>
        <v>38862.64583</v>
      </c>
      <c r="B346" s="9">
        <f>IFERROR(__xludf.DUMMYFUNCTION("""COMPUTED_VALUE"""),176.88)</f>
        <v>176.88</v>
      </c>
      <c r="C346" s="9">
        <f>IFERROR(__xludf.DUMMYFUNCTION("""COMPUTED_VALUE"""),179.18)</f>
        <v>179.18</v>
      </c>
      <c r="D346" s="9">
        <f>IFERROR(__xludf.DUMMYFUNCTION("""COMPUTED_VALUE"""),174.94)</f>
        <v>174.94</v>
      </c>
      <c r="E346" s="9">
        <f>IFERROR(__xludf.DUMMYFUNCTION("""COMPUTED_VALUE"""),176.78)</f>
        <v>176.78</v>
      </c>
      <c r="F346" s="9">
        <f>IFERROR(__xludf.DUMMYFUNCTION("""COMPUTED_VALUE"""),1691344.0)</f>
        <v>1691344</v>
      </c>
      <c r="H346" s="27">
        <f>IFERROR(__xludf.DUMMYFUNCTION("""COMPUTED_VALUE"""),38862.645833333336)</f>
        <v>38862.64583</v>
      </c>
      <c r="I346" s="25">
        <f>IFERROR(__xludf.DUMMYFUNCTION("""COMPUTED_VALUE"""),222.5)</f>
        <v>222.5</v>
      </c>
      <c r="J346" s="25">
        <f>IFERROR(__xludf.DUMMYFUNCTION("""COMPUTED_VALUE"""),237.3)</f>
        <v>237.3</v>
      </c>
      <c r="K346" s="25">
        <f>IFERROR(__xludf.DUMMYFUNCTION("""COMPUTED_VALUE"""),218.13)</f>
        <v>218.13</v>
      </c>
      <c r="L346" s="25">
        <f>IFERROR(__xludf.DUMMYFUNCTION("""COMPUTED_VALUE"""),234.62)</f>
        <v>234.62</v>
      </c>
      <c r="M346" s="25">
        <f>IFERROR(__xludf.DUMMYFUNCTION("""COMPUTED_VALUE"""),729881.0)</f>
        <v>729881</v>
      </c>
    </row>
    <row r="347">
      <c r="A347" s="26">
        <f>IFERROR(__xludf.DUMMYFUNCTION("""COMPUTED_VALUE"""),38863.645833333336)</f>
        <v>38863.64583</v>
      </c>
      <c r="B347" s="9">
        <f>IFERROR(__xludf.DUMMYFUNCTION("""COMPUTED_VALUE"""),179.38)</f>
        <v>179.38</v>
      </c>
      <c r="C347" s="9">
        <f>IFERROR(__xludf.DUMMYFUNCTION("""COMPUTED_VALUE"""),185.92)</f>
        <v>185.92</v>
      </c>
      <c r="D347" s="9">
        <f>IFERROR(__xludf.DUMMYFUNCTION("""COMPUTED_VALUE"""),179.18)</f>
        <v>179.18</v>
      </c>
      <c r="E347" s="9">
        <f>IFERROR(__xludf.DUMMYFUNCTION("""COMPUTED_VALUE"""),183.39)</f>
        <v>183.39</v>
      </c>
      <c r="F347" s="9">
        <f>IFERROR(__xludf.DUMMYFUNCTION("""COMPUTED_VALUE"""),915922.0)</f>
        <v>915922</v>
      </c>
      <c r="H347" s="27">
        <f>IFERROR(__xludf.DUMMYFUNCTION("""COMPUTED_VALUE"""),38863.645833333336)</f>
        <v>38863.64583</v>
      </c>
      <c r="I347" s="25">
        <f>IFERROR(__xludf.DUMMYFUNCTION("""COMPUTED_VALUE"""),236.25)</f>
        <v>236.25</v>
      </c>
      <c r="J347" s="25">
        <f>IFERROR(__xludf.DUMMYFUNCTION("""COMPUTED_VALUE"""),237.5)</f>
        <v>237.5</v>
      </c>
      <c r="K347" s="25">
        <f>IFERROR(__xludf.DUMMYFUNCTION("""COMPUTED_VALUE"""),230.13)</f>
        <v>230.13</v>
      </c>
      <c r="L347" s="25">
        <f>IFERROR(__xludf.DUMMYFUNCTION("""COMPUTED_VALUE"""),233.3)</f>
        <v>233.3</v>
      </c>
      <c r="M347" s="25">
        <f>IFERROR(__xludf.DUMMYFUNCTION("""COMPUTED_VALUE"""),276023.0)</f>
        <v>276023</v>
      </c>
    </row>
    <row r="348">
      <c r="A348" s="26">
        <f>IFERROR(__xludf.DUMMYFUNCTION("""COMPUTED_VALUE"""),38866.645833333336)</f>
        <v>38866.64583</v>
      </c>
      <c r="B348" s="9">
        <f>IFERROR(__xludf.DUMMYFUNCTION("""COMPUTED_VALUE"""),183.75)</f>
        <v>183.75</v>
      </c>
      <c r="C348" s="9">
        <f>IFERROR(__xludf.DUMMYFUNCTION("""COMPUTED_VALUE"""),186.5)</f>
        <v>186.5</v>
      </c>
      <c r="D348" s="9">
        <f>IFERROR(__xludf.DUMMYFUNCTION("""COMPUTED_VALUE"""),183.0)</f>
        <v>183</v>
      </c>
      <c r="E348" s="9">
        <f>IFERROR(__xludf.DUMMYFUNCTION("""COMPUTED_VALUE"""),185.48)</f>
        <v>185.48</v>
      </c>
      <c r="F348" s="9">
        <f>IFERROR(__xludf.DUMMYFUNCTION("""COMPUTED_VALUE"""),415954.0)</f>
        <v>415954</v>
      </c>
      <c r="H348" s="27">
        <f>IFERROR(__xludf.DUMMYFUNCTION("""COMPUTED_VALUE"""),38866.645833333336)</f>
        <v>38866.64583</v>
      </c>
      <c r="I348" s="25">
        <f>IFERROR(__xludf.DUMMYFUNCTION("""COMPUTED_VALUE"""),233.13)</f>
        <v>233.13</v>
      </c>
      <c r="J348" s="25">
        <f>IFERROR(__xludf.DUMMYFUNCTION("""COMPUTED_VALUE"""),233.13)</f>
        <v>233.13</v>
      </c>
      <c r="K348" s="25">
        <f>IFERROR(__xludf.DUMMYFUNCTION("""COMPUTED_VALUE"""),230.04)</f>
        <v>230.04</v>
      </c>
      <c r="L348" s="25">
        <f>IFERROR(__xludf.DUMMYFUNCTION("""COMPUTED_VALUE"""),231.32)</f>
        <v>231.32</v>
      </c>
      <c r="M348" s="25">
        <f>IFERROR(__xludf.DUMMYFUNCTION("""COMPUTED_VALUE"""),350336.0)</f>
        <v>350336</v>
      </c>
    </row>
    <row r="349">
      <c r="A349" s="26">
        <f>IFERROR(__xludf.DUMMYFUNCTION("""COMPUTED_VALUE"""),38867.645833333336)</f>
        <v>38867.64583</v>
      </c>
      <c r="B349" s="9">
        <f>IFERROR(__xludf.DUMMYFUNCTION("""COMPUTED_VALUE"""),185.88)</f>
        <v>185.88</v>
      </c>
      <c r="C349" s="9">
        <f>IFERROR(__xludf.DUMMYFUNCTION("""COMPUTED_VALUE"""),192.81)</f>
        <v>192.81</v>
      </c>
      <c r="D349" s="9">
        <f>IFERROR(__xludf.DUMMYFUNCTION("""COMPUTED_VALUE"""),184.78)</f>
        <v>184.78</v>
      </c>
      <c r="E349" s="9">
        <f>IFERROR(__xludf.DUMMYFUNCTION("""COMPUTED_VALUE"""),189.16)</f>
        <v>189.16</v>
      </c>
      <c r="F349" s="9">
        <f>IFERROR(__xludf.DUMMYFUNCTION("""COMPUTED_VALUE"""),1056003.0)</f>
        <v>1056003</v>
      </c>
      <c r="H349" s="27">
        <f>IFERROR(__xludf.DUMMYFUNCTION("""COMPUTED_VALUE"""),38867.645833333336)</f>
        <v>38867.64583</v>
      </c>
      <c r="I349" s="25">
        <f>IFERROR(__xludf.DUMMYFUNCTION("""COMPUTED_VALUE"""),233.13)</f>
        <v>233.13</v>
      </c>
      <c r="J349" s="25">
        <f>IFERROR(__xludf.DUMMYFUNCTION("""COMPUTED_VALUE"""),236.89)</f>
        <v>236.89</v>
      </c>
      <c r="K349" s="25">
        <f>IFERROR(__xludf.DUMMYFUNCTION("""COMPUTED_VALUE"""),229.38)</f>
        <v>229.38</v>
      </c>
      <c r="L349" s="25">
        <f>IFERROR(__xludf.DUMMYFUNCTION("""COMPUTED_VALUE"""),232.55)</f>
        <v>232.55</v>
      </c>
      <c r="M349" s="25">
        <f>IFERROR(__xludf.DUMMYFUNCTION("""COMPUTED_VALUE"""),564507.0)</f>
        <v>564507</v>
      </c>
    </row>
    <row r="350">
      <c r="A350" s="26">
        <f>IFERROR(__xludf.DUMMYFUNCTION("""COMPUTED_VALUE"""),38868.645833333336)</f>
        <v>38868.64583</v>
      </c>
      <c r="B350" s="9">
        <f>IFERROR(__xludf.DUMMYFUNCTION("""COMPUTED_VALUE"""),185.63)</f>
        <v>185.63</v>
      </c>
      <c r="C350" s="9">
        <f>IFERROR(__xludf.DUMMYFUNCTION("""COMPUTED_VALUE"""),187.44)</f>
        <v>187.44</v>
      </c>
      <c r="D350" s="9">
        <f>IFERROR(__xludf.DUMMYFUNCTION("""COMPUTED_VALUE"""),178.13)</f>
        <v>178.13</v>
      </c>
      <c r="E350" s="9">
        <f>IFERROR(__xludf.DUMMYFUNCTION("""COMPUTED_VALUE"""),181.87)</f>
        <v>181.87</v>
      </c>
      <c r="F350" s="9">
        <f>IFERROR(__xludf.DUMMYFUNCTION("""COMPUTED_VALUE"""),1195873.0)</f>
        <v>1195873</v>
      </c>
      <c r="H350" s="27">
        <f>IFERROR(__xludf.DUMMYFUNCTION("""COMPUTED_VALUE"""),38868.645833333336)</f>
        <v>38868.64583</v>
      </c>
      <c r="I350" s="25">
        <f>IFERROR(__xludf.DUMMYFUNCTION("""COMPUTED_VALUE"""),230.14)</f>
        <v>230.14</v>
      </c>
      <c r="J350" s="25">
        <f>IFERROR(__xludf.DUMMYFUNCTION("""COMPUTED_VALUE"""),230.14)</f>
        <v>230.14</v>
      </c>
      <c r="K350" s="25">
        <f>IFERROR(__xludf.DUMMYFUNCTION("""COMPUTED_VALUE"""),216.25)</f>
        <v>216.25</v>
      </c>
      <c r="L350" s="25">
        <f>IFERROR(__xludf.DUMMYFUNCTION("""COMPUTED_VALUE"""),222.86)</f>
        <v>222.86</v>
      </c>
      <c r="M350" s="25">
        <f>IFERROR(__xludf.DUMMYFUNCTION("""COMPUTED_VALUE"""),721232.0)</f>
        <v>721232</v>
      </c>
    </row>
    <row r="351">
      <c r="A351" s="26">
        <f>IFERROR(__xludf.DUMMYFUNCTION("""COMPUTED_VALUE"""),38869.645833333336)</f>
        <v>38869.64583</v>
      </c>
      <c r="B351" s="9">
        <f>IFERROR(__xludf.DUMMYFUNCTION("""COMPUTED_VALUE"""),184.31)</f>
        <v>184.31</v>
      </c>
      <c r="C351" s="9">
        <f>IFERROR(__xludf.DUMMYFUNCTION("""COMPUTED_VALUE"""),185.31)</f>
        <v>185.31</v>
      </c>
      <c r="D351" s="9">
        <f>IFERROR(__xludf.DUMMYFUNCTION("""COMPUTED_VALUE"""),175.32)</f>
        <v>175.32</v>
      </c>
      <c r="E351" s="9">
        <f>IFERROR(__xludf.DUMMYFUNCTION("""COMPUTED_VALUE"""),176.87)</f>
        <v>176.87</v>
      </c>
      <c r="F351" s="9">
        <f>IFERROR(__xludf.DUMMYFUNCTION("""COMPUTED_VALUE"""),1481478.0)</f>
        <v>1481478</v>
      </c>
      <c r="H351" s="27">
        <f>IFERROR(__xludf.DUMMYFUNCTION("""COMPUTED_VALUE"""),38869.645833333336)</f>
        <v>38869.64583</v>
      </c>
      <c r="I351" s="25">
        <f>IFERROR(__xludf.DUMMYFUNCTION("""COMPUTED_VALUE"""),228.13)</f>
        <v>228.13</v>
      </c>
      <c r="J351" s="25">
        <f>IFERROR(__xludf.DUMMYFUNCTION("""COMPUTED_VALUE"""),228.13)</f>
        <v>228.13</v>
      </c>
      <c r="K351" s="25">
        <f>IFERROR(__xludf.DUMMYFUNCTION("""COMPUTED_VALUE"""),211.25)</f>
        <v>211.25</v>
      </c>
      <c r="L351" s="25">
        <f>IFERROR(__xludf.DUMMYFUNCTION("""COMPUTED_VALUE"""),213.67)</f>
        <v>213.67</v>
      </c>
      <c r="M351" s="25">
        <f>IFERROR(__xludf.DUMMYFUNCTION("""COMPUTED_VALUE"""),742845.0)</f>
        <v>742845</v>
      </c>
    </row>
    <row r="352">
      <c r="A352" s="26">
        <f>IFERROR(__xludf.DUMMYFUNCTION("""COMPUTED_VALUE"""),38870.645833333336)</f>
        <v>38870.64583</v>
      </c>
      <c r="B352" s="9">
        <f>IFERROR(__xludf.DUMMYFUNCTION("""COMPUTED_VALUE"""),178.13)</f>
        <v>178.13</v>
      </c>
      <c r="C352" s="9">
        <f>IFERROR(__xludf.DUMMYFUNCTION("""COMPUTED_VALUE"""),181.25)</f>
        <v>181.25</v>
      </c>
      <c r="D352" s="9">
        <f>IFERROR(__xludf.DUMMYFUNCTION("""COMPUTED_VALUE"""),175.63)</f>
        <v>175.63</v>
      </c>
      <c r="E352" s="9">
        <f>IFERROR(__xludf.DUMMYFUNCTION("""COMPUTED_VALUE"""),180.38)</f>
        <v>180.38</v>
      </c>
      <c r="F352" s="9">
        <f>IFERROR(__xludf.DUMMYFUNCTION("""COMPUTED_VALUE"""),1007672.0)</f>
        <v>1007672</v>
      </c>
      <c r="H352" s="27">
        <f>IFERROR(__xludf.DUMMYFUNCTION("""COMPUTED_VALUE"""),38870.645833333336)</f>
        <v>38870.64583</v>
      </c>
      <c r="I352" s="25">
        <f>IFERROR(__xludf.DUMMYFUNCTION("""COMPUTED_VALUE"""),214.36)</f>
        <v>214.36</v>
      </c>
      <c r="J352" s="25">
        <f>IFERROR(__xludf.DUMMYFUNCTION("""COMPUTED_VALUE"""),225.0)</f>
        <v>225</v>
      </c>
      <c r="K352" s="25">
        <f>IFERROR(__xludf.DUMMYFUNCTION("""COMPUTED_VALUE"""),211.0)</f>
        <v>211</v>
      </c>
      <c r="L352" s="25">
        <f>IFERROR(__xludf.DUMMYFUNCTION("""COMPUTED_VALUE"""),224.25)</f>
        <v>224.25</v>
      </c>
      <c r="M352" s="25">
        <f>IFERROR(__xludf.DUMMYFUNCTION("""COMPUTED_VALUE"""),526695.0)</f>
        <v>526695</v>
      </c>
    </row>
    <row r="353">
      <c r="A353" s="26">
        <f>IFERROR(__xludf.DUMMYFUNCTION("""COMPUTED_VALUE"""),38873.645833333336)</f>
        <v>38873.64583</v>
      </c>
      <c r="B353" s="9">
        <f>IFERROR(__xludf.DUMMYFUNCTION("""COMPUTED_VALUE"""),182.38)</f>
        <v>182.38</v>
      </c>
      <c r="C353" s="9">
        <f>IFERROR(__xludf.DUMMYFUNCTION("""COMPUTED_VALUE"""),182.75)</f>
        <v>182.75</v>
      </c>
      <c r="D353" s="9">
        <f>IFERROR(__xludf.DUMMYFUNCTION("""COMPUTED_VALUE"""),175.64)</f>
        <v>175.64</v>
      </c>
      <c r="E353" s="9">
        <f>IFERROR(__xludf.DUMMYFUNCTION("""COMPUTED_VALUE"""),176.52)</f>
        <v>176.52</v>
      </c>
      <c r="F353" s="9">
        <f>IFERROR(__xludf.DUMMYFUNCTION("""COMPUTED_VALUE"""),1047856.0)</f>
        <v>1047856</v>
      </c>
      <c r="H353" s="27">
        <f>IFERROR(__xludf.DUMMYFUNCTION("""COMPUTED_VALUE"""),38873.645833333336)</f>
        <v>38873.64583</v>
      </c>
      <c r="I353" s="25">
        <f>IFERROR(__xludf.DUMMYFUNCTION("""COMPUTED_VALUE"""),224.25)</f>
        <v>224.25</v>
      </c>
      <c r="J353" s="25">
        <f>IFERROR(__xludf.DUMMYFUNCTION("""COMPUTED_VALUE"""),225.55)</f>
        <v>225.55</v>
      </c>
      <c r="K353" s="25">
        <f>IFERROR(__xludf.DUMMYFUNCTION("""COMPUTED_VALUE"""),219.28)</f>
        <v>219.28</v>
      </c>
      <c r="L353" s="25">
        <f>IFERROR(__xludf.DUMMYFUNCTION("""COMPUTED_VALUE"""),220.95)</f>
        <v>220.95</v>
      </c>
      <c r="M353" s="25">
        <f>IFERROR(__xludf.DUMMYFUNCTION("""COMPUTED_VALUE"""),401460.0)</f>
        <v>401460</v>
      </c>
    </row>
    <row r="354">
      <c r="A354" s="26">
        <f>IFERROR(__xludf.DUMMYFUNCTION("""COMPUTED_VALUE"""),38874.645833333336)</f>
        <v>38874.64583</v>
      </c>
      <c r="B354" s="9">
        <f>IFERROR(__xludf.DUMMYFUNCTION("""COMPUTED_VALUE"""),175.0)</f>
        <v>175</v>
      </c>
      <c r="C354" s="9">
        <f>IFERROR(__xludf.DUMMYFUNCTION("""COMPUTED_VALUE"""),177.75)</f>
        <v>177.75</v>
      </c>
      <c r="D354" s="9">
        <f>IFERROR(__xludf.DUMMYFUNCTION("""COMPUTED_VALUE"""),171.6)</f>
        <v>171.6</v>
      </c>
      <c r="E354" s="9">
        <f>IFERROR(__xludf.DUMMYFUNCTION("""COMPUTED_VALUE"""),172.84)</f>
        <v>172.84</v>
      </c>
      <c r="F354" s="9">
        <f>IFERROR(__xludf.DUMMYFUNCTION("""COMPUTED_VALUE"""),697867.0)</f>
        <v>697867</v>
      </c>
      <c r="H354" s="27">
        <f>IFERROR(__xludf.DUMMYFUNCTION("""COMPUTED_VALUE"""),38874.645833333336)</f>
        <v>38874.64583</v>
      </c>
      <c r="I354" s="25">
        <f>IFERROR(__xludf.DUMMYFUNCTION("""COMPUTED_VALUE"""),218.1)</f>
        <v>218.1</v>
      </c>
      <c r="J354" s="25">
        <f>IFERROR(__xludf.DUMMYFUNCTION("""COMPUTED_VALUE"""),223.48)</f>
        <v>223.48</v>
      </c>
      <c r="K354" s="25">
        <f>IFERROR(__xludf.DUMMYFUNCTION("""COMPUTED_VALUE"""),211.25)</f>
        <v>211.25</v>
      </c>
      <c r="L354" s="25">
        <f>IFERROR(__xludf.DUMMYFUNCTION("""COMPUTED_VALUE"""),218.61)</f>
        <v>218.61</v>
      </c>
      <c r="M354" s="25">
        <f>IFERROR(__xludf.DUMMYFUNCTION("""COMPUTED_VALUE"""),371392.0)</f>
        <v>371392</v>
      </c>
    </row>
    <row r="355">
      <c r="A355" s="26">
        <f>IFERROR(__xludf.DUMMYFUNCTION("""COMPUTED_VALUE"""),38875.645833333336)</f>
        <v>38875.64583</v>
      </c>
      <c r="B355" s="9">
        <f>IFERROR(__xludf.DUMMYFUNCTION("""COMPUTED_VALUE"""),172.13)</f>
        <v>172.13</v>
      </c>
      <c r="C355" s="9">
        <f>IFERROR(__xludf.DUMMYFUNCTION("""COMPUTED_VALUE"""),174.38)</f>
        <v>174.38</v>
      </c>
      <c r="D355" s="9">
        <f>IFERROR(__xludf.DUMMYFUNCTION("""COMPUTED_VALUE"""),168.75)</f>
        <v>168.75</v>
      </c>
      <c r="E355" s="9">
        <f>IFERROR(__xludf.DUMMYFUNCTION("""COMPUTED_VALUE"""),172.7)</f>
        <v>172.7</v>
      </c>
      <c r="F355" s="9">
        <f>IFERROR(__xludf.DUMMYFUNCTION("""COMPUTED_VALUE"""),997412.0)</f>
        <v>997412</v>
      </c>
      <c r="H355" s="27">
        <f>IFERROR(__xludf.DUMMYFUNCTION("""COMPUTED_VALUE"""),38875.645833333336)</f>
        <v>38875.64583</v>
      </c>
      <c r="I355" s="25">
        <f>IFERROR(__xludf.DUMMYFUNCTION("""COMPUTED_VALUE"""),225.0)</f>
        <v>225</v>
      </c>
      <c r="J355" s="25">
        <f>IFERROR(__xludf.DUMMYFUNCTION("""COMPUTED_VALUE"""),225.0)</f>
        <v>225</v>
      </c>
      <c r="K355" s="25">
        <f>IFERROR(__xludf.DUMMYFUNCTION("""COMPUTED_VALUE"""),211.66)</f>
        <v>211.66</v>
      </c>
      <c r="L355" s="25">
        <f>IFERROR(__xludf.DUMMYFUNCTION("""COMPUTED_VALUE"""),212.99)</f>
        <v>212.99</v>
      </c>
      <c r="M355" s="25">
        <f>IFERROR(__xludf.DUMMYFUNCTION("""COMPUTED_VALUE"""),676317.0)</f>
        <v>676317</v>
      </c>
    </row>
    <row r="356">
      <c r="A356" s="26">
        <f>IFERROR(__xludf.DUMMYFUNCTION("""COMPUTED_VALUE"""),38876.645833333336)</f>
        <v>38876.64583</v>
      </c>
      <c r="B356" s="9">
        <f>IFERROR(__xludf.DUMMYFUNCTION("""COMPUTED_VALUE"""),174.09)</f>
        <v>174.09</v>
      </c>
      <c r="C356" s="9">
        <f>IFERROR(__xludf.DUMMYFUNCTION("""COMPUTED_VALUE"""),174.09)</f>
        <v>174.09</v>
      </c>
      <c r="D356" s="9">
        <f>IFERROR(__xludf.DUMMYFUNCTION("""COMPUTED_VALUE"""),162.83)</f>
        <v>162.83</v>
      </c>
      <c r="E356" s="9">
        <f>IFERROR(__xludf.DUMMYFUNCTION("""COMPUTED_VALUE"""),168.99)</f>
        <v>168.99</v>
      </c>
      <c r="F356" s="9">
        <f>IFERROR(__xludf.DUMMYFUNCTION("""COMPUTED_VALUE"""),1638458.0)</f>
        <v>1638458</v>
      </c>
      <c r="H356" s="27">
        <f>IFERROR(__xludf.DUMMYFUNCTION("""COMPUTED_VALUE"""),38876.645833333336)</f>
        <v>38876.64583</v>
      </c>
      <c r="I356" s="25">
        <f>IFERROR(__xludf.DUMMYFUNCTION("""COMPUTED_VALUE"""),215.63)</f>
        <v>215.63</v>
      </c>
      <c r="J356" s="25">
        <f>IFERROR(__xludf.DUMMYFUNCTION("""COMPUTED_VALUE"""),215.63)</f>
        <v>215.63</v>
      </c>
      <c r="K356" s="25">
        <f>IFERROR(__xludf.DUMMYFUNCTION("""COMPUTED_VALUE"""),201.4)</f>
        <v>201.4</v>
      </c>
      <c r="L356" s="25">
        <f>IFERROR(__xludf.DUMMYFUNCTION("""COMPUTED_VALUE"""),205.99)</f>
        <v>205.99</v>
      </c>
      <c r="M356" s="25">
        <f>IFERROR(__xludf.DUMMYFUNCTION("""COMPUTED_VALUE"""),670124.0)</f>
        <v>670124</v>
      </c>
    </row>
    <row r="357">
      <c r="A357" s="26">
        <f>IFERROR(__xludf.DUMMYFUNCTION("""COMPUTED_VALUE"""),38877.645833333336)</f>
        <v>38877.64583</v>
      </c>
      <c r="B357" s="9">
        <f>IFERROR(__xludf.DUMMYFUNCTION("""COMPUTED_VALUE"""),167.7)</f>
        <v>167.7</v>
      </c>
      <c r="C357" s="9">
        <f>IFERROR(__xludf.DUMMYFUNCTION("""COMPUTED_VALUE"""),176.56)</f>
        <v>176.56</v>
      </c>
      <c r="D357" s="9">
        <f>IFERROR(__xludf.DUMMYFUNCTION("""COMPUTED_VALUE"""),167.7)</f>
        <v>167.7</v>
      </c>
      <c r="E357" s="9">
        <f>IFERROR(__xludf.DUMMYFUNCTION("""COMPUTED_VALUE"""),174.67)</f>
        <v>174.67</v>
      </c>
      <c r="F357" s="9">
        <f>IFERROR(__xludf.DUMMYFUNCTION("""COMPUTED_VALUE"""),898460.0)</f>
        <v>898460</v>
      </c>
      <c r="H357" s="27">
        <f>IFERROR(__xludf.DUMMYFUNCTION("""COMPUTED_VALUE"""),38877.645833333336)</f>
        <v>38877.64583</v>
      </c>
      <c r="I357" s="25">
        <f>IFERROR(__xludf.DUMMYFUNCTION("""COMPUTED_VALUE"""),209.31)</f>
        <v>209.31</v>
      </c>
      <c r="J357" s="25">
        <f>IFERROR(__xludf.DUMMYFUNCTION("""COMPUTED_VALUE"""),211.5)</f>
        <v>211.5</v>
      </c>
      <c r="K357" s="25">
        <f>IFERROR(__xludf.DUMMYFUNCTION("""COMPUTED_VALUE"""),203.13)</f>
        <v>203.13</v>
      </c>
      <c r="L357" s="25">
        <f>IFERROR(__xludf.DUMMYFUNCTION("""COMPUTED_VALUE"""),208.9)</f>
        <v>208.9</v>
      </c>
      <c r="M357" s="25">
        <f>IFERROR(__xludf.DUMMYFUNCTION("""COMPUTED_VALUE"""),507739.0)</f>
        <v>507739</v>
      </c>
    </row>
    <row r="358">
      <c r="A358" s="26">
        <f>IFERROR(__xludf.DUMMYFUNCTION("""COMPUTED_VALUE"""),38880.645833333336)</f>
        <v>38880.64583</v>
      </c>
      <c r="B358" s="9">
        <f>IFERROR(__xludf.DUMMYFUNCTION("""COMPUTED_VALUE"""),175.0)</f>
        <v>175</v>
      </c>
      <c r="C358" s="9">
        <f>IFERROR(__xludf.DUMMYFUNCTION("""COMPUTED_VALUE"""),178.0)</f>
        <v>178</v>
      </c>
      <c r="D358" s="9">
        <f>IFERROR(__xludf.DUMMYFUNCTION("""COMPUTED_VALUE"""),170.31)</f>
        <v>170.31</v>
      </c>
      <c r="E358" s="9">
        <f>IFERROR(__xludf.DUMMYFUNCTION("""COMPUTED_VALUE"""),172.7)</f>
        <v>172.7</v>
      </c>
      <c r="F358" s="9">
        <f>IFERROR(__xludf.DUMMYFUNCTION("""COMPUTED_VALUE"""),803644.0)</f>
        <v>803644</v>
      </c>
      <c r="H358" s="27">
        <f>IFERROR(__xludf.DUMMYFUNCTION("""COMPUTED_VALUE"""),38880.645833333336)</f>
        <v>38880.64583</v>
      </c>
      <c r="I358" s="25">
        <f>IFERROR(__xludf.DUMMYFUNCTION("""COMPUTED_VALUE"""),212.38)</f>
        <v>212.38</v>
      </c>
      <c r="J358" s="25">
        <f>IFERROR(__xludf.DUMMYFUNCTION("""COMPUTED_VALUE"""),212.38)</f>
        <v>212.38</v>
      </c>
      <c r="K358" s="25">
        <f>IFERROR(__xludf.DUMMYFUNCTION("""COMPUTED_VALUE"""),202.63)</f>
        <v>202.63</v>
      </c>
      <c r="L358" s="25">
        <f>IFERROR(__xludf.DUMMYFUNCTION("""COMPUTED_VALUE"""),204.85)</f>
        <v>204.85</v>
      </c>
      <c r="M358" s="25">
        <f>IFERROR(__xludf.DUMMYFUNCTION("""COMPUTED_VALUE"""),448988.0)</f>
        <v>448988</v>
      </c>
    </row>
    <row r="359">
      <c r="A359" s="26">
        <f>IFERROR(__xludf.DUMMYFUNCTION("""COMPUTED_VALUE"""),38881.645833333336)</f>
        <v>38881.64583</v>
      </c>
      <c r="B359" s="9">
        <f>IFERROR(__xludf.DUMMYFUNCTION("""COMPUTED_VALUE"""),171.69)</f>
        <v>171.69</v>
      </c>
      <c r="C359" s="9">
        <f>IFERROR(__xludf.DUMMYFUNCTION("""COMPUTED_VALUE"""),171.88)</f>
        <v>171.88</v>
      </c>
      <c r="D359" s="9">
        <f>IFERROR(__xludf.DUMMYFUNCTION("""COMPUTED_VALUE"""),163.77)</f>
        <v>163.77</v>
      </c>
      <c r="E359" s="9">
        <f>IFERROR(__xludf.DUMMYFUNCTION("""COMPUTED_VALUE"""),164.94)</f>
        <v>164.94</v>
      </c>
      <c r="F359" s="9">
        <f>IFERROR(__xludf.DUMMYFUNCTION("""COMPUTED_VALUE"""),896844.0)</f>
        <v>896844</v>
      </c>
      <c r="H359" s="27">
        <f>IFERROR(__xludf.DUMMYFUNCTION("""COMPUTED_VALUE"""),38881.645833333336)</f>
        <v>38881.64583</v>
      </c>
      <c r="I359" s="25">
        <f>IFERROR(__xludf.DUMMYFUNCTION("""COMPUTED_VALUE"""),202.63)</f>
        <v>202.63</v>
      </c>
      <c r="J359" s="25">
        <f>IFERROR(__xludf.DUMMYFUNCTION("""COMPUTED_VALUE"""),203.68)</f>
        <v>203.68</v>
      </c>
      <c r="K359" s="25">
        <f>IFERROR(__xludf.DUMMYFUNCTION("""COMPUTED_VALUE"""),195.13)</f>
        <v>195.13</v>
      </c>
      <c r="L359" s="25">
        <f>IFERROR(__xludf.DUMMYFUNCTION("""COMPUTED_VALUE"""),196.3)</f>
        <v>196.3</v>
      </c>
      <c r="M359" s="25">
        <f>IFERROR(__xludf.DUMMYFUNCTION("""COMPUTED_VALUE"""),342123.0)</f>
        <v>342123</v>
      </c>
    </row>
    <row r="360">
      <c r="A360" s="26">
        <f>IFERROR(__xludf.DUMMYFUNCTION("""COMPUTED_VALUE"""),38882.645833333336)</f>
        <v>38882.64583</v>
      </c>
      <c r="B360" s="9">
        <f>IFERROR(__xludf.DUMMYFUNCTION("""COMPUTED_VALUE"""),168.42)</f>
        <v>168.42</v>
      </c>
      <c r="C360" s="9">
        <f>IFERROR(__xludf.DUMMYFUNCTION("""COMPUTED_VALUE"""),169.94)</f>
        <v>169.94</v>
      </c>
      <c r="D360" s="9">
        <f>IFERROR(__xludf.DUMMYFUNCTION("""COMPUTED_VALUE"""),153.13)</f>
        <v>153.13</v>
      </c>
      <c r="E360" s="9">
        <f>IFERROR(__xludf.DUMMYFUNCTION("""COMPUTED_VALUE"""),155.32)</f>
        <v>155.32</v>
      </c>
      <c r="F360" s="9">
        <f>IFERROR(__xludf.DUMMYFUNCTION("""COMPUTED_VALUE"""),2176197.0)</f>
        <v>2176197</v>
      </c>
      <c r="H360" s="27">
        <f>IFERROR(__xludf.DUMMYFUNCTION("""COMPUTED_VALUE"""),38882.645833333336)</f>
        <v>38882.64583</v>
      </c>
      <c r="I360" s="25">
        <f>IFERROR(__xludf.DUMMYFUNCTION("""COMPUTED_VALUE"""),195.24)</f>
        <v>195.24</v>
      </c>
      <c r="J360" s="25">
        <f>IFERROR(__xludf.DUMMYFUNCTION("""COMPUTED_VALUE"""),203.12)</f>
        <v>203.12</v>
      </c>
      <c r="K360" s="25">
        <f>IFERROR(__xludf.DUMMYFUNCTION("""COMPUTED_VALUE"""),181.41)</f>
        <v>181.41</v>
      </c>
      <c r="L360" s="25">
        <f>IFERROR(__xludf.DUMMYFUNCTION("""COMPUTED_VALUE"""),185.46)</f>
        <v>185.46</v>
      </c>
      <c r="M360" s="25">
        <f>IFERROR(__xludf.DUMMYFUNCTION("""COMPUTED_VALUE"""),1598252.0)</f>
        <v>1598252</v>
      </c>
    </row>
    <row r="361">
      <c r="A361" s="26">
        <f>IFERROR(__xludf.DUMMYFUNCTION("""COMPUTED_VALUE"""),38883.645833333336)</f>
        <v>38883.64583</v>
      </c>
      <c r="B361" s="9">
        <f>IFERROR(__xludf.DUMMYFUNCTION("""COMPUTED_VALUE"""),160.0)</f>
        <v>160</v>
      </c>
      <c r="C361" s="9">
        <f>IFERROR(__xludf.DUMMYFUNCTION("""COMPUTED_VALUE"""),172.56)</f>
        <v>172.56</v>
      </c>
      <c r="D361" s="9">
        <f>IFERROR(__xludf.DUMMYFUNCTION("""COMPUTED_VALUE"""),158.75)</f>
        <v>158.75</v>
      </c>
      <c r="E361" s="9">
        <f>IFERROR(__xludf.DUMMYFUNCTION("""COMPUTED_VALUE"""),170.44)</f>
        <v>170.44</v>
      </c>
      <c r="F361" s="9">
        <f>IFERROR(__xludf.DUMMYFUNCTION("""COMPUTED_VALUE"""),1219271.0)</f>
        <v>1219271</v>
      </c>
      <c r="H361" s="27">
        <f>IFERROR(__xludf.DUMMYFUNCTION("""COMPUTED_VALUE"""),38883.645833333336)</f>
        <v>38883.64583</v>
      </c>
      <c r="I361" s="25">
        <f>IFERROR(__xludf.DUMMYFUNCTION("""COMPUTED_VALUE"""),198.25)</f>
        <v>198.25</v>
      </c>
      <c r="J361" s="25">
        <f>IFERROR(__xludf.DUMMYFUNCTION("""COMPUTED_VALUE"""),198.25)</f>
        <v>198.25</v>
      </c>
      <c r="K361" s="25">
        <f>IFERROR(__xludf.DUMMYFUNCTION("""COMPUTED_VALUE"""),187.63)</f>
        <v>187.63</v>
      </c>
      <c r="L361" s="25">
        <f>IFERROR(__xludf.DUMMYFUNCTION("""COMPUTED_VALUE"""),193.82)</f>
        <v>193.82</v>
      </c>
      <c r="M361" s="25">
        <f>IFERROR(__xludf.DUMMYFUNCTION("""COMPUTED_VALUE"""),745920.0)</f>
        <v>745920</v>
      </c>
    </row>
    <row r="362">
      <c r="A362" s="26">
        <f>IFERROR(__xludf.DUMMYFUNCTION("""COMPUTED_VALUE"""),38884.645833333336)</f>
        <v>38884.64583</v>
      </c>
      <c r="B362" s="9">
        <f>IFERROR(__xludf.DUMMYFUNCTION("""COMPUTED_VALUE"""),172.56)</f>
        <v>172.56</v>
      </c>
      <c r="C362" s="9">
        <f>IFERROR(__xludf.DUMMYFUNCTION("""COMPUTED_VALUE"""),182.11)</f>
        <v>182.11</v>
      </c>
      <c r="D362" s="9">
        <f>IFERROR(__xludf.DUMMYFUNCTION("""COMPUTED_VALUE"""),172.56)</f>
        <v>172.56</v>
      </c>
      <c r="E362" s="9">
        <f>IFERROR(__xludf.DUMMYFUNCTION("""COMPUTED_VALUE"""),175.07)</f>
        <v>175.07</v>
      </c>
      <c r="F362" s="9">
        <f>IFERROR(__xludf.DUMMYFUNCTION("""COMPUTED_VALUE"""),1552768.0)</f>
        <v>1552768</v>
      </c>
      <c r="H362" s="27">
        <f>IFERROR(__xludf.DUMMYFUNCTION("""COMPUTED_VALUE"""),38884.645833333336)</f>
        <v>38884.64583</v>
      </c>
      <c r="I362" s="25">
        <f>IFERROR(__xludf.DUMMYFUNCTION("""COMPUTED_VALUE"""),198.25)</f>
        <v>198.25</v>
      </c>
      <c r="J362" s="25">
        <f>IFERROR(__xludf.DUMMYFUNCTION("""COMPUTED_VALUE"""),214.38)</f>
        <v>214.38</v>
      </c>
      <c r="K362" s="25">
        <f>IFERROR(__xludf.DUMMYFUNCTION("""COMPUTED_VALUE"""),197.55)</f>
        <v>197.55</v>
      </c>
      <c r="L362" s="25">
        <f>IFERROR(__xludf.DUMMYFUNCTION("""COMPUTED_VALUE"""),210.63)</f>
        <v>210.63</v>
      </c>
      <c r="M362" s="25">
        <f>IFERROR(__xludf.DUMMYFUNCTION("""COMPUTED_VALUE"""),1048771.0)</f>
        <v>1048771</v>
      </c>
    </row>
    <row r="363">
      <c r="A363" s="26">
        <f>IFERROR(__xludf.DUMMYFUNCTION("""COMPUTED_VALUE"""),38887.645833333336)</f>
        <v>38887.64583</v>
      </c>
      <c r="B363" s="9">
        <f>IFERROR(__xludf.DUMMYFUNCTION("""COMPUTED_VALUE"""),175.0)</f>
        <v>175</v>
      </c>
      <c r="C363" s="9">
        <f>IFERROR(__xludf.DUMMYFUNCTION("""COMPUTED_VALUE"""),180.63)</f>
        <v>180.63</v>
      </c>
      <c r="D363" s="9">
        <f>IFERROR(__xludf.DUMMYFUNCTION("""COMPUTED_VALUE"""),173.44)</f>
        <v>173.44</v>
      </c>
      <c r="E363" s="9">
        <f>IFERROR(__xludf.DUMMYFUNCTION("""COMPUTED_VALUE"""),179.45)</f>
        <v>179.45</v>
      </c>
      <c r="F363" s="9">
        <f>IFERROR(__xludf.DUMMYFUNCTION("""COMPUTED_VALUE"""),1098990.0)</f>
        <v>1098990</v>
      </c>
      <c r="H363" s="27">
        <f>IFERROR(__xludf.DUMMYFUNCTION("""COMPUTED_VALUE"""),38887.645833333336)</f>
        <v>38887.64583</v>
      </c>
      <c r="I363" s="25">
        <f>IFERROR(__xludf.DUMMYFUNCTION("""COMPUTED_VALUE"""),210.0)</f>
        <v>210</v>
      </c>
      <c r="J363" s="25">
        <f>IFERROR(__xludf.DUMMYFUNCTION("""COMPUTED_VALUE"""),210.63)</f>
        <v>210.63</v>
      </c>
      <c r="K363" s="25">
        <f>IFERROR(__xludf.DUMMYFUNCTION("""COMPUTED_VALUE"""),204.53)</f>
        <v>204.53</v>
      </c>
      <c r="L363" s="25">
        <f>IFERROR(__xludf.DUMMYFUNCTION("""COMPUTED_VALUE"""),208.55)</f>
        <v>208.55</v>
      </c>
      <c r="M363" s="25">
        <f>IFERROR(__xludf.DUMMYFUNCTION("""COMPUTED_VALUE"""),536761.0)</f>
        <v>536761</v>
      </c>
    </row>
    <row r="364">
      <c r="A364" s="26">
        <f>IFERROR(__xludf.DUMMYFUNCTION("""COMPUTED_VALUE"""),38888.645833333336)</f>
        <v>38888.64583</v>
      </c>
      <c r="B364" s="9">
        <f>IFERROR(__xludf.DUMMYFUNCTION("""COMPUTED_VALUE"""),178.63)</f>
        <v>178.63</v>
      </c>
      <c r="C364" s="9">
        <f>IFERROR(__xludf.DUMMYFUNCTION("""COMPUTED_VALUE"""),179.38)</f>
        <v>179.38</v>
      </c>
      <c r="D364" s="9">
        <f>IFERROR(__xludf.DUMMYFUNCTION("""COMPUTED_VALUE"""),175.06)</f>
        <v>175.06</v>
      </c>
      <c r="E364" s="9">
        <f>IFERROR(__xludf.DUMMYFUNCTION("""COMPUTED_VALUE"""),177.75)</f>
        <v>177.75</v>
      </c>
      <c r="F364" s="9">
        <f>IFERROR(__xludf.DUMMYFUNCTION("""COMPUTED_VALUE"""),705032.0)</f>
        <v>705032</v>
      </c>
      <c r="H364" s="27">
        <f>IFERROR(__xludf.DUMMYFUNCTION("""COMPUTED_VALUE"""),38888.645833333336)</f>
        <v>38888.64583</v>
      </c>
      <c r="I364" s="25">
        <f>IFERROR(__xludf.DUMMYFUNCTION("""COMPUTED_VALUE"""),211.0)</f>
        <v>211</v>
      </c>
      <c r="J364" s="25">
        <f>IFERROR(__xludf.DUMMYFUNCTION("""COMPUTED_VALUE"""),211.0)</f>
        <v>211</v>
      </c>
      <c r="K364" s="25">
        <f>IFERROR(__xludf.DUMMYFUNCTION("""COMPUTED_VALUE"""),200.0)</f>
        <v>200</v>
      </c>
      <c r="L364" s="25">
        <f>IFERROR(__xludf.DUMMYFUNCTION("""COMPUTED_VALUE"""),200.92)</f>
        <v>200.92</v>
      </c>
      <c r="M364" s="25">
        <f>IFERROR(__xludf.DUMMYFUNCTION("""COMPUTED_VALUE"""),460990.0)</f>
        <v>460990</v>
      </c>
    </row>
    <row r="365">
      <c r="A365" s="26">
        <f>IFERROR(__xludf.DUMMYFUNCTION("""COMPUTED_VALUE"""),38889.645833333336)</f>
        <v>38889.64583</v>
      </c>
      <c r="B365" s="9">
        <f>IFERROR(__xludf.DUMMYFUNCTION("""COMPUTED_VALUE"""),176.56)</f>
        <v>176.56</v>
      </c>
      <c r="C365" s="9">
        <f>IFERROR(__xludf.DUMMYFUNCTION("""COMPUTED_VALUE"""),183.44)</f>
        <v>183.44</v>
      </c>
      <c r="D365" s="9">
        <f>IFERROR(__xludf.DUMMYFUNCTION("""COMPUTED_VALUE"""),175.63)</f>
        <v>175.63</v>
      </c>
      <c r="E365" s="9">
        <f>IFERROR(__xludf.DUMMYFUNCTION("""COMPUTED_VALUE"""),182.7)</f>
        <v>182.7</v>
      </c>
      <c r="F365" s="9">
        <f>IFERROR(__xludf.DUMMYFUNCTION("""COMPUTED_VALUE"""),854794.0)</f>
        <v>854794</v>
      </c>
      <c r="H365" s="27">
        <f>IFERROR(__xludf.DUMMYFUNCTION("""COMPUTED_VALUE"""),38889.645833333336)</f>
        <v>38889.64583</v>
      </c>
      <c r="I365" s="25">
        <f>IFERROR(__xludf.DUMMYFUNCTION("""COMPUTED_VALUE"""),202.5)</f>
        <v>202.5</v>
      </c>
      <c r="J365" s="25">
        <f>IFERROR(__xludf.DUMMYFUNCTION("""COMPUTED_VALUE"""),205.88)</f>
        <v>205.88</v>
      </c>
      <c r="K365" s="25">
        <f>IFERROR(__xludf.DUMMYFUNCTION("""COMPUTED_VALUE"""),199.38)</f>
        <v>199.38</v>
      </c>
      <c r="L365" s="25">
        <f>IFERROR(__xludf.DUMMYFUNCTION("""COMPUTED_VALUE"""),205.16)</f>
        <v>205.16</v>
      </c>
      <c r="M365" s="25">
        <f>IFERROR(__xludf.DUMMYFUNCTION("""COMPUTED_VALUE"""),745437.0)</f>
        <v>745437</v>
      </c>
    </row>
    <row r="366">
      <c r="A366" s="26">
        <f>IFERROR(__xludf.DUMMYFUNCTION("""COMPUTED_VALUE"""),38890.645833333336)</f>
        <v>38890.64583</v>
      </c>
      <c r="B366" s="9">
        <f>IFERROR(__xludf.DUMMYFUNCTION("""COMPUTED_VALUE"""),187.17)</f>
        <v>187.17</v>
      </c>
      <c r="C366" s="9">
        <f>IFERROR(__xludf.DUMMYFUNCTION("""COMPUTED_VALUE"""),187.17)</f>
        <v>187.17</v>
      </c>
      <c r="D366" s="9">
        <f>IFERROR(__xludf.DUMMYFUNCTION("""COMPUTED_VALUE"""),183.19)</f>
        <v>183.19</v>
      </c>
      <c r="E366" s="9">
        <f>IFERROR(__xludf.DUMMYFUNCTION("""COMPUTED_VALUE"""),184.49)</f>
        <v>184.49</v>
      </c>
      <c r="F366" s="9">
        <f>IFERROR(__xludf.DUMMYFUNCTION("""COMPUTED_VALUE"""),770996.0)</f>
        <v>770996</v>
      </c>
      <c r="H366" s="27">
        <f>IFERROR(__xludf.DUMMYFUNCTION("""COMPUTED_VALUE"""),38890.645833333336)</f>
        <v>38890.64583</v>
      </c>
      <c r="I366" s="25">
        <f>IFERROR(__xludf.DUMMYFUNCTION("""COMPUTED_VALUE"""),206.25)</f>
        <v>206.25</v>
      </c>
      <c r="J366" s="25">
        <f>IFERROR(__xludf.DUMMYFUNCTION("""COMPUTED_VALUE"""),211.25)</f>
        <v>211.25</v>
      </c>
      <c r="K366" s="25">
        <f>IFERROR(__xludf.DUMMYFUNCTION("""COMPUTED_VALUE"""),206.25)</f>
        <v>206.25</v>
      </c>
      <c r="L366" s="25">
        <f>IFERROR(__xludf.DUMMYFUNCTION("""COMPUTED_VALUE"""),209.6)</f>
        <v>209.6</v>
      </c>
      <c r="M366" s="25">
        <f>IFERROR(__xludf.DUMMYFUNCTION("""COMPUTED_VALUE"""),458513.0)</f>
        <v>458513</v>
      </c>
    </row>
    <row r="367">
      <c r="A367" s="26">
        <f>IFERROR(__xludf.DUMMYFUNCTION("""COMPUTED_VALUE"""),38891.645833333336)</f>
        <v>38891.64583</v>
      </c>
      <c r="B367" s="9">
        <f>IFERROR(__xludf.DUMMYFUNCTION("""COMPUTED_VALUE"""),183.19)</f>
        <v>183.19</v>
      </c>
      <c r="C367" s="9">
        <f>IFERROR(__xludf.DUMMYFUNCTION("""COMPUTED_VALUE"""),188.13)</f>
        <v>188.13</v>
      </c>
      <c r="D367" s="9">
        <f>IFERROR(__xludf.DUMMYFUNCTION("""COMPUTED_VALUE"""),180.63)</f>
        <v>180.63</v>
      </c>
      <c r="E367" s="9">
        <f>IFERROR(__xludf.DUMMYFUNCTION("""COMPUTED_VALUE"""),186.97)</f>
        <v>186.97</v>
      </c>
      <c r="F367" s="9">
        <f>IFERROR(__xludf.DUMMYFUNCTION("""COMPUTED_VALUE"""),682321.0)</f>
        <v>682321</v>
      </c>
      <c r="H367" s="27">
        <f>IFERROR(__xludf.DUMMYFUNCTION("""COMPUTED_VALUE"""),38891.645833333336)</f>
        <v>38891.64583</v>
      </c>
      <c r="I367" s="25">
        <f>IFERROR(__xludf.DUMMYFUNCTION("""COMPUTED_VALUE"""),206.25)</f>
        <v>206.25</v>
      </c>
      <c r="J367" s="25">
        <f>IFERROR(__xludf.DUMMYFUNCTION("""COMPUTED_VALUE"""),212.5)</f>
        <v>212.5</v>
      </c>
      <c r="K367" s="25">
        <f>IFERROR(__xludf.DUMMYFUNCTION("""COMPUTED_VALUE"""),203.13)</f>
        <v>203.13</v>
      </c>
      <c r="L367" s="25">
        <f>IFERROR(__xludf.DUMMYFUNCTION("""COMPUTED_VALUE"""),211.86)</f>
        <v>211.86</v>
      </c>
      <c r="M367" s="25">
        <f>IFERROR(__xludf.DUMMYFUNCTION("""COMPUTED_VALUE"""),413090.0)</f>
        <v>413090</v>
      </c>
    </row>
    <row r="368">
      <c r="A368" s="26">
        <f>IFERROR(__xludf.DUMMYFUNCTION("""COMPUTED_VALUE"""),38894.645833333336)</f>
        <v>38894.64583</v>
      </c>
      <c r="B368" s="9">
        <f>IFERROR(__xludf.DUMMYFUNCTION("""COMPUTED_VALUE"""),187.44)</f>
        <v>187.44</v>
      </c>
      <c r="C368" s="9">
        <f>IFERROR(__xludf.DUMMYFUNCTION("""COMPUTED_VALUE"""),187.44)</f>
        <v>187.44</v>
      </c>
      <c r="D368" s="9">
        <f>IFERROR(__xludf.DUMMYFUNCTION("""COMPUTED_VALUE"""),180.63)</f>
        <v>180.63</v>
      </c>
      <c r="E368" s="9">
        <f>IFERROR(__xludf.DUMMYFUNCTION("""COMPUTED_VALUE"""),181.26)</f>
        <v>181.26</v>
      </c>
      <c r="F368" s="9">
        <f>IFERROR(__xludf.DUMMYFUNCTION("""COMPUTED_VALUE"""),685124.0)</f>
        <v>685124</v>
      </c>
      <c r="H368" s="27">
        <f>IFERROR(__xludf.DUMMYFUNCTION("""COMPUTED_VALUE"""),38894.645833333336)</f>
        <v>38894.64583</v>
      </c>
      <c r="I368" s="25">
        <f>IFERROR(__xludf.DUMMYFUNCTION("""COMPUTED_VALUE"""),215.0)</f>
        <v>215</v>
      </c>
      <c r="J368" s="25">
        <f>IFERROR(__xludf.DUMMYFUNCTION("""COMPUTED_VALUE"""),215.0)</f>
        <v>215</v>
      </c>
      <c r="K368" s="25">
        <f>IFERROR(__xludf.DUMMYFUNCTION("""COMPUTED_VALUE"""),202.26)</f>
        <v>202.26</v>
      </c>
      <c r="L368" s="25">
        <f>IFERROR(__xludf.DUMMYFUNCTION("""COMPUTED_VALUE"""),204.19)</f>
        <v>204.19</v>
      </c>
      <c r="M368" s="25">
        <f>IFERROR(__xludf.DUMMYFUNCTION("""COMPUTED_VALUE"""),821882.0)</f>
        <v>821882</v>
      </c>
    </row>
    <row r="369">
      <c r="A369" s="26">
        <f>IFERROR(__xludf.DUMMYFUNCTION("""COMPUTED_VALUE"""),38895.645833333336)</f>
        <v>38895.64583</v>
      </c>
      <c r="B369" s="9">
        <f>IFERROR(__xludf.DUMMYFUNCTION("""COMPUTED_VALUE"""),181.56)</f>
        <v>181.56</v>
      </c>
      <c r="C369" s="9">
        <f>IFERROR(__xludf.DUMMYFUNCTION("""COMPUTED_VALUE"""),186.25)</f>
        <v>186.25</v>
      </c>
      <c r="D369" s="9">
        <f>IFERROR(__xludf.DUMMYFUNCTION("""COMPUTED_VALUE"""),177.63)</f>
        <v>177.63</v>
      </c>
      <c r="E369" s="9">
        <f>IFERROR(__xludf.DUMMYFUNCTION("""COMPUTED_VALUE"""),185.47)</f>
        <v>185.47</v>
      </c>
      <c r="F369" s="9">
        <f>IFERROR(__xludf.DUMMYFUNCTION("""COMPUTED_VALUE"""),1012546.0)</f>
        <v>1012546</v>
      </c>
      <c r="H369" s="27">
        <f>IFERROR(__xludf.DUMMYFUNCTION("""COMPUTED_VALUE"""),38895.645833333336)</f>
        <v>38895.64583</v>
      </c>
      <c r="I369" s="25">
        <f>IFERROR(__xludf.DUMMYFUNCTION("""COMPUTED_VALUE"""),207.25)</f>
        <v>207.25</v>
      </c>
      <c r="J369" s="25">
        <f>IFERROR(__xludf.DUMMYFUNCTION("""COMPUTED_VALUE"""),207.25)</f>
        <v>207.25</v>
      </c>
      <c r="K369" s="25">
        <f>IFERROR(__xludf.DUMMYFUNCTION("""COMPUTED_VALUE"""),200.0)</f>
        <v>200</v>
      </c>
      <c r="L369" s="25">
        <f>IFERROR(__xludf.DUMMYFUNCTION("""COMPUTED_VALUE"""),205.57)</f>
        <v>205.57</v>
      </c>
      <c r="M369" s="25">
        <f>IFERROR(__xludf.DUMMYFUNCTION("""COMPUTED_VALUE"""),625329.0)</f>
        <v>625329</v>
      </c>
    </row>
    <row r="370">
      <c r="A370" s="26">
        <f>IFERROR(__xludf.DUMMYFUNCTION("""COMPUTED_VALUE"""),38896.645833333336)</f>
        <v>38896.64583</v>
      </c>
      <c r="B370" s="9">
        <f>IFERROR(__xludf.DUMMYFUNCTION("""COMPUTED_VALUE"""),183.2)</f>
        <v>183.2</v>
      </c>
      <c r="C370" s="9">
        <f>IFERROR(__xludf.DUMMYFUNCTION("""COMPUTED_VALUE"""),187.13)</f>
        <v>187.13</v>
      </c>
      <c r="D370" s="9">
        <f>IFERROR(__xludf.DUMMYFUNCTION("""COMPUTED_VALUE"""),180.0)</f>
        <v>180</v>
      </c>
      <c r="E370" s="9">
        <f>IFERROR(__xludf.DUMMYFUNCTION("""COMPUTED_VALUE"""),185.91)</f>
        <v>185.91</v>
      </c>
      <c r="F370" s="9">
        <f>IFERROR(__xludf.DUMMYFUNCTION("""COMPUTED_VALUE"""),549783.0)</f>
        <v>549783</v>
      </c>
      <c r="H370" s="27">
        <f>IFERROR(__xludf.DUMMYFUNCTION("""COMPUTED_VALUE"""),38896.645833333336)</f>
        <v>38896.64583</v>
      </c>
      <c r="I370" s="25">
        <f>IFERROR(__xludf.DUMMYFUNCTION("""COMPUTED_VALUE"""),202.5)</f>
        <v>202.5</v>
      </c>
      <c r="J370" s="25">
        <f>IFERROR(__xludf.DUMMYFUNCTION("""COMPUTED_VALUE"""),214.07)</f>
        <v>214.07</v>
      </c>
      <c r="K370" s="25">
        <f>IFERROR(__xludf.DUMMYFUNCTION("""COMPUTED_VALUE"""),200.75)</f>
        <v>200.75</v>
      </c>
      <c r="L370" s="25">
        <f>IFERROR(__xludf.DUMMYFUNCTION("""COMPUTED_VALUE"""),212.33)</f>
        <v>212.33</v>
      </c>
      <c r="M370" s="25">
        <f>IFERROR(__xludf.DUMMYFUNCTION("""COMPUTED_VALUE"""),598175.0)</f>
        <v>598175</v>
      </c>
    </row>
    <row r="371">
      <c r="A371" s="26">
        <f>IFERROR(__xludf.DUMMYFUNCTION("""COMPUTED_VALUE"""),38897.645833333336)</f>
        <v>38897.64583</v>
      </c>
      <c r="B371" s="9">
        <f>IFERROR(__xludf.DUMMYFUNCTION("""COMPUTED_VALUE"""),187.13)</f>
        <v>187.13</v>
      </c>
      <c r="C371" s="9">
        <f>IFERROR(__xludf.DUMMYFUNCTION("""COMPUTED_VALUE"""),188.75)</f>
        <v>188.75</v>
      </c>
      <c r="D371" s="9">
        <f>IFERROR(__xludf.DUMMYFUNCTION("""COMPUTED_VALUE"""),186.58)</f>
        <v>186.58</v>
      </c>
      <c r="E371" s="9">
        <f>IFERROR(__xludf.DUMMYFUNCTION("""COMPUTED_VALUE"""),187.1)</f>
        <v>187.1</v>
      </c>
      <c r="F371" s="9">
        <f>IFERROR(__xludf.DUMMYFUNCTION("""COMPUTED_VALUE"""),764786.0)</f>
        <v>764786</v>
      </c>
      <c r="H371" s="27">
        <f>IFERROR(__xludf.DUMMYFUNCTION("""COMPUTED_VALUE"""),38897.645833333336)</f>
        <v>38897.64583</v>
      </c>
      <c r="I371" s="25">
        <f>IFERROR(__xludf.DUMMYFUNCTION("""COMPUTED_VALUE"""),213.75)</f>
        <v>213.75</v>
      </c>
      <c r="J371" s="25">
        <f>IFERROR(__xludf.DUMMYFUNCTION("""COMPUTED_VALUE"""),215.0)</f>
        <v>215</v>
      </c>
      <c r="K371" s="25">
        <f>IFERROR(__xludf.DUMMYFUNCTION("""COMPUTED_VALUE"""),208.75)</f>
        <v>208.75</v>
      </c>
      <c r="L371" s="25">
        <f>IFERROR(__xludf.DUMMYFUNCTION("""COMPUTED_VALUE"""),210.1)</f>
        <v>210.1</v>
      </c>
      <c r="M371" s="25">
        <f>IFERROR(__xludf.DUMMYFUNCTION("""COMPUTED_VALUE"""),789822.0)</f>
        <v>789822</v>
      </c>
    </row>
    <row r="372">
      <c r="A372" s="26">
        <f>IFERROR(__xludf.DUMMYFUNCTION("""COMPUTED_VALUE"""),38898.645833333336)</f>
        <v>38898.64583</v>
      </c>
      <c r="B372" s="9">
        <f>IFERROR(__xludf.DUMMYFUNCTION("""COMPUTED_VALUE"""),192.75)</f>
        <v>192.75</v>
      </c>
      <c r="C372" s="9">
        <f>IFERROR(__xludf.DUMMYFUNCTION("""COMPUTED_VALUE"""),195.63)</f>
        <v>195.63</v>
      </c>
      <c r="D372" s="9">
        <f>IFERROR(__xludf.DUMMYFUNCTION("""COMPUTED_VALUE"""),189.06)</f>
        <v>189.06</v>
      </c>
      <c r="E372" s="9">
        <f>IFERROR(__xludf.DUMMYFUNCTION("""COMPUTED_VALUE"""),192.43)</f>
        <v>192.43</v>
      </c>
      <c r="F372" s="9">
        <f>IFERROR(__xludf.DUMMYFUNCTION("""COMPUTED_VALUE"""),876688.0)</f>
        <v>876688</v>
      </c>
      <c r="H372" s="27">
        <f>IFERROR(__xludf.DUMMYFUNCTION("""COMPUTED_VALUE"""),38898.645833333336)</f>
        <v>38898.64583</v>
      </c>
      <c r="I372" s="25">
        <f>IFERROR(__xludf.DUMMYFUNCTION("""COMPUTED_VALUE"""),216.88)</f>
        <v>216.88</v>
      </c>
      <c r="J372" s="25">
        <f>IFERROR(__xludf.DUMMYFUNCTION("""COMPUTED_VALUE"""),220.88)</f>
        <v>220.88</v>
      </c>
      <c r="K372" s="25">
        <f>IFERROR(__xludf.DUMMYFUNCTION("""COMPUTED_VALUE"""),213.21)</f>
        <v>213.21</v>
      </c>
      <c r="L372" s="25">
        <f>IFERROR(__xludf.DUMMYFUNCTION("""COMPUTED_VALUE"""),217.35)</f>
        <v>217.35</v>
      </c>
      <c r="M372" s="25">
        <f>IFERROR(__xludf.DUMMYFUNCTION("""COMPUTED_VALUE"""),681220.0)</f>
        <v>681220</v>
      </c>
    </row>
    <row r="373">
      <c r="A373" s="26">
        <f>IFERROR(__xludf.DUMMYFUNCTION("""COMPUTED_VALUE"""),38901.645833333336)</f>
        <v>38901.64583</v>
      </c>
      <c r="B373" s="9">
        <f>IFERROR(__xludf.DUMMYFUNCTION("""COMPUTED_VALUE"""),192.81)</f>
        <v>192.81</v>
      </c>
      <c r="C373" s="9">
        <f>IFERROR(__xludf.DUMMYFUNCTION("""COMPUTED_VALUE"""),197.5)</f>
        <v>197.5</v>
      </c>
      <c r="D373" s="9">
        <f>IFERROR(__xludf.DUMMYFUNCTION("""COMPUTED_VALUE"""),191.4)</f>
        <v>191.4</v>
      </c>
      <c r="E373" s="9">
        <f>IFERROR(__xludf.DUMMYFUNCTION("""COMPUTED_VALUE"""),197.15)</f>
        <v>197.15</v>
      </c>
      <c r="F373" s="9">
        <f>IFERROR(__xludf.DUMMYFUNCTION("""COMPUTED_VALUE"""),615360.0)</f>
        <v>615360</v>
      </c>
      <c r="H373" s="27">
        <f>IFERROR(__xludf.DUMMYFUNCTION("""COMPUTED_VALUE"""),38901.645833333336)</f>
        <v>38901.64583</v>
      </c>
      <c r="I373" s="25">
        <f>IFERROR(__xludf.DUMMYFUNCTION("""COMPUTED_VALUE"""),217.75)</f>
        <v>217.75</v>
      </c>
      <c r="J373" s="25">
        <f>IFERROR(__xludf.DUMMYFUNCTION("""COMPUTED_VALUE"""),225.94)</f>
        <v>225.94</v>
      </c>
      <c r="K373" s="25">
        <f>IFERROR(__xludf.DUMMYFUNCTION("""COMPUTED_VALUE"""),216.55)</f>
        <v>216.55</v>
      </c>
      <c r="L373" s="25">
        <f>IFERROR(__xludf.DUMMYFUNCTION("""COMPUTED_VALUE"""),225.03)</f>
        <v>225.03</v>
      </c>
      <c r="M373" s="25">
        <f>IFERROR(__xludf.DUMMYFUNCTION("""COMPUTED_VALUE"""),535690.0)</f>
        <v>535690</v>
      </c>
    </row>
    <row r="374">
      <c r="A374" s="26">
        <f>IFERROR(__xludf.DUMMYFUNCTION("""COMPUTED_VALUE"""),38902.645833333336)</f>
        <v>38902.64583</v>
      </c>
      <c r="B374" s="9">
        <f>IFERROR(__xludf.DUMMYFUNCTION("""COMPUTED_VALUE"""),197.5)</f>
        <v>197.5</v>
      </c>
      <c r="C374" s="9">
        <f>IFERROR(__xludf.DUMMYFUNCTION("""COMPUTED_VALUE"""),199.36)</f>
        <v>199.36</v>
      </c>
      <c r="D374" s="9">
        <f>IFERROR(__xludf.DUMMYFUNCTION("""COMPUTED_VALUE"""),195.94)</f>
        <v>195.94</v>
      </c>
      <c r="E374" s="9">
        <f>IFERROR(__xludf.DUMMYFUNCTION("""COMPUTED_VALUE"""),196.85)</f>
        <v>196.85</v>
      </c>
      <c r="F374" s="9">
        <f>IFERROR(__xludf.DUMMYFUNCTION("""COMPUTED_VALUE"""),606075.0)</f>
        <v>606075</v>
      </c>
      <c r="H374" s="27">
        <f>IFERROR(__xludf.DUMMYFUNCTION("""COMPUTED_VALUE"""),38902.645833333336)</f>
        <v>38902.64583</v>
      </c>
      <c r="I374" s="25">
        <f>IFERROR(__xludf.DUMMYFUNCTION("""COMPUTED_VALUE"""),226.38)</f>
        <v>226.38</v>
      </c>
      <c r="J374" s="25">
        <f>IFERROR(__xludf.DUMMYFUNCTION("""COMPUTED_VALUE"""),228.88)</f>
        <v>228.88</v>
      </c>
      <c r="K374" s="25">
        <f>IFERROR(__xludf.DUMMYFUNCTION("""COMPUTED_VALUE"""),225.63)</f>
        <v>225.63</v>
      </c>
      <c r="L374" s="25">
        <f>IFERROR(__xludf.DUMMYFUNCTION("""COMPUTED_VALUE"""),226.89)</f>
        <v>226.89</v>
      </c>
      <c r="M374" s="25">
        <f>IFERROR(__xludf.DUMMYFUNCTION("""COMPUTED_VALUE"""),448096.0)</f>
        <v>448096</v>
      </c>
    </row>
    <row r="375">
      <c r="A375" s="26">
        <f>IFERROR(__xludf.DUMMYFUNCTION("""COMPUTED_VALUE"""),38903.645833333336)</f>
        <v>38903.64583</v>
      </c>
      <c r="B375" s="9">
        <f>IFERROR(__xludf.DUMMYFUNCTION("""COMPUTED_VALUE"""),198.75)</f>
        <v>198.75</v>
      </c>
      <c r="C375" s="9">
        <f>IFERROR(__xludf.DUMMYFUNCTION("""COMPUTED_VALUE"""),200.27)</f>
        <v>200.27</v>
      </c>
      <c r="D375" s="9">
        <f>IFERROR(__xludf.DUMMYFUNCTION("""COMPUTED_VALUE"""),194.44)</f>
        <v>194.44</v>
      </c>
      <c r="E375" s="9">
        <f>IFERROR(__xludf.DUMMYFUNCTION("""COMPUTED_VALUE"""),199.63)</f>
        <v>199.63</v>
      </c>
      <c r="F375" s="9">
        <f>IFERROR(__xludf.DUMMYFUNCTION("""COMPUTED_VALUE"""),1022133.0)</f>
        <v>1022133</v>
      </c>
      <c r="H375" s="27">
        <f>IFERROR(__xludf.DUMMYFUNCTION("""COMPUTED_VALUE"""),38903.645833333336)</f>
        <v>38903.64583</v>
      </c>
      <c r="I375" s="25">
        <f>IFERROR(__xludf.DUMMYFUNCTION("""COMPUTED_VALUE"""),227.13)</f>
        <v>227.13</v>
      </c>
      <c r="J375" s="25">
        <f>IFERROR(__xludf.DUMMYFUNCTION("""COMPUTED_VALUE"""),232.75)</f>
        <v>232.75</v>
      </c>
      <c r="K375" s="25">
        <f>IFERROR(__xludf.DUMMYFUNCTION("""COMPUTED_VALUE"""),225.0)</f>
        <v>225</v>
      </c>
      <c r="L375" s="25">
        <f>IFERROR(__xludf.DUMMYFUNCTION("""COMPUTED_VALUE"""),230.33)</f>
        <v>230.33</v>
      </c>
      <c r="M375" s="25">
        <f>IFERROR(__xludf.DUMMYFUNCTION("""COMPUTED_VALUE"""),530634.0)</f>
        <v>530634</v>
      </c>
    </row>
    <row r="376">
      <c r="A376" s="26">
        <f>IFERROR(__xludf.DUMMYFUNCTION("""COMPUTED_VALUE"""),38904.645833333336)</f>
        <v>38904.64583</v>
      </c>
      <c r="B376" s="9">
        <f>IFERROR(__xludf.DUMMYFUNCTION("""COMPUTED_VALUE"""),196.63)</f>
        <v>196.63</v>
      </c>
      <c r="C376" s="9">
        <f>IFERROR(__xludf.DUMMYFUNCTION("""COMPUTED_VALUE"""),199.38)</f>
        <v>199.38</v>
      </c>
      <c r="D376" s="9">
        <f>IFERROR(__xludf.DUMMYFUNCTION("""COMPUTED_VALUE"""),195.31)</f>
        <v>195.31</v>
      </c>
      <c r="E376" s="9">
        <f>IFERROR(__xludf.DUMMYFUNCTION("""COMPUTED_VALUE"""),197.74)</f>
        <v>197.74</v>
      </c>
      <c r="F376" s="9">
        <f>IFERROR(__xludf.DUMMYFUNCTION("""COMPUTED_VALUE"""),461271.0)</f>
        <v>461271</v>
      </c>
      <c r="H376" s="27">
        <f>IFERROR(__xludf.DUMMYFUNCTION("""COMPUTED_VALUE"""),38904.645833333336)</f>
        <v>38904.64583</v>
      </c>
      <c r="I376" s="25">
        <f>IFERROR(__xludf.DUMMYFUNCTION("""COMPUTED_VALUE"""),228.5)</f>
        <v>228.5</v>
      </c>
      <c r="J376" s="25">
        <f>IFERROR(__xludf.DUMMYFUNCTION("""COMPUTED_VALUE"""),229.0)</f>
        <v>229</v>
      </c>
      <c r="K376" s="25">
        <f>IFERROR(__xludf.DUMMYFUNCTION("""COMPUTED_VALUE"""),224.02)</f>
        <v>224.02</v>
      </c>
      <c r="L376" s="25">
        <f>IFERROR(__xludf.DUMMYFUNCTION("""COMPUTED_VALUE"""),225.54)</f>
        <v>225.54</v>
      </c>
      <c r="M376" s="25">
        <f>IFERROR(__xludf.DUMMYFUNCTION("""COMPUTED_VALUE"""),288865.0)</f>
        <v>288865</v>
      </c>
    </row>
    <row r="377">
      <c r="A377" s="26">
        <f>IFERROR(__xludf.DUMMYFUNCTION("""COMPUTED_VALUE"""),38905.645833333336)</f>
        <v>38905.64583</v>
      </c>
      <c r="B377" s="9">
        <f>IFERROR(__xludf.DUMMYFUNCTION("""COMPUTED_VALUE"""),199.38)</f>
        <v>199.38</v>
      </c>
      <c r="C377" s="9">
        <f>IFERROR(__xludf.DUMMYFUNCTION("""COMPUTED_VALUE"""),202.5)</f>
        <v>202.5</v>
      </c>
      <c r="D377" s="9">
        <f>IFERROR(__xludf.DUMMYFUNCTION("""COMPUTED_VALUE"""),193.25)</f>
        <v>193.25</v>
      </c>
      <c r="E377" s="9">
        <f>IFERROR(__xludf.DUMMYFUNCTION("""COMPUTED_VALUE"""),194.06)</f>
        <v>194.06</v>
      </c>
      <c r="F377" s="9">
        <f>IFERROR(__xludf.DUMMYFUNCTION("""COMPUTED_VALUE"""),707861.0)</f>
        <v>707861</v>
      </c>
      <c r="H377" s="27">
        <f>IFERROR(__xludf.DUMMYFUNCTION("""COMPUTED_VALUE"""),38905.645833333336)</f>
        <v>38905.64583</v>
      </c>
      <c r="I377" s="25">
        <f>IFERROR(__xludf.DUMMYFUNCTION("""COMPUTED_VALUE"""),227.46)</f>
        <v>227.46</v>
      </c>
      <c r="J377" s="25">
        <f>IFERROR(__xludf.DUMMYFUNCTION("""COMPUTED_VALUE"""),228.98)</f>
        <v>228.98</v>
      </c>
      <c r="K377" s="25">
        <f>IFERROR(__xludf.DUMMYFUNCTION("""COMPUTED_VALUE"""),217.5)</f>
        <v>217.5</v>
      </c>
      <c r="L377" s="25">
        <f>IFERROR(__xludf.DUMMYFUNCTION("""COMPUTED_VALUE"""),218.34)</f>
        <v>218.34</v>
      </c>
      <c r="M377" s="25">
        <f>IFERROR(__xludf.DUMMYFUNCTION("""COMPUTED_VALUE"""),366084.0)</f>
        <v>366084</v>
      </c>
    </row>
    <row r="378">
      <c r="A378" s="26">
        <f>IFERROR(__xludf.DUMMYFUNCTION("""COMPUTED_VALUE"""),38908.645833333336)</f>
        <v>38908.64583</v>
      </c>
      <c r="B378" s="9">
        <f>IFERROR(__xludf.DUMMYFUNCTION("""COMPUTED_VALUE"""),199.31)</f>
        <v>199.31</v>
      </c>
      <c r="C378" s="9">
        <f>IFERROR(__xludf.DUMMYFUNCTION("""COMPUTED_VALUE"""),199.69)</f>
        <v>199.69</v>
      </c>
      <c r="D378" s="9">
        <f>IFERROR(__xludf.DUMMYFUNCTION("""COMPUTED_VALUE"""),193.82)</f>
        <v>193.82</v>
      </c>
      <c r="E378" s="9">
        <f>IFERROR(__xludf.DUMMYFUNCTION("""COMPUTED_VALUE"""),199.25)</f>
        <v>199.25</v>
      </c>
      <c r="F378" s="9">
        <f>IFERROR(__xludf.DUMMYFUNCTION("""COMPUTED_VALUE"""),764033.0)</f>
        <v>764033</v>
      </c>
      <c r="H378" s="27">
        <f>IFERROR(__xludf.DUMMYFUNCTION("""COMPUTED_VALUE"""),38908.645833333336)</f>
        <v>38908.64583</v>
      </c>
      <c r="I378" s="25">
        <f>IFERROR(__xludf.DUMMYFUNCTION("""COMPUTED_VALUE"""),217.5)</f>
        <v>217.5</v>
      </c>
      <c r="J378" s="25">
        <f>IFERROR(__xludf.DUMMYFUNCTION("""COMPUTED_VALUE"""),227.2)</f>
        <v>227.2</v>
      </c>
      <c r="K378" s="25">
        <f>IFERROR(__xludf.DUMMYFUNCTION("""COMPUTED_VALUE"""),217.5)</f>
        <v>217.5</v>
      </c>
      <c r="L378" s="25">
        <f>IFERROR(__xludf.DUMMYFUNCTION("""COMPUTED_VALUE"""),224.8)</f>
        <v>224.8</v>
      </c>
      <c r="M378" s="25">
        <f>IFERROR(__xludf.DUMMYFUNCTION("""COMPUTED_VALUE"""),482414.0)</f>
        <v>482414</v>
      </c>
    </row>
    <row r="379">
      <c r="A379" s="26">
        <f>IFERROR(__xludf.DUMMYFUNCTION("""COMPUTED_VALUE"""),38909.645833333336)</f>
        <v>38909.64583</v>
      </c>
      <c r="B379" s="9">
        <f>IFERROR(__xludf.DUMMYFUNCTION("""COMPUTED_VALUE"""),199.94)</f>
        <v>199.94</v>
      </c>
      <c r="C379" s="9">
        <f>IFERROR(__xludf.DUMMYFUNCTION("""COMPUTED_VALUE"""),201.56)</f>
        <v>201.56</v>
      </c>
      <c r="D379" s="9">
        <f>IFERROR(__xludf.DUMMYFUNCTION("""COMPUTED_VALUE"""),195.94)</f>
        <v>195.94</v>
      </c>
      <c r="E379" s="9">
        <f>IFERROR(__xludf.DUMMYFUNCTION("""COMPUTED_VALUE"""),196.76)</f>
        <v>196.76</v>
      </c>
      <c r="F379" s="9">
        <f>IFERROR(__xludf.DUMMYFUNCTION("""COMPUTED_VALUE"""),810381.0)</f>
        <v>810381</v>
      </c>
      <c r="H379" s="27">
        <f>IFERROR(__xludf.DUMMYFUNCTION("""COMPUTED_VALUE"""),38909.645833333336)</f>
        <v>38909.64583</v>
      </c>
      <c r="I379" s="25">
        <f>IFERROR(__xludf.DUMMYFUNCTION("""COMPUTED_VALUE"""),225.0)</f>
        <v>225</v>
      </c>
      <c r="J379" s="25">
        <f>IFERROR(__xludf.DUMMYFUNCTION("""COMPUTED_VALUE"""),226.88)</f>
        <v>226.88</v>
      </c>
      <c r="K379" s="25">
        <f>IFERROR(__xludf.DUMMYFUNCTION("""COMPUTED_VALUE"""),220.4)</f>
        <v>220.4</v>
      </c>
      <c r="L379" s="25">
        <f>IFERROR(__xludf.DUMMYFUNCTION("""COMPUTED_VALUE"""),221.24)</f>
        <v>221.24</v>
      </c>
      <c r="M379" s="25">
        <f>IFERROR(__xludf.DUMMYFUNCTION("""COMPUTED_VALUE"""),452373.0)</f>
        <v>452373</v>
      </c>
    </row>
    <row r="380">
      <c r="A380" s="26">
        <f>IFERROR(__xludf.DUMMYFUNCTION("""COMPUTED_VALUE"""),38910.645833333336)</f>
        <v>38910.64583</v>
      </c>
      <c r="B380" s="9">
        <f>IFERROR(__xludf.DUMMYFUNCTION("""COMPUTED_VALUE"""),206.25)</f>
        <v>206.25</v>
      </c>
      <c r="C380" s="9">
        <f>IFERROR(__xludf.DUMMYFUNCTION("""COMPUTED_VALUE"""),212.5)</f>
        <v>212.5</v>
      </c>
      <c r="D380" s="9">
        <f>IFERROR(__xludf.DUMMYFUNCTION("""COMPUTED_VALUE"""),200.31)</f>
        <v>200.31</v>
      </c>
      <c r="E380" s="9">
        <f>IFERROR(__xludf.DUMMYFUNCTION("""COMPUTED_VALUE"""),211.6)</f>
        <v>211.6</v>
      </c>
      <c r="F380" s="9">
        <f>IFERROR(__xludf.DUMMYFUNCTION("""COMPUTED_VALUE"""),4251043.0)</f>
        <v>4251043</v>
      </c>
      <c r="H380" s="27">
        <f>IFERROR(__xludf.DUMMYFUNCTION("""COMPUTED_VALUE"""),38910.645833333336)</f>
        <v>38910.64583</v>
      </c>
      <c r="I380" s="25">
        <f>IFERROR(__xludf.DUMMYFUNCTION("""COMPUTED_VALUE"""),222.5)</f>
        <v>222.5</v>
      </c>
      <c r="J380" s="25">
        <f>IFERROR(__xludf.DUMMYFUNCTION("""COMPUTED_VALUE"""),238.63)</f>
        <v>238.63</v>
      </c>
      <c r="K380" s="25">
        <f>IFERROR(__xludf.DUMMYFUNCTION("""COMPUTED_VALUE"""),222.5)</f>
        <v>222.5</v>
      </c>
      <c r="L380" s="25">
        <f>IFERROR(__xludf.DUMMYFUNCTION("""COMPUTED_VALUE"""),236.29)</f>
        <v>236.29</v>
      </c>
      <c r="M380" s="25">
        <f>IFERROR(__xludf.DUMMYFUNCTION("""COMPUTED_VALUE"""),1190202.0)</f>
        <v>1190202</v>
      </c>
    </row>
    <row r="381">
      <c r="A381" s="26">
        <f>IFERROR(__xludf.DUMMYFUNCTION("""COMPUTED_VALUE"""),38911.645833333336)</f>
        <v>38911.64583</v>
      </c>
      <c r="B381" s="9">
        <f>IFERROR(__xludf.DUMMYFUNCTION("""COMPUTED_VALUE"""),218.5)</f>
        <v>218.5</v>
      </c>
      <c r="C381" s="9">
        <f>IFERROR(__xludf.DUMMYFUNCTION("""COMPUTED_VALUE"""),224.88)</f>
        <v>224.88</v>
      </c>
      <c r="D381" s="9">
        <f>IFERROR(__xludf.DUMMYFUNCTION("""COMPUTED_VALUE"""),208.25)</f>
        <v>208.25</v>
      </c>
      <c r="E381" s="9">
        <f>IFERROR(__xludf.DUMMYFUNCTION("""COMPUTED_VALUE"""),210.24)</f>
        <v>210.24</v>
      </c>
      <c r="F381" s="9">
        <f>IFERROR(__xludf.DUMMYFUNCTION("""COMPUTED_VALUE"""),1423289.0)</f>
        <v>1423289</v>
      </c>
      <c r="H381" s="27">
        <f>IFERROR(__xludf.DUMMYFUNCTION("""COMPUTED_VALUE"""),38911.645833333336)</f>
        <v>38911.64583</v>
      </c>
      <c r="I381" s="25">
        <f>IFERROR(__xludf.DUMMYFUNCTION("""COMPUTED_VALUE"""),236.5)</f>
        <v>236.5</v>
      </c>
      <c r="J381" s="25">
        <f>IFERROR(__xludf.DUMMYFUNCTION("""COMPUTED_VALUE"""),237.35)</f>
        <v>237.35</v>
      </c>
      <c r="K381" s="25">
        <f>IFERROR(__xludf.DUMMYFUNCTION("""COMPUTED_VALUE"""),231.28)</f>
        <v>231.28</v>
      </c>
      <c r="L381" s="25">
        <f>IFERROR(__xludf.DUMMYFUNCTION("""COMPUTED_VALUE"""),233.42)</f>
        <v>233.42</v>
      </c>
      <c r="M381" s="25">
        <f>IFERROR(__xludf.DUMMYFUNCTION("""COMPUTED_VALUE"""),672947.0)</f>
        <v>672947</v>
      </c>
    </row>
    <row r="382">
      <c r="A382" s="26">
        <f>IFERROR(__xludf.DUMMYFUNCTION("""COMPUTED_VALUE"""),38912.645833333336)</f>
        <v>38912.64583</v>
      </c>
      <c r="B382" s="9">
        <f>IFERROR(__xludf.DUMMYFUNCTION("""COMPUTED_VALUE"""),206.25)</f>
        <v>206.25</v>
      </c>
      <c r="C382" s="9">
        <f>IFERROR(__xludf.DUMMYFUNCTION("""COMPUTED_VALUE"""),207.63)</f>
        <v>207.63</v>
      </c>
      <c r="D382" s="9">
        <f>IFERROR(__xludf.DUMMYFUNCTION("""COMPUTED_VALUE"""),202.5)</f>
        <v>202.5</v>
      </c>
      <c r="E382" s="9">
        <f>IFERROR(__xludf.DUMMYFUNCTION("""COMPUTED_VALUE"""),206.09)</f>
        <v>206.09</v>
      </c>
      <c r="F382" s="9">
        <f>IFERROR(__xludf.DUMMYFUNCTION("""COMPUTED_VALUE"""),1737712.0)</f>
        <v>1737712</v>
      </c>
      <c r="H382" s="27">
        <f>IFERROR(__xludf.DUMMYFUNCTION("""COMPUTED_VALUE"""),38912.645833333336)</f>
        <v>38912.64583</v>
      </c>
      <c r="I382" s="25">
        <f>IFERROR(__xludf.DUMMYFUNCTION("""COMPUTED_VALUE"""),230.0)</f>
        <v>230</v>
      </c>
      <c r="J382" s="25">
        <f>IFERROR(__xludf.DUMMYFUNCTION("""COMPUTED_VALUE"""),237.0)</f>
        <v>237</v>
      </c>
      <c r="K382" s="25">
        <f>IFERROR(__xludf.DUMMYFUNCTION("""COMPUTED_VALUE"""),228.14)</f>
        <v>228.14</v>
      </c>
      <c r="L382" s="25">
        <f>IFERROR(__xludf.DUMMYFUNCTION("""COMPUTED_VALUE"""),234.29)</f>
        <v>234.29</v>
      </c>
      <c r="M382" s="25">
        <f>IFERROR(__xludf.DUMMYFUNCTION("""COMPUTED_VALUE"""),618726.0)</f>
        <v>618726</v>
      </c>
    </row>
    <row r="383">
      <c r="A383" s="26">
        <f>IFERROR(__xludf.DUMMYFUNCTION("""COMPUTED_VALUE"""),38915.645833333336)</f>
        <v>38915.64583</v>
      </c>
      <c r="B383" s="9">
        <f>IFERROR(__xludf.DUMMYFUNCTION("""COMPUTED_VALUE"""),205.13)</f>
        <v>205.13</v>
      </c>
      <c r="C383" s="9">
        <f>IFERROR(__xludf.DUMMYFUNCTION("""COMPUTED_VALUE"""),205.71)</f>
        <v>205.71</v>
      </c>
      <c r="D383" s="9">
        <f>IFERROR(__xludf.DUMMYFUNCTION("""COMPUTED_VALUE"""),200.0)</f>
        <v>200</v>
      </c>
      <c r="E383" s="9">
        <f>IFERROR(__xludf.DUMMYFUNCTION("""COMPUTED_VALUE"""),200.66)</f>
        <v>200.66</v>
      </c>
      <c r="F383" s="9">
        <f>IFERROR(__xludf.DUMMYFUNCTION("""COMPUTED_VALUE"""),1552356.0)</f>
        <v>1552356</v>
      </c>
      <c r="H383" s="27">
        <f>IFERROR(__xludf.DUMMYFUNCTION("""COMPUTED_VALUE"""),38915.645833333336)</f>
        <v>38915.64583</v>
      </c>
      <c r="I383" s="25">
        <f>IFERROR(__xludf.DUMMYFUNCTION("""COMPUTED_VALUE"""),235.6)</f>
        <v>235.6</v>
      </c>
      <c r="J383" s="25">
        <f>IFERROR(__xludf.DUMMYFUNCTION("""COMPUTED_VALUE"""),239.25)</f>
        <v>239.25</v>
      </c>
      <c r="K383" s="25">
        <f>IFERROR(__xludf.DUMMYFUNCTION("""COMPUTED_VALUE"""),231.38)</f>
        <v>231.38</v>
      </c>
      <c r="L383" s="25">
        <f>IFERROR(__xludf.DUMMYFUNCTION("""COMPUTED_VALUE"""),232.38)</f>
        <v>232.38</v>
      </c>
      <c r="M383" s="25">
        <f>IFERROR(__xludf.DUMMYFUNCTION("""COMPUTED_VALUE"""),1124604.0)</f>
        <v>1124604</v>
      </c>
    </row>
    <row r="384">
      <c r="A384" s="26">
        <f>IFERROR(__xludf.DUMMYFUNCTION("""COMPUTED_VALUE"""),38916.645833333336)</f>
        <v>38916.64583</v>
      </c>
      <c r="B384" s="9">
        <f>IFERROR(__xludf.DUMMYFUNCTION("""COMPUTED_VALUE"""),201.29)</f>
        <v>201.29</v>
      </c>
      <c r="C384" s="9">
        <f>IFERROR(__xludf.DUMMYFUNCTION("""COMPUTED_VALUE"""),205.63)</f>
        <v>205.63</v>
      </c>
      <c r="D384" s="9">
        <f>IFERROR(__xludf.DUMMYFUNCTION("""COMPUTED_VALUE"""),200.63)</f>
        <v>200.63</v>
      </c>
      <c r="E384" s="9">
        <f>IFERROR(__xludf.DUMMYFUNCTION("""COMPUTED_VALUE"""),203.69)</f>
        <v>203.69</v>
      </c>
      <c r="F384" s="9">
        <f>IFERROR(__xludf.DUMMYFUNCTION("""COMPUTED_VALUE"""),1323057.0)</f>
        <v>1323057</v>
      </c>
      <c r="H384" s="27">
        <f>IFERROR(__xludf.DUMMYFUNCTION("""COMPUTED_VALUE"""),38916.645833333336)</f>
        <v>38916.64583</v>
      </c>
      <c r="I384" s="25">
        <f>IFERROR(__xludf.DUMMYFUNCTION("""COMPUTED_VALUE"""),232.5)</f>
        <v>232.5</v>
      </c>
      <c r="J384" s="25">
        <f>IFERROR(__xludf.DUMMYFUNCTION("""COMPUTED_VALUE"""),243.75)</f>
        <v>243.75</v>
      </c>
      <c r="K384" s="25">
        <f>IFERROR(__xludf.DUMMYFUNCTION("""COMPUTED_VALUE"""),226.94)</f>
        <v>226.94</v>
      </c>
      <c r="L384" s="25">
        <f>IFERROR(__xludf.DUMMYFUNCTION("""COMPUTED_VALUE"""),229.31)</f>
        <v>229.31</v>
      </c>
      <c r="M384" s="25">
        <f>IFERROR(__xludf.DUMMYFUNCTION("""COMPUTED_VALUE"""),1380492.0)</f>
        <v>1380492</v>
      </c>
    </row>
    <row r="385">
      <c r="A385" s="26">
        <f>IFERROR(__xludf.DUMMYFUNCTION("""COMPUTED_VALUE"""),38917.645833333336)</f>
        <v>38917.64583</v>
      </c>
      <c r="B385" s="9">
        <f>IFERROR(__xludf.DUMMYFUNCTION("""COMPUTED_VALUE"""),207.63)</f>
        <v>207.63</v>
      </c>
      <c r="C385" s="9">
        <f>IFERROR(__xludf.DUMMYFUNCTION("""COMPUTED_VALUE"""),207.63)</f>
        <v>207.63</v>
      </c>
      <c r="D385" s="9">
        <f>IFERROR(__xludf.DUMMYFUNCTION("""COMPUTED_VALUE"""),199.64)</f>
        <v>199.64</v>
      </c>
      <c r="E385" s="9">
        <f>IFERROR(__xludf.DUMMYFUNCTION("""COMPUTED_VALUE"""),200.57)</f>
        <v>200.57</v>
      </c>
      <c r="F385" s="9">
        <f>IFERROR(__xludf.DUMMYFUNCTION("""COMPUTED_VALUE"""),1448682.0)</f>
        <v>1448682</v>
      </c>
      <c r="H385" s="27">
        <f>IFERROR(__xludf.DUMMYFUNCTION("""COMPUTED_VALUE"""),38917.645833333336)</f>
        <v>38917.64583</v>
      </c>
      <c r="I385" s="25">
        <f>IFERROR(__xludf.DUMMYFUNCTION("""COMPUTED_VALUE"""),235.25)</f>
        <v>235.25</v>
      </c>
      <c r="J385" s="25">
        <f>IFERROR(__xludf.DUMMYFUNCTION("""COMPUTED_VALUE"""),236.88)</f>
        <v>236.88</v>
      </c>
      <c r="K385" s="25">
        <f>IFERROR(__xludf.DUMMYFUNCTION("""COMPUTED_VALUE"""),218.2)</f>
        <v>218.2</v>
      </c>
      <c r="L385" s="25">
        <f>IFERROR(__xludf.DUMMYFUNCTION("""COMPUTED_VALUE"""),219.7)</f>
        <v>219.7</v>
      </c>
      <c r="M385" s="25">
        <f>IFERROR(__xludf.DUMMYFUNCTION("""COMPUTED_VALUE"""),1755798.0)</f>
        <v>1755798</v>
      </c>
    </row>
    <row r="386">
      <c r="A386" s="26">
        <f>IFERROR(__xludf.DUMMYFUNCTION("""COMPUTED_VALUE"""),38918.645833333336)</f>
        <v>38918.64583</v>
      </c>
      <c r="B386" s="9">
        <f>IFERROR(__xludf.DUMMYFUNCTION("""COMPUTED_VALUE"""),212.34)</f>
        <v>212.34</v>
      </c>
      <c r="C386" s="9">
        <f>IFERROR(__xludf.DUMMYFUNCTION("""COMPUTED_VALUE"""),212.34)</f>
        <v>212.34</v>
      </c>
      <c r="D386" s="9">
        <f>IFERROR(__xludf.DUMMYFUNCTION("""COMPUTED_VALUE"""),204.13)</f>
        <v>204.13</v>
      </c>
      <c r="E386" s="9">
        <f>IFERROR(__xludf.DUMMYFUNCTION("""COMPUTED_VALUE"""),205.98)</f>
        <v>205.98</v>
      </c>
      <c r="F386" s="9">
        <f>IFERROR(__xludf.DUMMYFUNCTION("""COMPUTED_VALUE"""),1503490.0)</f>
        <v>1503490</v>
      </c>
      <c r="H386" s="27">
        <f>IFERROR(__xludf.DUMMYFUNCTION("""COMPUTED_VALUE"""),38918.645833333336)</f>
        <v>38918.64583</v>
      </c>
      <c r="I386" s="25">
        <f>IFERROR(__xludf.DUMMYFUNCTION("""COMPUTED_VALUE"""),221.99)</f>
        <v>221.99</v>
      </c>
      <c r="J386" s="25">
        <f>IFERROR(__xludf.DUMMYFUNCTION("""COMPUTED_VALUE"""),227.5)</f>
        <v>227.5</v>
      </c>
      <c r="K386" s="25">
        <f>IFERROR(__xludf.DUMMYFUNCTION("""COMPUTED_VALUE"""),221.25)</f>
        <v>221.25</v>
      </c>
      <c r="L386" s="25">
        <f>IFERROR(__xludf.DUMMYFUNCTION("""COMPUTED_VALUE"""),225.77)</f>
        <v>225.77</v>
      </c>
      <c r="M386" s="25">
        <f>IFERROR(__xludf.DUMMYFUNCTION("""COMPUTED_VALUE"""),789090.0)</f>
        <v>789090</v>
      </c>
    </row>
    <row r="387">
      <c r="A387" s="26">
        <f>IFERROR(__xludf.DUMMYFUNCTION("""COMPUTED_VALUE"""),38919.645833333336)</f>
        <v>38919.64583</v>
      </c>
      <c r="B387" s="9">
        <f>IFERROR(__xludf.DUMMYFUNCTION("""COMPUTED_VALUE"""),204.35)</f>
        <v>204.35</v>
      </c>
      <c r="C387" s="9">
        <f>IFERROR(__xludf.DUMMYFUNCTION("""COMPUTED_VALUE"""),204.35)</f>
        <v>204.35</v>
      </c>
      <c r="D387" s="9">
        <f>IFERROR(__xludf.DUMMYFUNCTION("""COMPUTED_VALUE"""),197.56)</f>
        <v>197.56</v>
      </c>
      <c r="E387" s="9">
        <f>IFERROR(__xludf.DUMMYFUNCTION("""COMPUTED_VALUE"""),200.26)</f>
        <v>200.26</v>
      </c>
      <c r="F387" s="9">
        <f>IFERROR(__xludf.DUMMYFUNCTION("""COMPUTED_VALUE"""),1140542.0)</f>
        <v>1140542</v>
      </c>
      <c r="H387" s="27">
        <f>IFERROR(__xludf.DUMMYFUNCTION("""COMPUTED_VALUE"""),38919.645833333336)</f>
        <v>38919.64583</v>
      </c>
      <c r="I387" s="25">
        <f>IFERROR(__xludf.DUMMYFUNCTION("""COMPUTED_VALUE"""),224.75)</f>
        <v>224.75</v>
      </c>
      <c r="J387" s="25">
        <f>IFERROR(__xludf.DUMMYFUNCTION("""COMPUTED_VALUE"""),225.6)</f>
        <v>225.6</v>
      </c>
      <c r="K387" s="25">
        <f>IFERROR(__xludf.DUMMYFUNCTION("""COMPUTED_VALUE"""),219.08)</f>
        <v>219.08</v>
      </c>
      <c r="L387" s="25">
        <f>IFERROR(__xludf.DUMMYFUNCTION("""COMPUTED_VALUE"""),220.95)</f>
        <v>220.95</v>
      </c>
      <c r="M387" s="25">
        <f>IFERROR(__xludf.DUMMYFUNCTION("""COMPUTED_VALUE"""),548958.0)</f>
        <v>548958</v>
      </c>
    </row>
    <row r="388">
      <c r="A388" s="26">
        <f>IFERROR(__xludf.DUMMYFUNCTION("""COMPUTED_VALUE"""),38922.645833333336)</f>
        <v>38922.64583</v>
      </c>
      <c r="B388" s="9">
        <f>IFERROR(__xludf.DUMMYFUNCTION("""COMPUTED_VALUE"""),199.96)</f>
        <v>199.96</v>
      </c>
      <c r="C388" s="9">
        <f>IFERROR(__xludf.DUMMYFUNCTION("""COMPUTED_VALUE"""),202.45)</f>
        <v>202.45</v>
      </c>
      <c r="D388" s="9">
        <f>IFERROR(__xludf.DUMMYFUNCTION("""COMPUTED_VALUE"""),196.5)</f>
        <v>196.5</v>
      </c>
      <c r="E388" s="9">
        <f>IFERROR(__xludf.DUMMYFUNCTION("""COMPUTED_VALUE"""),201.41)</f>
        <v>201.41</v>
      </c>
      <c r="F388" s="9">
        <f>IFERROR(__xludf.DUMMYFUNCTION("""COMPUTED_VALUE"""),1289813.0)</f>
        <v>1289813</v>
      </c>
      <c r="H388" s="27">
        <f>IFERROR(__xludf.DUMMYFUNCTION("""COMPUTED_VALUE"""),38922.645833333336)</f>
        <v>38922.64583</v>
      </c>
      <c r="I388" s="25">
        <f>IFERROR(__xludf.DUMMYFUNCTION("""COMPUTED_VALUE"""),224.38)</f>
        <v>224.38</v>
      </c>
      <c r="J388" s="25">
        <f>IFERROR(__xludf.DUMMYFUNCTION("""COMPUTED_VALUE"""),229.0)</f>
        <v>229</v>
      </c>
      <c r="K388" s="25">
        <f>IFERROR(__xludf.DUMMYFUNCTION("""COMPUTED_VALUE"""),216.88)</f>
        <v>216.88</v>
      </c>
      <c r="L388" s="25">
        <f>IFERROR(__xludf.DUMMYFUNCTION("""COMPUTED_VALUE"""),227.26)</f>
        <v>227.26</v>
      </c>
      <c r="M388" s="25">
        <f>IFERROR(__xludf.DUMMYFUNCTION("""COMPUTED_VALUE"""),853136.0)</f>
        <v>853136</v>
      </c>
    </row>
    <row r="389">
      <c r="A389" s="26">
        <f>IFERROR(__xludf.DUMMYFUNCTION("""COMPUTED_VALUE"""),38923.645833333336)</f>
        <v>38923.64583</v>
      </c>
      <c r="B389" s="9">
        <f>IFERROR(__xludf.DUMMYFUNCTION("""COMPUTED_VALUE"""),203.63)</f>
        <v>203.63</v>
      </c>
      <c r="C389" s="9">
        <f>IFERROR(__xludf.DUMMYFUNCTION("""COMPUTED_VALUE"""),205.49)</f>
        <v>205.49</v>
      </c>
      <c r="D389" s="9">
        <f>IFERROR(__xludf.DUMMYFUNCTION("""COMPUTED_VALUE"""),200.0)</f>
        <v>200</v>
      </c>
      <c r="E389" s="9">
        <f>IFERROR(__xludf.DUMMYFUNCTION("""COMPUTED_VALUE"""),201.34)</f>
        <v>201.34</v>
      </c>
      <c r="F389" s="9">
        <f>IFERROR(__xludf.DUMMYFUNCTION("""COMPUTED_VALUE"""),1349768.0)</f>
        <v>1349768</v>
      </c>
      <c r="H389" s="27">
        <f>IFERROR(__xludf.DUMMYFUNCTION("""COMPUTED_VALUE"""),38923.645833333336)</f>
        <v>38923.64583</v>
      </c>
      <c r="I389" s="25">
        <f>IFERROR(__xludf.DUMMYFUNCTION("""COMPUTED_VALUE"""),230.0)</f>
        <v>230</v>
      </c>
      <c r="J389" s="25">
        <f>IFERROR(__xludf.DUMMYFUNCTION("""COMPUTED_VALUE"""),231.88)</f>
        <v>231.88</v>
      </c>
      <c r="K389" s="25">
        <f>IFERROR(__xludf.DUMMYFUNCTION("""COMPUTED_VALUE"""),228.13)</f>
        <v>228.13</v>
      </c>
      <c r="L389" s="25">
        <f>IFERROR(__xludf.DUMMYFUNCTION("""COMPUTED_VALUE"""),230.91)</f>
        <v>230.91</v>
      </c>
      <c r="M389" s="25">
        <f>IFERROR(__xludf.DUMMYFUNCTION("""COMPUTED_VALUE"""),579575.0)</f>
        <v>579575</v>
      </c>
    </row>
    <row r="390">
      <c r="A390" s="26">
        <f>IFERROR(__xludf.DUMMYFUNCTION("""COMPUTED_VALUE"""),38924.645833333336)</f>
        <v>38924.64583</v>
      </c>
      <c r="B390" s="9">
        <f>IFERROR(__xludf.DUMMYFUNCTION("""COMPUTED_VALUE"""),203.14)</f>
        <v>203.14</v>
      </c>
      <c r="C390" s="9">
        <f>IFERROR(__xludf.DUMMYFUNCTION("""COMPUTED_VALUE"""),206.85)</f>
        <v>206.85</v>
      </c>
      <c r="D390" s="9">
        <f>IFERROR(__xludf.DUMMYFUNCTION("""COMPUTED_VALUE"""),200.0)</f>
        <v>200</v>
      </c>
      <c r="E390" s="9">
        <f>IFERROR(__xludf.DUMMYFUNCTION("""COMPUTED_VALUE"""),205.8)</f>
        <v>205.8</v>
      </c>
      <c r="F390" s="9">
        <f>IFERROR(__xludf.DUMMYFUNCTION("""COMPUTED_VALUE"""),1531257.0)</f>
        <v>1531257</v>
      </c>
      <c r="H390" s="27">
        <f>IFERROR(__xludf.DUMMYFUNCTION("""COMPUTED_VALUE"""),38924.645833333336)</f>
        <v>38924.64583</v>
      </c>
      <c r="I390" s="25">
        <f>IFERROR(__xludf.DUMMYFUNCTION("""COMPUTED_VALUE"""),232.25)</f>
        <v>232.25</v>
      </c>
      <c r="J390" s="25">
        <f>IFERROR(__xludf.DUMMYFUNCTION("""COMPUTED_VALUE"""),236.88)</f>
        <v>236.88</v>
      </c>
      <c r="K390" s="25">
        <f>IFERROR(__xludf.DUMMYFUNCTION("""COMPUTED_VALUE"""),229.06)</f>
        <v>229.06</v>
      </c>
      <c r="L390" s="25">
        <f>IFERROR(__xludf.DUMMYFUNCTION("""COMPUTED_VALUE"""),236.1)</f>
        <v>236.1</v>
      </c>
      <c r="M390" s="25">
        <f>IFERROR(__xludf.DUMMYFUNCTION("""COMPUTED_VALUE"""),738590.0)</f>
        <v>738590</v>
      </c>
    </row>
    <row r="391">
      <c r="A391" s="26">
        <f>IFERROR(__xludf.DUMMYFUNCTION("""COMPUTED_VALUE"""),38925.645833333336)</f>
        <v>38925.64583</v>
      </c>
      <c r="B391" s="9">
        <f>IFERROR(__xludf.DUMMYFUNCTION("""COMPUTED_VALUE"""),205.63)</f>
        <v>205.63</v>
      </c>
      <c r="C391" s="9">
        <f>IFERROR(__xludf.DUMMYFUNCTION("""COMPUTED_VALUE"""),208.43)</f>
        <v>208.43</v>
      </c>
      <c r="D391" s="9">
        <f>IFERROR(__xludf.DUMMYFUNCTION("""COMPUTED_VALUE"""),203.19)</f>
        <v>203.19</v>
      </c>
      <c r="E391" s="9">
        <f>IFERROR(__xludf.DUMMYFUNCTION("""COMPUTED_VALUE"""),207.29)</f>
        <v>207.29</v>
      </c>
      <c r="F391" s="9">
        <f>IFERROR(__xludf.DUMMYFUNCTION("""COMPUTED_VALUE"""),1810411.0)</f>
        <v>1810411</v>
      </c>
      <c r="H391" s="27">
        <f>IFERROR(__xludf.DUMMYFUNCTION("""COMPUTED_VALUE"""),38925.645833333336)</f>
        <v>38925.64583</v>
      </c>
      <c r="I391" s="25">
        <f>IFERROR(__xludf.DUMMYFUNCTION("""COMPUTED_VALUE"""),236.88)</f>
        <v>236.88</v>
      </c>
      <c r="J391" s="25">
        <f>IFERROR(__xludf.DUMMYFUNCTION("""COMPUTED_VALUE"""),239.99)</f>
        <v>239.99</v>
      </c>
      <c r="K391" s="25">
        <f>IFERROR(__xludf.DUMMYFUNCTION("""COMPUTED_VALUE"""),234.44)</f>
        <v>234.44</v>
      </c>
      <c r="L391" s="25">
        <f>IFERROR(__xludf.DUMMYFUNCTION("""COMPUTED_VALUE"""),237.46)</f>
        <v>237.46</v>
      </c>
      <c r="M391" s="25">
        <f>IFERROR(__xludf.DUMMYFUNCTION("""COMPUTED_VALUE"""),924981.0)</f>
        <v>924981</v>
      </c>
    </row>
    <row r="392">
      <c r="A392" s="26">
        <f>IFERROR(__xludf.DUMMYFUNCTION("""COMPUTED_VALUE"""),38926.645833333336)</f>
        <v>38926.64583</v>
      </c>
      <c r="B392" s="9">
        <f>IFERROR(__xludf.DUMMYFUNCTION("""COMPUTED_VALUE"""),207.64)</f>
        <v>207.64</v>
      </c>
      <c r="C392" s="9">
        <f>IFERROR(__xludf.DUMMYFUNCTION("""COMPUTED_VALUE"""),207.76)</f>
        <v>207.76</v>
      </c>
      <c r="D392" s="9">
        <f>IFERROR(__xludf.DUMMYFUNCTION("""COMPUTED_VALUE"""),201.29)</f>
        <v>201.29</v>
      </c>
      <c r="E392" s="9">
        <f>IFERROR(__xludf.DUMMYFUNCTION("""COMPUTED_VALUE"""),203.78)</f>
        <v>203.78</v>
      </c>
      <c r="F392" s="9">
        <f>IFERROR(__xludf.DUMMYFUNCTION("""COMPUTED_VALUE"""),784890.0)</f>
        <v>784890</v>
      </c>
      <c r="H392" s="27">
        <f>IFERROR(__xludf.DUMMYFUNCTION("""COMPUTED_VALUE"""),38926.645833333336)</f>
        <v>38926.64583</v>
      </c>
      <c r="I392" s="25">
        <f>IFERROR(__xludf.DUMMYFUNCTION("""COMPUTED_VALUE"""),235.03)</f>
        <v>235.03</v>
      </c>
      <c r="J392" s="25">
        <f>IFERROR(__xludf.DUMMYFUNCTION("""COMPUTED_VALUE"""),243.74)</f>
        <v>243.74</v>
      </c>
      <c r="K392" s="25">
        <f>IFERROR(__xludf.DUMMYFUNCTION("""COMPUTED_VALUE"""),231.0)</f>
        <v>231</v>
      </c>
      <c r="L392" s="25">
        <f>IFERROR(__xludf.DUMMYFUNCTION("""COMPUTED_VALUE"""),232.11)</f>
        <v>232.11</v>
      </c>
      <c r="M392" s="25">
        <f>IFERROR(__xludf.DUMMYFUNCTION("""COMPUTED_VALUE"""),754902.0)</f>
        <v>754902</v>
      </c>
    </row>
    <row r="393">
      <c r="A393" s="26">
        <f>IFERROR(__xludf.DUMMYFUNCTION("""COMPUTED_VALUE"""),38929.645833333336)</f>
        <v>38929.64583</v>
      </c>
      <c r="B393" s="9">
        <f>IFERROR(__xludf.DUMMYFUNCTION("""COMPUTED_VALUE"""),205.63)</f>
        <v>205.63</v>
      </c>
      <c r="C393" s="9">
        <f>IFERROR(__xludf.DUMMYFUNCTION("""COMPUTED_VALUE"""),208.75)</f>
        <v>208.75</v>
      </c>
      <c r="D393" s="9">
        <f>IFERROR(__xludf.DUMMYFUNCTION("""COMPUTED_VALUE"""),204.58)</f>
        <v>204.58</v>
      </c>
      <c r="E393" s="9">
        <f>IFERROR(__xludf.DUMMYFUNCTION("""COMPUTED_VALUE"""),206.94)</f>
        <v>206.94</v>
      </c>
      <c r="F393" s="9">
        <f>IFERROR(__xludf.DUMMYFUNCTION("""COMPUTED_VALUE"""),1855611.0)</f>
        <v>1855611</v>
      </c>
      <c r="H393" s="27">
        <f>IFERROR(__xludf.DUMMYFUNCTION("""COMPUTED_VALUE"""),38929.645833333336)</f>
        <v>38929.64583</v>
      </c>
      <c r="I393" s="25">
        <f>IFERROR(__xludf.DUMMYFUNCTION("""COMPUTED_VALUE"""),233.75)</f>
        <v>233.75</v>
      </c>
      <c r="J393" s="25">
        <f>IFERROR(__xludf.DUMMYFUNCTION("""COMPUTED_VALUE"""),241.25)</f>
        <v>241.25</v>
      </c>
      <c r="K393" s="25">
        <f>IFERROR(__xludf.DUMMYFUNCTION("""COMPUTED_VALUE"""),232.5)</f>
        <v>232.5</v>
      </c>
      <c r="L393" s="25">
        <f>IFERROR(__xludf.DUMMYFUNCTION("""COMPUTED_VALUE"""),234.04)</f>
        <v>234.04</v>
      </c>
      <c r="M393" s="25">
        <f>IFERROR(__xludf.DUMMYFUNCTION("""COMPUTED_VALUE"""),431175.0)</f>
        <v>431175</v>
      </c>
    </row>
    <row r="394">
      <c r="A394" s="26">
        <f>IFERROR(__xludf.DUMMYFUNCTION("""COMPUTED_VALUE"""),38930.645833333336)</f>
        <v>38930.64583</v>
      </c>
      <c r="B394" s="9">
        <f>IFERROR(__xludf.DUMMYFUNCTION("""COMPUTED_VALUE"""),206.25)</f>
        <v>206.25</v>
      </c>
      <c r="C394" s="9">
        <f>IFERROR(__xludf.DUMMYFUNCTION("""COMPUTED_VALUE"""),208.59)</f>
        <v>208.59</v>
      </c>
      <c r="D394" s="9">
        <f>IFERROR(__xludf.DUMMYFUNCTION("""COMPUTED_VALUE"""),205.13)</f>
        <v>205.13</v>
      </c>
      <c r="E394" s="9">
        <f>IFERROR(__xludf.DUMMYFUNCTION("""COMPUTED_VALUE"""),207.25)</f>
        <v>207.25</v>
      </c>
      <c r="F394" s="9">
        <f>IFERROR(__xludf.DUMMYFUNCTION("""COMPUTED_VALUE"""),1146606.0)</f>
        <v>1146606</v>
      </c>
      <c r="H394" s="27">
        <f>IFERROR(__xludf.DUMMYFUNCTION("""COMPUTED_VALUE"""),38930.645833333336)</f>
        <v>38930.64583</v>
      </c>
      <c r="I394" s="25">
        <f>IFERROR(__xludf.DUMMYFUNCTION("""COMPUTED_VALUE"""),215.75)</f>
        <v>215.75</v>
      </c>
      <c r="J394" s="25">
        <f>IFERROR(__xludf.DUMMYFUNCTION("""COMPUTED_VALUE"""),234.94)</f>
        <v>234.94</v>
      </c>
      <c r="K394" s="25">
        <f>IFERROR(__xludf.DUMMYFUNCTION("""COMPUTED_VALUE"""),215.75)</f>
        <v>215.75</v>
      </c>
      <c r="L394" s="25">
        <f>IFERROR(__xludf.DUMMYFUNCTION("""COMPUTED_VALUE"""),233.0)</f>
        <v>233</v>
      </c>
      <c r="M394" s="25">
        <f>IFERROR(__xludf.DUMMYFUNCTION("""COMPUTED_VALUE"""),440627.0)</f>
        <v>440627</v>
      </c>
    </row>
    <row r="395">
      <c r="A395" s="26">
        <f>IFERROR(__xludf.DUMMYFUNCTION("""COMPUTED_VALUE"""),38931.645833333336)</f>
        <v>38931.64583</v>
      </c>
      <c r="B395" s="9">
        <f>IFERROR(__xludf.DUMMYFUNCTION("""COMPUTED_VALUE"""),207.13)</f>
        <v>207.13</v>
      </c>
      <c r="C395" s="9">
        <f>IFERROR(__xludf.DUMMYFUNCTION("""COMPUTED_VALUE"""),209.88)</f>
        <v>209.88</v>
      </c>
      <c r="D395" s="9">
        <f>IFERROR(__xludf.DUMMYFUNCTION("""COMPUTED_VALUE"""),206.25)</f>
        <v>206.25</v>
      </c>
      <c r="E395" s="9">
        <f>IFERROR(__xludf.DUMMYFUNCTION("""COMPUTED_VALUE"""),208.33)</f>
        <v>208.33</v>
      </c>
      <c r="F395" s="9">
        <f>IFERROR(__xludf.DUMMYFUNCTION("""COMPUTED_VALUE"""),1179629.0)</f>
        <v>1179629</v>
      </c>
      <c r="H395" s="27">
        <f>IFERROR(__xludf.DUMMYFUNCTION("""COMPUTED_VALUE"""),38931.645833333336)</f>
        <v>38931.64583</v>
      </c>
      <c r="I395" s="25">
        <f>IFERROR(__xludf.DUMMYFUNCTION("""COMPUTED_VALUE"""),231.25)</f>
        <v>231.25</v>
      </c>
      <c r="J395" s="25">
        <f>IFERROR(__xludf.DUMMYFUNCTION("""COMPUTED_VALUE"""),235.63)</f>
        <v>235.63</v>
      </c>
      <c r="K395" s="25">
        <f>IFERROR(__xludf.DUMMYFUNCTION("""COMPUTED_VALUE"""),230.0)</f>
        <v>230</v>
      </c>
      <c r="L395" s="25">
        <f>IFERROR(__xludf.DUMMYFUNCTION("""COMPUTED_VALUE"""),235.05)</f>
        <v>235.05</v>
      </c>
      <c r="M395" s="25">
        <f>IFERROR(__xludf.DUMMYFUNCTION("""COMPUTED_VALUE"""),446183.0)</f>
        <v>446183</v>
      </c>
    </row>
    <row r="396">
      <c r="A396" s="26">
        <f>IFERROR(__xludf.DUMMYFUNCTION("""COMPUTED_VALUE"""),38932.645833333336)</f>
        <v>38932.64583</v>
      </c>
      <c r="B396" s="9">
        <f>IFERROR(__xludf.DUMMYFUNCTION("""COMPUTED_VALUE"""),208.82)</f>
        <v>208.82</v>
      </c>
      <c r="C396" s="9">
        <f>IFERROR(__xludf.DUMMYFUNCTION("""COMPUTED_VALUE"""),214.63)</f>
        <v>214.63</v>
      </c>
      <c r="D396" s="9">
        <f>IFERROR(__xludf.DUMMYFUNCTION("""COMPUTED_VALUE"""),207.26)</f>
        <v>207.26</v>
      </c>
      <c r="E396" s="9">
        <f>IFERROR(__xludf.DUMMYFUNCTION("""COMPUTED_VALUE"""),209.12)</f>
        <v>209.12</v>
      </c>
      <c r="F396" s="9">
        <f>IFERROR(__xludf.DUMMYFUNCTION("""COMPUTED_VALUE"""),2402362.0)</f>
        <v>2402362</v>
      </c>
      <c r="H396" s="27">
        <f>IFERROR(__xludf.DUMMYFUNCTION("""COMPUTED_VALUE"""),38932.645833333336)</f>
        <v>38932.64583</v>
      </c>
      <c r="I396" s="25">
        <f>IFERROR(__xludf.DUMMYFUNCTION("""COMPUTED_VALUE"""),235.63)</f>
        <v>235.63</v>
      </c>
      <c r="J396" s="25">
        <f>IFERROR(__xludf.DUMMYFUNCTION("""COMPUTED_VALUE"""),238.0)</f>
        <v>238</v>
      </c>
      <c r="K396" s="25">
        <f>IFERROR(__xludf.DUMMYFUNCTION("""COMPUTED_VALUE"""),234.28)</f>
        <v>234.28</v>
      </c>
      <c r="L396" s="25">
        <f>IFERROR(__xludf.DUMMYFUNCTION("""COMPUTED_VALUE"""),236.18)</f>
        <v>236.18</v>
      </c>
      <c r="M396" s="25">
        <f>IFERROR(__xludf.DUMMYFUNCTION("""COMPUTED_VALUE"""),752568.0)</f>
        <v>752568</v>
      </c>
    </row>
    <row r="397">
      <c r="A397" s="26">
        <f>IFERROR(__xludf.DUMMYFUNCTION("""COMPUTED_VALUE"""),38933.645833333336)</f>
        <v>38933.64583</v>
      </c>
      <c r="B397" s="9">
        <f>IFERROR(__xludf.DUMMYFUNCTION("""COMPUTED_VALUE"""),209.38)</f>
        <v>209.38</v>
      </c>
      <c r="C397" s="9">
        <f>IFERROR(__xludf.DUMMYFUNCTION("""COMPUTED_VALUE"""),211.99)</f>
        <v>211.99</v>
      </c>
      <c r="D397" s="9">
        <f>IFERROR(__xludf.DUMMYFUNCTION("""COMPUTED_VALUE"""),208.75)</f>
        <v>208.75</v>
      </c>
      <c r="E397" s="9">
        <f>IFERROR(__xludf.DUMMYFUNCTION("""COMPUTED_VALUE"""),210.08)</f>
        <v>210.08</v>
      </c>
      <c r="F397" s="9">
        <f>IFERROR(__xludf.DUMMYFUNCTION("""COMPUTED_VALUE"""),1172978.0)</f>
        <v>1172978</v>
      </c>
      <c r="H397" s="27">
        <f>IFERROR(__xludf.DUMMYFUNCTION("""COMPUTED_VALUE"""),38933.645833333336)</f>
        <v>38933.64583</v>
      </c>
      <c r="I397" s="25">
        <f>IFERROR(__xludf.DUMMYFUNCTION("""COMPUTED_VALUE"""),240.0)</f>
        <v>240</v>
      </c>
      <c r="J397" s="25">
        <f>IFERROR(__xludf.DUMMYFUNCTION("""COMPUTED_VALUE"""),240.95)</f>
        <v>240.95</v>
      </c>
      <c r="K397" s="25">
        <f>IFERROR(__xludf.DUMMYFUNCTION("""COMPUTED_VALUE"""),235.75)</f>
        <v>235.75</v>
      </c>
      <c r="L397" s="25">
        <f>IFERROR(__xludf.DUMMYFUNCTION("""COMPUTED_VALUE"""),237.14)</f>
        <v>237.14</v>
      </c>
      <c r="M397" s="25">
        <f>IFERROR(__xludf.DUMMYFUNCTION("""COMPUTED_VALUE"""),668550.0)</f>
        <v>668550</v>
      </c>
    </row>
    <row r="398">
      <c r="A398" s="26">
        <f>IFERROR(__xludf.DUMMYFUNCTION("""COMPUTED_VALUE"""),38936.645833333336)</f>
        <v>38936.64583</v>
      </c>
      <c r="B398" s="9">
        <f>IFERROR(__xludf.DUMMYFUNCTION("""COMPUTED_VALUE"""),210.0)</f>
        <v>210</v>
      </c>
      <c r="C398" s="9">
        <f>IFERROR(__xludf.DUMMYFUNCTION("""COMPUTED_VALUE"""),211.24)</f>
        <v>211.24</v>
      </c>
      <c r="D398" s="9">
        <f>IFERROR(__xludf.DUMMYFUNCTION("""COMPUTED_VALUE"""),208.74)</f>
        <v>208.74</v>
      </c>
      <c r="E398" s="9">
        <f>IFERROR(__xludf.DUMMYFUNCTION("""COMPUTED_VALUE"""),209.2)</f>
        <v>209.2</v>
      </c>
      <c r="F398" s="9">
        <f>IFERROR(__xludf.DUMMYFUNCTION("""COMPUTED_VALUE"""),710928.0)</f>
        <v>710928</v>
      </c>
      <c r="H398" s="27">
        <f>IFERROR(__xludf.DUMMYFUNCTION("""COMPUTED_VALUE"""),38936.645833333336)</f>
        <v>38936.64583</v>
      </c>
      <c r="I398" s="25">
        <f>IFERROR(__xludf.DUMMYFUNCTION("""COMPUTED_VALUE"""),237.75)</f>
        <v>237.75</v>
      </c>
      <c r="J398" s="25">
        <f>IFERROR(__xludf.DUMMYFUNCTION("""COMPUTED_VALUE"""),238.0)</f>
        <v>238</v>
      </c>
      <c r="K398" s="25">
        <f>IFERROR(__xludf.DUMMYFUNCTION("""COMPUTED_VALUE"""),232.75)</f>
        <v>232.75</v>
      </c>
      <c r="L398" s="25">
        <f>IFERROR(__xludf.DUMMYFUNCTION("""COMPUTED_VALUE"""),234.03)</f>
        <v>234.03</v>
      </c>
      <c r="M398" s="25">
        <f>IFERROR(__xludf.DUMMYFUNCTION("""COMPUTED_VALUE"""),429991.0)</f>
        <v>429991</v>
      </c>
    </row>
    <row r="399">
      <c r="A399" s="26">
        <f>IFERROR(__xludf.DUMMYFUNCTION("""COMPUTED_VALUE"""),38937.645833333336)</f>
        <v>38937.64583</v>
      </c>
      <c r="B399" s="9">
        <f>IFERROR(__xludf.DUMMYFUNCTION("""COMPUTED_VALUE"""),209.38)</f>
        <v>209.38</v>
      </c>
      <c r="C399" s="9">
        <f>IFERROR(__xludf.DUMMYFUNCTION("""COMPUTED_VALUE"""),211.25)</f>
        <v>211.25</v>
      </c>
      <c r="D399" s="9">
        <f>IFERROR(__xludf.DUMMYFUNCTION("""COMPUTED_VALUE"""),209.26)</f>
        <v>209.26</v>
      </c>
      <c r="E399" s="9">
        <f>IFERROR(__xludf.DUMMYFUNCTION("""COMPUTED_VALUE"""),210.53)</f>
        <v>210.53</v>
      </c>
      <c r="F399" s="9">
        <f>IFERROR(__xludf.DUMMYFUNCTION("""COMPUTED_VALUE"""),438892.0)</f>
        <v>438892</v>
      </c>
      <c r="H399" s="27">
        <f>IFERROR(__xludf.DUMMYFUNCTION("""COMPUTED_VALUE"""),38937.645833333336)</f>
        <v>38937.64583</v>
      </c>
      <c r="I399" s="25">
        <f>IFERROR(__xludf.DUMMYFUNCTION("""COMPUTED_VALUE"""),235.0)</f>
        <v>235</v>
      </c>
      <c r="J399" s="25">
        <f>IFERROR(__xludf.DUMMYFUNCTION("""COMPUTED_VALUE"""),239.5)</f>
        <v>239.5</v>
      </c>
      <c r="K399" s="25">
        <f>IFERROR(__xludf.DUMMYFUNCTION("""COMPUTED_VALUE"""),233.75)</f>
        <v>233.75</v>
      </c>
      <c r="L399" s="25">
        <f>IFERROR(__xludf.DUMMYFUNCTION("""COMPUTED_VALUE"""),238.7)</f>
        <v>238.7</v>
      </c>
      <c r="M399" s="25">
        <f>IFERROR(__xludf.DUMMYFUNCTION("""COMPUTED_VALUE"""),294600.0)</f>
        <v>294600</v>
      </c>
    </row>
    <row r="400">
      <c r="A400" s="26">
        <f>IFERROR(__xludf.DUMMYFUNCTION("""COMPUTED_VALUE"""),38938.645833333336)</f>
        <v>38938.64583</v>
      </c>
      <c r="B400" s="9">
        <f>IFERROR(__xludf.DUMMYFUNCTION("""COMPUTED_VALUE"""),210.25)</f>
        <v>210.25</v>
      </c>
      <c r="C400" s="9">
        <f>IFERROR(__xludf.DUMMYFUNCTION("""COMPUTED_VALUE"""),213.5)</f>
        <v>213.5</v>
      </c>
      <c r="D400" s="9">
        <f>IFERROR(__xludf.DUMMYFUNCTION("""COMPUTED_VALUE"""),208.75)</f>
        <v>208.75</v>
      </c>
      <c r="E400" s="9">
        <f>IFERROR(__xludf.DUMMYFUNCTION("""COMPUTED_VALUE"""),212.76)</f>
        <v>212.76</v>
      </c>
      <c r="F400" s="9">
        <f>IFERROR(__xludf.DUMMYFUNCTION("""COMPUTED_VALUE"""),1221288.0)</f>
        <v>1221288</v>
      </c>
      <c r="H400" s="27">
        <f>IFERROR(__xludf.DUMMYFUNCTION("""COMPUTED_VALUE"""),38938.645833333336)</f>
        <v>38938.64583</v>
      </c>
      <c r="I400" s="25">
        <f>IFERROR(__xludf.DUMMYFUNCTION("""COMPUTED_VALUE"""),237.5)</f>
        <v>237.5</v>
      </c>
      <c r="J400" s="25">
        <f>IFERROR(__xludf.DUMMYFUNCTION("""COMPUTED_VALUE"""),243.75)</f>
        <v>243.75</v>
      </c>
      <c r="K400" s="25">
        <f>IFERROR(__xludf.DUMMYFUNCTION("""COMPUTED_VALUE"""),235.88)</f>
        <v>235.88</v>
      </c>
      <c r="L400" s="25">
        <f>IFERROR(__xludf.DUMMYFUNCTION("""COMPUTED_VALUE"""),241.53)</f>
        <v>241.53</v>
      </c>
      <c r="M400" s="25">
        <f>IFERROR(__xludf.DUMMYFUNCTION("""COMPUTED_VALUE"""),513030.0)</f>
        <v>513030</v>
      </c>
    </row>
    <row r="401">
      <c r="A401" s="26">
        <f>IFERROR(__xludf.DUMMYFUNCTION("""COMPUTED_VALUE"""),38939.645833333336)</f>
        <v>38939.64583</v>
      </c>
      <c r="B401" s="9">
        <f>IFERROR(__xludf.DUMMYFUNCTION("""COMPUTED_VALUE"""),212.5)</f>
        <v>212.5</v>
      </c>
      <c r="C401" s="9">
        <f>IFERROR(__xludf.DUMMYFUNCTION("""COMPUTED_VALUE"""),214.75)</f>
        <v>214.75</v>
      </c>
      <c r="D401" s="9">
        <f>IFERROR(__xludf.DUMMYFUNCTION("""COMPUTED_VALUE"""),211.38)</f>
        <v>211.38</v>
      </c>
      <c r="E401" s="9">
        <f>IFERROR(__xludf.DUMMYFUNCTION("""COMPUTED_VALUE"""),213.58)</f>
        <v>213.58</v>
      </c>
      <c r="F401" s="9">
        <f>IFERROR(__xludf.DUMMYFUNCTION("""COMPUTED_VALUE"""),1119607.0)</f>
        <v>1119607</v>
      </c>
      <c r="H401" s="27">
        <f>IFERROR(__xludf.DUMMYFUNCTION("""COMPUTED_VALUE"""),38939.645833333336)</f>
        <v>38939.64583</v>
      </c>
      <c r="I401" s="25">
        <f>IFERROR(__xludf.DUMMYFUNCTION("""COMPUTED_VALUE"""),240.25)</f>
        <v>240.25</v>
      </c>
      <c r="J401" s="25">
        <f>IFERROR(__xludf.DUMMYFUNCTION("""COMPUTED_VALUE"""),243.75)</f>
        <v>243.75</v>
      </c>
      <c r="K401" s="25">
        <f>IFERROR(__xludf.DUMMYFUNCTION("""COMPUTED_VALUE"""),240.0)</f>
        <v>240</v>
      </c>
      <c r="L401" s="25">
        <f>IFERROR(__xludf.DUMMYFUNCTION("""COMPUTED_VALUE"""),241.44)</f>
        <v>241.44</v>
      </c>
      <c r="M401" s="25">
        <f>IFERROR(__xludf.DUMMYFUNCTION("""COMPUTED_VALUE"""),569781.0)</f>
        <v>569781</v>
      </c>
    </row>
    <row r="402">
      <c r="A402" s="26">
        <f>IFERROR(__xludf.DUMMYFUNCTION("""COMPUTED_VALUE"""),38940.645833333336)</f>
        <v>38940.64583</v>
      </c>
      <c r="B402" s="9">
        <f>IFERROR(__xludf.DUMMYFUNCTION("""COMPUTED_VALUE"""),213.75)</f>
        <v>213.75</v>
      </c>
      <c r="C402" s="9">
        <f>IFERROR(__xludf.DUMMYFUNCTION("""COMPUTED_VALUE"""),218.75)</f>
        <v>218.75</v>
      </c>
      <c r="D402" s="9">
        <f>IFERROR(__xludf.DUMMYFUNCTION("""COMPUTED_VALUE"""),213.13)</f>
        <v>213.13</v>
      </c>
      <c r="E402" s="9">
        <f>IFERROR(__xludf.DUMMYFUNCTION("""COMPUTED_VALUE"""),217.78)</f>
        <v>217.78</v>
      </c>
      <c r="F402" s="9">
        <f>IFERROR(__xludf.DUMMYFUNCTION("""COMPUTED_VALUE"""),1530582.0)</f>
        <v>1530582</v>
      </c>
      <c r="H402" s="27">
        <f>IFERROR(__xludf.DUMMYFUNCTION("""COMPUTED_VALUE"""),38940.645833333336)</f>
        <v>38940.64583</v>
      </c>
      <c r="I402" s="25">
        <f>IFERROR(__xludf.DUMMYFUNCTION("""COMPUTED_VALUE"""),242.48)</f>
        <v>242.48</v>
      </c>
      <c r="J402" s="25">
        <f>IFERROR(__xludf.DUMMYFUNCTION("""COMPUTED_VALUE"""),243.46)</f>
        <v>243.46</v>
      </c>
      <c r="K402" s="25">
        <f>IFERROR(__xludf.DUMMYFUNCTION("""COMPUTED_VALUE"""),239.25)</f>
        <v>239.25</v>
      </c>
      <c r="L402" s="25">
        <f>IFERROR(__xludf.DUMMYFUNCTION("""COMPUTED_VALUE"""),241.9)</f>
        <v>241.9</v>
      </c>
      <c r="M402" s="25">
        <f>IFERROR(__xludf.DUMMYFUNCTION("""COMPUTED_VALUE"""),473493.0)</f>
        <v>473493</v>
      </c>
    </row>
    <row r="403">
      <c r="A403" s="26">
        <f>IFERROR(__xludf.DUMMYFUNCTION("""COMPUTED_VALUE"""),38943.645833333336)</f>
        <v>38943.64583</v>
      </c>
      <c r="B403" s="9">
        <f>IFERROR(__xludf.DUMMYFUNCTION("""COMPUTED_VALUE"""),219.0)</f>
        <v>219</v>
      </c>
      <c r="C403" s="9">
        <f>IFERROR(__xludf.DUMMYFUNCTION("""COMPUTED_VALUE"""),220.58)</f>
        <v>220.58</v>
      </c>
      <c r="D403" s="9">
        <f>IFERROR(__xludf.DUMMYFUNCTION("""COMPUTED_VALUE"""),217.51)</f>
        <v>217.51</v>
      </c>
      <c r="E403" s="9">
        <f>IFERROR(__xludf.DUMMYFUNCTION("""COMPUTED_VALUE"""),219.44)</f>
        <v>219.44</v>
      </c>
      <c r="F403" s="9">
        <f>IFERROR(__xludf.DUMMYFUNCTION("""COMPUTED_VALUE"""),791349.0)</f>
        <v>791349</v>
      </c>
      <c r="H403" s="27">
        <f>IFERROR(__xludf.DUMMYFUNCTION("""COMPUTED_VALUE"""),38943.645833333336)</f>
        <v>38943.64583</v>
      </c>
      <c r="I403" s="25">
        <f>IFERROR(__xludf.DUMMYFUNCTION("""COMPUTED_VALUE"""),243.44)</f>
        <v>243.44</v>
      </c>
      <c r="J403" s="25">
        <f>IFERROR(__xludf.DUMMYFUNCTION("""COMPUTED_VALUE"""),243.75)</f>
        <v>243.75</v>
      </c>
      <c r="K403" s="25">
        <f>IFERROR(__xludf.DUMMYFUNCTION("""COMPUTED_VALUE"""),239.75)</f>
        <v>239.75</v>
      </c>
      <c r="L403" s="25">
        <f>IFERROR(__xludf.DUMMYFUNCTION("""COMPUTED_VALUE"""),241.16)</f>
        <v>241.16</v>
      </c>
      <c r="M403" s="25">
        <f>IFERROR(__xludf.DUMMYFUNCTION("""COMPUTED_VALUE"""),430357.0)</f>
        <v>430357</v>
      </c>
    </row>
    <row r="404">
      <c r="A404" s="26">
        <f>IFERROR(__xludf.DUMMYFUNCTION("""COMPUTED_VALUE"""),38945.645833333336)</f>
        <v>38945.64583</v>
      </c>
      <c r="B404" s="9">
        <f>IFERROR(__xludf.DUMMYFUNCTION("""COMPUTED_VALUE"""),221.25)</f>
        <v>221.25</v>
      </c>
      <c r="C404" s="9">
        <f>IFERROR(__xludf.DUMMYFUNCTION("""COMPUTED_VALUE"""),223.13)</f>
        <v>223.13</v>
      </c>
      <c r="D404" s="9">
        <f>IFERROR(__xludf.DUMMYFUNCTION("""COMPUTED_VALUE"""),217.54)</f>
        <v>217.54</v>
      </c>
      <c r="E404" s="9">
        <f>IFERROR(__xludf.DUMMYFUNCTION("""COMPUTED_VALUE"""),219.04)</f>
        <v>219.04</v>
      </c>
      <c r="F404" s="9">
        <f>IFERROR(__xludf.DUMMYFUNCTION("""COMPUTED_VALUE"""),1176127.0)</f>
        <v>1176127</v>
      </c>
      <c r="H404" s="27">
        <f>IFERROR(__xludf.DUMMYFUNCTION("""COMPUTED_VALUE"""),38945.645833333336)</f>
        <v>38945.64583</v>
      </c>
      <c r="I404" s="25">
        <f>IFERROR(__xludf.DUMMYFUNCTION("""COMPUTED_VALUE"""),244.75)</f>
        <v>244.75</v>
      </c>
      <c r="J404" s="25">
        <f>IFERROR(__xludf.DUMMYFUNCTION("""COMPUTED_VALUE"""),246.13)</f>
        <v>246.13</v>
      </c>
      <c r="K404" s="25">
        <f>IFERROR(__xludf.DUMMYFUNCTION("""COMPUTED_VALUE"""),242.0)</f>
        <v>242</v>
      </c>
      <c r="L404" s="25">
        <f>IFERROR(__xludf.DUMMYFUNCTION("""COMPUTED_VALUE"""),243.05)</f>
        <v>243.05</v>
      </c>
      <c r="M404" s="25">
        <f>IFERROR(__xludf.DUMMYFUNCTION("""COMPUTED_VALUE"""),951067.0)</f>
        <v>951067</v>
      </c>
    </row>
    <row r="405">
      <c r="A405" s="26">
        <f>IFERROR(__xludf.DUMMYFUNCTION("""COMPUTED_VALUE"""),38946.645833333336)</f>
        <v>38946.64583</v>
      </c>
      <c r="B405" s="9">
        <f>IFERROR(__xludf.DUMMYFUNCTION("""COMPUTED_VALUE"""),220.01)</f>
        <v>220.01</v>
      </c>
      <c r="C405" s="9">
        <f>IFERROR(__xludf.DUMMYFUNCTION("""COMPUTED_VALUE"""),221.64)</f>
        <v>221.64</v>
      </c>
      <c r="D405" s="9">
        <f>IFERROR(__xludf.DUMMYFUNCTION("""COMPUTED_VALUE"""),218.07)</f>
        <v>218.07</v>
      </c>
      <c r="E405" s="9">
        <f>IFERROR(__xludf.DUMMYFUNCTION("""COMPUTED_VALUE"""),219.7)</f>
        <v>219.7</v>
      </c>
      <c r="F405" s="9">
        <f>IFERROR(__xludf.DUMMYFUNCTION("""COMPUTED_VALUE"""),1031039.0)</f>
        <v>1031039</v>
      </c>
      <c r="H405" s="27">
        <f>IFERROR(__xludf.DUMMYFUNCTION("""COMPUTED_VALUE"""),38946.645833333336)</f>
        <v>38946.64583</v>
      </c>
      <c r="I405" s="25">
        <f>IFERROR(__xludf.DUMMYFUNCTION("""COMPUTED_VALUE"""),243.75)</f>
        <v>243.75</v>
      </c>
      <c r="J405" s="25">
        <f>IFERROR(__xludf.DUMMYFUNCTION("""COMPUTED_VALUE"""),245.75)</f>
        <v>245.75</v>
      </c>
      <c r="K405" s="25">
        <f>IFERROR(__xludf.DUMMYFUNCTION("""COMPUTED_VALUE"""),239.5)</f>
        <v>239.5</v>
      </c>
      <c r="L405" s="25">
        <f>IFERROR(__xludf.DUMMYFUNCTION("""COMPUTED_VALUE"""),240.04)</f>
        <v>240.04</v>
      </c>
      <c r="M405" s="25">
        <f>IFERROR(__xludf.DUMMYFUNCTION("""COMPUTED_VALUE"""),624292.0)</f>
        <v>624292</v>
      </c>
    </row>
    <row r="406">
      <c r="A406" s="26">
        <f>IFERROR(__xludf.DUMMYFUNCTION("""COMPUTED_VALUE"""),38947.645833333336)</f>
        <v>38947.64583</v>
      </c>
      <c r="B406" s="9">
        <f>IFERROR(__xludf.DUMMYFUNCTION("""COMPUTED_VALUE"""),220.63)</f>
        <v>220.63</v>
      </c>
      <c r="C406" s="9">
        <f>IFERROR(__xludf.DUMMYFUNCTION("""COMPUTED_VALUE"""),221.09)</f>
        <v>221.09</v>
      </c>
      <c r="D406" s="9">
        <f>IFERROR(__xludf.DUMMYFUNCTION("""COMPUTED_VALUE"""),201.25)</f>
        <v>201.25</v>
      </c>
      <c r="E406" s="9">
        <f>IFERROR(__xludf.DUMMYFUNCTION("""COMPUTED_VALUE"""),220.25)</f>
        <v>220.25</v>
      </c>
      <c r="F406" s="9">
        <f>IFERROR(__xludf.DUMMYFUNCTION("""COMPUTED_VALUE"""),552395.0)</f>
        <v>552395</v>
      </c>
      <c r="H406" s="27">
        <f>IFERROR(__xludf.DUMMYFUNCTION("""COMPUTED_VALUE"""),38947.645833333336)</f>
        <v>38947.64583</v>
      </c>
      <c r="I406" s="25">
        <f>IFERROR(__xludf.DUMMYFUNCTION("""COMPUTED_VALUE"""),241.25)</f>
        <v>241.25</v>
      </c>
      <c r="J406" s="25">
        <f>IFERROR(__xludf.DUMMYFUNCTION("""COMPUTED_VALUE"""),243.13)</f>
        <v>243.13</v>
      </c>
      <c r="K406" s="25">
        <f>IFERROR(__xludf.DUMMYFUNCTION("""COMPUTED_VALUE"""),240.0)</f>
        <v>240</v>
      </c>
      <c r="L406" s="25">
        <f>IFERROR(__xludf.DUMMYFUNCTION("""COMPUTED_VALUE"""),242.43)</f>
        <v>242.43</v>
      </c>
      <c r="M406" s="25">
        <f>IFERROR(__xludf.DUMMYFUNCTION("""COMPUTED_VALUE"""),450910.0)</f>
        <v>450910</v>
      </c>
    </row>
    <row r="407">
      <c r="A407" s="26">
        <f>IFERROR(__xludf.DUMMYFUNCTION("""COMPUTED_VALUE"""),38950.645833333336)</f>
        <v>38950.64583</v>
      </c>
      <c r="B407" s="9">
        <f>IFERROR(__xludf.DUMMYFUNCTION("""COMPUTED_VALUE"""),220.5)</f>
        <v>220.5</v>
      </c>
      <c r="C407" s="9">
        <f>IFERROR(__xludf.DUMMYFUNCTION("""COMPUTED_VALUE"""),225.0)</f>
        <v>225</v>
      </c>
      <c r="D407" s="9">
        <f>IFERROR(__xludf.DUMMYFUNCTION("""COMPUTED_VALUE"""),218.63)</f>
        <v>218.63</v>
      </c>
      <c r="E407" s="9">
        <f>IFERROR(__xludf.DUMMYFUNCTION("""COMPUTED_VALUE"""),224.76)</f>
        <v>224.76</v>
      </c>
      <c r="F407" s="9">
        <f>IFERROR(__xludf.DUMMYFUNCTION("""COMPUTED_VALUE"""),1427415.0)</f>
        <v>1427415</v>
      </c>
      <c r="H407" s="27">
        <f>IFERROR(__xludf.DUMMYFUNCTION("""COMPUTED_VALUE"""),38950.645833333336)</f>
        <v>38950.64583</v>
      </c>
      <c r="I407" s="25">
        <f>IFERROR(__xludf.DUMMYFUNCTION("""COMPUTED_VALUE"""),244.0)</f>
        <v>244</v>
      </c>
      <c r="J407" s="25">
        <f>IFERROR(__xludf.DUMMYFUNCTION("""COMPUTED_VALUE"""),244.0)</f>
        <v>244</v>
      </c>
      <c r="K407" s="25">
        <f>IFERROR(__xludf.DUMMYFUNCTION("""COMPUTED_VALUE"""),239.25)</f>
        <v>239.25</v>
      </c>
      <c r="L407" s="25">
        <f>IFERROR(__xludf.DUMMYFUNCTION("""COMPUTED_VALUE"""),242.33)</f>
        <v>242.33</v>
      </c>
      <c r="M407" s="25">
        <f>IFERROR(__xludf.DUMMYFUNCTION("""COMPUTED_VALUE"""),603522.0)</f>
        <v>603522</v>
      </c>
    </row>
    <row r="408">
      <c r="A408" s="26">
        <f>IFERROR(__xludf.DUMMYFUNCTION("""COMPUTED_VALUE"""),38951.645833333336)</f>
        <v>38951.64583</v>
      </c>
      <c r="B408" s="9">
        <f>IFERROR(__xludf.DUMMYFUNCTION("""COMPUTED_VALUE"""),225.13)</f>
        <v>225.13</v>
      </c>
      <c r="C408" s="9">
        <f>IFERROR(__xludf.DUMMYFUNCTION("""COMPUTED_VALUE"""),226.13)</f>
        <v>226.13</v>
      </c>
      <c r="D408" s="9">
        <f>IFERROR(__xludf.DUMMYFUNCTION("""COMPUTED_VALUE"""),221.9)</f>
        <v>221.9</v>
      </c>
      <c r="E408" s="9">
        <f>IFERROR(__xludf.DUMMYFUNCTION("""COMPUTED_VALUE"""),222.64)</f>
        <v>222.64</v>
      </c>
      <c r="F408" s="9">
        <f>IFERROR(__xludf.DUMMYFUNCTION("""COMPUTED_VALUE"""),576198.0)</f>
        <v>576198</v>
      </c>
      <c r="H408" s="27">
        <f>IFERROR(__xludf.DUMMYFUNCTION("""COMPUTED_VALUE"""),38951.645833333336)</f>
        <v>38951.64583</v>
      </c>
      <c r="I408" s="25">
        <f>IFERROR(__xludf.DUMMYFUNCTION("""COMPUTED_VALUE"""),243.0)</f>
        <v>243</v>
      </c>
      <c r="J408" s="25">
        <f>IFERROR(__xludf.DUMMYFUNCTION("""COMPUTED_VALUE"""),245.75)</f>
        <v>245.75</v>
      </c>
      <c r="K408" s="25">
        <f>IFERROR(__xludf.DUMMYFUNCTION("""COMPUTED_VALUE"""),242.5)</f>
        <v>242.5</v>
      </c>
      <c r="L408" s="25">
        <f>IFERROR(__xludf.DUMMYFUNCTION("""COMPUTED_VALUE"""),243.85)</f>
        <v>243.85</v>
      </c>
      <c r="M408" s="25">
        <f>IFERROR(__xludf.DUMMYFUNCTION("""COMPUTED_VALUE"""),544524.0)</f>
        <v>544524</v>
      </c>
    </row>
    <row r="409">
      <c r="A409" s="26">
        <f>IFERROR(__xludf.DUMMYFUNCTION("""COMPUTED_VALUE"""),38952.645833333336)</f>
        <v>38952.64583</v>
      </c>
      <c r="B409" s="9">
        <f>IFERROR(__xludf.DUMMYFUNCTION("""COMPUTED_VALUE"""),223.61)</f>
        <v>223.61</v>
      </c>
      <c r="C409" s="9">
        <f>IFERROR(__xludf.DUMMYFUNCTION("""COMPUTED_VALUE"""),224.31)</f>
        <v>224.31</v>
      </c>
      <c r="D409" s="9">
        <f>IFERROR(__xludf.DUMMYFUNCTION("""COMPUTED_VALUE"""),219.75)</f>
        <v>219.75</v>
      </c>
      <c r="E409" s="9">
        <f>IFERROR(__xludf.DUMMYFUNCTION("""COMPUTED_VALUE"""),220.99)</f>
        <v>220.99</v>
      </c>
      <c r="F409" s="9">
        <f>IFERROR(__xludf.DUMMYFUNCTION("""COMPUTED_VALUE"""),787832.0)</f>
        <v>787832</v>
      </c>
      <c r="H409" s="27">
        <f>IFERROR(__xludf.DUMMYFUNCTION("""COMPUTED_VALUE"""),38952.645833333336)</f>
        <v>38952.64583</v>
      </c>
      <c r="I409" s="25">
        <f>IFERROR(__xludf.DUMMYFUNCTION("""COMPUTED_VALUE"""),244.0)</f>
        <v>244</v>
      </c>
      <c r="J409" s="25">
        <f>IFERROR(__xludf.DUMMYFUNCTION("""COMPUTED_VALUE"""),244.69)</f>
        <v>244.69</v>
      </c>
      <c r="K409" s="25">
        <f>IFERROR(__xludf.DUMMYFUNCTION("""COMPUTED_VALUE"""),240.03)</f>
        <v>240.03</v>
      </c>
      <c r="L409" s="25">
        <f>IFERROR(__xludf.DUMMYFUNCTION("""COMPUTED_VALUE"""),240.78)</f>
        <v>240.78</v>
      </c>
      <c r="M409" s="25">
        <f>IFERROR(__xludf.DUMMYFUNCTION("""COMPUTED_VALUE"""),624434.0)</f>
        <v>624434</v>
      </c>
    </row>
    <row r="410">
      <c r="A410" s="26">
        <f>IFERROR(__xludf.DUMMYFUNCTION("""COMPUTED_VALUE"""),38953.645833333336)</f>
        <v>38953.64583</v>
      </c>
      <c r="B410" s="9">
        <f>IFERROR(__xludf.DUMMYFUNCTION("""COMPUTED_VALUE"""),220.0)</f>
        <v>220</v>
      </c>
      <c r="C410" s="9">
        <f>IFERROR(__xludf.DUMMYFUNCTION("""COMPUTED_VALUE"""),221.88)</f>
        <v>221.88</v>
      </c>
      <c r="D410" s="9">
        <f>IFERROR(__xludf.DUMMYFUNCTION("""COMPUTED_VALUE"""),218.13)</f>
        <v>218.13</v>
      </c>
      <c r="E410" s="9">
        <f>IFERROR(__xludf.DUMMYFUNCTION("""COMPUTED_VALUE"""),220.86)</f>
        <v>220.86</v>
      </c>
      <c r="F410" s="9">
        <f>IFERROR(__xludf.DUMMYFUNCTION("""COMPUTED_VALUE"""),1087864.0)</f>
        <v>1087864</v>
      </c>
      <c r="H410" s="27">
        <f>IFERROR(__xludf.DUMMYFUNCTION("""COMPUTED_VALUE"""),38953.645833333336)</f>
        <v>38953.64583</v>
      </c>
      <c r="I410" s="25">
        <f>IFERROR(__xludf.DUMMYFUNCTION("""COMPUTED_VALUE"""),242.5)</f>
        <v>242.5</v>
      </c>
      <c r="J410" s="25">
        <f>IFERROR(__xludf.DUMMYFUNCTION("""COMPUTED_VALUE"""),243.73)</f>
        <v>243.73</v>
      </c>
      <c r="K410" s="25">
        <f>IFERROR(__xludf.DUMMYFUNCTION("""COMPUTED_VALUE"""),238.31)</f>
        <v>238.31</v>
      </c>
      <c r="L410" s="25">
        <f>IFERROR(__xludf.DUMMYFUNCTION("""COMPUTED_VALUE"""),242.6)</f>
        <v>242.6</v>
      </c>
      <c r="M410" s="25">
        <f>IFERROR(__xludf.DUMMYFUNCTION("""COMPUTED_VALUE"""),592463.0)</f>
        <v>592463</v>
      </c>
    </row>
    <row r="411">
      <c r="A411" s="26">
        <f>IFERROR(__xludf.DUMMYFUNCTION("""COMPUTED_VALUE"""),38954.645833333336)</f>
        <v>38954.64583</v>
      </c>
      <c r="B411" s="9">
        <f>IFERROR(__xludf.DUMMYFUNCTION("""COMPUTED_VALUE"""),221.75)</f>
        <v>221.75</v>
      </c>
      <c r="C411" s="9">
        <f>IFERROR(__xludf.DUMMYFUNCTION("""COMPUTED_VALUE"""),222.49)</f>
        <v>222.49</v>
      </c>
      <c r="D411" s="9">
        <f>IFERROR(__xludf.DUMMYFUNCTION("""COMPUTED_VALUE"""),220.0)</f>
        <v>220</v>
      </c>
      <c r="E411" s="9">
        <f>IFERROR(__xludf.DUMMYFUNCTION("""COMPUTED_VALUE"""),220.84)</f>
        <v>220.84</v>
      </c>
      <c r="F411" s="9">
        <f>IFERROR(__xludf.DUMMYFUNCTION("""COMPUTED_VALUE"""),638426.0)</f>
        <v>638426</v>
      </c>
      <c r="H411" s="27">
        <f>IFERROR(__xludf.DUMMYFUNCTION("""COMPUTED_VALUE"""),38954.645833333336)</f>
        <v>38954.64583</v>
      </c>
      <c r="I411" s="25">
        <f>IFERROR(__xludf.DUMMYFUNCTION("""COMPUTED_VALUE"""),242.75)</f>
        <v>242.75</v>
      </c>
      <c r="J411" s="25">
        <f>IFERROR(__xludf.DUMMYFUNCTION("""COMPUTED_VALUE"""),244.23)</f>
        <v>244.23</v>
      </c>
      <c r="K411" s="25">
        <f>IFERROR(__xludf.DUMMYFUNCTION("""COMPUTED_VALUE"""),241.91)</f>
        <v>241.91</v>
      </c>
      <c r="L411" s="25">
        <f>IFERROR(__xludf.DUMMYFUNCTION("""COMPUTED_VALUE"""),243.6)</f>
        <v>243.6</v>
      </c>
      <c r="M411" s="25">
        <f>IFERROR(__xludf.DUMMYFUNCTION("""COMPUTED_VALUE"""),652938.0)</f>
        <v>652938</v>
      </c>
    </row>
    <row r="412">
      <c r="A412" s="26">
        <f>IFERROR(__xludf.DUMMYFUNCTION("""COMPUTED_VALUE"""),38957.645833333336)</f>
        <v>38957.64583</v>
      </c>
      <c r="B412" s="9">
        <f>IFERROR(__xludf.DUMMYFUNCTION("""COMPUTED_VALUE"""),220.84)</f>
        <v>220.84</v>
      </c>
      <c r="C412" s="9">
        <f>IFERROR(__xludf.DUMMYFUNCTION("""COMPUTED_VALUE"""),222.14)</f>
        <v>222.14</v>
      </c>
      <c r="D412" s="9">
        <f>IFERROR(__xludf.DUMMYFUNCTION("""COMPUTED_VALUE"""),218.13)</f>
        <v>218.13</v>
      </c>
      <c r="E412" s="9">
        <f>IFERROR(__xludf.DUMMYFUNCTION("""COMPUTED_VALUE"""),221.59)</f>
        <v>221.59</v>
      </c>
      <c r="F412" s="9">
        <f>IFERROR(__xludf.DUMMYFUNCTION("""COMPUTED_VALUE"""),605362.0)</f>
        <v>605362</v>
      </c>
      <c r="H412" s="27">
        <f>IFERROR(__xludf.DUMMYFUNCTION("""COMPUTED_VALUE"""),38957.645833333336)</f>
        <v>38957.64583</v>
      </c>
      <c r="I412" s="25">
        <f>IFERROR(__xludf.DUMMYFUNCTION("""COMPUTED_VALUE"""),243.75)</f>
        <v>243.75</v>
      </c>
      <c r="J412" s="25">
        <f>IFERROR(__xludf.DUMMYFUNCTION("""COMPUTED_VALUE"""),246.33)</f>
        <v>246.33</v>
      </c>
      <c r="K412" s="25">
        <f>IFERROR(__xludf.DUMMYFUNCTION("""COMPUTED_VALUE"""),242.08)</f>
        <v>242.08</v>
      </c>
      <c r="L412" s="25">
        <f>IFERROR(__xludf.DUMMYFUNCTION("""COMPUTED_VALUE"""),245.28)</f>
        <v>245.28</v>
      </c>
      <c r="M412" s="25">
        <f>IFERROR(__xludf.DUMMYFUNCTION("""COMPUTED_VALUE"""),575079.0)</f>
        <v>575079</v>
      </c>
    </row>
    <row r="413">
      <c r="A413" s="26">
        <f>IFERROR(__xludf.DUMMYFUNCTION("""COMPUTED_VALUE"""),38958.645833333336)</f>
        <v>38958.64583</v>
      </c>
      <c r="B413" s="9">
        <f>IFERROR(__xludf.DUMMYFUNCTION("""COMPUTED_VALUE"""),222.5)</f>
        <v>222.5</v>
      </c>
      <c r="C413" s="9">
        <f>IFERROR(__xludf.DUMMYFUNCTION("""COMPUTED_VALUE"""),226.38)</f>
        <v>226.38</v>
      </c>
      <c r="D413" s="9">
        <f>IFERROR(__xludf.DUMMYFUNCTION("""COMPUTED_VALUE"""),222.25)</f>
        <v>222.25</v>
      </c>
      <c r="E413" s="9">
        <f>IFERROR(__xludf.DUMMYFUNCTION("""COMPUTED_VALUE"""),225.73)</f>
        <v>225.73</v>
      </c>
      <c r="F413" s="9">
        <f>IFERROR(__xludf.DUMMYFUNCTION("""COMPUTED_VALUE"""),1114522.0)</f>
        <v>1114522</v>
      </c>
      <c r="H413" s="27">
        <f>IFERROR(__xludf.DUMMYFUNCTION("""COMPUTED_VALUE"""),38958.645833333336)</f>
        <v>38958.64583</v>
      </c>
      <c r="I413" s="25">
        <f>IFERROR(__xludf.DUMMYFUNCTION("""COMPUTED_VALUE"""),246.25)</f>
        <v>246.25</v>
      </c>
      <c r="J413" s="25">
        <f>IFERROR(__xludf.DUMMYFUNCTION("""COMPUTED_VALUE"""),248.0)</f>
        <v>248</v>
      </c>
      <c r="K413" s="25">
        <f>IFERROR(__xludf.DUMMYFUNCTION("""COMPUTED_VALUE"""),245.75)</f>
        <v>245.75</v>
      </c>
      <c r="L413" s="25">
        <f>IFERROR(__xludf.DUMMYFUNCTION("""COMPUTED_VALUE"""),247.53)</f>
        <v>247.53</v>
      </c>
      <c r="M413" s="25">
        <f>IFERROR(__xludf.DUMMYFUNCTION("""COMPUTED_VALUE"""),669899.0)</f>
        <v>669899</v>
      </c>
    </row>
    <row r="414">
      <c r="A414" s="26">
        <f>IFERROR(__xludf.DUMMYFUNCTION("""COMPUTED_VALUE"""),38959.645833333336)</f>
        <v>38959.64583</v>
      </c>
      <c r="B414" s="9">
        <f>IFERROR(__xludf.DUMMYFUNCTION("""COMPUTED_VALUE"""),226.25)</f>
        <v>226.25</v>
      </c>
      <c r="C414" s="9">
        <f>IFERROR(__xludf.DUMMYFUNCTION("""COMPUTED_VALUE"""),226.25)</f>
        <v>226.25</v>
      </c>
      <c r="D414" s="9">
        <f>IFERROR(__xludf.DUMMYFUNCTION("""COMPUTED_VALUE"""),223.88)</f>
        <v>223.88</v>
      </c>
      <c r="E414" s="9">
        <f>IFERROR(__xludf.DUMMYFUNCTION("""COMPUTED_VALUE"""),225.15)</f>
        <v>225.15</v>
      </c>
      <c r="F414" s="9">
        <f>IFERROR(__xludf.DUMMYFUNCTION("""COMPUTED_VALUE"""),665088.0)</f>
        <v>665088</v>
      </c>
      <c r="H414" s="27">
        <f>IFERROR(__xludf.DUMMYFUNCTION("""COMPUTED_VALUE"""),38959.645833333336)</f>
        <v>38959.64583</v>
      </c>
      <c r="I414" s="25">
        <f>IFERROR(__xludf.DUMMYFUNCTION("""COMPUTED_VALUE"""),247.78)</f>
        <v>247.78</v>
      </c>
      <c r="J414" s="25">
        <f>IFERROR(__xludf.DUMMYFUNCTION("""COMPUTED_VALUE"""),248.75)</f>
        <v>248.75</v>
      </c>
      <c r="K414" s="25">
        <f>IFERROR(__xludf.DUMMYFUNCTION("""COMPUTED_VALUE"""),245.26)</f>
        <v>245.26</v>
      </c>
      <c r="L414" s="25">
        <f>IFERROR(__xludf.DUMMYFUNCTION("""COMPUTED_VALUE"""),245.95)</f>
        <v>245.95</v>
      </c>
      <c r="M414" s="25">
        <f>IFERROR(__xludf.DUMMYFUNCTION("""COMPUTED_VALUE"""),686193.0)</f>
        <v>686193</v>
      </c>
    </row>
    <row r="415">
      <c r="A415" s="26">
        <f>IFERROR(__xludf.DUMMYFUNCTION("""COMPUTED_VALUE"""),38960.645833333336)</f>
        <v>38960.64583</v>
      </c>
      <c r="B415" s="9">
        <f>IFERROR(__xludf.DUMMYFUNCTION("""COMPUTED_VALUE"""),226.0)</f>
        <v>226</v>
      </c>
      <c r="C415" s="9">
        <f>IFERROR(__xludf.DUMMYFUNCTION("""COMPUTED_VALUE"""),227.38)</f>
        <v>227.38</v>
      </c>
      <c r="D415" s="9">
        <f>IFERROR(__xludf.DUMMYFUNCTION("""COMPUTED_VALUE"""),225.01)</f>
        <v>225.01</v>
      </c>
      <c r="E415" s="9">
        <f>IFERROR(__xludf.DUMMYFUNCTION("""COMPUTED_VALUE"""),225.8)</f>
        <v>225.8</v>
      </c>
      <c r="F415" s="9">
        <f>IFERROR(__xludf.DUMMYFUNCTION("""COMPUTED_VALUE"""),1228539.0)</f>
        <v>1228539</v>
      </c>
      <c r="H415" s="27">
        <f>IFERROR(__xludf.DUMMYFUNCTION("""COMPUTED_VALUE"""),38960.645833333336)</f>
        <v>38960.64583</v>
      </c>
      <c r="I415" s="25">
        <f>IFERROR(__xludf.DUMMYFUNCTION("""COMPUTED_VALUE"""),246.0)</f>
        <v>246</v>
      </c>
      <c r="J415" s="25">
        <f>IFERROR(__xludf.DUMMYFUNCTION("""COMPUTED_VALUE"""),251.0)</f>
        <v>251</v>
      </c>
      <c r="K415" s="25">
        <f>IFERROR(__xludf.DUMMYFUNCTION("""COMPUTED_VALUE"""),246.0)</f>
        <v>246</v>
      </c>
      <c r="L415" s="25">
        <f>IFERROR(__xludf.DUMMYFUNCTION("""COMPUTED_VALUE"""),249.51)</f>
        <v>249.51</v>
      </c>
      <c r="M415" s="25">
        <f>IFERROR(__xludf.DUMMYFUNCTION("""COMPUTED_VALUE"""),1519214.0)</f>
        <v>1519214</v>
      </c>
    </row>
    <row r="416">
      <c r="A416" s="26">
        <f>IFERROR(__xludf.DUMMYFUNCTION("""COMPUTED_VALUE"""),38961.645833333336)</f>
        <v>38961.64583</v>
      </c>
      <c r="B416" s="9">
        <f>IFERROR(__xludf.DUMMYFUNCTION("""COMPUTED_VALUE"""),226.25)</f>
        <v>226.25</v>
      </c>
      <c r="C416" s="9">
        <f>IFERROR(__xludf.DUMMYFUNCTION("""COMPUTED_VALUE"""),226.88)</f>
        <v>226.88</v>
      </c>
      <c r="D416" s="9">
        <f>IFERROR(__xludf.DUMMYFUNCTION("""COMPUTED_VALUE"""),225.02)</f>
        <v>225.02</v>
      </c>
      <c r="E416" s="9">
        <f>IFERROR(__xludf.DUMMYFUNCTION("""COMPUTED_VALUE"""),226.31)</f>
        <v>226.31</v>
      </c>
      <c r="F416" s="9">
        <f>IFERROR(__xludf.DUMMYFUNCTION("""COMPUTED_VALUE"""),603907.0)</f>
        <v>603907</v>
      </c>
      <c r="H416" s="27">
        <f>IFERROR(__xludf.DUMMYFUNCTION("""COMPUTED_VALUE"""),38961.645833333336)</f>
        <v>38961.64583</v>
      </c>
      <c r="I416" s="25">
        <f>IFERROR(__xludf.DUMMYFUNCTION("""COMPUTED_VALUE"""),249.0)</f>
        <v>249</v>
      </c>
      <c r="J416" s="25">
        <f>IFERROR(__xludf.DUMMYFUNCTION("""COMPUTED_VALUE"""),250.25)</f>
        <v>250.25</v>
      </c>
      <c r="K416" s="25">
        <f>IFERROR(__xludf.DUMMYFUNCTION("""COMPUTED_VALUE"""),247.78)</f>
        <v>247.78</v>
      </c>
      <c r="L416" s="25">
        <f>IFERROR(__xludf.DUMMYFUNCTION("""COMPUTED_VALUE"""),249.81)</f>
        <v>249.81</v>
      </c>
      <c r="M416" s="25">
        <f>IFERROR(__xludf.DUMMYFUNCTION("""COMPUTED_VALUE"""),432182.0)</f>
        <v>432182</v>
      </c>
    </row>
    <row r="417">
      <c r="A417" s="26">
        <f>IFERROR(__xludf.DUMMYFUNCTION("""COMPUTED_VALUE"""),38964.645833333336)</f>
        <v>38964.64583</v>
      </c>
      <c r="B417" s="9">
        <f>IFERROR(__xludf.DUMMYFUNCTION("""COMPUTED_VALUE"""),226.5)</f>
        <v>226.5</v>
      </c>
      <c r="C417" s="9">
        <f>IFERROR(__xludf.DUMMYFUNCTION("""COMPUTED_VALUE"""),231.88)</f>
        <v>231.88</v>
      </c>
      <c r="D417" s="9">
        <f>IFERROR(__xludf.DUMMYFUNCTION("""COMPUTED_VALUE"""),226.39)</f>
        <v>226.39</v>
      </c>
      <c r="E417" s="9">
        <f>IFERROR(__xludf.DUMMYFUNCTION("""COMPUTED_VALUE"""),230.96)</f>
        <v>230.96</v>
      </c>
      <c r="F417" s="9">
        <f>IFERROR(__xludf.DUMMYFUNCTION("""COMPUTED_VALUE"""),756301.0)</f>
        <v>756301</v>
      </c>
      <c r="H417" s="27">
        <f>IFERROR(__xludf.DUMMYFUNCTION("""COMPUTED_VALUE"""),38964.645833333336)</f>
        <v>38964.64583</v>
      </c>
      <c r="I417" s="25">
        <f>IFERROR(__xludf.DUMMYFUNCTION("""COMPUTED_VALUE"""),249.75)</f>
        <v>249.75</v>
      </c>
      <c r="J417" s="25">
        <f>IFERROR(__xludf.DUMMYFUNCTION("""COMPUTED_VALUE"""),255.0)</f>
        <v>255</v>
      </c>
      <c r="K417" s="25">
        <f>IFERROR(__xludf.DUMMYFUNCTION("""COMPUTED_VALUE"""),249.75)</f>
        <v>249.75</v>
      </c>
      <c r="L417" s="25">
        <f>IFERROR(__xludf.DUMMYFUNCTION("""COMPUTED_VALUE"""),254.29)</f>
        <v>254.29</v>
      </c>
      <c r="M417" s="25">
        <f>IFERROR(__xludf.DUMMYFUNCTION("""COMPUTED_VALUE"""),502623.0)</f>
        <v>502623</v>
      </c>
    </row>
    <row r="418">
      <c r="A418" s="26">
        <f>IFERROR(__xludf.DUMMYFUNCTION("""COMPUTED_VALUE"""),38965.645833333336)</f>
        <v>38965.64583</v>
      </c>
      <c r="B418" s="9">
        <f>IFERROR(__xludf.DUMMYFUNCTION("""COMPUTED_VALUE"""),233.75)</f>
        <v>233.75</v>
      </c>
      <c r="C418" s="9">
        <f>IFERROR(__xludf.DUMMYFUNCTION("""COMPUTED_VALUE"""),233.75)</f>
        <v>233.75</v>
      </c>
      <c r="D418" s="9">
        <f>IFERROR(__xludf.DUMMYFUNCTION("""COMPUTED_VALUE"""),228.13)</f>
        <v>228.13</v>
      </c>
      <c r="E418" s="9">
        <f>IFERROR(__xludf.DUMMYFUNCTION("""COMPUTED_VALUE"""),229.37)</f>
        <v>229.37</v>
      </c>
      <c r="F418" s="9">
        <f>IFERROR(__xludf.DUMMYFUNCTION("""COMPUTED_VALUE"""),372511.0)</f>
        <v>372511</v>
      </c>
      <c r="H418" s="27">
        <f>IFERROR(__xludf.DUMMYFUNCTION("""COMPUTED_VALUE"""),38965.645833333336)</f>
        <v>38965.64583</v>
      </c>
      <c r="I418" s="25">
        <f>IFERROR(__xludf.DUMMYFUNCTION("""COMPUTED_VALUE"""),255.75)</f>
        <v>255.75</v>
      </c>
      <c r="J418" s="25">
        <f>IFERROR(__xludf.DUMMYFUNCTION("""COMPUTED_VALUE"""),257.5)</f>
        <v>257.5</v>
      </c>
      <c r="K418" s="25">
        <f>IFERROR(__xludf.DUMMYFUNCTION("""COMPUTED_VALUE"""),250.25)</f>
        <v>250.25</v>
      </c>
      <c r="L418" s="25">
        <f>IFERROR(__xludf.DUMMYFUNCTION("""COMPUTED_VALUE"""),251.45)</f>
        <v>251.45</v>
      </c>
      <c r="M418" s="25">
        <f>IFERROR(__xludf.DUMMYFUNCTION("""COMPUTED_VALUE"""),986322.0)</f>
        <v>986322</v>
      </c>
    </row>
    <row r="419">
      <c r="A419" s="26">
        <f>IFERROR(__xludf.DUMMYFUNCTION("""COMPUTED_VALUE"""),38966.645833333336)</f>
        <v>38966.64583</v>
      </c>
      <c r="B419" s="9">
        <f>IFERROR(__xludf.DUMMYFUNCTION("""COMPUTED_VALUE"""),231.25)</f>
        <v>231.25</v>
      </c>
      <c r="C419" s="9">
        <f>IFERROR(__xludf.DUMMYFUNCTION("""COMPUTED_VALUE"""),231.25)</f>
        <v>231.25</v>
      </c>
      <c r="D419" s="9">
        <f>IFERROR(__xludf.DUMMYFUNCTION("""COMPUTED_VALUE"""),228.72)</f>
        <v>228.72</v>
      </c>
      <c r="E419" s="9">
        <f>IFERROR(__xludf.DUMMYFUNCTION("""COMPUTED_VALUE"""),229.36)</f>
        <v>229.36</v>
      </c>
      <c r="F419" s="9">
        <f>IFERROR(__xludf.DUMMYFUNCTION("""COMPUTED_VALUE"""),736267.0)</f>
        <v>736267</v>
      </c>
      <c r="H419" s="27">
        <f>IFERROR(__xludf.DUMMYFUNCTION("""COMPUTED_VALUE"""),38966.645833333336)</f>
        <v>38966.64583</v>
      </c>
      <c r="I419" s="25">
        <f>IFERROR(__xludf.DUMMYFUNCTION("""COMPUTED_VALUE"""),254.38)</f>
        <v>254.38</v>
      </c>
      <c r="J419" s="25">
        <f>IFERROR(__xludf.DUMMYFUNCTION("""COMPUTED_VALUE"""),254.38)</f>
        <v>254.38</v>
      </c>
      <c r="K419" s="25">
        <f>IFERROR(__xludf.DUMMYFUNCTION("""COMPUTED_VALUE"""),247.78)</f>
        <v>247.78</v>
      </c>
      <c r="L419" s="25">
        <f>IFERROR(__xludf.DUMMYFUNCTION("""COMPUTED_VALUE"""),248.4)</f>
        <v>248.4</v>
      </c>
      <c r="M419" s="25">
        <f>IFERROR(__xludf.DUMMYFUNCTION("""COMPUTED_VALUE"""),700108.0)</f>
        <v>700108</v>
      </c>
    </row>
    <row r="420">
      <c r="A420" s="26">
        <f>IFERROR(__xludf.DUMMYFUNCTION("""COMPUTED_VALUE"""),38967.645833333336)</f>
        <v>38967.64583</v>
      </c>
      <c r="B420" s="9">
        <f>IFERROR(__xludf.DUMMYFUNCTION("""COMPUTED_VALUE"""),228.09)</f>
        <v>228.09</v>
      </c>
      <c r="C420" s="9">
        <f>IFERROR(__xludf.DUMMYFUNCTION("""COMPUTED_VALUE"""),228.7)</f>
        <v>228.7</v>
      </c>
      <c r="D420" s="9">
        <f>IFERROR(__xludf.DUMMYFUNCTION("""COMPUTED_VALUE"""),224.88)</f>
        <v>224.88</v>
      </c>
      <c r="E420" s="9">
        <f>IFERROR(__xludf.DUMMYFUNCTION("""COMPUTED_VALUE"""),225.86)</f>
        <v>225.86</v>
      </c>
      <c r="F420" s="9">
        <f>IFERROR(__xludf.DUMMYFUNCTION("""COMPUTED_VALUE"""),1254551.0)</f>
        <v>1254551</v>
      </c>
      <c r="H420" s="27">
        <f>IFERROR(__xludf.DUMMYFUNCTION("""COMPUTED_VALUE"""),38967.645833333336)</f>
        <v>38967.64583</v>
      </c>
      <c r="I420" s="25">
        <f>IFERROR(__xludf.DUMMYFUNCTION("""COMPUTED_VALUE"""),245.08)</f>
        <v>245.08</v>
      </c>
      <c r="J420" s="25">
        <f>IFERROR(__xludf.DUMMYFUNCTION("""COMPUTED_VALUE"""),248.75)</f>
        <v>248.75</v>
      </c>
      <c r="K420" s="25">
        <f>IFERROR(__xludf.DUMMYFUNCTION("""COMPUTED_VALUE"""),245.08)</f>
        <v>245.08</v>
      </c>
      <c r="L420" s="25">
        <f>IFERROR(__xludf.DUMMYFUNCTION("""COMPUTED_VALUE"""),246.68)</f>
        <v>246.68</v>
      </c>
      <c r="M420" s="25">
        <f>IFERROR(__xludf.DUMMYFUNCTION("""COMPUTED_VALUE"""),395896.0)</f>
        <v>395896</v>
      </c>
    </row>
    <row r="421">
      <c r="A421" s="26">
        <f>IFERROR(__xludf.DUMMYFUNCTION("""COMPUTED_VALUE"""),38968.645833333336)</f>
        <v>38968.64583</v>
      </c>
      <c r="B421" s="9">
        <f>IFERROR(__xludf.DUMMYFUNCTION("""COMPUTED_VALUE"""),225.88)</f>
        <v>225.88</v>
      </c>
      <c r="C421" s="9">
        <f>IFERROR(__xludf.DUMMYFUNCTION("""COMPUTED_VALUE"""),227.38)</f>
        <v>227.38</v>
      </c>
      <c r="D421" s="9">
        <f>IFERROR(__xludf.DUMMYFUNCTION("""COMPUTED_VALUE"""),222.25)</f>
        <v>222.25</v>
      </c>
      <c r="E421" s="9">
        <f>IFERROR(__xludf.DUMMYFUNCTION("""COMPUTED_VALUE"""),223.68)</f>
        <v>223.68</v>
      </c>
      <c r="F421" s="9">
        <f>IFERROR(__xludf.DUMMYFUNCTION("""COMPUTED_VALUE"""),1247960.0)</f>
        <v>1247960</v>
      </c>
      <c r="H421" s="27">
        <f>IFERROR(__xludf.DUMMYFUNCTION("""COMPUTED_VALUE"""),38968.645833333336)</f>
        <v>38968.64583</v>
      </c>
      <c r="I421" s="25">
        <f>IFERROR(__xludf.DUMMYFUNCTION("""COMPUTED_VALUE"""),251.5)</f>
        <v>251.5</v>
      </c>
      <c r="J421" s="25">
        <f>IFERROR(__xludf.DUMMYFUNCTION("""COMPUTED_VALUE"""),251.5)</f>
        <v>251.5</v>
      </c>
      <c r="K421" s="25">
        <f>IFERROR(__xludf.DUMMYFUNCTION("""COMPUTED_VALUE"""),246.25)</f>
        <v>246.25</v>
      </c>
      <c r="L421" s="25">
        <f>IFERROR(__xludf.DUMMYFUNCTION("""COMPUTED_VALUE"""),247.75)</f>
        <v>247.75</v>
      </c>
      <c r="M421" s="25">
        <f>IFERROR(__xludf.DUMMYFUNCTION("""COMPUTED_VALUE"""),392641.0)</f>
        <v>392641</v>
      </c>
    </row>
    <row r="422">
      <c r="A422" s="26">
        <f>IFERROR(__xludf.DUMMYFUNCTION("""COMPUTED_VALUE"""),38971.645833333336)</f>
        <v>38971.64583</v>
      </c>
      <c r="B422" s="9">
        <f>IFERROR(__xludf.DUMMYFUNCTION("""COMPUTED_VALUE"""),225.14)</f>
        <v>225.14</v>
      </c>
      <c r="C422" s="9">
        <f>IFERROR(__xludf.DUMMYFUNCTION("""COMPUTED_VALUE"""),225.14)</f>
        <v>225.14</v>
      </c>
      <c r="D422" s="9">
        <f>IFERROR(__xludf.DUMMYFUNCTION("""COMPUTED_VALUE"""),215.01)</f>
        <v>215.01</v>
      </c>
      <c r="E422" s="9">
        <f>IFERROR(__xludf.DUMMYFUNCTION("""COMPUTED_VALUE"""),216.69)</f>
        <v>216.69</v>
      </c>
      <c r="F422" s="9">
        <f>IFERROR(__xludf.DUMMYFUNCTION("""COMPUTED_VALUE"""),940192.0)</f>
        <v>940192</v>
      </c>
      <c r="H422" s="27">
        <f>IFERROR(__xludf.DUMMYFUNCTION("""COMPUTED_VALUE"""),38971.645833333336)</f>
        <v>38971.64583</v>
      </c>
      <c r="I422" s="25">
        <f>IFERROR(__xludf.DUMMYFUNCTION("""COMPUTED_VALUE"""),249.75)</f>
        <v>249.75</v>
      </c>
      <c r="J422" s="25">
        <f>IFERROR(__xludf.DUMMYFUNCTION("""COMPUTED_VALUE"""),249.75)</f>
        <v>249.75</v>
      </c>
      <c r="K422" s="25">
        <f>IFERROR(__xludf.DUMMYFUNCTION("""COMPUTED_VALUE"""),237.25)</f>
        <v>237.25</v>
      </c>
      <c r="L422" s="25">
        <f>IFERROR(__xludf.DUMMYFUNCTION("""COMPUTED_VALUE"""),238.36)</f>
        <v>238.36</v>
      </c>
      <c r="M422" s="25">
        <f>IFERROR(__xludf.DUMMYFUNCTION("""COMPUTED_VALUE"""),1018370.0)</f>
        <v>1018370</v>
      </c>
    </row>
    <row r="423">
      <c r="A423" s="26">
        <f>IFERROR(__xludf.DUMMYFUNCTION("""COMPUTED_VALUE"""),38972.645833333336)</f>
        <v>38972.64583</v>
      </c>
      <c r="B423" s="9">
        <f>IFERROR(__xludf.DUMMYFUNCTION("""COMPUTED_VALUE"""),217.5)</f>
        <v>217.5</v>
      </c>
      <c r="C423" s="9">
        <f>IFERROR(__xludf.DUMMYFUNCTION("""COMPUTED_VALUE"""),222.5)</f>
        <v>222.5</v>
      </c>
      <c r="D423" s="9">
        <f>IFERROR(__xludf.DUMMYFUNCTION("""COMPUTED_VALUE"""),215.14)</f>
        <v>215.14</v>
      </c>
      <c r="E423" s="9">
        <f>IFERROR(__xludf.DUMMYFUNCTION("""COMPUTED_VALUE"""),221.44)</f>
        <v>221.44</v>
      </c>
      <c r="F423" s="9">
        <f>IFERROR(__xludf.DUMMYFUNCTION("""COMPUTED_VALUE"""),1016220.0)</f>
        <v>1016220</v>
      </c>
      <c r="H423" s="27">
        <f>IFERROR(__xludf.DUMMYFUNCTION("""COMPUTED_VALUE"""),38972.645833333336)</f>
        <v>38972.64583</v>
      </c>
      <c r="I423" s="25">
        <f>IFERROR(__xludf.DUMMYFUNCTION("""COMPUTED_VALUE"""),238.75)</f>
        <v>238.75</v>
      </c>
      <c r="J423" s="25">
        <f>IFERROR(__xludf.DUMMYFUNCTION("""COMPUTED_VALUE"""),245.0)</f>
        <v>245</v>
      </c>
      <c r="K423" s="25">
        <f>IFERROR(__xludf.DUMMYFUNCTION("""COMPUTED_VALUE"""),238.0)</f>
        <v>238</v>
      </c>
      <c r="L423" s="25">
        <f>IFERROR(__xludf.DUMMYFUNCTION("""COMPUTED_VALUE"""),244.48)</f>
        <v>244.48</v>
      </c>
      <c r="M423" s="25">
        <f>IFERROR(__xludf.DUMMYFUNCTION("""COMPUTED_VALUE"""),458814.0)</f>
        <v>458814</v>
      </c>
    </row>
    <row r="424">
      <c r="A424" s="26">
        <f>IFERROR(__xludf.DUMMYFUNCTION("""COMPUTED_VALUE"""),38973.645833333336)</f>
        <v>38973.64583</v>
      </c>
      <c r="B424" s="9">
        <f>IFERROR(__xludf.DUMMYFUNCTION("""COMPUTED_VALUE"""),223.75)</f>
        <v>223.75</v>
      </c>
      <c r="C424" s="9">
        <f>IFERROR(__xludf.DUMMYFUNCTION("""COMPUTED_VALUE"""),226.88)</f>
        <v>226.88</v>
      </c>
      <c r="D424" s="9">
        <f>IFERROR(__xludf.DUMMYFUNCTION("""COMPUTED_VALUE"""),223.75)</f>
        <v>223.75</v>
      </c>
      <c r="E424" s="9">
        <f>IFERROR(__xludf.DUMMYFUNCTION("""COMPUTED_VALUE"""),226.18)</f>
        <v>226.18</v>
      </c>
      <c r="F424" s="9">
        <f>IFERROR(__xludf.DUMMYFUNCTION("""COMPUTED_VALUE"""),1144267.0)</f>
        <v>1144267</v>
      </c>
      <c r="H424" s="27">
        <f>IFERROR(__xludf.DUMMYFUNCTION("""COMPUTED_VALUE"""),38973.645833333336)</f>
        <v>38973.64583</v>
      </c>
      <c r="I424" s="25">
        <f>IFERROR(__xludf.DUMMYFUNCTION("""COMPUTED_VALUE"""),245.75)</f>
        <v>245.75</v>
      </c>
      <c r="J424" s="25">
        <f>IFERROR(__xludf.DUMMYFUNCTION("""COMPUTED_VALUE"""),252.0)</f>
        <v>252</v>
      </c>
      <c r="K424" s="25">
        <f>IFERROR(__xludf.DUMMYFUNCTION("""COMPUTED_VALUE"""),245.25)</f>
        <v>245.25</v>
      </c>
      <c r="L424" s="25">
        <f>IFERROR(__xludf.DUMMYFUNCTION("""COMPUTED_VALUE"""),249.99)</f>
        <v>249.99</v>
      </c>
      <c r="M424" s="25">
        <f>IFERROR(__xludf.DUMMYFUNCTION("""COMPUTED_VALUE"""),576908.0)</f>
        <v>576908</v>
      </c>
    </row>
    <row r="425">
      <c r="A425" s="26">
        <f>IFERROR(__xludf.DUMMYFUNCTION("""COMPUTED_VALUE"""),38974.645833333336)</f>
        <v>38974.64583</v>
      </c>
      <c r="B425" s="9">
        <f>IFERROR(__xludf.DUMMYFUNCTION("""COMPUTED_VALUE"""),226.92)</f>
        <v>226.92</v>
      </c>
      <c r="C425" s="9">
        <f>IFERROR(__xludf.DUMMYFUNCTION("""COMPUTED_VALUE"""),230.13)</f>
        <v>230.13</v>
      </c>
      <c r="D425" s="9">
        <f>IFERROR(__xludf.DUMMYFUNCTION("""COMPUTED_VALUE"""),226.88)</f>
        <v>226.88</v>
      </c>
      <c r="E425" s="9">
        <f>IFERROR(__xludf.DUMMYFUNCTION("""COMPUTED_VALUE"""),228.91)</f>
        <v>228.91</v>
      </c>
      <c r="F425" s="9">
        <f>IFERROR(__xludf.DUMMYFUNCTION("""COMPUTED_VALUE"""),1328208.0)</f>
        <v>1328208</v>
      </c>
      <c r="H425" s="27">
        <f>IFERROR(__xludf.DUMMYFUNCTION("""COMPUTED_VALUE"""),38974.645833333336)</f>
        <v>38974.64583</v>
      </c>
      <c r="I425" s="25">
        <f>IFERROR(__xludf.DUMMYFUNCTION("""COMPUTED_VALUE"""),252.25)</f>
        <v>252.25</v>
      </c>
      <c r="J425" s="25">
        <f>IFERROR(__xludf.DUMMYFUNCTION("""COMPUTED_VALUE"""),254.0)</f>
        <v>254</v>
      </c>
      <c r="K425" s="25">
        <f>IFERROR(__xludf.DUMMYFUNCTION("""COMPUTED_VALUE"""),250.48)</f>
        <v>250.48</v>
      </c>
      <c r="L425" s="25">
        <f>IFERROR(__xludf.DUMMYFUNCTION("""COMPUTED_VALUE"""),253.35)</f>
        <v>253.35</v>
      </c>
      <c r="M425" s="25">
        <f>IFERROR(__xludf.DUMMYFUNCTION("""COMPUTED_VALUE"""),597182.0)</f>
        <v>597182</v>
      </c>
    </row>
    <row r="426">
      <c r="A426" s="26">
        <f>IFERROR(__xludf.DUMMYFUNCTION("""COMPUTED_VALUE"""),38975.645833333336)</f>
        <v>38975.64583</v>
      </c>
      <c r="B426" s="9">
        <f>IFERROR(__xludf.DUMMYFUNCTION("""COMPUTED_VALUE"""),229.38)</f>
        <v>229.38</v>
      </c>
      <c r="C426" s="9">
        <f>IFERROR(__xludf.DUMMYFUNCTION("""COMPUTED_VALUE"""),229.38)</f>
        <v>229.38</v>
      </c>
      <c r="D426" s="9">
        <f>IFERROR(__xludf.DUMMYFUNCTION("""COMPUTED_VALUE"""),223.63)</f>
        <v>223.63</v>
      </c>
      <c r="E426" s="9">
        <f>IFERROR(__xludf.DUMMYFUNCTION("""COMPUTED_VALUE"""),226.33)</f>
        <v>226.33</v>
      </c>
      <c r="F426" s="9">
        <f>IFERROR(__xludf.DUMMYFUNCTION("""COMPUTED_VALUE"""),985739.0)</f>
        <v>985739</v>
      </c>
      <c r="H426" s="27">
        <f>IFERROR(__xludf.DUMMYFUNCTION("""COMPUTED_VALUE"""),38975.645833333336)</f>
        <v>38975.64583</v>
      </c>
      <c r="I426" s="25">
        <f>IFERROR(__xludf.DUMMYFUNCTION("""COMPUTED_VALUE"""),253.5)</f>
        <v>253.5</v>
      </c>
      <c r="J426" s="25">
        <f>IFERROR(__xludf.DUMMYFUNCTION("""COMPUTED_VALUE"""),253.5)</f>
        <v>253.5</v>
      </c>
      <c r="K426" s="25">
        <f>IFERROR(__xludf.DUMMYFUNCTION("""COMPUTED_VALUE"""),249.18)</f>
        <v>249.18</v>
      </c>
      <c r="L426" s="25">
        <f>IFERROR(__xludf.DUMMYFUNCTION("""COMPUTED_VALUE"""),250.68)</f>
        <v>250.68</v>
      </c>
      <c r="M426" s="25">
        <f>IFERROR(__xludf.DUMMYFUNCTION("""COMPUTED_VALUE"""),589925.0)</f>
        <v>589925</v>
      </c>
    </row>
    <row r="427">
      <c r="A427" s="26">
        <f>IFERROR(__xludf.DUMMYFUNCTION("""COMPUTED_VALUE"""),38978.645833333336)</f>
        <v>38978.64583</v>
      </c>
      <c r="B427" s="9">
        <f>IFERROR(__xludf.DUMMYFUNCTION("""COMPUTED_VALUE"""),228.13)</f>
        <v>228.13</v>
      </c>
      <c r="C427" s="9">
        <f>IFERROR(__xludf.DUMMYFUNCTION("""COMPUTED_VALUE"""),228.13)</f>
        <v>228.13</v>
      </c>
      <c r="D427" s="9">
        <f>IFERROR(__xludf.DUMMYFUNCTION("""COMPUTED_VALUE"""),226.31)</f>
        <v>226.31</v>
      </c>
      <c r="E427" s="9">
        <f>IFERROR(__xludf.DUMMYFUNCTION("""COMPUTED_VALUE"""),227.17)</f>
        <v>227.17</v>
      </c>
      <c r="F427" s="9">
        <f>IFERROR(__xludf.DUMMYFUNCTION("""COMPUTED_VALUE"""),718067.0)</f>
        <v>718067</v>
      </c>
      <c r="H427" s="27">
        <f>IFERROR(__xludf.DUMMYFUNCTION("""COMPUTED_VALUE"""),38978.645833333336)</f>
        <v>38978.64583</v>
      </c>
      <c r="I427" s="25">
        <f>IFERROR(__xludf.DUMMYFUNCTION("""COMPUTED_VALUE"""),251.75)</f>
        <v>251.75</v>
      </c>
      <c r="J427" s="25">
        <f>IFERROR(__xludf.DUMMYFUNCTION("""COMPUTED_VALUE"""),252.75)</f>
        <v>252.75</v>
      </c>
      <c r="K427" s="25">
        <f>IFERROR(__xludf.DUMMYFUNCTION("""COMPUTED_VALUE"""),248.03)</f>
        <v>248.03</v>
      </c>
      <c r="L427" s="25">
        <f>IFERROR(__xludf.DUMMYFUNCTION("""COMPUTED_VALUE"""),249.04)</f>
        <v>249.04</v>
      </c>
      <c r="M427" s="25">
        <f>IFERROR(__xludf.DUMMYFUNCTION("""COMPUTED_VALUE"""),347597.0)</f>
        <v>347597</v>
      </c>
    </row>
    <row r="428">
      <c r="A428" s="26">
        <f>IFERROR(__xludf.DUMMYFUNCTION("""COMPUTED_VALUE"""),38979.645833333336)</f>
        <v>38979.64583</v>
      </c>
      <c r="B428" s="9">
        <f>IFERROR(__xludf.DUMMYFUNCTION("""COMPUTED_VALUE"""),227.25)</f>
        <v>227.25</v>
      </c>
      <c r="C428" s="9">
        <f>IFERROR(__xludf.DUMMYFUNCTION("""COMPUTED_VALUE"""),229.34)</f>
        <v>229.34</v>
      </c>
      <c r="D428" s="9">
        <f>IFERROR(__xludf.DUMMYFUNCTION("""COMPUTED_VALUE"""),225.25)</f>
        <v>225.25</v>
      </c>
      <c r="E428" s="9">
        <f>IFERROR(__xludf.DUMMYFUNCTION("""COMPUTED_VALUE"""),227.05)</f>
        <v>227.05</v>
      </c>
      <c r="F428" s="9">
        <f>IFERROR(__xludf.DUMMYFUNCTION("""COMPUTED_VALUE"""),1213027.0)</f>
        <v>1213027</v>
      </c>
      <c r="H428" s="27">
        <f>IFERROR(__xludf.DUMMYFUNCTION("""COMPUTED_VALUE"""),38979.645833333336)</f>
        <v>38979.64583</v>
      </c>
      <c r="I428" s="25">
        <f>IFERROR(__xludf.DUMMYFUNCTION("""COMPUTED_VALUE"""),249.25)</f>
        <v>249.25</v>
      </c>
      <c r="J428" s="25">
        <f>IFERROR(__xludf.DUMMYFUNCTION("""COMPUTED_VALUE"""),255.0)</f>
        <v>255</v>
      </c>
      <c r="K428" s="25">
        <f>IFERROR(__xludf.DUMMYFUNCTION("""COMPUTED_VALUE"""),247.6)</f>
        <v>247.6</v>
      </c>
      <c r="L428" s="25">
        <f>IFERROR(__xludf.DUMMYFUNCTION("""COMPUTED_VALUE"""),252.51)</f>
        <v>252.51</v>
      </c>
      <c r="M428" s="25">
        <f>IFERROR(__xludf.DUMMYFUNCTION("""COMPUTED_VALUE"""),993486.0)</f>
        <v>993486</v>
      </c>
    </row>
    <row r="429">
      <c r="A429" s="26">
        <f>IFERROR(__xludf.DUMMYFUNCTION("""COMPUTED_VALUE"""),38980.645833333336)</f>
        <v>38980.64583</v>
      </c>
      <c r="B429" s="9">
        <f>IFERROR(__xludf.DUMMYFUNCTION("""COMPUTED_VALUE"""),225.0)</f>
        <v>225</v>
      </c>
      <c r="C429" s="9">
        <f>IFERROR(__xludf.DUMMYFUNCTION("""COMPUTED_VALUE"""),229.88)</f>
        <v>229.88</v>
      </c>
      <c r="D429" s="9">
        <f>IFERROR(__xludf.DUMMYFUNCTION("""COMPUTED_VALUE"""),224.54)</f>
        <v>224.54</v>
      </c>
      <c r="E429" s="9">
        <f>IFERROR(__xludf.DUMMYFUNCTION("""COMPUTED_VALUE"""),228.81)</f>
        <v>228.81</v>
      </c>
      <c r="F429" s="9">
        <f>IFERROR(__xludf.DUMMYFUNCTION("""COMPUTED_VALUE"""),897445.0)</f>
        <v>897445</v>
      </c>
      <c r="H429" s="27">
        <f>IFERROR(__xludf.DUMMYFUNCTION("""COMPUTED_VALUE"""),38980.645833333336)</f>
        <v>38980.64583</v>
      </c>
      <c r="I429" s="25">
        <f>IFERROR(__xludf.DUMMYFUNCTION("""COMPUTED_VALUE"""),252.75)</f>
        <v>252.75</v>
      </c>
      <c r="J429" s="25">
        <f>IFERROR(__xludf.DUMMYFUNCTION("""COMPUTED_VALUE"""),258.5)</f>
        <v>258.5</v>
      </c>
      <c r="K429" s="25">
        <f>IFERROR(__xludf.DUMMYFUNCTION("""COMPUTED_VALUE"""),248.53)</f>
        <v>248.53</v>
      </c>
      <c r="L429" s="25">
        <f>IFERROR(__xludf.DUMMYFUNCTION("""COMPUTED_VALUE"""),257.51)</f>
        <v>257.51</v>
      </c>
      <c r="M429" s="25">
        <f>IFERROR(__xludf.DUMMYFUNCTION("""COMPUTED_VALUE"""),673974.0)</f>
        <v>673974</v>
      </c>
    </row>
    <row r="430">
      <c r="A430" s="26">
        <f>IFERROR(__xludf.DUMMYFUNCTION("""COMPUTED_VALUE"""),38981.645833333336)</f>
        <v>38981.64583</v>
      </c>
      <c r="B430" s="9">
        <f>IFERROR(__xludf.DUMMYFUNCTION("""COMPUTED_VALUE"""),230.0)</f>
        <v>230</v>
      </c>
      <c r="C430" s="9">
        <f>IFERROR(__xludf.DUMMYFUNCTION("""COMPUTED_VALUE"""),231.25)</f>
        <v>231.25</v>
      </c>
      <c r="D430" s="9">
        <f>IFERROR(__xludf.DUMMYFUNCTION("""COMPUTED_VALUE"""),228.46)</f>
        <v>228.46</v>
      </c>
      <c r="E430" s="9">
        <f>IFERROR(__xludf.DUMMYFUNCTION("""COMPUTED_VALUE"""),229.76)</f>
        <v>229.76</v>
      </c>
      <c r="F430" s="9">
        <f>IFERROR(__xludf.DUMMYFUNCTION("""COMPUTED_VALUE"""),957949.0)</f>
        <v>957949</v>
      </c>
      <c r="H430" s="27">
        <f>IFERROR(__xludf.DUMMYFUNCTION("""COMPUTED_VALUE"""),38981.645833333336)</f>
        <v>38981.64583</v>
      </c>
      <c r="I430" s="25">
        <f>IFERROR(__xludf.DUMMYFUNCTION("""COMPUTED_VALUE"""),258.0)</f>
        <v>258</v>
      </c>
      <c r="J430" s="25">
        <f>IFERROR(__xludf.DUMMYFUNCTION("""COMPUTED_VALUE"""),264.48)</f>
        <v>264.48</v>
      </c>
      <c r="K430" s="25">
        <f>IFERROR(__xludf.DUMMYFUNCTION("""COMPUTED_VALUE"""),254.5)</f>
        <v>254.5</v>
      </c>
      <c r="L430" s="25">
        <f>IFERROR(__xludf.DUMMYFUNCTION("""COMPUTED_VALUE"""),263.25)</f>
        <v>263.25</v>
      </c>
      <c r="M430" s="25">
        <f>IFERROR(__xludf.DUMMYFUNCTION("""COMPUTED_VALUE"""),1276796.0)</f>
        <v>1276796</v>
      </c>
    </row>
    <row r="431">
      <c r="A431" s="26">
        <f>IFERROR(__xludf.DUMMYFUNCTION("""COMPUTED_VALUE"""),38982.645833333336)</f>
        <v>38982.64583</v>
      </c>
      <c r="B431" s="9">
        <f>IFERROR(__xludf.DUMMYFUNCTION("""COMPUTED_VALUE"""),228.0)</f>
        <v>228</v>
      </c>
      <c r="C431" s="9">
        <f>IFERROR(__xludf.DUMMYFUNCTION("""COMPUTED_VALUE"""),229.75)</f>
        <v>229.75</v>
      </c>
      <c r="D431" s="9">
        <f>IFERROR(__xludf.DUMMYFUNCTION("""COMPUTED_VALUE"""),226.42)</f>
        <v>226.42</v>
      </c>
      <c r="E431" s="9">
        <f>IFERROR(__xludf.DUMMYFUNCTION("""COMPUTED_VALUE"""),228.75)</f>
        <v>228.75</v>
      </c>
      <c r="F431" s="9">
        <f>IFERROR(__xludf.DUMMYFUNCTION("""COMPUTED_VALUE"""),677083.0)</f>
        <v>677083</v>
      </c>
      <c r="H431" s="27">
        <f>IFERROR(__xludf.DUMMYFUNCTION("""COMPUTED_VALUE"""),38982.645833333336)</f>
        <v>38982.64583</v>
      </c>
      <c r="I431" s="25">
        <f>IFERROR(__xludf.DUMMYFUNCTION("""COMPUTED_VALUE"""),261.25)</f>
        <v>261.25</v>
      </c>
      <c r="J431" s="25">
        <f>IFERROR(__xludf.DUMMYFUNCTION("""COMPUTED_VALUE"""),263.46)</f>
        <v>263.46</v>
      </c>
      <c r="K431" s="25">
        <f>IFERROR(__xludf.DUMMYFUNCTION("""COMPUTED_VALUE"""),257.52)</f>
        <v>257.52</v>
      </c>
      <c r="L431" s="25">
        <f>IFERROR(__xludf.DUMMYFUNCTION("""COMPUTED_VALUE"""),259.89)</f>
        <v>259.89</v>
      </c>
      <c r="M431" s="25">
        <f>IFERROR(__xludf.DUMMYFUNCTION("""COMPUTED_VALUE"""),622161.0)</f>
        <v>622161</v>
      </c>
    </row>
    <row r="432">
      <c r="A432" s="26">
        <f>IFERROR(__xludf.DUMMYFUNCTION("""COMPUTED_VALUE"""),38985.645833333336)</f>
        <v>38985.64583</v>
      </c>
      <c r="B432" s="9">
        <f>IFERROR(__xludf.DUMMYFUNCTION("""COMPUTED_VALUE"""),228.63)</f>
        <v>228.63</v>
      </c>
      <c r="C432" s="9">
        <f>IFERROR(__xludf.DUMMYFUNCTION("""COMPUTED_VALUE"""),228.63)</f>
        <v>228.63</v>
      </c>
      <c r="D432" s="9">
        <f>IFERROR(__xludf.DUMMYFUNCTION("""COMPUTED_VALUE"""),226.5)</f>
        <v>226.5</v>
      </c>
      <c r="E432" s="9">
        <f>IFERROR(__xludf.DUMMYFUNCTION("""COMPUTED_VALUE"""),227.07)</f>
        <v>227.07</v>
      </c>
      <c r="F432" s="9">
        <f>IFERROR(__xludf.DUMMYFUNCTION("""COMPUTED_VALUE"""),393039.0)</f>
        <v>393039</v>
      </c>
      <c r="H432" s="27">
        <f>IFERROR(__xludf.DUMMYFUNCTION("""COMPUTED_VALUE"""),38985.645833333336)</f>
        <v>38985.64583</v>
      </c>
      <c r="I432" s="25">
        <f>IFERROR(__xludf.DUMMYFUNCTION("""COMPUTED_VALUE"""),261.75)</f>
        <v>261.75</v>
      </c>
      <c r="J432" s="25">
        <f>IFERROR(__xludf.DUMMYFUNCTION("""COMPUTED_VALUE"""),262.5)</f>
        <v>262.5</v>
      </c>
      <c r="K432" s="25">
        <f>IFERROR(__xludf.DUMMYFUNCTION("""COMPUTED_VALUE"""),255.56)</f>
        <v>255.56</v>
      </c>
      <c r="L432" s="25">
        <f>IFERROR(__xludf.DUMMYFUNCTION("""COMPUTED_VALUE"""),256.4)</f>
        <v>256.4</v>
      </c>
      <c r="M432" s="25">
        <f>IFERROR(__xludf.DUMMYFUNCTION("""COMPUTED_VALUE"""),337395.0)</f>
        <v>337395</v>
      </c>
    </row>
    <row r="433">
      <c r="A433" s="26">
        <f>IFERROR(__xludf.DUMMYFUNCTION("""COMPUTED_VALUE"""),38986.645833333336)</f>
        <v>38986.64583</v>
      </c>
      <c r="B433" s="9">
        <f>IFERROR(__xludf.DUMMYFUNCTION("""COMPUTED_VALUE"""),229.38)</f>
        <v>229.38</v>
      </c>
      <c r="C433" s="9">
        <f>IFERROR(__xludf.DUMMYFUNCTION("""COMPUTED_VALUE"""),230.83)</f>
        <v>230.83</v>
      </c>
      <c r="D433" s="9">
        <f>IFERROR(__xludf.DUMMYFUNCTION("""COMPUTED_VALUE"""),227.63)</f>
        <v>227.63</v>
      </c>
      <c r="E433" s="9">
        <f>IFERROR(__xludf.DUMMYFUNCTION("""COMPUTED_VALUE"""),229.98)</f>
        <v>229.98</v>
      </c>
      <c r="F433" s="9">
        <f>IFERROR(__xludf.DUMMYFUNCTION("""COMPUTED_VALUE"""),745865.0)</f>
        <v>745865</v>
      </c>
      <c r="H433" s="27">
        <f>IFERROR(__xludf.DUMMYFUNCTION("""COMPUTED_VALUE"""),38986.645833333336)</f>
        <v>38986.64583</v>
      </c>
      <c r="I433" s="25">
        <f>IFERROR(__xludf.DUMMYFUNCTION("""COMPUTED_VALUE"""),257.5)</f>
        <v>257.5</v>
      </c>
      <c r="J433" s="25">
        <f>IFERROR(__xludf.DUMMYFUNCTION("""COMPUTED_VALUE"""),262.5)</f>
        <v>262.5</v>
      </c>
      <c r="K433" s="25">
        <f>IFERROR(__xludf.DUMMYFUNCTION("""COMPUTED_VALUE"""),256.23)</f>
        <v>256.23</v>
      </c>
      <c r="L433" s="25">
        <f>IFERROR(__xludf.DUMMYFUNCTION("""COMPUTED_VALUE"""),261.08)</f>
        <v>261.08</v>
      </c>
      <c r="M433" s="25">
        <f>IFERROR(__xludf.DUMMYFUNCTION("""COMPUTED_VALUE"""),929252.0)</f>
        <v>929252</v>
      </c>
    </row>
    <row r="434">
      <c r="A434" s="26">
        <f>IFERROR(__xludf.DUMMYFUNCTION("""COMPUTED_VALUE"""),38987.645833333336)</f>
        <v>38987.64583</v>
      </c>
      <c r="B434" s="9">
        <f>IFERROR(__xludf.DUMMYFUNCTION("""COMPUTED_VALUE"""),230.01)</f>
        <v>230.01</v>
      </c>
      <c r="C434" s="9">
        <f>IFERROR(__xludf.DUMMYFUNCTION("""COMPUTED_VALUE"""),231.49)</f>
        <v>231.49</v>
      </c>
      <c r="D434" s="9">
        <f>IFERROR(__xludf.DUMMYFUNCTION("""COMPUTED_VALUE"""),229.07)</f>
        <v>229.07</v>
      </c>
      <c r="E434" s="9">
        <f>IFERROR(__xludf.DUMMYFUNCTION("""COMPUTED_VALUE"""),229.71)</f>
        <v>229.71</v>
      </c>
      <c r="F434" s="9">
        <f>IFERROR(__xludf.DUMMYFUNCTION("""COMPUTED_VALUE"""),769730.0)</f>
        <v>769730</v>
      </c>
      <c r="H434" s="27">
        <f>IFERROR(__xludf.DUMMYFUNCTION("""COMPUTED_VALUE"""),38987.645833333336)</f>
        <v>38987.64583</v>
      </c>
      <c r="I434" s="25">
        <f>IFERROR(__xludf.DUMMYFUNCTION("""COMPUTED_VALUE"""),262.5)</f>
        <v>262.5</v>
      </c>
      <c r="J434" s="25">
        <f>IFERROR(__xludf.DUMMYFUNCTION("""COMPUTED_VALUE"""),263.75)</f>
        <v>263.75</v>
      </c>
      <c r="K434" s="25">
        <f>IFERROR(__xludf.DUMMYFUNCTION("""COMPUTED_VALUE"""),259.04)</f>
        <v>259.04</v>
      </c>
      <c r="L434" s="25">
        <f>IFERROR(__xludf.DUMMYFUNCTION("""COMPUTED_VALUE"""),260.66)</f>
        <v>260.66</v>
      </c>
      <c r="M434" s="25">
        <f>IFERROR(__xludf.DUMMYFUNCTION("""COMPUTED_VALUE"""),838185.0)</f>
        <v>838185</v>
      </c>
    </row>
    <row r="435">
      <c r="A435" s="26">
        <f>IFERROR(__xludf.DUMMYFUNCTION("""COMPUTED_VALUE"""),38988.645833333336)</f>
        <v>38988.64583</v>
      </c>
      <c r="B435" s="9">
        <f>IFERROR(__xludf.DUMMYFUNCTION("""COMPUTED_VALUE"""),230.0)</f>
        <v>230</v>
      </c>
      <c r="C435" s="9">
        <f>IFERROR(__xludf.DUMMYFUNCTION("""COMPUTED_VALUE"""),234.4)</f>
        <v>234.4</v>
      </c>
      <c r="D435" s="9">
        <f>IFERROR(__xludf.DUMMYFUNCTION("""COMPUTED_VALUE"""),227.75)</f>
        <v>227.75</v>
      </c>
      <c r="E435" s="9">
        <f>IFERROR(__xludf.DUMMYFUNCTION("""COMPUTED_VALUE"""),232.27)</f>
        <v>232.27</v>
      </c>
      <c r="F435" s="9">
        <f>IFERROR(__xludf.DUMMYFUNCTION("""COMPUTED_VALUE"""),1103193.0)</f>
        <v>1103193</v>
      </c>
      <c r="H435" s="27">
        <f>IFERROR(__xludf.DUMMYFUNCTION("""COMPUTED_VALUE"""),38988.645833333336)</f>
        <v>38988.64583</v>
      </c>
      <c r="I435" s="25">
        <f>IFERROR(__xludf.DUMMYFUNCTION("""COMPUTED_VALUE"""),261.26)</f>
        <v>261.26</v>
      </c>
      <c r="J435" s="25">
        <f>IFERROR(__xludf.DUMMYFUNCTION("""COMPUTED_VALUE"""),262.25)</f>
        <v>262.25</v>
      </c>
      <c r="K435" s="25">
        <f>IFERROR(__xludf.DUMMYFUNCTION("""COMPUTED_VALUE"""),253.25)</f>
        <v>253.25</v>
      </c>
      <c r="L435" s="25">
        <f>IFERROR(__xludf.DUMMYFUNCTION("""COMPUTED_VALUE"""),255.11)</f>
        <v>255.11</v>
      </c>
      <c r="M435" s="25">
        <f>IFERROR(__xludf.DUMMYFUNCTION("""COMPUTED_VALUE"""),1530393.0)</f>
        <v>1530393</v>
      </c>
    </row>
    <row r="436">
      <c r="A436" s="26">
        <f>IFERROR(__xludf.DUMMYFUNCTION("""COMPUTED_VALUE"""),38989.645833333336)</f>
        <v>38989.64583</v>
      </c>
      <c r="B436" s="9">
        <f>IFERROR(__xludf.DUMMYFUNCTION("""COMPUTED_VALUE"""),234.75)</f>
        <v>234.75</v>
      </c>
      <c r="C436" s="9">
        <f>IFERROR(__xludf.DUMMYFUNCTION("""COMPUTED_VALUE"""),234.75)</f>
        <v>234.75</v>
      </c>
      <c r="D436" s="9">
        <f>IFERROR(__xludf.DUMMYFUNCTION("""COMPUTED_VALUE"""),230.64)</f>
        <v>230.64</v>
      </c>
      <c r="E436" s="9">
        <f>IFERROR(__xludf.DUMMYFUNCTION("""COMPUTED_VALUE"""),231.21)</f>
        <v>231.21</v>
      </c>
      <c r="F436" s="9">
        <f>IFERROR(__xludf.DUMMYFUNCTION("""COMPUTED_VALUE"""),497551.0)</f>
        <v>497551</v>
      </c>
      <c r="H436" s="27">
        <f>IFERROR(__xludf.DUMMYFUNCTION("""COMPUTED_VALUE"""),38989.645833333336)</f>
        <v>38989.64583</v>
      </c>
      <c r="I436" s="25">
        <f>IFERROR(__xludf.DUMMYFUNCTION("""COMPUTED_VALUE"""),255.53)</f>
        <v>255.53</v>
      </c>
      <c r="J436" s="25">
        <f>IFERROR(__xludf.DUMMYFUNCTION("""COMPUTED_VALUE"""),258.77)</f>
        <v>258.77</v>
      </c>
      <c r="K436" s="25">
        <f>IFERROR(__xludf.DUMMYFUNCTION("""COMPUTED_VALUE"""),255.0)</f>
        <v>255</v>
      </c>
      <c r="L436" s="25">
        <f>IFERROR(__xludf.DUMMYFUNCTION("""COMPUTED_VALUE"""),255.51)</f>
        <v>255.51</v>
      </c>
      <c r="M436" s="25">
        <f>IFERROR(__xludf.DUMMYFUNCTION("""COMPUTED_VALUE"""),438201.0)</f>
        <v>438201</v>
      </c>
    </row>
    <row r="437">
      <c r="A437" s="26">
        <f>IFERROR(__xludf.DUMMYFUNCTION("""COMPUTED_VALUE"""),38993.645833333336)</f>
        <v>38993.64583</v>
      </c>
      <c r="B437" s="9">
        <f>IFERROR(__xludf.DUMMYFUNCTION("""COMPUTED_VALUE"""),234.38)</f>
        <v>234.38</v>
      </c>
      <c r="C437" s="9">
        <f>IFERROR(__xludf.DUMMYFUNCTION("""COMPUTED_VALUE"""),234.38)</f>
        <v>234.38</v>
      </c>
      <c r="D437" s="9">
        <f>IFERROR(__xludf.DUMMYFUNCTION("""COMPUTED_VALUE"""),226.5)</f>
        <v>226.5</v>
      </c>
      <c r="E437" s="9">
        <f>IFERROR(__xludf.DUMMYFUNCTION("""COMPUTED_VALUE"""),227.28)</f>
        <v>227.28</v>
      </c>
      <c r="F437" s="9">
        <f>IFERROR(__xludf.DUMMYFUNCTION("""COMPUTED_VALUE"""),1106239.0)</f>
        <v>1106239</v>
      </c>
      <c r="H437" s="27">
        <f>IFERROR(__xludf.DUMMYFUNCTION("""COMPUTED_VALUE"""),38993.645833333336)</f>
        <v>38993.64583</v>
      </c>
      <c r="I437" s="25">
        <f>IFERROR(__xludf.DUMMYFUNCTION("""COMPUTED_VALUE"""),258.75)</f>
        <v>258.75</v>
      </c>
      <c r="J437" s="25">
        <f>IFERROR(__xludf.DUMMYFUNCTION("""COMPUTED_VALUE"""),258.75)</f>
        <v>258.75</v>
      </c>
      <c r="K437" s="25">
        <f>IFERROR(__xludf.DUMMYFUNCTION("""COMPUTED_VALUE"""),252.25)</f>
        <v>252.25</v>
      </c>
      <c r="L437" s="25">
        <f>IFERROR(__xludf.DUMMYFUNCTION("""COMPUTED_VALUE"""),253.58)</f>
        <v>253.58</v>
      </c>
      <c r="M437" s="25">
        <f>IFERROR(__xludf.DUMMYFUNCTION("""COMPUTED_VALUE"""),408178.0)</f>
        <v>408178</v>
      </c>
    </row>
    <row r="438">
      <c r="A438" s="26">
        <f>IFERROR(__xludf.DUMMYFUNCTION("""COMPUTED_VALUE"""),38994.645833333336)</f>
        <v>38994.64583</v>
      </c>
      <c r="B438" s="9">
        <f>IFERROR(__xludf.DUMMYFUNCTION("""COMPUTED_VALUE"""),229.11)</f>
        <v>229.11</v>
      </c>
      <c r="C438" s="9">
        <f>IFERROR(__xludf.DUMMYFUNCTION("""COMPUTED_VALUE"""),230.0)</f>
        <v>230</v>
      </c>
      <c r="D438" s="9">
        <f>IFERROR(__xludf.DUMMYFUNCTION("""COMPUTED_VALUE"""),224.38)</f>
        <v>224.38</v>
      </c>
      <c r="E438" s="9">
        <f>IFERROR(__xludf.DUMMYFUNCTION("""COMPUTED_VALUE"""),224.99)</f>
        <v>224.99</v>
      </c>
      <c r="F438" s="9">
        <f>IFERROR(__xludf.DUMMYFUNCTION("""COMPUTED_VALUE"""),1649642.0)</f>
        <v>1649642</v>
      </c>
      <c r="H438" s="27">
        <f>IFERROR(__xludf.DUMMYFUNCTION("""COMPUTED_VALUE"""),38994.645833333336)</f>
        <v>38994.64583</v>
      </c>
      <c r="I438" s="25">
        <f>IFERROR(__xludf.DUMMYFUNCTION("""COMPUTED_VALUE"""),254.0)</f>
        <v>254</v>
      </c>
      <c r="J438" s="25">
        <f>IFERROR(__xludf.DUMMYFUNCTION("""COMPUTED_VALUE"""),254.0)</f>
        <v>254</v>
      </c>
      <c r="K438" s="25">
        <f>IFERROR(__xludf.DUMMYFUNCTION("""COMPUTED_VALUE"""),245.84)</f>
        <v>245.84</v>
      </c>
      <c r="L438" s="25">
        <f>IFERROR(__xludf.DUMMYFUNCTION("""COMPUTED_VALUE"""),246.85)</f>
        <v>246.85</v>
      </c>
      <c r="M438" s="25">
        <f>IFERROR(__xludf.DUMMYFUNCTION("""COMPUTED_VALUE"""),1736907.0)</f>
        <v>1736907</v>
      </c>
    </row>
    <row r="439">
      <c r="A439" s="26">
        <f>IFERROR(__xludf.DUMMYFUNCTION("""COMPUTED_VALUE"""),38995.645833333336)</f>
        <v>38995.64583</v>
      </c>
      <c r="B439" s="9">
        <f>IFERROR(__xludf.DUMMYFUNCTION("""COMPUTED_VALUE"""),228.0)</f>
        <v>228</v>
      </c>
      <c r="C439" s="9">
        <f>IFERROR(__xludf.DUMMYFUNCTION("""COMPUTED_VALUE"""),233.75)</f>
        <v>233.75</v>
      </c>
      <c r="D439" s="9">
        <f>IFERROR(__xludf.DUMMYFUNCTION("""COMPUTED_VALUE"""),226.88)</f>
        <v>226.88</v>
      </c>
      <c r="E439" s="9">
        <f>IFERROR(__xludf.DUMMYFUNCTION("""COMPUTED_VALUE"""),233.15)</f>
        <v>233.15</v>
      </c>
      <c r="F439" s="9">
        <f>IFERROR(__xludf.DUMMYFUNCTION("""COMPUTED_VALUE"""),1223635.0)</f>
        <v>1223635</v>
      </c>
      <c r="H439" s="27">
        <f>IFERROR(__xludf.DUMMYFUNCTION("""COMPUTED_VALUE"""),38995.645833333336)</f>
        <v>38995.64583</v>
      </c>
      <c r="I439" s="25">
        <f>IFERROR(__xludf.DUMMYFUNCTION("""COMPUTED_VALUE"""),249.5)</f>
        <v>249.5</v>
      </c>
      <c r="J439" s="25">
        <f>IFERROR(__xludf.DUMMYFUNCTION("""COMPUTED_VALUE"""),252.25)</f>
        <v>252.25</v>
      </c>
      <c r="K439" s="25">
        <f>IFERROR(__xludf.DUMMYFUNCTION("""COMPUTED_VALUE"""),248.25)</f>
        <v>248.25</v>
      </c>
      <c r="L439" s="25">
        <f>IFERROR(__xludf.DUMMYFUNCTION("""COMPUTED_VALUE"""),249.94)</f>
        <v>249.94</v>
      </c>
      <c r="M439" s="25">
        <f>IFERROR(__xludf.DUMMYFUNCTION("""COMPUTED_VALUE"""),1462350.0)</f>
        <v>1462350</v>
      </c>
    </row>
    <row r="440">
      <c r="A440" s="26">
        <f>IFERROR(__xludf.DUMMYFUNCTION("""COMPUTED_VALUE"""),38996.645833333336)</f>
        <v>38996.64583</v>
      </c>
      <c r="B440" s="9">
        <f>IFERROR(__xludf.DUMMYFUNCTION("""COMPUTED_VALUE"""),233.13)</f>
        <v>233.13</v>
      </c>
      <c r="C440" s="9">
        <f>IFERROR(__xludf.DUMMYFUNCTION("""COMPUTED_VALUE"""),234.96)</f>
        <v>234.96</v>
      </c>
      <c r="D440" s="9">
        <f>IFERROR(__xludf.DUMMYFUNCTION("""COMPUTED_VALUE"""),230.67)</f>
        <v>230.67</v>
      </c>
      <c r="E440" s="9">
        <f>IFERROR(__xludf.DUMMYFUNCTION("""COMPUTED_VALUE"""),234.19)</f>
        <v>234.19</v>
      </c>
      <c r="F440" s="9">
        <f>IFERROR(__xludf.DUMMYFUNCTION("""COMPUTED_VALUE"""),844377.0)</f>
        <v>844377</v>
      </c>
      <c r="H440" s="27">
        <f>IFERROR(__xludf.DUMMYFUNCTION("""COMPUTED_VALUE"""),38996.645833333336)</f>
        <v>38996.64583</v>
      </c>
      <c r="I440" s="25">
        <f>IFERROR(__xludf.DUMMYFUNCTION("""COMPUTED_VALUE"""),250.25)</f>
        <v>250.25</v>
      </c>
      <c r="J440" s="25">
        <f>IFERROR(__xludf.DUMMYFUNCTION("""COMPUTED_VALUE"""),251.75)</f>
        <v>251.75</v>
      </c>
      <c r="K440" s="25">
        <f>IFERROR(__xludf.DUMMYFUNCTION("""COMPUTED_VALUE"""),247.0)</f>
        <v>247</v>
      </c>
      <c r="L440" s="25">
        <f>IFERROR(__xludf.DUMMYFUNCTION("""COMPUTED_VALUE"""),248.55)</f>
        <v>248.55</v>
      </c>
      <c r="M440" s="25">
        <f>IFERROR(__xludf.DUMMYFUNCTION("""COMPUTED_VALUE"""),691736.0)</f>
        <v>691736</v>
      </c>
    </row>
    <row r="441">
      <c r="A441" s="26">
        <f>IFERROR(__xludf.DUMMYFUNCTION("""COMPUTED_VALUE"""),38999.645833333336)</f>
        <v>38999.64583</v>
      </c>
      <c r="B441" s="9">
        <f>IFERROR(__xludf.DUMMYFUNCTION("""COMPUTED_VALUE"""),233.13)</f>
        <v>233.13</v>
      </c>
      <c r="C441" s="9">
        <f>IFERROR(__xludf.DUMMYFUNCTION("""COMPUTED_VALUE"""),239.99)</f>
        <v>239.99</v>
      </c>
      <c r="D441" s="9">
        <f>IFERROR(__xludf.DUMMYFUNCTION("""COMPUTED_VALUE"""),231.31)</f>
        <v>231.31</v>
      </c>
      <c r="E441" s="9">
        <f>IFERROR(__xludf.DUMMYFUNCTION("""COMPUTED_VALUE"""),237.02)</f>
        <v>237.02</v>
      </c>
      <c r="F441" s="9">
        <f>IFERROR(__xludf.DUMMYFUNCTION("""COMPUTED_VALUE"""),1344539.0)</f>
        <v>1344539</v>
      </c>
      <c r="H441" s="27">
        <f>IFERROR(__xludf.DUMMYFUNCTION("""COMPUTED_VALUE"""),38999.645833333336)</f>
        <v>38999.64583</v>
      </c>
      <c r="I441" s="25">
        <f>IFERROR(__xludf.DUMMYFUNCTION("""COMPUTED_VALUE"""),246.25)</f>
        <v>246.25</v>
      </c>
      <c r="J441" s="25">
        <f>IFERROR(__xludf.DUMMYFUNCTION("""COMPUTED_VALUE"""),252.25)</f>
        <v>252.25</v>
      </c>
      <c r="K441" s="25">
        <f>IFERROR(__xludf.DUMMYFUNCTION("""COMPUTED_VALUE"""),245.14)</f>
        <v>245.14</v>
      </c>
      <c r="L441" s="25">
        <f>IFERROR(__xludf.DUMMYFUNCTION("""COMPUTED_VALUE"""),250.54)</f>
        <v>250.54</v>
      </c>
      <c r="M441" s="25">
        <f>IFERROR(__xludf.DUMMYFUNCTION("""COMPUTED_VALUE"""),386708.0)</f>
        <v>386708</v>
      </c>
    </row>
    <row r="442">
      <c r="A442" s="26">
        <f>IFERROR(__xludf.DUMMYFUNCTION("""COMPUTED_VALUE"""),39000.645833333336)</f>
        <v>39000.64583</v>
      </c>
      <c r="B442" s="9">
        <f>IFERROR(__xludf.DUMMYFUNCTION("""COMPUTED_VALUE"""),239.1)</f>
        <v>239.1</v>
      </c>
      <c r="C442" s="9">
        <f>IFERROR(__xludf.DUMMYFUNCTION("""COMPUTED_VALUE"""),243.75)</f>
        <v>243.75</v>
      </c>
      <c r="D442" s="9">
        <f>IFERROR(__xludf.DUMMYFUNCTION("""COMPUTED_VALUE"""),237.51)</f>
        <v>237.51</v>
      </c>
      <c r="E442" s="9">
        <f>IFERROR(__xludf.DUMMYFUNCTION("""COMPUTED_VALUE"""),238.28)</f>
        <v>238.28</v>
      </c>
      <c r="F442" s="9">
        <f>IFERROR(__xludf.DUMMYFUNCTION("""COMPUTED_VALUE"""),2101050.0)</f>
        <v>2101050</v>
      </c>
      <c r="H442" s="27">
        <f>IFERROR(__xludf.DUMMYFUNCTION("""COMPUTED_VALUE"""),39000.645833333336)</f>
        <v>39000.64583</v>
      </c>
      <c r="I442" s="25">
        <f>IFERROR(__xludf.DUMMYFUNCTION("""COMPUTED_VALUE"""),250.75)</f>
        <v>250.75</v>
      </c>
      <c r="J442" s="25">
        <f>IFERROR(__xludf.DUMMYFUNCTION("""COMPUTED_VALUE"""),254.45)</f>
        <v>254.45</v>
      </c>
      <c r="K442" s="25">
        <f>IFERROR(__xludf.DUMMYFUNCTION("""COMPUTED_VALUE"""),250.75)</f>
        <v>250.75</v>
      </c>
      <c r="L442" s="25">
        <f>IFERROR(__xludf.DUMMYFUNCTION("""COMPUTED_VALUE"""),252.88)</f>
        <v>252.88</v>
      </c>
      <c r="M442" s="25">
        <f>IFERROR(__xludf.DUMMYFUNCTION("""COMPUTED_VALUE"""),692445.0)</f>
        <v>692445</v>
      </c>
    </row>
    <row r="443">
      <c r="A443" s="26">
        <f>IFERROR(__xludf.DUMMYFUNCTION("""COMPUTED_VALUE"""),39001.645833333336)</f>
        <v>39001.64583</v>
      </c>
      <c r="B443" s="9">
        <f>IFERROR(__xludf.DUMMYFUNCTION("""COMPUTED_VALUE"""),250.0)</f>
        <v>250</v>
      </c>
      <c r="C443" s="9">
        <f>IFERROR(__xludf.DUMMYFUNCTION("""COMPUTED_VALUE"""),255.55)</f>
        <v>255.55</v>
      </c>
      <c r="D443" s="9">
        <f>IFERROR(__xludf.DUMMYFUNCTION("""COMPUTED_VALUE"""),244.38)</f>
        <v>244.38</v>
      </c>
      <c r="E443" s="9">
        <f>IFERROR(__xludf.DUMMYFUNCTION("""COMPUTED_VALUE"""),247.5)</f>
        <v>247.5</v>
      </c>
      <c r="F443" s="9">
        <f>IFERROR(__xludf.DUMMYFUNCTION("""COMPUTED_VALUE"""),3577516.0)</f>
        <v>3577516</v>
      </c>
      <c r="H443" s="27">
        <f>IFERROR(__xludf.DUMMYFUNCTION("""COMPUTED_VALUE"""),39001.645833333336)</f>
        <v>39001.64583</v>
      </c>
      <c r="I443" s="25">
        <f>IFERROR(__xludf.DUMMYFUNCTION("""COMPUTED_VALUE"""),257.5)</f>
        <v>257.5</v>
      </c>
      <c r="J443" s="25">
        <f>IFERROR(__xludf.DUMMYFUNCTION("""COMPUTED_VALUE"""),269.85)</f>
        <v>269.85</v>
      </c>
      <c r="K443" s="25">
        <f>IFERROR(__xludf.DUMMYFUNCTION("""COMPUTED_VALUE"""),257.5)</f>
        <v>257.5</v>
      </c>
      <c r="L443" s="25">
        <f>IFERROR(__xludf.DUMMYFUNCTION("""COMPUTED_VALUE"""),261.19)</f>
        <v>261.19</v>
      </c>
      <c r="M443" s="25">
        <f>IFERROR(__xludf.DUMMYFUNCTION("""COMPUTED_VALUE"""),1693429.0)</f>
        <v>1693429</v>
      </c>
    </row>
    <row r="444">
      <c r="A444" s="26">
        <f>IFERROR(__xludf.DUMMYFUNCTION("""COMPUTED_VALUE"""),39002.645833333336)</f>
        <v>39002.64583</v>
      </c>
      <c r="B444" s="9">
        <f>IFERROR(__xludf.DUMMYFUNCTION("""COMPUTED_VALUE"""),251.94)</f>
        <v>251.94</v>
      </c>
      <c r="C444" s="9">
        <f>IFERROR(__xludf.DUMMYFUNCTION("""COMPUTED_VALUE"""),253.13)</f>
        <v>253.13</v>
      </c>
      <c r="D444" s="9">
        <f>IFERROR(__xludf.DUMMYFUNCTION("""COMPUTED_VALUE"""),246.38)</f>
        <v>246.38</v>
      </c>
      <c r="E444" s="9">
        <f>IFERROR(__xludf.DUMMYFUNCTION("""COMPUTED_VALUE"""),252.51)</f>
        <v>252.51</v>
      </c>
      <c r="F444" s="9">
        <f>IFERROR(__xludf.DUMMYFUNCTION("""COMPUTED_VALUE"""),2313775.0)</f>
        <v>2313775</v>
      </c>
      <c r="H444" s="27">
        <f>IFERROR(__xludf.DUMMYFUNCTION("""COMPUTED_VALUE"""),39002.645833333336)</f>
        <v>39002.64583</v>
      </c>
      <c r="I444" s="25">
        <f>IFERROR(__xludf.DUMMYFUNCTION("""COMPUTED_VALUE"""),262.5)</f>
        <v>262.5</v>
      </c>
      <c r="J444" s="25">
        <f>IFERROR(__xludf.DUMMYFUNCTION("""COMPUTED_VALUE"""),271.25)</f>
        <v>271.25</v>
      </c>
      <c r="K444" s="25">
        <f>IFERROR(__xludf.DUMMYFUNCTION("""COMPUTED_VALUE"""),260.25)</f>
        <v>260.25</v>
      </c>
      <c r="L444" s="25">
        <f>IFERROR(__xludf.DUMMYFUNCTION("""COMPUTED_VALUE"""),270.64)</f>
        <v>270.64</v>
      </c>
      <c r="M444" s="25">
        <f>IFERROR(__xludf.DUMMYFUNCTION("""COMPUTED_VALUE"""),1263212.0)</f>
        <v>1263212</v>
      </c>
    </row>
    <row r="445">
      <c r="A445" s="26">
        <f>IFERROR(__xludf.DUMMYFUNCTION("""COMPUTED_VALUE"""),39003.645833333336)</f>
        <v>39003.64583</v>
      </c>
      <c r="B445" s="9">
        <f>IFERROR(__xludf.DUMMYFUNCTION("""COMPUTED_VALUE"""),253.75)</f>
        <v>253.75</v>
      </c>
      <c r="C445" s="9">
        <f>IFERROR(__xludf.DUMMYFUNCTION("""COMPUTED_VALUE"""),262.49)</f>
        <v>262.49</v>
      </c>
      <c r="D445" s="9">
        <f>IFERROR(__xludf.DUMMYFUNCTION("""COMPUTED_VALUE"""),253.75)</f>
        <v>253.75</v>
      </c>
      <c r="E445" s="9">
        <f>IFERROR(__xludf.DUMMYFUNCTION("""COMPUTED_VALUE"""),261.13)</f>
        <v>261.13</v>
      </c>
      <c r="F445" s="9">
        <f>IFERROR(__xludf.DUMMYFUNCTION("""COMPUTED_VALUE"""),3028448.0)</f>
        <v>3028448</v>
      </c>
      <c r="H445" s="27">
        <f>IFERROR(__xludf.DUMMYFUNCTION("""COMPUTED_VALUE"""),39003.645833333336)</f>
        <v>39003.64583</v>
      </c>
      <c r="I445" s="25">
        <f>IFERROR(__xludf.DUMMYFUNCTION("""COMPUTED_VALUE"""),272.35)</f>
        <v>272.35</v>
      </c>
      <c r="J445" s="25">
        <f>IFERROR(__xludf.DUMMYFUNCTION("""COMPUTED_VALUE"""),280.0)</f>
        <v>280</v>
      </c>
      <c r="K445" s="25">
        <f>IFERROR(__xludf.DUMMYFUNCTION("""COMPUTED_VALUE"""),270.52)</f>
        <v>270.52</v>
      </c>
      <c r="L445" s="25">
        <f>IFERROR(__xludf.DUMMYFUNCTION("""COMPUTED_VALUE"""),275.9)</f>
        <v>275.9</v>
      </c>
      <c r="M445" s="25">
        <f>IFERROR(__xludf.DUMMYFUNCTION("""COMPUTED_VALUE"""),1218528.0)</f>
        <v>1218528</v>
      </c>
    </row>
    <row r="446">
      <c r="A446" s="26">
        <f>IFERROR(__xludf.DUMMYFUNCTION("""COMPUTED_VALUE"""),39006.645833333336)</f>
        <v>39006.64583</v>
      </c>
      <c r="B446" s="9">
        <f>IFERROR(__xludf.DUMMYFUNCTION("""COMPUTED_VALUE"""),262.38)</f>
        <v>262.38</v>
      </c>
      <c r="C446" s="9">
        <f>IFERROR(__xludf.DUMMYFUNCTION("""COMPUTED_VALUE"""),268.23)</f>
        <v>268.23</v>
      </c>
      <c r="D446" s="9">
        <f>IFERROR(__xludf.DUMMYFUNCTION("""COMPUTED_VALUE"""),261.31)</f>
        <v>261.31</v>
      </c>
      <c r="E446" s="9">
        <f>IFERROR(__xludf.DUMMYFUNCTION("""COMPUTED_VALUE"""),262.54)</f>
        <v>262.54</v>
      </c>
      <c r="F446" s="9">
        <f>IFERROR(__xludf.DUMMYFUNCTION("""COMPUTED_VALUE"""),2240813.0)</f>
        <v>2240813</v>
      </c>
      <c r="H446" s="27">
        <f>IFERROR(__xludf.DUMMYFUNCTION("""COMPUTED_VALUE"""),39006.645833333336)</f>
        <v>39006.64583</v>
      </c>
      <c r="I446" s="25">
        <f>IFERROR(__xludf.DUMMYFUNCTION("""COMPUTED_VALUE"""),281.25)</f>
        <v>281.25</v>
      </c>
      <c r="J446" s="25">
        <f>IFERROR(__xludf.DUMMYFUNCTION("""COMPUTED_VALUE"""),287.5)</f>
        <v>287.5</v>
      </c>
      <c r="K446" s="25">
        <f>IFERROR(__xludf.DUMMYFUNCTION("""COMPUTED_VALUE"""),278.75)</f>
        <v>278.75</v>
      </c>
      <c r="L446" s="25">
        <f>IFERROR(__xludf.DUMMYFUNCTION("""COMPUTED_VALUE"""),282.43)</f>
        <v>282.43</v>
      </c>
      <c r="M446" s="25">
        <f>IFERROR(__xludf.DUMMYFUNCTION("""COMPUTED_VALUE"""),2431765.0)</f>
        <v>2431765</v>
      </c>
    </row>
    <row r="447">
      <c r="A447" s="26">
        <f>IFERROR(__xludf.DUMMYFUNCTION("""COMPUTED_VALUE"""),39007.645833333336)</f>
        <v>39007.64583</v>
      </c>
      <c r="B447" s="9">
        <f>IFERROR(__xludf.DUMMYFUNCTION("""COMPUTED_VALUE"""),263.63)</f>
        <v>263.63</v>
      </c>
      <c r="C447" s="9">
        <f>IFERROR(__xludf.DUMMYFUNCTION("""COMPUTED_VALUE"""),265.61)</f>
        <v>265.61</v>
      </c>
      <c r="D447" s="9">
        <f>IFERROR(__xludf.DUMMYFUNCTION("""COMPUTED_VALUE"""),256.52)</f>
        <v>256.52</v>
      </c>
      <c r="E447" s="9">
        <f>IFERROR(__xludf.DUMMYFUNCTION("""COMPUTED_VALUE"""),258.84)</f>
        <v>258.84</v>
      </c>
      <c r="F447" s="9">
        <f>IFERROR(__xludf.DUMMYFUNCTION("""COMPUTED_VALUE"""),1647165.0)</f>
        <v>1647165</v>
      </c>
      <c r="H447" s="27">
        <f>IFERROR(__xludf.DUMMYFUNCTION("""COMPUTED_VALUE"""),39007.645833333336)</f>
        <v>39007.64583</v>
      </c>
      <c r="I447" s="25">
        <f>IFERROR(__xludf.DUMMYFUNCTION("""COMPUTED_VALUE"""),285.5)</f>
        <v>285.5</v>
      </c>
      <c r="J447" s="25">
        <f>IFERROR(__xludf.DUMMYFUNCTION("""COMPUTED_VALUE"""),292.44)</f>
        <v>292.44</v>
      </c>
      <c r="K447" s="25">
        <f>IFERROR(__xludf.DUMMYFUNCTION("""COMPUTED_VALUE"""),277.5)</f>
        <v>277.5</v>
      </c>
      <c r="L447" s="25">
        <f>IFERROR(__xludf.DUMMYFUNCTION("""COMPUTED_VALUE"""),279.23)</f>
        <v>279.23</v>
      </c>
      <c r="M447" s="25">
        <f>IFERROR(__xludf.DUMMYFUNCTION("""COMPUTED_VALUE"""),2187304.0)</f>
        <v>2187304</v>
      </c>
    </row>
    <row r="448">
      <c r="A448" s="26">
        <f>IFERROR(__xludf.DUMMYFUNCTION("""COMPUTED_VALUE"""),39008.645833333336)</f>
        <v>39008.64583</v>
      </c>
      <c r="B448" s="9">
        <f>IFERROR(__xludf.DUMMYFUNCTION("""COMPUTED_VALUE"""),257.52)</f>
        <v>257.52</v>
      </c>
      <c r="C448" s="9">
        <f>IFERROR(__xludf.DUMMYFUNCTION("""COMPUTED_VALUE"""),262.35)</f>
        <v>262.35</v>
      </c>
      <c r="D448" s="9">
        <f>IFERROR(__xludf.DUMMYFUNCTION("""COMPUTED_VALUE"""),257.5)</f>
        <v>257.5</v>
      </c>
      <c r="E448" s="9">
        <f>IFERROR(__xludf.DUMMYFUNCTION("""COMPUTED_VALUE"""),259.16)</f>
        <v>259.16</v>
      </c>
      <c r="F448" s="9">
        <f>IFERROR(__xludf.DUMMYFUNCTION("""COMPUTED_VALUE"""),1569261.0)</f>
        <v>1569261</v>
      </c>
      <c r="H448" s="27">
        <f>IFERROR(__xludf.DUMMYFUNCTION("""COMPUTED_VALUE"""),39008.645833333336)</f>
        <v>39008.64583</v>
      </c>
      <c r="I448" s="25">
        <f>IFERROR(__xludf.DUMMYFUNCTION("""COMPUTED_VALUE"""),277.52)</f>
        <v>277.52</v>
      </c>
      <c r="J448" s="25">
        <f>IFERROR(__xludf.DUMMYFUNCTION("""COMPUTED_VALUE"""),279.25)</f>
        <v>279.25</v>
      </c>
      <c r="K448" s="25">
        <f>IFERROR(__xludf.DUMMYFUNCTION("""COMPUTED_VALUE"""),275.25)</f>
        <v>275.25</v>
      </c>
      <c r="L448" s="25">
        <f>IFERROR(__xludf.DUMMYFUNCTION("""COMPUTED_VALUE"""),276.56)</f>
        <v>276.56</v>
      </c>
      <c r="M448" s="25">
        <f>IFERROR(__xludf.DUMMYFUNCTION("""COMPUTED_VALUE"""),1248771.0)</f>
        <v>1248771</v>
      </c>
    </row>
    <row r="449">
      <c r="A449" s="26">
        <f>IFERROR(__xludf.DUMMYFUNCTION("""COMPUTED_VALUE"""),39009.645833333336)</f>
        <v>39009.64583</v>
      </c>
      <c r="B449" s="9">
        <f>IFERROR(__xludf.DUMMYFUNCTION("""COMPUTED_VALUE"""),258.75)</f>
        <v>258.75</v>
      </c>
      <c r="C449" s="9">
        <f>IFERROR(__xludf.DUMMYFUNCTION("""COMPUTED_VALUE"""),260.46)</f>
        <v>260.46</v>
      </c>
      <c r="D449" s="9">
        <f>IFERROR(__xludf.DUMMYFUNCTION("""COMPUTED_VALUE"""),257.5)</f>
        <v>257.5</v>
      </c>
      <c r="E449" s="9">
        <f>IFERROR(__xludf.DUMMYFUNCTION("""COMPUTED_VALUE"""),258.56)</f>
        <v>258.56</v>
      </c>
      <c r="F449" s="9">
        <f>IFERROR(__xludf.DUMMYFUNCTION("""COMPUTED_VALUE"""),966427.0)</f>
        <v>966427</v>
      </c>
      <c r="H449" s="27">
        <f>IFERROR(__xludf.DUMMYFUNCTION("""COMPUTED_VALUE"""),39009.645833333336)</f>
        <v>39009.64583</v>
      </c>
      <c r="I449" s="25">
        <f>IFERROR(__xludf.DUMMYFUNCTION("""COMPUTED_VALUE"""),276.5)</f>
        <v>276.5</v>
      </c>
      <c r="J449" s="25">
        <f>IFERROR(__xludf.DUMMYFUNCTION("""COMPUTED_VALUE"""),278.19)</f>
        <v>278.19</v>
      </c>
      <c r="K449" s="25">
        <f>IFERROR(__xludf.DUMMYFUNCTION("""COMPUTED_VALUE"""),270.66)</f>
        <v>270.66</v>
      </c>
      <c r="L449" s="25">
        <f>IFERROR(__xludf.DUMMYFUNCTION("""COMPUTED_VALUE"""),273.1)</f>
        <v>273.1</v>
      </c>
      <c r="M449" s="25">
        <f>IFERROR(__xludf.DUMMYFUNCTION("""COMPUTED_VALUE"""),775905.0)</f>
        <v>775905</v>
      </c>
    </row>
    <row r="450">
      <c r="A450" s="26">
        <f>IFERROR(__xludf.DUMMYFUNCTION("""COMPUTED_VALUE"""),39010.645833333336)</f>
        <v>39010.64583</v>
      </c>
      <c r="B450" s="9">
        <f>IFERROR(__xludf.DUMMYFUNCTION("""COMPUTED_VALUE"""),261.25)</f>
        <v>261.25</v>
      </c>
      <c r="C450" s="9">
        <f>IFERROR(__xludf.DUMMYFUNCTION("""COMPUTED_VALUE"""),261.25)</f>
        <v>261.25</v>
      </c>
      <c r="D450" s="9">
        <f>IFERROR(__xludf.DUMMYFUNCTION("""COMPUTED_VALUE"""),256.88)</f>
        <v>256.88</v>
      </c>
      <c r="E450" s="9">
        <f>IFERROR(__xludf.DUMMYFUNCTION("""COMPUTED_VALUE"""),258.01)</f>
        <v>258.01</v>
      </c>
      <c r="F450" s="9">
        <f>IFERROR(__xludf.DUMMYFUNCTION("""COMPUTED_VALUE"""),932700.0)</f>
        <v>932700</v>
      </c>
      <c r="H450" s="27">
        <f>IFERROR(__xludf.DUMMYFUNCTION("""COMPUTED_VALUE"""),39010.645833333336)</f>
        <v>39010.64583</v>
      </c>
      <c r="I450" s="25">
        <f>IFERROR(__xludf.DUMMYFUNCTION("""COMPUTED_VALUE"""),275.0)</f>
        <v>275</v>
      </c>
      <c r="J450" s="25">
        <f>IFERROR(__xludf.DUMMYFUNCTION("""COMPUTED_VALUE"""),275.5)</f>
        <v>275.5</v>
      </c>
      <c r="K450" s="25">
        <f>IFERROR(__xludf.DUMMYFUNCTION("""COMPUTED_VALUE"""),271.52)</f>
        <v>271.52</v>
      </c>
      <c r="L450" s="25">
        <f>IFERROR(__xludf.DUMMYFUNCTION("""COMPUTED_VALUE"""),272.4)</f>
        <v>272.4</v>
      </c>
      <c r="M450" s="25">
        <f>IFERROR(__xludf.DUMMYFUNCTION("""COMPUTED_VALUE"""),532351.0)</f>
        <v>532351</v>
      </c>
    </row>
    <row r="451">
      <c r="A451" s="26">
        <f>IFERROR(__xludf.DUMMYFUNCTION("""COMPUTED_VALUE"""),39013.645833333336)</f>
        <v>39013.64583</v>
      </c>
      <c r="B451" s="9">
        <f>IFERROR(__xludf.DUMMYFUNCTION("""COMPUTED_VALUE"""),262.5)</f>
        <v>262.5</v>
      </c>
      <c r="C451" s="9">
        <f>IFERROR(__xludf.DUMMYFUNCTION("""COMPUTED_VALUE"""),262.5)</f>
        <v>262.5</v>
      </c>
      <c r="D451" s="9">
        <f>IFERROR(__xludf.DUMMYFUNCTION("""COMPUTED_VALUE"""),254.38)</f>
        <v>254.38</v>
      </c>
      <c r="E451" s="9">
        <f>IFERROR(__xludf.DUMMYFUNCTION("""COMPUTED_VALUE"""),255.19)</f>
        <v>255.19</v>
      </c>
      <c r="F451" s="9">
        <f>IFERROR(__xludf.DUMMYFUNCTION("""COMPUTED_VALUE"""),777012.0)</f>
        <v>777012</v>
      </c>
      <c r="H451" s="27">
        <f>IFERROR(__xludf.DUMMYFUNCTION("""COMPUTED_VALUE"""),39013.645833333336)</f>
        <v>39013.64583</v>
      </c>
      <c r="I451" s="25">
        <f>IFERROR(__xludf.DUMMYFUNCTION("""COMPUTED_VALUE"""),273.73)</f>
        <v>273.73</v>
      </c>
      <c r="J451" s="25">
        <f>IFERROR(__xludf.DUMMYFUNCTION("""COMPUTED_VALUE"""),273.73)</f>
        <v>273.73</v>
      </c>
      <c r="K451" s="25">
        <f>IFERROR(__xludf.DUMMYFUNCTION("""COMPUTED_VALUE"""),265.35)</f>
        <v>265.35</v>
      </c>
      <c r="L451" s="25">
        <f>IFERROR(__xludf.DUMMYFUNCTION("""COMPUTED_VALUE"""),270.02)</f>
        <v>270.02</v>
      </c>
      <c r="M451" s="25">
        <f>IFERROR(__xludf.DUMMYFUNCTION("""COMPUTED_VALUE"""),331976.0)</f>
        <v>331976</v>
      </c>
    </row>
    <row r="452">
      <c r="A452" s="26">
        <f>IFERROR(__xludf.DUMMYFUNCTION("""COMPUTED_VALUE"""),39016.645833333336)</f>
        <v>39016.64583</v>
      </c>
      <c r="B452" s="9">
        <f>IFERROR(__xludf.DUMMYFUNCTION("""COMPUTED_VALUE"""),255.19)</f>
        <v>255.19</v>
      </c>
      <c r="C452" s="9">
        <f>IFERROR(__xludf.DUMMYFUNCTION("""COMPUTED_VALUE"""),260.0)</f>
        <v>260</v>
      </c>
      <c r="D452" s="9">
        <f>IFERROR(__xludf.DUMMYFUNCTION("""COMPUTED_VALUE"""),255.19)</f>
        <v>255.19</v>
      </c>
      <c r="E452" s="9">
        <f>IFERROR(__xludf.DUMMYFUNCTION("""COMPUTED_VALUE"""),259.17)</f>
        <v>259.17</v>
      </c>
      <c r="F452" s="9">
        <f>IFERROR(__xludf.DUMMYFUNCTION("""COMPUTED_VALUE"""),1590685.0)</f>
        <v>1590685</v>
      </c>
      <c r="H452" s="27">
        <f>IFERROR(__xludf.DUMMYFUNCTION("""COMPUTED_VALUE"""),39016.645833333336)</f>
        <v>39016.64583</v>
      </c>
      <c r="I452" s="25">
        <f>IFERROR(__xludf.DUMMYFUNCTION("""COMPUTED_VALUE"""),270.25)</f>
        <v>270.25</v>
      </c>
      <c r="J452" s="25">
        <f>IFERROR(__xludf.DUMMYFUNCTION("""COMPUTED_VALUE"""),272.98)</f>
        <v>272.98</v>
      </c>
      <c r="K452" s="25">
        <f>IFERROR(__xludf.DUMMYFUNCTION("""COMPUTED_VALUE"""),268.75)</f>
        <v>268.75</v>
      </c>
      <c r="L452" s="25">
        <f>IFERROR(__xludf.DUMMYFUNCTION("""COMPUTED_VALUE"""),269.81)</f>
        <v>269.81</v>
      </c>
      <c r="M452" s="25">
        <f>IFERROR(__xludf.DUMMYFUNCTION("""COMPUTED_VALUE"""),1285053.0)</f>
        <v>1285053</v>
      </c>
    </row>
    <row r="453">
      <c r="A453" s="26">
        <f>IFERROR(__xludf.DUMMYFUNCTION("""COMPUTED_VALUE"""),39017.645833333336)</f>
        <v>39017.64583</v>
      </c>
      <c r="B453" s="9">
        <f>IFERROR(__xludf.DUMMYFUNCTION("""COMPUTED_VALUE"""),256.94)</f>
        <v>256.94</v>
      </c>
      <c r="C453" s="9">
        <f>IFERROR(__xludf.DUMMYFUNCTION("""COMPUTED_VALUE"""),264.38)</f>
        <v>264.38</v>
      </c>
      <c r="D453" s="9">
        <f>IFERROR(__xludf.DUMMYFUNCTION("""COMPUTED_VALUE"""),256.94)</f>
        <v>256.94</v>
      </c>
      <c r="E453" s="9">
        <f>IFERROR(__xludf.DUMMYFUNCTION("""COMPUTED_VALUE"""),261.57)</f>
        <v>261.57</v>
      </c>
      <c r="F453" s="9">
        <f>IFERROR(__xludf.DUMMYFUNCTION("""COMPUTED_VALUE"""),855210.0)</f>
        <v>855210</v>
      </c>
      <c r="H453" s="27">
        <f>IFERROR(__xludf.DUMMYFUNCTION("""COMPUTED_VALUE"""),39017.645833333336)</f>
        <v>39017.64583</v>
      </c>
      <c r="I453" s="25">
        <f>IFERROR(__xludf.DUMMYFUNCTION("""COMPUTED_VALUE"""),270.29)</f>
        <v>270.29</v>
      </c>
      <c r="J453" s="25">
        <f>IFERROR(__xludf.DUMMYFUNCTION("""COMPUTED_VALUE"""),272.5)</f>
        <v>272.5</v>
      </c>
      <c r="K453" s="25">
        <f>IFERROR(__xludf.DUMMYFUNCTION("""COMPUTED_VALUE"""),265.6)</f>
        <v>265.6</v>
      </c>
      <c r="L453" s="25">
        <f>IFERROR(__xludf.DUMMYFUNCTION("""COMPUTED_VALUE"""),268.66)</f>
        <v>268.66</v>
      </c>
      <c r="M453" s="25">
        <f>IFERROR(__xludf.DUMMYFUNCTION("""COMPUTED_VALUE"""),781602.0)</f>
        <v>781602</v>
      </c>
    </row>
    <row r="454">
      <c r="A454" s="26">
        <f>IFERROR(__xludf.DUMMYFUNCTION("""COMPUTED_VALUE"""),39020.645833333336)</f>
        <v>39020.64583</v>
      </c>
      <c r="B454" s="9">
        <f>IFERROR(__xludf.DUMMYFUNCTION("""COMPUTED_VALUE"""),261.88)</f>
        <v>261.88</v>
      </c>
      <c r="C454" s="9">
        <f>IFERROR(__xludf.DUMMYFUNCTION("""COMPUTED_VALUE"""),266.88)</f>
        <v>266.88</v>
      </c>
      <c r="D454" s="9">
        <f>IFERROR(__xludf.DUMMYFUNCTION("""COMPUTED_VALUE"""),258.75)</f>
        <v>258.75</v>
      </c>
      <c r="E454" s="9">
        <f>IFERROR(__xludf.DUMMYFUNCTION("""COMPUTED_VALUE"""),265.96)</f>
        <v>265.96</v>
      </c>
      <c r="F454" s="9">
        <f>IFERROR(__xludf.DUMMYFUNCTION("""COMPUTED_VALUE"""),712012.0)</f>
        <v>712012</v>
      </c>
      <c r="H454" s="27">
        <f>IFERROR(__xludf.DUMMYFUNCTION("""COMPUTED_VALUE"""),39020.645833333336)</f>
        <v>39020.64583</v>
      </c>
      <c r="I454" s="25">
        <f>IFERROR(__xludf.DUMMYFUNCTION("""COMPUTED_VALUE"""),269.0)</f>
        <v>269</v>
      </c>
      <c r="J454" s="25">
        <f>IFERROR(__xludf.DUMMYFUNCTION("""COMPUTED_VALUE"""),272.0)</f>
        <v>272</v>
      </c>
      <c r="K454" s="25">
        <f>IFERROR(__xludf.DUMMYFUNCTION("""COMPUTED_VALUE"""),265.05)</f>
        <v>265.05</v>
      </c>
      <c r="L454" s="25">
        <f>IFERROR(__xludf.DUMMYFUNCTION("""COMPUTED_VALUE"""),269.84)</f>
        <v>269.84</v>
      </c>
      <c r="M454" s="25">
        <f>IFERROR(__xludf.DUMMYFUNCTION("""COMPUTED_VALUE"""),1038543.0)</f>
        <v>1038543</v>
      </c>
    </row>
    <row r="455">
      <c r="A455" s="26">
        <f>IFERROR(__xludf.DUMMYFUNCTION("""COMPUTED_VALUE"""),39021.645833333336)</f>
        <v>39021.64583</v>
      </c>
      <c r="B455" s="9">
        <f>IFERROR(__xludf.DUMMYFUNCTION("""COMPUTED_VALUE"""),266.88)</f>
        <v>266.88</v>
      </c>
      <c r="C455" s="9">
        <f>IFERROR(__xludf.DUMMYFUNCTION("""COMPUTED_VALUE"""),266.88)</f>
        <v>266.88</v>
      </c>
      <c r="D455" s="9">
        <f>IFERROR(__xludf.DUMMYFUNCTION("""COMPUTED_VALUE"""),260.89)</f>
        <v>260.89</v>
      </c>
      <c r="E455" s="9">
        <f>IFERROR(__xludf.DUMMYFUNCTION("""COMPUTED_VALUE"""),261.94)</f>
        <v>261.94</v>
      </c>
      <c r="F455" s="9">
        <f>IFERROR(__xludf.DUMMYFUNCTION("""COMPUTED_VALUE"""),1066839.0)</f>
        <v>1066839</v>
      </c>
      <c r="H455" s="27">
        <f>IFERROR(__xludf.DUMMYFUNCTION("""COMPUTED_VALUE"""),39021.645833333336)</f>
        <v>39021.64583</v>
      </c>
      <c r="I455" s="25">
        <f>IFERROR(__xludf.DUMMYFUNCTION("""COMPUTED_VALUE"""),270.0)</f>
        <v>270</v>
      </c>
      <c r="J455" s="25">
        <f>IFERROR(__xludf.DUMMYFUNCTION("""COMPUTED_VALUE"""),274.7)</f>
        <v>274.7</v>
      </c>
      <c r="K455" s="25">
        <f>IFERROR(__xludf.DUMMYFUNCTION("""COMPUTED_VALUE"""),268.77)</f>
        <v>268.77</v>
      </c>
      <c r="L455" s="25">
        <f>IFERROR(__xludf.DUMMYFUNCTION("""COMPUTED_VALUE"""),271.77)</f>
        <v>271.77</v>
      </c>
      <c r="M455" s="25">
        <f>IFERROR(__xludf.DUMMYFUNCTION("""COMPUTED_VALUE"""),857734.0)</f>
        <v>857734</v>
      </c>
    </row>
    <row r="456">
      <c r="A456" s="26">
        <f>IFERROR(__xludf.DUMMYFUNCTION("""COMPUTED_VALUE"""),39022.645833333336)</f>
        <v>39022.64583</v>
      </c>
      <c r="B456" s="9">
        <f>IFERROR(__xludf.DUMMYFUNCTION("""COMPUTED_VALUE"""),262.0)</f>
        <v>262</v>
      </c>
      <c r="C456" s="9">
        <f>IFERROR(__xludf.DUMMYFUNCTION("""COMPUTED_VALUE"""),264.73)</f>
        <v>264.73</v>
      </c>
      <c r="D456" s="9">
        <f>IFERROR(__xludf.DUMMYFUNCTION("""COMPUTED_VALUE"""),260.14)</f>
        <v>260.14</v>
      </c>
      <c r="E456" s="9">
        <f>IFERROR(__xludf.DUMMYFUNCTION("""COMPUTED_VALUE"""),262.93)</f>
        <v>262.93</v>
      </c>
      <c r="F456" s="9">
        <f>IFERROR(__xludf.DUMMYFUNCTION("""COMPUTED_VALUE"""),554623.0)</f>
        <v>554623</v>
      </c>
      <c r="H456" s="27">
        <f>IFERROR(__xludf.DUMMYFUNCTION("""COMPUTED_VALUE"""),39022.645833333336)</f>
        <v>39022.64583</v>
      </c>
      <c r="I456" s="25">
        <f>IFERROR(__xludf.DUMMYFUNCTION("""COMPUTED_VALUE"""),274.25)</f>
        <v>274.25</v>
      </c>
      <c r="J456" s="25">
        <f>IFERROR(__xludf.DUMMYFUNCTION("""COMPUTED_VALUE"""),276.48)</f>
        <v>276.48</v>
      </c>
      <c r="K456" s="25">
        <f>IFERROR(__xludf.DUMMYFUNCTION("""COMPUTED_VALUE"""),270.08)</f>
        <v>270.08</v>
      </c>
      <c r="L456" s="25">
        <f>IFERROR(__xludf.DUMMYFUNCTION("""COMPUTED_VALUE"""),270.8)</f>
        <v>270.8</v>
      </c>
      <c r="M456" s="25">
        <f>IFERROR(__xludf.DUMMYFUNCTION("""COMPUTED_VALUE"""),477726.0)</f>
        <v>477726</v>
      </c>
    </row>
    <row r="457">
      <c r="A457" s="26">
        <f>IFERROR(__xludf.DUMMYFUNCTION("""COMPUTED_VALUE"""),39023.645833333336)</f>
        <v>39023.64583</v>
      </c>
      <c r="B457" s="9">
        <f>IFERROR(__xludf.DUMMYFUNCTION("""COMPUTED_VALUE"""),261.63)</f>
        <v>261.63</v>
      </c>
      <c r="C457" s="9">
        <f>IFERROR(__xludf.DUMMYFUNCTION("""COMPUTED_VALUE"""),262.5)</f>
        <v>262.5</v>
      </c>
      <c r="D457" s="9">
        <f>IFERROR(__xludf.DUMMYFUNCTION("""COMPUTED_VALUE"""),259.63)</f>
        <v>259.63</v>
      </c>
      <c r="E457" s="9">
        <f>IFERROR(__xludf.DUMMYFUNCTION("""COMPUTED_VALUE"""),260.59)</f>
        <v>260.59</v>
      </c>
      <c r="F457" s="9">
        <f>IFERROR(__xludf.DUMMYFUNCTION("""COMPUTED_VALUE"""),700286.0)</f>
        <v>700286</v>
      </c>
      <c r="H457" s="27">
        <f>IFERROR(__xludf.DUMMYFUNCTION("""COMPUTED_VALUE"""),39023.645833333336)</f>
        <v>39023.64583</v>
      </c>
      <c r="I457" s="25">
        <f>IFERROR(__xludf.DUMMYFUNCTION("""COMPUTED_VALUE"""),272.5)</f>
        <v>272.5</v>
      </c>
      <c r="J457" s="25">
        <f>IFERROR(__xludf.DUMMYFUNCTION("""COMPUTED_VALUE"""),272.5)</f>
        <v>272.5</v>
      </c>
      <c r="K457" s="25">
        <f>IFERROR(__xludf.DUMMYFUNCTION("""COMPUTED_VALUE"""),268.0)</f>
        <v>268</v>
      </c>
      <c r="L457" s="25">
        <f>IFERROR(__xludf.DUMMYFUNCTION("""COMPUTED_VALUE"""),270.01)</f>
        <v>270.01</v>
      </c>
      <c r="M457" s="25">
        <f>IFERROR(__xludf.DUMMYFUNCTION("""COMPUTED_VALUE"""),551094.0)</f>
        <v>551094</v>
      </c>
    </row>
    <row r="458">
      <c r="A458" s="26">
        <f>IFERROR(__xludf.DUMMYFUNCTION("""COMPUTED_VALUE"""),39024.645833333336)</f>
        <v>39024.64583</v>
      </c>
      <c r="B458" s="9">
        <f>IFERROR(__xludf.DUMMYFUNCTION("""COMPUTED_VALUE"""),261.19)</f>
        <v>261.19</v>
      </c>
      <c r="C458" s="9">
        <f>IFERROR(__xludf.DUMMYFUNCTION("""COMPUTED_VALUE"""),261.85)</f>
        <v>261.85</v>
      </c>
      <c r="D458" s="9">
        <f>IFERROR(__xludf.DUMMYFUNCTION("""COMPUTED_VALUE"""),257.38)</f>
        <v>257.38</v>
      </c>
      <c r="E458" s="9">
        <f>IFERROR(__xludf.DUMMYFUNCTION("""COMPUTED_VALUE"""),259.36)</f>
        <v>259.36</v>
      </c>
      <c r="F458" s="9">
        <f>IFERROR(__xludf.DUMMYFUNCTION("""COMPUTED_VALUE"""),731210.0)</f>
        <v>731210</v>
      </c>
      <c r="H458" s="27">
        <f>IFERROR(__xludf.DUMMYFUNCTION("""COMPUTED_VALUE"""),39024.645833333336)</f>
        <v>39024.64583</v>
      </c>
      <c r="I458" s="25">
        <f>IFERROR(__xludf.DUMMYFUNCTION("""COMPUTED_VALUE"""),271.25)</f>
        <v>271.25</v>
      </c>
      <c r="J458" s="25">
        <f>IFERROR(__xludf.DUMMYFUNCTION("""COMPUTED_VALUE"""),272.0)</f>
        <v>272</v>
      </c>
      <c r="K458" s="25">
        <f>IFERROR(__xludf.DUMMYFUNCTION("""COMPUTED_VALUE"""),264.5)</f>
        <v>264.5</v>
      </c>
      <c r="L458" s="25">
        <f>IFERROR(__xludf.DUMMYFUNCTION("""COMPUTED_VALUE"""),266.74)</f>
        <v>266.74</v>
      </c>
      <c r="M458" s="25">
        <f>IFERROR(__xludf.DUMMYFUNCTION("""COMPUTED_VALUE"""),786110.0)</f>
        <v>786110</v>
      </c>
    </row>
    <row r="459">
      <c r="A459" s="26">
        <f>IFERROR(__xludf.DUMMYFUNCTION("""COMPUTED_VALUE"""),39027.645833333336)</f>
        <v>39027.64583</v>
      </c>
      <c r="B459" s="9">
        <f>IFERROR(__xludf.DUMMYFUNCTION("""COMPUTED_VALUE"""),261.24)</f>
        <v>261.24</v>
      </c>
      <c r="C459" s="9">
        <f>IFERROR(__xludf.DUMMYFUNCTION("""COMPUTED_VALUE"""),261.24)</f>
        <v>261.24</v>
      </c>
      <c r="D459" s="9">
        <f>IFERROR(__xludf.DUMMYFUNCTION("""COMPUTED_VALUE"""),256.94)</f>
        <v>256.94</v>
      </c>
      <c r="E459" s="9">
        <f>IFERROR(__xludf.DUMMYFUNCTION("""COMPUTED_VALUE"""),258.75)</f>
        <v>258.75</v>
      </c>
      <c r="F459" s="9">
        <f>IFERROR(__xludf.DUMMYFUNCTION("""COMPUTED_VALUE"""),407595.0)</f>
        <v>407595</v>
      </c>
      <c r="H459" s="27">
        <f>IFERROR(__xludf.DUMMYFUNCTION("""COMPUTED_VALUE"""),39027.645833333336)</f>
        <v>39027.64583</v>
      </c>
      <c r="I459" s="25">
        <f>IFERROR(__xludf.DUMMYFUNCTION("""COMPUTED_VALUE"""),266.63)</f>
        <v>266.63</v>
      </c>
      <c r="J459" s="25">
        <f>IFERROR(__xludf.DUMMYFUNCTION("""COMPUTED_VALUE"""),267.48)</f>
        <v>267.48</v>
      </c>
      <c r="K459" s="25">
        <f>IFERROR(__xludf.DUMMYFUNCTION("""COMPUTED_VALUE"""),264.0)</f>
        <v>264</v>
      </c>
      <c r="L459" s="25">
        <f>IFERROR(__xludf.DUMMYFUNCTION("""COMPUTED_VALUE"""),264.85)</f>
        <v>264.85</v>
      </c>
      <c r="M459" s="25">
        <f>IFERROR(__xludf.DUMMYFUNCTION("""COMPUTED_VALUE"""),634223.0)</f>
        <v>634223</v>
      </c>
    </row>
    <row r="460">
      <c r="A460" s="26">
        <f>IFERROR(__xludf.DUMMYFUNCTION("""COMPUTED_VALUE"""),39028.645833333336)</f>
        <v>39028.64583</v>
      </c>
      <c r="B460" s="9">
        <f>IFERROR(__xludf.DUMMYFUNCTION("""COMPUTED_VALUE"""),260.01)</f>
        <v>260.01</v>
      </c>
      <c r="C460" s="9">
        <f>IFERROR(__xludf.DUMMYFUNCTION("""COMPUTED_VALUE"""),266.71)</f>
        <v>266.71</v>
      </c>
      <c r="D460" s="9">
        <f>IFERROR(__xludf.DUMMYFUNCTION("""COMPUTED_VALUE"""),260.01)</f>
        <v>260.01</v>
      </c>
      <c r="E460" s="9">
        <f>IFERROR(__xludf.DUMMYFUNCTION("""COMPUTED_VALUE"""),262.79)</f>
        <v>262.79</v>
      </c>
      <c r="F460" s="9">
        <f>IFERROR(__xludf.DUMMYFUNCTION("""COMPUTED_VALUE"""),1165747.0)</f>
        <v>1165747</v>
      </c>
      <c r="H460" s="27">
        <f>IFERROR(__xludf.DUMMYFUNCTION("""COMPUTED_VALUE"""),39028.645833333336)</f>
        <v>39028.64583</v>
      </c>
      <c r="I460" s="25">
        <f>IFERROR(__xludf.DUMMYFUNCTION("""COMPUTED_VALUE"""),268.5)</f>
        <v>268.5</v>
      </c>
      <c r="J460" s="25">
        <f>IFERROR(__xludf.DUMMYFUNCTION("""COMPUTED_VALUE"""),271.23)</f>
        <v>271.23</v>
      </c>
      <c r="K460" s="25">
        <f>IFERROR(__xludf.DUMMYFUNCTION("""COMPUTED_VALUE"""),265.05)</f>
        <v>265.05</v>
      </c>
      <c r="L460" s="25">
        <f>IFERROR(__xludf.DUMMYFUNCTION("""COMPUTED_VALUE"""),266.29)</f>
        <v>266.29</v>
      </c>
      <c r="M460" s="25">
        <f>IFERROR(__xludf.DUMMYFUNCTION("""COMPUTED_VALUE"""),804795.0)</f>
        <v>804795</v>
      </c>
    </row>
    <row r="461">
      <c r="A461" s="26">
        <f>IFERROR(__xludf.DUMMYFUNCTION("""COMPUTED_VALUE"""),39029.645833333336)</f>
        <v>39029.64583</v>
      </c>
      <c r="B461" s="9">
        <f>IFERROR(__xludf.DUMMYFUNCTION("""COMPUTED_VALUE"""),265.0)</f>
        <v>265</v>
      </c>
      <c r="C461" s="9">
        <f>IFERROR(__xludf.DUMMYFUNCTION("""COMPUTED_VALUE"""),269.0)</f>
        <v>269</v>
      </c>
      <c r="D461" s="9">
        <f>IFERROR(__xludf.DUMMYFUNCTION("""COMPUTED_VALUE"""),263.44)</f>
        <v>263.44</v>
      </c>
      <c r="E461" s="9">
        <f>IFERROR(__xludf.DUMMYFUNCTION("""COMPUTED_VALUE"""),265.73)</f>
        <v>265.73</v>
      </c>
      <c r="F461" s="9">
        <f>IFERROR(__xludf.DUMMYFUNCTION("""COMPUTED_VALUE"""),1703685.0)</f>
        <v>1703685</v>
      </c>
      <c r="H461" s="27">
        <f>IFERROR(__xludf.DUMMYFUNCTION("""COMPUTED_VALUE"""),39029.645833333336)</f>
        <v>39029.64583</v>
      </c>
      <c r="I461" s="25">
        <f>IFERROR(__xludf.DUMMYFUNCTION("""COMPUTED_VALUE"""),266.25)</f>
        <v>266.25</v>
      </c>
      <c r="J461" s="25">
        <f>IFERROR(__xludf.DUMMYFUNCTION("""COMPUTED_VALUE"""),267.73)</f>
        <v>267.73</v>
      </c>
      <c r="K461" s="25">
        <f>IFERROR(__xludf.DUMMYFUNCTION("""COMPUTED_VALUE"""),262.79)</f>
        <v>262.79</v>
      </c>
      <c r="L461" s="25">
        <f>IFERROR(__xludf.DUMMYFUNCTION("""COMPUTED_VALUE"""),265.83)</f>
        <v>265.83</v>
      </c>
      <c r="M461" s="25">
        <f>IFERROR(__xludf.DUMMYFUNCTION("""COMPUTED_VALUE"""),609190.0)</f>
        <v>609190</v>
      </c>
    </row>
    <row r="462">
      <c r="A462" s="26">
        <f>IFERROR(__xludf.DUMMYFUNCTION("""COMPUTED_VALUE"""),39030.645833333336)</f>
        <v>39030.64583</v>
      </c>
      <c r="B462" s="9">
        <f>IFERROR(__xludf.DUMMYFUNCTION("""COMPUTED_VALUE"""),267.49)</f>
        <v>267.49</v>
      </c>
      <c r="C462" s="9">
        <f>IFERROR(__xludf.DUMMYFUNCTION("""COMPUTED_VALUE"""),269.75)</f>
        <v>269.75</v>
      </c>
      <c r="D462" s="9">
        <f>IFERROR(__xludf.DUMMYFUNCTION("""COMPUTED_VALUE"""),263.79)</f>
        <v>263.79</v>
      </c>
      <c r="E462" s="9">
        <f>IFERROR(__xludf.DUMMYFUNCTION("""COMPUTED_VALUE"""),267.14)</f>
        <v>267.14</v>
      </c>
      <c r="F462" s="9">
        <f>IFERROR(__xludf.DUMMYFUNCTION("""COMPUTED_VALUE"""),1184989.0)</f>
        <v>1184989</v>
      </c>
      <c r="H462" s="27">
        <f>IFERROR(__xludf.DUMMYFUNCTION("""COMPUTED_VALUE"""),39030.645833333336)</f>
        <v>39030.64583</v>
      </c>
      <c r="I462" s="25">
        <f>IFERROR(__xludf.DUMMYFUNCTION("""COMPUTED_VALUE"""),267.25)</f>
        <v>267.25</v>
      </c>
      <c r="J462" s="25">
        <f>IFERROR(__xludf.DUMMYFUNCTION("""COMPUTED_VALUE"""),268.75)</f>
        <v>268.75</v>
      </c>
      <c r="K462" s="25">
        <f>IFERROR(__xludf.DUMMYFUNCTION("""COMPUTED_VALUE"""),263.34)</f>
        <v>263.34</v>
      </c>
      <c r="L462" s="25">
        <f>IFERROR(__xludf.DUMMYFUNCTION("""COMPUTED_VALUE"""),265.9)</f>
        <v>265.9</v>
      </c>
      <c r="M462" s="25">
        <f>IFERROR(__xludf.DUMMYFUNCTION("""COMPUTED_VALUE"""),841355.0)</f>
        <v>841355</v>
      </c>
    </row>
    <row r="463">
      <c r="A463" s="26">
        <f>IFERROR(__xludf.DUMMYFUNCTION("""COMPUTED_VALUE"""),39031.645833333336)</f>
        <v>39031.64583</v>
      </c>
      <c r="B463" s="9">
        <f>IFERROR(__xludf.DUMMYFUNCTION("""COMPUTED_VALUE"""),268.13)</f>
        <v>268.13</v>
      </c>
      <c r="C463" s="9">
        <f>IFERROR(__xludf.DUMMYFUNCTION("""COMPUTED_VALUE"""),269.74)</f>
        <v>269.74</v>
      </c>
      <c r="D463" s="9">
        <f>IFERROR(__xludf.DUMMYFUNCTION("""COMPUTED_VALUE"""),266.75)</f>
        <v>266.75</v>
      </c>
      <c r="E463" s="9">
        <f>IFERROR(__xludf.DUMMYFUNCTION("""COMPUTED_VALUE"""),267.48)</f>
        <v>267.48</v>
      </c>
      <c r="F463" s="9">
        <f>IFERROR(__xludf.DUMMYFUNCTION("""COMPUTED_VALUE"""),1539162.0)</f>
        <v>1539162</v>
      </c>
      <c r="H463" s="27">
        <f>IFERROR(__xludf.DUMMYFUNCTION("""COMPUTED_VALUE"""),39031.645833333336)</f>
        <v>39031.64583</v>
      </c>
      <c r="I463" s="25">
        <f>IFERROR(__xludf.DUMMYFUNCTION("""COMPUTED_VALUE"""),267.5)</f>
        <v>267.5</v>
      </c>
      <c r="J463" s="25">
        <f>IFERROR(__xludf.DUMMYFUNCTION("""COMPUTED_VALUE"""),273.68)</f>
        <v>273.68</v>
      </c>
      <c r="K463" s="25">
        <f>IFERROR(__xludf.DUMMYFUNCTION("""COMPUTED_VALUE"""),266.27)</f>
        <v>266.27</v>
      </c>
      <c r="L463" s="25">
        <f>IFERROR(__xludf.DUMMYFUNCTION("""COMPUTED_VALUE"""),267.18)</f>
        <v>267.18</v>
      </c>
      <c r="M463" s="25">
        <f>IFERROR(__xludf.DUMMYFUNCTION("""COMPUTED_VALUE"""),828369.0)</f>
        <v>828369</v>
      </c>
    </row>
    <row r="464">
      <c r="A464" s="26">
        <f>IFERROR(__xludf.DUMMYFUNCTION("""COMPUTED_VALUE"""),39034.645833333336)</f>
        <v>39034.64583</v>
      </c>
      <c r="B464" s="9">
        <f>IFERROR(__xludf.DUMMYFUNCTION("""COMPUTED_VALUE"""),267.5)</f>
        <v>267.5</v>
      </c>
      <c r="C464" s="9">
        <f>IFERROR(__xludf.DUMMYFUNCTION("""COMPUTED_VALUE"""),270.75)</f>
        <v>270.75</v>
      </c>
      <c r="D464" s="9">
        <f>IFERROR(__xludf.DUMMYFUNCTION("""COMPUTED_VALUE"""),266.88)</f>
        <v>266.88</v>
      </c>
      <c r="E464" s="9">
        <f>IFERROR(__xludf.DUMMYFUNCTION("""COMPUTED_VALUE"""),270.02)</f>
        <v>270.02</v>
      </c>
      <c r="F464" s="9">
        <f>IFERROR(__xludf.DUMMYFUNCTION("""COMPUTED_VALUE"""),1041867.0)</f>
        <v>1041867</v>
      </c>
      <c r="H464" s="27">
        <f>IFERROR(__xludf.DUMMYFUNCTION("""COMPUTED_VALUE"""),39034.645833333336)</f>
        <v>39034.64583</v>
      </c>
      <c r="I464" s="25">
        <f>IFERROR(__xludf.DUMMYFUNCTION("""COMPUTED_VALUE"""),267.7)</f>
        <v>267.7</v>
      </c>
      <c r="J464" s="25">
        <f>IFERROR(__xludf.DUMMYFUNCTION("""COMPUTED_VALUE"""),270.0)</f>
        <v>270</v>
      </c>
      <c r="K464" s="25">
        <f>IFERROR(__xludf.DUMMYFUNCTION("""COMPUTED_VALUE"""),266.52)</f>
        <v>266.52</v>
      </c>
      <c r="L464" s="25">
        <f>IFERROR(__xludf.DUMMYFUNCTION("""COMPUTED_VALUE"""),268.94)</f>
        <v>268.94</v>
      </c>
      <c r="M464" s="25">
        <f>IFERROR(__xludf.DUMMYFUNCTION("""COMPUTED_VALUE"""),505829.0)</f>
        <v>505829</v>
      </c>
    </row>
    <row r="465">
      <c r="A465" s="26">
        <f>IFERROR(__xludf.DUMMYFUNCTION("""COMPUTED_VALUE"""),39035.645833333336)</f>
        <v>39035.64583</v>
      </c>
      <c r="B465" s="9">
        <f>IFERROR(__xludf.DUMMYFUNCTION("""COMPUTED_VALUE"""),271.86)</f>
        <v>271.86</v>
      </c>
      <c r="C465" s="9">
        <f>IFERROR(__xludf.DUMMYFUNCTION("""COMPUTED_VALUE"""),278.38)</f>
        <v>278.38</v>
      </c>
      <c r="D465" s="9">
        <f>IFERROR(__xludf.DUMMYFUNCTION("""COMPUTED_VALUE"""),271.86)</f>
        <v>271.86</v>
      </c>
      <c r="E465" s="9">
        <f>IFERROR(__xludf.DUMMYFUNCTION("""COMPUTED_VALUE"""),276.32)</f>
        <v>276.32</v>
      </c>
      <c r="F465" s="9">
        <f>IFERROR(__xludf.DUMMYFUNCTION("""COMPUTED_VALUE"""),2259904.0)</f>
        <v>2259904</v>
      </c>
      <c r="H465" s="27">
        <f>IFERROR(__xludf.DUMMYFUNCTION("""COMPUTED_VALUE"""),39035.645833333336)</f>
        <v>39035.64583</v>
      </c>
      <c r="I465" s="25">
        <f>IFERROR(__xludf.DUMMYFUNCTION("""COMPUTED_VALUE"""),270.25)</f>
        <v>270.25</v>
      </c>
      <c r="J465" s="25">
        <f>IFERROR(__xludf.DUMMYFUNCTION("""COMPUTED_VALUE"""),277.5)</f>
        <v>277.5</v>
      </c>
      <c r="K465" s="25">
        <f>IFERROR(__xludf.DUMMYFUNCTION("""COMPUTED_VALUE"""),270.25)</f>
        <v>270.25</v>
      </c>
      <c r="L465" s="25">
        <f>IFERROR(__xludf.DUMMYFUNCTION("""COMPUTED_VALUE"""),276.56)</f>
        <v>276.56</v>
      </c>
      <c r="M465" s="25">
        <f>IFERROR(__xludf.DUMMYFUNCTION("""COMPUTED_VALUE"""),1500965.0)</f>
        <v>1500965</v>
      </c>
    </row>
    <row r="466">
      <c r="A466" s="26">
        <f>IFERROR(__xludf.DUMMYFUNCTION("""COMPUTED_VALUE"""),39036.645833333336)</f>
        <v>39036.64583</v>
      </c>
      <c r="B466" s="9">
        <f>IFERROR(__xludf.DUMMYFUNCTION("""COMPUTED_VALUE"""),277.18)</f>
        <v>277.18</v>
      </c>
      <c r="C466" s="9">
        <f>IFERROR(__xludf.DUMMYFUNCTION("""COMPUTED_VALUE"""),280.02)</f>
        <v>280.02</v>
      </c>
      <c r="D466" s="9">
        <f>IFERROR(__xludf.DUMMYFUNCTION("""COMPUTED_VALUE"""),274.03)</f>
        <v>274.03</v>
      </c>
      <c r="E466" s="9">
        <f>IFERROR(__xludf.DUMMYFUNCTION("""COMPUTED_VALUE"""),277.83)</f>
        <v>277.83</v>
      </c>
      <c r="F466" s="9">
        <f>IFERROR(__xludf.DUMMYFUNCTION("""COMPUTED_VALUE"""),944190.0)</f>
        <v>944190</v>
      </c>
      <c r="H466" s="27">
        <f>IFERROR(__xludf.DUMMYFUNCTION("""COMPUTED_VALUE"""),39036.645833333336)</f>
        <v>39036.64583</v>
      </c>
      <c r="I466" s="25">
        <f>IFERROR(__xludf.DUMMYFUNCTION("""COMPUTED_VALUE"""),278.75)</f>
        <v>278.75</v>
      </c>
      <c r="J466" s="25">
        <f>IFERROR(__xludf.DUMMYFUNCTION("""COMPUTED_VALUE"""),280.5)</f>
        <v>280.5</v>
      </c>
      <c r="K466" s="25">
        <f>IFERROR(__xludf.DUMMYFUNCTION("""COMPUTED_VALUE"""),272.64)</f>
        <v>272.64</v>
      </c>
      <c r="L466" s="25">
        <f>IFERROR(__xludf.DUMMYFUNCTION("""COMPUTED_VALUE"""),274.2)</f>
        <v>274.2</v>
      </c>
      <c r="M466" s="25">
        <f>IFERROR(__xludf.DUMMYFUNCTION("""COMPUTED_VALUE"""),674510.0)</f>
        <v>674510</v>
      </c>
    </row>
    <row r="467">
      <c r="A467" s="26">
        <f>IFERROR(__xludf.DUMMYFUNCTION("""COMPUTED_VALUE"""),39037.645833333336)</f>
        <v>39037.64583</v>
      </c>
      <c r="B467" s="9">
        <f>IFERROR(__xludf.DUMMYFUNCTION("""COMPUTED_VALUE"""),277.13)</f>
        <v>277.13</v>
      </c>
      <c r="C467" s="9">
        <f>IFERROR(__xludf.DUMMYFUNCTION("""COMPUTED_VALUE"""),278.09)</f>
        <v>278.09</v>
      </c>
      <c r="D467" s="9">
        <f>IFERROR(__xludf.DUMMYFUNCTION("""COMPUTED_VALUE"""),269.26)</f>
        <v>269.26</v>
      </c>
      <c r="E467" s="9">
        <f>IFERROR(__xludf.DUMMYFUNCTION("""COMPUTED_VALUE"""),274.99)</f>
        <v>274.99</v>
      </c>
      <c r="F467" s="9">
        <f>IFERROR(__xludf.DUMMYFUNCTION("""COMPUTED_VALUE"""),1505112.0)</f>
        <v>1505112</v>
      </c>
      <c r="H467" s="27">
        <f>IFERROR(__xludf.DUMMYFUNCTION("""COMPUTED_VALUE"""),39037.645833333336)</f>
        <v>39037.64583</v>
      </c>
      <c r="I467" s="25">
        <f>IFERROR(__xludf.DUMMYFUNCTION("""COMPUTED_VALUE"""),275.0)</f>
        <v>275</v>
      </c>
      <c r="J467" s="25">
        <f>IFERROR(__xludf.DUMMYFUNCTION("""COMPUTED_VALUE"""),276.5)</f>
        <v>276.5</v>
      </c>
      <c r="K467" s="25">
        <f>IFERROR(__xludf.DUMMYFUNCTION("""COMPUTED_VALUE"""),270.88)</f>
        <v>270.88</v>
      </c>
      <c r="L467" s="25">
        <f>IFERROR(__xludf.DUMMYFUNCTION("""COMPUTED_VALUE"""),271.84)</f>
        <v>271.84</v>
      </c>
      <c r="M467" s="25">
        <f>IFERROR(__xludf.DUMMYFUNCTION("""COMPUTED_VALUE"""),525422.0)</f>
        <v>525422</v>
      </c>
    </row>
    <row r="468">
      <c r="A468" s="26">
        <f>IFERROR(__xludf.DUMMYFUNCTION("""COMPUTED_VALUE"""),39038.645833333336)</f>
        <v>39038.64583</v>
      </c>
      <c r="B468" s="9">
        <f>IFERROR(__xludf.DUMMYFUNCTION("""COMPUTED_VALUE"""),275.25)</f>
        <v>275.25</v>
      </c>
      <c r="C468" s="9">
        <f>IFERROR(__xludf.DUMMYFUNCTION("""COMPUTED_VALUE"""),276.11)</f>
        <v>276.11</v>
      </c>
      <c r="D468" s="9">
        <f>IFERROR(__xludf.DUMMYFUNCTION("""COMPUTED_VALUE"""),270.03)</f>
        <v>270.03</v>
      </c>
      <c r="E468" s="9">
        <f>IFERROR(__xludf.DUMMYFUNCTION("""COMPUTED_VALUE"""),273.3)</f>
        <v>273.3</v>
      </c>
      <c r="F468" s="9">
        <f>IFERROR(__xludf.DUMMYFUNCTION("""COMPUTED_VALUE"""),539331.0)</f>
        <v>539331</v>
      </c>
      <c r="H468" s="27">
        <f>IFERROR(__xludf.DUMMYFUNCTION("""COMPUTED_VALUE"""),39038.645833333336)</f>
        <v>39038.64583</v>
      </c>
      <c r="I468" s="25">
        <f>IFERROR(__xludf.DUMMYFUNCTION("""COMPUTED_VALUE"""),273.5)</f>
        <v>273.5</v>
      </c>
      <c r="J468" s="25">
        <f>IFERROR(__xludf.DUMMYFUNCTION("""COMPUTED_VALUE"""),274.38)</f>
        <v>274.38</v>
      </c>
      <c r="K468" s="25">
        <f>IFERROR(__xludf.DUMMYFUNCTION("""COMPUTED_VALUE"""),270.3)</f>
        <v>270.3</v>
      </c>
      <c r="L468" s="25">
        <f>IFERROR(__xludf.DUMMYFUNCTION("""COMPUTED_VALUE"""),273.79)</f>
        <v>273.79</v>
      </c>
      <c r="M468" s="25">
        <f>IFERROR(__xludf.DUMMYFUNCTION("""COMPUTED_VALUE"""),555421.0)</f>
        <v>555421</v>
      </c>
    </row>
    <row r="469">
      <c r="A469" s="26">
        <f>IFERROR(__xludf.DUMMYFUNCTION("""COMPUTED_VALUE"""),39041.645833333336)</f>
        <v>39041.64583</v>
      </c>
      <c r="B469" s="9">
        <f>IFERROR(__xludf.DUMMYFUNCTION("""COMPUTED_VALUE"""),271.25)</f>
        <v>271.25</v>
      </c>
      <c r="C469" s="9">
        <f>IFERROR(__xludf.DUMMYFUNCTION("""COMPUTED_VALUE"""),282.8)</f>
        <v>282.8</v>
      </c>
      <c r="D469" s="9">
        <f>IFERROR(__xludf.DUMMYFUNCTION("""COMPUTED_VALUE"""),269.03)</f>
        <v>269.03</v>
      </c>
      <c r="E469" s="9">
        <f>IFERROR(__xludf.DUMMYFUNCTION("""COMPUTED_VALUE"""),281.73)</f>
        <v>281.73</v>
      </c>
      <c r="F469" s="9">
        <f>IFERROR(__xludf.DUMMYFUNCTION("""COMPUTED_VALUE"""),2439179.0)</f>
        <v>2439179</v>
      </c>
      <c r="H469" s="27">
        <f>IFERROR(__xludf.DUMMYFUNCTION("""COMPUTED_VALUE"""),39041.645833333336)</f>
        <v>39041.64583</v>
      </c>
      <c r="I469" s="25">
        <f>IFERROR(__xludf.DUMMYFUNCTION("""COMPUTED_VALUE"""),271.26)</f>
        <v>271.26</v>
      </c>
      <c r="J469" s="25">
        <f>IFERROR(__xludf.DUMMYFUNCTION("""COMPUTED_VALUE"""),280.25)</f>
        <v>280.25</v>
      </c>
      <c r="K469" s="25">
        <f>IFERROR(__xludf.DUMMYFUNCTION("""COMPUTED_VALUE"""),266.39)</f>
        <v>266.39</v>
      </c>
      <c r="L469" s="25">
        <f>IFERROR(__xludf.DUMMYFUNCTION("""COMPUTED_VALUE"""),279.46)</f>
        <v>279.46</v>
      </c>
      <c r="M469" s="25">
        <f>IFERROR(__xludf.DUMMYFUNCTION("""COMPUTED_VALUE"""),1293734.0)</f>
        <v>1293734</v>
      </c>
    </row>
    <row r="470">
      <c r="A470" s="26">
        <f>IFERROR(__xludf.DUMMYFUNCTION("""COMPUTED_VALUE"""),39042.645833333336)</f>
        <v>39042.64583</v>
      </c>
      <c r="B470" s="9">
        <f>IFERROR(__xludf.DUMMYFUNCTION("""COMPUTED_VALUE"""),283.13)</f>
        <v>283.13</v>
      </c>
      <c r="C470" s="9">
        <f>IFERROR(__xludf.DUMMYFUNCTION("""COMPUTED_VALUE"""),283.13)</f>
        <v>283.13</v>
      </c>
      <c r="D470" s="9">
        <f>IFERROR(__xludf.DUMMYFUNCTION("""COMPUTED_VALUE"""),276.97)</f>
        <v>276.97</v>
      </c>
      <c r="E470" s="9">
        <f>IFERROR(__xludf.DUMMYFUNCTION("""COMPUTED_VALUE"""),282.06)</f>
        <v>282.06</v>
      </c>
      <c r="F470" s="9">
        <f>IFERROR(__xludf.DUMMYFUNCTION("""COMPUTED_VALUE"""),2837819.0)</f>
        <v>2837819</v>
      </c>
      <c r="H470" s="27">
        <f>IFERROR(__xludf.DUMMYFUNCTION("""COMPUTED_VALUE"""),39042.645833333336)</f>
        <v>39042.64583</v>
      </c>
      <c r="I470" s="25">
        <f>IFERROR(__xludf.DUMMYFUNCTION("""COMPUTED_VALUE"""),279.05)</f>
        <v>279.05</v>
      </c>
      <c r="J470" s="25">
        <f>IFERROR(__xludf.DUMMYFUNCTION("""COMPUTED_VALUE"""),288.0)</f>
        <v>288</v>
      </c>
      <c r="K470" s="25">
        <f>IFERROR(__xludf.DUMMYFUNCTION("""COMPUTED_VALUE"""),278.5)</f>
        <v>278.5</v>
      </c>
      <c r="L470" s="25">
        <f>IFERROR(__xludf.DUMMYFUNCTION("""COMPUTED_VALUE"""),287.14)</f>
        <v>287.14</v>
      </c>
      <c r="M470" s="25">
        <f>IFERROR(__xludf.DUMMYFUNCTION("""COMPUTED_VALUE"""),1039538.0)</f>
        <v>1039538</v>
      </c>
    </row>
    <row r="471">
      <c r="A471" s="26">
        <f>IFERROR(__xludf.DUMMYFUNCTION("""COMPUTED_VALUE"""),39043.645833333336)</f>
        <v>39043.64583</v>
      </c>
      <c r="B471" s="9">
        <f>IFERROR(__xludf.DUMMYFUNCTION("""COMPUTED_VALUE"""),275.0)</f>
        <v>275</v>
      </c>
      <c r="C471" s="9">
        <f>IFERROR(__xludf.DUMMYFUNCTION("""COMPUTED_VALUE"""),281.13)</f>
        <v>281.13</v>
      </c>
      <c r="D471" s="9">
        <f>IFERROR(__xludf.DUMMYFUNCTION("""COMPUTED_VALUE"""),272.49)</f>
        <v>272.49</v>
      </c>
      <c r="E471" s="9">
        <f>IFERROR(__xludf.DUMMYFUNCTION("""COMPUTED_VALUE"""),278.19)</f>
        <v>278.19</v>
      </c>
      <c r="F471" s="9">
        <f>IFERROR(__xludf.DUMMYFUNCTION("""COMPUTED_VALUE"""),1738256.0)</f>
        <v>1738256</v>
      </c>
      <c r="H471" s="27">
        <f>IFERROR(__xludf.DUMMYFUNCTION("""COMPUTED_VALUE"""),39043.645833333336)</f>
        <v>39043.64583</v>
      </c>
      <c r="I471" s="25">
        <f>IFERROR(__xludf.DUMMYFUNCTION("""COMPUTED_VALUE"""),288.5)</f>
        <v>288.5</v>
      </c>
      <c r="J471" s="25">
        <f>IFERROR(__xludf.DUMMYFUNCTION("""COMPUTED_VALUE"""),292.75)</f>
        <v>292.75</v>
      </c>
      <c r="K471" s="25">
        <f>IFERROR(__xludf.DUMMYFUNCTION("""COMPUTED_VALUE"""),283.84)</f>
        <v>283.84</v>
      </c>
      <c r="L471" s="25">
        <f>IFERROR(__xludf.DUMMYFUNCTION("""COMPUTED_VALUE"""),287.02)</f>
        <v>287.02</v>
      </c>
      <c r="M471" s="25">
        <f>IFERROR(__xludf.DUMMYFUNCTION("""COMPUTED_VALUE"""),1397866.0)</f>
        <v>1397866</v>
      </c>
    </row>
    <row r="472">
      <c r="A472" s="26">
        <f>IFERROR(__xludf.DUMMYFUNCTION("""COMPUTED_VALUE"""),39044.645833333336)</f>
        <v>39044.64583</v>
      </c>
      <c r="B472" s="9">
        <f>IFERROR(__xludf.DUMMYFUNCTION("""COMPUTED_VALUE"""),278.19)</f>
        <v>278.19</v>
      </c>
      <c r="C472" s="9">
        <f>IFERROR(__xludf.DUMMYFUNCTION("""COMPUTED_VALUE"""),280.63)</f>
        <v>280.63</v>
      </c>
      <c r="D472" s="9">
        <f>IFERROR(__xludf.DUMMYFUNCTION("""COMPUTED_VALUE"""),278.19)</f>
        <v>278.19</v>
      </c>
      <c r="E472" s="9">
        <f>IFERROR(__xludf.DUMMYFUNCTION("""COMPUTED_VALUE"""),279.63)</f>
        <v>279.63</v>
      </c>
      <c r="F472" s="9">
        <f>IFERROR(__xludf.DUMMYFUNCTION("""COMPUTED_VALUE"""),781813.0)</f>
        <v>781813</v>
      </c>
      <c r="H472" s="27">
        <f>IFERROR(__xludf.DUMMYFUNCTION("""COMPUTED_VALUE"""),39044.645833333336)</f>
        <v>39044.64583</v>
      </c>
      <c r="I472" s="25">
        <f>IFERROR(__xludf.DUMMYFUNCTION("""COMPUTED_VALUE"""),289.0)</f>
        <v>289</v>
      </c>
      <c r="J472" s="25">
        <f>IFERROR(__xludf.DUMMYFUNCTION("""COMPUTED_VALUE"""),292.35)</f>
        <v>292.35</v>
      </c>
      <c r="K472" s="25">
        <f>IFERROR(__xludf.DUMMYFUNCTION("""COMPUTED_VALUE"""),285.0)</f>
        <v>285</v>
      </c>
      <c r="L472" s="25">
        <f>IFERROR(__xludf.DUMMYFUNCTION("""COMPUTED_VALUE"""),286.04)</f>
        <v>286.04</v>
      </c>
      <c r="M472" s="25">
        <f>IFERROR(__xludf.DUMMYFUNCTION("""COMPUTED_VALUE"""),967581.0)</f>
        <v>967581</v>
      </c>
    </row>
    <row r="473">
      <c r="A473" s="26">
        <f>IFERROR(__xludf.DUMMYFUNCTION("""COMPUTED_VALUE"""),39045.645833333336)</f>
        <v>39045.64583</v>
      </c>
      <c r="B473" s="9">
        <f>IFERROR(__xludf.DUMMYFUNCTION("""COMPUTED_VALUE"""),278.75)</f>
        <v>278.75</v>
      </c>
      <c r="C473" s="9">
        <f>IFERROR(__xludf.DUMMYFUNCTION("""COMPUTED_VALUE"""),280.84)</f>
        <v>280.84</v>
      </c>
      <c r="D473" s="9">
        <f>IFERROR(__xludf.DUMMYFUNCTION("""COMPUTED_VALUE"""),277.79)</f>
        <v>277.79</v>
      </c>
      <c r="E473" s="9">
        <f>IFERROR(__xludf.DUMMYFUNCTION("""COMPUTED_VALUE"""),279.44)</f>
        <v>279.44</v>
      </c>
      <c r="F473" s="9">
        <f>IFERROR(__xludf.DUMMYFUNCTION("""COMPUTED_VALUE"""),437974.0)</f>
        <v>437974</v>
      </c>
      <c r="H473" s="27">
        <f>IFERROR(__xludf.DUMMYFUNCTION("""COMPUTED_VALUE"""),39045.645833333336)</f>
        <v>39045.64583</v>
      </c>
      <c r="I473" s="25">
        <f>IFERROR(__xludf.DUMMYFUNCTION("""COMPUTED_VALUE"""),287.5)</f>
        <v>287.5</v>
      </c>
      <c r="J473" s="25">
        <f>IFERROR(__xludf.DUMMYFUNCTION("""COMPUTED_VALUE"""),289.23)</f>
        <v>289.23</v>
      </c>
      <c r="K473" s="25">
        <f>IFERROR(__xludf.DUMMYFUNCTION("""COMPUTED_VALUE"""),284.04)</f>
        <v>284.04</v>
      </c>
      <c r="L473" s="25">
        <f>IFERROR(__xludf.DUMMYFUNCTION("""COMPUTED_VALUE"""),287.5)</f>
        <v>287.5</v>
      </c>
      <c r="M473" s="25">
        <f>IFERROR(__xludf.DUMMYFUNCTION("""COMPUTED_VALUE"""),801326.0)</f>
        <v>801326</v>
      </c>
    </row>
    <row r="474">
      <c r="A474" s="26">
        <f>IFERROR(__xludf.DUMMYFUNCTION("""COMPUTED_VALUE"""),39048.645833333336)</f>
        <v>39048.64583</v>
      </c>
      <c r="B474" s="9">
        <f>IFERROR(__xludf.DUMMYFUNCTION("""COMPUTED_VALUE"""),279.38)</f>
        <v>279.38</v>
      </c>
      <c r="C474" s="9">
        <f>IFERROR(__xludf.DUMMYFUNCTION("""COMPUTED_VALUE"""),279.93)</f>
        <v>279.93</v>
      </c>
      <c r="D474" s="9">
        <f>IFERROR(__xludf.DUMMYFUNCTION("""COMPUTED_VALUE"""),276.63)</f>
        <v>276.63</v>
      </c>
      <c r="E474" s="9">
        <f>IFERROR(__xludf.DUMMYFUNCTION("""COMPUTED_VALUE"""),277.23)</f>
        <v>277.23</v>
      </c>
      <c r="F474" s="9">
        <f>IFERROR(__xludf.DUMMYFUNCTION("""COMPUTED_VALUE"""),475012.0)</f>
        <v>475012</v>
      </c>
      <c r="H474" s="27">
        <f>IFERROR(__xludf.DUMMYFUNCTION("""COMPUTED_VALUE"""),39048.645833333336)</f>
        <v>39048.64583</v>
      </c>
      <c r="I474" s="25">
        <f>IFERROR(__xludf.DUMMYFUNCTION("""COMPUTED_VALUE"""),287.5)</f>
        <v>287.5</v>
      </c>
      <c r="J474" s="25">
        <f>IFERROR(__xludf.DUMMYFUNCTION("""COMPUTED_VALUE"""),291.0)</f>
        <v>291</v>
      </c>
      <c r="K474" s="25">
        <f>IFERROR(__xludf.DUMMYFUNCTION("""COMPUTED_VALUE"""),287.5)</f>
        <v>287.5</v>
      </c>
      <c r="L474" s="25">
        <f>IFERROR(__xludf.DUMMYFUNCTION("""COMPUTED_VALUE"""),290.2)</f>
        <v>290.2</v>
      </c>
      <c r="M474" s="25">
        <f>IFERROR(__xludf.DUMMYFUNCTION("""COMPUTED_VALUE"""),733427.0)</f>
        <v>733427</v>
      </c>
    </row>
    <row r="475">
      <c r="A475" s="26">
        <f>IFERROR(__xludf.DUMMYFUNCTION("""COMPUTED_VALUE"""),39049.645833333336)</f>
        <v>39049.64583</v>
      </c>
      <c r="B475" s="9">
        <f>IFERROR(__xludf.DUMMYFUNCTION("""COMPUTED_VALUE"""),275.34)</f>
        <v>275.34</v>
      </c>
      <c r="C475" s="9">
        <f>IFERROR(__xludf.DUMMYFUNCTION("""COMPUTED_VALUE"""),275.34)</f>
        <v>275.34</v>
      </c>
      <c r="D475" s="9">
        <f>IFERROR(__xludf.DUMMYFUNCTION("""COMPUTED_VALUE"""),270.0)</f>
        <v>270</v>
      </c>
      <c r="E475" s="9">
        <f>IFERROR(__xludf.DUMMYFUNCTION("""COMPUTED_VALUE"""),270.61)</f>
        <v>270.61</v>
      </c>
      <c r="F475" s="9">
        <f>IFERROR(__xludf.DUMMYFUNCTION("""COMPUTED_VALUE"""),1332855.0)</f>
        <v>1332855</v>
      </c>
      <c r="H475" s="27">
        <f>IFERROR(__xludf.DUMMYFUNCTION("""COMPUTED_VALUE"""),39049.645833333336)</f>
        <v>39049.64583</v>
      </c>
      <c r="I475" s="25">
        <f>IFERROR(__xludf.DUMMYFUNCTION("""COMPUTED_VALUE"""),287.5)</f>
        <v>287.5</v>
      </c>
      <c r="J475" s="25">
        <f>IFERROR(__xludf.DUMMYFUNCTION("""COMPUTED_VALUE"""),289.0)</f>
        <v>289</v>
      </c>
      <c r="K475" s="25">
        <f>IFERROR(__xludf.DUMMYFUNCTION("""COMPUTED_VALUE"""),277.79)</f>
        <v>277.79</v>
      </c>
      <c r="L475" s="25">
        <f>IFERROR(__xludf.DUMMYFUNCTION("""COMPUTED_VALUE"""),287.46)</f>
        <v>287.46</v>
      </c>
      <c r="M475" s="25">
        <f>IFERROR(__xludf.DUMMYFUNCTION("""COMPUTED_VALUE"""),670740.0)</f>
        <v>670740</v>
      </c>
    </row>
    <row r="476">
      <c r="A476" s="26">
        <f>IFERROR(__xludf.DUMMYFUNCTION("""COMPUTED_VALUE"""),39050.645833333336)</f>
        <v>39050.64583</v>
      </c>
      <c r="B476" s="9">
        <f>IFERROR(__xludf.DUMMYFUNCTION("""COMPUTED_VALUE"""),273.74)</f>
        <v>273.74</v>
      </c>
      <c r="C476" s="9">
        <f>IFERROR(__xludf.DUMMYFUNCTION("""COMPUTED_VALUE"""),274.86)</f>
        <v>274.86</v>
      </c>
      <c r="D476" s="9">
        <f>IFERROR(__xludf.DUMMYFUNCTION("""COMPUTED_VALUE"""),266.5)</f>
        <v>266.5</v>
      </c>
      <c r="E476" s="9">
        <f>IFERROR(__xludf.DUMMYFUNCTION("""COMPUTED_VALUE"""),269.58)</f>
        <v>269.58</v>
      </c>
      <c r="F476" s="9">
        <f>IFERROR(__xludf.DUMMYFUNCTION("""COMPUTED_VALUE"""),1550915.0)</f>
        <v>1550915</v>
      </c>
      <c r="H476" s="27">
        <f>IFERROR(__xludf.DUMMYFUNCTION("""COMPUTED_VALUE"""),39050.645833333336)</f>
        <v>39050.64583</v>
      </c>
      <c r="I476" s="25">
        <f>IFERROR(__xludf.DUMMYFUNCTION("""COMPUTED_VALUE"""),290.0)</f>
        <v>290</v>
      </c>
      <c r="J476" s="25">
        <f>IFERROR(__xludf.DUMMYFUNCTION("""COMPUTED_VALUE"""),292.2)</f>
        <v>292.2</v>
      </c>
      <c r="K476" s="25">
        <f>IFERROR(__xludf.DUMMYFUNCTION("""COMPUTED_VALUE"""),287.5)</f>
        <v>287.5</v>
      </c>
      <c r="L476" s="25">
        <f>IFERROR(__xludf.DUMMYFUNCTION("""COMPUTED_VALUE"""),291.14)</f>
        <v>291.14</v>
      </c>
      <c r="M476" s="25">
        <f>IFERROR(__xludf.DUMMYFUNCTION("""COMPUTED_VALUE"""),650789.0)</f>
        <v>650789</v>
      </c>
    </row>
    <row r="477">
      <c r="A477" s="26">
        <f>IFERROR(__xludf.DUMMYFUNCTION("""COMPUTED_VALUE"""),39051.645833333336)</f>
        <v>39051.64583</v>
      </c>
      <c r="B477" s="9">
        <f>IFERROR(__xludf.DUMMYFUNCTION("""COMPUTED_VALUE"""),271.86)</f>
        <v>271.86</v>
      </c>
      <c r="C477" s="9">
        <f>IFERROR(__xludf.DUMMYFUNCTION("""COMPUTED_VALUE"""),274.38)</f>
        <v>274.38</v>
      </c>
      <c r="D477" s="9">
        <f>IFERROR(__xludf.DUMMYFUNCTION("""COMPUTED_VALUE"""),270.0)</f>
        <v>270</v>
      </c>
      <c r="E477" s="9">
        <f>IFERROR(__xludf.DUMMYFUNCTION("""COMPUTED_VALUE"""),272.46)</f>
        <v>272.46</v>
      </c>
      <c r="F477" s="9">
        <f>IFERROR(__xludf.DUMMYFUNCTION("""COMPUTED_VALUE"""),1268278.0)</f>
        <v>1268278</v>
      </c>
      <c r="H477" s="27">
        <f>IFERROR(__xludf.DUMMYFUNCTION("""COMPUTED_VALUE"""),39051.645833333336)</f>
        <v>39051.64583</v>
      </c>
      <c r="I477" s="25">
        <f>IFERROR(__xludf.DUMMYFUNCTION("""COMPUTED_VALUE"""),293.2)</f>
        <v>293.2</v>
      </c>
      <c r="J477" s="25">
        <f>IFERROR(__xludf.DUMMYFUNCTION("""COMPUTED_VALUE"""),301.25)</f>
        <v>301.25</v>
      </c>
      <c r="K477" s="25">
        <f>IFERROR(__xludf.DUMMYFUNCTION("""COMPUTED_VALUE"""),291.5)</f>
        <v>291.5</v>
      </c>
      <c r="L477" s="25">
        <f>IFERROR(__xludf.DUMMYFUNCTION("""COMPUTED_VALUE"""),299.7)</f>
        <v>299.7</v>
      </c>
      <c r="M477" s="25">
        <f>IFERROR(__xludf.DUMMYFUNCTION("""COMPUTED_VALUE"""),1563638.0)</f>
        <v>1563638</v>
      </c>
    </row>
    <row r="478">
      <c r="A478" s="26">
        <f>IFERROR(__xludf.DUMMYFUNCTION("""COMPUTED_VALUE"""),39052.645833333336)</f>
        <v>39052.64583</v>
      </c>
      <c r="B478" s="9">
        <f>IFERROR(__xludf.DUMMYFUNCTION("""COMPUTED_VALUE"""),273.63)</f>
        <v>273.63</v>
      </c>
      <c r="C478" s="9">
        <f>IFERROR(__xludf.DUMMYFUNCTION("""COMPUTED_VALUE"""),275.75)</f>
        <v>275.75</v>
      </c>
      <c r="D478" s="9">
        <f>IFERROR(__xludf.DUMMYFUNCTION("""COMPUTED_VALUE"""),273.13)</f>
        <v>273.13</v>
      </c>
      <c r="E478" s="9">
        <f>IFERROR(__xludf.DUMMYFUNCTION("""COMPUTED_VALUE"""),274.38)</f>
        <v>274.38</v>
      </c>
      <c r="F478" s="9">
        <f>IFERROR(__xludf.DUMMYFUNCTION("""COMPUTED_VALUE"""),531626.0)</f>
        <v>531626</v>
      </c>
      <c r="H478" s="27">
        <f>IFERROR(__xludf.DUMMYFUNCTION("""COMPUTED_VALUE"""),39052.645833333336)</f>
        <v>39052.64583</v>
      </c>
      <c r="I478" s="25">
        <f>IFERROR(__xludf.DUMMYFUNCTION("""COMPUTED_VALUE"""),300.0)</f>
        <v>300</v>
      </c>
      <c r="J478" s="25">
        <f>IFERROR(__xludf.DUMMYFUNCTION("""COMPUTED_VALUE"""),300.0)</f>
        <v>300</v>
      </c>
      <c r="K478" s="25">
        <f>IFERROR(__xludf.DUMMYFUNCTION("""COMPUTED_VALUE"""),295.31)</f>
        <v>295.31</v>
      </c>
      <c r="L478" s="25">
        <f>IFERROR(__xludf.DUMMYFUNCTION("""COMPUTED_VALUE"""),297.34)</f>
        <v>297.34</v>
      </c>
      <c r="M478" s="25">
        <f>IFERROR(__xludf.DUMMYFUNCTION("""COMPUTED_VALUE"""),940535.0)</f>
        <v>940535</v>
      </c>
    </row>
    <row r="479">
      <c r="A479" s="26">
        <f>IFERROR(__xludf.DUMMYFUNCTION("""COMPUTED_VALUE"""),39055.645833333336)</f>
        <v>39055.64583</v>
      </c>
      <c r="B479" s="9">
        <f>IFERROR(__xludf.DUMMYFUNCTION("""COMPUTED_VALUE"""),274.75)</f>
        <v>274.75</v>
      </c>
      <c r="C479" s="9">
        <f>IFERROR(__xludf.DUMMYFUNCTION("""COMPUTED_VALUE"""),276.78)</f>
        <v>276.78</v>
      </c>
      <c r="D479" s="9">
        <f>IFERROR(__xludf.DUMMYFUNCTION("""COMPUTED_VALUE"""),272.64)</f>
        <v>272.64</v>
      </c>
      <c r="E479" s="9">
        <f>IFERROR(__xludf.DUMMYFUNCTION("""COMPUTED_VALUE"""),275.91)</f>
        <v>275.91</v>
      </c>
      <c r="F479" s="9">
        <f>IFERROR(__xludf.DUMMYFUNCTION("""COMPUTED_VALUE"""),725524.0)</f>
        <v>725524</v>
      </c>
      <c r="H479" s="27">
        <f>IFERROR(__xludf.DUMMYFUNCTION("""COMPUTED_VALUE"""),39055.645833333336)</f>
        <v>39055.64583</v>
      </c>
      <c r="I479" s="25">
        <f>IFERROR(__xludf.DUMMYFUNCTION("""COMPUTED_VALUE"""),300.0)</f>
        <v>300</v>
      </c>
      <c r="J479" s="25">
        <f>IFERROR(__xludf.DUMMYFUNCTION("""COMPUTED_VALUE"""),302.75)</f>
        <v>302.75</v>
      </c>
      <c r="K479" s="25">
        <f>IFERROR(__xludf.DUMMYFUNCTION("""COMPUTED_VALUE"""),297.5)</f>
        <v>297.5</v>
      </c>
      <c r="L479" s="25">
        <f>IFERROR(__xludf.DUMMYFUNCTION("""COMPUTED_VALUE"""),298.1)</f>
        <v>298.1</v>
      </c>
      <c r="M479" s="25">
        <f>IFERROR(__xludf.DUMMYFUNCTION("""COMPUTED_VALUE"""),558523.0)</f>
        <v>558523</v>
      </c>
    </row>
    <row r="480">
      <c r="A480" s="26">
        <f>IFERROR(__xludf.DUMMYFUNCTION("""COMPUTED_VALUE"""),39056.645833333336)</f>
        <v>39056.64583</v>
      </c>
      <c r="B480" s="9">
        <f>IFERROR(__xludf.DUMMYFUNCTION("""COMPUTED_VALUE"""),277.5)</f>
        <v>277.5</v>
      </c>
      <c r="C480" s="9">
        <f>IFERROR(__xludf.DUMMYFUNCTION("""COMPUTED_VALUE"""),281.13)</f>
        <v>281.13</v>
      </c>
      <c r="D480" s="9">
        <f>IFERROR(__xludf.DUMMYFUNCTION("""COMPUTED_VALUE"""),277.5)</f>
        <v>277.5</v>
      </c>
      <c r="E480" s="9">
        <f>IFERROR(__xludf.DUMMYFUNCTION("""COMPUTED_VALUE"""),279.89)</f>
        <v>279.89</v>
      </c>
      <c r="F480" s="9">
        <f>IFERROR(__xludf.DUMMYFUNCTION("""COMPUTED_VALUE"""),1304409.0)</f>
        <v>1304409</v>
      </c>
      <c r="H480" s="27">
        <f>IFERROR(__xludf.DUMMYFUNCTION("""COMPUTED_VALUE"""),39056.645833333336)</f>
        <v>39056.64583</v>
      </c>
      <c r="I480" s="25">
        <f>IFERROR(__xludf.DUMMYFUNCTION("""COMPUTED_VALUE"""),302.43)</f>
        <v>302.43</v>
      </c>
      <c r="J480" s="25">
        <f>IFERROR(__xludf.DUMMYFUNCTION("""COMPUTED_VALUE"""),302.43)</f>
        <v>302.43</v>
      </c>
      <c r="K480" s="25">
        <f>IFERROR(__xludf.DUMMYFUNCTION("""COMPUTED_VALUE"""),296.25)</f>
        <v>296.25</v>
      </c>
      <c r="L480" s="25">
        <f>IFERROR(__xludf.DUMMYFUNCTION("""COMPUTED_VALUE"""),297.98)</f>
        <v>297.98</v>
      </c>
      <c r="M480" s="25">
        <f>IFERROR(__xludf.DUMMYFUNCTION("""COMPUTED_VALUE"""),529119.0)</f>
        <v>529119</v>
      </c>
    </row>
    <row r="481">
      <c r="A481" s="26">
        <f>IFERROR(__xludf.DUMMYFUNCTION("""COMPUTED_VALUE"""),39057.645833333336)</f>
        <v>39057.64583</v>
      </c>
      <c r="B481" s="9">
        <f>IFERROR(__xludf.DUMMYFUNCTION("""COMPUTED_VALUE"""),280.0)</f>
        <v>280</v>
      </c>
      <c r="C481" s="9">
        <f>IFERROR(__xludf.DUMMYFUNCTION("""COMPUTED_VALUE"""),285.0)</f>
        <v>285</v>
      </c>
      <c r="D481" s="9">
        <f>IFERROR(__xludf.DUMMYFUNCTION("""COMPUTED_VALUE"""),277.77)</f>
        <v>277.77</v>
      </c>
      <c r="E481" s="9">
        <f>IFERROR(__xludf.DUMMYFUNCTION("""COMPUTED_VALUE"""),281.11)</f>
        <v>281.11</v>
      </c>
      <c r="F481" s="9">
        <f>IFERROR(__xludf.DUMMYFUNCTION("""COMPUTED_VALUE"""),1768578.0)</f>
        <v>1768578</v>
      </c>
      <c r="H481" s="27">
        <f>IFERROR(__xludf.DUMMYFUNCTION("""COMPUTED_VALUE"""),39057.645833333336)</f>
        <v>39057.64583</v>
      </c>
      <c r="I481" s="25">
        <f>IFERROR(__xludf.DUMMYFUNCTION("""COMPUTED_VALUE"""),293.05)</f>
        <v>293.05</v>
      </c>
      <c r="J481" s="25">
        <f>IFERROR(__xludf.DUMMYFUNCTION("""COMPUTED_VALUE"""),301.75)</f>
        <v>301.75</v>
      </c>
      <c r="K481" s="25">
        <f>IFERROR(__xludf.DUMMYFUNCTION("""COMPUTED_VALUE"""),293.05)</f>
        <v>293.05</v>
      </c>
      <c r="L481" s="25">
        <f>IFERROR(__xludf.DUMMYFUNCTION("""COMPUTED_VALUE"""),299.65)</f>
        <v>299.65</v>
      </c>
      <c r="M481" s="25">
        <f>IFERROR(__xludf.DUMMYFUNCTION("""COMPUTED_VALUE"""),795214.0)</f>
        <v>795214</v>
      </c>
    </row>
    <row r="482">
      <c r="A482" s="26">
        <f>IFERROR(__xludf.DUMMYFUNCTION("""COMPUTED_VALUE"""),39058.645833333336)</f>
        <v>39058.64583</v>
      </c>
      <c r="B482" s="9">
        <f>IFERROR(__xludf.DUMMYFUNCTION("""COMPUTED_VALUE"""),281.11)</f>
        <v>281.11</v>
      </c>
      <c r="C482" s="9">
        <f>IFERROR(__xludf.DUMMYFUNCTION("""COMPUTED_VALUE"""),281.73)</f>
        <v>281.73</v>
      </c>
      <c r="D482" s="9">
        <f>IFERROR(__xludf.DUMMYFUNCTION("""COMPUTED_VALUE"""),275.5)</f>
        <v>275.5</v>
      </c>
      <c r="E482" s="9">
        <f>IFERROR(__xludf.DUMMYFUNCTION("""COMPUTED_VALUE"""),277.98)</f>
        <v>277.98</v>
      </c>
      <c r="F482" s="9">
        <f>IFERROR(__xludf.DUMMYFUNCTION("""COMPUTED_VALUE"""),1606721.0)</f>
        <v>1606721</v>
      </c>
      <c r="H482" s="27">
        <f>IFERROR(__xludf.DUMMYFUNCTION("""COMPUTED_VALUE"""),39058.645833333336)</f>
        <v>39058.64583</v>
      </c>
      <c r="I482" s="25">
        <f>IFERROR(__xludf.DUMMYFUNCTION("""COMPUTED_VALUE"""),301.25)</f>
        <v>301.25</v>
      </c>
      <c r="J482" s="25">
        <f>IFERROR(__xludf.DUMMYFUNCTION("""COMPUTED_VALUE"""),308.61)</f>
        <v>308.61</v>
      </c>
      <c r="K482" s="25">
        <f>IFERROR(__xludf.DUMMYFUNCTION("""COMPUTED_VALUE"""),296.77)</f>
        <v>296.77</v>
      </c>
      <c r="L482" s="25">
        <f>IFERROR(__xludf.DUMMYFUNCTION("""COMPUTED_VALUE"""),298.58)</f>
        <v>298.58</v>
      </c>
      <c r="M482" s="25">
        <f>IFERROR(__xludf.DUMMYFUNCTION("""COMPUTED_VALUE"""),718218.0)</f>
        <v>718218</v>
      </c>
    </row>
    <row r="483">
      <c r="A483" s="26">
        <f>IFERROR(__xludf.DUMMYFUNCTION("""COMPUTED_VALUE"""),39059.645833333336)</f>
        <v>39059.64583</v>
      </c>
      <c r="B483" s="9">
        <f>IFERROR(__xludf.DUMMYFUNCTION("""COMPUTED_VALUE"""),278.13)</f>
        <v>278.13</v>
      </c>
      <c r="C483" s="9">
        <f>IFERROR(__xludf.DUMMYFUNCTION("""COMPUTED_VALUE"""),278.48)</f>
        <v>278.48</v>
      </c>
      <c r="D483" s="9">
        <f>IFERROR(__xludf.DUMMYFUNCTION("""COMPUTED_VALUE"""),273.78)</f>
        <v>273.78</v>
      </c>
      <c r="E483" s="9">
        <f>IFERROR(__xludf.DUMMYFUNCTION("""COMPUTED_VALUE"""),274.44)</f>
        <v>274.44</v>
      </c>
      <c r="F483" s="9">
        <f>IFERROR(__xludf.DUMMYFUNCTION("""COMPUTED_VALUE"""),1110995.0)</f>
        <v>1110995</v>
      </c>
      <c r="H483" s="27">
        <f>IFERROR(__xludf.DUMMYFUNCTION("""COMPUTED_VALUE"""),39059.645833333336)</f>
        <v>39059.64583</v>
      </c>
      <c r="I483" s="25">
        <f>IFERROR(__xludf.DUMMYFUNCTION("""COMPUTED_VALUE"""),299.75)</f>
        <v>299.75</v>
      </c>
      <c r="J483" s="25">
        <f>IFERROR(__xludf.DUMMYFUNCTION("""COMPUTED_VALUE"""),299.75)</f>
        <v>299.75</v>
      </c>
      <c r="K483" s="25">
        <f>IFERROR(__xludf.DUMMYFUNCTION("""COMPUTED_VALUE"""),293.34)</f>
        <v>293.34</v>
      </c>
      <c r="L483" s="25">
        <f>IFERROR(__xludf.DUMMYFUNCTION("""COMPUTED_VALUE"""),294.23)</f>
        <v>294.23</v>
      </c>
      <c r="M483" s="25">
        <f>IFERROR(__xludf.DUMMYFUNCTION("""COMPUTED_VALUE"""),471817.0)</f>
        <v>471817</v>
      </c>
    </row>
    <row r="484">
      <c r="A484" s="26">
        <f>IFERROR(__xludf.DUMMYFUNCTION("""COMPUTED_VALUE"""),39062.645833333336)</f>
        <v>39062.64583</v>
      </c>
      <c r="B484" s="9">
        <f>IFERROR(__xludf.DUMMYFUNCTION("""COMPUTED_VALUE"""),276.25)</f>
        <v>276.25</v>
      </c>
      <c r="C484" s="9">
        <f>IFERROR(__xludf.DUMMYFUNCTION("""COMPUTED_VALUE"""),279.38)</f>
        <v>279.38</v>
      </c>
      <c r="D484" s="9">
        <f>IFERROR(__xludf.DUMMYFUNCTION("""COMPUTED_VALUE"""),270.94)</f>
        <v>270.94</v>
      </c>
      <c r="E484" s="9">
        <f>IFERROR(__xludf.DUMMYFUNCTION("""COMPUTED_VALUE"""),274.35)</f>
        <v>274.35</v>
      </c>
      <c r="F484" s="9">
        <f>IFERROR(__xludf.DUMMYFUNCTION("""COMPUTED_VALUE"""),1451817.0)</f>
        <v>1451817</v>
      </c>
      <c r="H484" s="27">
        <f>IFERROR(__xludf.DUMMYFUNCTION("""COMPUTED_VALUE"""),39062.645833333336)</f>
        <v>39062.64583</v>
      </c>
      <c r="I484" s="25">
        <f>IFERROR(__xludf.DUMMYFUNCTION("""COMPUTED_VALUE"""),293.75)</f>
        <v>293.75</v>
      </c>
      <c r="J484" s="25">
        <f>IFERROR(__xludf.DUMMYFUNCTION("""COMPUTED_VALUE"""),297.25)</f>
        <v>297.25</v>
      </c>
      <c r="K484" s="25">
        <f>IFERROR(__xludf.DUMMYFUNCTION("""COMPUTED_VALUE"""),283.5)</f>
        <v>283.5</v>
      </c>
      <c r="L484" s="25">
        <f>IFERROR(__xludf.DUMMYFUNCTION("""COMPUTED_VALUE"""),293.36)</f>
        <v>293.36</v>
      </c>
      <c r="M484" s="25">
        <f>IFERROR(__xludf.DUMMYFUNCTION("""COMPUTED_VALUE"""),1069858.0)</f>
        <v>1069858</v>
      </c>
    </row>
    <row r="485">
      <c r="A485" s="26">
        <f>IFERROR(__xludf.DUMMYFUNCTION("""COMPUTED_VALUE"""),39063.645833333336)</f>
        <v>39063.64583</v>
      </c>
      <c r="B485" s="9">
        <f>IFERROR(__xludf.DUMMYFUNCTION("""COMPUTED_VALUE"""),274.75)</f>
        <v>274.75</v>
      </c>
      <c r="C485" s="9">
        <f>IFERROR(__xludf.DUMMYFUNCTION("""COMPUTED_VALUE"""),278.25)</f>
        <v>278.25</v>
      </c>
      <c r="D485" s="9">
        <f>IFERROR(__xludf.DUMMYFUNCTION("""COMPUTED_VALUE"""),267.65)</f>
        <v>267.65</v>
      </c>
      <c r="E485" s="9">
        <f>IFERROR(__xludf.DUMMYFUNCTION("""COMPUTED_VALUE"""),270.53)</f>
        <v>270.53</v>
      </c>
      <c r="F485" s="9">
        <f>IFERROR(__xludf.DUMMYFUNCTION("""COMPUTED_VALUE"""),1941761.0)</f>
        <v>1941761</v>
      </c>
      <c r="H485" s="27">
        <f>IFERROR(__xludf.DUMMYFUNCTION("""COMPUTED_VALUE"""),39063.645833333336)</f>
        <v>39063.64583</v>
      </c>
      <c r="I485" s="25">
        <f>IFERROR(__xludf.DUMMYFUNCTION("""COMPUTED_VALUE"""),292.5)</f>
        <v>292.5</v>
      </c>
      <c r="J485" s="25">
        <f>IFERROR(__xludf.DUMMYFUNCTION("""COMPUTED_VALUE"""),295.0)</f>
        <v>295</v>
      </c>
      <c r="K485" s="25">
        <f>IFERROR(__xludf.DUMMYFUNCTION("""COMPUTED_VALUE"""),276.25)</f>
        <v>276.25</v>
      </c>
      <c r="L485" s="25">
        <f>IFERROR(__xludf.DUMMYFUNCTION("""COMPUTED_VALUE"""),280.13)</f>
        <v>280.13</v>
      </c>
      <c r="M485" s="25">
        <f>IFERROR(__xludf.DUMMYFUNCTION("""COMPUTED_VALUE"""),1279575.0)</f>
        <v>1279575</v>
      </c>
    </row>
    <row r="486">
      <c r="A486" s="26">
        <f>IFERROR(__xludf.DUMMYFUNCTION("""COMPUTED_VALUE"""),39064.645833333336)</f>
        <v>39064.64583</v>
      </c>
      <c r="B486" s="9">
        <f>IFERROR(__xludf.DUMMYFUNCTION("""COMPUTED_VALUE"""),270.75)</f>
        <v>270.75</v>
      </c>
      <c r="C486" s="9">
        <f>IFERROR(__xludf.DUMMYFUNCTION("""COMPUTED_VALUE"""),272.5)</f>
        <v>272.5</v>
      </c>
      <c r="D486" s="9">
        <f>IFERROR(__xludf.DUMMYFUNCTION("""COMPUTED_VALUE"""),265.66)</f>
        <v>265.66</v>
      </c>
      <c r="E486" s="9">
        <f>IFERROR(__xludf.DUMMYFUNCTION("""COMPUTED_VALUE"""),268.71)</f>
        <v>268.71</v>
      </c>
      <c r="F486" s="9">
        <f>IFERROR(__xludf.DUMMYFUNCTION("""COMPUTED_VALUE"""),1560477.0)</f>
        <v>1560477</v>
      </c>
      <c r="H486" s="27">
        <f>IFERROR(__xludf.DUMMYFUNCTION("""COMPUTED_VALUE"""),39064.645833333336)</f>
        <v>39064.64583</v>
      </c>
      <c r="I486" s="25">
        <f>IFERROR(__xludf.DUMMYFUNCTION("""COMPUTED_VALUE"""),280.13)</f>
        <v>280.13</v>
      </c>
      <c r="J486" s="25">
        <f>IFERROR(__xludf.DUMMYFUNCTION("""COMPUTED_VALUE"""),285.25)</f>
        <v>285.25</v>
      </c>
      <c r="K486" s="25">
        <f>IFERROR(__xludf.DUMMYFUNCTION("""COMPUTED_VALUE"""),270.09)</f>
        <v>270.09</v>
      </c>
      <c r="L486" s="25">
        <f>IFERROR(__xludf.DUMMYFUNCTION("""COMPUTED_VALUE"""),280.21)</f>
        <v>280.21</v>
      </c>
      <c r="M486" s="25">
        <f>IFERROR(__xludf.DUMMYFUNCTION("""COMPUTED_VALUE"""),904305.0)</f>
        <v>904305</v>
      </c>
    </row>
    <row r="487">
      <c r="A487" s="26">
        <f>IFERROR(__xludf.DUMMYFUNCTION("""COMPUTED_VALUE"""),39065.645833333336)</f>
        <v>39065.64583</v>
      </c>
      <c r="B487" s="9">
        <f>IFERROR(__xludf.DUMMYFUNCTION("""COMPUTED_VALUE"""),271.25)</f>
        <v>271.25</v>
      </c>
      <c r="C487" s="9">
        <f>IFERROR(__xludf.DUMMYFUNCTION("""COMPUTED_VALUE"""),275.96)</f>
        <v>275.96</v>
      </c>
      <c r="D487" s="9">
        <f>IFERROR(__xludf.DUMMYFUNCTION("""COMPUTED_VALUE"""),270.13)</f>
        <v>270.13</v>
      </c>
      <c r="E487" s="9">
        <f>IFERROR(__xludf.DUMMYFUNCTION("""COMPUTED_VALUE"""),274.51)</f>
        <v>274.51</v>
      </c>
      <c r="F487" s="9">
        <f>IFERROR(__xludf.DUMMYFUNCTION("""COMPUTED_VALUE"""),918497.0)</f>
        <v>918497</v>
      </c>
      <c r="H487" s="27">
        <f>IFERROR(__xludf.DUMMYFUNCTION("""COMPUTED_VALUE"""),39065.645833333336)</f>
        <v>39065.64583</v>
      </c>
      <c r="I487" s="25">
        <f>IFERROR(__xludf.DUMMYFUNCTION("""COMPUTED_VALUE"""),276.26)</f>
        <v>276.26</v>
      </c>
      <c r="J487" s="25">
        <f>IFERROR(__xludf.DUMMYFUNCTION("""COMPUTED_VALUE"""),290.0)</f>
        <v>290</v>
      </c>
      <c r="K487" s="25">
        <f>IFERROR(__xludf.DUMMYFUNCTION("""COMPUTED_VALUE"""),276.26)</f>
        <v>276.26</v>
      </c>
      <c r="L487" s="25">
        <f>IFERROR(__xludf.DUMMYFUNCTION("""COMPUTED_VALUE"""),287.4)</f>
        <v>287.4</v>
      </c>
      <c r="M487" s="25">
        <f>IFERROR(__xludf.DUMMYFUNCTION("""COMPUTED_VALUE"""),729006.0)</f>
        <v>729006</v>
      </c>
    </row>
    <row r="488">
      <c r="A488" s="26">
        <f>IFERROR(__xludf.DUMMYFUNCTION("""COMPUTED_VALUE"""),39066.645833333336)</f>
        <v>39066.64583</v>
      </c>
      <c r="B488" s="9">
        <f>IFERROR(__xludf.DUMMYFUNCTION("""COMPUTED_VALUE"""),274.38)</f>
        <v>274.38</v>
      </c>
      <c r="C488" s="9">
        <f>IFERROR(__xludf.DUMMYFUNCTION("""COMPUTED_VALUE"""),280.0)</f>
        <v>280</v>
      </c>
      <c r="D488" s="9">
        <f>IFERROR(__xludf.DUMMYFUNCTION("""COMPUTED_VALUE"""),274.38)</f>
        <v>274.38</v>
      </c>
      <c r="E488" s="9">
        <f>IFERROR(__xludf.DUMMYFUNCTION("""COMPUTED_VALUE"""),279.19)</f>
        <v>279.19</v>
      </c>
      <c r="F488" s="9">
        <f>IFERROR(__xludf.DUMMYFUNCTION("""COMPUTED_VALUE"""),1078563.0)</f>
        <v>1078563</v>
      </c>
      <c r="H488" s="27">
        <f>IFERROR(__xludf.DUMMYFUNCTION("""COMPUTED_VALUE"""),39066.645833333336)</f>
        <v>39066.64583</v>
      </c>
      <c r="I488" s="25">
        <f>IFERROR(__xludf.DUMMYFUNCTION("""COMPUTED_VALUE"""),292.1)</f>
        <v>292.1</v>
      </c>
      <c r="J488" s="25">
        <f>IFERROR(__xludf.DUMMYFUNCTION("""COMPUTED_VALUE"""),292.1)</f>
        <v>292.1</v>
      </c>
      <c r="K488" s="25">
        <f>IFERROR(__xludf.DUMMYFUNCTION("""COMPUTED_VALUE"""),287.0)</f>
        <v>287</v>
      </c>
      <c r="L488" s="25">
        <f>IFERROR(__xludf.DUMMYFUNCTION("""COMPUTED_VALUE"""),290.05)</f>
        <v>290.05</v>
      </c>
      <c r="M488" s="25">
        <f>IFERROR(__xludf.DUMMYFUNCTION("""COMPUTED_VALUE"""),576429.0)</f>
        <v>576429</v>
      </c>
    </row>
    <row r="489">
      <c r="A489" s="26">
        <f>IFERROR(__xludf.DUMMYFUNCTION("""COMPUTED_VALUE"""),39069.645833333336)</f>
        <v>39069.64583</v>
      </c>
      <c r="B489" s="9">
        <f>IFERROR(__xludf.DUMMYFUNCTION("""COMPUTED_VALUE"""),279.75)</f>
        <v>279.75</v>
      </c>
      <c r="C489" s="9">
        <f>IFERROR(__xludf.DUMMYFUNCTION("""COMPUTED_VALUE"""),282.5)</f>
        <v>282.5</v>
      </c>
      <c r="D489" s="9">
        <f>IFERROR(__xludf.DUMMYFUNCTION("""COMPUTED_VALUE"""),272.76)</f>
        <v>272.76</v>
      </c>
      <c r="E489" s="9">
        <f>IFERROR(__xludf.DUMMYFUNCTION("""COMPUTED_VALUE"""),278.06)</f>
        <v>278.06</v>
      </c>
      <c r="F489" s="9">
        <f>IFERROR(__xludf.DUMMYFUNCTION("""COMPUTED_VALUE"""),1971674.0)</f>
        <v>1971674</v>
      </c>
      <c r="H489" s="27">
        <f>IFERROR(__xludf.DUMMYFUNCTION("""COMPUTED_VALUE"""),39069.645833333336)</f>
        <v>39069.64583</v>
      </c>
      <c r="I489" s="25">
        <f>IFERROR(__xludf.DUMMYFUNCTION("""COMPUTED_VALUE"""),288.75)</f>
        <v>288.75</v>
      </c>
      <c r="J489" s="25">
        <f>IFERROR(__xludf.DUMMYFUNCTION("""COMPUTED_VALUE"""),297.1)</f>
        <v>297.1</v>
      </c>
      <c r="K489" s="25">
        <f>IFERROR(__xludf.DUMMYFUNCTION("""COMPUTED_VALUE"""),281.0)</f>
        <v>281</v>
      </c>
      <c r="L489" s="25">
        <f>IFERROR(__xludf.DUMMYFUNCTION("""COMPUTED_VALUE"""),295.31)</f>
        <v>295.31</v>
      </c>
      <c r="M489" s="25">
        <f>IFERROR(__xludf.DUMMYFUNCTION("""COMPUTED_VALUE"""),587856.0)</f>
        <v>587856</v>
      </c>
    </row>
    <row r="490">
      <c r="A490" s="26">
        <f>IFERROR(__xludf.DUMMYFUNCTION("""COMPUTED_VALUE"""),39070.645833333336)</f>
        <v>39070.64583</v>
      </c>
      <c r="B490" s="9">
        <f>IFERROR(__xludf.DUMMYFUNCTION("""COMPUTED_VALUE"""),276.26)</f>
        <v>276.26</v>
      </c>
      <c r="C490" s="9">
        <f>IFERROR(__xludf.DUMMYFUNCTION("""COMPUTED_VALUE"""),276.52)</f>
        <v>276.52</v>
      </c>
      <c r="D490" s="9">
        <f>IFERROR(__xludf.DUMMYFUNCTION("""COMPUTED_VALUE"""),266.88)</f>
        <v>266.88</v>
      </c>
      <c r="E490" s="9">
        <f>IFERROR(__xludf.DUMMYFUNCTION("""COMPUTED_VALUE"""),269.7)</f>
        <v>269.7</v>
      </c>
      <c r="F490" s="9">
        <f>IFERROR(__xludf.DUMMYFUNCTION("""COMPUTED_VALUE"""),2241204.0)</f>
        <v>2241204</v>
      </c>
      <c r="H490" s="27">
        <f>IFERROR(__xludf.DUMMYFUNCTION("""COMPUTED_VALUE"""),39070.645833333336)</f>
        <v>39070.64583</v>
      </c>
      <c r="I490" s="25">
        <f>IFERROR(__xludf.DUMMYFUNCTION("""COMPUTED_VALUE"""),295.25)</f>
        <v>295.25</v>
      </c>
      <c r="J490" s="25">
        <f>IFERROR(__xludf.DUMMYFUNCTION("""COMPUTED_VALUE"""),295.95)</f>
        <v>295.95</v>
      </c>
      <c r="K490" s="25">
        <f>IFERROR(__xludf.DUMMYFUNCTION("""COMPUTED_VALUE"""),281.25)</f>
        <v>281.25</v>
      </c>
      <c r="L490" s="25">
        <f>IFERROR(__xludf.DUMMYFUNCTION("""COMPUTED_VALUE"""),285.46)</f>
        <v>285.46</v>
      </c>
      <c r="M490" s="25">
        <f>IFERROR(__xludf.DUMMYFUNCTION("""COMPUTED_VALUE"""),905907.0)</f>
        <v>905907</v>
      </c>
    </row>
    <row r="491">
      <c r="A491" s="26">
        <f>IFERROR(__xludf.DUMMYFUNCTION("""COMPUTED_VALUE"""),39071.645833333336)</f>
        <v>39071.64583</v>
      </c>
      <c r="B491" s="9">
        <f>IFERROR(__xludf.DUMMYFUNCTION("""COMPUTED_VALUE"""),270.63)</f>
        <v>270.63</v>
      </c>
      <c r="C491" s="9">
        <f>IFERROR(__xludf.DUMMYFUNCTION("""COMPUTED_VALUE"""),274.88)</f>
        <v>274.88</v>
      </c>
      <c r="D491" s="9">
        <f>IFERROR(__xludf.DUMMYFUNCTION("""COMPUTED_VALUE"""),268.88)</f>
        <v>268.88</v>
      </c>
      <c r="E491" s="9">
        <f>IFERROR(__xludf.DUMMYFUNCTION("""COMPUTED_VALUE"""),271.34)</f>
        <v>271.34</v>
      </c>
      <c r="F491" s="9">
        <f>IFERROR(__xludf.DUMMYFUNCTION("""COMPUTED_VALUE"""),1266426.0)</f>
        <v>1266426</v>
      </c>
      <c r="H491" s="27">
        <f>IFERROR(__xludf.DUMMYFUNCTION("""COMPUTED_VALUE"""),39071.645833333336)</f>
        <v>39071.64583</v>
      </c>
      <c r="I491" s="25">
        <f>IFERROR(__xludf.DUMMYFUNCTION("""COMPUTED_VALUE"""),287.5)</f>
        <v>287.5</v>
      </c>
      <c r="J491" s="25">
        <f>IFERROR(__xludf.DUMMYFUNCTION("""COMPUTED_VALUE"""),291.96)</f>
        <v>291.96</v>
      </c>
      <c r="K491" s="25">
        <f>IFERROR(__xludf.DUMMYFUNCTION("""COMPUTED_VALUE"""),278.76)</f>
        <v>278.76</v>
      </c>
      <c r="L491" s="25">
        <f>IFERROR(__xludf.DUMMYFUNCTION("""COMPUTED_VALUE"""),282.19)</f>
        <v>282.19</v>
      </c>
      <c r="M491" s="25">
        <f>IFERROR(__xludf.DUMMYFUNCTION("""COMPUTED_VALUE"""),938915.0)</f>
        <v>938915</v>
      </c>
    </row>
    <row r="492">
      <c r="A492" s="26">
        <f>IFERROR(__xludf.DUMMYFUNCTION("""COMPUTED_VALUE"""),39072.645833333336)</f>
        <v>39072.64583</v>
      </c>
      <c r="B492" s="9">
        <f>IFERROR(__xludf.DUMMYFUNCTION("""COMPUTED_VALUE"""),271.88)</f>
        <v>271.88</v>
      </c>
      <c r="C492" s="9">
        <f>IFERROR(__xludf.DUMMYFUNCTION("""COMPUTED_VALUE"""),271.88)</f>
        <v>271.88</v>
      </c>
      <c r="D492" s="9">
        <f>IFERROR(__xludf.DUMMYFUNCTION("""COMPUTED_VALUE"""),268.13)</f>
        <v>268.13</v>
      </c>
      <c r="E492" s="9">
        <f>IFERROR(__xludf.DUMMYFUNCTION("""COMPUTED_VALUE"""),270.46)</f>
        <v>270.46</v>
      </c>
      <c r="F492" s="9">
        <f>IFERROR(__xludf.DUMMYFUNCTION("""COMPUTED_VALUE"""),835754.0)</f>
        <v>835754</v>
      </c>
      <c r="H492" s="27">
        <f>IFERROR(__xludf.DUMMYFUNCTION("""COMPUTED_VALUE"""),39072.645833333336)</f>
        <v>39072.64583</v>
      </c>
      <c r="I492" s="25">
        <f>IFERROR(__xludf.DUMMYFUNCTION("""COMPUTED_VALUE"""),284.25)</f>
        <v>284.25</v>
      </c>
      <c r="J492" s="25">
        <f>IFERROR(__xludf.DUMMYFUNCTION("""COMPUTED_VALUE"""),287.5)</f>
        <v>287.5</v>
      </c>
      <c r="K492" s="25">
        <f>IFERROR(__xludf.DUMMYFUNCTION("""COMPUTED_VALUE"""),277.75)</f>
        <v>277.75</v>
      </c>
      <c r="L492" s="25">
        <f>IFERROR(__xludf.DUMMYFUNCTION("""COMPUTED_VALUE"""),284.24)</f>
        <v>284.24</v>
      </c>
      <c r="M492" s="25">
        <f>IFERROR(__xludf.DUMMYFUNCTION("""COMPUTED_VALUE"""),563954.0)</f>
        <v>563954</v>
      </c>
    </row>
    <row r="493">
      <c r="A493" s="26">
        <f>IFERROR(__xludf.DUMMYFUNCTION("""COMPUTED_VALUE"""),39073.645833333336)</f>
        <v>39073.64583</v>
      </c>
      <c r="B493" s="9">
        <f>IFERROR(__xludf.DUMMYFUNCTION("""COMPUTED_VALUE"""),271.25)</f>
        <v>271.25</v>
      </c>
      <c r="C493" s="9">
        <f>IFERROR(__xludf.DUMMYFUNCTION("""COMPUTED_VALUE"""),272.63)</f>
        <v>272.63</v>
      </c>
      <c r="D493" s="9">
        <f>IFERROR(__xludf.DUMMYFUNCTION("""COMPUTED_VALUE"""),270.01)</f>
        <v>270.01</v>
      </c>
      <c r="E493" s="9">
        <f>IFERROR(__xludf.DUMMYFUNCTION("""COMPUTED_VALUE"""),271.73)</f>
        <v>271.73</v>
      </c>
      <c r="F493" s="9">
        <f>IFERROR(__xludf.DUMMYFUNCTION("""COMPUTED_VALUE"""),516939.0)</f>
        <v>516939</v>
      </c>
      <c r="H493" s="27">
        <f>IFERROR(__xludf.DUMMYFUNCTION("""COMPUTED_VALUE"""),39073.645833333336)</f>
        <v>39073.64583</v>
      </c>
      <c r="I493" s="25">
        <f>IFERROR(__xludf.DUMMYFUNCTION("""COMPUTED_VALUE"""),283.75)</f>
        <v>283.75</v>
      </c>
      <c r="J493" s="25">
        <f>IFERROR(__xludf.DUMMYFUNCTION("""COMPUTED_VALUE"""),290.0)</f>
        <v>290</v>
      </c>
      <c r="K493" s="25">
        <f>IFERROR(__xludf.DUMMYFUNCTION("""COMPUTED_VALUE"""),282.02)</f>
        <v>282.02</v>
      </c>
      <c r="L493" s="25">
        <f>IFERROR(__xludf.DUMMYFUNCTION("""COMPUTED_VALUE"""),288.49)</f>
        <v>288.49</v>
      </c>
      <c r="M493" s="25">
        <f>IFERROR(__xludf.DUMMYFUNCTION("""COMPUTED_VALUE"""),437504.0)</f>
        <v>437504</v>
      </c>
    </row>
    <row r="494">
      <c r="A494" s="26">
        <f>IFERROR(__xludf.DUMMYFUNCTION("""COMPUTED_VALUE"""),39077.645833333336)</f>
        <v>39077.64583</v>
      </c>
      <c r="B494" s="9">
        <f>IFERROR(__xludf.DUMMYFUNCTION("""COMPUTED_VALUE"""),270.63)</f>
        <v>270.63</v>
      </c>
      <c r="C494" s="9">
        <f>IFERROR(__xludf.DUMMYFUNCTION("""COMPUTED_VALUE"""),278.09)</f>
        <v>278.09</v>
      </c>
      <c r="D494" s="9">
        <f>IFERROR(__xludf.DUMMYFUNCTION("""COMPUTED_VALUE"""),270.63)</f>
        <v>270.63</v>
      </c>
      <c r="E494" s="9">
        <f>IFERROR(__xludf.DUMMYFUNCTION("""COMPUTED_VALUE"""),277.43)</f>
        <v>277.43</v>
      </c>
      <c r="F494" s="9">
        <f>IFERROR(__xludf.DUMMYFUNCTION("""COMPUTED_VALUE"""),758509.0)</f>
        <v>758509</v>
      </c>
      <c r="H494" s="27">
        <f>IFERROR(__xludf.DUMMYFUNCTION("""COMPUTED_VALUE"""),39077.645833333336)</f>
        <v>39077.64583</v>
      </c>
      <c r="I494" s="25">
        <f>IFERROR(__xludf.DUMMYFUNCTION("""COMPUTED_VALUE"""),288.25)</f>
        <v>288.25</v>
      </c>
      <c r="J494" s="25">
        <f>IFERROR(__xludf.DUMMYFUNCTION("""COMPUTED_VALUE"""),298.6)</f>
        <v>298.6</v>
      </c>
      <c r="K494" s="25">
        <f>IFERROR(__xludf.DUMMYFUNCTION("""COMPUTED_VALUE"""),288.25)</f>
        <v>288.25</v>
      </c>
      <c r="L494" s="25">
        <f>IFERROR(__xludf.DUMMYFUNCTION("""COMPUTED_VALUE"""),297.85)</f>
        <v>297.85</v>
      </c>
      <c r="M494" s="25">
        <f>IFERROR(__xludf.DUMMYFUNCTION("""COMPUTED_VALUE"""),449348.0)</f>
        <v>449348</v>
      </c>
    </row>
    <row r="495">
      <c r="A495" s="26">
        <f>IFERROR(__xludf.DUMMYFUNCTION("""COMPUTED_VALUE"""),39078.645833333336)</f>
        <v>39078.64583</v>
      </c>
      <c r="B495" s="9">
        <f>IFERROR(__xludf.DUMMYFUNCTION("""COMPUTED_VALUE"""),278.13)</f>
        <v>278.13</v>
      </c>
      <c r="C495" s="9">
        <f>IFERROR(__xludf.DUMMYFUNCTION("""COMPUTED_VALUE"""),282.4)</f>
        <v>282.4</v>
      </c>
      <c r="D495" s="9">
        <f>IFERROR(__xludf.DUMMYFUNCTION("""COMPUTED_VALUE"""),278.13)</f>
        <v>278.13</v>
      </c>
      <c r="E495" s="9">
        <f>IFERROR(__xludf.DUMMYFUNCTION("""COMPUTED_VALUE"""),281.58)</f>
        <v>281.58</v>
      </c>
      <c r="F495" s="9">
        <f>IFERROR(__xludf.DUMMYFUNCTION("""COMPUTED_VALUE"""),1079694.0)</f>
        <v>1079694</v>
      </c>
      <c r="H495" s="27">
        <f>IFERROR(__xludf.DUMMYFUNCTION("""COMPUTED_VALUE"""),39078.645833333336)</f>
        <v>39078.64583</v>
      </c>
      <c r="I495" s="25">
        <f>IFERROR(__xludf.DUMMYFUNCTION("""COMPUTED_VALUE"""),298.75)</f>
        <v>298.75</v>
      </c>
      <c r="J495" s="25">
        <f>IFERROR(__xludf.DUMMYFUNCTION("""COMPUTED_VALUE"""),301.5)</f>
        <v>301.5</v>
      </c>
      <c r="K495" s="25">
        <f>IFERROR(__xludf.DUMMYFUNCTION("""COMPUTED_VALUE"""),295.26)</f>
        <v>295.26</v>
      </c>
      <c r="L495" s="25">
        <f>IFERROR(__xludf.DUMMYFUNCTION("""COMPUTED_VALUE"""),299.0)</f>
        <v>299</v>
      </c>
      <c r="M495" s="25">
        <f>IFERROR(__xludf.DUMMYFUNCTION("""COMPUTED_VALUE"""),598600.0)</f>
        <v>598600</v>
      </c>
    </row>
    <row r="496">
      <c r="A496" s="26">
        <f>IFERROR(__xludf.DUMMYFUNCTION("""COMPUTED_VALUE"""),39079.645833333336)</f>
        <v>39079.64583</v>
      </c>
      <c r="B496" s="9">
        <f>IFERROR(__xludf.DUMMYFUNCTION("""COMPUTED_VALUE"""),284.38)</f>
        <v>284.38</v>
      </c>
      <c r="C496" s="9">
        <f>IFERROR(__xludf.DUMMYFUNCTION("""COMPUTED_VALUE"""),284.49)</f>
        <v>284.49</v>
      </c>
      <c r="D496" s="9">
        <f>IFERROR(__xludf.DUMMYFUNCTION("""COMPUTED_VALUE"""),280.06)</f>
        <v>280.06</v>
      </c>
      <c r="E496" s="9">
        <f>IFERROR(__xludf.DUMMYFUNCTION("""COMPUTED_VALUE"""),281.02)</f>
        <v>281.02</v>
      </c>
      <c r="F496" s="9">
        <f>IFERROR(__xludf.DUMMYFUNCTION("""COMPUTED_VALUE"""),1122702.0)</f>
        <v>1122702</v>
      </c>
      <c r="H496" s="27">
        <f>IFERROR(__xludf.DUMMYFUNCTION("""COMPUTED_VALUE"""),39079.645833333336)</f>
        <v>39079.64583</v>
      </c>
      <c r="I496" s="25">
        <f>IFERROR(__xludf.DUMMYFUNCTION("""COMPUTED_VALUE"""),301.35)</f>
        <v>301.35</v>
      </c>
      <c r="J496" s="25">
        <f>IFERROR(__xludf.DUMMYFUNCTION("""COMPUTED_VALUE"""),305.0)</f>
        <v>305</v>
      </c>
      <c r="K496" s="25">
        <f>IFERROR(__xludf.DUMMYFUNCTION("""COMPUTED_VALUE"""),297.0)</f>
        <v>297</v>
      </c>
      <c r="L496" s="25">
        <f>IFERROR(__xludf.DUMMYFUNCTION("""COMPUTED_VALUE"""),302.98)</f>
        <v>302.98</v>
      </c>
      <c r="M496" s="25">
        <f>IFERROR(__xludf.DUMMYFUNCTION("""COMPUTED_VALUE"""),604577.0)</f>
        <v>604577</v>
      </c>
    </row>
    <row r="497">
      <c r="A497" s="26">
        <f>IFERROR(__xludf.DUMMYFUNCTION("""COMPUTED_VALUE"""),39080.645833333336)</f>
        <v>39080.64583</v>
      </c>
      <c r="B497" s="9">
        <f>IFERROR(__xludf.DUMMYFUNCTION("""COMPUTED_VALUE"""),281.5)</f>
        <v>281.5</v>
      </c>
      <c r="C497" s="9">
        <f>IFERROR(__xludf.DUMMYFUNCTION("""COMPUTED_VALUE"""),283.23)</f>
        <v>283.23</v>
      </c>
      <c r="D497" s="9">
        <f>IFERROR(__xludf.DUMMYFUNCTION("""COMPUTED_VALUE"""),278.29)</f>
        <v>278.29</v>
      </c>
      <c r="E497" s="9">
        <f>IFERROR(__xludf.DUMMYFUNCTION("""COMPUTED_VALUE"""),280.23)</f>
        <v>280.23</v>
      </c>
      <c r="F497" s="9">
        <f>IFERROR(__xludf.DUMMYFUNCTION("""COMPUTED_VALUE"""),761696.0)</f>
        <v>761696</v>
      </c>
      <c r="H497" s="27">
        <f>IFERROR(__xludf.DUMMYFUNCTION("""COMPUTED_VALUE"""),39080.645833333336)</f>
        <v>39080.64583</v>
      </c>
      <c r="I497" s="25">
        <f>IFERROR(__xludf.DUMMYFUNCTION("""COMPUTED_VALUE"""),303.36)</f>
        <v>303.36</v>
      </c>
      <c r="J497" s="25">
        <f>IFERROR(__xludf.DUMMYFUNCTION("""COMPUTED_VALUE"""),307.35)</f>
        <v>307.35</v>
      </c>
      <c r="K497" s="25">
        <f>IFERROR(__xludf.DUMMYFUNCTION("""COMPUTED_VALUE"""),300.63)</f>
        <v>300.63</v>
      </c>
      <c r="L497" s="25">
        <f>IFERROR(__xludf.DUMMYFUNCTION("""COMPUTED_VALUE"""),305.5)</f>
        <v>305.5</v>
      </c>
      <c r="M497" s="25">
        <f>IFERROR(__xludf.DUMMYFUNCTION("""COMPUTED_VALUE"""),468617.0)</f>
        <v>468617</v>
      </c>
    </row>
    <row r="498">
      <c r="A498" s="26">
        <f>IFERROR(__xludf.DUMMYFUNCTION("""COMPUTED_VALUE"""),39084.645833333336)</f>
        <v>39084.64583</v>
      </c>
      <c r="B498" s="9">
        <f>IFERROR(__xludf.DUMMYFUNCTION("""COMPUTED_VALUE"""),281.63)</f>
        <v>281.63</v>
      </c>
      <c r="C498" s="9">
        <f>IFERROR(__xludf.DUMMYFUNCTION("""COMPUTED_VALUE"""),287.13)</f>
        <v>287.13</v>
      </c>
      <c r="D498" s="9">
        <f>IFERROR(__xludf.DUMMYFUNCTION("""COMPUTED_VALUE"""),279.76)</f>
        <v>279.76</v>
      </c>
      <c r="E498" s="9">
        <f>IFERROR(__xludf.DUMMYFUNCTION("""COMPUTED_VALUE"""),284.08)</f>
        <v>284.08</v>
      </c>
      <c r="F498" s="9">
        <f>IFERROR(__xludf.DUMMYFUNCTION("""COMPUTED_VALUE"""),1078733.0)</f>
        <v>1078733</v>
      </c>
      <c r="H498" s="27">
        <f>IFERROR(__xludf.DUMMYFUNCTION("""COMPUTED_VALUE"""),39084.645833333336)</f>
        <v>39084.64583</v>
      </c>
      <c r="I498" s="25">
        <f>IFERROR(__xludf.DUMMYFUNCTION("""COMPUTED_VALUE"""),307.35)</f>
        <v>307.35</v>
      </c>
      <c r="J498" s="25">
        <f>IFERROR(__xludf.DUMMYFUNCTION("""COMPUTED_VALUE"""),314.5)</f>
        <v>314.5</v>
      </c>
      <c r="K498" s="25">
        <f>IFERROR(__xludf.DUMMYFUNCTION("""COMPUTED_VALUE"""),304.0)</f>
        <v>304</v>
      </c>
      <c r="L498" s="25">
        <f>IFERROR(__xludf.DUMMYFUNCTION("""COMPUTED_VALUE"""),312.13)</f>
        <v>312.13</v>
      </c>
      <c r="M498" s="25">
        <f>IFERROR(__xludf.DUMMYFUNCTION("""COMPUTED_VALUE"""),386265.0)</f>
        <v>386265</v>
      </c>
    </row>
    <row r="499">
      <c r="A499" s="26">
        <f>IFERROR(__xludf.DUMMYFUNCTION("""COMPUTED_VALUE"""),39085.645833333336)</f>
        <v>39085.64583</v>
      </c>
      <c r="B499" s="9">
        <f>IFERROR(__xludf.DUMMYFUNCTION("""COMPUTED_VALUE"""),284.08)</f>
        <v>284.08</v>
      </c>
      <c r="C499" s="9">
        <f>IFERROR(__xludf.DUMMYFUNCTION("""COMPUTED_VALUE"""),290.0)</f>
        <v>290</v>
      </c>
      <c r="D499" s="9">
        <f>IFERROR(__xludf.DUMMYFUNCTION("""COMPUTED_VALUE"""),284.08)</f>
        <v>284.08</v>
      </c>
      <c r="E499" s="9">
        <f>IFERROR(__xludf.DUMMYFUNCTION("""COMPUTED_VALUE"""),288.92)</f>
        <v>288.92</v>
      </c>
      <c r="F499" s="9">
        <f>IFERROR(__xludf.DUMMYFUNCTION("""COMPUTED_VALUE"""),1361157.0)</f>
        <v>1361157</v>
      </c>
      <c r="H499" s="27">
        <f>IFERROR(__xludf.DUMMYFUNCTION("""COMPUTED_VALUE"""),39085.645833333336)</f>
        <v>39085.64583</v>
      </c>
      <c r="I499" s="25">
        <f>IFERROR(__xludf.DUMMYFUNCTION("""COMPUTED_VALUE"""),313.25)</f>
        <v>313.25</v>
      </c>
      <c r="J499" s="25">
        <f>IFERROR(__xludf.DUMMYFUNCTION("""COMPUTED_VALUE"""),322.0)</f>
        <v>322</v>
      </c>
      <c r="K499" s="25">
        <f>IFERROR(__xludf.DUMMYFUNCTION("""COMPUTED_VALUE"""),309.79)</f>
        <v>309.79</v>
      </c>
      <c r="L499" s="25">
        <f>IFERROR(__xludf.DUMMYFUNCTION("""COMPUTED_VALUE"""),320.04)</f>
        <v>320.04</v>
      </c>
      <c r="M499" s="25">
        <f>IFERROR(__xludf.DUMMYFUNCTION("""COMPUTED_VALUE"""),1096243.0)</f>
        <v>1096243</v>
      </c>
    </row>
    <row r="500">
      <c r="A500" s="26">
        <f>IFERROR(__xludf.DUMMYFUNCTION("""COMPUTED_VALUE"""),39086.645833333336)</f>
        <v>39086.64583</v>
      </c>
      <c r="B500" s="9">
        <f>IFERROR(__xludf.DUMMYFUNCTION("""COMPUTED_VALUE"""),290.15)</f>
        <v>290.15</v>
      </c>
      <c r="C500" s="9">
        <f>IFERROR(__xludf.DUMMYFUNCTION("""COMPUTED_VALUE"""),290.63)</f>
        <v>290.63</v>
      </c>
      <c r="D500" s="9">
        <f>IFERROR(__xludf.DUMMYFUNCTION("""COMPUTED_VALUE"""),284.38)</f>
        <v>284.38</v>
      </c>
      <c r="E500" s="9">
        <f>IFERROR(__xludf.DUMMYFUNCTION("""COMPUTED_VALUE"""),285.66)</f>
        <v>285.66</v>
      </c>
      <c r="F500" s="9">
        <f>IFERROR(__xludf.DUMMYFUNCTION("""COMPUTED_VALUE"""),1097133.0)</f>
        <v>1097133</v>
      </c>
      <c r="H500" s="27">
        <f>IFERROR(__xludf.DUMMYFUNCTION("""COMPUTED_VALUE"""),39086.645833333336)</f>
        <v>39086.64583</v>
      </c>
      <c r="I500" s="25">
        <f>IFERROR(__xludf.DUMMYFUNCTION("""COMPUTED_VALUE"""),321.25)</f>
        <v>321.25</v>
      </c>
      <c r="J500" s="25">
        <f>IFERROR(__xludf.DUMMYFUNCTION("""COMPUTED_VALUE"""),321.25)</f>
        <v>321.25</v>
      </c>
      <c r="K500" s="25">
        <f>IFERROR(__xludf.DUMMYFUNCTION("""COMPUTED_VALUE"""),312.52)</f>
        <v>312.52</v>
      </c>
      <c r="L500" s="25">
        <f>IFERROR(__xludf.DUMMYFUNCTION("""COMPUTED_VALUE"""),314.76)</f>
        <v>314.76</v>
      </c>
      <c r="M500" s="25">
        <f>IFERROR(__xludf.DUMMYFUNCTION("""COMPUTED_VALUE"""),992675.0)</f>
        <v>992675</v>
      </c>
    </row>
    <row r="501">
      <c r="A501" s="26">
        <f>IFERROR(__xludf.DUMMYFUNCTION("""COMPUTED_VALUE"""),39087.645833333336)</f>
        <v>39087.64583</v>
      </c>
      <c r="B501" s="9">
        <f>IFERROR(__xludf.DUMMYFUNCTION("""COMPUTED_VALUE"""),285.75)</f>
        <v>285.75</v>
      </c>
      <c r="C501" s="9">
        <f>IFERROR(__xludf.DUMMYFUNCTION("""COMPUTED_VALUE"""),288.13)</f>
        <v>288.13</v>
      </c>
      <c r="D501" s="9">
        <f>IFERROR(__xludf.DUMMYFUNCTION("""COMPUTED_VALUE"""),281.94)</f>
        <v>281.94</v>
      </c>
      <c r="E501" s="9">
        <f>IFERROR(__xludf.DUMMYFUNCTION("""COMPUTED_VALUE"""),284.38)</f>
        <v>284.38</v>
      </c>
      <c r="F501" s="9">
        <f>IFERROR(__xludf.DUMMYFUNCTION("""COMPUTED_VALUE"""),877744.0)</f>
        <v>877744</v>
      </c>
      <c r="H501" s="27">
        <f>IFERROR(__xludf.DUMMYFUNCTION("""COMPUTED_VALUE"""),39087.645833333336)</f>
        <v>39087.64583</v>
      </c>
      <c r="I501" s="25">
        <f>IFERROR(__xludf.DUMMYFUNCTION("""COMPUTED_VALUE"""),316.25)</f>
        <v>316.25</v>
      </c>
      <c r="J501" s="25">
        <f>IFERROR(__xludf.DUMMYFUNCTION("""COMPUTED_VALUE"""),317.15)</f>
        <v>317.15</v>
      </c>
      <c r="K501" s="25">
        <f>IFERROR(__xludf.DUMMYFUNCTION("""COMPUTED_VALUE"""),313.27)</f>
        <v>313.27</v>
      </c>
      <c r="L501" s="25">
        <f>IFERROR(__xludf.DUMMYFUNCTION("""COMPUTED_VALUE"""),315.75)</f>
        <v>315.75</v>
      </c>
      <c r="M501" s="25">
        <f>IFERROR(__xludf.DUMMYFUNCTION("""COMPUTED_VALUE"""),679685.0)</f>
        <v>679685</v>
      </c>
    </row>
    <row r="502">
      <c r="A502" s="26">
        <f>IFERROR(__xludf.DUMMYFUNCTION("""COMPUTED_VALUE"""),39090.645833333336)</f>
        <v>39090.64583</v>
      </c>
      <c r="B502" s="9">
        <f>IFERROR(__xludf.DUMMYFUNCTION("""COMPUTED_VALUE"""),284.38)</f>
        <v>284.38</v>
      </c>
      <c r="C502" s="9">
        <f>IFERROR(__xludf.DUMMYFUNCTION("""COMPUTED_VALUE"""),285.0)</f>
        <v>285</v>
      </c>
      <c r="D502" s="9">
        <f>IFERROR(__xludf.DUMMYFUNCTION("""COMPUTED_VALUE"""),274.06)</f>
        <v>274.06</v>
      </c>
      <c r="E502" s="9">
        <f>IFERROR(__xludf.DUMMYFUNCTION("""COMPUTED_VALUE"""),275.7)</f>
        <v>275.7</v>
      </c>
      <c r="F502" s="9">
        <f>IFERROR(__xludf.DUMMYFUNCTION("""COMPUTED_VALUE"""),2310171.0)</f>
        <v>2310171</v>
      </c>
      <c r="H502" s="27">
        <f>IFERROR(__xludf.DUMMYFUNCTION("""COMPUTED_VALUE"""),39090.645833333336)</f>
        <v>39090.64583</v>
      </c>
      <c r="I502" s="25">
        <f>IFERROR(__xludf.DUMMYFUNCTION("""COMPUTED_VALUE"""),314.75)</f>
        <v>314.75</v>
      </c>
      <c r="J502" s="25">
        <f>IFERROR(__xludf.DUMMYFUNCTION("""COMPUTED_VALUE"""),314.75)</f>
        <v>314.75</v>
      </c>
      <c r="K502" s="25">
        <f>IFERROR(__xludf.DUMMYFUNCTION("""COMPUTED_VALUE"""),303.75)</f>
        <v>303.75</v>
      </c>
      <c r="L502" s="25">
        <f>IFERROR(__xludf.DUMMYFUNCTION("""COMPUTED_VALUE"""),310.95)</f>
        <v>310.95</v>
      </c>
      <c r="M502" s="25">
        <f>IFERROR(__xludf.DUMMYFUNCTION("""COMPUTED_VALUE"""),1237973.0)</f>
        <v>1237973</v>
      </c>
    </row>
    <row r="503">
      <c r="A503" s="26">
        <f>IFERROR(__xludf.DUMMYFUNCTION("""COMPUTED_VALUE"""),39091.645833333336)</f>
        <v>39091.64583</v>
      </c>
      <c r="B503" s="9">
        <f>IFERROR(__xludf.DUMMYFUNCTION("""COMPUTED_VALUE"""),277.0)</f>
        <v>277</v>
      </c>
      <c r="C503" s="9">
        <f>IFERROR(__xludf.DUMMYFUNCTION("""COMPUTED_VALUE"""),279.43)</f>
        <v>279.43</v>
      </c>
      <c r="D503" s="9">
        <f>IFERROR(__xludf.DUMMYFUNCTION("""COMPUTED_VALUE"""),271.68)</f>
        <v>271.68</v>
      </c>
      <c r="E503" s="9">
        <f>IFERROR(__xludf.DUMMYFUNCTION("""COMPUTED_VALUE"""),273.76)</f>
        <v>273.76</v>
      </c>
      <c r="F503" s="9">
        <f>IFERROR(__xludf.DUMMYFUNCTION("""COMPUTED_VALUE"""),1677051.0)</f>
        <v>1677051</v>
      </c>
      <c r="H503" s="27">
        <f>IFERROR(__xludf.DUMMYFUNCTION("""COMPUTED_VALUE"""),39091.645833333336)</f>
        <v>39091.64583</v>
      </c>
      <c r="I503" s="25">
        <f>IFERROR(__xludf.DUMMYFUNCTION("""COMPUTED_VALUE"""),311.98)</f>
        <v>311.98</v>
      </c>
      <c r="J503" s="25">
        <f>IFERROR(__xludf.DUMMYFUNCTION("""COMPUTED_VALUE"""),315.46)</f>
        <v>315.46</v>
      </c>
      <c r="K503" s="25">
        <f>IFERROR(__xludf.DUMMYFUNCTION("""COMPUTED_VALUE"""),306.31)</f>
        <v>306.31</v>
      </c>
      <c r="L503" s="25">
        <f>IFERROR(__xludf.DUMMYFUNCTION("""COMPUTED_VALUE"""),314.1)</f>
        <v>314.1</v>
      </c>
      <c r="M503" s="25">
        <f>IFERROR(__xludf.DUMMYFUNCTION("""COMPUTED_VALUE"""),1005142.0)</f>
        <v>1005142</v>
      </c>
    </row>
    <row r="504">
      <c r="A504" s="26">
        <f>IFERROR(__xludf.DUMMYFUNCTION("""COMPUTED_VALUE"""),39092.645833333336)</f>
        <v>39092.64583</v>
      </c>
      <c r="B504" s="9">
        <f>IFERROR(__xludf.DUMMYFUNCTION("""COMPUTED_VALUE"""),275.0)</f>
        <v>275</v>
      </c>
      <c r="C504" s="9">
        <f>IFERROR(__xludf.DUMMYFUNCTION("""COMPUTED_VALUE"""),275.0)</f>
        <v>275</v>
      </c>
      <c r="D504" s="9">
        <f>IFERROR(__xludf.DUMMYFUNCTION("""COMPUTED_VALUE"""),269.18)</f>
        <v>269.18</v>
      </c>
      <c r="E504" s="9">
        <f>IFERROR(__xludf.DUMMYFUNCTION("""COMPUTED_VALUE"""),270.56)</f>
        <v>270.56</v>
      </c>
      <c r="F504" s="9">
        <f>IFERROR(__xludf.DUMMYFUNCTION("""COMPUTED_VALUE"""),1894898.0)</f>
        <v>1894898</v>
      </c>
      <c r="H504" s="27">
        <f>IFERROR(__xludf.DUMMYFUNCTION("""COMPUTED_VALUE"""),39092.645833333336)</f>
        <v>39092.64583</v>
      </c>
      <c r="I504" s="25">
        <f>IFERROR(__xludf.DUMMYFUNCTION("""COMPUTED_VALUE"""),311.14)</f>
        <v>311.14</v>
      </c>
      <c r="J504" s="25">
        <f>IFERROR(__xludf.DUMMYFUNCTION("""COMPUTED_VALUE"""),313.75)</f>
        <v>313.75</v>
      </c>
      <c r="K504" s="25">
        <f>IFERROR(__xludf.DUMMYFUNCTION("""COMPUTED_VALUE"""),307.5)</f>
        <v>307.5</v>
      </c>
      <c r="L504" s="25">
        <f>IFERROR(__xludf.DUMMYFUNCTION("""COMPUTED_VALUE"""),308.85)</f>
        <v>308.85</v>
      </c>
      <c r="M504" s="25">
        <f>IFERROR(__xludf.DUMMYFUNCTION("""COMPUTED_VALUE"""),732857.0)</f>
        <v>732857</v>
      </c>
    </row>
    <row r="505">
      <c r="A505" s="26">
        <f>IFERROR(__xludf.DUMMYFUNCTION("""COMPUTED_VALUE"""),39093.645833333336)</f>
        <v>39093.64583</v>
      </c>
      <c r="B505" s="9">
        <f>IFERROR(__xludf.DUMMYFUNCTION("""COMPUTED_VALUE"""),272.63)</f>
        <v>272.63</v>
      </c>
      <c r="C505" s="9">
        <f>IFERROR(__xludf.DUMMYFUNCTION("""COMPUTED_VALUE"""),276.86)</f>
        <v>276.86</v>
      </c>
      <c r="D505" s="9">
        <f>IFERROR(__xludf.DUMMYFUNCTION("""COMPUTED_VALUE"""),261.89)</f>
        <v>261.89</v>
      </c>
      <c r="E505" s="9">
        <f>IFERROR(__xludf.DUMMYFUNCTION("""COMPUTED_VALUE"""),272.88)</f>
        <v>272.88</v>
      </c>
      <c r="F505" s="9">
        <f>IFERROR(__xludf.DUMMYFUNCTION("""COMPUTED_VALUE"""),4261526.0)</f>
        <v>4261526</v>
      </c>
      <c r="H505" s="27">
        <f>IFERROR(__xludf.DUMMYFUNCTION("""COMPUTED_VALUE"""),39093.645833333336)</f>
        <v>39093.64583</v>
      </c>
      <c r="I505" s="25">
        <f>IFERROR(__xludf.DUMMYFUNCTION("""COMPUTED_VALUE"""),299.73)</f>
        <v>299.73</v>
      </c>
      <c r="J505" s="25">
        <f>IFERROR(__xludf.DUMMYFUNCTION("""COMPUTED_VALUE"""),324.5)</f>
        <v>324.5</v>
      </c>
      <c r="K505" s="25">
        <f>IFERROR(__xludf.DUMMYFUNCTION("""COMPUTED_VALUE"""),299.73)</f>
        <v>299.73</v>
      </c>
      <c r="L505" s="25">
        <f>IFERROR(__xludf.DUMMYFUNCTION("""COMPUTED_VALUE"""),319.41)</f>
        <v>319.41</v>
      </c>
      <c r="M505" s="25">
        <f>IFERROR(__xludf.DUMMYFUNCTION("""COMPUTED_VALUE"""),1850166.0)</f>
        <v>1850166</v>
      </c>
    </row>
    <row r="506">
      <c r="A506" s="26">
        <f>IFERROR(__xludf.DUMMYFUNCTION("""COMPUTED_VALUE"""),39094.645833333336)</f>
        <v>39094.64583</v>
      </c>
      <c r="B506" s="9">
        <f>IFERROR(__xludf.DUMMYFUNCTION("""COMPUTED_VALUE"""),275.0)</f>
        <v>275</v>
      </c>
      <c r="C506" s="9">
        <f>IFERROR(__xludf.DUMMYFUNCTION("""COMPUTED_VALUE"""),278.96)</f>
        <v>278.96</v>
      </c>
      <c r="D506" s="9">
        <f>IFERROR(__xludf.DUMMYFUNCTION("""COMPUTED_VALUE"""),275.0)</f>
        <v>275</v>
      </c>
      <c r="E506" s="9">
        <f>IFERROR(__xludf.DUMMYFUNCTION("""COMPUTED_VALUE"""),277.93)</f>
        <v>277.93</v>
      </c>
      <c r="F506" s="9">
        <f>IFERROR(__xludf.DUMMYFUNCTION("""COMPUTED_VALUE"""),1729086.0)</f>
        <v>1729086</v>
      </c>
      <c r="H506" s="27">
        <f>IFERROR(__xludf.DUMMYFUNCTION("""COMPUTED_VALUE"""),39094.645833333336)</f>
        <v>39094.64583</v>
      </c>
      <c r="I506" s="25">
        <f>IFERROR(__xludf.DUMMYFUNCTION("""COMPUTED_VALUE"""),322.54)</f>
        <v>322.54</v>
      </c>
      <c r="J506" s="25">
        <f>IFERROR(__xludf.DUMMYFUNCTION("""COMPUTED_VALUE"""),332.25)</f>
        <v>332.25</v>
      </c>
      <c r="K506" s="25">
        <f>IFERROR(__xludf.DUMMYFUNCTION("""COMPUTED_VALUE"""),322.54)</f>
        <v>322.54</v>
      </c>
      <c r="L506" s="25">
        <f>IFERROR(__xludf.DUMMYFUNCTION("""COMPUTED_VALUE"""),330.99)</f>
        <v>330.99</v>
      </c>
      <c r="M506" s="25">
        <f>IFERROR(__xludf.DUMMYFUNCTION("""COMPUTED_VALUE"""),1543937.0)</f>
        <v>1543937</v>
      </c>
    </row>
    <row r="507">
      <c r="A507" s="26">
        <f>IFERROR(__xludf.DUMMYFUNCTION("""COMPUTED_VALUE"""),39097.645833333336)</f>
        <v>39097.64583</v>
      </c>
      <c r="B507" s="9">
        <f>IFERROR(__xludf.DUMMYFUNCTION("""COMPUTED_VALUE"""),279.12)</f>
        <v>279.12</v>
      </c>
      <c r="C507" s="9">
        <f>IFERROR(__xludf.DUMMYFUNCTION("""COMPUTED_VALUE"""),280.94)</f>
        <v>280.94</v>
      </c>
      <c r="D507" s="9">
        <f>IFERROR(__xludf.DUMMYFUNCTION("""COMPUTED_VALUE"""),278.75)</f>
        <v>278.75</v>
      </c>
      <c r="E507" s="9">
        <f>IFERROR(__xludf.DUMMYFUNCTION("""COMPUTED_VALUE"""),280.37)</f>
        <v>280.37</v>
      </c>
      <c r="F507" s="9">
        <f>IFERROR(__xludf.DUMMYFUNCTION("""COMPUTED_VALUE"""),1266845.0)</f>
        <v>1266845</v>
      </c>
      <c r="H507" s="27">
        <f>IFERROR(__xludf.DUMMYFUNCTION("""COMPUTED_VALUE"""),39097.645833333336)</f>
        <v>39097.64583</v>
      </c>
      <c r="I507" s="25">
        <f>IFERROR(__xludf.DUMMYFUNCTION("""COMPUTED_VALUE"""),337.5)</f>
        <v>337.5</v>
      </c>
      <c r="J507" s="25">
        <f>IFERROR(__xludf.DUMMYFUNCTION("""COMPUTED_VALUE"""),342.0)</f>
        <v>342</v>
      </c>
      <c r="K507" s="25">
        <f>IFERROR(__xludf.DUMMYFUNCTION("""COMPUTED_VALUE"""),325.01)</f>
        <v>325.01</v>
      </c>
      <c r="L507" s="25">
        <f>IFERROR(__xludf.DUMMYFUNCTION("""COMPUTED_VALUE"""),331.59)</f>
        <v>331.59</v>
      </c>
      <c r="M507" s="25">
        <f>IFERROR(__xludf.DUMMYFUNCTION("""COMPUTED_VALUE"""),3063958.0)</f>
        <v>3063958</v>
      </c>
    </row>
    <row r="508">
      <c r="A508" s="26">
        <f>IFERROR(__xludf.DUMMYFUNCTION("""COMPUTED_VALUE"""),39098.645833333336)</f>
        <v>39098.64583</v>
      </c>
      <c r="B508" s="9">
        <f>IFERROR(__xludf.DUMMYFUNCTION("""COMPUTED_VALUE"""),280.65)</f>
        <v>280.65</v>
      </c>
      <c r="C508" s="9">
        <f>IFERROR(__xludf.DUMMYFUNCTION("""COMPUTED_VALUE"""),281.25)</f>
        <v>281.25</v>
      </c>
      <c r="D508" s="9">
        <f>IFERROR(__xludf.DUMMYFUNCTION("""COMPUTED_VALUE"""),277.01)</f>
        <v>277.01</v>
      </c>
      <c r="E508" s="9">
        <f>IFERROR(__xludf.DUMMYFUNCTION("""COMPUTED_VALUE"""),277.77)</f>
        <v>277.77</v>
      </c>
      <c r="F508" s="9">
        <f>IFERROR(__xludf.DUMMYFUNCTION("""COMPUTED_VALUE"""),639226.0)</f>
        <v>639226</v>
      </c>
      <c r="H508" s="27">
        <f>IFERROR(__xludf.DUMMYFUNCTION("""COMPUTED_VALUE"""),39098.645833333336)</f>
        <v>39098.64583</v>
      </c>
      <c r="I508" s="25">
        <f>IFERROR(__xludf.DUMMYFUNCTION("""COMPUTED_VALUE"""),347.24)</f>
        <v>347.24</v>
      </c>
      <c r="J508" s="25">
        <f>IFERROR(__xludf.DUMMYFUNCTION("""COMPUTED_VALUE"""),347.24)</f>
        <v>347.24</v>
      </c>
      <c r="K508" s="25">
        <f>IFERROR(__xludf.DUMMYFUNCTION("""COMPUTED_VALUE"""),329.75)</f>
        <v>329.75</v>
      </c>
      <c r="L508" s="25">
        <f>IFERROR(__xludf.DUMMYFUNCTION("""COMPUTED_VALUE"""),331.03)</f>
        <v>331.03</v>
      </c>
      <c r="M508" s="25">
        <f>IFERROR(__xludf.DUMMYFUNCTION("""COMPUTED_VALUE"""),1906491.0)</f>
        <v>1906491</v>
      </c>
    </row>
    <row r="509">
      <c r="A509" s="26">
        <f>IFERROR(__xludf.DUMMYFUNCTION("""COMPUTED_VALUE"""),39099.645833333336)</f>
        <v>39099.64583</v>
      </c>
      <c r="B509" s="9">
        <f>IFERROR(__xludf.DUMMYFUNCTION("""COMPUTED_VALUE"""),280.63)</f>
        <v>280.63</v>
      </c>
      <c r="C509" s="9">
        <f>IFERROR(__xludf.DUMMYFUNCTION("""COMPUTED_VALUE"""),280.63)</f>
        <v>280.63</v>
      </c>
      <c r="D509" s="9">
        <f>IFERROR(__xludf.DUMMYFUNCTION("""COMPUTED_VALUE"""),274.64)</f>
        <v>274.64</v>
      </c>
      <c r="E509" s="9">
        <f>IFERROR(__xludf.DUMMYFUNCTION("""COMPUTED_VALUE"""),275.68)</f>
        <v>275.68</v>
      </c>
      <c r="F509" s="9">
        <f>IFERROR(__xludf.DUMMYFUNCTION("""COMPUTED_VALUE"""),1100425.0)</f>
        <v>1100425</v>
      </c>
      <c r="H509" s="27">
        <f>IFERROR(__xludf.DUMMYFUNCTION("""COMPUTED_VALUE"""),39099.645833333336)</f>
        <v>39099.64583</v>
      </c>
      <c r="I509" s="25">
        <f>IFERROR(__xludf.DUMMYFUNCTION("""COMPUTED_VALUE"""),332.48)</f>
        <v>332.48</v>
      </c>
      <c r="J509" s="25">
        <f>IFERROR(__xludf.DUMMYFUNCTION("""COMPUTED_VALUE"""),333.75)</f>
        <v>333.75</v>
      </c>
      <c r="K509" s="25">
        <f>IFERROR(__xludf.DUMMYFUNCTION("""COMPUTED_VALUE"""),325.0)</f>
        <v>325</v>
      </c>
      <c r="L509" s="25">
        <f>IFERROR(__xludf.DUMMYFUNCTION("""COMPUTED_VALUE"""),326.16)</f>
        <v>326.16</v>
      </c>
      <c r="M509" s="25">
        <f>IFERROR(__xludf.DUMMYFUNCTION("""COMPUTED_VALUE"""),658457.0)</f>
        <v>658457</v>
      </c>
    </row>
    <row r="510">
      <c r="A510" s="26">
        <f>IFERROR(__xludf.DUMMYFUNCTION("""COMPUTED_VALUE"""),39100.645833333336)</f>
        <v>39100.64583</v>
      </c>
      <c r="B510" s="9">
        <f>IFERROR(__xludf.DUMMYFUNCTION("""COMPUTED_VALUE"""),275.75)</f>
        <v>275.75</v>
      </c>
      <c r="C510" s="9">
        <f>IFERROR(__xludf.DUMMYFUNCTION("""COMPUTED_VALUE"""),279.13)</f>
        <v>279.13</v>
      </c>
      <c r="D510" s="9">
        <f>IFERROR(__xludf.DUMMYFUNCTION("""COMPUTED_VALUE"""),275.75)</f>
        <v>275.75</v>
      </c>
      <c r="E510" s="9">
        <f>IFERROR(__xludf.DUMMYFUNCTION("""COMPUTED_VALUE"""),278.02)</f>
        <v>278.02</v>
      </c>
      <c r="F510" s="9">
        <f>IFERROR(__xludf.DUMMYFUNCTION("""COMPUTED_VALUE"""),988269.0)</f>
        <v>988269</v>
      </c>
      <c r="H510" s="27">
        <f>IFERROR(__xludf.DUMMYFUNCTION("""COMPUTED_VALUE"""),39100.645833333336)</f>
        <v>39100.64583</v>
      </c>
      <c r="I510" s="25">
        <f>IFERROR(__xludf.DUMMYFUNCTION("""COMPUTED_VALUE"""),326.25)</f>
        <v>326.25</v>
      </c>
      <c r="J510" s="25">
        <f>IFERROR(__xludf.DUMMYFUNCTION("""COMPUTED_VALUE"""),331.49)</f>
        <v>331.49</v>
      </c>
      <c r="K510" s="25">
        <f>IFERROR(__xludf.DUMMYFUNCTION("""COMPUTED_VALUE"""),326.25)</f>
        <v>326.25</v>
      </c>
      <c r="L510" s="25">
        <f>IFERROR(__xludf.DUMMYFUNCTION("""COMPUTED_VALUE"""),328.86)</f>
        <v>328.86</v>
      </c>
      <c r="M510" s="25">
        <f>IFERROR(__xludf.DUMMYFUNCTION("""COMPUTED_VALUE"""),679954.0)</f>
        <v>679954</v>
      </c>
    </row>
    <row r="511">
      <c r="A511" s="26">
        <f>IFERROR(__xludf.DUMMYFUNCTION("""COMPUTED_VALUE"""),39101.645833333336)</f>
        <v>39101.64583</v>
      </c>
      <c r="B511" s="9">
        <f>IFERROR(__xludf.DUMMYFUNCTION("""COMPUTED_VALUE"""),278.13)</f>
        <v>278.13</v>
      </c>
      <c r="C511" s="9">
        <f>IFERROR(__xludf.DUMMYFUNCTION("""COMPUTED_VALUE"""),279.75)</f>
        <v>279.75</v>
      </c>
      <c r="D511" s="9">
        <f>IFERROR(__xludf.DUMMYFUNCTION("""COMPUTED_VALUE"""),273.13)</f>
        <v>273.13</v>
      </c>
      <c r="E511" s="9">
        <f>IFERROR(__xludf.DUMMYFUNCTION("""COMPUTED_VALUE"""),275.29)</f>
        <v>275.29</v>
      </c>
      <c r="F511" s="9">
        <f>IFERROR(__xludf.DUMMYFUNCTION("""COMPUTED_VALUE"""),1443893.0)</f>
        <v>1443893</v>
      </c>
      <c r="H511" s="27">
        <f>IFERROR(__xludf.DUMMYFUNCTION("""COMPUTED_VALUE"""),39101.645833333336)</f>
        <v>39101.64583</v>
      </c>
      <c r="I511" s="25">
        <f>IFERROR(__xludf.DUMMYFUNCTION("""COMPUTED_VALUE"""),328.86)</f>
        <v>328.86</v>
      </c>
      <c r="J511" s="25">
        <f>IFERROR(__xludf.DUMMYFUNCTION("""COMPUTED_VALUE"""),331.63)</f>
        <v>331.63</v>
      </c>
      <c r="K511" s="25">
        <f>IFERROR(__xludf.DUMMYFUNCTION("""COMPUTED_VALUE"""),323.04)</f>
        <v>323.04</v>
      </c>
      <c r="L511" s="25">
        <f>IFERROR(__xludf.DUMMYFUNCTION("""COMPUTED_VALUE"""),324.54)</f>
        <v>324.54</v>
      </c>
      <c r="M511" s="25">
        <f>IFERROR(__xludf.DUMMYFUNCTION("""COMPUTED_VALUE"""),720514.0)</f>
        <v>720514</v>
      </c>
    </row>
    <row r="512">
      <c r="A512" s="26">
        <f>IFERROR(__xludf.DUMMYFUNCTION("""COMPUTED_VALUE"""),39104.645833333336)</f>
        <v>39104.64583</v>
      </c>
      <c r="B512" s="9">
        <f>IFERROR(__xludf.DUMMYFUNCTION("""COMPUTED_VALUE"""),276.88)</f>
        <v>276.88</v>
      </c>
      <c r="C512" s="9">
        <f>IFERROR(__xludf.DUMMYFUNCTION("""COMPUTED_VALUE"""),282.5)</f>
        <v>282.5</v>
      </c>
      <c r="D512" s="9">
        <f>IFERROR(__xludf.DUMMYFUNCTION("""COMPUTED_VALUE"""),275.55)</f>
        <v>275.55</v>
      </c>
      <c r="E512" s="9">
        <f>IFERROR(__xludf.DUMMYFUNCTION("""COMPUTED_VALUE"""),281.75)</f>
        <v>281.75</v>
      </c>
      <c r="F512" s="9">
        <f>IFERROR(__xludf.DUMMYFUNCTION("""COMPUTED_VALUE"""),1215174.0)</f>
        <v>1215174</v>
      </c>
      <c r="H512" s="27">
        <f>IFERROR(__xludf.DUMMYFUNCTION("""COMPUTED_VALUE"""),39104.645833333336)</f>
        <v>39104.64583</v>
      </c>
      <c r="I512" s="25">
        <f>IFERROR(__xludf.DUMMYFUNCTION("""COMPUTED_VALUE"""),325.02)</f>
        <v>325.02</v>
      </c>
      <c r="J512" s="25">
        <f>IFERROR(__xludf.DUMMYFUNCTION("""COMPUTED_VALUE"""),330.6)</f>
        <v>330.6</v>
      </c>
      <c r="K512" s="25">
        <f>IFERROR(__xludf.DUMMYFUNCTION("""COMPUTED_VALUE"""),322.51)</f>
        <v>322.51</v>
      </c>
      <c r="L512" s="25">
        <f>IFERROR(__xludf.DUMMYFUNCTION("""COMPUTED_VALUE"""),328.36)</f>
        <v>328.36</v>
      </c>
      <c r="M512" s="25">
        <f>IFERROR(__xludf.DUMMYFUNCTION("""COMPUTED_VALUE"""),795239.0)</f>
        <v>795239</v>
      </c>
    </row>
    <row r="513">
      <c r="A513" s="26">
        <f>IFERROR(__xludf.DUMMYFUNCTION("""COMPUTED_VALUE"""),39105.645833333336)</f>
        <v>39105.64583</v>
      </c>
      <c r="B513" s="9">
        <f>IFERROR(__xludf.DUMMYFUNCTION("""COMPUTED_VALUE"""),281.0)</f>
        <v>281</v>
      </c>
      <c r="C513" s="9">
        <f>IFERROR(__xludf.DUMMYFUNCTION("""COMPUTED_VALUE"""),281.0)</f>
        <v>281</v>
      </c>
      <c r="D513" s="9">
        <f>IFERROR(__xludf.DUMMYFUNCTION("""COMPUTED_VALUE"""),277.52)</f>
        <v>277.52</v>
      </c>
      <c r="E513" s="9">
        <f>IFERROR(__xludf.DUMMYFUNCTION("""COMPUTED_VALUE"""),279.39)</f>
        <v>279.39</v>
      </c>
      <c r="F513" s="9">
        <f>IFERROR(__xludf.DUMMYFUNCTION("""COMPUTED_VALUE"""),863396.0)</f>
        <v>863396</v>
      </c>
      <c r="H513" s="27">
        <f>IFERROR(__xludf.DUMMYFUNCTION("""COMPUTED_VALUE"""),39105.645833333336)</f>
        <v>39105.64583</v>
      </c>
      <c r="I513" s="25">
        <f>IFERROR(__xludf.DUMMYFUNCTION("""COMPUTED_VALUE"""),328.28)</f>
        <v>328.28</v>
      </c>
      <c r="J513" s="25">
        <f>IFERROR(__xludf.DUMMYFUNCTION("""COMPUTED_VALUE"""),328.49)</f>
        <v>328.49</v>
      </c>
      <c r="K513" s="25">
        <f>IFERROR(__xludf.DUMMYFUNCTION("""COMPUTED_VALUE"""),325.0)</f>
        <v>325</v>
      </c>
      <c r="L513" s="25">
        <f>IFERROR(__xludf.DUMMYFUNCTION("""COMPUTED_VALUE"""),325.68)</f>
        <v>325.68</v>
      </c>
      <c r="M513" s="25">
        <f>IFERROR(__xludf.DUMMYFUNCTION("""COMPUTED_VALUE"""),781038.0)</f>
        <v>781038</v>
      </c>
    </row>
    <row r="514">
      <c r="A514" s="26">
        <f>IFERROR(__xludf.DUMMYFUNCTION("""COMPUTED_VALUE"""),39106.645833333336)</f>
        <v>39106.64583</v>
      </c>
      <c r="B514" s="9">
        <f>IFERROR(__xludf.DUMMYFUNCTION("""COMPUTED_VALUE"""),275.13)</f>
        <v>275.13</v>
      </c>
      <c r="C514" s="9">
        <f>IFERROR(__xludf.DUMMYFUNCTION("""COMPUTED_VALUE"""),282.13)</f>
        <v>282.13</v>
      </c>
      <c r="D514" s="9">
        <f>IFERROR(__xludf.DUMMYFUNCTION("""COMPUTED_VALUE"""),275.13)</f>
        <v>275.13</v>
      </c>
      <c r="E514" s="9">
        <f>IFERROR(__xludf.DUMMYFUNCTION("""COMPUTED_VALUE"""),279.26)</f>
        <v>279.26</v>
      </c>
      <c r="F514" s="9">
        <f>IFERROR(__xludf.DUMMYFUNCTION("""COMPUTED_VALUE"""),457610.0)</f>
        <v>457610</v>
      </c>
      <c r="H514" s="27">
        <f>IFERROR(__xludf.DUMMYFUNCTION("""COMPUTED_VALUE"""),39106.645833333336)</f>
        <v>39106.64583</v>
      </c>
      <c r="I514" s="25">
        <f>IFERROR(__xludf.DUMMYFUNCTION("""COMPUTED_VALUE"""),327.88)</f>
        <v>327.88</v>
      </c>
      <c r="J514" s="25">
        <f>IFERROR(__xludf.DUMMYFUNCTION("""COMPUTED_VALUE"""),328.5)</f>
        <v>328.5</v>
      </c>
      <c r="K514" s="25">
        <f>IFERROR(__xludf.DUMMYFUNCTION("""COMPUTED_VALUE"""),324.54)</f>
        <v>324.54</v>
      </c>
      <c r="L514" s="25">
        <f>IFERROR(__xludf.DUMMYFUNCTION("""COMPUTED_VALUE"""),326.79)</f>
        <v>326.79</v>
      </c>
      <c r="M514" s="25">
        <f>IFERROR(__xludf.DUMMYFUNCTION("""COMPUTED_VALUE"""),588787.0)</f>
        <v>588787</v>
      </c>
    </row>
    <row r="515">
      <c r="A515" s="26">
        <f>IFERROR(__xludf.DUMMYFUNCTION("""COMPUTED_VALUE"""),39107.645833333336)</f>
        <v>39107.64583</v>
      </c>
      <c r="B515" s="9">
        <f>IFERROR(__xludf.DUMMYFUNCTION("""COMPUTED_VALUE"""),280.13)</f>
        <v>280.13</v>
      </c>
      <c r="C515" s="9">
        <f>IFERROR(__xludf.DUMMYFUNCTION("""COMPUTED_VALUE"""),281.84)</f>
        <v>281.84</v>
      </c>
      <c r="D515" s="9">
        <f>IFERROR(__xludf.DUMMYFUNCTION("""COMPUTED_VALUE"""),277.68)</f>
        <v>277.68</v>
      </c>
      <c r="E515" s="9">
        <f>IFERROR(__xludf.DUMMYFUNCTION("""COMPUTED_VALUE"""),280.13)</f>
        <v>280.13</v>
      </c>
      <c r="F515" s="9">
        <f>IFERROR(__xludf.DUMMYFUNCTION("""COMPUTED_VALUE"""),849794.0)</f>
        <v>849794</v>
      </c>
      <c r="H515" s="27">
        <f>IFERROR(__xludf.DUMMYFUNCTION("""COMPUTED_VALUE"""),39107.645833333336)</f>
        <v>39107.64583</v>
      </c>
      <c r="I515" s="25">
        <f>IFERROR(__xludf.DUMMYFUNCTION("""COMPUTED_VALUE"""),331.25)</f>
        <v>331.25</v>
      </c>
      <c r="J515" s="25">
        <f>IFERROR(__xludf.DUMMYFUNCTION("""COMPUTED_VALUE"""),342.25)</f>
        <v>342.25</v>
      </c>
      <c r="K515" s="25">
        <f>IFERROR(__xludf.DUMMYFUNCTION("""COMPUTED_VALUE"""),325.73)</f>
        <v>325.73</v>
      </c>
      <c r="L515" s="25">
        <f>IFERROR(__xludf.DUMMYFUNCTION("""COMPUTED_VALUE"""),328.86)</f>
        <v>328.86</v>
      </c>
      <c r="M515" s="25">
        <f>IFERROR(__xludf.DUMMYFUNCTION("""COMPUTED_VALUE"""),1388494.0)</f>
        <v>1388494</v>
      </c>
    </row>
    <row r="516">
      <c r="A516" s="26">
        <f>IFERROR(__xludf.DUMMYFUNCTION("""COMPUTED_VALUE"""),39111.645833333336)</f>
        <v>39111.64583</v>
      </c>
      <c r="B516" s="9">
        <f>IFERROR(__xludf.DUMMYFUNCTION("""COMPUTED_VALUE"""),279.38)</f>
        <v>279.38</v>
      </c>
      <c r="C516" s="9">
        <f>IFERROR(__xludf.DUMMYFUNCTION("""COMPUTED_VALUE"""),281.88)</f>
        <v>281.88</v>
      </c>
      <c r="D516" s="9">
        <f>IFERROR(__xludf.DUMMYFUNCTION("""COMPUTED_VALUE"""),276.54)</f>
        <v>276.54</v>
      </c>
      <c r="E516" s="9">
        <f>IFERROR(__xludf.DUMMYFUNCTION("""COMPUTED_VALUE"""),280.55)</f>
        <v>280.55</v>
      </c>
      <c r="F516" s="9">
        <f>IFERROR(__xludf.DUMMYFUNCTION("""COMPUTED_VALUE"""),818864.0)</f>
        <v>818864</v>
      </c>
      <c r="H516" s="27">
        <f>IFERROR(__xludf.DUMMYFUNCTION("""COMPUTED_VALUE"""),39111.645833333336)</f>
        <v>39111.64583</v>
      </c>
      <c r="I516" s="25">
        <f>IFERROR(__xludf.DUMMYFUNCTION("""COMPUTED_VALUE"""),328.75)</f>
        <v>328.75</v>
      </c>
      <c r="J516" s="25">
        <f>IFERROR(__xludf.DUMMYFUNCTION("""COMPUTED_VALUE"""),328.75)</f>
        <v>328.75</v>
      </c>
      <c r="K516" s="25">
        <f>IFERROR(__xludf.DUMMYFUNCTION("""COMPUTED_VALUE"""),322.75)</f>
        <v>322.75</v>
      </c>
      <c r="L516" s="25">
        <f>IFERROR(__xludf.DUMMYFUNCTION("""COMPUTED_VALUE"""),324.44)</f>
        <v>324.44</v>
      </c>
      <c r="M516" s="25">
        <f>IFERROR(__xludf.DUMMYFUNCTION("""COMPUTED_VALUE"""),745581.0)</f>
        <v>745581</v>
      </c>
    </row>
    <row r="517">
      <c r="A517" s="26">
        <f>IFERROR(__xludf.DUMMYFUNCTION("""COMPUTED_VALUE"""),39113.645833333336)</f>
        <v>39113.64583</v>
      </c>
      <c r="B517" s="9">
        <f>IFERROR(__xludf.DUMMYFUNCTION("""COMPUTED_VALUE"""),280.0)</f>
        <v>280</v>
      </c>
      <c r="C517" s="9">
        <f>IFERROR(__xludf.DUMMYFUNCTION("""COMPUTED_VALUE"""),281.88)</f>
        <v>281.88</v>
      </c>
      <c r="D517" s="9">
        <f>IFERROR(__xludf.DUMMYFUNCTION("""COMPUTED_VALUE"""),277.67)</f>
        <v>277.67</v>
      </c>
      <c r="E517" s="9">
        <f>IFERROR(__xludf.DUMMYFUNCTION("""COMPUTED_VALUE"""),280.91)</f>
        <v>280.91</v>
      </c>
      <c r="F517" s="9">
        <f>IFERROR(__xludf.DUMMYFUNCTION("""COMPUTED_VALUE"""),1146388.0)</f>
        <v>1146388</v>
      </c>
      <c r="H517" s="27">
        <f>IFERROR(__xludf.DUMMYFUNCTION("""COMPUTED_VALUE"""),39113.645833333336)</f>
        <v>39113.64583</v>
      </c>
      <c r="I517" s="25">
        <f>IFERROR(__xludf.DUMMYFUNCTION("""COMPUTED_VALUE"""),324.27)</f>
        <v>324.27</v>
      </c>
      <c r="J517" s="25">
        <f>IFERROR(__xludf.DUMMYFUNCTION("""COMPUTED_VALUE"""),328.48)</f>
        <v>328.48</v>
      </c>
      <c r="K517" s="25">
        <f>IFERROR(__xludf.DUMMYFUNCTION("""COMPUTED_VALUE"""),318.0)</f>
        <v>318</v>
      </c>
      <c r="L517" s="25">
        <f>IFERROR(__xludf.DUMMYFUNCTION("""COMPUTED_VALUE"""),319.48)</f>
        <v>319.48</v>
      </c>
      <c r="M517" s="25">
        <f>IFERROR(__xludf.DUMMYFUNCTION("""COMPUTED_VALUE"""),1216482.0)</f>
        <v>1216482</v>
      </c>
    </row>
    <row r="518">
      <c r="A518" s="26">
        <f>IFERROR(__xludf.DUMMYFUNCTION("""COMPUTED_VALUE"""),39114.645833333336)</f>
        <v>39114.64583</v>
      </c>
      <c r="B518" s="9">
        <f>IFERROR(__xludf.DUMMYFUNCTION("""COMPUTED_VALUE"""),281.25)</f>
        <v>281.25</v>
      </c>
      <c r="C518" s="9">
        <f>IFERROR(__xludf.DUMMYFUNCTION("""COMPUTED_VALUE"""),284.38)</f>
        <v>284.38</v>
      </c>
      <c r="D518" s="9">
        <f>IFERROR(__xludf.DUMMYFUNCTION("""COMPUTED_VALUE"""),279.79)</f>
        <v>279.79</v>
      </c>
      <c r="E518" s="9">
        <f>IFERROR(__xludf.DUMMYFUNCTION("""COMPUTED_VALUE"""),283.62)</f>
        <v>283.62</v>
      </c>
      <c r="F518" s="9">
        <f>IFERROR(__xludf.DUMMYFUNCTION("""COMPUTED_VALUE"""),420908.0)</f>
        <v>420908</v>
      </c>
      <c r="H518" s="27">
        <f>IFERROR(__xludf.DUMMYFUNCTION("""COMPUTED_VALUE"""),39114.645833333336)</f>
        <v>39114.64583</v>
      </c>
      <c r="I518" s="25">
        <f>IFERROR(__xludf.DUMMYFUNCTION("""COMPUTED_VALUE"""),322.49)</f>
        <v>322.49</v>
      </c>
      <c r="J518" s="25">
        <f>IFERROR(__xludf.DUMMYFUNCTION("""COMPUTED_VALUE"""),323.75)</f>
        <v>323.75</v>
      </c>
      <c r="K518" s="25">
        <f>IFERROR(__xludf.DUMMYFUNCTION("""COMPUTED_VALUE"""),318.75)</f>
        <v>318.75</v>
      </c>
      <c r="L518" s="25">
        <f>IFERROR(__xludf.DUMMYFUNCTION("""COMPUTED_VALUE"""),323.01)</f>
        <v>323.01</v>
      </c>
      <c r="M518" s="25">
        <f>IFERROR(__xludf.DUMMYFUNCTION("""COMPUTED_VALUE"""),464976.0)</f>
        <v>464976</v>
      </c>
    </row>
    <row r="519">
      <c r="A519" s="26">
        <f>IFERROR(__xludf.DUMMYFUNCTION("""COMPUTED_VALUE"""),39115.645833333336)</f>
        <v>39115.64583</v>
      </c>
      <c r="B519" s="9">
        <f>IFERROR(__xludf.DUMMYFUNCTION("""COMPUTED_VALUE"""),284.38)</f>
        <v>284.38</v>
      </c>
      <c r="C519" s="9">
        <f>IFERROR(__xludf.DUMMYFUNCTION("""COMPUTED_VALUE"""),285.0)</f>
        <v>285</v>
      </c>
      <c r="D519" s="9">
        <f>IFERROR(__xludf.DUMMYFUNCTION("""COMPUTED_VALUE"""),280.26)</f>
        <v>280.26</v>
      </c>
      <c r="E519" s="9">
        <f>IFERROR(__xludf.DUMMYFUNCTION("""COMPUTED_VALUE"""),283.19)</f>
        <v>283.19</v>
      </c>
      <c r="F519" s="9">
        <f>IFERROR(__xludf.DUMMYFUNCTION("""COMPUTED_VALUE"""),1230365.0)</f>
        <v>1230365</v>
      </c>
      <c r="H519" s="27">
        <f>IFERROR(__xludf.DUMMYFUNCTION("""COMPUTED_VALUE"""),39115.645833333336)</f>
        <v>39115.64583</v>
      </c>
      <c r="I519" s="25">
        <f>IFERROR(__xludf.DUMMYFUNCTION("""COMPUTED_VALUE"""),324.75)</f>
        <v>324.75</v>
      </c>
      <c r="J519" s="25">
        <f>IFERROR(__xludf.DUMMYFUNCTION("""COMPUTED_VALUE"""),326.75)</f>
        <v>326.75</v>
      </c>
      <c r="K519" s="25">
        <f>IFERROR(__xludf.DUMMYFUNCTION("""COMPUTED_VALUE"""),323.76)</f>
        <v>323.76</v>
      </c>
      <c r="L519" s="25">
        <f>IFERROR(__xludf.DUMMYFUNCTION("""COMPUTED_VALUE"""),325.13)</f>
        <v>325.13</v>
      </c>
      <c r="M519" s="25">
        <f>IFERROR(__xludf.DUMMYFUNCTION("""COMPUTED_VALUE"""),1068654.0)</f>
        <v>1068654</v>
      </c>
    </row>
    <row r="520">
      <c r="A520" s="26">
        <f>IFERROR(__xludf.DUMMYFUNCTION("""COMPUTED_VALUE"""),39118.645833333336)</f>
        <v>39118.64583</v>
      </c>
      <c r="B520" s="9">
        <f>IFERROR(__xludf.DUMMYFUNCTION("""COMPUTED_VALUE"""),279.38)</f>
        <v>279.38</v>
      </c>
      <c r="C520" s="9">
        <f>IFERROR(__xludf.DUMMYFUNCTION("""COMPUTED_VALUE"""),284.55)</f>
        <v>284.55</v>
      </c>
      <c r="D520" s="9">
        <f>IFERROR(__xludf.DUMMYFUNCTION("""COMPUTED_VALUE"""),279.38)</f>
        <v>279.38</v>
      </c>
      <c r="E520" s="9">
        <f>IFERROR(__xludf.DUMMYFUNCTION("""COMPUTED_VALUE"""),283.66)</f>
        <v>283.66</v>
      </c>
      <c r="F520" s="9">
        <f>IFERROR(__xludf.DUMMYFUNCTION("""COMPUTED_VALUE"""),912384.0)</f>
        <v>912384</v>
      </c>
      <c r="H520" s="27">
        <f>IFERROR(__xludf.DUMMYFUNCTION("""COMPUTED_VALUE"""),39118.645833333336)</f>
        <v>39118.64583</v>
      </c>
      <c r="I520" s="25">
        <f>IFERROR(__xludf.DUMMYFUNCTION("""COMPUTED_VALUE"""),326.25)</f>
        <v>326.25</v>
      </c>
      <c r="J520" s="25">
        <f>IFERROR(__xludf.DUMMYFUNCTION("""COMPUTED_VALUE"""),328.48)</f>
        <v>328.48</v>
      </c>
      <c r="K520" s="25">
        <f>IFERROR(__xludf.DUMMYFUNCTION("""COMPUTED_VALUE"""),323.5)</f>
        <v>323.5</v>
      </c>
      <c r="L520" s="25">
        <f>IFERROR(__xludf.DUMMYFUNCTION("""COMPUTED_VALUE"""),326.45)</f>
        <v>326.45</v>
      </c>
      <c r="M520" s="25">
        <f>IFERROR(__xludf.DUMMYFUNCTION("""COMPUTED_VALUE"""),752684.0)</f>
        <v>752684</v>
      </c>
    </row>
    <row r="521">
      <c r="A521" s="26">
        <f>IFERROR(__xludf.DUMMYFUNCTION("""COMPUTED_VALUE"""),39119.645833333336)</f>
        <v>39119.64583</v>
      </c>
      <c r="B521" s="9">
        <f>IFERROR(__xludf.DUMMYFUNCTION("""COMPUTED_VALUE"""),283.75)</f>
        <v>283.75</v>
      </c>
      <c r="C521" s="9">
        <f>IFERROR(__xludf.DUMMYFUNCTION("""COMPUTED_VALUE"""),285.87)</f>
        <v>285.87</v>
      </c>
      <c r="D521" s="9">
        <f>IFERROR(__xludf.DUMMYFUNCTION("""COMPUTED_VALUE"""),282.5)</f>
        <v>282.5</v>
      </c>
      <c r="E521" s="9">
        <f>IFERROR(__xludf.DUMMYFUNCTION("""COMPUTED_VALUE"""),284.12)</f>
        <v>284.12</v>
      </c>
      <c r="F521" s="9">
        <f>IFERROR(__xludf.DUMMYFUNCTION("""COMPUTED_VALUE"""),820118.0)</f>
        <v>820118</v>
      </c>
      <c r="H521" s="27">
        <f>IFERROR(__xludf.DUMMYFUNCTION("""COMPUTED_VALUE"""),39119.645833333336)</f>
        <v>39119.64583</v>
      </c>
      <c r="I521" s="25">
        <f>IFERROR(__xludf.DUMMYFUNCTION("""COMPUTED_VALUE"""),328.25)</f>
        <v>328.25</v>
      </c>
      <c r="J521" s="25">
        <f>IFERROR(__xludf.DUMMYFUNCTION("""COMPUTED_VALUE"""),328.48)</f>
        <v>328.48</v>
      </c>
      <c r="K521" s="25">
        <f>IFERROR(__xludf.DUMMYFUNCTION("""COMPUTED_VALUE"""),322.51)</f>
        <v>322.51</v>
      </c>
      <c r="L521" s="25">
        <f>IFERROR(__xludf.DUMMYFUNCTION("""COMPUTED_VALUE"""),324.6)</f>
        <v>324.6</v>
      </c>
      <c r="M521" s="25">
        <f>IFERROR(__xludf.DUMMYFUNCTION("""COMPUTED_VALUE"""),852991.0)</f>
        <v>852991</v>
      </c>
    </row>
    <row r="522">
      <c r="A522" s="26">
        <f>IFERROR(__xludf.DUMMYFUNCTION("""COMPUTED_VALUE"""),39120.645833333336)</f>
        <v>39120.64583</v>
      </c>
      <c r="B522" s="9">
        <f>IFERROR(__xludf.DUMMYFUNCTION("""COMPUTED_VALUE"""),281.94)</f>
        <v>281.94</v>
      </c>
      <c r="C522" s="9">
        <f>IFERROR(__xludf.DUMMYFUNCTION("""COMPUTED_VALUE"""),296.25)</f>
        <v>296.25</v>
      </c>
      <c r="D522" s="9">
        <f>IFERROR(__xludf.DUMMYFUNCTION("""COMPUTED_VALUE"""),281.94)</f>
        <v>281.94</v>
      </c>
      <c r="E522" s="9">
        <f>IFERROR(__xludf.DUMMYFUNCTION("""COMPUTED_VALUE"""),294.63)</f>
        <v>294.63</v>
      </c>
      <c r="F522" s="9">
        <f>IFERROR(__xludf.DUMMYFUNCTION("""COMPUTED_VALUE"""),1812308.0)</f>
        <v>1812308</v>
      </c>
      <c r="H522" s="27">
        <f>IFERROR(__xludf.DUMMYFUNCTION("""COMPUTED_VALUE"""),39120.645833333336)</f>
        <v>39120.64583</v>
      </c>
      <c r="I522" s="25">
        <f>IFERROR(__xludf.DUMMYFUNCTION("""COMPUTED_VALUE"""),325.0)</f>
        <v>325</v>
      </c>
      <c r="J522" s="25">
        <f>IFERROR(__xludf.DUMMYFUNCTION("""COMPUTED_VALUE"""),328.1)</f>
        <v>328.1</v>
      </c>
      <c r="K522" s="25">
        <f>IFERROR(__xludf.DUMMYFUNCTION("""COMPUTED_VALUE"""),323.8)</f>
        <v>323.8</v>
      </c>
      <c r="L522" s="25">
        <f>IFERROR(__xludf.DUMMYFUNCTION("""COMPUTED_VALUE"""),326.58)</f>
        <v>326.58</v>
      </c>
      <c r="M522" s="25">
        <f>IFERROR(__xludf.DUMMYFUNCTION("""COMPUTED_VALUE"""),649996.0)</f>
        <v>649996</v>
      </c>
    </row>
    <row r="523">
      <c r="A523" s="26">
        <f>IFERROR(__xludf.DUMMYFUNCTION("""COMPUTED_VALUE"""),39121.645833333336)</f>
        <v>39121.64583</v>
      </c>
      <c r="B523" s="9">
        <f>IFERROR(__xludf.DUMMYFUNCTION("""COMPUTED_VALUE"""),295.63)</f>
        <v>295.63</v>
      </c>
      <c r="C523" s="9">
        <f>IFERROR(__xludf.DUMMYFUNCTION("""COMPUTED_VALUE"""),297.5)</f>
        <v>297.5</v>
      </c>
      <c r="D523" s="9">
        <f>IFERROR(__xludf.DUMMYFUNCTION("""COMPUTED_VALUE"""),291.7)</f>
        <v>291.7</v>
      </c>
      <c r="E523" s="9">
        <f>IFERROR(__xludf.DUMMYFUNCTION("""COMPUTED_VALUE"""),296.71)</f>
        <v>296.71</v>
      </c>
      <c r="F523" s="9">
        <f>IFERROR(__xludf.DUMMYFUNCTION("""COMPUTED_VALUE"""),821431.0)</f>
        <v>821431</v>
      </c>
      <c r="H523" s="27">
        <f>IFERROR(__xludf.DUMMYFUNCTION("""COMPUTED_VALUE"""),39121.645833333336)</f>
        <v>39121.64583</v>
      </c>
      <c r="I523" s="25">
        <f>IFERROR(__xludf.DUMMYFUNCTION("""COMPUTED_VALUE"""),327.85)</f>
        <v>327.85</v>
      </c>
      <c r="J523" s="25">
        <f>IFERROR(__xludf.DUMMYFUNCTION("""COMPUTED_VALUE"""),328.73)</f>
        <v>328.73</v>
      </c>
      <c r="K523" s="25">
        <f>IFERROR(__xludf.DUMMYFUNCTION("""COMPUTED_VALUE"""),324.34)</f>
        <v>324.34</v>
      </c>
      <c r="L523" s="25">
        <f>IFERROR(__xludf.DUMMYFUNCTION("""COMPUTED_VALUE"""),326.13)</f>
        <v>326.13</v>
      </c>
      <c r="M523" s="25">
        <f>IFERROR(__xludf.DUMMYFUNCTION("""COMPUTED_VALUE"""),662506.0)</f>
        <v>662506</v>
      </c>
    </row>
    <row r="524">
      <c r="A524" s="26">
        <f>IFERROR(__xludf.DUMMYFUNCTION("""COMPUTED_VALUE"""),39122.645833333336)</f>
        <v>39122.64583</v>
      </c>
      <c r="B524" s="9">
        <f>IFERROR(__xludf.DUMMYFUNCTION("""COMPUTED_VALUE"""),296.8)</f>
        <v>296.8</v>
      </c>
      <c r="C524" s="9">
        <f>IFERROR(__xludf.DUMMYFUNCTION("""COMPUTED_VALUE"""),299.75)</f>
        <v>299.75</v>
      </c>
      <c r="D524" s="9">
        <f>IFERROR(__xludf.DUMMYFUNCTION("""COMPUTED_VALUE"""),292.25)</f>
        <v>292.25</v>
      </c>
      <c r="E524" s="9">
        <f>IFERROR(__xludf.DUMMYFUNCTION("""COMPUTED_VALUE"""),295.16)</f>
        <v>295.16</v>
      </c>
      <c r="F524" s="9">
        <f>IFERROR(__xludf.DUMMYFUNCTION("""COMPUTED_VALUE"""),788101.0)</f>
        <v>788101</v>
      </c>
      <c r="H524" s="27">
        <f>IFERROR(__xludf.DUMMYFUNCTION("""COMPUTED_VALUE"""),39122.645833333336)</f>
        <v>39122.64583</v>
      </c>
      <c r="I524" s="25">
        <f>IFERROR(__xludf.DUMMYFUNCTION("""COMPUTED_VALUE"""),327.35)</f>
        <v>327.35</v>
      </c>
      <c r="J524" s="25">
        <f>IFERROR(__xludf.DUMMYFUNCTION("""COMPUTED_VALUE"""),329.36)</f>
        <v>329.36</v>
      </c>
      <c r="K524" s="25">
        <f>IFERROR(__xludf.DUMMYFUNCTION("""COMPUTED_VALUE"""),320.79)</f>
        <v>320.79</v>
      </c>
      <c r="L524" s="25">
        <f>IFERROR(__xludf.DUMMYFUNCTION("""COMPUTED_VALUE"""),321.85)</f>
        <v>321.85</v>
      </c>
      <c r="M524" s="25">
        <f>IFERROR(__xludf.DUMMYFUNCTION("""COMPUTED_VALUE"""),498340.0)</f>
        <v>498340</v>
      </c>
    </row>
    <row r="525">
      <c r="A525" s="26">
        <f>IFERROR(__xludf.DUMMYFUNCTION("""COMPUTED_VALUE"""),39125.645833333336)</f>
        <v>39125.64583</v>
      </c>
      <c r="B525" s="9">
        <f>IFERROR(__xludf.DUMMYFUNCTION("""COMPUTED_VALUE"""),291.88)</f>
        <v>291.88</v>
      </c>
      <c r="C525" s="9">
        <f>IFERROR(__xludf.DUMMYFUNCTION("""COMPUTED_VALUE"""),296.21)</f>
        <v>296.21</v>
      </c>
      <c r="D525" s="9">
        <f>IFERROR(__xludf.DUMMYFUNCTION("""COMPUTED_VALUE"""),288.89)</f>
        <v>288.89</v>
      </c>
      <c r="E525" s="9">
        <f>IFERROR(__xludf.DUMMYFUNCTION("""COMPUTED_VALUE"""),293.91)</f>
        <v>293.91</v>
      </c>
      <c r="F525" s="9">
        <f>IFERROR(__xludf.DUMMYFUNCTION("""COMPUTED_VALUE"""),608511.0)</f>
        <v>608511</v>
      </c>
      <c r="H525" s="27">
        <f>IFERROR(__xludf.DUMMYFUNCTION("""COMPUTED_VALUE"""),39125.645833333336)</f>
        <v>39125.64583</v>
      </c>
      <c r="I525" s="25">
        <f>IFERROR(__xludf.DUMMYFUNCTION("""COMPUTED_VALUE"""),312.5)</f>
        <v>312.5</v>
      </c>
      <c r="J525" s="25">
        <f>IFERROR(__xludf.DUMMYFUNCTION("""COMPUTED_VALUE"""),324.68)</f>
        <v>324.68</v>
      </c>
      <c r="K525" s="25">
        <f>IFERROR(__xludf.DUMMYFUNCTION("""COMPUTED_VALUE"""),312.5)</f>
        <v>312.5</v>
      </c>
      <c r="L525" s="25">
        <f>IFERROR(__xludf.DUMMYFUNCTION("""COMPUTED_VALUE"""),313.95)</f>
        <v>313.95</v>
      </c>
      <c r="M525" s="25">
        <f>IFERROR(__xludf.DUMMYFUNCTION("""COMPUTED_VALUE"""),446597.0)</f>
        <v>446597</v>
      </c>
    </row>
    <row r="526">
      <c r="A526" s="26">
        <f>IFERROR(__xludf.DUMMYFUNCTION("""COMPUTED_VALUE"""),39126.645833333336)</f>
        <v>39126.64583</v>
      </c>
      <c r="B526" s="9">
        <f>IFERROR(__xludf.DUMMYFUNCTION("""COMPUTED_VALUE"""),293.88)</f>
        <v>293.88</v>
      </c>
      <c r="C526" s="9">
        <f>IFERROR(__xludf.DUMMYFUNCTION("""COMPUTED_VALUE"""),294.81)</f>
        <v>294.81</v>
      </c>
      <c r="D526" s="9">
        <f>IFERROR(__xludf.DUMMYFUNCTION("""COMPUTED_VALUE"""),284.58)</f>
        <v>284.58</v>
      </c>
      <c r="E526" s="9">
        <f>IFERROR(__xludf.DUMMYFUNCTION("""COMPUTED_VALUE"""),288.02)</f>
        <v>288.02</v>
      </c>
      <c r="F526" s="9">
        <f>IFERROR(__xludf.DUMMYFUNCTION("""COMPUTED_VALUE"""),945127.0)</f>
        <v>945127</v>
      </c>
      <c r="H526" s="27">
        <f>IFERROR(__xludf.DUMMYFUNCTION("""COMPUTED_VALUE"""),39126.645833333336)</f>
        <v>39126.64583</v>
      </c>
      <c r="I526" s="25">
        <f>IFERROR(__xludf.DUMMYFUNCTION("""COMPUTED_VALUE"""),314.0)</f>
        <v>314</v>
      </c>
      <c r="J526" s="25">
        <f>IFERROR(__xludf.DUMMYFUNCTION("""COMPUTED_VALUE"""),321.23)</f>
        <v>321.23</v>
      </c>
      <c r="K526" s="25">
        <f>IFERROR(__xludf.DUMMYFUNCTION("""COMPUTED_VALUE"""),308.75)</f>
        <v>308.75</v>
      </c>
      <c r="L526" s="25">
        <f>IFERROR(__xludf.DUMMYFUNCTION("""COMPUTED_VALUE"""),313.23)</f>
        <v>313.23</v>
      </c>
      <c r="M526" s="25">
        <f>IFERROR(__xludf.DUMMYFUNCTION("""COMPUTED_VALUE"""),1032588.0)</f>
        <v>1032588</v>
      </c>
    </row>
    <row r="527">
      <c r="A527" s="26">
        <f>IFERROR(__xludf.DUMMYFUNCTION("""COMPUTED_VALUE"""),39127.645833333336)</f>
        <v>39127.64583</v>
      </c>
      <c r="B527" s="9">
        <f>IFERROR(__xludf.DUMMYFUNCTION("""COMPUTED_VALUE"""),285.27)</f>
        <v>285.27</v>
      </c>
      <c r="C527" s="9">
        <f>IFERROR(__xludf.DUMMYFUNCTION("""COMPUTED_VALUE"""),289.38)</f>
        <v>289.38</v>
      </c>
      <c r="D527" s="9">
        <f>IFERROR(__xludf.DUMMYFUNCTION("""COMPUTED_VALUE"""),282.71)</f>
        <v>282.71</v>
      </c>
      <c r="E527" s="9">
        <f>IFERROR(__xludf.DUMMYFUNCTION("""COMPUTED_VALUE"""),285.58)</f>
        <v>285.58</v>
      </c>
      <c r="F527" s="9">
        <f>IFERROR(__xludf.DUMMYFUNCTION("""COMPUTED_VALUE"""),1205275.0)</f>
        <v>1205275</v>
      </c>
      <c r="H527" s="27">
        <f>IFERROR(__xludf.DUMMYFUNCTION("""COMPUTED_VALUE"""),39127.645833333336)</f>
        <v>39127.64583</v>
      </c>
      <c r="I527" s="25">
        <f>IFERROR(__xludf.DUMMYFUNCTION("""COMPUTED_VALUE"""),313.25)</f>
        <v>313.25</v>
      </c>
      <c r="J527" s="25">
        <f>IFERROR(__xludf.DUMMYFUNCTION("""COMPUTED_VALUE"""),316.75)</f>
        <v>316.75</v>
      </c>
      <c r="K527" s="25">
        <f>IFERROR(__xludf.DUMMYFUNCTION("""COMPUTED_VALUE"""),310.0)</f>
        <v>310</v>
      </c>
      <c r="L527" s="25">
        <f>IFERROR(__xludf.DUMMYFUNCTION("""COMPUTED_VALUE"""),315.19)</f>
        <v>315.19</v>
      </c>
      <c r="M527" s="25">
        <f>IFERROR(__xludf.DUMMYFUNCTION("""COMPUTED_VALUE"""),784469.0)</f>
        <v>784469</v>
      </c>
    </row>
    <row r="528">
      <c r="A528" s="26">
        <f>IFERROR(__xludf.DUMMYFUNCTION("""COMPUTED_VALUE"""),39128.645833333336)</f>
        <v>39128.64583</v>
      </c>
      <c r="B528" s="9">
        <f>IFERROR(__xludf.DUMMYFUNCTION("""COMPUTED_VALUE"""),290.61)</f>
        <v>290.61</v>
      </c>
      <c r="C528" s="9">
        <f>IFERROR(__xludf.DUMMYFUNCTION("""COMPUTED_VALUE"""),301.88)</f>
        <v>301.88</v>
      </c>
      <c r="D528" s="9">
        <f>IFERROR(__xludf.DUMMYFUNCTION("""COMPUTED_VALUE"""),286.88)</f>
        <v>286.88</v>
      </c>
      <c r="E528" s="9">
        <f>IFERROR(__xludf.DUMMYFUNCTION("""COMPUTED_VALUE"""),297.87)</f>
        <v>297.87</v>
      </c>
      <c r="F528" s="9">
        <f>IFERROR(__xludf.DUMMYFUNCTION("""COMPUTED_VALUE"""),1247356.0)</f>
        <v>1247356</v>
      </c>
      <c r="H528" s="27">
        <f>IFERROR(__xludf.DUMMYFUNCTION("""COMPUTED_VALUE"""),39128.645833333336)</f>
        <v>39128.64583</v>
      </c>
      <c r="I528" s="25">
        <f>IFERROR(__xludf.DUMMYFUNCTION("""COMPUTED_VALUE"""),316.25)</f>
        <v>316.25</v>
      </c>
      <c r="J528" s="25">
        <f>IFERROR(__xludf.DUMMYFUNCTION("""COMPUTED_VALUE"""),325.0)</f>
        <v>325</v>
      </c>
      <c r="K528" s="25">
        <f>IFERROR(__xludf.DUMMYFUNCTION("""COMPUTED_VALUE"""),306.27)</f>
        <v>306.27</v>
      </c>
      <c r="L528" s="25">
        <f>IFERROR(__xludf.DUMMYFUNCTION("""COMPUTED_VALUE"""),323.06)</f>
        <v>323.06</v>
      </c>
      <c r="M528" s="25">
        <f>IFERROR(__xludf.DUMMYFUNCTION("""COMPUTED_VALUE"""),918389.0)</f>
        <v>918389</v>
      </c>
    </row>
    <row r="529">
      <c r="A529" s="26">
        <f>IFERROR(__xludf.DUMMYFUNCTION("""COMPUTED_VALUE"""),39132.645833333336)</f>
        <v>39132.64583</v>
      </c>
      <c r="B529" s="9">
        <f>IFERROR(__xludf.DUMMYFUNCTION("""COMPUTED_VALUE"""),297.75)</f>
        <v>297.75</v>
      </c>
      <c r="C529" s="9">
        <f>IFERROR(__xludf.DUMMYFUNCTION("""COMPUTED_VALUE"""),300.0)</f>
        <v>300</v>
      </c>
      <c r="D529" s="9">
        <f>IFERROR(__xludf.DUMMYFUNCTION("""COMPUTED_VALUE"""),295.37)</f>
        <v>295.37</v>
      </c>
      <c r="E529" s="9">
        <f>IFERROR(__xludf.DUMMYFUNCTION("""COMPUTED_VALUE"""),297.01)</f>
        <v>297.01</v>
      </c>
      <c r="F529" s="9">
        <f>IFERROR(__xludf.DUMMYFUNCTION("""COMPUTED_VALUE"""),385831.0)</f>
        <v>385831</v>
      </c>
      <c r="H529" s="27">
        <f>IFERROR(__xludf.DUMMYFUNCTION("""COMPUTED_VALUE"""),39132.645833333336)</f>
        <v>39132.64583</v>
      </c>
      <c r="I529" s="25">
        <f>IFERROR(__xludf.DUMMYFUNCTION("""COMPUTED_VALUE"""),325.35)</f>
        <v>325.35</v>
      </c>
      <c r="J529" s="25">
        <f>IFERROR(__xludf.DUMMYFUNCTION("""COMPUTED_VALUE"""),329.68)</f>
        <v>329.68</v>
      </c>
      <c r="K529" s="25">
        <f>IFERROR(__xludf.DUMMYFUNCTION("""COMPUTED_VALUE"""),323.8)</f>
        <v>323.8</v>
      </c>
      <c r="L529" s="25">
        <f>IFERROR(__xludf.DUMMYFUNCTION("""COMPUTED_VALUE"""),327.45)</f>
        <v>327.45</v>
      </c>
      <c r="M529" s="25">
        <f>IFERROR(__xludf.DUMMYFUNCTION("""COMPUTED_VALUE"""),1184674.0)</f>
        <v>1184674</v>
      </c>
    </row>
    <row r="530">
      <c r="A530" s="26">
        <f>IFERROR(__xludf.DUMMYFUNCTION("""COMPUTED_VALUE"""),39133.645833333336)</f>
        <v>39133.64583</v>
      </c>
      <c r="B530" s="9">
        <f>IFERROR(__xludf.DUMMYFUNCTION("""COMPUTED_VALUE"""),296.88)</f>
        <v>296.88</v>
      </c>
      <c r="C530" s="9">
        <f>IFERROR(__xludf.DUMMYFUNCTION("""COMPUTED_VALUE"""),298.48)</f>
        <v>298.48</v>
      </c>
      <c r="D530" s="9">
        <f>IFERROR(__xludf.DUMMYFUNCTION("""COMPUTED_VALUE"""),293.88)</f>
        <v>293.88</v>
      </c>
      <c r="E530" s="9">
        <f>IFERROR(__xludf.DUMMYFUNCTION("""COMPUTED_VALUE"""),294.99)</f>
        <v>294.99</v>
      </c>
      <c r="F530" s="9">
        <f>IFERROR(__xludf.DUMMYFUNCTION("""COMPUTED_VALUE"""),308990.0)</f>
        <v>308990</v>
      </c>
      <c r="H530" s="27">
        <f>IFERROR(__xludf.DUMMYFUNCTION("""COMPUTED_VALUE"""),39133.645833333336)</f>
        <v>39133.64583</v>
      </c>
      <c r="I530" s="25">
        <f>IFERROR(__xludf.DUMMYFUNCTION("""COMPUTED_VALUE"""),328.48)</f>
        <v>328.48</v>
      </c>
      <c r="J530" s="25">
        <f>IFERROR(__xludf.DUMMYFUNCTION("""COMPUTED_VALUE"""),330.95)</f>
        <v>330.95</v>
      </c>
      <c r="K530" s="25">
        <f>IFERROR(__xludf.DUMMYFUNCTION("""COMPUTED_VALUE"""),323.75)</f>
        <v>323.75</v>
      </c>
      <c r="L530" s="25">
        <f>IFERROR(__xludf.DUMMYFUNCTION("""COMPUTED_VALUE"""),324.89)</f>
        <v>324.89</v>
      </c>
      <c r="M530" s="25">
        <f>IFERROR(__xludf.DUMMYFUNCTION("""COMPUTED_VALUE"""),1350037.0)</f>
        <v>1350037</v>
      </c>
    </row>
    <row r="531">
      <c r="A531" s="26">
        <f>IFERROR(__xludf.DUMMYFUNCTION("""COMPUTED_VALUE"""),39134.645833333336)</f>
        <v>39134.64583</v>
      </c>
      <c r="B531" s="9">
        <f>IFERROR(__xludf.DUMMYFUNCTION("""COMPUTED_VALUE"""),295.0)</f>
        <v>295</v>
      </c>
      <c r="C531" s="9">
        <f>IFERROR(__xludf.DUMMYFUNCTION("""COMPUTED_VALUE"""),296.5)</f>
        <v>296.5</v>
      </c>
      <c r="D531" s="9">
        <f>IFERROR(__xludf.DUMMYFUNCTION("""COMPUTED_VALUE"""),287.76)</f>
        <v>287.76</v>
      </c>
      <c r="E531" s="9">
        <f>IFERROR(__xludf.DUMMYFUNCTION("""COMPUTED_VALUE"""),288.86)</f>
        <v>288.86</v>
      </c>
      <c r="F531" s="9">
        <f>IFERROR(__xludf.DUMMYFUNCTION("""COMPUTED_VALUE"""),1168590.0)</f>
        <v>1168590</v>
      </c>
      <c r="H531" s="27">
        <f>IFERROR(__xludf.DUMMYFUNCTION("""COMPUTED_VALUE"""),39134.645833333336)</f>
        <v>39134.64583</v>
      </c>
      <c r="I531" s="25">
        <f>IFERROR(__xludf.DUMMYFUNCTION("""COMPUTED_VALUE"""),325.0)</f>
        <v>325</v>
      </c>
      <c r="J531" s="25">
        <f>IFERROR(__xludf.DUMMYFUNCTION("""COMPUTED_VALUE"""),327.94)</f>
        <v>327.94</v>
      </c>
      <c r="K531" s="25">
        <f>IFERROR(__xludf.DUMMYFUNCTION("""COMPUTED_VALUE"""),320.0)</f>
        <v>320</v>
      </c>
      <c r="L531" s="25">
        <f>IFERROR(__xludf.DUMMYFUNCTION("""COMPUTED_VALUE"""),320.96)</f>
        <v>320.96</v>
      </c>
      <c r="M531" s="25">
        <f>IFERROR(__xludf.DUMMYFUNCTION("""COMPUTED_VALUE"""),984547.0)</f>
        <v>984547</v>
      </c>
    </row>
    <row r="532">
      <c r="A532" s="26">
        <f>IFERROR(__xludf.DUMMYFUNCTION("""COMPUTED_VALUE"""),39135.645833333336)</f>
        <v>39135.64583</v>
      </c>
      <c r="B532" s="9">
        <f>IFERROR(__xludf.DUMMYFUNCTION("""COMPUTED_VALUE"""),288.5)</f>
        <v>288.5</v>
      </c>
      <c r="C532" s="9">
        <f>IFERROR(__xludf.DUMMYFUNCTION("""COMPUTED_VALUE"""),291.88)</f>
        <v>291.88</v>
      </c>
      <c r="D532" s="9">
        <f>IFERROR(__xludf.DUMMYFUNCTION("""COMPUTED_VALUE"""),283.75)</f>
        <v>283.75</v>
      </c>
      <c r="E532" s="9">
        <f>IFERROR(__xludf.DUMMYFUNCTION("""COMPUTED_VALUE"""),285.94)</f>
        <v>285.94</v>
      </c>
      <c r="F532" s="9">
        <f>IFERROR(__xludf.DUMMYFUNCTION("""COMPUTED_VALUE"""),1298600.0)</f>
        <v>1298600</v>
      </c>
      <c r="H532" s="27">
        <f>IFERROR(__xludf.DUMMYFUNCTION("""COMPUTED_VALUE"""),39135.645833333336)</f>
        <v>39135.64583</v>
      </c>
      <c r="I532" s="25">
        <f>IFERROR(__xludf.DUMMYFUNCTION("""COMPUTED_VALUE"""),325.0)</f>
        <v>325</v>
      </c>
      <c r="J532" s="25">
        <f>IFERROR(__xludf.DUMMYFUNCTION("""COMPUTED_VALUE"""),328.1)</f>
        <v>328.1</v>
      </c>
      <c r="K532" s="25">
        <f>IFERROR(__xludf.DUMMYFUNCTION("""COMPUTED_VALUE"""),321.5)</f>
        <v>321.5</v>
      </c>
      <c r="L532" s="25">
        <f>IFERROR(__xludf.DUMMYFUNCTION("""COMPUTED_VALUE"""),323.58)</f>
        <v>323.58</v>
      </c>
      <c r="M532" s="25">
        <f>IFERROR(__xludf.DUMMYFUNCTION("""COMPUTED_VALUE"""),1734778.0)</f>
        <v>1734778</v>
      </c>
    </row>
    <row r="533">
      <c r="A533" s="26">
        <f>IFERROR(__xludf.DUMMYFUNCTION("""COMPUTED_VALUE"""),39136.645833333336)</f>
        <v>39136.64583</v>
      </c>
      <c r="B533" s="9">
        <f>IFERROR(__xludf.DUMMYFUNCTION("""COMPUTED_VALUE"""),284.75)</f>
        <v>284.75</v>
      </c>
      <c r="C533" s="9">
        <f>IFERROR(__xludf.DUMMYFUNCTION("""COMPUTED_VALUE"""),288.88)</f>
        <v>288.88</v>
      </c>
      <c r="D533" s="9">
        <f>IFERROR(__xludf.DUMMYFUNCTION("""COMPUTED_VALUE"""),276.52)</f>
        <v>276.52</v>
      </c>
      <c r="E533" s="9">
        <f>IFERROR(__xludf.DUMMYFUNCTION("""COMPUTED_VALUE"""),279.71)</f>
        <v>279.71</v>
      </c>
      <c r="F533" s="9">
        <f>IFERROR(__xludf.DUMMYFUNCTION("""COMPUTED_VALUE"""),1444897.0)</f>
        <v>1444897</v>
      </c>
      <c r="H533" s="27">
        <f>IFERROR(__xludf.DUMMYFUNCTION("""COMPUTED_VALUE"""),39136.645833333336)</f>
        <v>39136.64583</v>
      </c>
      <c r="I533" s="25">
        <f>IFERROR(__xludf.DUMMYFUNCTION("""COMPUTED_VALUE"""),323.75)</f>
        <v>323.75</v>
      </c>
      <c r="J533" s="25">
        <f>IFERROR(__xludf.DUMMYFUNCTION("""COMPUTED_VALUE"""),324.88)</f>
        <v>324.88</v>
      </c>
      <c r="K533" s="25">
        <f>IFERROR(__xludf.DUMMYFUNCTION("""COMPUTED_VALUE"""),318.25)</f>
        <v>318.25</v>
      </c>
      <c r="L533" s="25">
        <f>IFERROR(__xludf.DUMMYFUNCTION("""COMPUTED_VALUE"""),319.34)</f>
        <v>319.34</v>
      </c>
      <c r="M533" s="25">
        <f>IFERROR(__xludf.DUMMYFUNCTION("""COMPUTED_VALUE"""),791922.0)</f>
        <v>791922</v>
      </c>
    </row>
    <row r="534">
      <c r="A534" s="26">
        <f>IFERROR(__xludf.DUMMYFUNCTION("""COMPUTED_VALUE"""),39139.645833333336)</f>
        <v>39139.64583</v>
      </c>
      <c r="B534" s="9">
        <f>IFERROR(__xludf.DUMMYFUNCTION("""COMPUTED_VALUE"""),279.25)</f>
        <v>279.25</v>
      </c>
      <c r="C534" s="9">
        <f>IFERROR(__xludf.DUMMYFUNCTION("""COMPUTED_VALUE"""),280.88)</f>
        <v>280.88</v>
      </c>
      <c r="D534" s="9">
        <f>IFERROR(__xludf.DUMMYFUNCTION("""COMPUTED_VALUE"""),269.38)</f>
        <v>269.38</v>
      </c>
      <c r="E534" s="9">
        <f>IFERROR(__xludf.DUMMYFUNCTION("""COMPUTED_VALUE"""),277.27)</f>
        <v>277.27</v>
      </c>
      <c r="F534" s="9">
        <f>IFERROR(__xludf.DUMMYFUNCTION("""COMPUTED_VALUE"""),1458781.0)</f>
        <v>1458781</v>
      </c>
      <c r="H534" s="27">
        <f>IFERROR(__xludf.DUMMYFUNCTION("""COMPUTED_VALUE"""),39139.645833333336)</f>
        <v>39139.64583</v>
      </c>
      <c r="I534" s="25">
        <f>IFERROR(__xludf.DUMMYFUNCTION("""COMPUTED_VALUE"""),318.0)</f>
        <v>318</v>
      </c>
      <c r="J534" s="25">
        <f>IFERROR(__xludf.DUMMYFUNCTION("""COMPUTED_VALUE"""),323.46)</f>
        <v>323.46</v>
      </c>
      <c r="K534" s="25">
        <f>IFERROR(__xludf.DUMMYFUNCTION("""COMPUTED_VALUE"""),308.13)</f>
        <v>308.13</v>
      </c>
      <c r="L534" s="25">
        <f>IFERROR(__xludf.DUMMYFUNCTION("""COMPUTED_VALUE"""),321.52)</f>
        <v>321.52</v>
      </c>
      <c r="M534" s="25">
        <f>IFERROR(__xludf.DUMMYFUNCTION("""COMPUTED_VALUE"""),1169421.0)</f>
        <v>1169421</v>
      </c>
    </row>
    <row r="535">
      <c r="A535" s="26">
        <f>IFERROR(__xludf.DUMMYFUNCTION("""COMPUTED_VALUE"""),39140.645833333336)</f>
        <v>39140.64583</v>
      </c>
      <c r="B535" s="9">
        <f>IFERROR(__xludf.DUMMYFUNCTION("""COMPUTED_VALUE"""),278.75)</f>
        <v>278.75</v>
      </c>
      <c r="C535" s="9">
        <f>IFERROR(__xludf.DUMMYFUNCTION("""COMPUTED_VALUE"""),278.75)</f>
        <v>278.75</v>
      </c>
      <c r="D535" s="9">
        <f>IFERROR(__xludf.DUMMYFUNCTION("""COMPUTED_VALUE"""),270.66)</f>
        <v>270.66</v>
      </c>
      <c r="E535" s="9">
        <f>IFERROR(__xludf.DUMMYFUNCTION("""COMPUTED_VALUE"""),273.38)</f>
        <v>273.38</v>
      </c>
      <c r="F535" s="9">
        <f>IFERROR(__xludf.DUMMYFUNCTION("""COMPUTED_VALUE"""),1119612.0)</f>
        <v>1119612</v>
      </c>
      <c r="H535" s="27">
        <f>IFERROR(__xludf.DUMMYFUNCTION("""COMPUTED_VALUE"""),39140.645833333336)</f>
        <v>39140.64583</v>
      </c>
      <c r="I535" s="25">
        <f>IFERROR(__xludf.DUMMYFUNCTION("""COMPUTED_VALUE"""),313.5)</f>
        <v>313.5</v>
      </c>
      <c r="J535" s="25">
        <f>IFERROR(__xludf.DUMMYFUNCTION("""COMPUTED_VALUE"""),323.55)</f>
        <v>323.55</v>
      </c>
      <c r="K535" s="25">
        <f>IFERROR(__xludf.DUMMYFUNCTION("""COMPUTED_VALUE"""),313.5)</f>
        <v>313.5</v>
      </c>
      <c r="L535" s="25">
        <f>IFERROR(__xludf.DUMMYFUNCTION("""COMPUTED_VALUE"""),316.04)</f>
        <v>316.04</v>
      </c>
      <c r="M535" s="25">
        <f>IFERROR(__xludf.DUMMYFUNCTION("""COMPUTED_VALUE"""),1177492.0)</f>
        <v>1177492</v>
      </c>
    </row>
    <row r="536">
      <c r="A536" s="26">
        <f>IFERROR(__xludf.DUMMYFUNCTION("""COMPUTED_VALUE"""),39141.645833333336)</f>
        <v>39141.64583</v>
      </c>
      <c r="B536" s="9">
        <f>IFERROR(__xludf.DUMMYFUNCTION("""COMPUTED_VALUE"""),272.5)</f>
        <v>272.5</v>
      </c>
      <c r="C536" s="9">
        <f>IFERROR(__xludf.DUMMYFUNCTION("""COMPUTED_VALUE"""),272.5)</f>
        <v>272.5</v>
      </c>
      <c r="D536" s="9">
        <f>IFERROR(__xludf.DUMMYFUNCTION("""COMPUTED_VALUE"""),256.25)</f>
        <v>256.25</v>
      </c>
      <c r="E536" s="9">
        <f>IFERROR(__xludf.DUMMYFUNCTION("""COMPUTED_VALUE"""),259.69)</f>
        <v>259.69</v>
      </c>
      <c r="F536" s="9">
        <f>IFERROR(__xludf.DUMMYFUNCTION("""COMPUTED_VALUE"""),3125049.0)</f>
        <v>3125049</v>
      </c>
      <c r="H536" s="27">
        <f>IFERROR(__xludf.DUMMYFUNCTION("""COMPUTED_VALUE"""),39141.645833333336)</f>
        <v>39141.64583</v>
      </c>
      <c r="I536" s="25">
        <f>IFERROR(__xludf.DUMMYFUNCTION("""COMPUTED_VALUE"""),308.25)</f>
        <v>308.25</v>
      </c>
      <c r="J536" s="25">
        <f>IFERROR(__xludf.DUMMYFUNCTION("""COMPUTED_VALUE"""),311.24)</f>
        <v>311.24</v>
      </c>
      <c r="K536" s="25">
        <f>IFERROR(__xludf.DUMMYFUNCTION("""COMPUTED_VALUE"""),293.0)</f>
        <v>293</v>
      </c>
      <c r="L536" s="25">
        <f>IFERROR(__xludf.DUMMYFUNCTION("""COMPUTED_VALUE"""),298.35)</f>
        <v>298.35</v>
      </c>
      <c r="M536" s="25">
        <f>IFERROR(__xludf.DUMMYFUNCTION("""COMPUTED_VALUE"""),2336989.0)</f>
        <v>2336989</v>
      </c>
    </row>
    <row r="537">
      <c r="A537" s="26">
        <f>IFERROR(__xludf.DUMMYFUNCTION("""COMPUTED_VALUE"""),39142.645833333336)</f>
        <v>39142.64583</v>
      </c>
      <c r="B537" s="9">
        <f>IFERROR(__xludf.DUMMYFUNCTION("""COMPUTED_VALUE"""),260.0)</f>
        <v>260</v>
      </c>
      <c r="C537" s="9">
        <f>IFERROR(__xludf.DUMMYFUNCTION("""COMPUTED_VALUE"""),273.12)</f>
        <v>273.12</v>
      </c>
      <c r="D537" s="9">
        <f>IFERROR(__xludf.DUMMYFUNCTION("""COMPUTED_VALUE"""),259.5)</f>
        <v>259.5</v>
      </c>
      <c r="E537" s="9">
        <f>IFERROR(__xludf.DUMMYFUNCTION("""COMPUTED_VALUE"""),269.89)</f>
        <v>269.89</v>
      </c>
      <c r="F537" s="9">
        <f>IFERROR(__xludf.DUMMYFUNCTION("""COMPUTED_VALUE"""),1704332.0)</f>
        <v>1704332</v>
      </c>
      <c r="H537" s="27">
        <f>IFERROR(__xludf.DUMMYFUNCTION("""COMPUTED_VALUE"""),39142.645833333336)</f>
        <v>39142.64583</v>
      </c>
      <c r="I537" s="25">
        <f>IFERROR(__xludf.DUMMYFUNCTION("""COMPUTED_VALUE"""),300.0)</f>
        <v>300</v>
      </c>
      <c r="J537" s="25">
        <f>IFERROR(__xludf.DUMMYFUNCTION("""COMPUTED_VALUE"""),317.0)</f>
        <v>317</v>
      </c>
      <c r="K537" s="25">
        <f>IFERROR(__xludf.DUMMYFUNCTION("""COMPUTED_VALUE"""),297.6)</f>
        <v>297.6</v>
      </c>
      <c r="L537" s="25">
        <f>IFERROR(__xludf.DUMMYFUNCTION("""COMPUTED_VALUE"""),313.66)</f>
        <v>313.66</v>
      </c>
      <c r="M537" s="25">
        <f>IFERROR(__xludf.DUMMYFUNCTION("""COMPUTED_VALUE"""),1964641.0)</f>
        <v>1964641</v>
      </c>
    </row>
    <row r="538">
      <c r="A538" s="26">
        <f>IFERROR(__xludf.DUMMYFUNCTION("""COMPUTED_VALUE"""),39143.645833333336)</f>
        <v>39143.64583</v>
      </c>
      <c r="B538" s="9">
        <f>IFERROR(__xludf.DUMMYFUNCTION("""COMPUTED_VALUE"""),271.7)</f>
        <v>271.7</v>
      </c>
      <c r="C538" s="9">
        <f>IFERROR(__xludf.DUMMYFUNCTION("""COMPUTED_VALUE"""),272.38)</f>
        <v>272.38</v>
      </c>
      <c r="D538" s="9">
        <f>IFERROR(__xludf.DUMMYFUNCTION("""COMPUTED_VALUE"""),259.38)</f>
        <v>259.38</v>
      </c>
      <c r="E538" s="9">
        <f>IFERROR(__xludf.DUMMYFUNCTION("""COMPUTED_VALUE"""),261.69)</f>
        <v>261.69</v>
      </c>
      <c r="F538" s="9">
        <f>IFERROR(__xludf.DUMMYFUNCTION("""COMPUTED_VALUE"""),1521013.0)</f>
        <v>1521013</v>
      </c>
      <c r="H538" s="27">
        <f>IFERROR(__xludf.DUMMYFUNCTION("""COMPUTED_VALUE"""),39143.645833333336)</f>
        <v>39143.64583</v>
      </c>
      <c r="I538" s="25">
        <f>IFERROR(__xludf.DUMMYFUNCTION("""COMPUTED_VALUE"""),313.7)</f>
        <v>313.7</v>
      </c>
      <c r="J538" s="25">
        <f>IFERROR(__xludf.DUMMYFUNCTION("""COMPUTED_VALUE"""),315.0)</f>
        <v>315</v>
      </c>
      <c r="K538" s="25">
        <f>IFERROR(__xludf.DUMMYFUNCTION("""COMPUTED_VALUE"""),300.25)</f>
        <v>300.25</v>
      </c>
      <c r="L538" s="25">
        <f>IFERROR(__xludf.DUMMYFUNCTION("""COMPUTED_VALUE"""),302.14)</f>
        <v>302.14</v>
      </c>
      <c r="M538" s="25">
        <f>IFERROR(__xludf.DUMMYFUNCTION("""COMPUTED_VALUE"""),1327938.0)</f>
        <v>1327938</v>
      </c>
    </row>
    <row r="539">
      <c r="A539" s="26">
        <f>IFERROR(__xludf.DUMMYFUNCTION("""COMPUTED_VALUE"""),39146.645833333336)</f>
        <v>39146.64583</v>
      </c>
      <c r="B539" s="9">
        <f>IFERROR(__xludf.DUMMYFUNCTION("""COMPUTED_VALUE"""),259.74)</f>
        <v>259.74</v>
      </c>
      <c r="C539" s="9">
        <f>IFERROR(__xludf.DUMMYFUNCTION("""COMPUTED_VALUE"""),259.74)</f>
        <v>259.74</v>
      </c>
      <c r="D539" s="9">
        <f>IFERROR(__xludf.DUMMYFUNCTION("""COMPUTED_VALUE"""),250.0)</f>
        <v>250</v>
      </c>
      <c r="E539" s="9">
        <f>IFERROR(__xludf.DUMMYFUNCTION("""COMPUTED_VALUE"""),250.89)</f>
        <v>250.89</v>
      </c>
      <c r="F539" s="9">
        <f>IFERROR(__xludf.DUMMYFUNCTION("""COMPUTED_VALUE"""),1743846.0)</f>
        <v>1743846</v>
      </c>
      <c r="H539" s="27">
        <f>IFERROR(__xludf.DUMMYFUNCTION("""COMPUTED_VALUE"""),39146.645833333336)</f>
        <v>39146.64583</v>
      </c>
      <c r="I539" s="25">
        <f>IFERROR(__xludf.DUMMYFUNCTION("""COMPUTED_VALUE"""),297.5)</f>
        <v>297.5</v>
      </c>
      <c r="J539" s="25">
        <f>IFERROR(__xludf.DUMMYFUNCTION("""COMPUTED_VALUE"""),299.75)</f>
        <v>299.75</v>
      </c>
      <c r="K539" s="25">
        <f>IFERROR(__xludf.DUMMYFUNCTION("""COMPUTED_VALUE"""),287.5)</f>
        <v>287.5</v>
      </c>
      <c r="L539" s="25">
        <f>IFERROR(__xludf.DUMMYFUNCTION("""COMPUTED_VALUE"""),288.89)</f>
        <v>288.89</v>
      </c>
      <c r="M539" s="25">
        <f>IFERROR(__xludf.DUMMYFUNCTION("""COMPUTED_VALUE"""),1280220.0)</f>
        <v>1280220</v>
      </c>
    </row>
    <row r="540">
      <c r="A540" s="26">
        <f>IFERROR(__xludf.DUMMYFUNCTION("""COMPUTED_VALUE"""),39147.645833333336)</f>
        <v>39147.64583</v>
      </c>
      <c r="B540" s="9">
        <f>IFERROR(__xludf.DUMMYFUNCTION("""COMPUTED_VALUE"""),251.63)</f>
        <v>251.63</v>
      </c>
      <c r="C540" s="9">
        <f>IFERROR(__xludf.DUMMYFUNCTION("""COMPUTED_VALUE"""),269.21)</f>
        <v>269.21</v>
      </c>
      <c r="D540" s="9">
        <f>IFERROR(__xludf.DUMMYFUNCTION("""COMPUTED_VALUE"""),251.63)</f>
        <v>251.63</v>
      </c>
      <c r="E540" s="9">
        <f>IFERROR(__xludf.DUMMYFUNCTION("""COMPUTED_VALUE"""),264.31)</f>
        <v>264.31</v>
      </c>
      <c r="F540" s="9">
        <f>IFERROR(__xludf.DUMMYFUNCTION("""COMPUTED_VALUE"""),1819108.0)</f>
        <v>1819108</v>
      </c>
      <c r="H540" s="27">
        <f>IFERROR(__xludf.DUMMYFUNCTION("""COMPUTED_VALUE"""),39147.645833333336)</f>
        <v>39147.64583</v>
      </c>
      <c r="I540" s="25">
        <f>IFERROR(__xludf.DUMMYFUNCTION("""COMPUTED_VALUE"""),302.5)</f>
        <v>302.5</v>
      </c>
      <c r="J540" s="25">
        <f>IFERROR(__xludf.DUMMYFUNCTION("""COMPUTED_VALUE"""),333.75)</f>
        <v>333.75</v>
      </c>
      <c r="K540" s="25">
        <f>IFERROR(__xludf.DUMMYFUNCTION("""COMPUTED_VALUE"""),290.27)</f>
        <v>290.27</v>
      </c>
      <c r="L540" s="25">
        <f>IFERROR(__xludf.DUMMYFUNCTION("""COMPUTED_VALUE"""),299.31)</f>
        <v>299.31</v>
      </c>
      <c r="M540" s="25">
        <f>IFERROR(__xludf.DUMMYFUNCTION("""COMPUTED_VALUE"""),905980.0)</f>
        <v>905980</v>
      </c>
    </row>
    <row r="541">
      <c r="A541" s="26">
        <f>IFERROR(__xludf.DUMMYFUNCTION("""COMPUTED_VALUE"""),39148.645833333336)</f>
        <v>39148.64583</v>
      </c>
      <c r="B541" s="9">
        <f>IFERROR(__xludf.DUMMYFUNCTION("""COMPUTED_VALUE"""),270.93)</f>
        <v>270.93</v>
      </c>
      <c r="C541" s="9">
        <f>IFERROR(__xludf.DUMMYFUNCTION("""COMPUTED_VALUE"""),270.93)</f>
        <v>270.93</v>
      </c>
      <c r="D541" s="9">
        <f>IFERROR(__xludf.DUMMYFUNCTION("""COMPUTED_VALUE"""),256.29)</f>
        <v>256.29</v>
      </c>
      <c r="E541" s="9">
        <f>IFERROR(__xludf.DUMMYFUNCTION("""COMPUTED_VALUE"""),260.67)</f>
        <v>260.67</v>
      </c>
      <c r="F541" s="9">
        <f>IFERROR(__xludf.DUMMYFUNCTION("""COMPUTED_VALUE"""),1283784.0)</f>
        <v>1283784</v>
      </c>
      <c r="H541" s="27">
        <f>IFERROR(__xludf.DUMMYFUNCTION("""COMPUTED_VALUE"""),39148.645833333336)</f>
        <v>39148.64583</v>
      </c>
      <c r="I541" s="25">
        <f>IFERROR(__xludf.DUMMYFUNCTION("""COMPUTED_VALUE"""),300.5)</f>
        <v>300.5</v>
      </c>
      <c r="J541" s="25">
        <f>IFERROR(__xludf.DUMMYFUNCTION("""COMPUTED_VALUE"""),306.18)</f>
        <v>306.18</v>
      </c>
      <c r="K541" s="25">
        <f>IFERROR(__xludf.DUMMYFUNCTION("""COMPUTED_VALUE"""),289.35)</f>
        <v>289.35</v>
      </c>
      <c r="L541" s="25">
        <f>IFERROR(__xludf.DUMMYFUNCTION("""COMPUTED_VALUE"""),297.95)</f>
        <v>297.95</v>
      </c>
      <c r="M541" s="25">
        <f>IFERROR(__xludf.DUMMYFUNCTION("""COMPUTED_VALUE"""),1110158.0)</f>
        <v>1110158</v>
      </c>
    </row>
    <row r="542">
      <c r="A542" s="26">
        <f>IFERROR(__xludf.DUMMYFUNCTION("""COMPUTED_VALUE"""),39149.645833333336)</f>
        <v>39149.64583</v>
      </c>
      <c r="B542" s="9">
        <f>IFERROR(__xludf.DUMMYFUNCTION("""COMPUTED_VALUE"""),261.25)</f>
        <v>261.25</v>
      </c>
      <c r="C542" s="9">
        <f>IFERROR(__xludf.DUMMYFUNCTION("""COMPUTED_VALUE"""),268.25)</f>
        <v>268.25</v>
      </c>
      <c r="D542" s="9">
        <f>IFERROR(__xludf.DUMMYFUNCTION("""COMPUTED_VALUE"""),260.16)</f>
        <v>260.16</v>
      </c>
      <c r="E542" s="9">
        <f>IFERROR(__xludf.DUMMYFUNCTION("""COMPUTED_VALUE"""),266.97)</f>
        <v>266.97</v>
      </c>
      <c r="F542" s="9">
        <f>IFERROR(__xludf.DUMMYFUNCTION("""COMPUTED_VALUE"""),1532651.0)</f>
        <v>1532651</v>
      </c>
      <c r="H542" s="27">
        <f>IFERROR(__xludf.DUMMYFUNCTION("""COMPUTED_VALUE"""),39149.645833333336)</f>
        <v>39149.64583</v>
      </c>
      <c r="I542" s="25">
        <f>IFERROR(__xludf.DUMMYFUNCTION("""COMPUTED_VALUE"""),297.5)</f>
        <v>297.5</v>
      </c>
      <c r="J542" s="25">
        <f>IFERROR(__xludf.DUMMYFUNCTION("""COMPUTED_VALUE"""),307.43)</f>
        <v>307.43</v>
      </c>
      <c r="K542" s="25">
        <f>IFERROR(__xludf.DUMMYFUNCTION("""COMPUTED_VALUE"""),297.5)</f>
        <v>297.5</v>
      </c>
      <c r="L542" s="25">
        <f>IFERROR(__xludf.DUMMYFUNCTION("""COMPUTED_VALUE"""),304.6)</f>
        <v>304.6</v>
      </c>
      <c r="M542" s="25">
        <f>IFERROR(__xludf.DUMMYFUNCTION("""COMPUTED_VALUE"""),568747.0)</f>
        <v>568747</v>
      </c>
    </row>
    <row r="543">
      <c r="A543" s="26">
        <f>IFERROR(__xludf.DUMMYFUNCTION("""COMPUTED_VALUE"""),39150.645833333336)</f>
        <v>39150.64583</v>
      </c>
      <c r="B543" s="9">
        <f>IFERROR(__xludf.DUMMYFUNCTION("""COMPUTED_VALUE"""),266.29)</f>
        <v>266.29</v>
      </c>
      <c r="C543" s="9">
        <f>IFERROR(__xludf.DUMMYFUNCTION("""COMPUTED_VALUE"""),268.75)</f>
        <v>268.75</v>
      </c>
      <c r="D543" s="9">
        <f>IFERROR(__xludf.DUMMYFUNCTION("""COMPUTED_VALUE"""),262.04)</f>
        <v>262.04</v>
      </c>
      <c r="E543" s="9">
        <f>IFERROR(__xludf.DUMMYFUNCTION("""COMPUTED_VALUE"""),265.12)</f>
        <v>265.12</v>
      </c>
      <c r="F543" s="9">
        <f>IFERROR(__xludf.DUMMYFUNCTION("""COMPUTED_VALUE"""),1010651.0)</f>
        <v>1010651</v>
      </c>
      <c r="H543" s="27">
        <f>IFERROR(__xludf.DUMMYFUNCTION("""COMPUTED_VALUE"""),39150.645833333336)</f>
        <v>39150.64583</v>
      </c>
      <c r="I543" s="25">
        <f>IFERROR(__xludf.DUMMYFUNCTION("""COMPUTED_VALUE"""),307.08)</f>
        <v>307.08</v>
      </c>
      <c r="J543" s="25">
        <f>IFERROR(__xludf.DUMMYFUNCTION("""COMPUTED_VALUE"""),308.25)</f>
        <v>308.25</v>
      </c>
      <c r="K543" s="25">
        <f>IFERROR(__xludf.DUMMYFUNCTION("""COMPUTED_VALUE"""),299.5)</f>
        <v>299.5</v>
      </c>
      <c r="L543" s="25">
        <f>IFERROR(__xludf.DUMMYFUNCTION("""COMPUTED_VALUE"""),303.04)</f>
        <v>303.04</v>
      </c>
      <c r="M543" s="25">
        <f>IFERROR(__xludf.DUMMYFUNCTION("""COMPUTED_VALUE"""),808037.0)</f>
        <v>808037</v>
      </c>
    </row>
    <row r="544">
      <c r="A544" s="26">
        <f>IFERROR(__xludf.DUMMYFUNCTION("""COMPUTED_VALUE"""),39153.645833333336)</f>
        <v>39153.64583</v>
      </c>
      <c r="B544" s="9">
        <f>IFERROR(__xludf.DUMMYFUNCTION("""COMPUTED_VALUE"""),265.0)</f>
        <v>265</v>
      </c>
      <c r="C544" s="9">
        <f>IFERROR(__xludf.DUMMYFUNCTION("""COMPUTED_VALUE"""),267.99)</f>
        <v>267.99</v>
      </c>
      <c r="D544" s="9">
        <f>IFERROR(__xludf.DUMMYFUNCTION("""COMPUTED_VALUE"""),262.5)</f>
        <v>262.5</v>
      </c>
      <c r="E544" s="9">
        <f>IFERROR(__xludf.DUMMYFUNCTION("""COMPUTED_VALUE"""),264.41)</f>
        <v>264.41</v>
      </c>
      <c r="F544" s="9">
        <f>IFERROR(__xludf.DUMMYFUNCTION("""COMPUTED_VALUE"""),1133243.0)</f>
        <v>1133243</v>
      </c>
      <c r="H544" s="27">
        <f>IFERROR(__xludf.DUMMYFUNCTION("""COMPUTED_VALUE"""),39153.645833333336)</f>
        <v>39153.64583</v>
      </c>
      <c r="I544" s="25">
        <f>IFERROR(__xludf.DUMMYFUNCTION("""COMPUTED_VALUE"""),306.18)</f>
        <v>306.18</v>
      </c>
      <c r="J544" s="25">
        <f>IFERROR(__xludf.DUMMYFUNCTION("""COMPUTED_VALUE"""),313.43)</f>
        <v>313.43</v>
      </c>
      <c r="K544" s="25">
        <f>IFERROR(__xludf.DUMMYFUNCTION("""COMPUTED_VALUE"""),302.75)</f>
        <v>302.75</v>
      </c>
      <c r="L544" s="25">
        <f>IFERROR(__xludf.DUMMYFUNCTION("""COMPUTED_VALUE"""),308.75)</f>
        <v>308.75</v>
      </c>
      <c r="M544" s="25">
        <f>IFERROR(__xludf.DUMMYFUNCTION("""COMPUTED_VALUE"""),909234.0)</f>
        <v>909234</v>
      </c>
    </row>
    <row r="545">
      <c r="A545" s="26">
        <f>IFERROR(__xludf.DUMMYFUNCTION("""COMPUTED_VALUE"""),39154.645833333336)</f>
        <v>39154.64583</v>
      </c>
      <c r="B545" s="9">
        <f>IFERROR(__xludf.DUMMYFUNCTION("""COMPUTED_VALUE"""),264.63)</f>
        <v>264.63</v>
      </c>
      <c r="C545" s="9">
        <f>IFERROR(__xludf.DUMMYFUNCTION("""COMPUTED_VALUE"""),266.24)</f>
        <v>266.24</v>
      </c>
      <c r="D545" s="9">
        <f>IFERROR(__xludf.DUMMYFUNCTION("""COMPUTED_VALUE"""),258.73)</f>
        <v>258.73</v>
      </c>
      <c r="E545" s="9">
        <f>IFERROR(__xludf.DUMMYFUNCTION("""COMPUTED_VALUE"""),263.13)</f>
        <v>263.13</v>
      </c>
      <c r="F545" s="9">
        <f>IFERROR(__xludf.DUMMYFUNCTION("""COMPUTED_VALUE"""),1433228.0)</f>
        <v>1433228</v>
      </c>
      <c r="H545" s="27">
        <f>IFERROR(__xludf.DUMMYFUNCTION("""COMPUTED_VALUE"""),39154.645833333336)</f>
        <v>39154.64583</v>
      </c>
      <c r="I545" s="25">
        <f>IFERROR(__xludf.DUMMYFUNCTION("""COMPUTED_VALUE"""),306.38)</f>
        <v>306.38</v>
      </c>
      <c r="J545" s="25">
        <f>IFERROR(__xludf.DUMMYFUNCTION("""COMPUTED_VALUE"""),317.23)</f>
        <v>317.23</v>
      </c>
      <c r="K545" s="25">
        <f>IFERROR(__xludf.DUMMYFUNCTION("""COMPUTED_VALUE"""),300.02)</f>
        <v>300.02</v>
      </c>
      <c r="L545" s="25">
        <f>IFERROR(__xludf.DUMMYFUNCTION("""COMPUTED_VALUE"""),316.35)</f>
        <v>316.35</v>
      </c>
      <c r="M545" s="25">
        <f>IFERROR(__xludf.DUMMYFUNCTION("""COMPUTED_VALUE"""),508022.0)</f>
        <v>508022</v>
      </c>
    </row>
    <row r="546">
      <c r="A546" s="26">
        <f>IFERROR(__xludf.DUMMYFUNCTION("""COMPUTED_VALUE"""),39155.645833333336)</f>
        <v>39155.64583</v>
      </c>
      <c r="B546" s="9">
        <f>IFERROR(__xludf.DUMMYFUNCTION("""COMPUTED_VALUE"""),259.38)</f>
        <v>259.38</v>
      </c>
      <c r="C546" s="9">
        <f>IFERROR(__xludf.DUMMYFUNCTION("""COMPUTED_VALUE"""),261.21)</f>
        <v>261.21</v>
      </c>
      <c r="D546" s="9">
        <f>IFERROR(__xludf.DUMMYFUNCTION("""COMPUTED_VALUE"""),251.53)</f>
        <v>251.53</v>
      </c>
      <c r="E546" s="9">
        <f>IFERROR(__xludf.DUMMYFUNCTION("""COMPUTED_VALUE"""),252.5)</f>
        <v>252.5</v>
      </c>
      <c r="F546" s="9">
        <f>IFERROR(__xludf.DUMMYFUNCTION("""COMPUTED_VALUE"""),2001160.0)</f>
        <v>2001160</v>
      </c>
      <c r="H546" s="27">
        <f>IFERROR(__xludf.DUMMYFUNCTION("""COMPUTED_VALUE"""),39155.645833333336)</f>
        <v>39155.64583</v>
      </c>
      <c r="I546" s="25">
        <f>IFERROR(__xludf.DUMMYFUNCTION("""COMPUTED_VALUE"""),306.25)</f>
        <v>306.25</v>
      </c>
      <c r="J546" s="25">
        <f>IFERROR(__xludf.DUMMYFUNCTION("""COMPUTED_VALUE"""),310.48)</f>
        <v>310.48</v>
      </c>
      <c r="K546" s="25">
        <f>IFERROR(__xludf.DUMMYFUNCTION("""COMPUTED_VALUE"""),301.25)</f>
        <v>301.25</v>
      </c>
      <c r="L546" s="25">
        <f>IFERROR(__xludf.DUMMYFUNCTION("""COMPUTED_VALUE"""),303.39)</f>
        <v>303.39</v>
      </c>
      <c r="M546" s="25">
        <f>IFERROR(__xludf.DUMMYFUNCTION("""COMPUTED_VALUE"""),956237.0)</f>
        <v>956237</v>
      </c>
    </row>
    <row r="547">
      <c r="A547" s="26">
        <f>IFERROR(__xludf.DUMMYFUNCTION("""COMPUTED_VALUE"""),39156.645833333336)</f>
        <v>39156.64583</v>
      </c>
      <c r="B547" s="9">
        <f>IFERROR(__xludf.DUMMYFUNCTION("""COMPUTED_VALUE"""),256.38)</f>
        <v>256.38</v>
      </c>
      <c r="C547" s="9">
        <f>IFERROR(__xludf.DUMMYFUNCTION("""COMPUTED_VALUE"""),263.11)</f>
        <v>263.11</v>
      </c>
      <c r="D547" s="9">
        <f>IFERROR(__xludf.DUMMYFUNCTION("""COMPUTED_VALUE"""),254.5)</f>
        <v>254.5</v>
      </c>
      <c r="E547" s="9">
        <f>IFERROR(__xludf.DUMMYFUNCTION("""COMPUTED_VALUE"""),259.93)</f>
        <v>259.93</v>
      </c>
      <c r="F547" s="9">
        <f>IFERROR(__xludf.DUMMYFUNCTION("""COMPUTED_VALUE"""),2143630.0)</f>
        <v>2143630</v>
      </c>
      <c r="H547" s="27">
        <f>IFERROR(__xludf.DUMMYFUNCTION("""COMPUTED_VALUE"""),39156.645833333336)</f>
        <v>39156.64583</v>
      </c>
      <c r="I547" s="25">
        <f>IFERROR(__xludf.DUMMYFUNCTION("""COMPUTED_VALUE"""),307.5)</f>
        <v>307.5</v>
      </c>
      <c r="J547" s="25">
        <f>IFERROR(__xludf.DUMMYFUNCTION("""COMPUTED_VALUE"""),312.75)</f>
        <v>312.75</v>
      </c>
      <c r="K547" s="25">
        <f>IFERROR(__xludf.DUMMYFUNCTION("""COMPUTED_VALUE"""),307.0)</f>
        <v>307</v>
      </c>
      <c r="L547" s="25">
        <f>IFERROR(__xludf.DUMMYFUNCTION("""COMPUTED_VALUE"""),308.58)</f>
        <v>308.58</v>
      </c>
      <c r="M547" s="25">
        <f>IFERROR(__xludf.DUMMYFUNCTION("""COMPUTED_VALUE"""),955822.0)</f>
        <v>955822</v>
      </c>
    </row>
    <row r="548">
      <c r="A548" s="26">
        <f>IFERROR(__xludf.DUMMYFUNCTION("""COMPUTED_VALUE"""),39157.645833333336)</f>
        <v>39157.64583</v>
      </c>
      <c r="B548" s="9">
        <f>IFERROR(__xludf.DUMMYFUNCTION("""COMPUTED_VALUE"""),261.25)</f>
        <v>261.25</v>
      </c>
      <c r="C548" s="9">
        <f>IFERROR(__xludf.DUMMYFUNCTION("""COMPUTED_VALUE"""),263.13)</f>
        <v>263.13</v>
      </c>
      <c r="D548" s="9">
        <f>IFERROR(__xludf.DUMMYFUNCTION("""COMPUTED_VALUE"""),253.13)</f>
        <v>253.13</v>
      </c>
      <c r="E548" s="9">
        <f>IFERROR(__xludf.DUMMYFUNCTION("""COMPUTED_VALUE"""),255.93)</f>
        <v>255.93</v>
      </c>
      <c r="F548" s="9">
        <f>IFERROR(__xludf.DUMMYFUNCTION("""COMPUTED_VALUE"""),945972.0)</f>
        <v>945972</v>
      </c>
      <c r="H548" s="27">
        <f>IFERROR(__xludf.DUMMYFUNCTION("""COMPUTED_VALUE"""),39157.645833333336)</f>
        <v>39157.64583</v>
      </c>
      <c r="I548" s="25">
        <f>IFERROR(__xludf.DUMMYFUNCTION("""COMPUTED_VALUE"""),310.35)</f>
        <v>310.35</v>
      </c>
      <c r="J548" s="25">
        <f>IFERROR(__xludf.DUMMYFUNCTION("""COMPUTED_VALUE"""),314.46)</f>
        <v>314.46</v>
      </c>
      <c r="K548" s="25">
        <f>IFERROR(__xludf.DUMMYFUNCTION("""COMPUTED_VALUE"""),303.79)</f>
        <v>303.79</v>
      </c>
      <c r="L548" s="25">
        <f>IFERROR(__xludf.DUMMYFUNCTION("""COMPUTED_VALUE"""),309.41)</f>
        <v>309.41</v>
      </c>
      <c r="M548" s="25">
        <f>IFERROR(__xludf.DUMMYFUNCTION("""COMPUTED_VALUE"""),1056071.0)</f>
        <v>1056071</v>
      </c>
    </row>
    <row r="549">
      <c r="A549" s="26">
        <f>IFERROR(__xludf.DUMMYFUNCTION("""COMPUTED_VALUE"""),39160.645833333336)</f>
        <v>39160.64583</v>
      </c>
      <c r="B549" s="9">
        <f>IFERROR(__xludf.DUMMYFUNCTION("""COMPUTED_VALUE"""),258.75)</f>
        <v>258.75</v>
      </c>
      <c r="C549" s="9">
        <f>IFERROR(__xludf.DUMMYFUNCTION("""COMPUTED_VALUE"""),261.47)</f>
        <v>261.47</v>
      </c>
      <c r="D549" s="9">
        <f>IFERROR(__xludf.DUMMYFUNCTION("""COMPUTED_VALUE"""),255.9)</f>
        <v>255.9</v>
      </c>
      <c r="E549" s="9">
        <f>IFERROR(__xludf.DUMMYFUNCTION("""COMPUTED_VALUE"""),260.91)</f>
        <v>260.91</v>
      </c>
      <c r="F549" s="9">
        <f>IFERROR(__xludf.DUMMYFUNCTION("""COMPUTED_VALUE"""),682727.0)</f>
        <v>682727</v>
      </c>
      <c r="H549" s="27">
        <f>IFERROR(__xludf.DUMMYFUNCTION("""COMPUTED_VALUE"""),39160.645833333336)</f>
        <v>39160.64583</v>
      </c>
      <c r="I549" s="25">
        <f>IFERROR(__xludf.DUMMYFUNCTION("""COMPUTED_VALUE"""),304.08)</f>
        <v>304.08</v>
      </c>
      <c r="J549" s="25">
        <f>IFERROR(__xludf.DUMMYFUNCTION("""COMPUTED_VALUE"""),316.19)</f>
        <v>316.19</v>
      </c>
      <c r="K549" s="25">
        <f>IFERROR(__xludf.DUMMYFUNCTION("""COMPUTED_VALUE"""),300.45)</f>
        <v>300.45</v>
      </c>
      <c r="L549" s="25">
        <f>IFERROR(__xludf.DUMMYFUNCTION("""COMPUTED_VALUE"""),315.23)</f>
        <v>315.23</v>
      </c>
      <c r="M549" s="25">
        <f>IFERROR(__xludf.DUMMYFUNCTION("""COMPUTED_VALUE"""),303424.0)</f>
        <v>303424</v>
      </c>
    </row>
    <row r="550">
      <c r="A550" s="26">
        <f>IFERROR(__xludf.DUMMYFUNCTION("""COMPUTED_VALUE"""),39161.645833333336)</f>
        <v>39161.64583</v>
      </c>
      <c r="B550" s="9">
        <f>IFERROR(__xludf.DUMMYFUNCTION("""COMPUTED_VALUE"""),262.5)</f>
        <v>262.5</v>
      </c>
      <c r="C550" s="9">
        <f>IFERROR(__xludf.DUMMYFUNCTION("""COMPUTED_VALUE"""),263.59)</f>
        <v>263.59</v>
      </c>
      <c r="D550" s="9">
        <f>IFERROR(__xludf.DUMMYFUNCTION("""COMPUTED_VALUE"""),256.25)</f>
        <v>256.25</v>
      </c>
      <c r="E550" s="9">
        <f>IFERROR(__xludf.DUMMYFUNCTION("""COMPUTED_VALUE"""),256.99)</f>
        <v>256.99</v>
      </c>
      <c r="F550" s="9">
        <f>IFERROR(__xludf.DUMMYFUNCTION("""COMPUTED_VALUE"""),672323.0)</f>
        <v>672323</v>
      </c>
      <c r="H550" s="27">
        <f>IFERROR(__xludf.DUMMYFUNCTION("""COMPUTED_VALUE"""),39161.645833333336)</f>
        <v>39161.64583</v>
      </c>
      <c r="I550" s="25">
        <f>IFERROR(__xludf.DUMMYFUNCTION("""COMPUTED_VALUE"""),315.0)</f>
        <v>315</v>
      </c>
      <c r="J550" s="25">
        <f>IFERROR(__xludf.DUMMYFUNCTION("""COMPUTED_VALUE"""),319.13)</f>
        <v>319.13</v>
      </c>
      <c r="K550" s="25">
        <f>IFERROR(__xludf.DUMMYFUNCTION("""COMPUTED_VALUE"""),312.0)</f>
        <v>312</v>
      </c>
      <c r="L550" s="25">
        <f>IFERROR(__xludf.DUMMYFUNCTION("""COMPUTED_VALUE"""),313.25)</f>
        <v>313.25</v>
      </c>
      <c r="M550" s="25">
        <f>IFERROR(__xludf.DUMMYFUNCTION("""COMPUTED_VALUE"""),693898.0)</f>
        <v>693898</v>
      </c>
    </row>
    <row r="551">
      <c r="A551" s="26">
        <f>IFERROR(__xludf.DUMMYFUNCTION("""COMPUTED_VALUE"""),39162.645833333336)</f>
        <v>39162.64583</v>
      </c>
      <c r="B551" s="9">
        <f>IFERROR(__xludf.DUMMYFUNCTION("""COMPUTED_VALUE"""),257.7)</f>
        <v>257.7</v>
      </c>
      <c r="C551" s="9">
        <f>IFERROR(__xludf.DUMMYFUNCTION("""COMPUTED_VALUE"""),262.5)</f>
        <v>262.5</v>
      </c>
      <c r="D551" s="9">
        <f>IFERROR(__xludf.DUMMYFUNCTION("""COMPUTED_VALUE"""),256.04)</f>
        <v>256.04</v>
      </c>
      <c r="E551" s="9">
        <f>IFERROR(__xludf.DUMMYFUNCTION("""COMPUTED_VALUE"""),261.74)</f>
        <v>261.74</v>
      </c>
      <c r="F551" s="9">
        <f>IFERROR(__xludf.DUMMYFUNCTION("""COMPUTED_VALUE"""),1157339.0)</f>
        <v>1157339</v>
      </c>
      <c r="H551" s="27">
        <f>IFERROR(__xludf.DUMMYFUNCTION("""COMPUTED_VALUE"""),39162.645833333336)</f>
        <v>39162.64583</v>
      </c>
      <c r="I551" s="25">
        <f>IFERROR(__xludf.DUMMYFUNCTION("""COMPUTED_VALUE"""),315.25)</f>
        <v>315.25</v>
      </c>
      <c r="J551" s="25">
        <f>IFERROR(__xludf.DUMMYFUNCTION("""COMPUTED_VALUE"""),317.35)</f>
        <v>317.35</v>
      </c>
      <c r="K551" s="25">
        <f>IFERROR(__xludf.DUMMYFUNCTION("""COMPUTED_VALUE"""),310.0)</f>
        <v>310</v>
      </c>
      <c r="L551" s="25">
        <f>IFERROR(__xludf.DUMMYFUNCTION("""COMPUTED_VALUE"""),316.75)</f>
        <v>316.75</v>
      </c>
      <c r="M551" s="25">
        <f>IFERROR(__xludf.DUMMYFUNCTION("""COMPUTED_VALUE"""),492509.0)</f>
        <v>492509</v>
      </c>
    </row>
    <row r="552">
      <c r="A552" s="26">
        <f>IFERROR(__xludf.DUMMYFUNCTION("""COMPUTED_VALUE"""),39163.645833333336)</f>
        <v>39163.64583</v>
      </c>
      <c r="B552" s="9">
        <f>IFERROR(__xludf.DUMMYFUNCTION("""COMPUTED_VALUE"""),263.75)</f>
        <v>263.75</v>
      </c>
      <c r="C552" s="9">
        <f>IFERROR(__xludf.DUMMYFUNCTION("""COMPUTED_VALUE"""),268.13)</f>
        <v>268.13</v>
      </c>
      <c r="D552" s="9">
        <f>IFERROR(__xludf.DUMMYFUNCTION("""COMPUTED_VALUE"""),262.5)</f>
        <v>262.5</v>
      </c>
      <c r="E552" s="9">
        <f>IFERROR(__xludf.DUMMYFUNCTION("""COMPUTED_VALUE"""),264.88)</f>
        <v>264.88</v>
      </c>
      <c r="F552" s="9">
        <f>IFERROR(__xludf.DUMMYFUNCTION("""COMPUTED_VALUE"""),996793.0)</f>
        <v>996793</v>
      </c>
      <c r="H552" s="27">
        <f>IFERROR(__xludf.DUMMYFUNCTION("""COMPUTED_VALUE"""),39163.645833333336)</f>
        <v>39163.64583</v>
      </c>
      <c r="I552" s="25">
        <f>IFERROR(__xludf.DUMMYFUNCTION("""COMPUTED_VALUE"""),319.25)</f>
        <v>319.25</v>
      </c>
      <c r="J552" s="25">
        <f>IFERROR(__xludf.DUMMYFUNCTION("""COMPUTED_VALUE"""),326.75)</f>
        <v>326.75</v>
      </c>
      <c r="K552" s="25">
        <f>IFERROR(__xludf.DUMMYFUNCTION("""COMPUTED_VALUE"""),319.25)</f>
        <v>319.25</v>
      </c>
      <c r="L552" s="25">
        <f>IFERROR(__xludf.DUMMYFUNCTION("""COMPUTED_VALUE"""),325.76)</f>
        <v>325.76</v>
      </c>
      <c r="M552" s="25">
        <f>IFERROR(__xludf.DUMMYFUNCTION("""COMPUTED_VALUE"""),1031398.0)</f>
        <v>1031398</v>
      </c>
    </row>
    <row r="553">
      <c r="A553" s="26">
        <f>IFERROR(__xludf.DUMMYFUNCTION("""COMPUTED_VALUE"""),39164.645833333336)</f>
        <v>39164.64583</v>
      </c>
      <c r="B553" s="9">
        <f>IFERROR(__xludf.DUMMYFUNCTION("""COMPUTED_VALUE"""),265.0)</f>
        <v>265</v>
      </c>
      <c r="C553" s="9">
        <f>IFERROR(__xludf.DUMMYFUNCTION("""COMPUTED_VALUE"""),266.88)</f>
        <v>266.88</v>
      </c>
      <c r="D553" s="9">
        <f>IFERROR(__xludf.DUMMYFUNCTION("""COMPUTED_VALUE"""),260.13)</f>
        <v>260.13</v>
      </c>
      <c r="E553" s="9">
        <f>IFERROR(__xludf.DUMMYFUNCTION("""COMPUTED_VALUE"""),261.58)</f>
        <v>261.58</v>
      </c>
      <c r="F553" s="9">
        <f>IFERROR(__xludf.DUMMYFUNCTION("""COMPUTED_VALUE"""),1359660.0)</f>
        <v>1359660</v>
      </c>
      <c r="H553" s="27">
        <f>IFERROR(__xludf.DUMMYFUNCTION("""COMPUTED_VALUE"""),39164.645833333336)</f>
        <v>39164.64583</v>
      </c>
      <c r="I553" s="25">
        <f>IFERROR(__xludf.DUMMYFUNCTION("""COMPUTED_VALUE"""),328.0)</f>
        <v>328</v>
      </c>
      <c r="J553" s="25">
        <f>IFERROR(__xludf.DUMMYFUNCTION("""COMPUTED_VALUE"""),330.0)</f>
        <v>330</v>
      </c>
      <c r="K553" s="25">
        <f>IFERROR(__xludf.DUMMYFUNCTION("""COMPUTED_VALUE"""),320.0)</f>
        <v>320</v>
      </c>
      <c r="L553" s="25">
        <f>IFERROR(__xludf.DUMMYFUNCTION("""COMPUTED_VALUE"""),322.05)</f>
        <v>322.05</v>
      </c>
      <c r="M553" s="25">
        <f>IFERROR(__xludf.DUMMYFUNCTION("""COMPUTED_VALUE"""),1316324.0)</f>
        <v>1316324</v>
      </c>
    </row>
    <row r="554">
      <c r="A554" s="26">
        <f>IFERROR(__xludf.DUMMYFUNCTION("""COMPUTED_VALUE"""),39167.645833333336)</f>
        <v>39167.64583</v>
      </c>
      <c r="B554" s="9">
        <f>IFERROR(__xludf.DUMMYFUNCTION("""COMPUTED_VALUE"""),263.13)</f>
        <v>263.13</v>
      </c>
      <c r="C554" s="9">
        <f>IFERROR(__xludf.DUMMYFUNCTION("""COMPUTED_VALUE"""),263.13)</f>
        <v>263.13</v>
      </c>
      <c r="D554" s="9">
        <f>IFERROR(__xludf.DUMMYFUNCTION("""COMPUTED_VALUE"""),255.03)</f>
        <v>255.03</v>
      </c>
      <c r="E554" s="9">
        <f>IFERROR(__xludf.DUMMYFUNCTION("""COMPUTED_VALUE"""),257.27)</f>
        <v>257.27</v>
      </c>
      <c r="F554" s="9">
        <f>IFERROR(__xludf.DUMMYFUNCTION("""COMPUTED_VALUE"""),1993575.0)</f>
        <v>1993575</v>
      </c>
      <c r="H554" s="27">
        <f>IFERROR(__xludf.DUMMYFUNCTION("""COMPUTED_VALUE"""),39167.645833333336)</f>
        <v>39167.64583</v>
      </c>
      <c r="I554" s="25">
        <f>IFERROR(__xludf.DUMMYFUNCTION("""COMPUTED_VALUE"""),321.25)</f>
        <v>321.25</v>
      </c>
      <c r="J554" s="25">
        <f>IFERROR(__xludf.DUMMYFUNCTION("""COMPUTED_VALUE"""),324.68)</f>
        <v>324.68</v>
      </c>
      <c r="K554" s="25">
        <f>IFERROR(__xludf.DUMMYFUNCTION("""COMPUTED_VALUE"""),313.81)</f>
        <v>313.81</v>
      </c>
      <c r="L554" s="25">
        <f>IFERROR(__xludf.DUMMYFUNCTION("""COMPUTED_VALUE"""),315.34)</f>
        <v>315.34</v>
      </c>
      <c r="M554" s="25">
        <f>IFERROR(__xludf.DUMMYFUNCTION("""COMPUTED_VALUE"""),1524684.0)</f>
        <v>1524684</v>
      </c>
    </row>
    <row r="555">
      <c r="A555" s="26">
        <f>IFERROR(__xludf.DUMMYFUNCTION("""COMPUTED_VALUE"""),39169.645833333336)</f>
        <v>39169.64583</v>
      </c>
      <c r="B555" s="9">
        <f>IFERROR(__xludf.DUMMYFUNCTION("""COMPUTED_VALUE"""),253.75)</f>
        <v>253.75</v>
      </c>
      <c r="C555" s="9">
        <f>IFERROR(__xludf.DUMMYFUNCTION("""COMPUTED_VALUE"""),253.75)</f>
        <v>253.75</v>
      </c>
      <c r="D555" s="9">
        <f>IFERROR(__xludf.DUMMYFUNCTION("""COMPUTED_VALUE"""),248.5)</f>
        <v>248.5</v>
      </c>
      <c r="E555" s="9">
        <f>IFERROR(__xludf.DUMMYFUNCTION("""COMPUTED_VALUE"""),249.01)</f>
        <v>249.01</v>
      </c>
      <c r="F555" s="9">
        <f>IFERROR(__xludf.DUMMYFUNCTION("""COMPUTED_VALUE"""),2684238.0)</f>
        <v>2684238</v>
      </c>
      <c r="H555" s="27">
        <f>IFERROR(__xludf.DUMMYFUNCTION("""COMPUTED_VALUE"""),39169.645833333336)</f>
        <v>39169.64583</v>
      </c>
      <c r="I555" s="25">
        <f>IFERROR(__xludf.DUMMYFUNCTION("""COMPUTED_VALUE"""),317.48)</f>
        <v>317.48</v>
      </c>
      <c r="J555" s="25">
        <f>IFERROR(__xludf.DUMMYFUNCTION("""COMPUTED_VALUE"""),317.48)</f>
        <v>317.48</v>
      </c>
      <c r="K555" s="25">
        <f>IFERROR(__xludf.DUMMYFUNCTION("""COMPUTED_VALUE"""),298.51)</f>
        <v>298.51</v>
      </c>
      <c r="L555" s="25">
        <f>IFERROR(__xludf.DUMMYFUNCTION("""COMPUTED_VALUE"""),300.25)</f>
        <v>300.25</v>
      </c>
      <c r="M555" s="25">
        <f>IFERROR(__xludf.DUMMYFUNCTION("""COMPUTED_VALUE"""),2204512.0)</f>
        <v>2204512</v>
      </c>
    </row>
    <row r="556">
      <c r="A556" s="26">
        <f>IFERROR(__xludf.DUMMYFUNCTION("""COMPUTED_VALUE"""),39170.645833333336)</f>
        <v>39170.64583</v>
      </c>
      <c r="B556" s="9">
        <f>IFERROR(__xludf.DUMMYFUNCTION("""COMPUTED_VALUE"""),245.24)</f>
        <v>245.24</v>
      </c>
      <c r="C556" s="9">
        <f>IFERROR(__xludf.DUMMYFUNCTION("""COMPUTED_VALUE"""),253.63)</f>
        <v>253.63</v>
      </c>
      <c r="D556" s="9">
        <f>IFERROR(__xludf.DUMMYFUNCTION("""COMPUTED_VALUE"""),244.89)</f>
        <v>244.89</v>
      </c>
      <c r="E556" s="9">
        <f>IFERROR(__xludf.DUMMYFUNCTION("""COMPUTED_VALUE"""),248.84)</f>
        <v>248.84</v>
      </c>
      <c r="F556" s="9">
        <f>IFERROR(__xludf.DUMMYFUNCTION("""COMPUTED_VALUE"""),3240899.0)</f>
        <v>3240899</v>
      </c>
      <c r="H556" s="27">
        <f>IFERROR(__xludf.DUMMYFUNCTION("""COMPUTED_VALUE"""),39170.645833333336)</f>
        <v>39170.64583</v>
      </c>
      <c r="I556" s="25">
        <f>IFERROR(__xludf.DUMMYFUNCTION("""COMPUTED_VALUE"""),297.24)</f>
        <v>297.24</v>
      </c>
      <c r="J556" s="25">
        <f>IFERROR(__xludf.DUMMYFUNCTION("""COMPUTED_VALUE"""),314.2)</f>
        <v>314.2</v>
      </c>
      <c r="K556" s="25">
        <f>IFERROR(__xludf.DUMMYFUNCTION("""COMPUTED_VALUE"""),297.24)</f>
        <v>297.24</v>
      </c>
      <c r="L556" s="25">
        <f>IFERROR(__xludf.DUMMYFUNCTION("""COMPUTED_VALUE"""),312.09)</f>
        <v>312.09</v>
      </c>
      <c r="M556" s="25">
        <f>IFERROR(__xludf.DUMMYFUNCTION("""COMPUTED_VALUE"""),2566656.0)</f>
        <v>2566656</v>
      </c>
    </row>
    <row r="557">
      <c r="A557" s="26">
        <f>IFERROR(__xludf.DUMMYFUNCTION("""COMPUTED_VALUE"""),39171.645833333336)</f>
        <v>39171.64583</v>
      </c>
      <c r="B557" s="9">
        <f>IFERROR(__xludf.DUMMYFUNCTION("""COMPUTED_VALUE"""),249.38)</f>
        <v>249.38</v>
      </c>
      <c r="C557" s="9">
        <f>IFERROR(__xludf.DUMMYFUNCTION("""COMPUTED_VALUE"""),253.71)</f>
        <v>253.71</v>
      </c>
      <c r="D557" s="9">
        <f>IFERROR(__xludf.DUMMYFUNCTION("""COMPUTED_VALUE"""),249.38)</f>
        <v>249.38</v>
      </c>
      <c r="E557" s="9">
        <f>IFERROR(__xludf.DUMMYFUNCTION("""COMPUTED_VALUE"""),252.33)</f>
        <v>252.33</v>
      </c>
      <c r="F557" s="9">
        <f>IFERROR(__xludf.DUMMYFUNCTION("""COMPUTED_VALUE"""),1811694.0)</f>
        <v>1811694</v>
      </c>
      <c r="H557" s="27">
        <f>IFERROR(__xludf.DUMMYFUNCTION("""COMPUTED_VALUE"""),39171.645833333336)</f>
        <v>39171.64583</v>
      </c>
      <c r="I557" s="25">
        <f>IFERROR(__xludf.DUMMYFUNCTION("""COMPUTED_VALUE"""),312.09)</f>
        <v>312.09</v>
      </c>
      <c r="J557" s="25">
        <f>IFERROR(__xludf.DUMMYFUNCTION("""COMPUTED_VALUE"""),313.7)</f>
        <v>313.7</v>
      </c>
      <c r="K557" s="25">
        <f>IFERROR(__xludf.DUMMYFUNCTION("""COMPUTED_VALUE"""),305.06)</f>
        <v>305.06</v>
      </c>
      <c r="L557" s="25">
        <f>IFERROR(__xludf.DUMMYFUNCTION("""COMPUTED_VALUE"""),308.46)</f>
        <v>308.46</v>
      </c>
      <c r="M557" s="25">
        <f>IFERROR(__xludf.DUMMYFUNCTION("""COMPUTED_VALUE"""),701764.0)</f>
        <v>701764</v>
      </c>
    </row>
    <row r="558">
      <c r="A558" s="26">
        <f>IFERROR(__xludf.DUMMYFUNCTION("""COMPUTED_VALUE"""),39174.645833333336)</f>
        <v>39174.64583</v>
      </c>
      <c r="B558" s="9">
        <f>IFERROR(__xludf.DUMMYFUNCTION("""COMPUTED_VALUE"""),250.0)</f>
        <v>250</v>
      </c>
      <c r="C558" s="9">
        <f>IFERROR(__xludf.DUMMYFUNCTION("""COMPUTED_VALUE"""),250.0)</f>
        <v>250</v>
      </c>
      <c r="D558" s="9">
        <f>IFERROR(__xludf.DUMMYFUNCTION("""COMPUTED_VALUE"""),239.0)</f>
        <v>239</v>
      </c>
      <c r="E558" s="9">
        <f>IFERROR(__xludf.DUMMYFUNCTION("""COMPUTED_VALUE"""),240.37)</f>
        <v>240.37</v>
      </c>
      <c r="F558" s="9">
        <f>IFERROR(__xludf.DUMMYFUNCTION("""COMPUTED_VALUE"""),1842360.0)</f>
        <v>1842360</v>
      </c>
      <c r="H558" s="27">
        <f>IFERROR(__xludf.DUMMYFUNCTION("""COMPUTED_VALUE"""),39174.645833333336)</f>
        <v>39174.64583</v>
      </c>
      <c r="I558" s="25">
        <f>IFERROR(__xludf.DUMMYFUNCTION("""COMPUTED_VALUE"""),302.5)</f>
        <v>302.5</v>
      </c>
      <c r="J558" s="25">
        <f>IFERROR(__xludf.DUMMYFUNCTION("""COMPUTED_VALUE"""),305.0)</f>
        <v>305</v>
      </c>
      <c r="K558" s="25">
        <f>IFERROR(__xludf.DUMMYFUNCTION("""COMPUTED_VALUE"""),296.25)</f>
        <v>296.25</v>
      </c>
      <c r="L558" s="25">
        <f>IFERROR(__xludf.DUMMYFUNCTION("""COMPUTED_VALUE"""),297.3)</f>
        <v>297.3</v>
      </c>
      <c r="M558" s="25">
        <f>IFERROR(__xludf.DUMMYFUNCTION("""COMPUTED_VALUE"""),968974.0)</f>
        <v>968974</v>
      </c>
    </row>
    <row r="559">
      <c r="A559" s="26">
        <f>IFERROR(__xludf.DUMMYFUNCTION("""COMPUTED_VALUE"""),39175.645833333336)</f>
        <v>39175.64583</v>
      </c>
      <c r="B559" s="9">
        <f>IFERROR(__xludf.DUMMYFUNCTION("""COMPUTED_VALUE"""),240.63)</f>
        <v>240.63</v>
      </c>
      <c r="C559" s="9">
        <f>IFERROR(__xludf.DUMMYFUNCTION("""COMPUTED_VALUE"""),246.81)</f>
        <v>246.81</v>
      </c>
      <c r="D559" s="9">
        <f>IFERROR(__xludf.DUMMYFUNCTION("""COMPUTED_VALUE"""),238.75)</f>
        <v>238.75</v>
      </c>
      <c r="E559" s="9">
        <f>IFERROR(__xludf.DUMMYFUNCTION("""COMPUTED_VALUE"""),245.58)</f>
        <v>245.58</v>
      </c>
      <c r="F559" s="9">
        <f>IFERROR(__xludf.DUMMYFUNCTION("""COMPUTED_VALUE"""),2194220.0)</f>
        <v>2194220</v>
      </c>
      <c r="H559" s="27">
        <f>IFERROR(__xludf.DUMMYFUNCTION("""COMPUTED_VALUE"""),39175.645833333336)</f>
        <v>39175.64583</v>
      </c>
      <c r="I559" s="25">
        <f>IFERROR(__xludf.DUMMYFUNCTION("""COMPUTED_VALUE"""),298.75)</f>
        <v>298.75</v>
      </c>
      <c r="J559" s="25">
        <f>IFERROR(__xludf.DUMMYFUNCTION("""COMPUTED_VALUE"""),304.2)</f>
        <v>304.2</v>
      </c>
      <c r="K559" s="25">
        <f>IFERROR(__xludf.DUMMYFUNCTION("""COMPUTED_VALUE"""),297.0)</f>
        <v>297</v>
      </c>
      <c r="L559" s="25">
        <f>IFERROR(__xludf.DUMMYFUNCTION("""COMPUTED_VALUE"""),300.66)</f>
        <v>300.66</v>
      </c>
      <c r="M559" s="25">
        <f>IFERROR(__xludf.DUMMYFUNCTION("""COMPUTED_VALUE"""),814213.0)</f>
        <v>814213</v>
      </c>
    </row>
    <row r="560">
      <c r="A560" s="26">
        <f>IFERROR(__xludf.DUMMYFUNCTION("""COMPUTED_VALUE"""),39176.645833333336)</f>
        <v>39176.64583</v>
      </c>
      <c r="B560" s="9">
        <f>IFERROR(__xludf.DUMMYFUNCTION("""COMPUTED_VALUE"""),247.5)</f>
        <v>247.5</v>
      </c>
      <c r="C560" s="9">
        <f>IFERROR(__xludf.DUMMYFUNCTION("""COMPUTED_VALUE"""),249.98)</f>
        <v>249.98</v>
      </c>
      <c r="D560" s="9">
        <f>IFERROR(__xludf.DUMMYFUNCTION("""COMPUTED_VALUE"""),243.78)</f>
        <v>243.78</v>
      </c>
      <c r="E560" s="9">
        <f>IFERROR(__xludf.DUMMYFUNCTION("""COMPUTED_VALUE"""),249.29)</f>
        <v>249.29</v>
      </c>
      <c r="F560" s="9">
        <f>IFERROR(__xludf.DUMMYFUNCTION("""COMPUTED_VALUE"""),1511198.0)</f>
        <v>1511198</v>
      </c>
      <c r="H560" s="27">
        <f>IFERROR(__xludf.DUMMYFUNCTION("""COMPUTED_VALUE"""),39176.645833333336)</f>
        <v>39176.64583</v>
      </c>
      <c r="I560" s="25">
        <f>IFERROR(__xludf.DUMMYFUNCTION("""COMPUTED_VALUE"""),304.5)</f>
        <v>304.5</v>
      </c>
      <c r="J560" s="25">
        <f>IFERROR(__xludf.DUMMYFUNCTION("""COMPUTED_VALUE"""),306.18)</f>
        <v>306.18</v>
      </c>
      <c r="K560" s="25">
        <f>IFERROR(__xludf.DUMMYFUNCTION("""COMPUTED_VALUE"""),297.6)</f>
        <v>297.6</v>
      </c>
      <c r="L560" s="25">
        <f>IFERROR(__xludf.DUMMYFUNCTION("""COMPUTED_VALUE"""),299.6)</f>
        <v>299.6</v>
      </c>
      <c r="M560" s="25">
        <f>IFERROR(__xludf.DUMMYFUNCTION("""COMPUTED_VALUE"""),600624.0)</f>
        <v>600624</v>
      </c>
    </row>
    <row r="561">
      <c r="A561" s="26">
        <f>IFERROR(__xludf.DUMMYFUNCTION("""COMPUTED_VALUE"""),39177.645833333336)</f>
        <v>39177.64583</v>
      </c>
      <c r="B561" s="9">
        <f>IFERROR(__xludf.DUMMYFUNCTION("""COMPUTED_VALUE"""),248.75)</f>
        <v>248.75</v>
      </c>
      <c r="C561" s="9">
        <f>IFERROR(__xludf.DUMMYFUNCTION("""COMPUTED_VALUE"""),249.99)</f>
        <v>249.99</v>
      </c>
      <c r="D561" s="9">
        <f>IFERROR(__xludf.DUMMYFUNCTION("""COMPUTED_VALUE"""),243.21)</f>
        <v>243.21</v>
      </c>
      <c r="E561" s="9">
        <f>IFERROR(__xludf.DUMMYFUNCTION("""COMPUTED_VALUE"""),249.04)</f>
        <v>249.04</v>
      </c>
      <c r="F561" s="9">
        <f>IFERROR(__xludf.DUMMYFUNCTION("""COMPUTED_VALUE"""),766225.0)</f>
        <v>766225</v>
      </c>
      <c r="H561" s="27">
        <f>IFERROR(__xludf.DUMMYFUNCTION("""COMPUTED_VALUE"""),39177.645833333336)</f>
        <v>39177.64583</v>
      </c>
      <c r="I561" s="25">
        <f>IFERROR(__xludf.DUMMYFUNCTION("""COMPUTED_VALUE"""),299.86)</f>
        <v>299.86</v>
      </c>
      <c r="J561" s="25">
        <f>IFERROR(__xludf.DUMMYFUNCTION("""COMPUTED_VALUE"""),301.5)</f>
        <v>301.5</v>
      </c>
      <c r="K561" s="25">
        <f>IFERROR(__xludf.DUMMYFUNCTION("""COMPUTED_VALUE"""),296.52)</f>
        <v>296.52</v>
      </c>
      <c r="L561" s="25">
        <f>IFERROR(__xludf.DUMMYFUNCTION("""COMPUTED_VALUE"""),298.55)</f>
        <v>298.55</v>
      </c>
      <c r="M561" s="25">
        <f>IFERROR(__xludf.DUMMYFUNCTION("""COMPUTED_VALUE"""),633498.0)</f>
        <v>633498</v>
      </c>
    </row>
    <row r="562">
      <c r="A562" s="26">
        <f>IFERROR(__xludf.DUMMYFUNCTION("""COMPUTED_VALUE"""),39181.645833333336)</f>
        <v>39181.64583</v>
      </c>
      <c r="B562" s="9">
        <f>IFERROR(__xludf.DUMMYFUNCTION("""COMPUTED_VALUE"""),245.0)</f>
        <v>245</v>
      </c>
      <c r="C562" s="9">
        <f>IFERROR(__xludf.DUMMYFUNCTION("""COMPUTED_VALUE"""),256.75)</f>
        <v>256.75</v>
      </c>
      <c r="D562" s="9">
        <f>IFERROR(__xludf.DUMMYFUNCTION("""COMPUTED_VALUE"""),245.0)</f>
        <v>245</v>
      </c>
      <c r="E562" s="9">
        <f>IFERROR(__xludf.DUMMYFUNCTION("""COMPUTED_VALUE"""),255.94)</f>
        <v>255.94</v>
      </c>
      <c r="F562" s="9">
        <f>IFERROR(__xludf.DUMMYFUNCTION("""COMPUTED_VALUE"""),764018.0)</f>
        <v>764018</v>
      </c>
      <c r="H562" s="27">
        <f>IFERROR(__xludf.DUMMYFUNCTION("""COMPUTED_VALUE"""),39181.645833333336)</f>
        <v>39181.64583</v>
      </c>
      <c r="I562" s="25">
        <f>IFERROR(__xludf.DUMMYFUNCTION("""COMPUTED_VALUE"""),300.13)</f>
        <v>300.13</v>
      </c>
      <c r="J562" s="25">
        <f>IFERROR(__xludf.DUMMYFUNCTION("""COMPUTED_VALUE"""),306.69)</f>
        <v>306.69</v>
      </c>
      <c r="K562" s="25">
        <f>IFERROR(__xludf.DUMMYFUNCTION("""COMPUTED_VALUE"""),300.13)</f>
        <v>300.13</v>
      </c>
      <c r="L562" s="25">
        <f>IFERROR(__xludf.DUMMYFUNCTION("""COMPUTED_VALUE"""),304.3)</f>
        <v>304.3</v>
      </c>
      <c r="M562" s="25">
        <f>IFERROR(__xludf.DUMMYFUNCTION("""COMPUTED_VALUE"""),571131.0)</f>
        <v>571131</v>
      </c>
    </row>
    <row r="563">
      <c r="A563" s="26">
        <f>IFERROR(__xludf.DUMMYFUNCTION("""COMPUTED_VALUE"""),39182.645833333336)</f>
        <v>39182.64583</v>
      </c>
      <c r="B563" s="9">
        <f>IFERROR(__xludf.DUMMYFUNCTION("""COMPUTED_VALUE"""),256.25)</f>
        <v>256.25</v>
      </c>
      <c r="C563" s="9">
        <f>IFERROR(__xludf.DUMMYFUNCTION("""COMPUTED_VALUE"""),258.0)</f>
        <v>258</v>
      </c>
      <c r="D563" s="9">
        <f>IFERROR(__xludf.DUMMYFUNCTION("""COMPUTED_VALUE"""),247.64)</f>
        <v>247.64</v>
      </c>
      <c r="E563" s="9">
        <f>IFERROR(__xludf.DUMMYFUNCTION("""COMPUTED_VALUE"""),249.86)</f>
        <v>249.86</v>
      </c>
      <c r="F563" s="9">
        <f>IFERROR(__xludf.DUMMYFUNCTION("""COMPUTED_VALUE"""),1481454.0)</f>
        <v>1481454</v>
      </c>
      <c r="H563" s="27">
        <f>IFERROR(__xludf.DUMMYFUNCTION("""COMPUTED_VALUE"""),39182.645833333336)</f>
        <v>39182.64583</v>
      </c>
      <c r="I563" s="25">
        <f>IFERROR(__xludf.DUMMYFUNCTION("""COMPUTED_VALUE"""),304.3)</f>
        <v>304.3</v>
      </c>
      <c r="J563" s="25">
        <f>IFERROR(__xludf.DUMMYFUNCTION("""COMPUTED_VALUE"""),306.25)</f>
        <v>306.25</v>
      </c>
      <c r="K563" s="25">
        <f>IFERROR(__xludf.DUMMYFUNCTION("""COMPUTED_VALUE"""),298.84)</f>
        <v>298.84</v>
      </c>
      <c r="L563" s="25">
        <f>IFERROR(__xludf.DUMMYFUNCTION("""COMPUTED_VALUE"""),299.34)</f>
        <v>299.34</v>
      </c>
      <c r="M563" s="25">
        <f>IFERROR(__xludf.DUMMYFUNCTION("""COMPUTED_VALUE"""),870060.0)</f>
        <v>870060</v>
      </c>
    </row>
    <row r="564">
      <c r="A564" s="26">
        <f>IFERROR(__xludf.DUMMYFUNCTION("""COMPUTED_VALUE"""),39183.645833333336)</f>
        <v>39183.64583</v>
      </c>
      <c r="B564" s="9">
        <f>IFERROR(__xludf.DUMMYFUNCTION("""COMPUTED_VALUE"""),250.63)</f>
        <v>250.63</v>
      </c>
      <c r="C564" s="9">
        <f>IFERROR(__xludf.DUMMYFUNCTION("""COMPUTED_VALUE"""),254.88)</f>
        <v>254.88</v>
      </c>
      <c r="D564" s="9">
        <f>IFERROR(__xludf.DUMMYFUNCTION("""COMPUTED_VALUE"""),248.47)</f>
        <v>248.47</v>
      </c>
      <c r="E564" s="9">
        <f>IFERROR(__xludf.DUMMYFUNCTION("""COMPUTED_VALUE"""),249.53)</f>
        <v>249.53</v>
      </c>
      <c r="F564" s="9">
        <f>IFERROR(__xludf.DUMMYFUNCTION("""COMPUTED_VALUE"""),1540596.0)</f>
        <v>1540596</v>
      </c>
      <c r="H564" s="27">
        <f>IFERROR(__xludf.DUMMYFUNCTION("""COMPUTED_VALUE"""),39183.645833333336)</f>
        <v>39183.64583</v>
      </c>
      <c r="I564" s="25">
        <f>IFERROR(__xludf.DUMMYFUNCTION("""COMPUTED_VALUE"""),301.35)</f>
        <v>301.35</v>
      </c>
      <c r="J564" s="25">
        <f>IFERROR(__xludf.DUMMYFUNCTION("""COMPUTED_VALUE"""),302.36)</f>
        <v>302.36</v>
      </c>
      <c r="K564" s="25">
        <f>IFERROR(__xludf.DUMMYFUNCTION("""COMPUTED_VALUE"""),296.75)</f>
        <v>296.75</v>
      </c>
      <c r="L564" s="25">
        <f>IFERROR(__xludf.DUMMYFUNCTION("""COMPUTED_VALUE"""),297.64)</f>
        <v>297.64</v>
      </c>
      <c r="M564" s="25">
        <f>IFERROR(__xludf.DUMMYFUNCTION("""COMPUTED_VALUE"""),956584.0)</f>
        <v>956584</v>
      </c>
    </row>
    <row r="565">
      <c r="A565" s="26">
        <f>IFERROR(__xludf.DUMMYFUNCTION("""COMPUTED_VALUE"""),39184.645833333336)</f>
        <v>39184.64583</v>
      </c>
      <c r="B565" s="9">
        <f>IFERROR(__xludf.DUMMYFUNCTION("""COMPUTED_VALUE"""),248.63)</f>
        <v>248.63</v>
      </c>
      <c r="C565" s="9">
        <f>IFERROR(__xludf.DUMMYFUNCTION("""COMPUTED_VALUE"""),256.99)</f>
        <v>256.99</v>
      </c>
      <c r="D565" s="9">
        <f>IFERROR(__xludf.DUMMYFUNCTION("""COMPUTED_VALUE"""),245.0)</f>
        <v>245</v>
      </c>
      <c r="E565" s="9">
        <f>IFERROR(__xludf.DUMMYFUNCTION("""COMPUTED_VALUE"""),255.73)</f>
        <v>255.73</v>
      </c>
      <c r="F565" s="9">
        <f>IFERROR(__xludf.DUMMYFUNCTION("""COMPUTED_VALUE"""),2253235.0)</f>
        <v>2253235</v>
      </c>
      <c r="H565" s="27">
        <f>IFERROR(__xludf.DUMMYFUNCTION("""COMPUTED_VALUE"""),39184.645833333336)</f>
        <v>39184.64583</v>
      </c>
      <c r="I565" s="25">
        <f>IFERROR(__xludf.DUMMYFUNCTION("""COMPUTED_VALUE"""),297.0)</f>
        <v>297</v>
      </c>
      <c r="J565" s="25">
        <f>IFERROR(__xludf.DUMMYFUNCTION("""COMPUTED_VALUE"""),302.25)</f>
        <v>302.25</v>
      </c>
      <c r="K565" s="25">
        <f>IFERROR(__xludf.DUMMYFUNCTION("""COMPUTED_VALUE"""),293.0)</f>
        <v>293</v>
      </c>
      <c r="L565" s="25">
        <f>IFERROR(__xludf.DUMMYFUNCTION("""COMPUTED_VALUE"""),300.24)</f>
        <v>300.24</v>
      </c>
      <c r="M565" s="25">
        <f>IFERROR(__xludf.DUMMYFUNCTION("""COMPUTED_VALUE"""),923739.0)</f>
        <v>923739</v>
      </c>
    </row>
    <row r="566">
      <c r="A566" s="26">
        <f>IFERROR(__xludf.DUMMYFUNCTION("""COMPUTED_VALUE"""),39185.645833333336)</f>
        <v>39185.64583</v>
      </c>
      <c r="B566" s="9">
        <f>IFERROR(__xludf.DUMMYFUNCTION("""COMPUTED_VALUE"""),262.5)</f>
        <v>262.5</v>
      </c>
      <c r="C566" s="9">
        <f>IFERROR(__xludf.DUMMYFUNCTION("""COMPUTED_VALUE"""),266.5)</f>
        <v>266.5</v>
      </c>
      <c r="D566" s="9">
        <f>IFERROR(__xludf.DUMMYFUNCTION("""COMPUTED_VALUE"""),253.29)</f>
        <v>253.29</v>
      </c>
      <c r="E566" s="9">
        <f>IFERROR(__xludf.DUMMYFUNCTION("""COMPUTED_VALUE"""),260.86)</f>
        <v>260.86</v>
      </c>
      <c r="F566" s="9">
        <f>IFERROR(__xludf.DUMMYFUNCTION("""COMPUTED_VALUE"""),4637018.0)</f>
        <v>4637018</v>
      </c>
      <c r="H566" s="27">
        <f>IFERROR(__xludf.DUMMYFUNCTION("""COMPUTED_VALUE"""),39185.645833333336)</f>
        <v>39185.64583</v>
      </c>
      <c r="I566" s="25">
        <f>IFERROR(__xludf.DUMMYFUNCTION("""COMPUTED_VALUE"""),302.5)</f>
        <v>302.5</v>
      </c>
      <c r="J566" s="25">
        <f>IFERROR(__xludf.DUMMYFUNCTION("""COMPUTED_VALUE"""),317.1)</f>
        <v>317.1</v>
      </c>
      <c r="K566" s="25">
        <f>IFERROR(__xludf.DUMMYFUNCTION("""COMPUTED_VALUE"""),298.5)</f>
        <v>298.5</v>
      </c>
      <c r="L566" s="25">
        <f>IFERROR(__xludf.DUMMYFUNCTION("""COMPUTED_VALUE"""),315.5)</f>
        <v>315.5</v>
      </c>
      <c r="M566" s="25">
        <f>IFERROR(__xludf.DUMMYFUNCTION("""COMPUTED_VALUE"""),2444712.0)</f>
        <v>2444712</v>
      </c>
    </row>
    <row r="567">
      <c r="A567" s="26">
        <f>IFERROR(__xludf.DUMMYFUNCTION("""COMPUTED_VALUE"""),39188.645833333336)</f>
        <v>39188.64583</v>
      </c>
      <c r="B567" s="9">
        <f>IFERROR(__xludf.DUMMYFUNCTION("""COMPUTED_VALUE"""),268.75)</f>
        <v>268.75</v>
      </c>
      <c r="C567" s="9">
        <f>IFERROR(__xludf.DUMMYFUNCTION("""COMPUTED_VALUE"""),269.5)</f>
        <v>269.5</v>
      </c>
      <c r="D567" s="9">
        <f>IFERROR(__xludf.DUMMYFUNCTION("""COMPUTED_VALUE"""),260.88)</f>
        <v>260.88</v>
      </c>
      <c r="E567" s="9">
        <f>IFERROR(__xludf.DUMMYFUNCTION("""COMPUTED_VALUE"""),266.09)</f>
        <v>266.09</v>
      </c>
      <c r="F567" s="9">
        <f>IFERROR(__xludf.DUMMYFUNCTION("""COMPUTED_VALUE"""),1677910.0)</f>
        <v>1677910</v>
      </c>
      <c r="H567" s="27">
        <f>IFERROR(__xludf.DUMMYFUNCTION("""COMPUTED_VALUE"""),39188.645833333336)</f>
        <v>39188.64583</v>
      </c>
      <c r="I567" s="25">
        <f>IFERROR(__xludf.DUMMYFUNCTION("""COMPUTED_VALUE"""),321.0)</f>
        <v>321</v>
      </c>
      <c r="J567" s="25">
        <f>IFERROR(__xludf.DUMMYFUNCTION("""COMPUTED_VALUE"""),326.48)</f>
        <v>326.48</v>
      </c>
      <c r="K567" s="25">
        <f>IFERROR(__xludf.DUMMYFUNCTION("""COMPUTED_VALUE"""),317.56)</f>
        <v>317.56</v>
      </c>
      <c r="L567" s="25">
        <f>IFERROR(__xludf.DUMMYFUNCTION("""COMPUTED_VALUE"""),320.06)</f>
        <v>320.06</v>
      </c>
      <c r="M567" s="25">
        <f>IFERROR(__xludf.DUMMYFUNCTION("""COMPUTED_VALUE"""),2496555.0)</f>
        <v>2496555</v>
      </c>
    </row>
    <row r="568">
      <c r="A568" s="26">
        <f>IFERROR(__xludf.DUMMYFUNCTION("""COMPUTED_VALUE"""),39189.645833333336)</f>
        <v>39189.64583</v>
      </c>
      <c r="B568" s="9">
        <f>IFERROR(__xludf.DUMMYFUNCTION("""COMPUTED_VALUE"""),263.75)</f>
        <v>263.75</v>
      </c>
      <c r="C568" s="9">
        <f>IFERROR(__xludf.DUMMYFUNCTION("""COMPUTED_VALUE"""),266.0)</f>
        <v>266</v>
      </c>
      <c r="D568" s="9">
        <f>IFERROR(__xludf.DUMMYFUNCTION("""COMPUTED_VALUE"""),258.26)</f>
        <v>258.26</v>
      </c>
      <c r="E568" s="9">
        <f>IFERROR(__xludf.DUMMYFUNCTION("""COMPUTED_VALUE"""),260.34)</f>
        <v>260.34</v>
      </c>
      <c r="F568" s="9">
        <f>IFERROR(__xludf.DUMMYFUNCTION("""COMPUTED_VALUE"""),1722421.0)</f>
        <v>1722421</v>
      </c>
      <c r="H568" s="27">
        <f>IFERROR(__xludf.DUMMYFUNCTION("""COMPUTED_VALUE"""),39189.645833333336)</f>
        <v>39189.64583</v>
      </c>
      <c r="I568" s="25">
        <f>IFERROR(__xludf.DUMMYFUNCTION("""COMPUTED_VALUE"""),321.43)</f>
        <v>321.43</v>
      </c>
      <c r="J568" s="25">
        <f>IFERROR(__xludf.DUMMYFUNCTION("""COMPUTED_VALUE"""),328.75)</f>
        <v>328.75</v>
      </c>
      <c r="K568" s="25">
        <f>IFERROR(__xludf.DUMMYFUNCTION("""COMPUTED_VALUE"""),309.5)</f>
        <v>309.5</v>
      </c>
      <c r="L568" s="25">
        <f>IFERROR(__xludf.DUMMYFUNCTION("""COMPUTED_VALUE"""),312.56)</f>
        <v>312.56</v>
      </c>
      <c r="M568" s="25">
        <f>IFERROR(__xludf.DUMMYFUNCTION("""COMPUTED_VALUE"""),2616241.0)</f>
        <v>2616241</v>
      </c>
    </row>
    <row r="569">
      <c r="A569" s="26">
        <f>IFERROR(__xludf.DUMMYFUNCTION("""COMPUTED_VALUE"""),39190.645833333336)</f>
        <v>39190.64583</v>
      </c>
      <c r="B569" s="9">
        <f>IFERROR(__xludf.DUMMYFUNCTION("""COMPUTED_VALUE"""),260.81)</f>
        <v>260.81</v>
      </c>
      <c r="C569" s="9">
        <f>IFERROR(__xludf.DUMMYFUNCTION("""COMPUTED_VALUE"""),262.34)</f>
        <v>262.34</v>
      </c>
      <c r="D569" s="9">
        <f>IFERROR(__xludf.DUMMYFUNCTION("""COMPUTED_VALUE"""),257.9)</f>
        <v>257.9</v>
      </c>
      <c r="E569" s="9">
        <f>IFERROR(__xludf.DUMMYFUNCTION("""COMPUTED_VALUE"""),259.54)</f>
        <v>259.54</v>
      </c>
      <c r="F569" s="9">
        <f>IFERROR(__xludf.DUMMYFUNCTION("""COMPUTED_VALUE"""),1186452.0)</f>
        <v>1186452</v>
      </c>
      <c r="H569" s="27">
        <f>IFERROR(__xludf.DUMMYFUNCTION("""COMPUTED_VALUE"""),39190.645833333336)</f>
        <v>39190.64583</v>
      </c>
      <c r="I569" s="25">
        <f>IFERROR(__xludf.DUMMYFUNCTION("""COMPUTED_VALUE"""),313.5)</f>
        <v>313.5</v>
      </c>
      <c r="J569" s="25">
        <f>IFERROR(__xludf.DUMMYFUNCTION("""COMPUTED_VALUE"""),316.25)</f>
        <v>316.25</v>
      </c>
      <c r="K569" s="25">
        <f>IFERROR(__xludf.DUMMYFUNCTION("""COMPUTED_VALUE"""),310.25)</f>
        <v>310.25</v>
      </c>
      <c r="L569" s="25">
        <f>IFERROR(__xludf.DUMMYFUNCTION("""COMPUTED_VALUE"""),311.88)</f>
        <v>311.88</v>
      </c>
      <c r="M569" s="25">
        <f>IFERROR(__xludf.DUMMYFUNCTION("""COMPUTED_VALUE"""),713396.0)</f>
        <v>713396</v>
      </c>
    </row>
    <row r="570">
      <c r="A570" s="26">
        <f>IFERROR(__xludf.DUMMYFUNCTION("""COMPUTED_VALUE"""),39191.645833333336)</f>
        <v>39191.64583</v>
      </c>
      <c r="B570" s="9">
        <f>IFERROR(__xludf.DUMMYFUNCTION("""COMPUTED_VALUE"""),256.27)</f>
        <v>256.27</v>
      </c>
      <c r="C570" s="9">
        <f>IFERROR(__xludf.DUMMYFUNCTION("""COMPUTED_VALUE"""),257.18)</f>
        <v>257.18</v>
      </c>
      <c r="D570" s="9">
        <f>IFERROR(__xludf.DUMMYFUNCTION("""COMPUTED_VALUE"""),253.16)</f>
        <v>253.16</v>
      </c>
      <c r="E570" s="9">
        <f>IFERROR(__xludf.DUMMYFUNCTION("""COMPUTED_VALUE"""),254.99)</f>
        <v>254.99</v>
      </c>
      <c r="F570" s="9">
        <f>IFERROR(__xludf.DUMMYFUNCTION("""COMPUTED_VALUE"""),1586206.0)</f>
        <v>1586206</v>
      </c>
      <c r="H570" s="27">
        <f>IFERROR(__xludf.DUMMYFUNCTION("""COMPUTED_VALUE"""),39191.645833333336)</f>
        <v>39191.64583</v>
      </c>
      <c r="I570" s="25">
        <f>IFERROR(__xludf.DUMMYFUNCTION("""COMPUTED_VALUE"""),307.5)</f>
        <v>307.5</v>
      </c>
      <c r="J570" s="25">
        <f>IFERROR(__xludf.DUMMYFUNCTION("""COMPUTED_VALUE"""),312.0)</f>
        <v>312</v>
      </c>
      <c r="K570" s="25">
        <f>IFERROR(__xludf.DUMMYFUNCTION("""COMPUTED_VALUE"""),301.27)</f>
        <v>301.27</v>
      </c>
      <c r="L570" s="25">
        <f>IFERROR(__xludf.DUMMYFUNCTION("""COMPUTED_VALUE"""),310.73)</f>
        <v>310.73</v>
      </c>
      <c r="M570" s="25">
        <f>IFERROR(__xludf.DUMMYFUNCTION("""COMPUTED_VALUE"""),791163.0)</f>
        <v>791163</v>
      </c>
    </row>
    <row r="571">
      <c r="A571" s="26">
        <f>IFERROR(__xludf.DUMMYFUNCTION("""COMPUTED_VALUE"""),39192.645833333336)</f>
        <v>39192.64583</v>
      </c>
      <c r="B571" s="9">
        <f>IFERROR(__xludf.DUMMYFUNCTION("""COMPUTED_VALUE"""),261.85)</f>
        <v>261.85</v>
      </c>
      <c r="C571" s="9">
        <f>IFERROR(__xludf.DUMMYFUNCTION("""COMPUTED_VALUE"""),261.85)</f>
        <v>261.85</v>
      </c>
      <c r="D571" s="9">
        <f>IFERROR(__xludf.DUMMYFUNCTION("""COMPUTED_VALUE"""),256.14)</f>
        <v>256.14</v>
      </c>
      <c r="E571" s="9">
        <f>IFERROR(__xludf.DUMMYFUNCTION("""COMPUTED_VALUE"""),256.89)</f>
        <v>256.89</v>
      </c>
      <c r="F571" s="9">
        <f>IFERROR(__xludf.DUMMYFUNCTION("""COMPUTED_VALUE"""),987653.0)</f>
        <v>987653</v>
      </c>
      <c r="H571" s="27">
        <f>IFERROR(__xludf.DUMMYFUNCTION("""COMPUTED_VALUE"""),39192.645833333336)</f>
        <v>39192.64583</v>
      </c>
      <c r="I571" s="25">
        <f>IFERROR(__xludf.DUMMYFUNCTION("""COMPUTED_VALUE"""),313.0)</f>
        <v>313</v>
      </c>
      <c r="J571" s="25">
        <f>IFERROR(__xludf.DUMMYFUNCTION("""COMPUTED_VALUE"""),316.99)</f>
        <v>316.99</v>
      </c>
      <c r="K571" s="25">
        <f>IFERROR(__xludf.DUMMYFUNCTION("""COMPUTED_VALUE"""),312.52)</f>
        <v>312.52</v>
      </c>
      <c r="L571" s="25">
        <f>IFERROR(__xludf.DUMMYFUNCTION("""COMPUTED_VALUE"""),314.41)</f>
        <v>314.41</v>
      </c>
      <c r="M571" s="25">
        <f>IFERROR(__xludf.DUMMYFUNCTION("""COMPUTED_VALUE"""),717688.0)</f>
        <v>717688</v>
      </c>
    </row>
    <row r="572">
      <c r="A572" s="26">
        <f>IFERROR(__xludf.DUMMYFUNCTION("""COMPUTED_VALUE"""),39195.645833333336)</f>
        <v>39195.64583</v>
      </c>
      <c r="B572" s="9">
        <f>IFERROR(__xludf.DUMMYFUNCTION("""COMPUTED_VALUE"""),259.97)</f>
        <v>259.97</v>
      </c>
      <c r="C572" s="9">
        <f>IFERROR(__xludf.DUMMYFUNCTION("""COMPUTED_VALUE"""),259.97)</f>
        <v>259.97</v>
      </c>
      <c r="D572" s="9">
        <f>IFERROR(__xludf.DUMMYFUNCTION("""COMPUTED_VALUE"""),257.52)</f>
        <v>257.52</v>
      </c>
      <c r="E572" s="9">
        <f>IFERROR(__xludf.DUMMYFUNCTION("""COMPUTED_VALUE"""),258.66)</f>
        <v>258.66</v>
      </c>
      <c r="F572" s="9">
        <f>IFERROR(__xludf.DUMMYFUNCTION("""COMPUTED_VALUE"""),775565.0)</f>
        <v>775565</v>
      </c>
      <c r="H572" s="27">
        <f>IFERROR(__xludf.DUMMYFUNCTION("""COMPUTED_VALUE"""),39195.645833333336)</f>
        <v>39195.64583</v>
      </c>
      <c r="I572" s="25">
        <f>IFERROR(__xludf.DUMMYFUNCTION("""COMPUTED_VALUE"""),313.75)</f>
        <v>313.75</v>
      </c>
      <c r="J572" s="25">
        <f>IFERROR(__xludf.DUMMYFUNCTION("""COMPUTED_VALUE"""),317.45)</f>
        <v>317.45</v>
      </c>
      <c r="K572" s="25">
        <f>IFERROR(__xludf.DUMMYFUNCTION("""COMPUTED_VALUE"""),311.25)</f>
        <v>311.25</v>
      </c>
      <c r="L572" s="25">
        <f>IFERROR(__xludf.DUMMYFUNCTION("""COMPUTED_VALUE"""),311.95)</f>
        <v>311.95</v>
      </c>
      <c r="M572" s="25">
        <f>IFERROR(__xludf.DUMMYFUNCTION("""COMPUTED_VALUE"""),566306.0)</f>
        <v>566306</v>
      </c>
    </row>
    <row r="573">
      <c r="A573" s="26">
        <f>IFERROR(__xludf.DUMMYFUNCTION("""COMPUTED_VALUE"""),39196.645833333336)</f>
        <v>39196.64583</v>
      </c>
      <c r="B573" s="9">
        <f>IFERROR(__xludf.DUMMYFUNCTION("""COMPUTED_VALUE"""),253.19)</f>
        <v>253.19</v>
      </c>
      <c r="C573" s="9">
        <f>IFERROR(__xludf.DUMMYFUNCTION("""COMPUTED_VALUE"""),259.23)</f>
        <v>259.23</v>
      </c>
      <c r="D573" s="9">
        <f>IFERROR(__xludf.DUMMYFUNCTION("""COMPUTED_VALUE"""),253.13)</f>
        <v>253.13</v>
      </c>
      <c r="E573" s="9">
        <f>IFERROR(__xludf.DUMMYFUNCTION("""COMPUTED_VALUE"""),257.24)</f>
        <v>257.24</v>
      </c>
      <c r="F573" s="9">
        <f>IFERROR(__xludf.DUMMYFUNCTION("""COMPUTED_VALUE"""),1304488.0)</f>
        <v>1304488</v>
      </c>
      <c r="H573" s="27">
        <f>IFERROR(__xludf.DUMMYFUNCTION("""COMPUTED_VALUE"""),39196.645833333336)</f>
        <v>39196.64583</v>
      </c>
      <c r="I573" s="25">
        <f>IFERROR(__xludf.DUMMYFUNCTION("""COMPUTED_VALUE"""),311.0)</f>
        <v>311</v>
      </c>
      <c r="J573" s="25">
        <f>IFERROR(__xludf.DUMMYFUNCTION("""COMPUTED_VALUE"""),315.5)</f>
        <v>315.5</v>
      </c>
      <c r="K573" s="25">
        <f>IFERROR(__xludf.DUMMYFUNCTION("""COMPUTED_VALUE"""),304.75)</f>
        <v>304.75</v>
      </c>
      <c r="L573" s="25">
        <f>IFERROR(__xludf.DUMMYFUNCTION("""COMPUTED_VALUE"""),306.21)</f>
        <v>306.21</v>
      </c>
      <c r="M573" s="25">
        <f>IFERROR(__xludf.DUMMYFUNCTION("""COMPUTED_VALUE"""),1730629.0)</f>
        <v>1730629</v>
      </c>
    </row>
    <row r="574">
      <c r="A574" s="26">
        <f>IFERROR(__xludf.DUMMYFUNCTION("""COMPUTED_VALUE"""),39197.645833333336)</f>
        <v>39197.64583</v>
      </c>
      <c r="B574" s="9">
        <f>IFERROR(__xludf.DUMMYFUNCTION("""COMPUTED_VALUE"""),255.75)</f>
        <v>255.75</v>
      </c>
      <c r="C574" s="9">
        <f>IFERROR(__xludf.DUMMYFUNCTION("""COMPUTED_VALUE"""),256.25)</f>
        <v>256.25</v>
      </c>
      <c r="D574" s="9">
        <f>IFERROR(__xludf.DUMMYFUNCTION("""COMPUTED_VALUE"""),251.5)</f>
        <v>251.5</v>
      </c>
      <c r="E574" s="9">
        <f>IFERROR(__xludf.DUMMYFUNCTION("""COMPUTED_VALUE"""),252.31)</f>
        <v>252.31</v>
      </c>
      <c r="F574" s="9">
        <f>IFERROR(__xludf.DUMMYFUNCTION("""COMPUTED_VALUE"""),1471188.0)</f>
        <v>1471188</v>
      </c>
      <c r="H574" s="27">
        <f>IFERROR(__xludf.DUMMYFUNCTION("""COMPUTED_VALUE"""),39197.645833333336)</f>
        <v>39197.64583</v>
      </c>
      <c r="I574" s="25">
        <f>IFERROR(__xludf.DUMMYFUNCTION("""COMPUTED_VALUE"""),306.25)</f>
        <v>306.25</v>
      </c>
      <c r="J574" s="25">
        <f>IFERROR(__xludf.DUMMYFUNCTION("""COMPUTED_VALUE"""),306.73)</f>
        <v>306.73</v>
      </c>
      <c r="K574" s="25">
        <f>IFERROR(__xludf.DUMMYFUNCTION("""COMPUTED_VALUE"""),302.0)</f>
        <v>302</v>
      </c>
      <c r="L574" s="25">
        <f>IFERROR(__xludf.DUMMYFUNCTION("""COMPUTED_VALUE"""),305.34)</f>
        <v>305.34</v>
      </c>
      <c r="M574" s="25">
        <f>IFERROR(__xludf.DUMMYFUNCTION("""COMPUTED_VALUE"""),5438101.0)</f>
        <v>5438101</v>
      </c>
    </row>
    <row r="575">
      <c r="A575" s="26">
        <f>IFERROR(__xludf.DUMMYFUNCTION("""COMPUTED_VALUE"""),39198.645833333336)</f>
        <v>39198.64583</v>
      </c>
      <c r="B575" s="9">
        <f>IFERROR(__xludf.DUMMYFUNCTION("""COMPUTED_VALUE"""),254.38)</f>
        <v>254.38</v>
      </c>
      <c r="C575" s="9">
        <f>IFERROR(__xludf.DUMMYFUNCTION("""COMPUTED_VALUE"""),256.24)</f>
        <v>256.24</v>
      </c>
      <c r="D575" s="9">
        <f>IFERROR(__xludf.DUMMYFUNCTION("""COMPUTED_VALUE"""),251.0)</f>
        <v>251</v>
      </c>
      <c r="E575" s="9">
        <f>IFERROR(__xludf.DUMMYFUNCTION("""COMPUTED_VALUE"""),252.36)</f>
        <v>252.36</v>
      </c>
      <c r="F575" s="9">
        <f>IFERROR(__xludf.DUMMYFUNCTION("""COMPUTED_VALUE"""),1449003.0)</f>
        <v>1449003</v>
      </c>
      <c r="H575" s="27">
        <f>IFERROR(__xludf.DUMMYFUNCTION("""COMPUTED_VALUE"""),39198.645833333336)</f>
        <v>39198.64583</v>
      </c>
      <c r="I575" s="25">
        <f>IFERROR(__xludf.DUMMYFUNCTION("""COMPUTED_VALUE"""),306.75)</f>
        <v>306.75</v>
      </c>
      <c r="J575" s="25">
        <f>IFERROR(__xludf.DUMMYFUNCTION("""COMPUTED_VALUE"""),312.4)</f>
        <v>312.4</v>
      </c>
      <c r="K575" s="25">
        <f>IFERROR(__xludf.DUMMYFUNCTION("""COMPUTED_VALUE"""),305.0)</f>
        <v>305</v>
      </c>
      <c r="L575" s="25">
        <f>IFERROR(__xludf.DUMMYFUNCTION("""COMPUTED_VALUE"""),310.1)</f>
        <v>310.1</v>
      </c>
      <c r="M575" s="25">
        <f>IFERROR(__xludf.DUMMYFUNCTION("""COMPUTED_VALUE"""),1485439.0)</f>
        <v>1485439</v>
      </c>
    </row>
    <row r="576">
      <c r="A576" s="26">
        <f>IFERROR(__xludf.DUMMYFUNCTION("""COMPUTED_VALUE"""),39199.645833333336)</f>
        <v>39199.64583</v>
      </c>
      <c r="B576" s="9">
        <f>IFERROR(__xludf.DUMMYFUNCTION("""COMPUTED_VALUE"""),253.75)</f>
        <v>253.75</v>
      </c>
      <c r="C576" s="9">
        <f>IFERROR(__xludf.DUMMYFUNCTION("""COMPUTED_VALUE"""),254.34)</f>
        <v>254.34</v>
      </c>
      <c r="D576" s="9">
        <f>IFERROR(__xludf.DUMMYFUNCTION("""COMPUTED_VALUE"""),248.88)</f>
        <v>248.88</v>
      </c>
      <c r="E576" s="9">
        <f>IFERROR(__xludf.DUMMYFUNCTION("""COMPUTED_VALUE"""),250.64)</f>
        <v>250.64</v>
      </c>
      <c r="F576" s="9">
        <f>IFERROR(__xludf.DUMMYFUNCTION("""COMPUTED_VALUE"""),1647492.0)</f>
        <v>1647492</v>
      </c>
      <c r="H576" s="27">
        <f>IFERROR(__xludf.DUMMYFUNCTION("""COMPUTED_VALUE"""),39199.645833333336)</f>
        <v>39199.64583</v>
      </c>
      <c r="I576" s="25">
        <f>IFERROR(__xludf.DUMMYFUNCTION("""COMPUTED_VALUE"""),308.75)</f>
        <v>308.75</v>
      </c>
      <c r="J576" s="25">
        <f>IFERROR(__xludf.DUMMYFUNCTION("""COMPUTED_VALUE"""),309.13)</f>
        <v>309.13</v>
      </c>
      <c r="K576" s="25">
        <f>IFERROR(__xludf.DUMMYFUNCTION("""COMPUTED_VALUE"""),304.31)</f>
        <v>304.31</v>
      </c>
      <c r="L576" s="25">
        <f>IFERROR(__xludf.DUMMYFUNCTION("""COMPUTED_VALUE"""),308.63)</f>
        <v>308.63</v>
      </c>
      <c r="M576" s="25">
        <f>IFERROR(__xludf.DUMMYFUNCTION("""COMPUTED_VALUE"""),1201321.0)</f>
        <v>1201321</v>
      </c>
    </row>
    <row r="577">
      <c r="A577" s="26">
        <f>IFERROR(__xludf.DUMMYFUNCTION("""COMPUTED_VALUE"""),39202.645833333336)</f>
        <v>39202.64583</v>
      </c>
      <c r="B577" s="9">
        <f>IFERROR(__xludf.DUMMYFUNCTION("""COMPUTED_VALUE"""),250.63)</f>
        <v>250.63</v>
      </c>
      <c r="C577" s="9">
        <f>IFERROR(__xludf.DUMMYFUNCTION("""COMPUTED_VALUE"""),257.5)</f>
        <v>257.5</v>
      </c>
      <c r="D577" s="9">
        <f>IFERROR(__xludf.DUMMYFUNCTION("""COMPUTED_VALUE"""),250.63)</f>
        <v>250.63</v>
      </c>
      <c r="E577" s="9">
        <f>IFERROR(__xludf.DUMMYFUNCTION("""COMPUTED_VALUE"""),256.36)</f>
        <v>256.36</v>
      </c>
      <c r="F577" s="9">
        <f>IFERROR(__xludf.DUMMYFUNCTION("""COMPUTED_VALUE"""),987568.0)</f>
        <v>987568</v>
      </c>
      <c r="H577" s="27">
        <f>IFERROR(__xludf.DUMMYFUNCTION("""COMPUTED_VALUE"""),39202.645833333336)</f>
        <v>39202.64583</v>
      </c>
      <c r="I577" s="25">
        <f>IFERROR(__xludf.DUMMYFUNCTION("""COMPUTED_VALUE"""),310.26)</f>
        <v>310.26</v>
      </c>
      <c r="J577" s="25">
        <f>IFERROR(__xludf.DUMMYFUNCTION("""COMPUTED_VALUE"""),317.48)</f>
        <v>317.48</v>
      </c>
      <c r="K577" s="25">
        <f>IFERROR(__xludf.DUMMYFUNCTION("""COMPUTED_VALUE"""),301.25)</f>
        <v>301.25</v>
      </c>
      <c r="L577" s="25">
        <f>IFERROR(__xludf.DUMMYFUNCTION("""COMPUTED_VALUE"""),316.5)</f>
        <v>316.5</v>
      </c>
      <c r="M577" s="25">
        <f>IFERROR(__xludf.DUMMYFUNCTION("""COMPUTED_VALUE"""),972013.0)</f>
        <v>972013</v>
      </c>
    </row>
    <row r="578">
      <c r="A578" s="26">
        <f>IFERROR(__xludf.DUMMYFUNCTION("""COMPUTED_VALUE"""),39205.645833333336)</f>
        <v>39205.64583</v>
      </c>
      <c r="B578" s="9">
        <f>IFERROR(__xludf.DUMMYFUNCTION("""COMPUTED_VALUE"""),257.13)</f>
        <v>257.13</v>
      </c>
      <c r="C578" s="9">
        <f>IFERROR(__xludf.DUMMYFUNCTION("""COMPUTED_VALUE"""),261.66)</f>
        <v>261.66</v>
      </c>
      <c r="D578" s="9">
        <f>IFERROR(__xludf.DUMMYFUNCTION("""COMPUTED_VALUE"""),257.13)</f>
        <v>257.13</v>
      </c>
      <c r="E578" s="9">
        <f>IFERROR(__xludf.DUMMYFUNCTION("""COMPUTED_VALUE"""),260.21)</f>
        <v>260.21</v>
      </c>
      <c r="F578" s="9">
        <f>IFERROR(__xludf.DUMMYFUNCTION("""COMPUTED_VALUE"""),1065828.0)</f>
        <v>1065828</v>
      </c>
      <c r="H578" s="27">
        <f>IFERROR(__xludf.DUMMYFUNCTION("""COMPUTED_VALUE"""),39205.645833333336)</f>
        <v>39205.64583</v>
      </c>
      <c r="I578" s="25">
        <f>IFERROR(__xludf.DUMMYFUNCTION("""COMPUTED_VALUE"""),318.7)</f>
        <v>318.7</v>
      </c>
      <c r="J578" s="25">
        <f>IFERROR(__xludf.DUMMYFUNCTION("""COMPUTED_VALUE"""),323.7)</f>
        <v>323.7</v>
      </c>
      <c r="K578" s="25">
        <f>IFERROR(__xludf.DUMMYFUNCTION("""COMPUTED_VALUE"""),318.14)</f>
        <v>318.14</v>
      </c>
      <c r="L578" s="25">
        <f>IFERROR(__xludf.DUMMYFUNCTION("""COMPUTED_VALUE"""),322.55)</f>
        <v>322.55</v>
      </c>
      <c r="M578" s="25">
        <f>IFERROR(__xludf.DUMMYFUNCTION("""COMPUTED_VALUE"""),1660757.0)</f>
        <v>1660757</v>
      </c>
    </row>
    <row r="579">
      <c r="A579" s="26">
        <f>IFERROR(__xludf.DUMMYFUNCTION("""COMPUTED_VALUE"""),39206.645833333336)</f>
        <v>39206.64583</v>
      </c>
      <c r="B579" s="9">
        <f>IFERROR(__xludf.DUMMYFUNCTION("""COMPUTED_VALUE"""),260.04)</f>
        <v>260.04</v>
      </c>
      <c r="C579" s="9">
        <f>IFERROR(__xludf.DUMMYFUNCTION("""COMPUTED_VALUE"""),261.25)</f>
        <v>261.25</v>
      </c>
      <c r="D579" s="9">
        <f>IFERROR(__xludf.DUMMYFUNCTION("""COMPUTED_VALUE"""),256.52)</f>
        <v>256.52</v>
      </c>
      <c r="E579" s="9">
        <f>IFERROR(__xludf.DUMMYFUNCTION("""COMPUTED_VALUE"""),258.99)</f>
        <v>258.99</v>
      </c>
      <c r="F579" s="9">
        <f>IFERROR(__xludf.DUMMYFUNCTION("""COMPUTED_VALUE"""),919290.0)</f>
        <v>919290</v>
      </c>
      <c r="H579" s="27">
        <f>IFERROR(__xludf.DUMMYFUNCTION("""COMPUTED_VALUE"""),39206.645833333336)</f>
        <v>39206.64583</v>
      </c>
      <c r="I579" s="25">
        <f>IFERROR(__xludf.DUMMYFUNCTION("""COMPUTED_VALUE"""),324.75)</f>
        <v>324.75</v>
      </c>
      <c r="J579" s="25">
        <f>IFERROR(__xludf.DUMMYFUNCTION("""COMPUTED_VALUE"""),332.48)</f>
        <v>332.48</v>
      </c>
      <c r="K579" s="25">
        <f>IFERROR(__xludf.DUMMYFUNCTION("""COMPUTED_VALUE"""),317.25)</f>
        <v>317.25</v>
      </c>
      <c r="L579" s="25">
        <f>IFERROR(__xludf.DUMMYFUNCTION("""COMPUTED_VALUE"""),318.26)</f>
        <v>318.26</v>
      </c>
      <c r="M579" s="25">
        <f>IFERROR(__xludf.DUMMYFUNCTION("""COMPUTED_VALUE"""),1775300.0)</f>
        <v>1775300</v>
      </c>
    </row>
    <row r="580">
      <c r="A580" s="26">
        <f>IFERROR(__xludf.DUMMYFUNCTION("""COMPUTED_VALUE"""),39209.645833333336)</f>
        <v>39209.64583</v>
      </c>
      <c r="B580" s="9">
        <f>IFERROR(__xludf.DUMMYFUNCTION("""COMPUTED_VALUE"""),259.0)</f>
        <v>259</v>
      </c>
      <c r="C580" s="9">
        <f>IFERROR(__xludf.DUMMYFUNCTION("""COMPUTED_VALUE"""),259.38)</f>
        <v>259.38</v>
      </c>
      <c r="D580" s="9">
        <f>IFERROR(__xludf.DUMMYFUNCTION("""COMPUTED_VALUE"""),254.44)</f>
        <v>254.44</v>
      </c>
      <c r="E580" s="9">
        <f>IFERROR(__xludf.DUMMYFUNCTION("""COMPUTED_VALUE"""),255.23)</f>
        <v>255.23</v>
      </c>
      <c r="F580" s="9">
        <f>IFERROR(__xludf.DUMMYFUNCTION("""COMPUTED_VALUE"""),965642.0)</f>
        <v>965642</v>
      </c>
      <c r="H580" s="27">
        <f>IFERROR(__xludf.DUMMYFUNCTION("""COMPUTED_VALUE"""),39209.645833333336)</f>
        <v>39209.64583</v>
      </c>
      <c r="I580" s="25">
        <f>IFERROR(__xludf.DUMMYFUNCTION("""COMPUTED_VALUE"""),320.5)</f>
        <v>320.5</v>
      </c>
      <c r="J580" s="25">
        <f>IFERROR(__xludf.DUMMYFUNCTION("""COMPUTED_VALUE"""),321.23)</f>
        <v>321.23</v>
      </c>
      <c r="K580" s="25">
        <f>IFERROR(__xludf.DUMMYFUNCTION("""COMPUTED_VALUE"""),316.29)</f>
        <v>316.29</v>
      </c>
      <c r="L580" s="25">
        <f>IFERROR(__xludf.DUMMYFUNCTION("""COMPUTED_VALUE"""),318.23)</f>
        <v>318.23</v>
      </c>
      <c r="M580" s="25">
        <f>IFERROR(__xludf.DUMMYFUNCTION("""COMPUTED_VALUE"""),1388332.0)</f>
        <v>1388332</v>
      </c>
    </row>
    <row r="581">
      <c r="A581" s="26">
        <f>IFERROR(__xludf.DUMMYFUNCTION("""COMPUTED_VALUE"""),39210.645833333336)</f>
        <v>39210.64583</v>
      </c>
      <c r="B581" s="9">
        <f>IFERROR(__xludf.DUMMYFUNCTION("""COMPUTED_VALUE"""),253.75)</f>
        <v>253.75</v>
      </c>
      <c r="C581" s="9">
        <f>IFERROR(__xludf.DUMMYFUNCTION("""COMPUTED_VALUE"""),254.38)</f>
        <v>254.38</v>
      </c>
      <c r="D581" s="9">
        <f>IFERROR(__xludf.DUMMYFUNCTION("""COMPUTED_VALUE"""),249.39)</f>
        <v>249.39</v>
      </c>
      <c r="E581" s="9">
        <f>IFERROR(__xludf.DUMMYFUNCTION("""COMPUTED_VALUE"""),250.28)</f>
        <v>250.28</v>
      </c>
      <c r="F581" s="9">
        <f>IFERROR(__xludf.DUMMYFUNCTION("""COMPUTED_VALUE"""),1472354.0)</f>
        <v>1472354</v>
      </c>
      <c r="H581" s="27">
        <f>IFERROR(__xludf.DUMMYFUNCTION("""COMPUTED_VALUE"""),39210.645833333336)</f>
        <v>39210.64583</v>
      </c>
      <c r="I581" s="25">
        <f>IFERROR(__xludf.DUMMYFUNCTION("""COMPUTED_VALUE"""),317.5)</f>
        <v>317.5</v>
      </c>
      <c r="J581" s="25">
        <f>IFERROR(__xludf.DUMMYFUNCTION("""COMPUTED_VALUE"""),320.0)</f>
        <v>320</v>
      </c>
      <c r="K581" s="25">
        <f>IFERROR(__xludf.DUMMYFUNCTION("""COMPUTED_VALUE"""),314.31)</f>
        <v>314.31</v>
      </c>
      <c r="L581" s="25">
        <f>IFERROR(__xludf.DUMMYFUNCTION("""COMPUTED_VALUE"""),316.64)</f>
        <v>316.64</v>
      </c>
      <c r="M581" s="25">
        <f>IFERROR(__xludf.DUMMYFUNCTION("""COMPUTED_VALUE"""),2047751.0)</f>
        <v>2047751</v>
      </c>
    </row>
    <row r="582">
      <c r="A582" s="26">
        <f>IFERROR(__xludf.DUMMYFUNCTION("""COMPUTED_VALUE"""),39211.645833333336)</f>
        <v>39211.64583</v>
      </c>
      <c r="B582" s="9">
        <f>IFERROR(__xludf.DUMMYFUNCTION("""COMPUTED_VALUE"""),250.25)</f>
        <v>250.25</v>
      </c>
      <c r="C582" s="9">
        <f>IFERROR(__xludf.DUMMYFUNCTION("""COMPUTED_VALUE"""),250.81)</f>
        <v>250.81</v>
      </c>
      <c r="D582" s="9">
        <f>IFERROR(__xludf.DUMMYFUNCTION("""COMPUTED_VALUE"""),246.88)</f>
        <v>246.88</v>
      </c>
      <c r="E582" s="9">
        <f>IFERROR(__xludf.DUMMYFUNCTION("""COMPUTED_VALUE"""),247.58)</f>
        <v>247.58</v>
      </c>
      <c r="F582" s="9">
        <f>IFERROR(__xludf.DUMMYFUNCTION("""COMPUTED_VALUE"""),1478866.0)</f>
        <v>1478866</v>
      </c>
      <c r="H582" s="27">
        <f>IFERROR(__xludf.DUMMYFUNCTION("""COMPUTED_VALUE"""),39211.645833333336)</f>
        <v>39211.64583</v>
      </c>
      <c r="I582" s="25">
        <f>IFERROR(__xludf.DUMMYFUNCTION("""COMPUTED_VALUE"""),325.0)</f>
        <v>325</v>
      </c>
      <c r="J582" s="25">
        <f>IFERROR(__xludf.DUMMYFUNCTION("""COMPUTED_VALUE"""),325.0)</f>
        <v>325</v>
      </c>
      <c r="K582" s="25">
        <f>IFERROR(__xludf.DUMMYFUNCTION("""COMPUTED_VALUE"""),306.25)</f>
        <v>306.25</v>
      </c>
      <c r="L582" s="25">
        <f>IFERROR(__xludf.DUMMYFUNCTION("""COMPUTED_VALUE"""),309.88)</f>
        <v>309.88</v>
      </c>
      <c r="M582" s="25">
        <f>IFERROR(__xludf.DUMMYFUNCTION("""COMPUTED_VALUE"""),1174957.0)</f>
        <v>1174957</v>
      </c>
    </row>
    <row r="583">
      <c r="A583" s="26">
        <f>IFERROR(__xludf.DUMMYFUNCTION("""COMPUTED_VALUE"""),39212.645833333336)</f>
        <v>39212.64583</v>
      </c>
      <c r="B583" s="9">
        <f>IFERROR(__xludf.DUMMYFUNCTION("""COMPUTED_VALUE"""),251.13)</f>
        <v>251.13</v>
      </c>
      <c r="C583" s="9">
        <f>IFERROR(__xludf.DUMMYFUNCTION("""COMPUTED_VALUE"""),251.84)</f>
        <v>251.84</v>
      </c>
      <c r="D583" s="9">
        <f>IFERROR(__xludf.DUMMYFUNCTION("""COMPUTED_VALUE"""),246.25)</f>
        <v>246.25</v>
      </c>
      <c r="E583" s="9">
        <f>IFERROR(__xludf.DUMMYFUNCTION("""COMPUTED_VALUE"""),246.78)</f>
        <v>246.78</v>
      </c>
      <c r="F583" s="9">
        <f>IFERROR(__xludf.DUMMYFUNCTION("""COMPUTED_VALUE"""),1561674.0)</f>
        <v>1561674</v>
      </c>
      <c r="H583" s="27">
        <f>IFERROR(__xludf.DUMMYFUNCTION("""COMPUTED_VALUE"""),39212.645833333336)</f>
        <v>39212.64583</v>
      </c>
      <c r="I583" s="25">
        <f>IFERROR(__xludf.DUMMYFUNCTION("""COMPUTED_VALUE"""),311.25)</f>
        <v>311.25</v>
      </c>
      <c r="J583" s="25">
        <f>IFERROR(__xludf.DUMMYFUNCTION("""COMPUTED_VALUE"""),322.48)</f>
        <v>322.48</v>
      </c>
      <c r="K583" s="25">
        <f>IFERROR(__xludf.DUMMYFUNCTION("""COMPUTED_VALUE"""),306.5)</f>
        <v>306.5</v>
      </c>
      <c r="L583" s="25">
        <f>IFERROR(__xludf.DUMMYFUNCTION("""COMPUTED_VALUE"""),307.43)</f>
        <v>307.43</v>
      </c>
      <c r="M583" s="25">
        <f>IFERROR(__xludf.DUMMYFUNCTION("""COMPUTED_VALUE"""),761050.0)</f>
        <v>761050</v>
      </c>
    </row>
    <row r="584">
      <c r="A584" s="26">
        <f>IFERROR(__xludf.DUMMYFUNCTION("""COMPUTED_VALUE"""),39213.645833333336)</f>
        <v>39213.64583</v>
      </c>
      <c r="B584" s="9">
        <f>IFERROR(__xludf.DUMMYFUNCTION("""COMPUTED_VALUE"""),246.25)</f>
        <v>246.25</v>
      </c>
      <c r="C584" s="9">
        <f>IFERROR(__xludf.DUMMYFUNCTION("""COMPUTED_VALUE"""),252.5)</f>
        <v>252.5</v>
      </c>
      <c r="D584" s="9">
        <f>IFERROR(__xludf.DUMMYFUNCTION("""COMPUTED_VALUE"""),243.88)</f>
        <v>243.88</v>
      </c>
      <c r="E584" s="9">
        <f>IFERROR(__xludf.DUMMYFUNCTION("""COMPUTED_VALUE"""),250.08)</f>
        <v>250.08</v>
      </c>
      <c r="F584" s="9">
        <f>IFERROR(__xludf.DUMMYFUNCTION("""COMPUTED_VALUE"""),1587793.0)</f>
        <v>1587793</v>
      </c>
      <c r="H584" s="27">
        <f>IFERROR(__xludf.DUMMYFUNCTION("""COMPUTED_VALUE"""),39213.645833333336)</f>
        <v>39213.64583</v>
      </c>
      <c r="I584" s="25">
        <f>IFERROR(__xludf.DUMMYFUNCTION("""COMPUTED_VALUE"""),312.5)</f>
        <v>312.5</v>
      </c>
      <c r="J584" s="25">
        <f>IFERROR(__xludf.DUMMYFUNCTION("""COMPUTED_VALUE"""),314.75)</f>
        <v>314.75</v>
      </c>
      <c r="K584" s="25">
        <f>IFERROR(__xludf.DUMMYFUNCTION("""COMPUTED_VALUE"""),302.5)</f>
        <v>302.5</v>
      </c>
      <c r="L584" s="25">
        <f>IFERROR(__xludf.DUMMYFUNCTION("""COMPUTED_VALUE"""),313.14)</f>
        <v>313.14</v>
      </c>
      <c r="M584" s="25">
        <f>IFERROR(__xludf.DUMMYFUNCTION("""COMPUTED_VALUE"""),966914.0)</f>
        <v>966914</v>
      </c>
    </row>
    <row r="585">
      <c r="A585" s="26">
        <f>IFERROR(__xludf.DUMMYFUNCTION("""COMPUTED_VALUE"""),39216.645833333336)</f>
        <v>39216.64583</v>
      </c>
      <c r="B585" s="9">
        <f>IFERROR(__xludf.DUMMYFUNCTION("""COMPUTED_VALUE"""),252.25)</f>
        <v>252.25</v>
      </c>
      <c r="C585" s="9">
        <f>IFERROR(__xludf.DUMMYFUNCTION("""COMPUTED_VALUE"""),252.96)</f>
        <v>252.96</v>
      </c>
      <c r="D585" s="9">
        <f>IFERROR(__xludf.DUMMYFUNCTION("""COMPUTED_VALUE"""),247.83)</f>
        <v>247.83</v>
      </c>
      <c r="E585" s="9">
        <f>IFERROR(__xludf.DUMMYFUNCTION("""COMPUTED_VALUE"""),250.24)</f>
        <v>250.24</v>
      </c>
      <c r="F585" s="9">
        <f>IFERROR(__xludf.DUMMYFUNCTION("""COMPUTED_VALUE"""),916963.0)</f>
        <v>916963</v>
      </c>
      <c r="H585" s="27">
        <f>IFERROR(__xludf.DUMMYFUNCTION("""COMPUTED_VALUE"""),39216.645833333336)</f>
        <v>39216.64583</v>
      </c>
      <c r="I585" s="25">
        <f>IFERROR(__xludf.DUMMYFUNCTION("""COMPUTED_VALUE"""),319.63)</f>
        <v>319.63</v>
      </c>
      <c r="J585" s="25">
        <f>IFERROR(__xludf.DUMMYFUNCTION("""COMPUTED_VALUE"""),319.63)</f>
        <v>319.63</v>
      </c>
      <c r="K585" s="25">
        <f>IFERROR(__xludf.DUMMYFUNCTION("""COMPUTED_VALUE"""),311.52)</f>
        <v>311.52</v>
      </c>
      <c r="L585" s="25">
        <f>IFERROR(__xludf.DUMMYFUNCTION("""COMPUTED_VALUE"""),312.56)</f>
        <v>312.56</v>
      </c>
      <c r="M585" s="25">
        <f>IFERROR(__xludf.DUMMYFUNCTION("""COMPUTED_VALUE"""),315094.0)</f>
        <v>315094</v>
      </c>
    </row>
    <row r="586">
      <c r="A586" s="26">
        <f>IFERROR(__xludf.DUMMYFUNCTION("""COMPUTED_VALUE"""),39217.645833333336)</f>
        <v>39217.64583</v>
      </c>
      <c r="B586" s="9">
        <f>IFERROR(__xludf.DUMMYFUNCTION("""COMPUTED_VALUE"""),249.88)</f>
        <v>249.88</v>
      </c>
      <c r="C586" s="9">
        <f>IFERROR(__xludf.DUMMYFUNCTION("""COMPUTED_VALUE"""),250.0)</f>
        <v>250</v>
      </c>
      <c r="D586" s="9">
        <f>IFERROR(__xludf.DUMMYFUNCTION("""COMPUTED_VALUE"""),246.0)</f>
        <v>246</v>
      </c>
      <c r="E586" s="9">
        <f>IFERROR(__xludf.DUMMYFUNCTION("""COMPUTED_VALUE"""),246.68)</f>
        <v>246.68</v>
      </c>
      <c r="F586" s="9">
        <f>IFERROR(__xludf.DUMMYFUNCTION("""COMPUTED_VALUE"""),1088213.0)</f>
        <v>1088213</v>
      </c>
      <c r="H586" s="27">
        <f>IFERROR(__xludf.DUMMYFUNCTION("""COMPUTED_VALUE"""),39217.645833333336)</f>
        <v>39217.64583</v>
      </c>
      <c r="I586" s="25">
        <f>IFERROR(__xludf.DUMMYFUNCTION("""COMPUTED_VALUE"""),315.0)</f>
        <v>315</v>
      </c>
      <c r="J586" s="25">
        <f>IFERROR(__xludf.DUMMYFUNCTION("""COMPUTED_VALUE"""),315.0)</f>
        <v>315</v>
      </c>
      <c r="K586" s="25">
        <f>IFERROR(__xludf.DUMMYFUNCTION("""COMPUTED_VALUE"""),306.25)</f>
        <v>306.25</v>
      </c>
      <c r="L586" s="25">
        <f>IFERROR(__xludf.DUMMYFUNCTION("""COMPUTED_VALUE"""),309.51)</f>
        <v>309.51</v>
      </c>
      <c r="M586" s="25">
        <f>IFERROR(__xludf.DUMMYFUNCTION("""COMPUTED_VALUE"""),1050780.0)</f>
        <v>1050780</v>
      </c>
    </row>
    <row r="587">
      <c r="A587" s="26">
        <f>IFERROR(__xludf.DUMMYFUNCTION("""COMPUTED_VALUE"""),39218.645833333336)</f>
        <v>39218.64583</v>
      </c>
      <c r="B587" s="9">
        <f>IFERROR(__xludf.DUMMYFUNCTION("""COMPUTED_VALUE"""),246.63)</f>
        <v>246.63</v>
      </c>
      <c r="C587" s="9">
        <f>IFERROR(__xludf.DUMMYFUNCTION("""COMPUTED_VALUE"""),247.75)</f>
        <v>247.75</v>
      </c>
      <c r="D587" s="9">
        <f>IFERROR(__xludf.DUMMYFUNCTION("""COMPUTED_VALUE"""),242.0)</f>
        <v>242</v>
      </c>
      <c r="E587" s="9">
        <f>IFERROR(__xludf.DUMMYFUNCTION("""COMPUTED_VALUE"""),243.96)</f>
        <v>243.96</v>
      </c>
      <c r="F587" s="9">
        <f>IFERROR(__xludf.DUMMYFUNCTION("""COMPUTED_VALUE"""),1958530.0)</f>
        <v>1958530</v>
      </c>
      <c r="H587" s="27">
        <f>IFERROR(__xludf.DUMMYFUNCTION("""COMPUTED_VALUE"""),39218.645833333336)</f>
        <v>39218.64583</v>
      </c>
      <c r="I587" s="25">
        <f>IFERROR(__xludf.DUMMYFUNCTION("""COMPUTED_VALUE"""),316.25)</f>
        <v>316.25</v>
      </c>
      <c r="J587" s="25">
        <f>IFERROR(__xludf.DUMMYFUNCTION("""COMPUTED_VALUE"""),316.25)</f>
        <v>316.25</v>
      </c>
      <c r="K587" s="25">
        <f>IFERROR(__xludf.DUMMYFUNCTION("""COMPUTED_VALUE"""),302.64)</f>
        <v>302.64</v>
      </c>
      <c r="L587" s="25">
        <f>IFERROR(__xludf.DUMMYFUNCTION("""COMPUTED_VALUE"""),306.05)</f>
        <v>306.05</v>
      </c>
      <c r="M587" s="25">
        <f>IFERROR(__xludf.DUMMYFUNCTION("""COMPUTED_VALUE"""),1630904.0)</f>
        <v>1630904</v>
      </c>
    </row>
    <row r="588">
      <c r="A588" s="26">
        <f>IFERROR(__xludf.DUMMYFUNCTION("""COMPUTED_VALUE"""),39219.645833333336)</f>
        <v>39219.64583</v>
      </c>
      <c r="B588" s="9">
        <f>IFERROR(__xludf.DUMMYFUNCTION("""COMPUTED_VALUE"""),245.0)</f>
        <v>245</v>
      </c>
      <c r="C588" s="9">
        <f>IFERROR(__xludf.DUMMYFUNCTION("""COMPUTED_VALUE"""),248.63)</f>
        <v>248.63</v>
      </c>
      <c r="D588" s="9">
        <f>IFERROR(__xludf.DUMMYFUNCTION("""COMPUTED_VALUE"""),245.0)</f>
        <v>245</v>
      </c>
      <c r="E588" s="9">
        <f>IFERROR(__xludf.DUMMYFUNCTION("""COMPUTED_VALUE"""),247.94)</f>
        <v>247.94</v>
      </c>
      <c r="F588" s="9">
        <f>IFERROR(__xludf.DUMMYFUNCTION("""COMPUTED_VALUE"""),2142384.0)</f>
        <v>2142384</v>
      </c>
      <c r="H588" s="27">
        <f>IFERROR(__xludf.DUMMYFUNCTION("""COMPUTED_VALUE"""),39219.645833333336)</f>
        <v>39219.64583</v>
      </c>
      <c r="I588" s="25">
        <f>IFERROR(__xludf.DUMMYFUNCTION("""COMPUTED_VALUE"""),308.27)</f>
        <v>308.27</v>
      </c>
      <c r="J588" s="25">
        <f>IFERROR(__xludf.DUMMYFUNCTION("""COMPUTED_VALUE"""),313.43)</f>
        <v>313.43</v>
      </c>
      <c r="K588" s="25">
        <f>IFERROR(__xludf.DUMMYFUNCTION("""COMPUTED_VALUE"""),307.5)</f>
        <v>307.5</v>
      </c>
      <c r="L588" s="25">
        <f>IFERROR(__xludf.DUMMYFUNCTION("""COMPUTED_VALUE"""),312.5)</f>
        <v>312.5</v>
      </c>
      <c r="M588" s="25">
        <f>IFERROR(__xludf.DUMMYFUNCTION("""COMPUTED_VALUE"""),732815.0)</f>
        <v>732815</v>
      </c>
    </row>
    <row r="589">
      <c r="A589" s="26">
        <f>IFERROR(__xludf.DUMMYFUNCTION("""COMPUTED_VALUE"""),39220.645833333336)</f>
        <v>39220.64583</v>
      </c>
      <c r="B589" s="9">
        <f>IFERROR(__xludf.DUMMYFUNCTION("""COMPUTED_VALUE"""),247.38)</f>
        <v>247.38</v>
      </c>
      <c r="C589" s="9">
        <f>IFERROR(__xludf.DUMMYFUNCTION("""COMPUTED_VALUE"""),250.74)</f>
        <v>250.74</v>
      </c>
      <c r="D589" s="9">
        <f>IFERROR(__xludf.DUMMYFUNCTION("""COMPUTED_VALUE"""),246.0)</f>
        <v>246</v>
      </c>
      <c r="E589" s="9">
        <f>IFERROR(__xludf.DUMMYFUNCTION("""COMPUTED_VALUE"""),247.74)</f>
        <v>247.74</v>
      </c>
      <c r="F589" s="9">
        <f>IFERROR(__xludf.DUMMYFUNCTION("""COMPUTED_VALUE"""),1198609.0)</f>
        <v>1198609</v>
      </c>
      <c r="H589" s="27">
        <f>IFERROR(__xludf.DUMMYFUNCTION("""COMPUTED_VALUE"""),39220.645833333336)</f>
        <v>39220.64583</v>
      </c>
      <c r="I589" s="25">
        <f>IFERROR(__xludf.DUMMYFUNCTION("""COMPUTED_VALUE"""),314.99)</f>
        <v>314.99</v>
      </c>
      <c r="J589" s="25">
        <f>IFERROR(__xludf.DUMMYFUNCTION("""COMPUTED_VALUE"""),319.0)</f>
        <v>319</v>
      </c>
      <c r="K589" s="25">
        <f>IFERROR(__xludf.DUMMYFUNCTION("""COMPUTED_VALUE"""),312.5)</f>
        <v>312.5</v>
      </c>
      <c r="L589" s="25">
        <f>IFERROR(__xludf.DUMMYFUNCTION("""COMPUTED_VALUE"""),313.21)</f>
        <v>313.21</v>
      </c>
      <c r="M589" s="25">
        <f>IFERROR(__xludf.DUMMYFUNCTION("""COMPUTED_VALUE"""),730251.0)</f>
        <v>730251</v>
      </c>
    </row>
    <row r="590">
      <c r="A590" s="26">
        <f>IFERROR(__xludf.DUMMYFUNCTION("""COMPUTED_VALUE"""),39223.645833333336)</f>
        <v>39223.64583</v>
      </c>
      <c r="B590" s="9">
        <f>IFERROR(__xludf.DUMMYFUNCTION("""COMPUTED_VALUE"""),248.26)</f>
        <v>248.26</v>
      </c>
      <c r="C590" s="9">
        <f>IFERROR(__xludf.DUMMYFUNCTION("""COMPUTED_VALUE"""),249.0)</f>
        <v>249</v>
      </c>
      <c r="D590" s="9">
        <f>IFERROR(__xludf.DUMMYFUNCTION("""COMPUTED_VALUE"""),243.78)</f>
        <v>243.78</v>
      </c>
      <c r="E590" s="9">
        <f>IFERROR(__xludf.DUMMYFUNCTION("""COMPUTED_VALUE"""),245.05)</f>
        <v>245.05</v>
      </c>
      <c r="F590" s="9">
        <f>IFERROR(__xludf.DUMMYFUNCTION("""COMPUTED_VALUE"""),1657902.0)</f>
        <v>1657902</v>
      </c>
      <c r="H590" s="27">
        <f>IFERROR(__xludf.DUMMYFUNCTION("""COMPUTED_VALUE"""),39223.645833333336)</f>
        <v>39223.64583</v>
      </c>
      <c r="I590" s="25">
        <f>IFERROR(__xludf.DUMMYFUNCTION("""COMPUTED_VALUE"""),317.5)</f>
        <v>317.5</v>
      </c>
      <c r="J590" s="25">
        <f>IFERROR(__xludf.DUMMYFUNCTION("""COMPUTED_VALUE"""),317.5)</f>
        <v>317.5</v>
      </c>
      <c r="K590" s="25">
        <f>IFERROR(__xludf.DUMMYFUNCTION("""COMPUTED_VALUE"""),307.5)</f>
        <v>307.5</v>
      </c>
      <c r="L590" s="25">
        <f>IFERROR(__xludf.DUMMYFUNCTION("""COMPUTED_VALUE"""),309.26)</f>
        <v>309.26</v>
      </c>
      <c r="M590" s="25">
        <f>IFERROR(__xludf.DUMMYFUNCTION("""COMPUTED_VALUE"""),714211.0)</f>
        <v>714211</v>
      </c>
    </row>
    <row r="591">
      <c r="A591" s="26">
        <f>IFERROR(__xludf.DUMMYFUNCTION("""COMPUTED_VALUE"""),39224.645833333336)</f>
        <v>39224.64583</v>
      </c>
      <c r="B591" s="9">
        <f>IFERROR(__xludf.DUMMYFUNCTION("""COMPUTED_VALUE"""),243.76)</f>
        <v>243.76</v>
      </c>
      <c r="C591" s="9">
        <f>IFERROR(__xludf.DUMMYFUNCTION("""COMPUTED_VALUE"""),245.11)</f>
        <v>245.11</v>
      </c>
      <c r="D591" s="9">
        <f>IFERROR(__xludf.DUMMYFUNCTION("""COMPUTED_VALUE"""),241.38)</f>
        <v>241.38</v>
      </c>
      <c r="E591" s="9">
        <f>IFERROR(__xludf.DUMMYFUNCTION("""COMPUTED_VALUE"""),243.34)</f>
        <v>243.34</v>
      </c>
      <c r="F591" s="9">
        <f>IFERROR(__xludf.DUMMYFUNCTION("""COMPUTED_VALUE"""),2378502.0)</f>
        <v>2378502</v>
      </c>
      <c r="H591" s="27">
        <f>IFERROR(__xludf.DUMMYFUNCTION("""COMPUTED_VALUE"""),39224.645833333336)</f>
        <v>39224.64583</v>
      </c>
      <c r="I591" s="25">
        <f>IFERROR(__xludf.DUMMYFUNCTION("""COMPUTED_VALUE"""),309.38)</f>
        <v>309.38</v>
      </c>
      <c r="J591" s="25">
        <f>IFERROR(__xludf.DUMMYFUNCTION("""COMPUTED_VALUE"""),311.0)</f>
        <v>311</v>
      </c>
      <c r="K591" s="25">
        <f>IFERROR(__xludf.DUMMYFUNCTION("""COMPUTED_VALUE"""),305.26)</f>
        <v>305.26</v>
      </c>
      <c r="L591" s="25">
        <f>IFERROR(__xludf.DUMMYFUNCTION("""COMPUTED_VALUE"""),307.66)</f>
        <v>307.66</v>
      </c>
      <c r="M591" s="25">
        <f>IFERROR(__xludf.DUMMYFUNCTION("""COMPUTED_VALUE"""),1540056.0)</f>
        <v>1540056</v>
      </c>
    </row>
    <row r="592">
      <c r="A592" s="26">
        <f>IFERROR(__xludf.DUMMYFUNCTION("""COMPUTED_VALUE"""),39225.645833333336)</f>
        <v>39225.64583</v>
      </c>
      <c r="B592" s="9">
        <f>IFERROR(__xludf.DUMMYFUNCTION("""COMPUTED_VALUE"""),243.75)</f>
        <v>243.75</v>
      </c>
      <c r="C592" s="9">
        <f>IFERROR(__xludf.DUMMYFUNCTION("""COMPUTED_VALUE"""),244.25)</f>
        <v>244.25</v>
      </c>
      <c r="D592" s="9">
        <f>IFERROR(__xludf.DUMMYFUNCTION("""COMPUTED_VALUE"""),240.01)</f>
        <v>240.01</v>
      </c>
      <c r="E592" s="9">
        <f>IFERROR(__xludf.DUMMYFUNCTION("""COMPUTED_VALUE"""),240.72)</f>
        <v>240.72</v>
      </c>
      <c r="F592" s="9">
        <f>IFERROR(__xludf.DUMMYFUNCTION("""COMPUTED_VALUE"""),1316432.0)</f>
        <v>1316432</v>
      </c>
      <c r="H592" s="27">
        <f>IFERROR(__xludf.DUMMYFUNCTION("""COMPUTED_VALUE"""),39225.645833333336)</f>
        <v>39225.64583</v>
      </c>
      <c r="I592" s="25">
        <f>IFERROR(__xludf.DUMMYFUNCTION("""COMPUTED_VALUE"""),310.38)</f>
        <v>310.38</v>
      </c>
      <c r="J592" s="25">
        <f>IFERROR(__xludf.DUMMYFUNCTION("""COMPUTED_VALUE"""),310.38)</f>
        <v>310.38</v>
      </c>
      <c r="K592" s="25">
        <f>IFERROR(__xludf.DUMMYFUNCTION("""COMPUTED_VALUE"""),306.27)</f>
        <v>306.27</v>
      </c>
      <c r="L592" s="25">
        <f>IFERROR(__xludf.DUMMYFUNCTION("""COMPUTED_VALUE"""),308.35)</f>
        <v>308.35</v>
      </c>
      <c r="M592" s="25">
        <f>IFERROR(__xludf.DUMMYFUNCTION("""COMPUTED_VALUE"""),317953.0)</f>
        <v>317953</v>
      </c>
    </row>
    <row r="593">
      <c r="A593" s="26">
        <f>IFERROR(__xludf.DUMMYFUNCTION("""COMPUTED_VALUE"""),39226.645833333336)</f>
        <v>39226.64583</v>
      </c>
      <c r="B593" s="9">
        <f>IFERROR(__xludf.DUMMYFUNCTION("""COMPUTED_VALUE"""),240.63)</f>
        <v>240.63</v>
      </c>
      <c r="C593" s="9">
        <f>IFERROR(__xludf.DUMMYFUNCTION("""COMPUTED_VALUE"""),243.74)</f>
        <v>243.74</v>
      </c>
      <c r="D593" s="9">
        <f>IFERROR(__xludf.DUMMYFUNCTION("""COMPUTED_VALUE"""),239.75)</f>
        <v>239.75</v>
      </c>
      <c r="E593" s="9">
        <f>IFERROR(__xludf.DUMMYFUNCTION("""COMPUTED_VALUE"""),242.13)</f>
        <v>242.13</v>
      </c>
      <c r="F593" s="9">
        <f>IFERROR(__xludf.DUMMYFUNCTION("""COMPUTED_VALUE"""),2395866.0)</f>
        <v>2395866</v>
      </c>
      <c r="H593" s="27">
        <f>IFERROR(__xludf.DUMMYFUNCTION("""COMPUTED_VALUE"""),39226.645833333336)</f>
        <v>39226.64583</v>
      </c>
      <c r="I593" s="25">
        <f>IFERROR(__xludf.DUMMYFUNCTION("""COMPUTED_VALUE"""),312.5)</f>
        <v>312.5</v>
      </c>
      <c r="J593" s="25">
        <f>IFERROR(__xludf.DUMMYFUNCTION("""COMPUTED_VALUE"""),312.5)</f>
        <v>312.5</v>
      </c>
      <c r="K593" s="25">
        <f>IFERROR(__xludf.DUMMYFUNCTION("""COMPUTED_VALUE"""),305.25)</f>
        <v>305.25</v>
      </c>
      <c r="L593" s="25">
        <f>IFERROR(__xludf.DUMMYFUNCTION("""COMPUTED_VALUE"""),306.19)</f>
        <v>306.19</v>
      </c>
      <c r="M593" s="25">
        <f>IFERROR(__xludf.DUMMYFUNCTION("""COMPUTED_VALUE"""),1138201.0)</f>
        <v>1138201</v>
      </c>
    </row>
    <row r="594">
      <c r="A594" s="26">
        <f>IFERROR(__xludf.DUMMYFUNCTION("""COMPUTED_VALUE"""),39227.645833333336)</f>
        <v>39227.64583</v>
      </c>
      <c r="B594" s="9">
        <f>IFERROR(__xludf.DUMMYFUNCTION("""COMPUTED_VALUE"""),243.75)</f>
        <v>243.75</v>
      </c>
      <c r="C594" s="9">
        <f>IFERROR(__xludf.DUMMYFUNCTION("""COMPUTED_VALUE"""),249.0)</f>
        <v>249</v>
      </c>
      <c r="D594" s="9">
        <f>IFERROR(__xludf.DUMMYFUNCTION("""COMPUTED_VALUE"""),238.13)</f>
        <v>238.13</v>
      </c>
      <c r="E594" s="9">
        <f>IFERROR(__xludf.DUMMYFUNCTION("""COMPUTED_VALUE"""),248.19)</f>
        <v>248.19</v>
      </c>
      <c r="F594" s="9">
        <f>IFERROR(__xludf.DUMMYFUNCTION("""COMPUTED_VALUE"""),2238083.0)</f>
        <v>2238083</v>
      </c>
      <c r="H594" s="27">
        <f>IFERROR(__xludf.DUMMYFUNCTION("""COMPUTED_VALUE"""),39227.645833333336)</f>
        <v>39227.64583</v>
      </c>
      <c r="I594" s="25">
        <f>IFERROR(__xludf.DUMMYFUNCTION("""COMPUTED_VALUE"""),305.24)</f>
        <v>305.24</v>
      </c>
      <c r="J594" s="25">
        <f>IFERROR(__xludf.DUMMYFUNCTION("""COMPUTED_VALUE"""),308.75)</f>
        <v>308.75</v>
      </c>
      <c r="K594" s="25">
        <f>IFERROR(__xludf.DUMMYFUNCTION("""COMPUTED_VALUE"""),302.0)</f>
        <v>302</v>
      </c>
      <c r="L594" s="25">
        <f>IFERROR(__xludf.DUMMYFUNCTION("""COMPUTED_VALUE"""),307.49)</f>
        <v>307.49</v>
      </c>
      <c r="M594" s="25">
        <f>IFERROR(__xludf.DUMMYFUNCTION("""COMPUTED_VALUE"""),1311042.0)</f>
        <v>1311042</v>
      </c>
    </row>
    <row r="595">
      <c r="A595" s="26">
        <f>IFERROR(__xludf.DUMMYFUNCTION("""COMPUTED_VALUE"""),39230.645833333336)</f>
        <v>39230.64583</v>
      </c>
      <c r="B595" s="9">
        <f>IFERROR(__xludf.DUMMYFUNCTION("""COMPUTED_VALUE"""),244.46)</f>
        <v>244.46</v>
      </c>
      <c r="C595" s="9">
        <f>IFERROR(__xludf.DUMMYFUNCTION("""COMPUTED_VALUE"""),251.71)</f>
        <v>251.71</v>
      </c>
      <c r="D595" s="9">
        <f>IFERROR(__xludf.DUMMYFUNCTION("""COMPUTED_VALUE"""),244.46)</f>
        <v>244.46</v>
      </c>
      <c r="E595" s="9">
        <f>IFERROR(__xludf.DUMMYFUNCTION("""COMPUTED_VALUE"""),246.44)</f>
        <v>246.44</v>
      </c>
      <c r="F595" s="9">
        <f>IFERROR(__xludf.DUMMYFUNCTION("""COMPUTED_VALUE"""),1669527.0)</f>
        <v>1669527</v>
      </c>
      <c r="H595" s="27">
        <f>IFERROR(__xludf.DUMMYFUNCTION("""COMPUTED_VALUE"""),39230.645833333336)</f>
        <v>39230.64583</v>
      </c>
      <c r="I595" s="25">
        <f>IFERROR(__xludf.DUMMYFUNCTION("""COMPUTED_VALUE"""),312.5)</f>
        <v>312.5</v>
      </c>
      <c r="J595" s="25">
        <f>IFERROR(__xludf.DUMMYFUNCTION("""COMPUTED_VALUE"""),312.5)</f>
        <v>312.5</v>
      </c>
      <c r="K595" s="25">
        <f>IFERROR(__xludf.DUMMYFUNCTION("""COMPUTED_VALUE"""),305.89)</f>
        <v>305.89</v>
      </c>
      <c r="L595" s="25">
        <f>IFERROR(__xludf.DUMMYFUNCTION("""COMPUTED_VALUE"""),306.38)</f>
        <v>306.38</v>
      </c>
      <c r="M595" s="25">
        <f>IFERROR(__xludf.DUMMYFUNCTION("""COMPUTED_VALUE"""),646293.0)</f>
        <v>646293</v>
      </c>
    </row>
    <row r="596">
      <c r="A596" s="26">
        <f>IFERROR(__xludf.DUMMYFUNCTION("""COMPUTED_VALUE"""),39231.645833333336)</f>
        <v>39231.64583</v>
      </c>
      <c r="B596" s="9">
        <f>IFERROR(__xludf.DUMMYFUNCTION("""COMPUTED_VALUE"""),246.88)</f>
        <v>246.88</v>
      </c>
      <c r="C596" s="9">
        <f>IFERROR(__xludf.DUMMYFUNCTION("""COMPUTED_VALUE"""),246.88)</f>
        <v>246.88</v>
      </c>
      <c r="D596" s="9">
        <f>IFERROR(__xludf.DUMMYFUNCTION("""COMPUTED_VALUE"""),243.16)</f>
        <v>243.16</v>
      </c>
      <c r="E596" s="9">
        <f>IFERROR(__xludf.DUMMYFUNCTION("""COMPUTED_VALUE"""),244.21)</f>
        <v>244.21</v>
      </c>
      <c r="F596" s="9">
        <f>IFERROR(__xludf.DUMMYFUNCTION("""COMPUTED_VALUE"""),832935.0)</f>
        <v>832935</v>
      </c>
      <c r="H596" s="27">
        <f>IFERROR(__xludf.DUMMYFUNCTION("""COMPUTED_VALUE"""),39231.645833333336)</f>
        <v>39231.64583</v>
      </c>
      <c r="I596" s="25">
        <f>IFERROR(__xludf.DUMMYFUNCTION("""COMPUTED_VALUE"""),306.23)</f>
        <v>306.23</v>
      </c>
      <c r="J596" s="25">
        <f>IFERROR(__xludf.DUMMYFUNCTION("""COMPUTED_VALUE"""),308.75)</f>
        <v>308.75</v>
      </c>
      <c r="K596" s="25">
        <f>IFERROR(__xludf.DUMMYFUNCTION("""COMPUTED_VALUE"""),305.0)</f>
        <v>305</v>
      </c>
      <c r="L596" s="25">
        <f>IFERROR(__xludf.DUMMYFUNCTION("""COMPUTED_VALUE"""),307.79)</f>
        <v>307.79</v>
      </c>
      <c r="M596" s="25">
        <f>IFERROR(__xludf.DUMMYFUNCTION("""COMPUTED_VALUE"""),741820.0)</f>
        <v>741820</v>
      </c>
    </row>
    <row r="597">
      <c r="A597" s="26">
        <f>IFERROR(__xludf.DUMMYFUNCTION("""COMPUTED_VALUE"""),39232.645833333336)</f>
        <v>39232.64583</v>
      </c>
      <c r="B597" s="9">
        <f>IFERROR(__xludf.DUMMYFUNCTION("""COMPUTED_VALUE"""),243.13)</f>
        <v>243.13</v>
      </c>
      <c r="C597" s="9">
        <f>IFERROR(__xludf.DUMMYFUNCTION("""COMPUTED_VALUE"""),244.97)</f>
        <v>244.97</v>
      </c>
      <c r="D597" s="9">
        <f>IFERROR(__xludf.DUMMYFUNCTION("""COMPUTED_VALUE"""),237.63)</f>
        <v>237.63</v>
      </c>
      <c r="E597" s="9">
        <f>IFERROR(__xludf.DUMMYFUNCTION("""COMPUTED_VALUE"""),238.27)</f>
        <v>238.27</v>
      </c>
      <c r="F597" s="9">
        <f>IFERROR(__xludf.DUMMYFUNCTION("""COMPUTED_VALUE"""),2559607.0)</f>
        <v>2559607</v>
      </c>
      <c r="H597" s="27">
        <f>IFERROR(__xludf.DUMMYFUNCTION("""COMPUTED_VALUE"""),39232.645833333336)</f>
        <v>39232.64583</v>
      </c>
      <c r="I597" s="25">
        <f>IFERROR(__xludf.DUMMYFUNCTION("""COMPUTED_VALUE"""),312.5)</f>
        <v>312.5</v>
      </c>
      <c r="J597" s="25">
        <f>IFERROR(__xludf.DUMMYFUNCTION("""COMPUTED_VALUE"""),312.5)</f>
        <v>312.5</v>
      </c>
      <c r="K597" s="25">
        <f>IFERROR(__xludf.DUMMYFUNCTION("""COMPUTED_VALUE"""),302.55)</f>
        <v>302.55</v>
      </c>
      <c r="L597" s="25">
        <f>IFERROR(__xludf.DUMMYFUNCTION("""COMPUTED_VALUE"""),303.91)</f>
        <v>303.91</v>
      </c>
      <c r="M597" s="25">
        <f>IFERROR(__xludf.DUMMYFUNCTION("""COMPUTED_VALUE"""),650014.0)</f>
        <v>650014</v>
      </c>
    </row>
    <row r="598">
      <c r="A598" s="26">
        <f>IFERROR(__xludf.DUMMYFUNCTION("""COMPUTED_VALUE"""),39233.645833333336)</f>
        <v>39233.64583</v>
      </c>
      <c r="B598" s="9">
        <f>IFERROR(__xludf.DUMMYFUNCTION("""COMPUTED_VALUE"""),240.0)</f>
        <v>240</v>
      </c>
      <c r="C598" s="9">
        <f>IFERROR(__xludf.DUMMYFUNCTION("""COMPUTED_VALUE"""),242.39)</f>
        <v>242.39</v>
      </c>
      <c r="D598" s="9">
        <f>IFERROR(__xludf.DUMMYFUNCTION("""COMPUTED_VALUE"""),238.75)</f>
        <v>238.75</v>
      </c>
      <c r="E598" s="9">
        <f>IFERROR(__xludf.DUMMYFUNCTION("""COMPUTED_VALUE"""),240.44)</f>
        <v>240.44</v>
      </c>
      <c r="F598" s="9">
        <f>IFERROR(__xludf.DUMMYFUNCTION("""COMPUTED_VALUE"""),1746065.0)</f>
        <v>1746065</v>
      </c>
      <c r="H598" s="27">
        <f>IFERROR(__xludf.DUMMYFUNCTION("""COMPUTED_VALUE"""),39233.645833333336)</f>
        <v>39233.64583</v>
      </c>
      <c r="I598" s="25">
        <f>IFERROR(__xludf.DUMMYFUNCTION("""COMPUTED_VALUE"""),307.25)</f>
        <v>307.25</v>
      </c>
      <c r="J598" s="25">
        <f>IFERROR(__xludf.DUMMYFUNCTION("""COMPUTED_VALUE"""),307.25)</f>
        <v>307.25</v>
      </c>
      <c r="K598" s="25">
        <f>IFERROR(__xludf.DUMMYFUNCTION("""COMPUTED_VALUE"""),300.0)</f>
        <v>300</v>
      </c>
      <c r="L598" s="25">
        <f>IFERROR(__xludf.DUMMYFUNCTION("""COMPUTED_VALUE"""),302.09)</f>
        <v>302.09</v>
      </c>
      <c r="M598" s="25">
        <f>IFERROR(__xludf.DUMMYFUNCTION("""COMPUTED_VALUE"""),1294123.0)</f>
        <v>1294123</v>
      </c>
    </row>
    <row r="599">
      <c r="A599" s="26">
        <f>IFERROR(__xludf.DUMMYFUNCTION("""COMPUTED_VALUE"""),39234.645833333336)</f>
        <v>39234.64583</v>
      </c>
      <c r="B599" s="9">
        <f>IFERROR(__xludf.DUMMYFUNCTION("""COMPUTED_VALUE"""),241.63)</f>
        <v>241.63</v>
      </c>
      <c r="C599" s="9">
        <f>IFERROR(__xludf.DUMMYFUNCTION("""COMPUTED_VALUE"""),243.74)</f>
        <v>243.74</v>
      </c>
      <c r="D599" s="9">
        <f>IFERROR(__xludf.DUMMYFUNCTION("""COMPUTED_VALUE"""),241.5)</f>
        <v>241.5</v>
      </c>
      <c r="E599" s="9">
        <f>IFERROR(__xludf.DUMMYFUNCTION("""COMPUTED_VALUE"""),242.32)</f>
        <v>242.32</v>
      </c>
      <c r="F599" s="9">
        <f>IFERROR(__xludf.DUMMYFUNCTION("""COMPUTED_VALUE"""),967775.0)</f>
        <v>967775</v>
      </c>
      <c r="H599" s="27">
        <f>IFERROR(__xludf.DUMMYFUNCTION("""COMPUTED_VALUE"""),39234.645833333336)</f>
        <v>39234.64583</v>
      </c>
      <c r="I599" s="25">
        <f>IFERROR(__xludf.DUMMYFUNCTION("""COMPUTED_VALUE"""),307.27)</f>
        <v>307.27</v>
      </c>
      <c r="J599" s="25">
        <f>IFERROR(__xludf.DUMMYFUNCTION("""COMPUTED_VALUE"""),307.27)</f>
        <v>307.27</v>
      </c>
      <c r="K599" s="25">
        <f>IFERROR(__xludf.DUMMYFUNCTION("""COMPUTED_VALUE"""),302.79)</f>
        <v>302.79</v>
      </c>
      <c r="L599" s="25">
        <f>IFERROR(__xludf.DUMMYFUNCTION("""COMPUTED_VALUE"""),304.68)</f>
        <v>304.68</v>
      </c>
      <c r="M599" s="25">
        <f>IFERROR(__xludf.DUMMYFUNCTION("""COMPUTED_VALUE"""),432247.0)</f>
        <v>432247</v>
      </c>
    </row>
    <row r="600">
      <c r="A600" s="26">
        <f>IFERROR(__xludf.DUMMYFUNCTION("""COMPUTED_VALUE"""),39237.645833333336)</f>
        <v>39237.64583</v>
      </c>
      <c r="B600" s="9">
        <f>IFERROR(__xludf.DUMMYFUNCTION("""COMPUTED_VALUE"""),243.75)</f>
        <v>243.75</v>
      </c>
      <c r="C600" s="9">
        <f>IFERROR(__xludf.DUMMYFUNCTION("""COMPUTED_VALUE"""),246.09)</f>
        <v>246.09</v>
      </c>
      <c r="D600" s="9">
        <f>IFERROR(__xludf.DUMMYFUNCTION("""COMPUTED_VALUE"""),238.6)</f>
        <v>238.6</v>
      </c>
      <c r="E600" s="9">
        <f>IFERROR(__xludf.DUMMYFUNCTION("""COMPUTED_VALUE"""),239.54)</f>
        <v>239.54</v>
      </c>
      <c r="F600" s="9">
        <f>IFERROR(__xludf.DUMMYFUNCTION("""COMPUTED_VALUE"""),1175648.0)</f>
        <v>1175648</v>
      </c>
      <c r="H600" s="27">
        <f>IFERROR(__xludf.DUMMYFUNCTION("""COMPUTED_VALUE"""),39237.645833333336)</f>
        <v>39237.64583</v>
      </c>
      <c r="I600" s="25">
        <f>IFERROR(__xludf.DUMMYFUNCTION("""COMPUTED_VALUE"""),307.0)</f>
        <v>307</v>
      </c>
      <c r="J600" s="25">
        <f>IFERROR(__xludf.DUMMYFUNCTION("""COMPUTED_VALUE"""),312.5)</f>
        <v>312.5</v>
      </c>
      <c r="K600" s="25">
        <f>IFERROR(__xludf.DUMMYFUNCTION("""COMPUTED_VALUE"""),300.5)</f>
        <v>300.5</v>
      </c>
      <c r="L600" s="25">
        <f>IFERROR(__xludf.DUMMYFUNCTION("""COMPUTED_VALUE"""),302.02)</f>
        <v>302.02</v>
      </c>
      <c r="M600" s="25">
        <f>IFERROR(__xludf.DUMMYFUNCTION("""COMPUTED_VALUE"""),463346.0)</f>
        <v>463346</v>
      </c>
    </row>
    <row r="601">
      <c r="A601" s="26">
        <f>IFERROR(__xludf.DUMMYFUNCTION("""COMPUTED_VALUE"""),39238.645833333336)</f>
        <v>39238.64583</v>
      </c>
      <c r="B601" s="9">
        <f>IFERROR(__xludf.DUMMYFUNCTION("""COMPUTED_VALUE"""),240.0)</f>
        <v>240</v>
      </c>
      <c r="C601" s="9">
        <f>IFERROR(__xludf.DUMMYFUNCTION("""COMPUTED_VALUE"""),243.75)</f>
        <v>243.75</v>
      </c>
      <c r="D601" s="9">
        <f>IFERROR(__xludf.DUMMYFUNCTION("""COMPUTED_VALUE"""),238.5)</f>
        <v>238.5</v>
      </c>
      <c r="E601" s="9">
        <f>IFERROR(__xludf.DUMMYFUNCTION("""COMPUTED_VALUE"""),242.9)</f>
        <v>242.9</v>
      </c>
      <c r="F601" s="9">
        <f>IFERROR(__xludf.DUMMYFUNCTION("""COMPUTED_VALUE"""),1787841.0)</f>
        <v>1787841</v>
      </c>
      <c r="H601" s="27">
        <f>IFERROR(__xludf.DUMMYFUNCTION("""COMPUTED_VALUE"""),39238.645833333336)</f>
        <v>39238.64583</v>
      </c>
      <c r="I601" s="25">
        <f>IFERROR(__xludf.DUMMYFUNCTION("""COMPUTED_VALUE"""),304.45)</f>
        <v>304.45</v>
      </c>
      <c r="J601" s="25">
        <f>IFERROR(__xludf.DUMMYFUNCTION("""COMPUTED_VALUE"""),304.45)</f>
        <v>304.45</v>
      </c>
      <c r="K601" s="25">
        <f>IFERROR(__xludf.DUMMYFUNCTION("""COMPUTED_VALUE"""),300.0)</f>
        <v>300</v>
      </c>
      <c r="L601" s="25">
        <f>IFERROR(__xludf.DUMMYFUNCTION("""COMPUTED_VALUE"""),302.01)</f>
        <v>302.01</v>
      </c>
      <c r="M601" s="25">
        <f>IFERROR(__xludf.DUMMYFUNCTION("""COMPUTED_VALUE"""),437900.0)</f>
        <v>437900</v>
      </c>
    </row>
    <row r="602">
      <c r="A602" s="26">
        <f>IFERROR(__xludf.DUMMYFUNCTION("""COMPUTED_VALUE"""),39239.645833333336)</f>
        <v>39239.64583</v>
      </c>
      <c r="B602" s="9">
        <f>IFERROR(__xludf.DUMMYFUNCTION("""COMPUTED_VALUE"""),246.75)</f>
        <v>246.75</v>
      </c>
      <c r="C602" s="9">
        <f>IFERROR(__xludf.DUMMYFUNCTION("""COMPUTED_VALUE"""),246.75)</f>
        <v>246.75</v>
      </c>
      <c r="D602" s="9">
        <f>IFERROR(__xludf.DUMMYFUNCTION("""COMPUTED_VALUE"""),241.25)</f>
        <v>241.25</v>
      </c>
      <c r="E602" s="9">
        <f>IFERROR(__xludf.DUMMYFUNCTION("""COMPUTED_VALUE"""),242.29)</f>
        <v>242.29</v>
      </c>
      <c r="F602" s="9">
        <f>IFERROR(__xludf.DUMMYFUNCTION("""COMPUTED_VALUE"""),2061002.0)</f>
        <v>2061002</v>
      </c>
      <c r="H602" s="27">
        <f>IFERROR(__xludf.DUMMYFUNCTION("""COMPUTED_VALUE"""),39239.645833333336)</f>
        <v>39239.64583</v>
      </c>
      <c r="I602" s="25">
        <f>IFERROR(__xludf.DUMMYFUNCTION("""COMPUTED_VALUE"""),303.75)</f>
        <v>303.75</v>
      </c>
      <c r="J602" s="25">
        <f>IFERROR(__xludf.DUMMYFUNCTION("""COMPUTED_VALUE"""),304.25)</f>
        <v>304.25</v>
      </c>
      <c r="K602" s="25">
        <f>IFERROR(__xludf.DUMMYFUNCTION("""COMPUTED_VALUE"""),294.55)</f>
        <v>294.55</v>
      </c>
      <c r="L602" s="25">
        <f>IFERROR(__xludf.DUMMYFUNCTION("""COMPUTED_VALUE"""),300.09)</f>
        <v>300.09</v>
      </c>
      <c r="M602" s="25">
        <f>IFERROR(__xludf.DUMMYFUNCTION("""COMPUTED_VALUE"""),958005.0)</f>
        <v>958005</v>
      </c>
    </row>
    <row r="603">
      <c r="A603" s="26">
        <f>IFERROR(__xludf.DUMMYFUNCTION("""COMPUTED_VALUE"""),39240.645833333336)</f>
        <v>39240.64583</v>
      </c>
      <c r="B603" s="9">
        <f>IFERROR(__xludf.DUMMYFUNCTION("""COMPUTED_VALUE"""),230.86)</f>
        <v>230.86</v>
      </c>
      <c r="C603" s="9">
        <f>IFERROR(__xludf.DUMMYFUNCTION("""COMPUTED_VALUE"""),246.5)</f>
        <v>246.5</v>
      </c>
      <c r="D603" s="9">
        <f>IFERROR(__xludf.DUMMYFUNCTION("""COMPUTED_VALUE"""),230.86)</f>
        <v>230.86</v>
      </c>
      <c r="E603" s="9">
        <f>IFERROR(__xludf.DUMMYFUNCTION("""COMPUTED_VALUE"""),244.64)</f>
        <v>244.64</v>
      </c>
      <c r="F603" s="9">
        <f>IFERROR(__xludf.DUMMYFUNCTION("""COMPUTED_VALUE"""),1664381.0)</f>
        <v>1664381</v>
      </c>
      <c r="H603" s="27">
        <f>IFERROR(__xludf.DUMMYFUNCTION("""COMPUTED_VALUE"""),39240.645833333336)</f>
        <v>39240.64583</v>
      </c>
      <c r="I603" s="25">
        <f>IFERROR(__xludf.DUMMYFUNCTION("""COMPUTED_VALUE"""),300.0)</f>
        <v>300</v>
      </c>
      <c r="J603" s="25">
        <f>IFERROR(__xludf.DUMMYFUNCTION("""COMPUTED_VALUE"""),303.6)</f>
        <v>303.6</v>
      </c>
      <c r="K603" s="25">
        <f>IFERROR(__xludf.DUMMYFUNCTION("""COMPUTED_VALUE"""),291.33)</f>
        <v>291.33</v>
      </c>
      <c r="L603" s="25">
        <f>IFERROR(__xludf.DUMMYFUNCTION("""COMPUTED_VALUE"""),301.75)</f>
        <v>301.75</v>
      </c>
      <c r="M603" s="25">
        <f>IFERROR(__xludf.DUMMYFUNCTION("""COMPUTED_VALUE"""),502235.0)</f>
        <v>502235</v>
      </c>
    </row>
    <row r="604">
      <c r="A604" s="26">
        <f>IFERROR(__xludf.DUMMYFUNCTION("""COMPUTED_VALUE"""),39241.645833333336)</f>
        <v>39241.64583</v>
      </c>
      <c r="B604" s="9">
        <f>IFERROR(__xludf.DUMMYFUNCTION("""COMPUTED_VALUE"""),243.74)</f>
        <v>243.74</v>
      </c>
      <c r="C604" s="9">
        <f>IFERROR(__xludf.DUMMYFUNCTION("""COMPUTED_VALUE"""),246.88)</f>
        <v>246.88</v>
      </c>
      <c r="D604" s="9">
        <f>IFERROR(__xludf.DUMMYFUNCTION("""COMPUTED_VALUE"""),238.94)</f>
        <v>238.94</v>
      </c>
      <c r="E604" s="9">
        <f>IFERROR(__xludf.DUMMYFUNCTION("""COMPUTED_VALUE"""),243.86)</f>
        <v>243.86</v>
      </c>
      <c r="F604" s="9">
        <f>IFERROR(__xludf.DUMMYFUNCTION("""COMPUTED_VALUE"""),2618464.0)</f>
        <v>2618464</v>
      </c>
      <c r="H604" s="27">
        <f>IFERROR(__xludf.DUMMYFUNCTION("""COMPUTED_VALUE"""),39241.645833333336)</f>
        <v>39241.64583</v>
      </c>
      <c r="I604" s="25">
        <f>IFERROR(__xludf.DUMMYFUNCTION("""COMPUTED_VALUE"""),301.63)</f>
        <v>301.63</v>
      </c>
      <c r="J604" s="25">
        <f>IFERROR(__xludf.DUMMYFUNCTION("""COMPUTED_VALUE"""),307.63)</f>
        <v>307.63</v>
      </c>
      <c r="K604" s="25">
        <f>IFERROR(__xludf.DUMMYFUNCTION("""COMPUTED_VALUE"""),297.5)</f>
        <v>297.5</v>
      </c>
      <c r="L604" s="25">
        <f>IFERROR(__xludf.DUMMYFUNCTION("""COMPUTED_VALUE"""),305.02)</f>
        <v>305.02</v>
      </c>
      <c r="M604" s="25">
        <f>IFERROR(__xludf.DUMMYFUNCTION("""COMPUTED_VALUE"""),1504769.0)</f>
        <v>1504769</v>
      </c>
    </row>
    <row r="605">
      <c r="A605" s="26">
        <f>IFERROR(__xludf.DUMMYFUNCTION("""COMPUTED_VALUE"""),39244.645833333336)</f>
        <v>39244.64583</v>
      </c>
      <c r="B605" s="9">
        <f>IFERROR(__xludf.DUMMYFUNCTION("""COMPUTED_VALUE"""),246.75)</f>
        <v>246.75</v>
      </c>
      <c r="C605" s="9">
        <f>IFERROR(__xludf.DUMMYFUNCTION("""COMPUTED_VALUE"""),249.5)</f>
        <v>249.5</v>
      </c>
      <c r="D605" s="9">
        <f>IFERROR(__xludf.DUMMYFUNCTION("""COMPUTED_VALUE"""),246.25)</f>
        <v>246.25</v>
      </c>
      <c r="E605" s="9">
        <f>IFERROR(__xludf.DUMMYFUNCTION("""COMPUTED_VALUE"""),247.48)</f>
        <v>247.48</v>
      </c>
      <c r="F605" s="9">
        <f>IFERROR(__xludf.DUMMYFUNCTION("""COMPUTED_VALUE"""),2305776.0)</f>
        <v>2305776</v>
      </c>
      <c r="H605" s="27">
        <f>IFERROR(__xludf.DUMMYFUNCTION("""COMPUTED_VALUE"""),39244.645833333336)</f>
        <v>39244.64583</v>
      </c>
      <c r="I605" s="25">
        <f>IFERROR(__xludf.DUMMYFUNCTION("""COMPUTED_VALUE"""),309.14)</f>
        <v>309.14</v>
      </c>
      <c r="J605" s="25">
        <f>IFERROR(__xludf.DUMMYFUNCTION("""COMPUTED_VALUE"""),309.85)</f>
        <v>309.85</v>
      </c>
      <c r="K605" s="25">
        <f>IFERROR(__xludf.DUMMYFUNCTION("""COMPUTED_VALUE"""),304.51)</f>
        <v>304.51</v>
      </c>
      <c r="L605" s="25">
        <f>IFERROR(__xludf.DUMMYFUNCTION("""COMPUTED_VALUE"""),305.34)</f>
        <v>305.34</v>
      </c>
      <c r="M605" s="25">
        <f>IFERROR(__xludf.DUMMYFUNCTION("""COMPUTED_VALUE"""),662034.0)</f>
        <v>662034</v>
      </c>
    </row>
    <row r="606">
      <c r="A606" s="26">
        <f>IFERROR(__xludf.DUMMYFUNCTION("""COMPUTED_VALUE"""),39245.645833333336)</f>
        <v>39245.64583</v>
      </c>
      <c r="B606" s="9">
        <f>IFERROR(__xludf.DUMMYFUNCTION("""COMPUTED_VALUE"""),245.25)</f>
        <v>245.25</v>
      </c>
      <c r="C606" s="9">
        <f>IFERROR(__xludf.DUMMYFUNCTION("""COMPUTED_VALUE"""),249.86)</f>
        <v>249.86</v>
      </c>
      <c r="D606" s="9">
        <f>IFERROR(__xludf.DUMMYFUNCTION("""COMPUTED_VALUE"""),245.25)</f>
        <v>245.25</v>
      </c>
      <c r="E606" s="9">
        <f>IFERROR(__xludf.DUMMYFUNCTION("""COMPUTED_VALUE"""),248.69)</f>
        <v>248.69</v>
      </c>
      <c r="F606" s="9">
        <f>IFERROR(__xludf.DUMMYFUNCTION("""COMPUTED_VALUE"""),1186206.0)</f>
        <v>1186206</v>
      </c>
      <c r="H606" s="27">
        <f>IFERROR(__xludf.DUMMYFUNCTION("""COMPUTED_VALUE"""),39245.645833333336)</f>
        <v>39245.64583</v>
      </c>
      <c r="I606" s="25">
        <f>IFERROR(__xludf.DUMMYFUNCTION("""COMPUTED_VALUE"""),302.5)</f>
        <v>302.5</v>
      </c>
      <c r="J606" s="25">
        <f>IFERROR(__xludf.DUMMYFUNCTION("""COMPUTED_VALUE"""),307.5)</f>
        <v>307.5</v>
      </c>
      <c r="K606" s="25">
        <f>IFERROR(__xludf.DUMMYFUNCTION("""COMPUTED_VALUE"""),300.0)</f>
        <v>300</v>
      </c>
      <c r="L606" s="25">
        <f>IFERROR(__xludf.DUMMYFUNCTION("""COMPUTED_VALUE"""),304.34)</f>
        <v>304.34</v>
      </c>
      <c r="M606" s="25">
        <f>IFERROR(__xludf.DUMMYFUNCTION("""COMPUTED_VALUE"""),350518.0)</f>
        <v>350518</v>
      </c>
    </row>
    <row r="607">
      <c r="A607" s="26">
        <f>IFERROR(__xludf.DUMMYFUNCTION("""COMPUTED_VALUE"""),39246.645833333336)</f>
        <v>39246.64583</v>
      </c>
      <c r="B607" s="9">
        <f>IFERROR(__xludf.DUMMYFUNCTION("""COMPUTED_VALUE"""),214.38)</f>
        <v>214.38</v>
      </c>
      <c r="C607" s="9">
        <f>IFERROR(__xludf.DUMMYFUNCTION("""COMPUTED_VALUE"""),249.88)</f>
        <v>249.88</v>
      </c>
      <c r="D607" s="9">
        <f>IFERROR(__xludf.DUMMYFUNCTION("""COMPUTED_VALUE"""),214.38)</f>
        <v>214.38</v>
      </c>
      <c r="E607" s="9">
        <f>IFERROR(__xludf.DUMMYFUNCTION("""COMPUTED_VALUE"""),248.59)</f>
        <v>248.59</v>
      </c>
      <c r="F607" s="9">
        <f>IFERROR(__xludf.DUMMYFUNCTION("""COMPUTED_VALUE"""),767901.0)</f>
        <v>767901</v>
      </c>
      <c r="H607" s="27">
        <f>IFERROR(__xludf.DUMMYFUNCTION("""COMPUTED_VALUE"""),39246.645833333336)</f>
        <v>39246.64583</v>
      </c>
      <c r="I607" s="25">
        <f>IFERROR(__xludf.DUMMYFUNCTION("""COMPUTED_VALUE"""),304.75)</f>
        <v>304.75</v>
      </c>
      <c r="J607" s="25">
        <f>IFERROR(__xludf.DUMMYFUNCTION("""COMPUTED_VALUE"""),305.0)</f>
        <v>305</v>
      </c>
      <c r="K607" s="25">
        <f>IFERROR(__xludf.DUMMYFUNCTION("""COMPUTED_VALUE"""),298.33)</f>
        <v>298.33</v>
      </c>
      <c r="L607" s="25">
        <f>IFERROR(__xludf.DUMMYFUNCTION("""COMPUTED_VALUE"""),300.81)</f>
        <v>300.81</v>
      </c>
      <c r="M607" s="25">
        <f>IFERROR(__xludf.DUMMYFUNCTION("""COMPUTED_VALUE"""),442122.0)</f>
        <v>442122</v>
      </c>
    </row>
    <row r="608">
      <c r="A608" s="26">
        <f>IFERROR(__xludf.DUMMYFUNCTION("""COMPUTED_VALUE"""),39247.645833333336)</f>
        <v>39247.64583</v>
      </c>
      <c r="B608" s="9">
        <f>IFERROR(__xludf.DUMMYFUNCTION("""COMPUTED_VALUE"""),249.38)</f>
        <v>249.38</v>
      </c>
      <c r="C608" s="9">
        <f>IFERROR(__xludf.DUMMYFUNCTION("""COMPUTED_VALUE"""),253.88)</f>
        <v>253.88</v>
      </c>
      <c r="D608" s="9">
        <f>IFERROR(__xludf.DUMMYFUNCTION("""COMPUTED_VALUE"""),249.38)</f>
        <v>249.38</v>
      </c>
      <c r="E608" s="9">
        <f>IFERROR(__xludf.DUMMYFUNCTION("""COMPUTED_VALUE"""),252.4)</f>
        <v>252.4</v>
      </c>
      <c r="F608" s="9">
        <f>IFERROR(__xludf.DUMMYFUNCTION("""COMPUTED_VALUE"""),1986856.0)</f>
        <v>1986856</v>
      </c>
      <c r="H608" s="27">
        <f>IFERROR(__xludf.DUMMYFUNCTION("""COMPUTED_VALUE"""),39247.645833333336)</f>
        <v>39247.64583</v>
      </c>
      <c r="I608" s="25">
        <f>IFERROR(__xludf.DUMMYFUNCTION("""COMPUTED_VALUE"""),302.5)</f>
        <v>302.5</v>
      </c>
      <c r="J608" s="25">
        <f>IFERROR(__xludf.DUMMYFUNCTION("""COMPUTED_VALUE"""),305.0)</f>
        <v>305</v>
      </c>
      <c r="K608" s="25">
        <f>IFERROR(__xludf.DUMMYFUNCTION("""COMPUTED_VALUE"""),300.33)</f>
        <v>300.33</v>
      </c>
      <c r="L608" s="25">
        <f>IFERROR(__xludf.DUMMYFUNCTION("""COMPUTED_VALUE"""),301.14)</f>
        <v>301.14</v>
      </c>
      <c r="M608" s="25">
        <f>IFERROR(__xludf.DUMMYFUNCTION("""COMPUTED_VALUE"""),1044017.0)</f>
        <v>1044017</v>
      </c>
    </row>
    <row r="609">
      <c r="A609" s="26">
        <f>IFERROR(__xludf.DUMMYFUNCTION("""COMPUTED_VALUE"""),39248.645833333336)</f>
        <v>39248.64583</v>
      </c>
      <c r="B609" s="9">
        <f>IFERROR(__xludf.DUMMYFUNCTION("""COMPUTED_VALUE"""),253.75)</f>
        <v>253.75</v>
      </c>
      <c r="C609" s="9">
        <f>IFERROR(__xludf.DUMMYFUNCTION("""COMPUTED_VALUE"""),254.75)</f>
        <v>254.75</v>
      </c>
      <c r="D609" s="9">
        <f>IFERROR(__xludf.DUMMYFUNCTION("""COMPUTED_VALUE"""),250.0)</f>
        <v>250</v>
      </c>
      <c r="E609" s="9">
        <f>IFERROR(__xludf.DUMMYFUNCTION("""COMPUTED_VALUE"""),251.18)</f>
        <v>251.18</v>
      </c>
      <c r="F609" s="9">
        <f>IFERROR(__xludf.DUMMYFUNCTION("""COMPUTED_VALUE"""),1064914.0)</f>
        <v>1064914</v>
      </c>
      <c r="H609" s="27">
        <f>IFERROR(__xludf.DUMMYFUNCTION("""COMPUTED_VALUE"""),39248.645833333336)</f>
        <v>39248.64583</v>
      </c>
      <c r="I609" s="25">
        <f>IFERROR(__xludf.DUMMYFUNCTION("""COMPUTED_VALUE"""),305.0)</f>
        <v>305</v>
      </c>
      <c r="J609" s="25">
        <f>IFERROR(__xludf.DUMMYFUNCTION("""COMPUTED_VALUE"""),305.0)</f>
        <v>305</v>
      </c>
      <c r="K609" s="25">
        <f>IFERROR(__xludf.DUMMYFUNCTION("""COMPUTED_VALUE"""),295.0)</f>
        <v>295</v>
      </c>
      <c r="L609" s="25">
        <f>IFERROR(__xludf.DUMMYFUNCTION("""COMPUTED_VALUE"""),296.1)</f>
        <v>296.1</v>
      </c>
      <c r="M609" s="25">
        <f>IFERROR(__xludf.DUMMYFUNCTION("""COMPUTED_VALUE"""),1245788.0)</f>
        <v>1245788</v>
      </c>
    </row>
    <row r="610">
      <c r="A610" s="26">
        <f>IFERROR(__xludf.DUMMYFUNCTION("""COMPUTED_VALUE"""),39251.645833333336)</f>
        <v>39251.64583</v>
      </c>
      <c r="B610" s="9">
        <f>IFERROR(__xludf.DUMMYFUNCTION("""COMPUTED_VALUE"""),253.13)</f>
        <v>253.13</v>
      </c>
      <c r="C610" s="9">
        <f>IFERROR(__xludf.DUMMYFUNCTION("""COMPUTED_VALUE"""),253.63)</f>
        <v>253.63</v>
      </c>
      <c r="D610" s="9">
        <f>IFERROR(__xludf.DUMMYFUNCTION("""COMPUTED_VALUE"""),248.19)</f>
        <v>248.19</v>
      </c>
      <c r="E610" s="9">
        <f>IFERROR(__xludf.DUMMYFUNCTION("""COMPUTED_VALUE"""),248.68)</f>
        <v>248.68</v>
      </c>
      <c r="F610" s="9">
        <f>IFERROR(__xludf.DUMMYFUNCTION("""COMPUTED_VALUE"""),1235097.0)</f>
        <v>1235097</v>
      </c>
      <c r="H610" s="27">
        <f>IFERROR(__xludf.DUMMYFUNCTION("""COMPUTED_VALUE"""),39251.645833333336)</f>
        <v>39251.64583</v>
      </c>
      <c r="I610" s="25">
        <f>IFERROR(__xludf.DUMMYFUNCTION("""COMPUTED_VALUE"""),298.25)</f>
        <v>298.25</v>
      </c>
      <c r="J610" s="25">
        <f>IFERROR(__xludf.DUMMYFUNCTION("""COMPUTED_VALUE"""),298.75)</f>
        <v>298.75</v>
      </c>
      <c r="K610" s="25">
        <f>IFERROR(__xludf.DUMMYFUNCTION("""COMPUTED_VALUE"""),290.0)</f>
        <v>290</v>
      </c>
      <c r="L610" s="25">
        <f>IFERROR(__xludf.DUMMYFUNCTION("""COMPUTED_VALUE"""),290.65)</f>
        <v>290.65</v>
      </c>
      <c r="M610" s="25">
        <f>IFERROR(__xludf.DUMMYFUNCTION("""COMPUTED_VALUE"""),718614.0)</f>
        <v>718614</v>
      </c>
    </row>
    <row r="611">
      <c r="A611" s="26">
        <f>IFERROR(__xludf.DUMMYFUNCTION("""COMPUTED_VALUE"""),39252.645833333336)</f>
        <v>39252.64583</v>
      </c>
      <c r="B611" s="9">
        <f>IFERROR(__xludf.DUMMYFUNCTION("""COMPUTED_VALUE"""),248.75)</f>
        <v>248.75</v>
      </c>
      <c r="C611" s="9">
        <f>IFERROR(__xludf.DUMMYFUNCTION("""COMPUTED_VALUE"""),248.86)</f>
        <v>248.86</v>
      </c>
      <c r="D611" s="9">
        <f>IFERROR(__xludf.DUMMYFUNCTION("""COMPUTED_VALUE"""),242.75)</f>
        <v>242.75</v>
      </c>
      <c r="E611" s="9">
        <f>IFERROR(__xludf.DUMMYFUNCTION("""COMPUTED_VALUE"""),244.58)</f>
        <v>244.58</v>
      </c>
      <c r="F611" s="9">
        <f>IFERROR(__xludf.DUMMYFUNCTION("""COMPUTED_VALUE"""),1750723.0)</f>
        <v>1750723</v>
      </c>
      <c r="H611" s="27">
        <f>IFERROR(__xludf.DUMMYFUNCTION("""COMPUTED_VALUE"""),39252.645833333336)</f>
        <v>39252.64583</v>
      </c>
      <c r="I611" s="25">
        <f>IFERROR(__xludf.DUMMYFUNCTION("""COMPUTED_VALUE"""),291.27)</f>
        <v>291.27</v>
      </c>
      <c r="J611" s="25">
        <f>IFERROR(__xludf.DUMMYFUNCTION("""COMPUTED_VALUE"""),291.38)</f>
        <v>291.38</v>
      </c>
      <c r="K611" s="25">
        <f>IFERROR(__xludf.DUMMYFUNCTION("""COMPUTED_VALUE"""),285.83)</f>
        <v>285.83</v>
      </c>
      <c r="L611" s="25">
        <f>IFERROR(__xludf.DUMMYFUNCTION("""COMPUTED_VALUE"""),290.0)</f>
        <v>290</v>
      </c>
      <c r="M611" s="25">
        <f>IFERROR(__xludf.DUMMYFUNCTION("""COMPUTED_VALUE"""),873859.0)</f>
        <v>873859</v>
      </c>
    </row>
    <row r="612">
      <c r="A612" s="26">
        <f>IFERROR(__xludf.DUMMYFUNCTION("""COMPUTED_VALUE"""),39253.645833333336)</f>
        <v>39253.64583</v>
      </c>
      <c r="B612" s="9">
        <f>IFERROR(__xludf.DUMMYFUNCTION("""COMPUTED_VALUE"""),245.75)</f>
        <v>245.75</v>
      </c>
      <c r="C612" s="9">
        <f>IFERROR(__xludf.DUMMYFUNCTION("""COMPUTED_VALUE"""),246.75)</f>
        <v>246.75</v>
      </c>
      <c r="D612" s="9">
        <f>IFERROR(__xludf.DUMMYFUNCTION("""COMPUTED_VALUE"""),243.77)</f>
        <v>243.77</v>
      </c>
      <c r="E612" s="9">
        <f>IFERROR(__xludf.DUMMYFUNCTION("""COMPUTED_VALUE"""),244.28)</f>
        <v>244.28</v>
      </c>
      <c r="F612" s="9">
        <f>IFERROR(__xludf.DUMMYFUNCTION("""COMPUTED_VALUE"""),854423.0)</f>
        <v>854423</v>
      </c>
      <c r="H612" s="27">
        <f>IFERROR(__xludf.DUMMYFUNCTION("""COMPUTED_VALUE"""),39253.645833333336)</f>
        <v>39253.64583</v>
      </c>
      <c r="I612" s="25">
        <f>IFERROR(__xludf.DUMMYFUNCTION("""COMPUTED_VALUE"""),290.25)</f>
        <v>290.25</v>
      </c>
      <c r="J612" s="25">
        <f>IFERROR(__xludf.DUMMYFUNCTION("""COMPUTED_VALUE"""),293.25)</f>
        <v>293.25</v>
      </c>
      <c r="K612" s="25">
        <f>IFERROR(__xludf.DUMMYFUNCTION("""COMPUTED_VALUE"""),285.25)</f>
        <v>285.25</v>
      </c>
      <c r="L612" s="25">
        <f>IFERROR(__xludf.DUMMYFUNCTION("""COMPUTED_VALUE"""),286.75)</f>
        <v>286.75</v>
      </c>
      <c r="M612" s="25">
        <f>IFERROR(__xludf.DUMMYFUNCTION("""COMPUTED_VALUE"""),1006242.0)</f>
        <v>1006242</v>
      </c>
    </row>
    <row r="613">
      <c r="A613" s="26">
        <f>IFERROR(__xludf.DUMMYFUNCTION("""COMPUTED_VALUE"""),39254.645833333336)</f>
        <v>39254.64583</v>
      </c>
      <c r="B613" s="9">
        <f>IFERROR(__xludf.DUMMYFUNCTION("""COMPUTED_VALUE"""),244.25)</f>
        <v>244.25</v>
      </c>
      <c r="C613" s="9">
        <f>IFERROR(__xludf.DUMMYFUNCTION("""COMPUTED_VALUE"""),245.75)</f>
        <v>245.75</v>
      </c>
      <c r="D613" s="9">
        <f>IFERROR(__xludf.DUMMYFUNCTION("""COMPUTED_VALUE"""),241.9)</f>
        <v>241.9</v>
      </c>
      <c r="E613" s="9">
        <f>IFERROR(__xludf.DUMMYFUNCTION("""COMPUTED_VALUE"""),244.81)</f>
        <v>244.81</v>
      </c>
      <c r="F613" s="9">
        <f>IFERROR(__xludf.DUMMYFUNCTION("""COMPUTED_VALUE"""),844835.0)</f>
        <v>844835</v>
      </c>
      <c r="H613" s="27">
        <f>IFERROR(__xludf.DUMMYFUNCTION("""COMPUTED_VALUE"""),39254.645833333336)</f>
        <v>39254.64583</v>
      </c>
      <c r="I613" s="25">
        <f>IFERROR(__xludf.DUMMYFUNCTION("""COMPUTED_VALUE"""),286.25)</f>
        <v>286.25</v>
      </c>
      <c r="J613" s="25">
        <f>IFERROR(__xludf.DUMMYFUNCTION("""COMPUTED_VALUE"""),287.7)</f>
        <v>287.7</v>
      </c>
      <c r="K613" s="25">
        <f>IFERROR(__xludf.DUMMYFUNCTION("""COMPUTED_VALUE"""),282.5)</f>
        <v>282.5</v>
      </c>
      <c r="L613" s="25">
        <f>IFERROR(__xludf.DUMMYFUNCTION("""COMPUTED_VALUE"""),286.4)</f>
        <v>286.4</v>
      </c>
      <c r="M613" s="25">
        <f>IFERROR(__xludf.DUMMYFUNCTION("""COMPUTED_VALUE"""),760932.0)</f>
        <v>760932</v>
      </c>
    </row>
    <row r="614">
      <c r="A614" s="26">
        <f>IFERROR(__xludf.DUMMYFUNCTION("""COMPUTED_VALUE"""),39255.645833333336)</f>
        <v>39255.64583</v>
      </c>
      <c r="B614" s="9">
        <f>IFERROR(__xludf.DUMMYFUNCTION("""COMPUTED_VALUE"""),245.59)</f>
        <v>245.59</v>
      </c>
      <c r="C614" s="9">
        <f>IFERROR(__xludf.DUMMYFUNCTION("""COMPUTED_VALUE"""),245.59)</f>
        <v>245.59</v>
      </c>
      <c r="D614" s="9">
        <f>IFERROR(__xludf.DUMMYFUNCTION("""COMPUTED_VALUE"""),241.88)</f>
        <v>241.88</v>
      </c>
      <c r="E614" s="9">
        <f>IFERROR(__xludf.DUMMYFUNCTION("""COMPUTED_VALUE"""),243.85)</f>
        <v>243.85</v>
      </c>
      <c r="F614" s="9">
        <f>IFERROR(__xludf.DUMMYFUNCTION("""COMPUTED_VALUE"""),834245.0)</f>
        <v>834245</v>
      </c>
      <c r="H614" s="27">
        <f>IFERROR(__xludf.DUMMYFUNCTION("""COMPUTED_VALUE"""),39255.645833333336)</f>
        <v>39255.64583</v>
      </c>
      <c r="I614" s="25">
        <f>IFERROR(__xludf.DUMMYFUNCTION("""COMPUTED_VALUE"""),286.25)</f>
        <v>286.25</v>
      </c>
      <c r="J614" s="25">
        <f>IFERROR(__xludf.DUMMYFUNCTION("""COMPUTED_VALUE"""),288.75)</f>
        <v>288.75</v>
      </c>
      <c r="K614" s="25">
        <f>IFERROR(__xludf.DUMMYFUNCTION("""COMPUTED_VALUE"""),283.63)</f>
        <v>283.63</v>
      </c>
      <c r="L614" s="25">
        <f>IFERROR(__xludf.DUMMYFUNCTION("""COMPUTED_VALUE"""),284.99)</f>
        <v>284.99</v>
      </c>
      <c r="M614" s="25">
        <f>IFERROR(__xludf.DUMMYFUNCTION("""COMPUTED_VALUE"""),669326.0)</f>
        <v>669326</v>
      </c>
    </row>
    <row r="615">
      <c r="A615" s="26">
        <f>IFERROR(__xludf.DUMMYFUNCTION("""COMPUTED_VALUE"""),39258.645833333336)</f>
        <v>39258.64583</v>
      </c>
      <c r="B615" s="9">
        <f>IFERROR(__xludf.DUMMYFUNCTION("""COMPUTED_VALUE"""),243.85)</f>
        <v>243.85</v>
      </c>
      <c r="C615" s="9">
        <f>IFERROR(__xludf.DUMMYFUNCTION("""COMPUTED_VALUE"""),245.36)</f>
        <v>245.36</v>
      </c>
      <c r="D615" s="9">
        <f>IFERROR(__xludf.DUMMYFUNCTION("""COMPUTED_VALUE"""),239.88)</f>
        <v>239.88</v>
      </c>
      <c r="E615" s="9">
        <f>IFERROR(__xludf.DUMMYFUNCTION("""COMPUTED_VALUE"""),242.08)</f>
        <v>242.08</v>
      </c>
      <c r="F615" s="9">
        <f>IFERROR(__xludf.DUMMYFUNCTION("""COMPUTED_VALUE"""),694669.0)</f>
        <v>694669</v>
      </c>
      <c r="H615" s="27">
        <f>IFERROR(__xludf.DUMMYFUNCTION("""COMPUTED_VALUE"""),39258.645833333336)</f>
        <v>39258.64583</v>
      </c>
      <c r="I615" s="25">
        <f>IFERROR(__xludf.DUMMYFUNCTION("""COMPUTED_VALUE"""),284.99)</f>
        <v>284.99</v>
      </c>
      <c r="J615" s="25">
        <f>IFERROR(__xludf.DUMMYFUNCTION("""COMPUTED_VALUE"""),287.5)</f>
        <v>287.5</v>
      </c>
      <c r="K615" s="25">
        <f>IFERROR(__xludf.DUMMYFUNCTION("""COMPUTED_VALUE"""),279.69)</f>
        <v>279.69</v>
      </c>
      <c r="L615" s="25">
        <f>IFERROR(__xludf.DUMMYFUNCTION("""COMPUTED_VALUE"""),281.44)</f>
        <v>281.44</v>
      </c>
      <c r="M615" s="25">
        <f>IFERROR(__xludf.DUMMYFUNCTION("""COMPUTED_VALUE"""),700944.0)</f>
        <v>700944</v>
      </c>
    </row>
    <row r="616">
      <c r="A616" s="26">
        <f>IFERROR(__xludf.DUMMYFUNCTION("""COMPUTED_VALUE"""),39259.645833333336)</f>
        <v>39259.64583</v>
      </c>
      <c r="B616" s="9">
        <f>IFERROR(__xludf.DUMMYFUNCTION("""COMPUTED_VALUE"""),241.25)</f>
        <v>241.25</v>
      </c>
      <c r="C616" s="9">
        <f>IFERROR(__xludf.DUMMYFUNCTION("""COMPUTED_VALUE"""),243.5)</f>
        <v>243.5</v>
      </c>
      <c r="D616" s="9">
        <f>IFERROR(__xludf.DUMMYFUNCTION("""COMPUTED_VALUE"""),240.0)</f>
        <v>240</v>
      </c>
      <c r="E616" s="9">
        <f>IFERROR(__xludf.DUMMYFUNCTION("""COMPUTED_VALUE"""),240.27)</f>
        <v>240.27</v>
      </c>
      <c r="F616" s="9">
        <f>IFERROR(__xludf.DUMMYFUNCTION("""COMPUTED_VALUE"""),760742.0)</f>
        <v>760742</v>
      </c>
      <c r="H616" s="27">
        <f>IFERROR(__xludf.DUMMYFUNCTION("""COMPUTED_VALUE"""),39259.645833333336)</f>
        <v>39259.64583</v>
      </c>
      <c r="I616" s="25">
        <f>IFERROR(__xludf.DUMMYFUNCTION("""COMPUTED_VALUE"""),282.75)</f>
        <v>282.75</v>
      </c>
      <c r="J616" s="25">
        <f>IFERROR(__xludf.DUMMYFUNCTION("""COMPUTED_VALUE"""),285.0)</f>
        <v>285</v>
      </c>
      <c r="K616" s="25">
        <f>IFERROR(__xludf.DUMMYFUNCTION("""COMPUTED_VALUE"""),279.46)</f>
        <v>279.46</v>
      </c>
      <c r="L616" s="25">
        <f>IFERROR(__xludf.DUMMYFUNCTION("""COMPUTED_VALUE"""),280.44)</f>
        <v>280.44</v>
      </c>
      <c r="M616" s="25">
        <f>IFERROR(__xludf.DUMMYFUNCTION("""COMPUTED_VALUE"""),708186.0)</f>
        <v>708186</v>
      </c>
    </row>
    <row r="617">
      <c r="A617" s="26">
        <f>IFERROR(__xludf.DUMMYFUNCTION("""COMPUTED_VALUE"""),39260.645833333336)</f>
        <v>39260.64583</v>
      </c>
      <c r="B617" s="9">
        <f>IFERROR(__xludf.DUMMYFUNCTION("""COMPUTED_VALUE"""),241.38)</f>
        <v>241.38</v>
      </c>
      <c r="C617" s="9">
        <f>IFERROR(__xludf.DUMMYFUNCTION("""COMPUTED_VALUE"""),243.28)</f>
        <v>243.28</v>
      </c>
      <c r="D617" s="9">
        <f>IFERROR(__xludf.DUMMYFUNCTION("""COMPUTED_VALUE"""),241.0)</f>
        <v>241</v>
      </c>
      <c r="E617" s="9">
        <f>IFERROR(__xludf.DUMMYFUNCTION("""COMPUTED_VALUE"""),241.92)</f>
        <v>241.92</v>
      </c>
      <c r="F617" s="9">
        <f>IFERROR(__xludf.DUMMYFUNCTION("""COMPUTED_VALUE"""),686031.0)</f>
        <v>686031</v>
      </c>
      <c r="H617" s="27">
        <f>IFERROR(__xludf.DUMMYFUNCTION("""COMPUTED_VALUE"""),39260.645833333336)</f>
        <v>39260.64583</v>
      </c>
      <c r="I617" s="25">
        <f>IFERROR(__xludf.DUMMYFUNCTION("""COMPUTED_VALUE"""),282.48)</f>
        <v>282.48</v>
      </c>
      <c r="J617" s="25">
        <f>IFERROR(__xludf.DUMMYFUNCTION("""COMPUTED_VALUE"""),284.68)</f>
        <v>284.68</v>
      </c>
      <c r="K617" s="25">
        <f>IFERROR(__xludf.DUMMYFUNCTION("""COMPUTED_VALUE"""),281.0)</f>
        <v>281</v>
      </c>
      <c r="L617" s="25">
        <f>IFERROR(__xludf.DUMMYFUNCTION("""COMPUTED_VALUE"""),283.29)</f>
        <v>283.29</v>
      </c>
      <c r="M617" s="25">
        <f>IFERROR(__xludf.DUMMYFUNCTION("""COMPUTED_VALUE"""),739174.0)</f>
        <v>739174</v>
      </c>
    </row>
    <row r="618">
      <c r="A618" s="26">
        <f>IFERROR(__xludf.DUMMYFUNCTION("""COMPUTED_VALUE"""),39261.645833333336)</f>
        <v>39261.64583</v>
      </c>
      <c r="B618" s="9">
        <f>IFERROR(__xludf.DUMMYFUNCTION("""COMPUTED_VALUE"""),242.5)</f>
        <v>242.5</v>
      </c>
      <c r="C618" s="9">
        <f>IFERROR(__xludf.DUMMYFUNCTION("""COMPUTED_VALUE"""),243.45)</f>
        <v>243.45</v>
      </c>
      <c r="D618" s="9">
        <f>IFERROR(__xludf.DUMMYFUNCTION("""COMPUTED_VALUE"""),239.14)</f>
        <v>239.14</v>
      </c>
      <c r="E618" s="9">
        <f>IFERROR(__xludf.DUMMYFUNCTION("""COMPUTED_VALUE"""),240.63)</f>
        <v>240.63</v>
      </c>
      <c r="F618" s="9">
        <f>IFERROR(__xludf.DUMMYFUNCTION("""COMPUTED_VALUE"""),1049904.0)</f>
        <v>1049904</v>
      </c>
      <c r="H618" s="27">
        <f>IFERROR(__xludf.DUMMYFUNCTION("""COMPUTED_VALUE"""),39261.645833333336)</f>
        <v>39261.64583</v>
      </c>
      <c r="I618" s="25">
        <f>IFERROR(__xludf.DUMMYFUNCTION("""COMPUTED_VALUE"""),285.99)</f>
        <v>285.99</v>
      </c>
      <c r="J618" s="25">
        <f>IFERROR(__xludf.DUMMYFUNCTION("""COMPUTED_VALUE"""),285.99)</f>
        <v>285.99</v>
      </c>
      <c r="K618" s="25">
        <f>IFERROR(__xludf.DUMMYFUNCTION("""COMPUTED_VALUE"""),281.25)</f>
        <v>281.25</v>
      </c>
      <c r="L618" s="25">
        <f>IFERROR(__xludf.DUMMYFUNCTION("""COMPUTED_VALUE"""),284.21)</f>
        <v>284.21</v>
      </c>
      <c r="M618" s="25">
        <f>IFERROR(__xludf.DUMMYFUNCTION("""COMPUTED_VALUE"""),1085698.0)</f>
        <v>1085698</v>
      </c>
    </row>
    <row r="619">
      <c r="A619" s="26">
        <f>IFERROR(__xludf.DUMMYFUNCTION("""COMPUTED_VALUE"""),39262.645833333336)</f>
        <v>39262.64583</v>
      </c>
      <c r="B619" s="9">
        <f>IFERROR(__xludf.DUMMYFUNCTION("""COMPUTED_VALUE"""),243.75)</f>
        <v>243.75</v>
      </c>
      <c r="C619" s="9">
        <f>IFERROR(__xludf.DUMMYFUNCTION("""COMPUTED_VALUE"""),246.25)</f>
        <v>246.25</v>
      </c>
      <c r="D619" s="9">
        <f>IFERROR(__xludf.DUMMYFUNCTION("""COMPUTED_VALUE"""),240.0)</f>
        <v>240</v>
      </c>
      <c r="E619" s="9">
        <f>IFERROR(__xludf.DUMMYFUNCTION("""COMPUTED_VALUE"""),241.13)</f>
        <v>241.13</v>
      </c>
      <c r="F619" s="9">
        <f>IFERROR(__xludf.DUMMYFUNCTION("""COMPUTED_VALUE"""),1722066.0)</f>
        <v>1722066</v>
      </c>
      <c r="H619" s="27">
        <f>IFERROR(__xludf.DUMMYFUNCTION("""COMPUTED_VALUE"""),39262.645833333336)</f>
        <v>39262.64583</v>
      </c>
      <c r="I619" s="25">
        <f>IFERROR(__xludf.DUMMYFUNCTION("""COMPUTED_VALUE"""),285.25)</f>
        <v>285.25</v>
      </c>
      <c r="J619" s="25">
        <f>IFERROR(__xludf.DUMMYFUNCTION("""COMPUTED_VALUE"""),289.0)</f>
        <v>289</v>
      </c>
      <c r="K619" s="25">
        <f>IFERROR(__xludf.DUMMYFUNCTION("""COMPUTED_VALUE"""),285.01)</f>
        <v>285.01</v>
      </c>
      <c r="L619" s="25">
        <f>IFERROR(__xludf.DUMMYFUNCTION("""COMPUTED_VALUE"""),287.34)</f>
        <v>287.34</v>
      </c>
      <c r="M619" s="25">
        <f>IFERROR(__xludf.DUMMYFUNCTION("""COMPUTED_VALUE"""),751114.0)</f>
        <v>751114</v>
      </c>
    </row>
    <row r="620">
      <c r="A620" s="26">
        <f>IFERROR(__xludf.DUMMYFUNCTION("""COMPUTED_VALUE"""),39265.645833333336)</f>
        <v>39265.64583</v>
      </c>
      <c r="B620" s="9">
        <f>IFERROR(__xludf.DUMMYFUNCTION("""COMPUTED_VALUE"""),243.0)</f>
        <v>243</v>
      </c>
      <c r="C620" s="9">
        <f>IFERROR(__xludf.DUMMYFUNCTION("""COMPUTED_VALUE"""),244.36)</f>
        <v>244.36</v>
      </c>
      <c r="D620" s="9">
        <f>IFERROR(__xludf.DUMMYFUNCTION("""COMPUTED_VALUE"""),241.13)</f>
        <v>241.13</v>
      </c>
      <c r="E620" s="9">
        <f>IFERROR(__xludf.DUMMYFUNCTION("""COMPUTED_VALUE"""),242.98)</f>
        <v>242.98</v>
      </c>
      <c r="F620" s="9">
        <f>IFERROR(__xludf.DUMMYFUNCTION("""COMPUTED_VALUE"""),1148721.0)</f>
        <v>1148721</v>
      </c>
      <c r="H620" s="27">
        <f>IFERROR(__xludf.DUMMYFUNCTION("""COMPUTED_VALUE"""),39265.645833333336)</f>
        <v>39265.64583</v>
      </c>
      <c r="I620" s="25">
        <f>IFERROR(__xludf.DUMMYFUNCTION("""COMPUTED_VALUE"""),288.25)</f>
        <v>288.25</v>
      </c>
      <c r="J620" s="25">
        <f>IFERROR(__xludf.DUMMYFUNCTION("""COMPUTED_VALUE"""),288.25)</f>
        <v>288.25</v>
      </c>
      <c r="K620" s="25">
        <f>IFERROR(__xludf.DUMMYFUNCTION("""COMPUTED_VALUE"""),282.75)</f>
        <v>282.75</v>
      </c>
      <c r="L620" s="25">
        <f>IFERROR(__xludf.DUMMYFUNCTION("""COMPUTED_VALUE"""),283.61)</f>
        <v>283.61</v>
      </c>
      <c r="M620" s="25">
        <f>IFERROR(__xludf.DUMMYFUNCTION("""COMPUTED_VALUE"""),369288.0)</f>
        <v>369288</v>
      </c>
    </row>
    <row r="621">
      <c r="A621" s="26">
        <f>IFERROR(__xludf.DUMMYFUNCTION("""COMPUTED_VALUE"""),39266.645833333336)</f>
        <v>39266.64583</v>
      </c>
      <c r="B621" s="9">
        <f>IFERROR(__xludf.DUMMYFUNCTION("""COMPUTED_VALUE"""),243.75)</f>
        <v>243.75</v>
      </c>
      <c r="C621" s="9">
        <f>IFERROR(__xludf.DUMMYFUNCTION("""COMPUTED_VALUE"""),244.13)</f>
        <v>244.13</v>
      </c>
      <c r="D621" s="9">
        <f>IFERROR(__xludf.DUMMYFUNCTION("""COMPUTED_VALUE"""),241.91)</f>
        <v>241.91</v>
      </c>
      <c r="E621" s="9">
        <f>IFERROR(__xludf.DUMMYFUNCTION("""COMPUTED_VALUE"""),243.43)</f>
        <v>243.43</v>
      </c>
      <c r="F621" s="9">
        <f>IFERROR(__xludf.DUMMYFUNCTION("""COMPUTED_VALUE"""),704245.0)</f>
        <v>704245</v>
      </c>
      <c r="H621" s="27">
        <f>IFERROR(__xludf.DUMMYFUNCTION("""COMPUTED_VALUE"""),39266.645833333336)</f>
        <v>39266.64583</v>
      </c>
      <c r="I621" s="25">
        <f>IFERROR(__xludf.DUMMYFUNCTION("""COMPUTED_VALUE"""),287.5)</f>
        <v>287.5</v>
      </c>
      <c r="J621" s="25">
        <f>IFERROR(__xludf.DUMMYFUNCTION("""COMPUTED_VALUE"""),287.5)</f>
        <v>287.5</v>
      </c>
      <c r="K621" s="25">
        <f>IFERROR(__xludf.DUMMYFUNCTION("""COMPUTED_VALUE"""),281.0)</f>
        <v>281</v>
      </c>
      <c r="L621" s="25">
        <f>IFERROR(__xludf.DUMMYFUNCTION("""COMPUTED_VALUE"""),281.9)</f>
        <v>281.9</v>
      </c>
      <c r="M621" s="25">
        <f>IFERROR(__xludf.DUMMYFUNCTION("""COMPUTED_VALUE"""),457342.0)</f>
        <v>457342</v>
      </c>
    </row>
    <row r="622">
      <c r="A622" s="26">
        <f>IFERROR(__xludf.DUMMYFUNCTION("""COMPUTED_VALUE"""),39267.645833333336)</f>
        <v>39267.64583</v>
      </c>
      <c r="B622" s="9">
        <f>IFERROR(__xludf.DUMMYFUNCTION("""COMPUTED_VALUE"""),245.13)</f>
        <v>245.13</v>
      </c>
      <c r="C622" s="9">
        <f>IFERROR(__xludf.DUMMYFUNCTION("""COMPUTED_VALUE"""),245.13)</f>
        <v>245.13</v>
      </c>
      <c r="D622" s="9">
        <f>IFERROR(__xludf.DUMMYFUNCTION("""COMPUTED_VALUE"""),240.25)</f>
        <v>240.25</v>
      </c>
      <c r="E622" s="9">
        <f>IFERROR(__xludf.DUMMYFUNCTION("""COMPUTED_VALUE"""),241.38)</f>
        <v>241.38</v>
      </c>
      <c r="F622" s="9">
        <f>IFERROR(__xludf.DUMMYFUNCTION("""COMPUTED_VALUE"""),729810.0)</f>
        <v>729810</v>
      </c>
      <c r="H622" s="27">
        <f>IFERROR(__xludf.DUMMYFUNCTION("""COMPUTED_VALUE"""),39267.645833333336)</f>
        <v>39267.64583</v>
      </c>
      <c r="I622" s="25">
        <f>IFERROR(__xludf.DUMMYFUNCTION("""COMPUTED_VALUE"""),282.0)</f>
        <v>282</v>
      </c>
      <c r="J622" s="25">
        <f>IFERROR(__xludf.DUMMYFUNCTION("""COMPUTED_VALUE"""),285.0)</f>
        <v>285</v>
      </c>
      <c r="K622" s="25">
        <f>IFERROR(__xludf.DUMMYFUNCTION("""COMPUTED_VALUE"""),279.0)</f>
        <v>279</v>
      </c>
      <c r="L622" s="25">
        <f>IFERROR(__xludf.DUMMYFUNCTION("""COMPUTED_VALUE"""),279.41)</f>
        <v>279.41</v>
      </c>
      <c r="M622" s="25">
        <f>IFERROR(__xludf.DUMMYFUNCTION("""COMPUTED_VALUE"""),603866.0)</f>
        <v>603866</v>
      </c>
    </row>
    <row r="623">
      <c r="A623" s="26">
        <f>IFERROR(__xludf.DUMMYFUNCTION("""COMPUTED_VALUE"""),39268.645833333336)</f>
        <v>39268.64583</v>
      </c>
      <c r="B623" s="9">
        <f>IFERROR(__xludf.DUMMYFUNCTION("""COMPUTED_VALUE"""),241.39)</f>
        <v>241.39</v>
      </c>
      <c r="C623" s="9">
        <f>IFERROR(__xludf.DUMMYFUNCTION("""COMPUTED_VALUE"""),242.5)</f>
        <v>242.5</v>
      </c>
      <c r="D623" s="9">
        <f>IFERROR(__xludf.DUMMYFUNCTION("""COMPUTED_VALUE"""),238.75)</f>
        <v>238.75</v>
      </c>
      <c r="E623" s="9">
        <f>IFERROR(__xludf.DUMMYFUNCTION("""COMPUTED_VALUE"""),239.6)</f>
        <v>239.6</v>
      </c>
      <c r="F623" s="9">
        <f>IFERROR(__xludf.DUMMYFUNCTION("""COMPUTED_VALUE"""),959238.0)</f>
        <v>959238</v>
      </c>
      <c r="H623" s="27">
        <f>IFERROR(__xludf.DUMMYFUNCTION("""COMPUTED_VALUE"""),39268.645833333336)</f>
        <v>39268.64583</v>
      </c>
      <c r="I623" s="25">
        <f>IFERROR(__xludf.DUMMYFUNCTION("""COMPUTED_VALUE"""),282.05)</f>
        <v>282.05</v>
      </c>
      <c r="J623" s="25">
        <f>IFERROR(__xludf.DUMMYFUNCTION("""COMPUTED_VALUE"""),282.05)</f>
        <v>282.05</v>
      </c>
      <c r="K623" s="25">
        <f>IFERROR(__xludf.DUMMYFUNCTION("""COMPUTED_VALUE"""),275.2)</f>
        <v>275.2</v>
      </c>
      <c r="L623" s="25">
        <f>IFERROR(__xludf.DUMMYFUNCTION("""COMPUTED_VALUE"""),277.91)</f>
        <v>277.91</v>
      </c>
      <c r="M623" s="25">
        <f>IFERROR(__xludf.DUMMYFUNCTION("""COMPUTED_VALUE"""),794801.0)</f>
        <v>794801</v>
      </c>
    </row>
    <row r="624">
      <c r="A624" s="26">
        <f>IFERROR(__xludf.DUMMYFUNCTION("""COMPUTED_VALUE"""),39269.645833333336)</f>
        <v>39269.64583</v>
      </c>
      <c r="B624" s="9">
        <f>IFERROR(__xludf.DUMMYFUNCTION("""COMPUTED_VALUE"""),230.84)</f>
        <v>230.84</v>
      </c>
      <c r="C624" s="9">
        <f>IFERROR(__xludf.DUMMYFUNCTION("""COMPUTED_VALUE"""),247.09)</f>
        <v>247.09</v>
      </c>
      <c r="D624" s="9">
        <f>IFERROR(__xludf.DUMMYFUNCTION("""COMPUTED_VALUE"""),230.84)</f>
        <v>230.84</v>
      </c>
      <c r="E624" s="9">
        <f>IFERROR(__xludf.DUMMYFUNCTION("""COMPUTED_VALUE"""),246.48)</f>
        <v>246.48</v>
      </c>
      <c r="F624" s="9">
        <f>IFERROR(__xludf.DUMMYFUNCTION("""COMPUTED_VALUE"""),2191955.0)</f>
        <v>2191955</v>
      </c>
      <c r="H624" s="27">
        <f>IFERROR(__xludf.DUMMYFUNCTION("""COMPUTED_VALUE"""),39269.645833333336)</f>
        <v>39269.64583</v>
      </c>
      <c r="I624" s="25">
        <f>IFERROR(__xludf.DUMMYFUNCTION("""COMPUTED_VALUE"""),278.75)</f>
        <v>278.75</v>
      </c>
      <c r="J624" s="25">
        <f>IFERROR(__xludf.DUMMYFUNCTION("""COMPUTED_VALUE"""),291.23)</f>
        <v>291.23</v>
      </c>
      <c r="K624" s="25">
        <f>IFERROR(__xludf.DUMMYFUNCTION("""COMPUTED_VALUE"""),275.02)</f>
        <v>275.02</v>
      </c>
      <c r="L624" s="25">
        <f>IFERROR(__xludf.DUMMYFUNCTION("""COMPUTED_VALUE"""),289.66)</f>
        <v>289.66</v>
      </c>
      <c r="M624" s="25">
        <f>IFERROR(__xludf.DUMMYFUNCTION("""COMPUTED_VALUE"""),1901421.0)</f>
        <v>1901421</v>
      </c>
    </row>
    <row r="625">
      <c r="A625" s="26">
        <f>IFERROR(__xludf.DUMMYFUNCTION("""COMPUTED_VALUE"""),39272.645833333336)</f>
        <v>39272.64583</v>
      </c>
      <c r="B625" s="9">
        <f>IFERROR(__xludf.DUMMYFUNCTION("""COMPUTED_VALUE"""),248.63)</f>
        <v>248.63</v>
      </c>
      <c r="C625" s="9">
        <f>IFERROR(__xludf.DUMMYFUNCTION("""COMPUTED_VALUE"""),251.18)</f>
        <v>251.18</v>
      </c>
      <c r="D625" s="9">
        <f>IFERROR(__xludf.DUMMYFUNCTION("""COMPUTED_VALUE"""),248.29)</f>
        <v>248.29</v>
      </c>
      <c r="E625" s="9">
        <f>IFERROR(__xludf.DUMMYFUNCTION("""COMPUTED_VALUE"""),249.22)</f>
        <v>249.22</v>
      </c>
      <c r="F625" s="9">
        <f>IFERROR(__xludf.DUMMYFUNCTION("""COMPUTED_VALUE"""),1805543.0)</f>
        <v>1805543</v>
      </c>
      <c r="H625" s="27">
        <f>IFERROR(__xludf.DUMMYFUNCTION("""COMPUTED_VALUE"""),39272.645833333336)</f>
        <v>39272.64583</v>
      </c>
      <c r="I625" s="25">
        <f>IFERROR(__xludf.DUMMYFUNCTION("""COMPUTED_VALUE"""),292.1)</f>
        <v>292.1</v>
      </c>
      <c r="J625" s="25">
        <f>IFERROR(__xludf.DUMMYFUNCTION("""COMPUTED_VALUE"""),295.6)</f>
        <v>295.6</v>
      </c>
      <c r="K625" s="25">
        <f>IFERROR(__xludf.DUMMYFUNCTION("""COMPUTED_VALUE"""),291.25)</f>
        <v>291.25</v>
      </c>
      <c r="L625" s="25">
        <f>IFERROR(__xludf.DUMMYFUNCTION("""COMPUTED_VALUE"""),294.19)</f>
        <v>294.19</v>
      </c>
      <c r="M625" s="25">
        <f>IFERROR(__xludf.DUMMYFUNCTION("""COMPUTED_VALUE"""),1339942.0)</f>
        <v>1339942</v>
      </c>
    </row>
    <row r="626">
      <c r="A626" s="26">
        <f>IFERROR(__xludf.DUMMYFUNCTION("""COMPUTED_VALUE"""),39273.645833333336)</f>
        <v>39273.64583</v>
      </c>
      <c r="B626" s="9">
        <f>IFERROR(__xludf.DUMMYFUNCTION("""COMPUTED_VALUE"""),249.38)</f>
        <v>249.38</v>
      </c>
      <c r="C626" s="9">
        <f>IFERROR(__xludf.DUMMYFUNCTION("""COMPUTED_VALUE"""),255.24)</f>
        <v>255.24</v>
      </c>
      <c r="D626" s="9">
        <f>IFERROR(__xludf.DUMMYFUNCTION("""COMPUTED_VALUE"""),249.38)</f>
        <v>249.38</v>
      </c>
      <c r="E626" s="9">
        <f>IFERROR(__xludf.DUMMYFUNCTION("""COMPUTED_VALUE"""),252.56)</f>
        <v>252.56</v>
      </c>
      <c r="F626" s="9">
        <f>IFERROR(__xludf.DUMMYFUNCTION("""COMPUTED_VALUE"""),2184938.0)</f>
        <v>2184938</v>
      </c>
      <c r="H626" s="27">
        <f>IFERROR(__xludf.DUMMYFUNCTION("""COMPUTED_VALUE"""),39273.645833333336)</f>
        <v>39273.64583</v>
      </c>
      <c r="I626" s="25">
        <f>IFERROR(__xludf.DUMMYFUNCTION("""COMPUTED_VALUE"""),296.25)</f>
        <v>296.25</v>
      </c>
      <c r="J626" s="25">
        <f>IFERROR(__xludf.DUMMYFUNCTION("""COMPUTED_VALUE"""),300.0)</f>
        <v>300</v>
      </c>
      <c r="K626" s="25">
        <f>IFERROR(__xludf.DUMMYFUNCTION("""COMPUTED_VALUE"""),292.0)</f>
        <v>292</v>
      </c>
      <c r="L626" s="25">
        <f>IFERROR(__xludf.DUMMYFUNCTION("""COMPUTED_VALUE"""),295.79)</f>
        <v>295.79</v>
      </c>
      <c r="M626" s="25">
        <f>IFERROR(__xludf.DUMMYFUNCTION("""COMPUTED_VALUE"""),1873242.0)</f>
        <v>1873242</v>
      </c>
    </row>
    <row r="627">
      <c r="A627" s="26">
        <f>IFERROR(__xludf.DUMMYFUNCTION("""COMPUTED_VALUE"""),39274.645833333336)</f>
        <v>39274.64583</v>
      </c>
      <c r="B627" s="9">
        <f>IFERROR(__xludf.DUMMYFUNCTION("""COMPUTED_VALUE"""),250.0)</f>
        <v>250</v>
      </c>
      <c r="C627" s="9">
        <f>IFERROR(__xludf.DUMMYFUNCTION("""COMPUTED_VALUE"""),250.0)</f>
        <v>250</v>
      </c>
      <c r="D627" s="9">
        <f>IFERROR(__xludf.DUMMYFUNCTION("""COMPUTED_VALUE"""),240.63)</f>
        <v>240.63</v>
      </c>
      <c r="E627" s="9">
        <f>IFERROR(__xludf.DUMMYFUNCTION("""COMPUTED_VALUE"""),241.21)</f>
        <v>241.21</v>
      </c>
      <c r="F627" s="9">
        <f>IFERROR(__xludf.DUMMYFUNCTION("""COMPUTED_VALUE"""),4702736.0)</f>
        <v>4702736</v>
      </c>
      <c r="H627" s="27">
        <f>IFERROR(__xludf.DUMMYFUNCTION("""COMPUTED_VALUE"""),39274.645833333336)</f>
        <v>39274.64583</v>
      </c>
      <c r="I627" s="25">
        <f>IFERROR(__xludf.DUMMYFUNCTION("""COMPUTED_VALUE"""),295.5)</f>
        <v>295.5</v>
      </c>
      <c r="J627" s="25">
        <f>IFERROR(__xludf.DUMMYFUNCTION("""COMPUTED_VALUE"""),296.25)</f>
        <v>296.25</v>
      </c>
      <c r="K627" s="25">
        <f>IFERROR(__xludf.DUMMYFUNCTION("""COMPUTED_VALUE"""),275.0)</f>
        <v>275</v>
      </c>
      <c r="L627" s="25">
        <f>IFERROR(__xludf.DUMMYFUNCTION("""COMPUTED_VALUE"""),287.23)</f>
        <v>287.23</v>
      </c>
      <c r="M627" s="25">
        <f>IFERROR(__xludf.DUMMYFUNCTION("""COMPUTED_VALUE"""),1515531.0)</f>
        <v>1515531</v>
      </c>
    </row>
    <row r="628">
      <c r="A628" s="26">
        <f>IFERROR(__xludf.DUMMYFUNCTION("""COMPUTED_VALUE"""),39275.645833333336)</f>
        <v>39275.64583</v>
      </c>
      <c r="B628" s="9">
        <f>IFERROR(__xludf.DUMMYFUNCTION("""COMPUTED_VALUE"""),243.75)</f>
        <v>243.75</v>
      </c>
      <c r="C628" s="9">
        <f>IFERROR(__xludf.DUMMYFUNCTION("""COMPUTED_VALUE"""),244.96)</f>
        <v>244.96</v>
      </c>
      <c r="D628" s="9">
        <f>IFERROR(__xludf.DUMMYFUNCTION("""COMPUTED_VALUE"""),239.38)</f>
        <v>239.38</v>
      </c>
      <c r="E628" s="9">
        <f>IFERROR(__xludf.DUMMYFUNCTION("""COMPUTED_VALUE"""),240.28)</f>
        <v>240.28</v>
      </c>
      <c r="F628" s="9">
        <f>IFERROR(__xludf.DUMMYFUNCTION("""COMPUTED_VALUE"""),3903578.0)</f>
        <v>3903578</v>
      </c>
      <c r="H628" s="27">
        <f>IFERROR(__xludf.DUMMYFUNCTION("""COMPUTED_VALUE"""),39275.645833333336)</f>
        <v>39275.64583</v>
      </c>
      <c r="I628" s="25">
        <f>IFERROR(__xludf.DUMMYFUNCTION("""COMPUTED_VALUE"""),288.75)</f>
        <v>288.75</v>
      </c>
      <c r="J628" s="25">
        <f>IFERROR(__xludf.DUMMYFUNCTION("""COMPUTED_VALUE"""),292.25)</f>
        <v>292.25</v>
      </c>
      <c r="K628" s="25">
        <f>IFERROR(__xludf.DUMMYFUNCTION("""COMPUTED_VALUE"""),283.5)</f>
        <v>283.5</v>
      </c>
      <c r="L628" s="25">
        <f>IFERROR(__xludf.DUMMYFUNCTION("""COMPUTED_VALUE"""),290.64)</f>
        <v>290.64</v>
      </c>
      <c r="M628" s="25">
        <f>IFERROR(__xludf.DUMMYFUNCTION("""COMPUTED_VALUE"""),1440986.0)</f>
        <v>1440986</v>
      </c>
    </row>
    <row r="629">
      <c r="A629" s="26">
        <f>IFERROR(__xludf.DUMMYFUNCTION("""COMPUTED_VALUE"""),39276.645833333336)</f>
        <v>39276.64583</v>
      </c>
      <c r="B629" s="9">
        <f>IFERROR(__xludf.DUMMYFUNCTION("""COMPUTED_VALUE"""),241.52)</f>
        <v>241.52</v>
      </c>
      <c r="C629" s="9">
        <f>IFERROR(__xludf.DUMMYFUNCTION("""COMPUTED_VALUE"""),244.8)</f>
        <v>244.8</v>
      </c>
      <c r="D629" s="9">
        <f>IFERROR(__xludf.DUMMYFUNCTION("""COMPUTED_VALUE"""),240.26)</f>
        <v>240.26</v>
      </c>
      <c r="E629" s="9">
        <f>IFERROR(__xludf.DUMMYFUNCTION("""COMPUTED_VALUE"""),242.48)</f>
        <v>242.48</v>
      </c>
      <c r="F629" s="9">
        <f>IFERROR(__xludf.DUMMYFUNCTION("""COMPUTED_VALUE"""),3367793.0)</f>
        <v>3367793</v>
      </c>
      <c r="H629" s="27">
        <f>IFERROR(__xludf.DUMMYFUNCTION("""COMPUTED_VALUE"""),39276.645833333336)</f>
        <v>39276.64583</v>
      </c>
      <c r="I629" s="25">
        <f>IFERROR(__xludf.DUMMYFUNCTION("""COMPUTED_VALUE"""),309.02)</f>
        <v>309.02</v>
      </c>
      <c r="J629" s="25">
        <f>IFERROR(__xludf.DUMMYFUNCTION("""COMPUTED_VALUE"""),315.38)</f>
        <v>315.38</v>
      </c>
      <c r="K629" s="25">
        <f>IFERROR(__xludf.DUMMYFUNCTION("""COMPUTED_VALUE"""),282.56)</f>
        <v>282.56</v>
      </c>
      <c r="L629" s="25">
        <f>IFERROR(__xludf.DUMMYFUNCTION("""COMPUTED_VALUE"""),284.0)</f>
        <v>284</v>
      </c>
      <c r="M629" s="25">
        <f>IFERROR(__xludf.DUMMYFUNCTION("""COMPUTED_VALUE"""),1446162.0)</f>
        <v>1446162</v>
      </c>
    </row>
    <row r="630">
      <c r="A630" s="26">
        <f>IFERROR(__xludf.DUMMYFUNCTION("""COMPUTED_VALUE"""),39279.645833333336)</f>
        <v>39279.64583</v>
      </c>
      <c r="B630" s="9">
        <f>IFERROR(__xludf.DUMMYFUNCTION("""COMPUTED_VALUE"""),243.13)</f>
        <v>243.13</v>
      </c>
      <c r="C630" s="9">
        <f>IFERROR(__xludf.DUMMYFUNCTION("""COMPUTED_VALUE"""),244.38)</f>
        <v>244.38</v>
      </c>
      <c r="D630" s="9">
        <f>IFERROR(__xludf.DUMMYFUNCTION("""COMPUTED_VALUE"""),241.0)</f>
        <v>241</v>
      </c>
      <c r="E630" s="9">
        <f>IFERROR(__xludf.DUMMYFUNCTION("""COMPUTED_VALUE"""),241.98)</f>
        <v>241.98</v>
      </c>
      <c r="F630" s="9">
        <f>IFERROR(__xludf.DUMMYFUNCTION("""COMPUTED_VALUE"""),1709987.0)</f>
        <v>1709987</v>
      </c>
      <c r="H630" s="27">
        <f>IFERROR(__xludf.DUMMYFUNCTION("""COMPUTED_VALUE"""),39279.645833333336)</f>
        <v>39279.64583</v>
      </c>
      <c r="I630" s="25">
        <f>IFERROR(__xludf.DUMMYFUNCTION("""COMPUTED_VALUE"""),283.75)</f>
        <v>283.75</v>
      </c>
      <c r="J630" s="25">
        <f>IFERROR(__xludf.DUMMYFUNCTION("""COMPUTED_VALUE"""),284.5)</f>
        <v>284.5</v>
      </c>
      <c r="K630" s="25">
        <f>IFERROR(__xludf.DUMMYFUNCTION("""COMPUTED_VALUE"""),278.5)</f>
        <v>278.5</v>
      </c>
      <c r="L630" s="25">
        <f>IFERROR(__xludf.DUMMYFUNCTION("""COMPUTED_VALUE"""),282.08)</f>
        <v>282.08</v>
      </c>
      <c r="M630" s="25">
        <f>IFERROR(__xludf.DUMMYFUNCTION("""COMPUTED_VALUE"""),997560.0)</f>
        <v>997560</v>
      </c>
    </row>
    <row r="631">
      <c r="A631" s="26">
        <f>IFERROR(__xludf.DUMMYFUNCTION("""COMPUTED_VALUE"""),39280.645833333336)</f>
        <v>39280.64583</v>
      </c>
      <c r="B631" s="9">
        <f>IFERROR(__xludf.DUMMYFUNCTION("""COMPUTED_VALUE"""),242.5)</f>
        <v>242.5</v>
      </c>
      <c r="C631" s="9">
        <f>IFERROR(__xludf.DUMMYFUNCTION("""COMPUTED_VALUE"""),244.84)</f>
        <v>244.84</v>
      </c>
      <c r="D631" s="9">
        <f>IFERROR(__xludf.DUMMYFUNCTION("""COMPUTED_VALUE"""),241.75)</f>
        <v>241.75</v>
      </c>
      <c r="E631" s="9">
        <f>IFERROR(__xludf.DUMMYFUNCTION("""COMPUTED_VALUE"""),242.32)</f>
        <v>242.32</v>
      </c>
      <c r="F631" s="9">
        <f>IFERROR(__xludf.DUMMYFUNCTION("""COMPUTED_VALUE"""),1106782.0)</f>
        <v>1106782</v>
      </c>
      <c r="H631" s="27">
        <f>IFERROR(__xludf.DUMMYFUNCTION("""COMPUTED_VALUE"""),39280.645833333336)</f>
        <v>39280.64583</v>
      </c>
      <c r="I631" s="25">
        <f>IFERROR(__xludf.DUMMYFUNCTION("""COMPUTED_VALUE"""),293.95)</f>
        <v>293.95</v>
      </c>
      <c r="J631" s="25">
        <f>IFERROR(__xludf.DUMMYFUNCTION("""COMPUTED_VALUE"""),293.95)</f>
        <v>293.95</v>
      </c>
      <c r="K631" s="25">
        <f>IFERROR(__xludf.DUMMYFUNCTION("""COMPUTED_VALUE"""),287.5)</f>
        <v>287.5</v>
      </c>
      <c r="L631" s="25">
        <f>IFERROR(__xludf.DUMMYFUNCTION("""COMPUTED_VALUE"""),288.94)</f>
        <v>288.94</v>
      </c>
      <c r="M631" s="25">
        <f>IFERROR(__xludf.DUMMYFUNCTION("""COMPUTED_VALUE"""),1541172.0)</f>
        <v>1541172</v>
      </c>
    </row>
    <row r="632">
      <c r="A632" s="26">
        <f>IFERROR(__xludf.DUMMYFUNCTION("""COMPUTED_VALUE"""),39281.645833333336)</f>
        <v>39281.64583</v>
      </c>
      <c r="B632" s="9">
        <f>IFERROR(__xludf.DUMMYFUNCTION("""COMPUTED_VALUE"""),242.64)</f>
        <v>242.64</v>
      </c>
      <c r="C632" s="9">
        <f>IFERROR(__xludf.DUMMYFUNCTION("""COMPUTED_VALUE"""),244.31)</f>
        <v>244.31</v>
      </c>
      <c r="D632" s="9">
        <f>IFERROR(__xludf.DUMMYFUNCTION("""COMPUTED_VALUE"""),241.9)</f>
        <v>241.9</v>
      </c>
      <c r="E632" s="9">
        <f>IFERROR(__xludf.DUMMYFUNCTION("""COMPUTED_VALUE"""),243.07)</f>
        <v>243.07</v>
      </c>
      <c r="F632" s="9">
        <f>IFERROR(__xludf.DUMMYFUNCTION("""COMPUTED_VALUE"""),846528.0)</f>
        <v>846528</v>
      </c>
      <c r="H632" s="27">
        <f>IFERROR(__xludf.DUMMYFUNCTION("""COMPUTED_VALUE"""),39281.645833333336)</f>
        <v>39281.64583</v>
      </c>
      <c r="I632" s="25">
        <f>IFERROR(__xludf.DUMMYFUNCTION("""COMPUTED_VALUE"""),289.25)</f>
        <v>289.25</v>
      </c>
      <c r="J632" s="25">
        <f>IFERROR(__xludf.DUMMYFUNCTION("""COMPUTED_VALUE"""),292.5)</f>
        <v>292.5</v>
      </c>
      <c r="K632" s="25">
        <f>IFERROR(__xludf.DUMMYFUNCTION("""COMPUTED_VALUE"""),286.84)</f>
        <v>286.84</v>
      </c>
      <c r="L632" s="25">
        <f>IFERROR(__xludf.DUMMYFUNCTION("""COMPUTED_VALUE"""),291.66)</f>
        <v>291.66</v>
      </c>
      <c r="M632" s="25">
        <f>IFERROR(__xludf.DUMMYFUNCTION("""COMPUTED_VALUE"""),1092795.0)</f>
        <v>1092795</v>
      </c>
    </row>
    <row r="633">
      <c r="A633" s="26">
        <f>IFERROR(__xludf.DUMMYFUNCTION("""COMPUTED_VALUE"""),39282.645833333336)</f>
        <v>39282.64583</v>
      </c>
      <c r="B633" s="9">
        <f>IFERROR(__xludf.DUMMYFUNCTION("""COMPUTED_VALUE"""),243.5)</f>
        <v>243.5</v>
      </c>
      <c r="C633" s="9">
        <f>IFERROR(__xludf.DUMMYFUNCTION("""COMPUTED_VALUE"""),250.0)</f>
        <v>250</v>
      </c>
      <c r="D633" s="9">
        <f>IFERROR(__xludf.DUMMYFUNCTION("""COMPUTED_VALUE"""),243.25)</f>
        <v>243.25</v>
      </c>
      <c r="E633" s="9">
        <f>IFERROR(__xludf.DUMMYFUNCTION("""COMPUTED_VALUE"""),249.56)</f>
        <v>249.56</v>
      </c>
      <c r="F633" s="9">
        <f>IFERROR(__xludf.DUMMYFUNCTION("""COMPUTED_VALUE"""),2084644.0)</f>
        <v>2084644</v>
      </c>
      <c r="H633" s="27">
        <f>IFERROR(__xludf.DUMMYFUNCTION("""COMPUTED_VALUE"""),39282.645833333336)</f>
        <v>39282.64583</v>
      </c>
      <c r="I633" s="25">
        <f>IFERROR(__xludf.DUMMYFUNCTION("""COMPUTED_VALUE"""),291.75)</f>
        <v>291.75</v>
      </c>
      <c r="J633" s="25">
        <f>IFERROR(__xludf.DUMMYFUNCTION("""COMPUTED_VALUE"""),296.25)</f>
        <v>296.25</v>
      </c>
      <c r="K633" s="25">
        <f>IFERROR(__xludf.DUMMYFUNCTION("""COMPUTED_VALUE"""),291.38)</f>
        <v>291.38</v>
      </c>
      <c r="L633" s="25">
        <f>IFERROR(__xludf.DUMMYFUNCTION("""COMPUTED_VALUE"""),295.55)</f>
        <v>295.55</v>
      </c>
      <c r="M633" s="25">
        <f>IFERROR(__xludf.DUMMYFUNCTION("""COMPUTED_VALUE"""),1018878.0)</f>
        <v>1018878</v>
      </c>
    </row>
    <row r="634">
      <c r="A634" s="26">
        <f>IFERROR(__xludf.DUMMYFUNCTION("""COMPUTED_VALUE"""),39283.645833333336)</f>
        <v>39283.64583</v>
      </c>
      <c r="B634" s="9">
        <f>IFERROR(__xludf.DUMMYFUNCTION("""COMPUTED_VALUE"""),250.0)</f>
        <v>250</v>
      </c>
      <c r="C634" s="9">
        <f>IFERROR(__xludf.DUMMYFUNCTION("""COMPUTED_VALUE"""),252.38)</f>
        <v>252.38</v>
      </c>
      <c r="D634" s="9">
        <f>IFERROR(__xludf.DUMMYFUNCTION("""COMPUTED_VALUE"""),246.32)</f>
        <v>246.32</v>
      </c>
      <c r="E634" s="9">
        <f>IFERROR(__xludf.DUMMYFUNCTION("""COMPUTED_VALUE"""),248.28)</f>
        <v>248.28</v>
      </c>
      <c r="F634" s="9">
        <f>IFERROR(__xludf.DUMMYFUNCTION("""COMPUTED_VALUE"""),1631286.0)</f>
        <v>1631286</v>
      </c>
      <c r="H634" s="27">
        <f>IFERROR(__xludf.DUMMYFUNCTION("""COMPUTED_VALUE"""),39283.645833333336)</f>
        <v>39283.64583</v>
      </c>
      <c r="I634" s="25">
        <f>IFERROR(__xludf.DUMMYFUNCTION("""COMPUTED_VALUE"""),297.25)</f>
        <v>297.25</v>
      </c>
      <c r="J634" s="25">
        <f>IFERROR(__xludf.DUMMYFUNCTION("""COMPUTED_VALUE"""),297.49)</f>
        <v>297.49</v>
      </c>
      <c r="K634" s="25">
        <f>IFERROR(__xludf.DUMMYFUNCTION("""COMPUTED_VALUE"""),291.85)</f>
        <v>291.85</v>
      </c>
      <c r="L634" s="25">
        <f>IFERROR(__xludf.DUMMYFUNCTION("""COMPUTED_VALUE"""),293.98)</f>
        <v>293.98</v>
      </c>
      <c r="M634" s="25">
        <f>IFERROR(__xludf.DUMMYFUNCTION("""COMPUTED_VALUE"""),936233.0)</f>
        <v>936233</v>
      </c>
    </row>
    <row r="635">
      <c r="A635" s="26">
        <f>IFERROR(__xludf.DUMMYFUNCTION("""COMPUTED_VALUE"""),39286.645833333336)</f>
        <v>39286.64583</v>
      </c>
      <c r="B635" s="9">
        <f>IFERROR(__xludf.DUMMYFUNCTION("""COMPUTED_VALUE"""),246.76)</f>
        <v>246.76</v>
      </c>
      <c r="C635" s="9">
        <f>IFERROR(__xludf.DUMMYFUNCTION("""COMPUTED_VALUE"""),247.99)</f>
        <v>247.99</v>
      </c>
      <c r="D635" s="9">
        <f>IFERROR(__xludf.DUMMYFUNCTION("""COMPUTED_VALUE"""),241.4)</f>
        <v>241.4</v>
      </c>
      <c r="E635" s="9">
        <f>IFERROR(__xludf.DUMMYFUNCTION("""COMPUTED_VALUE"""),243.48)</f>
        <v>243.48</v>
      </c>
      <c r="F635" s="9">
        <f>IFERROR(__xludf.DUMMYFUNCTION("""COMPUTED_VALUE"""),1879252.0)</f>
        <v>1879252</v>
      </c>
      <c r="H635" s="27">
        <f>IFERROR(__xludf.DUMMYFUNCTION("""COMPUTED_VALUE"""),39286.645833333336)</f>
        <v>39286.64583</v>
      </c>
      <c r="I635" s="25">
        <f>IFERROR(__xludf.DUMMYFUNCTION("""COMPUTED_VALUE"""),292.45)</f>
        <v>292.45</v>
      </c>
      <c r="J635" s="25">
        <f>IFERROR(__xludf.DUMMYFUNCTION("""COMPUTED_VALUE"""),298.75)</f>
        <v>298.75</v>
      </c>
      <c r="K635" s="25">
        <f>IFERROR(__xludf.DUMMYFUNCTION("""COMPUTED_VALUE"""),290.52)</f>
        <v>290.52</v>
      </c>
      <c r="L635" s="25">
        <f>IFERROR(__xludf.DUMMYFUNCTION("""COMPUTED_VALUE"""),297.74)</f>
        <v>297.74</v>
      </c>
      <c r="M635" s="25">
        <f>IFERROR(__xludf.DUMMYFUNCTION("""COMPUTED_VALUE"""),1179114.0)</f>
        <v>1179114</v>
      </c>
    </row>
    <row r="636">
      <c r="A636" s="26">
        <f>IFERROR(__xludf.DUMMYFUNCTION("""COMPUTED_VALUE"""),39287.645833333336)</f>
        <v>39287.64583</v>
      </c>
      <c r="B636" s="9">
        <f>IFERROR(__xludf.DUMMYFUNCTION("""COMPUTED_VALUE"""),243.48)</f>
        <v>243.48</v>
      </c>
      <c r="C636" s="9">
        <f>IFERROR(__xludf.DUMMYFUNCTION("""COMPUTED_VALUE"""),247.49)</f>
        <v>247.49</v>
      </c>
      <c r="D636" s="9">
        <f>IFERROR(__xludf.DUMMYFUNCTION("""COMPUTED_VALUE"""),242.57)</f>
        <v>242.57</v>
      </c>
      <c r="E636" s="9">
        <f>IFERROR(__xludf.DUMMYFUNCTION("""COMPUTED_VALUE"""),246.89)</f>
        <v>246.89</v>
      </c>
      <c r="F636" s="9">
        <f>IFERROR(__xludf.DUMMYFUNCTION("""COMPUTED_VALUE"""),1111548.0)</f>
        <v>1111548</v>
      </c>
      <c r="H636" s="27">
        <f>IFERROR(__xludf.DUMMYFUNCTION("""COMPUTED_VALUE"""),39287.645833333336)</f>
        <v>39287.64583</v>
      </c>
      <c r="I636" s="25">
        <f>IFERROR(__xludf.DUMMYFUNCTION("""COMPUTED_VALUE"""),297.48)</f>
        <v>297.48</v>
      </c>
      <c r="J636" s="25">
        <f>IFERROR(__xludf.DUMMYFUNCTION("""COMPUTED_VALUE"""),298.0)</f>
        <v>298</v>
      </c>
      <c r="K636" s="25">
        <f>IFERROR(__xludf.DUMMYFUNCTION("""COMPUTED_VALUE"""),291.75)</f>
        <v>291.75</v>
      </c>
      <c r="L636" s="25">
        <f>IFERROR(__xludf.DUMMYFUNCTION("""COMPUTED_VALUE"""),292.98)</f>
        <v>292.98</v>
      </c>
      <c r="M636" s="25">
        <f>IFERROR(__xludf.DUMMYFUNCTION("""COMPUTED_VALUE"""),781794.0)</f>
        <v>781794</v>
      </c>
    </row>
    <row r="637">
      <c r="A637" s="26">
        <f>IFERROR(__xludf.DUMMYFUNCTION("""COMPUTED_VALUE"""),39288.645833333336)</f>
        <v>39288.64583</v>
      </c>
      <c r="B637" s="9">
        <f>IFERROR(__xludf.DUMMYFUNCTION("""COMPUTED_VALUE"""),247.0)</f>
        <v>247</v>
      </c>
      <c r="C637" s="9">
        <f>IFERROR(__xludf.DUMMYFUNCTION("""COMPUTED_VALUE"""),251.25)</f>
        <v>251.25</v>
      </c>
      <c r="D637" s="9">
        <f>IFERROR(__xludf.DUMMYFUNCTION("""COMPUTED_VALUE"""),243.13)</f>
        <v>243.13</v>
      </c>
      <c r="E637" s="9">
        <f>IFERROR(__xludf.DUMMYFUNCTION("""COMPUTED_VALUE"""),248.61)</f>
        <v>248.61</v>
      </c>
      <c r="F637" s="9">
        <f>IFERROR(__xludf.DUMMYFUNCTION("""COMPUTED_VALUE"""),1455899.0)</f>
        <v>1455899</v>
      </c>
      <c r="H637" s="27">
        <f>IFERROR(__xludf.DUMMYFUNCTION("""COMPUTED_VALUE"""),39288.645833333336)</f>
        <v>39288.64583</v>
      </c>
      <c r="I637" s="25">
        <f>IFERROR(__xludf.DUMMYFUNCTION("""COMPUTED_VALUE"""),292.0)</f>
        <v>292</v>
      </c>
      <c r="J637" s="25">
        <f>IFERROR(__xludf.DUMMYFUNCTION("""COMPUTED_VALUE"""),292.75)</f>
        <v>292.75</v>
      </c>
      <c r="K637" s="25">
        <f>IFERROR(__xludf.DUMMYFUNCTION("""COMPUTED_VALUE"""),286.25)</f>
        <v>286.25</v>
      </c>
      <c r="L637" s="25">
        <f>IFERROR(__xludf.DUMMYFUNCTION("""COMPUTED_VALUE"""),287.05)</f>
        <v>287.05</v>
      </c>
      <c r="M637" s="25">
        <f>IFERROR(__xludf.DUMMYFUNCTION("""COMPUTED_VALUE"""),667543.0)</f>
        <v>667543</v>
      </c>
    </row>
    <row r="638">
      <c r="A638" s="26">
        <f>IFERROR(__xludf.DUMMYFUNCTION("""COMPUTED_VALUE"""),39289.645833333336)</f>
        <v>39289.64583</v>
      </c>
      <c r="B638" s="9">
        <f>IFERROR(__xludf.DUMMYFUNCTION("""COMPUTED_VALUE"""),249.75)</f>
        <v>249.75</v>
      </c>
      <c r="C638" s="9">
        <f>IFERROR(__xludf.DUMMYFUNCTION("""COMPUTED_VALUE"""),256.25)</f>
        <v>256.25</v>
      </c>
      <c r="D638" s="9">
        <f>IFERROR(__xludf.DUMMYFUNCTION("""COMPUTED_VALUE"""),249.38)</f>
        <v>249.38</v>
      </c>
      <c r="E638" s="9">
        <f>IFERROR(__xludf.DUMMYFUNCTION("""COMPUTED_VALUE"""),254.29)</f>
        <v>254.29</v>
      </c>
      <c r="F638" s="9">
        <f>IFERROR(__xludf.DUMMYFUNCTION("""COMPUTED_VALUE"""),2836423.0)</f>
        <v>2836423</v>
      </c>
      <c r="H638" s="27">
        <f>IFERROR(__xludf.DUMMYFUNCTION("""COMPUTED_VALUE"""),39289.645833333336)</f>
        <v>39289.64583</v>
      </c>
      <c r="I638" s="25">
        <f>IFERROR(__xludf.DUMMYFUNCTION("""COMPUTED_VALUE"""),288.75)</f>
        <v>288.75</v>
      </c>
      <c r="J638" s="25">
        <f>IFERROR(__xludf.DUMMYFUNCTION("""COMPUTED_VALUE"""),302.5)</f>
        <v>302.5</v>
      </c>
      <c r="K638" s="25">
        <f>IFERROR(__xludf.DUMMYFUNCTION("""COMPUTED_VALUE"""),286.27)</f>
        <v>286.27</v>
      </c>
      <c r="L638" s="25">
        <f>IFERROR(__xludf.DUMMYFUNCTION("""COMPUTED_VALUE"""),297.27)</f>
        <v>297.27</v>
      </c>
      <c r="M638" s="25">
        <f>IFERROR(__xludf.DUMMYFUNCTION("""COMPUTED_VALUE"""),1500701.0)</f>
        <v>1500701</v>
      </c>
    </row>
    <row r="639">
      <c r="A639" s="26">
        <f>IFERROR(__xludf.DUMMYFUNCTION("""COMPUTED_VALUE"""),39290.645833333336)</f>
        <v>39290.64583</v>
      </c>
      <c r="B639" s="9">
        <f>IFERROR(__xludf.DUMMYFUNCTION("""COMPUTED_VALUE"""),250.13)</f>
        <v>250.13</v>
      </c>
      <c r="C639" s="9">
        <f>IFERROR(__xludf.DUMMYFUNCTION("""COMPUTED_VALUE"""),251.88)</f>
        <v>251.88</v>
      </c>
      <c r="D639" s="9">
        <f>IFERROR(__xludf.DUMMYFUNCTION("""COMPUTED_VALUE"""),245.21)</f>
        <v>245.21</v>
      </c>
      <c r="E639" s="9">
        <f>IFERROR(__xludf.DUMMYFUNCTION("""COMPUTED_VALUE"""),250.98)</f>
        <v>250.98</v>
      </c>
      <c r="F639" s="9">
        <f>IFERROR(__xludf.DUMMYFUNCTION("""COMPUTED_VALUE"""),1733311.0)</f>
        <v>1733311</v>
      </c>
      <c r="H639" s="27">
        <f>IFERROR(__xludf.DUMMYFUNCTION("""COMPUTED_VALUE"""),39290.645833333336)</f>
        <v>39290.64583</v>
      </c>
      <c r="I639" s="25">
        <f>IFERROR(__xludf.DUMMYFUNCTION("""COMPUTED_VALUE"""),290.0)</f>
        <v>290</v>
      </c>
      <c r="J639" s="25">
        <f>IFERROR(__xludf.DUMMYFUNCTION("""COMPUTED_VALUE"""),293.75)</f>
        <v>293.75</v>
      </c>
      <c r="K639" s="25">
        <f>IFERROR(__xludf.DUMMYFUNCTION("""COMPUTED_VALUE"""),281.5)</f>
        <v>281.5</v>
      </c>
      <c r="L639" s="25">
        <f>IFERROR(__xludf.DUMMYFUNCTION("""COMPUTED_VALUE"""),288.25)</f>
        <v>288.25</v>
      </c>
      <c r="M639" s="25">
        <f>IFERROR(__xludf.DUMMYFUNCTION("""COMPUTED_VALUE"""),800809.0)</f>
        <v>800809</v>
      </c>
    </row>
    <row r="640">
      <c r="A640" s="26">
        <f>IFERROR(__xludf.DUMMYFUNCTION("""COMPUTED_VALUE"""),39293.645833333336)</f>
        <v>39293.64583</v>
      </c>
      <c r="B640" s="9">
        <f>IFERROR(__xludf.DUMMYFUNCTION("""COMPUTED_VALUE"""),250.98)</f>
        <v>250.98</v>
      </c>
      <c r="C640" s="9">
        <f>IFERROR(__xludf.DUMMYFUNCTION("""COMPUTED_VALUE"""),251.25)</f>
        <v>251.25</v>
      </c>
      <c r="D640" s="9">
        <f>IFERROR(__xludf.DUMMYFUNCTION("""COMPUTED_VALUE"""),245.79)</f>
        <v>245.79</v>
      </c>
      <c r="E640" s="9">
        <f>IFERROR(__xludf.DUMMYFUNCTION("""COMPUTED_VALUE"""),248.3)</f>
        <v>248.3</v>
      </c>
      <c r="F640" s="9">
        <f>IFERROR(__xludf.DUMMYFUNCTION("""COMPUTED_VALUE"""),699777.0)</f>
        <v>699777</v>
      </c>
      <c r="H640" s="27">
        <f>IFERROR(__xludf.DUMMYFUNCTION("""COMPUTED_VALUE"""),39293.645833333336)</f>
        <v>39293.64583</v>
      </c>
      <c r="I640" s="25">
        <f>IFERROR(__xludf.DUMMYFUNCTION("""COMPUTED_VALUE"""),287.5)</f>
        <v>287.5</v>
      </c>
      <c r="J640" s="25">
        <f>IFERROR(__xludf.DUMMYFUNCTION("""COMPUTED_VALUE"""),292.5)</f>
        <v>292.5</v>
      </c>
      <c r="K640" s="25">
        <f>IFERROR(__xludf.DUMMYFUNCTION("""COMPUTED_VALUE"""),282.56)</f>
        <v>282.56</v>
      </c>
      <c r="L640" s="25">
        <f>IFERROR(__xludf.DUMMYFUNCTION("""COMPUTED_VALUE"""),284.11)</f>
        <v>284.11</v>
      </c>
      <c r="M640" s="25">
        <f>IFERROR(__xludf.DUMMYFUNCTION("""COMPUTED_VALUE"""),458962.0)</f>
        <v>458962</v>
      </c>
    </row>
    <row r="641">
      <c r="A641" s="26">
        <f>IFERROR(__xludf.DUMMYFUNCTION("""COMPUTED_VALUE"""),39294.645833333336)</f>
        <v>39294.64583</v>
      </c>
      <c r="B641" s="9">
        <f>IFERROR(__xludf.DUMMYFUNCTION("""COMPUTED_VALUE"""),248.75)</f>
        <v>248.75</v>
      </c>
      <c r="C641" s="9">
        <f>IFERROR(__xludf.DUMMYFUNCTION("""COMPUTED_VALUE"""),254.38)</f>
        <v>254.38</v>
      </c>
      <c r="D641" s="9">
        <f>IFERROR(__xludf.DUMMYFUNCTION("""COMPUTED_VALUE"""),244.41)</f>
        <v>244.41</v>
      </c>
      <c r="E641" s="9">
        <f>IFERROR(__xludf.DUMMYFUNCTION("""COMPUTED_VALUE"""),246.98)</f>
        <v>246.98</v>
      </c>
      <c r="F641" s="9">
        <f>IFERROR(__xludf.DUMMYFUNCTION("""COMPUTED_VALUE"""),904263.0)</f>
        <v>904263</v>
      </c>
      <c r="H641" s="27">
        <f>IFERROR(__xludf.DUMMYFUNCTION("""COMPUTED_VALUE"""),39294.645833333336)</f>
        <v>39294.64583</v>
      </c>
      <c r="I641" s="25">
        <f>IFERROR(__xludf.DUMMYFUNCTION("""COMPUTED_VALUE"""),287.75)</f>
        <v>287.75</v>
      </c>
      <c r="J641" s="25">
        <f>IFERROR(__xludf.DUMMYFUNCTION("""COMPUTED_VALUE"""),290.5)</f>
        <v>290.5</v>
      </c>
      <c r="K641" s="25">
        <f>IFERROR(__xludf.DUMMYFUNCTION("""COMPUTED_VALUE"""),282.5)</f>
        <v>282.5</v>
      </c>
      <c r="L641" s="25">
        <f>IFERROR(__xludf.DUMMYFUNCTION("""COMPUTED_VALUE"""),289.08)</f>
        <v>289.08</v>
      </c>
      <c r="M641" s="25">
        <f>IFERROR(__xludf.DUMMYFUNCTION("""COMPUTED_VALUE"""),804635.0)</f>
        <v>804635</v>
      </c>
    </row>
    <row r="642">
      <c r="A642" s="26">
        <f>IFERROR(__xludf.DUMMYFUNCTION("""COMPUTED_VALUE"""),39295.645833333336)</f>
        <v>39295.64583</v>
      </c>
      <c r="B642" s="9">
        <f>IFERROR(__xludf.DUMMYFUNCTION("""COMPUTED_VALUE"""),248.5)</f>
        <v>248.5</v>
      </c>
      <c r="C642" s="9">
        <f>IFERROR(__xludf.DUMMYFUNCTION("""COMPUTED_VALUE"""),248.5)</f>
        <v>248.5</v>
      </c>
      <c r="D642" s="9">
        <f>IFERROR(__xludf.DUMMYFUNCTION("""COMPUTED_VALUE"""),240.38)</f>
        <v>240.38</v>
      </c>
      <c r="E642" s="9">
        <f>IFERROR(__xludf.DUMMYFUNCTION("""COMPUTED_VALUE"""),241.19)</f>
        <v>241.19</v>
      </c>
      <c r="F642" s="9">
        <f>IFERROR(__xludf.DUMMYFUNCTION("""COMPUTED_VALUE"""),1479865.0)</f>
        <v>1479865</v>
      </c>
      <c r="H642" s="27">
        <f>IFERROR(__xludf.DUMMYFUNCTION("""COMPUTED_VALUE"""),39295.645833333336)</f>
        <v>39295.64583</v>
      </c>
      <c r="I642" s="25">
        <f>IFERROR(__xludf.DUMMYFUNCTION("""COMPUTED_VALUE"""),286.25)</f>
        <v>286.25</v>
      </c>
      <c r="J642" s="25">
        <f>IFERROR(__xludf.DUMMYFUNCTION("""COMPUTED_VALUE"""),286.25)</f>
        <v>286.25</v>
      </c>
      <c r="K642" s="25">
        <f>IFERROR(__xludf.DUMMYFUNCTION("""COMPUTED_VALUE"""),277.75)</f>
        <v>277.75</v>
      </c>
      <c r="L642" s="25">
        <f>IFERROR(__xludf.DUMMYFUNCTION("""COMPUTED_VALUE"""),278.79)</f>
        <v>278.79</v>
      </c>
      <c r="M642" s="25">
        <f>IFERROR(__xludf.DUMMYFUNCTION("""COMPUTED_VALUE"""),1095543.0)</f>
        <v>1095543</v>
      </c>
    </row>
    <row r="643">
      <c r="A643" s="26">
        <f>IFERROR(__xludf.DUMMYFUNCTION("""COMPUTED_VALUE"""),39296.645833333336)</f>
        <v>39296.64583</v>
      </c>
      <c r="B643" s="9">
        <f>IFERROR(__xludf.DUMMYFUNCTION("""COMPUTED_VALUE"""),243.75)</f>
        <v>243.75</v>
      </c>
      <c r="C643" s="9">
        <f>IFERROR(__xludf.DUMMYFUNCTION("""COMPUTED_VALUE"""),243.75)</f>
        <v>243.75</v>
      </c>
      <c r="D643" s="9">
        <f>IFERROR(__xludf.DUMMYFUNCTION("""COMPUTED_VALUE"""),236.56)</f>
        <v>236.56</v>
      </c>
      <c r="E643" s="9">
        <f>IFERROR(__xludf.DUMMYFUNCTION("""COMPUTED_VALUE"""),237.4)</f>
        <v>237.4</v>
      </c>
      <c r="F643" s="9">
        <f>IFERROR(__xludf.DUMMYFUNCTION("""COMPUTED_VALUE"""),1478333.0)</f>
        <v>1478333</v>
      </c>
      <c r="H643" s="27">
        <f>IFERROR(__xludf.DUMMYFUNCTION("""COMPUTED_VALUE"""),39296.645833333336)</f>
        <v>39296.64583</v>
      </c>
      <c r="I643" s="25">
        <f>IFERROR(__xludf.DUMMYFUNCTION("""COMPUTED_VALUE"""),280.0)</f>
        <v>280</v>
      </c>
      <c r="J643" s="25">
        <f>IFERROR(__xludf.DUMMYFUNCTION("""COMPUTED_VALUE"""),281.13)</f>
        <v>281.13</v>
      </c>
      <c r="K643" s="25">
        <f>IFERROR(__xludf.DUMMYFUNCTION("""COMPUTED_VALUE"""),272.5)</f>
        <v>272.5</v>
      </c>
      <c r="L643" s="25">
        <f>IFERROR(__xludf.DUMMYFUNCTION("""COMPUTED_VALUE"""),273.79)</f>
        <v>273.79</v>
      </c>
      <c r="M643" s="25">
        <f>IFERROR(__xludf.DUMMYFUNCTION("""COMPUTED_VALUE"""),478002.0)</f>
        <v>478002</v>
      </c>
    </row>
    <row r="644">
      <c r="A644" s="26">
        <f>IFERROR(__xludf.DUMMYFUNCTION("""COMPUTED_VALUE"""),39297.645833333336)</f>
        <v>39297.64583</v>
      </c>
      <c r="B644" s="9">
        <f>IFERROR(__xludf.DUMMYFUNCTION("""COMPUTED_VALUE"""),237.63)</f>
        <v>237.63</v>
      </c>
      <c r="C644" s="9">
        <f>IFERROR(__xludf.DUMMYFUNCTION("""COMPUTED_VALUE"""),240.43)</f>
        <v>240.43</v>
      </c>
      <c r="D644" s="9">
        <f>IFERROR(__xludf.DUMMYFUNCTION("""COMPUTED_VALUE"""),237.25)</f>
        <v>237.25</v>
      </c>
      <c r="E644" s="9">
        <f>IFERROR(__xludf.DUMMYFUNCTION("""COMPUTED_VALUE"""),239.58)</f>
        <v>239.58</v>
      </c>
      <c r="F644" s="9">
        <f>IFERROR(__xludf.DUMMYFUNCTION("""COMPUTED_VALUE"""),837398.0)</f>
        <v>837398</v>
      </c>
      <c r="H644" s="27">
        <f>IFERROR(__xludf.DUMMYFUNCTION("""COMPUTED_VALUE"""),39297.645833333336)</f>
        <v>39297.64583</v>
      </c>
      <c r="I644" s="25">
        <f>IFERROR(__xludf.DUMMYFUNCTION("""COMPUTED_VALUE"""),278.5)</f>
        <v>278.5</v>
      </c>
      <c r="J644" s="25">
        <f>IFERROR(__xludf.DUMMYFUNCTION("""COMPUTED_VALUE"""),278.5)</f>
        <v>278.5</v>
      </c>
      <c r="K644" s="25">
        <f>IFERROR(__xludf.DUMMYFUNCTION("""COMPUTED_VALUE"""),270.88)</f>
        <v>270.88</v>
      </c>
      <c r="L644" s="25">
        <f>IFERROR(__xludf.DUMMYFUNCTION("""COMPUTED_VALUE"""),274.23)</f>
        <v>274.23</v>
      </c>
      <c r="M644" s="25">
        <f>IFERROR(__xludf.DUMMYFUNCTION("""COMPUTED_VALUE"""),498296.0)</f>
        <v>498296</v>
      </c>
    </row>
    <row r="645">
      <c r="A645" s="26">
        <f>IFERROR(__xludf.DUMMYFUNCTION("""COMPUTED_VALUE"""),39300.645833333336)</f>
        <v>39300.64583</v>
      </c>
      <c r="B645" s="9">
        <f>IFERROR(__xludf.DUMMYFUNCTION("""COMPUTED_VALUE"""),242.48)</f>
        <v>242.48</v>
      </c>
      <c r="C645" s="9">
        <f>IFERROR(__xludf.DUMMYFUNCTION("""COMPUTED_VALUE"""),242.48)</f>
        <v>242.48</v>
      </c>
      <c r="D645" s="9">
        <f>IFERROR(__xludf.DUMMYFUNCTION("""COMPUTED_VALUE"""),232.54)</f>
        <v>232.54</v>
      </c>
      <c r="E645" s="9">
        <f>IFERROR(__xludf.DUMMYFUNCTION("""COMPUTED_VALUE"""),233.16)</f>
        <v>233.16</v>
      </c>
      <c r="F645" s="9">
        <f>IFERROR(__xludf.DUMMYFUNCTION("""COMPUTED_VALUE"""),1127300.0)</f>
        <v>1127300</v>
      </c>
      <c r="H645" s="27">
        <f>IFERROR(__xludf.DUMMYFUNCTION("""COMPUTED_VALUE"""),39300.645833333336)</f>
        <v>39300.64583</v>
      </c>
      <c r="I645" s="25">
        <f>IFERROR(__xludf.DUMMYFUNCTION("""COMPUTED_VALUE"""),272.5)</f>
        <v>272.5</v>
      </c>
      <c r="J645" s="25">
        <f>IFERROR(__xludf.DUMMYFUNCTION("""COMPUTED_VALUE"""),279.5)</f>
        <v>279.5</v>
      </c>
      <c r="K645" s="25">
        <f>IFERROR(__xludf.DUMMYFUNCTION("""COMPUTED_VALUE"""),268.5)</f>
        <v>268.5</v>
      </c>
      <c r="L645" s="25">
        <f>IFERROR(__xludf.DUMMYFUNCTION("""COMPUTED_VALUE"""),274.86)</f>
        <v>274.86</v>
      </c>
      <c r="M645" s="25">
        <f>IFERROR(__xludf.DUMMYFUNCTION("""COMPUTED_VALUE"""),684387.0)</f>
        <v>684387</v>
      </c>
    </row>
    <row r="646">
      <c r="A646" s="26">
        <f>IFERROR(__xludf.DUMMYFUNCTION("""COMPUTED_VALUE"""),39301.645833333336)</f>
        <v>39301.64583</v>
      </c>
      <c r="B646" s="9">
        <f>IFERROR(__xludf.DUMMYFUNCTION("""COMPUTED_VALUE"""),234.38)</f>
        <v>234.38</v>
      </c>
      <c r="C646" s="9">
        <f>IFERROR(__xludf.DUMMYFUNCTION("""COMPUTED_VALUE"""),237.5)</f>
        <v>237.5</v>
      </c>
      <c r="D646" s="9">
        <f>IFERROR(__xludf.DUMMYFUNCTION("""COMPUTED_VALUE"""),232.89)</f>
        <v>232.89</v>
      </c>
      <c r="E646" s="9">
        <f>IFERROR(__xludf.DUMMYFUNCTION("""COMPUTED_VALUE"""),234.81)</f>
        <v>234.81</v>
      </c>
      <c r="F646" s="9">
        <f>IFERROR(__xludf.DUMMYFUNCTION("""COMPUTED_VALUE"""),1377863.0)</f>
        <v>1377863</v>
      </c>
      <c r="H646" s="27">
        <f>IFERROR(__xludf.DUMMYFUNCTION("""COMPUTED_VALUE"""),39301.645833333336)</f>
        <v>39301.64583</v>
      </c>
      <c r="I646" s="25">
        <f>IFERROR(__xludf.DUMMYFUNCTION("""COMPUTED_VALUE"""),278.27)</f>
        <v>278.27</v>
      </c>
      <c r="J646" s="25">
        <f>IFERROR(__xludf.DUMMYFUNCTION("""COMPUTED_VALUE"""),279.45)</f>
        <v>279.45</v>
      </c>
      <c r="K646" s="25">
        <f>IFERROR(__xludf.DUMMYFUNCTION("""COMPUTED_VALUE"""),273.52)</f>
        <v>273.52</v>
      </c>
      <c r="L646" s="25">
        <f>IFERROR(__xludf.DUMMYFUNCTION("""COMPUTED_VALUE"""),277.33)</f>
        <v>277.33</v>
      </c>
      <c r="M646" s="25">
        <f>IFERROR(__xludf.DUMMYFUNCTION("""COMPUTED_VALUE"""),746303.0)</f>
        <v>746303</v>
      </c>
    </row>
    <row r="647">
      <c r="A647" s="26">
        <f>IFERROR(__xludf.DUMMYFUNCTION("""COMPUTED_VALUE"""),39302.645833333336)</f>
        <v>39302.64583</v>
      </c>
      <c r="B647" s="9">
        <f>IFERROR(__xludf.DUMMYFUNCTION("""COMPUTED_VALUE"""),236.25)</f>
        <v>236.25</v>
      </c>
      <c r="C647" s="9">
        <f>IFERROR(__xludf.DUMMYFUNCTION("""COMPUTED_VALUE"""),249.75)</f>
        <v>249.75</v>
      </c>
      <c r="D647" s="9">
        <f>IFERROR(__xludf.DUMMYFUNCTION("""COMPUTED_VALUE"""),236.25)</f>
        <v>236.25</v>
      </c>
      <c r="E647" s="9">
        <f>IFERROR(__xludf.DUMMYFUNCTION("""COMPUTED_VALUE"""),245.91)</f>
        <v>245.91</v>
      </c>
      <c r="F647" s="9">
        <f>IFERROR(__xludf.DUMMYFUNCTION("""COMPUTED_VALUE"""),3064476.0)</f>
        <v>3064476</v>
      </c>
      <c r="H647" s="27">
        <f>IFERROR(__xludf.DUMMYFUNCTION("""COMPUTED_VALUE"""),39302.645833333336)</f>
        <v>39302.64583</v>
      </c>
      <c r="I647" s="25">
        <f>IFERROR(__xludf.DUMMYFUNCTION("""COMPUTED_VALUE"""),287.5)</f>
        <v>287.5</v>
      </c>
      <c r="J647" s="25">
        <f>IFERROR(__xludf.DUMMYFUNCTION("""COMPUTED_VALUE"""),292.25)</f>
        <v>292.25</v>
      </c>
      <c r="K647" s="25">
        <f>IFERROR(__xludf.DUMMYFUNCTION("""COMPUTED_VALUE"""),279.5)</f>
        <v>279.5</v>
      </c>
      <c r="L647" s="25">
        <f>IFERROR(__xludf.DUMMYFUNCTION("""COMPUTED_VALUE"""),288.15)</f>
        <v>288.15</v>
      </c>
      <c r="M647" s="25">
        <f>IFERROR(__xludf.DUMMYFUNCTION("""COMPUTED_VALUE"""),1013791.0)</f>
        <v>1013791</v>
      </c>
    </row>
    <row r="648">
      <c r="A648" s="26">
        <f>IFERROR(__xludf.DUMMYFUNCTION("""COMPUTED_VALUE"""),39303.645833333336)</f>
        <v>39303.64583</v>
      </c>
      <c r="B648" s="9">
        <f>IFERROR(__xludf.DUMMYFUNCTION("""COMPUTED_VALUE"""),248.75)</f>
        <v>248.75</v>
      </c>
      <c r="C648" s="9">
        <f>IFERROR(__xludf.DUMMYFUNCTION("""COMPUTED_VALUE"""),250.63)</f>
        <v>250.63</v>
      </c>
      <c r="D648" s="9">
        <f>IFERROR(__xludf.DUMMYFUNCTION("""COMPUTED_VALUE"""),240.63)</f>
        <v>240.63</v>
      </c>
      <c r="E648" s="9">
        <f>IFERROR(__xludf.DUMMYFUNCTION("""COMPUTED_VALUE"""),241.78)</f>
        <v>241.78</v>
      </c>
      <c r="F648" s="9">
        <f>IFERROR(__xludf.DUMMYFUNCTION("""COMPUTED_VALUE"""),1280598.0)</f>
        <v>1280598</v>
      </c>
      <c r="H648" s="27">
        <f>IFERROR(__xludf.DUMMYFUNCTION("""COMPUTED_VALUE"""),39303.645833333336)</f>
        <v>39303.64583</v>
      </c>
      <c r="I648" s="25">
        <f>IFERROR(__xludf.DUMMYFUNCTION("""COMPUTED_VALUE"""),290.0)</f>
        <v>290</v>
      </c>
      <c r="J648" s="25">
        <f>IFERROR(__xludf.DUMMYFUNCTION("""COMPUTED_VALUE"""),297.21)</f>
        <v>297.21</v>
      </c>
      <c r="K648" s="25">
        <f>IFERROR(__xludf.DUMMYFUNCTION("""COMPUTED_VALUE"""),283.8)</f>
        <v>283.8</v>
      </c>
      <c r="L648" s="25">
        <f>IFERROR(__xludf.DUMMYFUNCTION("""COMPUTED_VALUE"""),286.43)</f>
        <v>286.43</v>
      </c>
      <c r="M648" s="25">
        <f>IFERROR(__xludf.DUMMYFUNCTION("""COMPUTED_VALUE"""),1268609.0)</f>
        <v>1268609</v>
      </c>
    </row>
    <row r="649">
      <c r="A649" s="26">
        <f>IFERROR(__xludf.DUMMYFUNCTION("""COMPUTED_VALUE"""),39304.645833333336)</f>
        <v>39304.64583</v>
      </c>
      <c r="B649" s="9">
        <f>IFERROR(__xludf.DUMMYFUNCTION("""COMPUTED_VALUE"""),231.89)</f>
        <v>231.89</v>
      </c>
      <c r="C649" s="9">
        <f>IFERROR(__xludf.DUMMYFUNCTION("""COMPUTED_VALUE"""),245.88)</f>
        <v>245.88</v>
      </c>
      <c r="D649" s="9">
        <f>IFERROR(__xludf.DUMMYFUNCTION("""COMPUTED_VALUE"""),231.89)</f>
        <v>231.89</v>
      </c>
      <c r="E649" s="9">
        <f>IFERROR(__xludf.DUMMYFUNCTION("""COMPUTED_VALUE"""),244.99)</f>
        <v>244.99</v>
      </c>
      <c r="F649" s="9">
        <f>IFERROR(__xludf.DUMMYFUNCTION("""COMPUTED_VALUE"""),1856530.0)</f>
        <v>1856530</v>
      </c>
      <c r="H649" s="27">
        <f>IFERROR(__xludf.DUMMYFUNCTION("""COMPUTED_VALUE"""),39304.645833333336)</f>
        <v>39304.64583</v>
      </c>
      <c r="I649" s="25">
        <f>IFERROR(__xludf.DUMMYFUNCTION("""COMPUTED_VALUE"""),278.75)</f>
        <v>278.75</v>
      </c>
      <c r="J649" s="25">
        <f>IFERROR(__xludf.DUMMYFUNCTION("""COMPUTED_VALUE"""),288.38)</f>
        <v>288.38</v>
      </c>
      <c r="K649" s="25">
        <f>IFERROR(__xludf.DUMMYFUNCTION("""COMPUTED_VALUE"""),270.1)</f>
        <v>270.1</v>
      </c>
      <c r="L649" s="25">
        <f>IFERROR(__xludf.DUMMYFUNCTION("""COMPUTED_VALUE"""),286.13)</f>
        <v>286.13</v>
      </c>
      <c r="M649" s="25">
        <f>IFERROR(__xludf.DUMMYFUNCTION("""COMPUTED_VALUE"""),1572640.0)</f>
        <v>1572640</v>
      </c>
    </row>
    <row r="650">
      <c r="A650" s="26">
        <f>IFERROR(__xludf.DUMMYFUNCTION("""COMPUTED_VALUE"""),39307.645833333336)</f>
        <v>39307.64583</v>
      </c>
      <c r="B650" s="9">
        <f>IFERROR(__xludf.DUMMYFUNCTION("""COMPUTED_VALUE"""),246.25)</f>
        <v>246.25</v>
      </c>
      <c r="C650" s="9">
        <f>IFERROR(__xludf.DUMMYFUNCTION("""COMPUTED_VALUE"""),246.25)</f>
        <v>246.25</v>
      </c>
      <c r="D650" s="9">
        <f>IFERROR(__xludf.DUMMYFUNCTION("""COMPUTED_VALUE"""),240.15)</f>
        <v>240.15</v>
      </c>
      <c r="E650" s="9">
        <f>IFERROR(__xludf.DUMMYFUNCTION("""COMPUTED_VALUE"""),243.74)</f>
        <v>243.74</v>
      </c>
      <c r="F650" s="9">
        <f>IFERROR(__xludf.DUMMYFUNCTION("""COMPUTED_VALUE"""),784684.0)</f>
        <v>784684</v>
      </c>
      <c r="H650" s="27">
        <f>IFERROR(__xludf.DUMMYFUNCTION("""COMPUTED_VALUE"""),39307.645833333336)</f>
        <v>39307.64583</v>
      </c>
      <c r="I650" s="25">
        <f>IFERROR(__xludf.DUMMYFUNCTION("""COMPUTED_VALUE"""),287.5)</f>
        <v>287.5</v>
      </c>
      <c r="J650" s="25">
        <f>IFERROR(__xludf.DUMMYFUNCTION("""COMPUTED_VALUE"""),287.5)</f>
        <v>287.5</v>
      </c>
      <c r="K650" s="25">
        <f>IFERROR(__xludf.DUMMYFUNCTION("""COMPUTED_VALUE"""),281.29)</f>
        <v>281.29</v>
      </c>
      <c r="L650" s="25">
        <f>IFERROR(__xludf.DUMMYFUNCTION("""COMPUTED_VALUE"""),283.63)</f>
        <v>283.63</v>
      </c>
      <c r="M650" s="25">
        <f>IFERROR(__xludf.DUMMYFUNCTION("""COMPUTED_VALUE"""),301381.0)</f>
        <v>301381</v>
      </c>
    </row>
    <row r="651">
      <c r="A651" s="26">
        <f>IFERROR(__xludf.DUMMYFUNCTION("""COMPUTED_VALUE"""),39308.645833333336)</f>
        <v>39308.64583</v>
      </c>
      <c r="B651" s="9">
        <f>IFERROR(__xludf.DUMMYFUNCTION("""COMPUTED_VALUE"""),243.75)</f>
        <v>243.75</v>
      </c>
      <c r="C651" s="9">
        <f>IFERROR(__xludf.DUMMYFUNCTION("""COMPUTED_VALUE"""),245.13)</f>
        <v>245.13</v>
      </c>
      <c r="D651" s="9">
        <f>IFERROR(__xludf.DUMMYFUNCTION("""COMPUTED_VALUE"""),241.83)</f>
        <v>241.83</v>
      </c>
      <c r="E651" s="9">
        <f>IFERROR(__xludf.DUMMYFUNCTION("""COMPUTED_VALUE"""),244.43)</f>
        <v>244.43</v>
      </c>
      <c r="F651" s="9">
        <f>IFERROR(__xludf.DUMMYFUNCTION("""COMPUTED_VALUE"""),561334.0)</f>
        <v>561334</v>
      </c>
      <c r="H651" s="27">
        <f>IFERROR(__xludf.DUMMYFUNCTION("""COMPUTED_VALUE"""),39308.645833333336)</f>
        <v>39308.64583</v>
      </c>
      <c r="I651" s="25">
        <f>IFERROR(__xludf.DUMMYFUNCTION("""COMPUTED_VALUE"""),283.75)</f>
        <v>283.75</v>
      </c>
      <c r="J651" s="25">
        <f>IFERROR(__xludf.DUMMYFUNCTION("""COMPUTED_VALUE"""),285.0)</f>
        <v>285</v>
      </c>
      <c r="K651" s="25">
        <f>IFERROR(__xludf.DUMMYFUNCTION("""COMPUTED_VALUE"""),280.0)</f>
        <v>280</v>
      </c>
      <c r="L651" s="25">
        <f>IFERROR(__xludf.DUMMYFUNCTION("""COMPUTED_VALUE"""),282.56)</f>
        <v>282.56</v>
      </c>
      <c r="M651" s="25">
        <f>IFERROR(__xludf.DUMMYFUNCTION("""COMPUTED_VALUE"""),305699.0)</f>
        <v>305699</v>
      </c>
    </row>
    <row r="652">
      <c r="A652" s="26">
        <f>IFERROR(__xludf.DUMMYFUNCTION("""COMPUTED_VALUE"""),39310.645833333336)</f>
        <v>39310.64583</v>
      </c>
      <c r="B652" s="9">
        <f>IFERROR(__xludf.DUMMYFUNCTION("""COMPUTED_VALUE"""),233.75)</f>
        <v>233.75</v>
      </c>
      <c r="C652" s="9">
        <f>IFERROR(__xludf.DUMMYFUNCTION("""COMPUTED_VALUE"""),240.88)</f>
        <v>240.88</v>
      </c>
      <c r="D652" s="9">
        <f>IFERROR(__xludf.DUMMYFUNCTION("""COMPUTED_VALUE"""),232.78)</f>
        <v>232.78</v>
      </c>
      <c r="E652" s="9">
        <f>IFERROR(__xludf.DUMMYFUNCTION("""COMPUTED_VALUE"""),239.14)</f>
        <v>239.14</v>
      </c>
      <c r="F652" s="9">
        <f>IFERROR(__xludf.DUMMYFUNCTION("""COMPUTED_VALUE"""),1766986.0)</f>
        <v>1766986</v>
      </c>
      <c r="H652" s="27">
        <f>IFERROR(__xludf.DUMMYFUNCTION("""COMPUTED_VALUE"""),39310.645833333336)</f>
        <v>39310.64583</v>
      </c>
      <c r="I652" s="25">
        <f>IFERROR(__xludf.DUMMYFUNCTION("""COMPUTED_VALUE"""),275.0)</f>
        <v>275</v>
      </c>
      <c r="J652" s="25">
        <f>IFERROR(__xludf.DUMMYFUNCTION("""COMPUTED_VALUE"""),279.9)</f>
        <v>279.9</v>
      </c>
      <c r="K652" s="25">
        <f>IFERROR(__xludf.DUMMYFUNCTION("""COMPUTED_VALUE"""),271.25)</f>
        <v>271.25</v>
      </c>
      <c r="L652" s="25">
        <f>IFERROR(__xludf.DUMMYFUNCTION("""COMPUTED_VALUE"""),272.0)</f>
        <v>272</v>
      </c>
      <c r="M652" s="25">
        <f>IFERROR(__xludf.DUMMYFUNCTION("""COMPUTED_VALUE"""),1665780.0)</f>
        <v>1665780</v>
      </c>
    </row>
    <row r="653">
      <c r="A653" s="26">
        <f>IFERROR(__xludf.DUMMYFUNCTION("""COMPUTED_VALUE"""),39311.645833333336)</f>
        <v>39311.64583</v>
      </c>
      <c r="B653" s="9">
        <f>IFERROR(__xludf.DUMMYFUNCTION("""COMPUTED_VALUE"""),239.87)</f>
        <v>239.87</v>
      </c>
      <c r="C653" s="9">
        <f>IFERROR(__xludf.DUMMYFUNCTION("""COMPUTED_VALUE"""),239.87)</f>
        <v>239.87</v>
      </c>
      <c r="D653" s="9">
        <f>IFERROR(__xludf.DUMMYFUNCTION("""COMPUTED_VALUE"""),217.89)</f>
        <v>217.89</v>
      </c>
      <c r="E653" s="9">
        <f>IFERROR(__xludf.DUMMYFUNCTION("""COMPUTED_VALUE"""),231.82)</f>
        <v>231.82</v>
      </c>
      <c r="F653" s="9">
        <f>IFERROR(__xludf.DUMMYFUNCTION("""COMPUTED_VALUE"""),3440529.0)</f>
        <v>3440529</v>
      </c>
      <c r="H653" s="27">
        <f>IFERROR(__xludf.DUMMYFUNCTION("""COMPUTED_VALUE"""),39311.645833333336)</f>
        <v>39311.64583</v>
      </c>
      <c r="I653" s="25">
        <f>IFERROR(__xludf.DUMMYFUNCTION("""COMPUTED_VALUE"""),272.0)</f>
        <v>272</v>
      </c>
      <c r="J653" s="25">
        <f>IFERROR(__xludf.DUMMYFUNCTION("""COMPUTED_VALUE"""),273.25)</f>
        <v>273.25</v>
      </c>
      <c r="K653" s="25">
        <f>IFERROR(__xludf.DUMMYFUNCTION("""COMPUTED_VALUE"""),259.8)</f>
        <v>259.8</v>
      </c>
      <c r="L653" s="25">
        <f>IFERROR(__xludf.DUMMYFUNCTION("""COMPUTED_VALUE"""),264.04)</f>
        <v>264.04</v>
      </c>
      <c r="M653" s="25">
        <f>IFERROR(__xludf.DUMMYFUNCTION("""COMPUTED_VALUE"""),1725276.0)</f>
        <v>1725276</v>
      </c>
    </row>
    <row r="654">
      <c r="A654" s="26">
        <f>IFERROR(__xludf.DUMMYFUNCTION("""COMPUTED_VALUE"""),39314.645833333336)</f>
        <v>39314.64583</v>
      </c>
      <c r="B654" s="9">
        <f>IFERROR(__xludf.DUMMYFUNCTION("""COMPUTED_VALUE"""),239.38)</f>
        <v>239.38</v>
      </c>
      <c r="C654" s="9">
        <f>IFERROR(__xludf.DUMMYFUNCTION("""COMPUTED_VALUE"""),239.38)</f>
        <v>239.38</v>
      </c>
      <c r="D654" s="9">
        <f>IFERROR(__xludf.DUMMYFUNCTION("""COMPUTED_VALUE"""),227.56)</f>
        <v>227.56</v>
      </c>
      <c r="E654" s="9">
        <f>IFERROR(__xludf.DUMMYFUNCTION("""COMPUTED_VALUE"""),228.65)</f>
        <v>228.65</v>
      </c>
      <c r="F654" s="9">
        <f>IFERROR(__xludf.DUMMYFUNCTION("""COMPUTED_VALUE"""),1719108.0)</f>
        <v>1719108</v>
      </c>
      <c r="H654" s="27">
        <f>IFERROR(__xludf.DUMMYFUNCTION("""COMPUTED_VALUE"""),39314.645833333336)</f>
        <v>39314.64583</v>
      </c>
      <c r="I654" s="25">
        <f>IFERROR(__xludf.DUMMYFUNCTION("""COMPUTED_VALUE"""),270.88)</f>
        <v>270.88</v>
      </c>
      <c r="J654" s="25">
        <f>IFERROR(__xludf.DUMMYFUNCTION("""COMPUTED_VALUE"""),274.85)</f>
        <v>274.85</v>
      </c>
      <c r="K654" s="25">
        <f>IFERROR(__xludf.DUMMYFUNCTION("""COMPUTED_VALUE"""),262.77)</f>
        <v>262.77</v>
      </c>
      <c r="L654" s="25">
        <f>IFERROR(__xludf.DUMMYFUNCTION("""COMPUTED_VALUE"""),263.89)</f>
        <v>263.89</v>
      </c>
      <c r="M654" s="25">
        <f>IFERROR(__xludf.DUMMYFUNCTION("""COMPUTED_VALUE"""),1096711.0)</f>
        <v>1096711</v>
      </c>
    </row>
    <row r="655">
      <c r="A655" s="26">
        <f>IFERROR(__xludf.DUMMYFUNCTION("""COMPUTED_VALUE"""),39315.645833333336)</f>
        <v>39315.64583</v>
      </c>
      <c r="B655" s="9">
        <f>IFERROR(__xludf.DUMMYFUNCTION("""COMPUTED_VALUE"""),228.88)</f>
        <v>228.88</v>
      </c>
      <c r="C655" s="9">
        <f>IFERROR(__xludf.DUMMYFUNCTION("""COMPUTED_VALUE"""),231.26)</f>
        <v>231.26</v>
      </c>
      <c r="D655" s="9">
        <f>IFERROR(__xludf.DUMMYFUNCTION("""COMPUTED_VALUE"""),219.03)</f>
        <v>219.03</v>
      </c>
      <c r="E655" s="9">
        <f>IFERROR(__xludf.DUMMYFUNCTION("""COMPUTED_VALUE"""),220.17)</f>
        <v>220.17</v>
      </c>
      <c r="F655" s="9">
        <f>IFERROR(__xludf.DUMMYFUNCTION("""COMPUTED_VALUE"""),2510504.0)</f>
        <v>2510504</v>
      </c>
      <c r="H655" s="27">
        <f>IFERROR(__xludf.DUMMYFUNCTION("""COMPUTED_VALUE"""),39315.645833333336)</f>
        <v>39315.64583</v>
      </c>
      <c r="I655" s="25">
        <f>IFERROR(__xludf.DUMMYFUNCTION("""COMPUTED_VALUE"""),269.13)</f>
        <v>269.13</v>
      </c>
      <c r="J655" s="25">
        <f>IFERROR(__xludf.DUMMYFUNCTION("""COMPUTED_VALUE"""),269.13)</f>
        <v>269.13</v>
      </c>
      <c r="K655" s="25">
        <f>IFERROR(__xludf.DUMMYFUNCTION("""COMPUTED_VALUE"""),251.13)</f>
        <v>251.13</v>
      </c>
      <c r="L655" s="25">
        <f>IFERROR(__xludf.DUMMYFUNCTION("""COMPUTED_VALUE"""),253.81)</f>
        <v>253.81</v>
      </c>
      <c r="M655" s="25">
        <f>IFERROR(__xludf.DUMMYFUNCTION("""COMPUTED_VALUE"""),1090841.0)</f>
        <v>1090841</v>
      </c>
    </row>
    <row r="656">
      <c r="A656" s="26">
        <f>IFERROR(__xludf.DUMMYFUNCTION("""COMPUTED_VALUE"""),39316.645833333336)</f>
        <v>39316.64583</v>
      </c>
      <c r="B656" s="9">
        <f>IFERROR(__xludf.DUMMYFUNCTION("""COMPUTED_VALUE"""),220.63)</f>
        <v>220.63</v>
      </c>
      <c r="C656" s="9">
        <f>IFERROR(__xludf.DUMMYFUNCTION("""COMPUTED_VALUE"""),226.05)</f>
        <v>226.05</v>
      </c>
      <c r="D656" s="9">
        <f>IFERROR(__xludf.DUMMYFUNCTION("""COMPUTED_VALUE"""),218.75)</f>
        <v>218.75</v>
      </c>
      <c r="E656" s="9">
        <f>IFERROR(__xludf.DUMMYFUNCTION("""COMPUTED_VALUE"""),223.59)</f>
        <v>223.59</v>
      </c>
      <c r="F656" s="9">
        <f>IFERROR(__xludf.DUMMYFUNCTION("""COMPUTED_VALUE"""),1183042.0)</f>
        <v>1183042</v>
      </c>
      <c r="H656" s="27">
        <f>IFERROR(__xludf.DUMMYFUNCTION("""COMPUTED_VALUE"""),39316.645833333336)</f>
        <v>39316.64583</v>
      </c>
      <c r="I656" s="25">
        <f>IFERROR(__xludf.DUMMYFUNCTION("""COMPUTED_VALUE"""),255.0)</f>
        <v>255</v>
      </c>
      <c r="J656" s="25">
        <f>IFERROR(__xludf.DUMMYFUNCTION("""COMPUTED_VALUE"""),258.18)</f>
        <v>258.18</v>
      </c>
      <c r="K656" s="25">
        <f>IFERROR(__xludf.DUMMYFUNCTION("""COMPUTED_VALUE"""),249.0)</f>
        <v>249</v>
      </c>
      <c r="L656" s="25">
        <f>IFERROR(__xludf.DUMMYFUNCTION("""COMPUTED_VALUE"""),256.48)</f>
        <v>256.48</v>
      </c>
      <c r="M656" s="25">
        <f>IFERROR(__xludf.DUMMYFUNCTION("""COMPUTED_VALUE"""),956655.0)</f>
        <v>956655</v>
      </c>
    </row>
    <row r="657">
      <c r="A657" s="26">
        <f>IFERROR(__xludf.DUMMYFUNCTION("""COMPUTED_VALUE"""),39317.645833333336)</f>
        <v>39317.64583</v>
      </c>
      <c r="B657" s="9">
        <f>IFERROR(__xludf.DUMMYFUNCTION("""COMPUTED_VALUE"""),231.13)</f>
        <v>231.13</v>
      </c>
      <c r="C657" s="9">
        <f>IFERROR(__xludf.DUMMYFUNCTION("""COMPUTED_VALUE"""),231.24)</f>
        <v>231.24</v>
      </c>
      <c r="D657" s="9">
        <f>IFERROR(__xludf.DUMMYFUNCTION("""COMPUTED_VALUE"""),224.03)</f>
        <v>224.03</v>
      </c>
      <c r="E657" s="9">
        <f>IFERROR(__xludf.DUMMYFUNCTION("""COMPUTED_VALUE"""),226.44)</f>
        <v>226.44</v>
      </c>
      <c r="F657" s="9">
        <f>IFERROR(__xludf.DUMMYFUNCTION("""COMPUTED_VALUE"""),1723906.0)</f>
        <v>1723906</v>
      </c>
      <c r="H657" s="27">
        <f>IFERROR(__xludf.DUMMYFUNCTION("""COMPUTED_VALUE"""),39317.645833333336)</f>
        <v>39317.64583</v>
      </c>
      <c r="I657" s="25">
        <f>IFERROR(__xludf.DUMMYFUNCTION("""COMPUTED_VALUE"""),258.0)</f>
        <v>258</v>
      </c>
      <c r="J657" s="25">
        <f>IFERROR(__xludf.DUMMYFUNCTION("""COMPUTED_VALUE"""),262.0)</f>
        <v>262</v>
      </c>
      <c r="K657" s="25">
        <f>IFERROR(__xludf.DUMMYFUNCTION("""COMPUTED_VALUE"""),251.0)</f>
        <v>251</v>
      </c>
      <c r="L657" s="25">
        <f>IFERROR(__xludf.DUMMYFUNCTION("""COMPUTED_VALUE"""),251.98)</f>
        <v>251.98</v>
      </c>
      <c r="M657" s="25">
        <f>IFERROR(__xludf.DUMMYFUNCTION("""COMPUTED_VALUE"""),778437.0)</f>
        <v>778437</v>
      </c>
    </row>
    <row r="658">
      <c r="A658" s="26">
        <f>IFERROR(__xludf.DUMMYFUNCTION("""COMPUTED_VALUE"""),39318.645833333336)</f>
        <v>39318.64583</v>
      </c>
      <c r="B658" s="9">
        <f>IFERROR(__xludf.DUMMYFUNCTION("""COMPUTED_VALUE"""),222.64)</f>
        <v>222.64</v>
      </c>
      <c r="C658" s="9">
        <f>IFERROR(__xludf.DUMMYFUNCTION("""COMPUTED_VALUE"""),229.19)</f>
        <v>229.19</v>
      </c>
      <c r="D658" s="9">
        <f>IFERROR(__xludf.DUMMYFUNCTION("""COMPUTED_VALUE"""),222.64)</f>
        <v>222.64</v>
      </c>
      <c r="E658" s="9">
        <f>IFERROR(__xludf.DUMMYFUNCTION("""COMPUTED_VALUE"""),228.2)</f>
        <v>228.2</v>
      </c>
      <c r="F658" s="9">
        <f>IFERROR(__xludf.DUMMYFUNCTION("""COMPUTED_VALUE"""),925678.0)</f>
        <v>925678</v>
      </c>
      <c r="H658" s="27">
        <f>IFERROR(__xludf.DUMMYFUNCTION("""COMPUTED_VALUE"""),39318.645833333336)</f>
        <v>39318.64583</v>
      </c>
      <c r="I658" s="25">
        <f>IFERROR(__xludf.DUMMYFUNCTION("""COMPUTED_VALUE"""),253.75)</f>
        <v>253.75</v>
      </c>
      <c r="J658" s="25">
        <f>IFERROR(__xludf.DUMMYFUNCTION("""COMPUTED_VALUE"""),256.63)</f>
        <v>256.63</v>
      </c>
      <c r="K658" s="25">
        <f>IFERROR(__xludf.DUMMYFUNCTION("""COMPUTED_VALUE"""),249.88)</f>
        <v>249.88</v>
      </c>
      <c r="L658" s="25">
        <f>IFERROR(__xludf.DUMMYFUNCTION("""COMPUTED_VALUE"""),254.6)</f>
        <v>254.6</v>
      </c>
      <c r="M658" s="25">
        <f>IFERROR(__xludf.DUMMYFUNCTION("""COMPUTED_VALUE"""),481743.0)</f>
        <v>481743</v>
      </c>
    </row>
    <row r="659">
      <c r="A659" s="26">
        <f>IFERROR(__xludf.DUMMYFUNCTION("""COMPUTED_VALUE"""),39321.645833333336)</f>
        <v>39321.64583</v>
      </c>
      <c r="B659" s="9">
        <f>IFERROR(__xludf.DUMMYFUNCTION("""COMPUTED_VALUE"""),229.88)</f>
        <v>229.88</v>
      </c>
      <c r="C659" s="9">
        <f>IFERROR(__xludf.DUMMYFUNCTION("""COMPUTED_VALUE"""),231.38)</f>
        <v>231.38</v>
      </c>
      <c r="D659" s="9">
        <f>IFERROR(__xludf.DUMMYFUNCTION("""COMPUTED_VALUE"""),227.04)</f>
        <v>227.04</v>
      </c>
      <c r="E659" s="9">
        <f>IFERROR(__xludf.DUMMYFUNCTION("""COMPUTED_VALUE"""),230.96)</f>
        <v>230.96</v>
      </c>
      <c r="F659" s="9">
        <f>IFERROR(__xludf.DUMMYFUNCTION("""COMPUTED_VALUE"""),670614.0)</f>
        <v>670614</v>
      </c>
      <c r="H659" s="27">
        <f>IFERROR(__xludf.DUMMYFUNCTION("""COMPUTED_VALUE"""),39321.645833333336)</f>
        <v>39321.64583</v>
      </c>
      <c r="I659" s="25">
        <f>IFERROR(__xludf.DUMMYFUNCTION("""COMPUTED_VALUE"""),256.24)</f>
        <v>256.24</v>
      </c>
      <c r="J659" s="25">
        <f>IFERROR(__xludf.DUMMYFUNCTION("""COMPUTED_VALUE"""),259.7)</f>
        <v>259.7</v>
      </c>
      <c r="K659" s="25">
        <f>IFERROR(__xludf.DUMMYFUNCTION("""COMPUTED_VALUE"""),255.01)</f>
        <v>255.01</v>
      </c>
      <c r="L659" s="25">
        <f>IFERROR(__xludf.DUMMYFUNCTION("""COMPUTED_VALUE"""),256.63)</f>
        <v>256.63</v>
      </c>
      <c r="M659" s="25">
        <f>IFERROR(__xludf.DUMMYFUNCTION("""COMPUTED_VALUE"""),666714.0)</f>
        <v>666714</v>
      </c>
    </row>
    <row r="660">
      <c r="A660" s="26">
        <f>IFERROR(__xludf.DUMMYFUNCTION("""COMPUTED_VALUE"""),39322.645833333336)</f>
        <v>39322.64583</v>
      </c>
      <c r="B660" s="9">
        <f>IFERROR(__xludf.DUMMYFUNCTION("""COMPUTED_VALUE"""),228.75)</f>
        <v>228.75</v>
      </c>
      <c r="C660" s="9">
        <f>IFERROR(__xludf.DUMMYFUNCTION("""COMPUTED_VALUE"""),236.75)</f>
        <v>236.75</v>
      </c>
      <c r="D660" s="9">
        <f>IFERROR(__xludf.DUMMYFUNCTION("""COMPUTED_VALUE"""),228.25)</f>
        <v>228.25</v>
      </c>
      <c r="E660" s="9">
        <f>IFERROR(__xludf.DUMMYFUNCTION("""COMPUTED_VALUE"""),235.03)</f>
        <v>235.03</v>
      </c>
      <c r="F660" s="9">
        <f>IFERROR(__xludf.DUMMYFUNCTION("""COMPUTED_VALUE"""),1267184.0)</f>
        <v>1267184</v>
      </c>
      <c r="H660" s="27">
        <f>IFERROR(__xludf.DUMMYFUNCTION("""COMPUTED_VALUE"""),39322.645833333336)</f>
        <v>39322.64583</v>
      </c>
      <c r="I660" s="25">
        <f>IFERROR(__xludf.DUMMYFUNCTION("""COMPUTED_VALUE"""),259.0)</f>
        <v>259</v>
      </c>
      <c r="J660" s="25">
        <f>IFERROR(__xludf.DUMMYFUNCTION("""COMPUTED_VALUE"""),259.75)</f>
        <v>259.75</v>
      </c>
      <c r="K660" s="25">
        <f>IFERROR(__xludf.DUMMYFUNCTION("""COMPUTED_VALUE"""),252.75)</f>
        <v>252.75</v>
      </c>
      <c r="L660" s="25">
        <f>IFERROR(__xludf.DUMMYFUNCTION("""COMPUTED_VALUE"""),257.19)</f>
        <v>257.19</v>
      </c>
      <c r="M660" s="25">
        <f>IFERROR(__xludf.DUMMYFUNCTION("""COMPUTED_VALUE"""),565876.0)</f>
        <v>565876</v>
      </c>
    </row>
    <row r="661">
      <c r="A661" s="26">
        <f>IFERROR(__xludf.DUMMYFUNCTION("""COMPUTED_VALUE"""),39323.645833333336)</f>
        <v>39323.64583</v>
      </c>
      <c r="B661" s="9">
        <f>IFERROR(__xludf.DUMMYFUNCTION("""COMPUTED_VALUE"""),230.13)</f>
        <v>230.13</v>
      </c>
      <c r="C661" s="9">
        <f>IFERROR(__xludf.DUMMYFUNCTION("""COMPUTED_VALUE"""),233.75)</f>
        <v>233.75</v>
      </c>
      <c r="D661" s="9">
        <f>IFERROR(__xludf.DUMMYFUNCTION("""COMPUTED_VALUE"""),227.56)</f>
        <v>227.56</v>
      </c>
      <c r="E661" s="9">
        <f>IFERROR(__xludf.DUMMYFUNCTION("""COMPUTED_VALUE"""),229.66)</f>
        <v>229.66</v>
      </c>
      <c r="F661" s="9">
        <f>IFERROR(__xludf.DUMMYFUNCTION("""COMPUTED_VALUE"""),1451962.0)</f>
        <v>1451962</v>
      </c>
      <c r="H661" s="27">
        <f>IFERROR(__xludf.DUMMYFUNCTION("""COMPUTED_VALUE"""),39323.645833333336)</f>
        <v>39323.64583</v>
      </c>
      <c r="I661" s="25">
        <f>IFERROR(__xludf.DUMMYFUNCTION("""COMPUTED_VALUE"""),255.0)</f>
        <v>255</v>
      </c>
      <c r="J661" s="25">
        <f>IFERROR(__xludf.DUMMYFUNCTION("""COMPUTED_VALUE"""),259.95)</f>
        <v>259.95</v>
      </c>
      <c r="K661" s="25">
        <f>IFERROR(__xludf.DUMMYFUNCTION("""COMPUTED_VALUE"""),250.25)</f>
        <v>250.25</v>
      </c>
      <c r="L661" s="25">
        <f>IFERROR(__xludf.DUMMYFUNCTION("""COMPUTED_VALUE"""),257.9)</f>
        <v>257.9</v>
      </c>
      <c r="M661" s="25">
        <f>IFERROR(__xludf.DUMMYFUNCTION("""COMPUTED_VALUE"""),799172.0)</f>
        <v>799172</v>
      </c>
    </row>
    <row r="662">
      <c r="A662" s="26">
        <f>IFERROR(__xludf.DUMMYFUNCTION("""COMPUTED_VALUE"""),39324.645833333336)</f>
        <v>39324.64583</v>
      </c>
      <c r="B662" s="9">
        <f>IFERROR(__xludf.DUMMYFUNCTION("""COMPUTED_VALUE"""),231.25)</f>
        <v>231.25</v>
      </c>
      <c r="C662" s="9">
        <f>IFERROR(__xludf.DUMMYFUNCTION("""COMPUTED_VALUE"""),233.8)</f>
        <v>233.8</v>
      </c>
      <c r="D662" s="9">
        <f>IFERROR(__xludf.DUMMYFUNCTION("""COMPUTED_VALUE"""),230.13)</f>
        <v>230.13</v>
      </c>
      <c r="E662" s="9">
        <f>IFERROR(__xludf.DUMMYFUNCTION("""COMPUTED_VALUE"""),233.15)</f>
        <v>233.15</v>
      </c>
      <c r="F662" s="9">
        <f>IFERROR(__xludf.DUMMYFUNCTION("""COMPUTED_VALUE"""),1121626.0)</f>
        <v>1121626</v>
      </c>
      <c r="H662" s="27">
        <f>IFERROR(__xludf.DUMMYFUNCTION("""COMPUTED_VALUE"""),39324.645833333336)</f>
        <v>39324.64583</v>
      </c>
      <c r="I662" s="25">
        <f>IFERROR(__xludf.DUMMYFUNCTION("""COMPUTED_VALUE"""),260.5)</f>
        <v>260.5</v>
      </c>
      <c r="J662" s="25">
        <f>IFERROR(__xludf.DUMMYFUNCTION("""COMPUTED_VALUE"""),264.75)</f>
        <v>264.75</v>
      </c>
      <c r="K662" s="25">
        <f>IFERROR(__xludf.DUMMYFUNCTION("""COMPUTED_VALUE"""),256.25)</f>
        <v>256.25</v>
      </c>
      <c r="L662" s="25">
        <f>IFERROR(__xludf.DUMMYFUNCTION("""COMPUTED_VALUE"""),261.5)</f>
        <v>261.5</v>
      </c>
      <c r="M662" s="25">
        <f>IFERROR(__xludf.DUMMYFUNCTION("""COMPUTED_VALUE"""),1750793.0)</f>
        <v>1750793</v>
      </c>
    </row>
    <row r="663">
      <c r="A663" s="26">
        <f>IFERROR(__xludf.DUMMYFUNCTION("""COMPUTED_VALUE"""),39325.645833333336)</f>
        <v>39325.64583</v>
      </c>
      <c r="B663" s="9">
        <f>IFERROR(__xludf.DUMMYFUNCTION("""COMPUTED_VALUE"""),235.63)</f>
        <v>235.63</v>
      </c>
      <c r="C663" s="9">
        <f>IFERROR(__xludf.DUMMYFUNCTION("""COMPUTED_VALUE"""),235.63)</f>
        <v>235.63</v>
      </c>
      <c r="D663" s="9">
        <f>IFERROR(__xludf.DUMMYFUNCTION("""COMPUTED_VALUE"""),231.0)</f>
        <v>231</v>
      </c>
      <c r="E663" s="9">
        <f>IFERROR(__xludf.DUMMYFUNCTION("""COMPUTED_VALUE"""),231.82)</f>
        <v>231.82</v>
      </c>
      <c r="F663" s="9">
        <f>IFERROR(__xludf.DUMMYFUNCTION("""COMPUTED_VALUE"""),985667.0)</f>
        <v>985667</v>
      </c>
      <c r="H663" s="27">
        <f>IFERROR(__xludf.DUMMYFUNCTION("""COMPUTED_VALUE"""),39325.645833333336)</f>
        <v>39325.64583</v>
      </c>
      <c r="I663" s="25">
        <f>IFERROR(__xludf.DUMMYFUNCTION("""COMPUTED_VALUE"""),263.0)</f>
        <v>263</v>
      </c>
      <c r="J663" s="25">
        <f>IFERROR(__xludf.DUMMYFUNCTION("""COMPUTED_VALUE"""),267.43)</f>
        <v>267.43</v>
      </c>
      <c r="K663" s="25">
        <f>IFERROR(__xludf.DUMMYFUNCTION("""COMPUTED_VALUE"""),261.75)</f>
        <v>261.75</v>
      </c>
      <c r="L663" s="25">
        <f>IFERROR(__xludf.DUMMYFUNCTION("""COMPUTED_VALUE"""),266.09)</f>
        <v>266.09</v>
      </c>
      <c r="M663" s="25">
        <f>IFERROR(__xludf.DUMMYFUNCTION("""COMPUTED_VALUE"""),594374.0)</f>
        <v>594374</v>
      </c>
    </row>
    <row r="664">
      <c r="A664" s="26">
        <f>IFERROR(__xludf.DUMMYFUNCTION("""COMPUTED_VALUE"""),39328.645833333336)</f>
        <v>39328.64583</v>
      </c>
      <c r="B664" s="9">
        <f>IFERROR(__xludf.DUMMYFUNCTION("""COMPUTED_VALUE"""),233.13)</f>
        <v>233.13</v>
      </c>
      <c r="C664" s="9">
        <f>IFERROR(__xludf.DUMMYFUNCTION("""COMPUTED_VALUE"""),233.75)</f>
        <v>233.75</v>
      </c>
      <c r="D664" s="9">
        <f>IFERROR(__xludf.DUMMYFUNCTION("""COMPUTED_VALUE"""),231.88)</f>
        <v>231.88</v>
      </c>
      <c r="E664" s="9">
        <f>IFERROR(__xludf.DUMMYFUNCTION("""COMPUTED_VALUE"""),232.58)</f>
        <v>232.58</v>
      </c>
      <c r="F664" s="9">
        <f>IFERROR(__xludf.DUMMYFUNCTION("""COMPUTED_VALUE"""),596234.0)</f>
        <v>596234</v>
      </c>
      <c r="H664" s="27">
        <f>IFERROR(__xludf.DUMMYFUNCTION("""COMPUTED_VALUE"""),39328.645833333336)</f>
        <v>39328.64583</v>
      </c>
      <c r="I664" s="25">
        <f>IFERROR(__xludf.DUMMYFUNCTION("""COMPUTED_VALUE"""),267.5)</f>
        <v>267.5</v>
      </c>
      <c r="J664" s="25">
        <f>IFERROR(__xludf.DUMMYFUNCTION("""COMPUTED_VALUE"""),268.75)</f>
        <v>268.75</v>
      </c>
      <c r="K664" s="25">
        <f>IFERROR(__xludf.DUMMYFUNCTION("""COMPUTED_VALUE"""),263.35)</f>
        <v>263.35</v>
      </c>
      <c r="L664" s="25">
        <f>IFERROR(__xludf.DUMMYFUNCTION("""COMPUTED_VALUE"""),265.31)</f>
        <v>265.31</v>
      </c>
      <c r="M664" s="25">
        <f>IFERROR(__xludf.DUMMYFUNCTION("""COMPUTED_VALUE"""),624066.0)</f>
        <v>624066</v>
      </c>
    </row>
    <row r="665">
      <c r="A665" s="26">
        <f>IFERROR(__xludf.DUMMYFUNCTION("""COMPUTED_VALUE"""),39329.645833333336)</f>
        <v>39329.64583</v>
      </c>
      <c r="B665" s="9">
        <f>IFERROR(__xludf.DUMMYFUNCTION("""COMPUTED_VALUE"""),240.34)</f>
        <v>240.34</v>
      </c>
      <c r="C665" s="9">
        <f>IFERROR(__xludf.DUMMYFUNCTION("""COMPUTED_VALUE"""),240.34)</f>
        <v>240.34</v>
      </c>
      <c r="D665" s="9">
        <f>IFERROR(__xludf.DUMMYFUNCTION("""COMPUTED_VALUE"""),221.88)</f>
        <v>221.88</v>
      </c>
      <c r="E665" s="9">
        <f>IFERROR(__xludf.DUMMYFUNCTION("""COMPUTED_VALUE"""),236.21)</f>
        <v>236.21</v>
      </c>
      <c r="F665" s="9">
        <f>IFERROR(__xludf.DUMMYFUNCTION("""COMPUTED_VALUE"""),699221.0)</f>
        <v>699221</v>
      </c>
      <c r="H665" s="27">
        <f>IFERROR(__xludf.DUMMYFUNCTION("""COMPUTED_VALUE"""),39329.645833333336)</f>
        <v>39329.64583</v>
      </c>
      <c r="I665" s="25">
        <f>IFERROR(__xludf.DUMMYFUNCTION("""COMPUTED_VALUE"""),266.25)</f>
        <v>266.25</v>
      </c>
      <c r="J665" s="25">
        <f>IFERROR(__xludf.DUMMYFUNCTION("""COMPUTED_VALUE"""),271.93)</f>
        <v>271.93</v>
      </c>
      <c r="K665" s="25">
        <f>IFERROR(__xludf.DUMMYFUNCTION("""COMPUTED_VALUE"""),265.25)</f>
        <v>265.25</v>
      </c>
      <c r="L665" s="25">
        <f>IFERROR(__xludf.DUMMYFUNCTION("""COMPUTED_VALUE"""),266.52)</f>
        <v>266.52</v>
      </c>
      <c r="M665" s="25">
        <f>IFERROR(__xludf.DUMMYFUNCTION("""COMPUTED_VALUE"""),545689.0)</f>
        <v>545689</v>
      </c>
    </row>
    <row r="666">
      <c r="A666" s="26">
        <f>IFERROR(__xludf.DUMMYFUNCTION("""COMPUTED_VALUE"""),39330.645833333336)</f>
        <v>39330.64583</v>
      </c>
      <c r="B666" s="9">
        <f>IFERROR(__xludf.DUMMYFUNCTION("""COMPUTED_VALUE"""),235.5)</f>
        <v>235.5</v>
      </c>
      <c r="C666" s="9">
        <f>IFERROR(__xludf.DUMMYFUNCTION("""COMPUTED_VALUE"""),240.62)</f>
        <v>240.62</v>
      </c>
      <c r="D666" s="9">
        <f>IFERROR(__xludf.DUMMYFUNCTION("""COMPUTED_VALUE"""),235.41)</f>
        <v>235.41</v>
      </c>
      <c r="E666" s="9">
        <f>IFERROR(__xludf.DUMMYFUNCTION("""COMPUTED_VALUE"""),236.88)</f>
        <v>236.88</v>
      </c>
      <c r="F666" s="9">
        <f>IFERROR(__xludf.DUMMYFUNCTION("""COMPUTED_VALUE"""),1087659.0)</f>
        <v>1087659</v>
      </c>
      <c r="H666" s="27">
        <f>IFERROR(__xludf.DUMMYFUNCTION("""COMPUTED_VALUE"""),39330.645833333336)</f>
        <v>39330.64583</v>
      </c>
      <c r="I666" s="25">
        <f>IFERROR(__xludf.DUMMYFUNCTION("""COMPUTED_VALUE"""),266.75)</f>
        <v>266.75</v>
      </c>
      <c r="J666" s="25">
        <f>IFERROR(__xludf.DUMMYFUNCTION("""COMPUTED_VALUE"""),270.74)</f>
        <v>270.74</v>
      </c>
      <c r="K666" s="25">
        <f>IFERROR(__xludf.DUMMYFUNCTION("""COMPUTED_VALUE"""),266.27)</f>
        <v>266.27</v>
      </c>
      <c r="L666" s="25">
        <f>IFERROR(__xludf.DUMMYFUNCTION("""COMPUTED_VALUE"""),268.09)</f>
        <v>268.09</v>
      </c>
      <c r="M666" s="25">
        <f>IFERROR(__xludf.DUMMYFUNCTION("""COMPUTED_VALUE"""),879241.0)</f>
        <v>879241</v>
      </c>
    </row>
    <row r="667">
      <c r="A667" s="26">
        <f>IFERROR(__xludf.DUMMYFUNCTION("""COMPUTED_VALUE"""),39331.645833333336)</f>
        <v>39331.64583</v>
      </c>
      <c r="B667" s="9">
        <f>IFERROR(__xludf.DUMMYFUNCTION("""COMPUTED_VALUE"""),234.5)</f>
        <v>234.5</v>
      </c>
      <c r="C667" s="9">
        <f>IFERROR(__xludf.DUMMYFUNCTION("""COMPUTED_VALUE"""),238.63)</f>
        <v>238.63</v>
      </c>
      <c r="D667" s="9">
        <f>IFERROR(__xludf.DUMMYFUNCTION("""COMPUTED_VALUE"""),234.5)</f>
        <v>234.5</v>
      </c>
      <c r="E667" s="9">
        <f>IFERROR(__xludf.DUMMYFUNCTION("""COMPUTED_VALUE"""),237.98)</f>
        <v>237.98</v>
      </c>
      <c r="F667" s="9">
        <f>IFERROR(__xludf.DUMMYFUNCTION("""COMPUTED_VALUE"""),485152.0)</f>
        <v>485152</v>
      </c>
      <c r="H667" s="27">
        <f>IFERROR(__xludf.DUMMYFUNCTION("""COMPUTED_VALUE"""),39331.645833333336)</f>
        <v>39331.64583</v>
      </c>
      <c r="I667" s="25">
        <f>IFERROR(__xludf.DUMMYFUNCTION("""COMPUTED_VALUE"""),266.25)</f>
        <v>266.25</v>
      </c>
      <c r="J667" s="25">
        <f>IFERROR(__xludf.DUMMYFUNCTION("""COMPUTED_VALUE"""),270.25)</f>
        <v>270.25</v>
      </c>
      <c r="K667" s="25">
        <f>IFERROR(__xludf.DUMMYFUNCTION("""COMPUTED_VALUE"""),265.25)</f>
        <v>265.25</v>
      </c>
      <c r="L667" s="25">
        <f>IFERROR(__xludf.DUMMYFUNCTION("""COMPUTED_VALUE"""),269.5)</f>
        <v>269.5</v>
      </c>
      <c r="M667" s="25">
        <f>IFERROR(__xludf.DUMMYFUNCTION("""COMPUTED_VALUE"""),467965.0)</f>
        <v>467965</v>
      </c>
    </row>
    <row r="668">
      <c r="A668" s="26">
        <f>IFERROR(__xludf.DUMMYFUNCTION("""COMPUTED_VALUE"""),39332.645833333336)</f>
        <v>39332.64583</v>
      </c>
      <c r="B668" s="9">
        <f>IFERROR(__xludf.DUMMYFUNCTION("""COMPUTED_VALUE"""),238.88)</f>
        <v>238.88</v>
      </c>
      <c r="C668" s="9">
        <f>IFERROR(__xludf.DUMMYFUNCTION("""COMPUTED_VALUE"""),240.63)</f>
        <v>240.63</v>
      </c>
      <c r="D668" s="9">
        <f>IFERROR(__xludf.DUMMYFUNCTION("""COMPUTED_VALUE"""),237.63)</f>
        <v>237.63</v>
      </c>
      <c r="E668" s="9">
        <f>IFERROR(__xludf.DUMMYFUNCTION("""COMPUTED_VALUE"""),238.56)</f>
        <v>238.56</v>
      </c>
      <c r="F668" s="9">
        <f>IFERROR(__xludf.DUMMYFUNCTION("""COMPUTED_VALUE"""),669722.0)</f>
        <v>669722</v>
      </c>
      <c r="H668" s="27">
        <f>IFERROR(__xludf.DUMMYFUNCTION("""COMPUTED_VALUE"""),39332.645833333336)</f>
        <v>39332.64583</v>
      </c>
      <c r="I668" s="25">
        <f>IFERROR(__xludf.DUMMYFUNCTION("""COMPUTED_VALUE"""),269.25)</f>
        <v>269.25</v>
      </c>
      <c r="J668" s="25">
        <f>IFERROR(__xludf.DUMMYFUNCTION("""COMPUTED_VALUE"""),271.13)</f>
        <v>271.13</v>
      </c>
      <c r="K668" s="25">
        <f>IFERROR(__xludf.DUMMYFUNCTION("""COMPUTED_VALUE"""),267.5)</f>
        <v>267.5</v>
      </c>
      <c r="L668" s="25">
        <f>IFERROR(__xludf.DUMMYFUNCTION("""COMPUTED_VALUE"""),269.06)</f>
        <v>269.06</v>
      </c>
      <c r="M668" s="25">
        <f>IFERROR(__xludf.DUMMYFUNCTION("""COMPUTED_VALUE"""),422894.0)</f>
        <v>422894</v>
      </c>
    </row>
    <row r="669">
      <c r="A669" s="26">
        <f>IFERROR(__xludf.DUMMYFUNCTION("""COMPUTED_VALUE"""),39335.645833333336)</f>
        <v>39335.64583</v>
      </c>
      <c r="B669" s="9">
        <f>IFERROR(__xludf.DUMMYFUNCTION("""COMPUTED_VALUE"""),236.56)</f>
        <v>236.56</v>
      </c>
      <c r="C669" s="9">
        <f>IFERROR(__xludf.DUMMYFUNCTION("""COMPUTED_VALUE"""),238.09)</f>
        <v>238.09</v>
      </c>
      <c r="D669" s="9">
        <f>IFERROR(__xludf.DUMMYFUNCTION("""COMPUTED_VALUE"""),233.21)</f>
        <v>233.21</v>
      </c>
      <c r="E669" s="9">
        <f>IFERROR(__xludf.DUMMYFUNCTION("""COMPUTED_VALUE"""),233.94)</f>
        <v>233.94</v>
      </c>
      <c r="F669" s="9">
        <f>IFERROR(__xludf.DUMMYFUNCTION("""COMPUTED_VALUE"""),741055.0)</f>
        <v>741055</v>
      </c>
      <c r="H669" s="27">
        <f>IFERROR(__xludf.DUMMYFUNCTION("""COMPUTED_VALUE"""),39335.645833333336)</f>
        <v>39335.64583</v>
      </c>
      <c r="I669" s="25">
        <f>IFERROR(__xludf.DUMMYFUNCTION("""COMPUTED_VALUE"""),269.06)</f>
        <v>269.06</v>
      </c>
      <c r="J669" s="25">
        <f>IFERROR(__xludf.DUMMYFUNCTION("""COMPUTED_VALUE"""),269.06)</f>
        <v>269.06</v>
      </c>
      <c r="K669" s="25">
        <f>IFERROR(__xludf.DUMMYFUNCTION("""COMPUTED_VALUE"""),261.0)</f>
        <v>261</v>
      </c>
      <c r="L669" s="25">
        <f>IFERROR(__xludf.DUMMYFUNCTION("""COMPUTED_VALUE"""),261.81)</f>
        <v>261.81</v>
      </c>
      <c r="M669" s="25">
        <f>IFERROR(__xludf.DUMMYFUNCTION("""COMPUTED_VALUE"""),550265.0)</f>
        <v>550265</v>
      </c>
    </row>
    <row r="670">
      <c r="A670" s="26">
        <f>IFERROR(__xludf.DUMMYFUNCTION("""COMPUTED_VALUE"""),39336.645833333336)</f>
        <v>39336.64583</v>
      </c>
      <c r="B670" s="9">
        <f>IFERROR(__xludf.DUMMYFUNCTION("""COMPUTED_VALUE"""),235.75)</f>
        <v>235.75</v>
      </c>
      <c r="C670" s="9">
        <f>IFERROR(__xludf.DUMMYFUNCTION("""COMPUTED_VALUE"""),235.75)</f>
        <v>235.75</v>
      </c>
      <c r="D670" s="9">
        <f>IFERROR(__xludf.DUMMYFUNCTION("""COMPUTED_VALUE"""),226.88)</f>
        <v>226.88</v>
      </c>
      <c r="E670" s="9">
        <f>IFERROR(__xludf.DUMMYFUNCTION("""COMPUTED_VALUE"""),227.85)</f>
        <v>227.85</v>
      </c>
      <c r="F670" s="9">
        <f>IFERROR(__xludf.DUMMYFUNCTION("""COMPUTED_VALUE"""),975866.0)</f>
        <v>975866</v>
      </c>
      <c r="H670" s="27">
        <f>IFERROR(__xludf.DUMMYFUNCTION("""COMPUTED_VALUE"""),39336.645833333336)</f>
        <v>39336.64583</v>
      </c>
      <c r="I670" s="25">
        <f>IFERROR(__xludf.DUMMYFUNCTION("""COMPUTED_VALUE"""),273.61)</f>
        <v>273.61</v>
      </c>
      <c r="J670" s="25">
        <f>IFERROR(__xludf.DUMMYFUNCTION("""COMPUTED_VALUE"""),273.61)</f>
        <v>273.61</v>
      </c>
      <c r="K670" s="25">
        <f>IFERROR(__xludf.DUMMYFUNCTION("""COMPUTED_VALUE"""),255.0)</f>
        <v>255</v>
      </c>
      <c r="L670" s="25">
        <f>IFERROR(__xludf.DUMMYFUNCTION("""COMPUTED_VALUE"""),255.84)</f>
        <v>255.84</v>
      </c>
      <c r="M670" s="25">
        <f>IFERROR(__xludf.DUMMYFUNCTION("""COMPUTED_VALUE"""),846639.0)</f>
        <v>846639</v>
      </c>
    </row>
    <row r="671">
      <c r="A671" s="26">
        <f>IFERROR(__xludf.DUMMYFUNCTION("""COMPUTED_VALUE"""),39337.645833333336)</f>
        <v>39337.64583</v>
      </c>
      <c r="B671" s="9">
        <f>IFERROR(__xludf.DUMMYFUNCTION("""COMPUTED_VALUE"""),228.13)</f>
        <v>228.13</v>
      </c>
      <c r="C671" s="9">
        <f>IFERROR(__xludf.DUMMYFUNCTION("""COMPUTED_VALUE"""),233.25)</f>
        <v>233.25</v>
      </c>
      <c r="D671" s="9">
        <f>IFERROR(__xludf.DUMMYFUNCTION("""COMPUTED_VALUE"""),226.64)</f>
        <v>226.64</v>
      </c>
      <c r="E671" s="9">
        <f>IFERROR(__xludf.DUMMYFUNCTION("""COMPUTED_VALUE"""),227.73)</f>
        <v>227.73</v>
      </c>
      <c r="F671" s="9">
        <f>IFERROR(__xludf.DUMMYFUNCTION("""COMPUTED_VALUE"""),997235.0)</f>
        <v>997235</v>
      </c>
      <c r="H671" s="27">
        <f>IFERROR(__xludf.DUMMYFUNCTION("""COMPUTED_VALUE"""),39337.645833333336)</f>
        <v>39337.64583</v>
      </c>
      <c r="I671" s="25">
        <f>IFERROR(__xludf.DUMMYFUNCTION("""COMPUTED_VALUE"""),257.5)</f>
        <v>257.5</v>
      </c>
      <c r="J671" s="25">
        <f>IFERROR(__xludf.DUMMYFUNCTION("""COMPUTED_VALUE"""),259.44)</f>
        <v>259.44</v>
      </c>
      <c r="K671" s="25">
        <f>IFERROR(__xludf.DUMMYFUNCTION("""COMPUTED_VALUE"""),253.38)</f>
        <v>253.38</v>
      </c>
      <c r="L671" s="25">
        <f>IFERROR(__xludf.DUMMYFUNCTION("""COMPUTED_VALUE"""),253.9)</f>
        <v>253.9</v>
      </c>
      <c r="M671" s="25">
        <f>IFERROR(__xludf.DUMMYFUNCTION("""COMPUTED_VALUE"""),586026.0)</f>
        <v>586026</v>
      </c>
    </row>
    <row r="672">
      <c r="A672" s="26">
        <f>IFERROR(__xludf.DUMMYFUNCTION("""COMPUTED_VALUE"""),39338.645833333336)</f>
        <v>39338.64583</v>
      </c>
      <c r="B672" s="9">
        <f>IFERROR(__xludf.DUMMYFUNCTION("""COMPUTED_VALUE"""),228.13)</f>
        <v>228.13</v>
      </c>
      <c r="C672" s="9">
        <f>IFERROR(__xludf.DUMMYFUNCTION("""COMPUTED_VALUE"""),232.75)</f>
        <v>232.75</v>
      </c>
      <c r="D672" s="9">
        <f>IFERROR(__xludf.DUMMYFUNCTION("""COMPUTED_VALUE"""),227.94)</f>
        <v>227.94</v>
      </c>
      <c r="E672" s="9">
        <f>IFERROR(__xludf.DUMMYFUNCTION("""COMPUTED_VALUE"""),229.28)</f>
        <v>229.28</v>
      </c>
      <c r="F672" s="9">
        <f>IFERROR(__xludf.DUMMYFUNCTION("""COMPUTED_VALUE"""),1203850.0)</f>
        <v>1203850</v>
      </c>
      <c r="H672" s="27">
        <f>IFERROR(__xludf.DUMMYFUNCTION("""COMPUTED_VALUE"""),39338.645833333336)</f>
        <v>39338.64583</v>
      </c>
      <c r="I672" s="25">
        <f>IFERROR(__xludf.DUMMYFUNCTION("""COMPUTED_VALUE"""),256.23)</f>
        <v>256.23</v>
      </c>
      <c r="J672" s="25">
        <f>IFERROR(__xludf.DUMMYFUNCTION("""COMPUTED_VALUE"""),258.75)</f>
        <v>258.75</v>
      </c>
      <c r="K672" s="25">
        <f>IFERROR(__xludf.DUMMYFUNCTION("""COMPUTED_VALUE"""),252.6)</f>
        <v>252.6</v>
      </c>
      <c r="L672" s="25">
        <f>IFERROR(__xludf.DUMMYFUNCTION("""COMPUTED_VALUE"""),257.7)</f>
        <v>257.7</v>
      </c>
      <c r="M672" s="25">
        <f>IFERROR(__xludf.DUMMYFUNCTION("""COMPUTED_VALUE"""),538268.0)</f>
        <v>538268</v>
      </c>
    </row>
    <row r="673">
      <c r="A673" s="26">
        <f>IFERROR(__xludf.DUMMYFUNCTION("""COMPUTED_VALUE"""),39339.645833333336)</f>
        <v>39339.64583</v>
      </c>
      <c r="B673" s="9">
        <f>IFERROR(__xludf.DUMMYFUNCTION("""COMPUTED_VALUE"""),230.0)</f>
        <v>230</v>
      </c>
      <c r="C673" s="9">
        <f>IFERROR(__xludf.DUMMYFUNCTION("""COMPUTED_VALUE"""),232.25)</f>
        <v>232.25</v>
      </c>
      <c r="D673" s="9">
        <f>IFERROR(__xludf.DUMMYFUNCTION("""COMPUTED_VALUE"""),228.79)</f>
        <v>228.79</v>
      </c>
      <c r="E673" s="9">
        <f>IFERROR(__xludf.DUMMYFUNCTION("""COMPUTED_VALUE"""),229.64)</f>
        <v>229.64</v>
      </c>
      <c r="F673" s="9">
        <f>IFERROR(__xludf.DUMMYFUNCTION("""COMPUTED_VALUE"""),1193786.0)</f>
        <v>1193786</v>
      </c>
      <c r="H673" s="27">
        <f>IFERROR(__xludf.DUMMYFUNCTION("""COMPUTED_VALUE"""),39339.645833333336)</f>
        <v>39339.64583</v>
      </c>
      <c r="I673" s="25">
        <f>IFERROR(__xludf.DUMMYFUNCTION("""COMPUTED_VALUE"""),262.5)</f>
        <v>262.5</v>
      </c>
      <c r="J673" s="25">
        <f>IFERROR(__xludf.DUMMYFUNCTION("""COMPUTED_VALUE"""),262.5)</f>
        <v>262.5</v>
      </c>
      <c r="K673" s="25">
        <f>IFERROR(__xludf.DUMMYFUNCTION("""COMPUTED_VALUE"""),254.53)</f>
        <v>254.53</v>
      </c>
      <c r="L673" s="25">
        <f>IFERROR(__xludf.DUMMYFUNCTION("""COMPUTED_VALUE"""),255.61)</f>
        <v>255.61</v>
      </c>
      <c r="M673" s="25">
        <f>IFERROR(__xludf.DUMMYFUNCTION("""COMPUTED_VALUE"""),475057.0)</f>
        <v>475057</v>
      </c>
    </row>
    <row r="674">
      <c r="A674" s="26">
        <f>IFERROR(__xludf.DUMMYFUNCTION("""COMPUTED_VALUE"""),39342.645833333336)</f>
        <v>39342.64583</v>
      </c>
      <c r="B674" s="9">
        <f>IFERROR(__xludf.DUMMYFUNCTION("""COMPUTED_VALUE"""),231.75)</f>
        <v>231.75</v>
      </c>
      <c r="C674" s="9">
        <f>IFERROR(__xludf.DUMMYFUNCTION("""COMPUTED_VALUE"""),231.86)</f>
        <v>231.86</v>
      </c>
      <c r="D674" s="9">
        <f>IFERROR(__xludf.DUMMYFUNCTION("""COMPUTED_VALUE"""),224.06)</f>
        <v>224.06</v>
      </c>
      <c r="E674" s="9">
        <f>IFERROR(__xludf.DUMMYFUNCTION("""COMPUTED_VALUE"""),225.6)</f>
        <v>225.6</v>
      </c>
      <c r="F674" s="9">
        <f>IFERROR(__xludf.DUMMYFUNCTION("""COMPUTED_VALUE"""),1378864.0)</f>
        <v>1378864</v>
      </c>
      <c r="H674" s="27">
        <f>IFERROR(__xludf.DUMMYFUNCTION("""COMPUTED_VALUE"""),39342.645833333336)</f>
        <v>39342.64583</v>
      </c>
      <c r="I674" s="25">
        <f>IFERROR(__xludf.DUMMYFUNCTION("""COMPUTED_VALUE"""),256.25)</f>
        <v>256.25</v>
      </c>
      <c r="J674" s="25">
        <f>IFERROR(__xludf.DUMMYFUNCTION("""COMPUTED_VALUE"""),257.95)</f>
        <v>257.95</v>
      </c>
      <c r="K674" s="25">
        <f>IFERROR(__xludf.DUMMYFUNCTION("""COMPUTED_VALUE"""),248.93)</f>
        <v>248.93</v>
      </c>
      <c r="L674" s="25">
        <f>IFERROR(__xludf.DUMMYFUNCTION("""COMPUTED_VALUE"""),249.41)</f>
        <v>249.41</v>
      </c>
      <c r="M674" s="25">
        <f>IFERROR(__xludf.DUMMYFUNCTION("""COMPUTED_VALUE"""),1271544.0)</f>
        <v>1271544</v>
      </c>
    </row>
    <row r="675">
      <c r="A675" s="26">
        <f>IFERROR(__xludf.DUMMYFUNCTION("""COMPUTED_VALUE"""),39343.645833333336)</f>
        <v>39343.64583</v>
      </c>
      <c r="B675" s="9">
        <f>IFERROR(__xludf.DUMMYFUNCTION("""COMPUTED_VALUE"""),225.0)</f>
        <v>225</v>
      </c>
      <c r="C675" s="9">
        <f>IFERROR(__xludf.DUMMYFUNCTION("""COMPUTED_VALUE"""),226.84)</f>
        <v>226.84</v>
      </c>
      <c r="D675" s="9">
        <f>IFERROR(__xludf.DUMMYFUNCTION("""COMPUTED_VALUE"""),223.31)</f>
        <v>223.31</v>
      </c>
      <c r="E675" s="9">
        <f>IFERROR(__xludf.DUMMYFUNCTION("""COMPUTED_VALUE"""),225.57)</f>
        <v>225.57</v>
      </c>
      <c r="F675" s="9">
        <f>IFERROR(__xludf.DUMMYFUNCTION("""COMPUTED_VALUE"""),1676002.0)</f>
        <v>1676002</v>
      </c>
      <c r="H675" s="27">
        <f>IFERROR(__xludf.DUMMYFUNCTION("""COMPUTED_VALUE"""),39343.645833333336)</f>
        <v>39343.64583</v>
      </c>
      <c r="I675" s="25">
        <f>IFERROR(__xludf.DUMMYFUNCTION("""COMPUTED_VALUE"""),249.25)</f>
        <v>249.25</v>
      </c>
      <c r="J675" s="25">
        <f>IFERROR(__xludf.DUMMYFUNCTION("""COMPUTED_VALUE"""),251.93)</f>
        <v>251.93</v>
      </c>
      <c r="K675" s="25">
        <f>IFERROR(__xludf.DUMMYFUNCTION("""COMPUTED_VALUE"""),248.25)</f>
        <v>248.25</v>
      </c>
      <c r="L675" s="25">
        <f>IFERROR(__xludf.DUMMYFUNCTION("""COMPUTED_VALUE"""),250.61)</f>
        <v>250.61</v>
      </c>
      <c r="M675" s="25">
        <f>IFERROR(__xludf.DUMMYFUNCTION("""COMPUTED_VALUE"""),1235702.0)</f>
        <v>1235702</v>
      </c>
    </row>
    <row r="676">
      <c r="A676" s="26">
        <f>IFERROR(__xludf.DUMMYFUNCTION("""COMPUTED_VALUE"""),39344.645833333336)</f>
        <v>39344.64583</v>
      </c>
      <c r="B676" s="9">
        <f>IFERROR(__xludf.DUMMYFUNCTION("""COMPUTED_VALUE"""),230.0)</f>
        <v>230</v>
      </c>
      <c r="C676" s="9">
        <f>IFERROR(__xludf.DUMMYFUNCTION("""COMPUTED_VALUE"""),233.5)</f>
        <v>233.5</v>
      </c>
      <c r="D676" s="9">
        <f>IFERROR(__xludf.DUMMYFUNCTION("""COMPUTED_VALUE"""),230.0)</f>
        <v>230</v>
      </c>
      <c r="E676" s="9">
        <f>IFERROR(__xludf.DUMMYFUNCTION("""COMPUTED_VALUE"""),231.45)</f>
        <v>231.45</v>
      </c>
      <c r="F676" s="9">
        <f>IFERROR(__xludf.DUMMYFUNCTION("""COMPUTED_VALUE"""),2151113.0)</f>
        <v>2151113</v>
      </c>
      <c r="H676" s="27">
        <f>IFERROR(__xludf.DUMMYFUNCTION("""COMPUTED_VALUE"""),39344.645833333336)</f>
        <v>39344.64583</v>
      </c>
      <c r="I676" s="25">
        <f>IFERROR(__xludf.DUMMYFUNCTION("""COMPUTED_VALUE"""),256.25)</f>
        <v>256.25</v>
      </c>
      <c r="J676" s="25">
        <f>IFERROR(__xludf.DUMMYFUNCTION("""COMPUTED_VALUE"""),258.43)</f>
        <v>258.43</v>
      </c>
      <c r="K676" s="25">
        <f>IFERROR(__xludf.DUMMYFUNCTION("""COMPUTED_VALUE"""),254.3)</f>
        <v>254.3</v>
      </c>
      <c r="L676" s="25">
        <f>IFERROR(__xludf.DUMMYFUNCTION("""COMPUTED_VALUE"""),255.76)</f>
        <v>255.76</v>
      </c>
      <c r="M676" s="25">
        <f>IFERROR(__xludf.DUMMYFUNCTION("""COMPUTED_VALUE"""),1160667.0)</f>
        <v>1160667</v>
      </c>
    </row>
    <row r="677">
      <c r="A677" s="26">
        <f>IFERROR(__xludf.DUMMYFUNCTION("""COMPUTED_VALUE"""),39345.645833333336)</f>
        <v>39345.64583</v>
      </c>
      <c r="B677" s="9">
        <f>IFERROR(__xludf.DUMMYFUNCTION("""COMPUTED_VALUE"""),230.0)</f>
        <v>230</v>
      </c>
      <c r="C677" s="9">
        <f>IFERROR(__xludf.DUMMYFUNCTION("""COMPUTED_VALUE"""),230.63)</f>
        <v>230.63</v>
      </c>
      <c r="D677" s="9">
        <f>IFERROR(__xludf.DUMMYFUNCTION("""COMPUTED_VALUE"""),224.39)</f>
        <v>224.39</v>
      </c>
      <c r="E677" s="9">
        <f>IFERROR(__xludf.DUMMYFUNCTION("""COMPUTED_VALUE"""),225.05)</f>
        <v>225.05</v>
      </c>
      <c r="F677" s="9">
        <f>IFERROR(__xludf.DUMMYFUNCTION("""COMPUTED_VALUE"""),1292508.0)</f>
        <v>1292508</v>
      </c>
      <c r="H677" s="27">
        <f>IFERROR(__xludf.DUMMYFUNCTION("""COMPUTED_VALUE"""),39345.645833333336)</f>
        <v>39345.64583</v>
      </c>
      <c r="I677" s="25">
        <f>IFERROR(__xludf.DUMMYFUNCTION("""COMPUTED_VALUE"""),255.0)</f>
        <v>255</v>
      </c>
      <c r="J677" s="25">
        <f>IFERROR(__xludf.DUMMYFUNCTION("""COMPUTED_VALUE"""),255.53)</f>
        <v>255.53</v>
      </c>
      <c r="K677" s="25">
        <f>IFERROR(__xludf.DUMMYFUNCTION("""COMPUTED_VALUE"""),249.3)</f>
        <v>249.3</v>
      </c>
      <c r="L677" s="25">
        <f>IFERROR(__xludf.DUMMYFUNCTION("""COMPUTED_VALUE"""),250.51)</f>
        <v>250.51</v>
      </c>
      <c r="M677" s="25">
        <f>IFERROR(__xludf.DUMMYFUNCTION("""COMPUTED_VALUE"""),588789.0)</f>
        <v>588789</v>
      </c>
    </row>
    <row r="678">
      <c r="A678" s="26">
        <f>IFERROR(__xludf.DUMMYFUNCTION("""COMPUTED_VALUE"""),39346.645833333336)</f>
        <v>39346.64583</v>
      </c>
      <c r="B678" s="9">
        <f>IFERROR(__xludf.DUMMYFUNCTION("""COMPUTED_VALUE"""),223.75)</f>
        <v>223.75</v>
      </c>
      <c r="C678" s="9">
        <f>IFERROR(__xludf.DUMMYFUNCTION("""COMPUTED_VALUE"""),231.25)</f>
        <v>231.25</v>
      </c>
      <c r="D678" s="9">
        <f>IFERROR(__xludf.DUMMYFUNCTION("""COMPUTED_VALUE"""),219.13)</f>
        <v>219.13</v>
      </c>
      <c r="E678" s="9">
        <f>IFERROR(__xludf.DUMMYFUNCTION("""COMPUTED_VALUE"""),228.24)</f>
        <v>228.24</v>
      </c>
      <c r="F678" s="9">
        <f>IFERROR(__xludf.DUMMYFUNCTION("""COMPUTED_VALUE"""),1916075.0)</f>
        <v>1916075</v>
      </c>
      <c r="H678" s="27">
        <f>IFERROR(__xludf.DUMMYFUNCTION("""COMPUTED_VALUE"""),39346.645833333336)</f>
        <v>39346.64583</v>
      </c>
      <c r="I678" s="25">
        <f>IFERROR(__xludf.DUMMYFUNCTION("""COMPUTED_VALUE"""),247.75)</f>
        <v>247.75</v>
      </c>
      <c r="J678" s="25">
        <f>IFERROR(__xludf.DUMMYFUNCTION("""COMPUTED_VALUE"""),256.25)</f>
        <v>256.25</v>
      </c>
      <c r="K678" s="25">
        <f>IFERROR(__xludf.DUMMYFUNCTION("""COMPUTED_VALUE"""),244.5)</f>
        <v>244.5</v>
      </c>
      <c r="L678" s="25">
        <f>IFERROR(__xludf.DUMMYFUNCTION("""COMPUTED_VALUE"""),254.45)</f>
        <v>254.45</v>
      </c>
      <c r="M678" s="25">
        <f>IFERROR(__xludf.DUMMYFUNCTION("""COMPUTED_VALUE"""),1982165.0)</f>
        <v>1982165</v>
      </c>
    </row>
    <row r="679">
      <c r="A679" s="26">
        <f>IFERROR(__xludf.DUMMYFUNCTION("""COMPUTED_VALUE"""),39349.645833333336)</f>
        <v>39349.64583</v>
      </c>
      <c r="B679" s="9">
        <f>IFERROR(__xludf.DUMMYFUNCTION("""COMPUTED_VALUE"""),228.5)</f>
        <v>228.5</v>
      </c>
      <c r="C679" s="9">
        <f>IFERROR(__xludf.DUMMYFUNCTION("""COMPUTED_VALUE"""),228.74)</f>
        <v>228.74</v>
      </c>
      <c r="D679" s="9">
        <f>IFERROR(__xludf.DUMMYFUNCTION("""COMPUTED_VALUE"""),220.0)</f>
        <v>220</v>
      </c>
      <c r="E679" s="9">
        <f>IFERROR(__xludf.DUMMYFUNCTION("""COMPUTED_VALUE"""),220.38)</f>
        <v>220.38</v>
      </c>
      <c r="F679" s="9">
        <f>IFERROR(__xludf.DUMMYFUNCTION("""COMPUTED_VALUE"""),2173348.0)</f>
        <v>2173348</v>
      </c>
      <c r="H679" s="27">
        <f>IFERROR(__xludf.DUMMYFUNCTION("""COMPUTED_VALUE"""),39349.645833333336)</f>
        <v>39349.64583</v>
      </c>
      <c r="I679" s="25">
        <f>IFERROR(__xludf.DUMMYFUNCTION("""COMPUTED_VALUE"""),255.0)</f>
        <v>255</v>
      </c>
      <c r="J679" s="25">
        <f>IFERROR(__xludf.DUMMYFUNCTION("""COMPUTED_VALUE"""),257.5)</f>
        <v>257.5</v>
      </c>
      <c r="K679" s="25">
        <f>IFERROR(__xludf.DUMMYFUNCTION("""COMPUTED_VALUE"""),250.05)</f>
        <v>250.05</v>
      </c>
      <c r="L679" s="25">
        <f>IFERROR(__xludf.DUMMYFUNCTION("""COMPUTED_VALUE"""),251.81)</f>
        <v>251.81</v>
      </c>
      <c r="M679" s="25">
        <f>IFERROR(__xludf.DUMMYFUNCTION("""COMPUTED_VALUE"""),898767.0)</f>
        <v>898767</v>
      </c>
    </row>
    <row r="680">
      <c r="A680" s="26">
        <f>IFERROR(__xludf.DUMMYFUNCTION("""COMPUTED_VALUE"""),39350.645833333336)</f>
        <v>39350.64583</v>
      </c>
      <c r="B680" s="9">
        <f>IFERROR(__xludf.DUMMYFUNCTION("""COMPUTED_VALUE"""),223.13)</f>
        <v>223.13</v>
      </c>
      <c r="C680" s="9">
        <f>IFERROR(__xludf.DUMMYFUNCTION("""COMPUTED_VALUE"""),224.38)</f>
        <v>224.38</v>
      </c>
      <c r="D680" s="9">
        <f>IFERROR(__xludf.DUMMYFUNCTION("""COMPUTED_VALUE"""),218.56)</f>
        <v>218.56</v>
      </c>
      <c r="E680" s="9">
        <f>IFERROR(__xludf.DUMMYFUNCTION("""COMPUTED_VALUE"""),221.42)</f>
        <v>221.42</v>
      </c>
      <c r="F680" s="9">
        <f>IFERROR(__xludf.DUMMYFUNCTION("""COMPUTED_VALUE"""),2173126.0)</f>
        <v>2173126</v>
      </c>
      <c r="H680" s="27">
        <f>IFERROR(__xludf.DUMMYFUNCTION("""COMPUTED_VALUE"""),39350.645833333336)</f>
        <v>39350.64583</v>
      </c>
      <c r="I680" s="25">
        <f>IFERROR(__xludf.DUMMYFUNCTION("""COMPUTED_VALUE"""),252.5)</f>
        <v>252.5</v>
      </c>
      <c r="J680" s="25">
        <f>IFERROR(__xludf.DUMMYFUNCTION("""COMPUTED_VALUE"""),253.5)</f>
        <v>253.5</v>
      </c>
      <c r="K680" s="25">
        <f>IFERROR(__xludf.DUMMYFUNCTION("""COMPUTED_VALUE"""),249.05)</f>
        <v>249.05</v>
      </c>
      <c r="L680" s="25">
        <f>IFERROR(__xludf.DUMMYFUNCTION("""COMPUTED_VALUE"""),250.43)</f>
        <v>250.43</v>
      </c>
      <c r="M680" s="25">
        <f>IFERROR(__xludf.DUMMYFUNCTION("""COMPUTED_VALUE"""),1350124.0)</f>
        <v>1350124</v>
      </c>
    </row>
    <row r="681">
      <c r="A681" s="26">
        <f>IFERROR(__xludf.DUMMYFUNCTION("""COMPUTED_VALUE"""),39351.645833333336)</f>
        <v>39351.64583</v>
      </c>
      <c r="B681" s="9">
        <f>IFERROR(__xludf.DUMMYFUNCTION("""COMPUTED_VALUE"""),222.5)</f>
        <v>222.5</v>
      </c>
      <c r="C681" s="9">
        <f>IFERROR(__xludf.DUMMYFUNCTION("""COMPUTED_VALUE"""),229.34)</f>
        <v>229.34</v>
      </c>
      <c r="D681" s="9">
        <f>IFERROR(__xludf.DUMMYFUNCTION("""COMPUTED_VALUE"""),221.25)</f>
        <v>221.25</v>
      </c>
      <c r="E681" s="9">
        <f>IFERROR(__xludf.DUMMYFUNCTION("""COMPUTED_VALUE"""),228.14)</f>
        <v>228.14</v>
      </c>
      <c r="F681" s="9">
        <f>IFERROR(__xludf.DUMMYFUNCTION("""COMPUTED_VALUE"""),1640783.0)</f>
        <v>1640783</v>
      </c>
      <c r="H681" s="27">
        <f>IFERROR(__xludf.DUMMYFUNCTION("""COMPUTED_VALUE"""),39351.645833333336)</f>
        <v>39351.64583</v>
      </c>
      <c r="I681" s="25">
        <f>IFERROR(__xludf.DUMMYFUNCTION("""COMPUTED_VALUE"""),252.5)</f>
        <v>252.5</v>
      </c>
      <c r="J681" s="25">
        <f>IFERROR(__xludf.DUMMYFUNCTION("""COMPUTED_VALUE"""),262.2)</f>
        <v>262.2</v>
      </c>
      <c r="K681" s="25">
        <f>IFERROR(__xludf.DUMMYFUNCTION("""COMPUTED_VALUE"""),251.25)</f>
        <v>251.25</v>
      </c>
      <c r="L681" s="25">
        <f>IFERROR(__xludf.DUMMYFUNCTION("""COMPUTED_VALUE"""),260.19)</f>
        <v>260.19</v>
      </c>
      <c r="M681" s="25">
        <f>IFERROR(__xludf.DUMMYFUNCTION("""COMPUTED_VALUE"""),2085223.0)</f>
        <v>2085223</v>
      </c>
    </row>
    <row r="682">
      <c r="A682" s="26">
        <f>IFERROR(__xludf.DUMMYFUNCTION("""COMPUTED_VALUE"""),39352.645833333336)</f>
        <v>39352.64583</v>
      </c>
      <c r="B682" s="9">
        <f>IFERROR(__xludf.DUMMYFUNCTION("""COMPUTED_VALUE"""),234.01)</f>
        <v>234.01</v>
      </c>
      <c r="C682" s="9">
        <f>IFERROR(__xludf.DUMMYFUNCTION("""COMPUTED_VALUE"""),241.59)</f>
        <v>241.59</v>
      </c>
      <c r="D682" s="9">
        <f>IFERROR(__xludf.DUMMYFUNCTION("""COMPUTED_VALUE"""),229.38)</f>
        <v>229.38</v>
      </c>
      <c r="E682" s="9">
        <f>IFERROR(__xludf.DUMMYFUNCTION("""COMPUTED_VALUE"""),239.48)</f>
        <v>239.48</v>
      </c>
      <c r="F682" s="9">
        <f>IFERROR(__xludf.DUMMYFUNCTION("""COMPUTED_VALUE"""),3869012.0)</f>
        <v>3869012</v>
      </c>
      <c r="H682" s="27">
        <f>IFERROR(__xludf.DUMMYFUNCTION("""COMPUTED_VALUE"""),39352.645833333336)</f>
        <v>39352.64583</v>
      </c>
      <c r="I682" s="25">
        <f>IFERROR(__xludf.DUMMYFUNCTION("""COMPUTED_VALUE"""),262.5)</f>
        <v>262.5</v>
      </c>
      <c r="J682" s="25">
        <f>IFERROR(__xludf.DUMMYFUNCTION("""COMPUTED_VALUE"""),266.88)</f>
        <v>266.88</v>
      </c>
      <c r="K682" s="25">
        <f>IFERROR(__xludf.DUMMYFUNCTION("""COMPUTED_VALUE"""),261.75)</f>
        <v>261.75</v>
      </c>
      <c r="L682" s="25">
        <f>IFERROR(__xludf.DUMMYFUNCTION("""COMPUTED_VALUE"""),265.63)</f>
        <v>265.63</v>
      </c>
      <c r="M682" s="25">
        <f>IFERROR(__xludf.DUMMYFUNCTION("""COMPUTED_VALUE"""),2150535.0)</f>
        <v>2150535</v>
      </c>
    </row>
    <row r="683">
      <c r="A683" s="26">
        <f>IFERROR(__xludf.DUMMYFUNCTION("""COMPUTED_VALUE"""),39353.645833333336)</f>
        <v>39353.64583</v>
      </c>
      <c r="B683" s="9">
        <f>IFERROR(__xludf.DUMMYFUNCTION("""COMPUTED_VALUE"""),240.63)</f>
        <v>240.63</v>
      </c>
      <c r="C683" s="9">
        <f>IFERROR(__xludf.DUMMYFUNCTION("""COMPUTED_VALUE"""),243.75)</f>
        <v>243.75</v>
      </c>
      <c r="D683" s="9">
        <f>IFERROR(__xludf.DUMMYFUNCTION("""COMPUTED_VALUE"""),233.38)</f>
        <v>233.38</v>
      </c>
      <c r="E683" s="9">
        <f>IFERROR(__xludf.DUMMYFUNCTION("""COMPUTED_VALUE"""),236.59)</f>
        <v>236.59</v>
      </c>
      <c r="F683" s="9">
        <f>IFERROR(__xludf.DUMMYFUNCTION("""COMPUTED_VALUE"""),2016986.0)</f>
        <v>2016986</v>
      </c>
      <c r="H683" s="27">
        <f>IFERROR(__xludf.DUMMYFUNCTION("""COMPUTED_VALUE"""),39353.645833333336)</f>
        <v>39353.64583</v>
      </c>
      <c r="I683" s="25">
        <f>IFERROR(__xludf.DUMMYFUNCTION("""COMPUTED_VALUE"""),256.25)</f>
        <v>256.25</v>
      </c>
      <c r="J683" s="25">
        <f>IFERROR(__xludf.DUMMYFUNCTION("""COMPUTED_VALUE"""),270.0)</f>
        <v>270</v>
      </c>
      <c r="K683" s="25">
        <f>IFERROR(__xludf.DUMMYFUNCTION("""COMPUTED_VALUE"""),256.25)</f>
        <v>256.25</v>
      </c>
      <c r="L683" s="25">
        <f>IFERROR(__xludf.DUMMYFUNCTION("""COMPUTED_VALUE"""),265.04)</f>
        <v>265.04</v>
      </c>
      <c r="M683" s="25">
        <f>IFERROR(__xludf.DUMMYFUNCTION("""COMPUTED_VALUE"""),1562383.0)</f>
        <v>1562383</v>
      </c>
    </row>
    <row r="684">
      <c r="A684" s="26">
        <f>IFERROR(__xludf.DUMMYFUNCTION("""COMPUTED_VALUE"""),39356.645833333336)</f>
        <v>39356.64583</v>
      </c>
      <c r="B684" s="9">
        <f>IFERROR(__xludf.DUMMYFUNCTION("""COMPUTED_VALUE"""),236.88)</f>
        <v>236.88</v>
      </c>
      <c r="C684" s="9">
        <f>IFERROR(__xludf.DUMMYFUNCTION("""COMPUTED_VALUE"""),239.38)</f>
        <v>239.38</v>
      </c>
      <c r="D684" s="9">
        <f>IFERROR(__xludf.DUMMYFUNCTION("""COMPUTED_VALUE"""),231.59)</f>
        <v>231.59</v>
      </c>
      <c r="E684" s="9">
        <f>IFERROR(__xludf.DUMMYFUNCTION("""COMPUTED_VALUE"""),238.17)</f>
        <v>238.17</v>
      </c>
      <c r="F684" s="9">
        <f>IFERROR(__xludf.DUMMYFUNCTION("""COMPUTED_VALUE"""),1514862.0)</f>
        <v>1514862</v>
      </c>
      <c r="H684" s="27">
        <f>IFERROR(__xludf.DUMMYFUNCTION("""COMPUTED_VALUE"""),39356.645833333336)</f>
        <v>39356.64583</v>
      </c>
      <c r="I684" s="25">
        <f>IFERROR(__xludf.DUMMYFUNCTION("""COMPUTED_VALUE"""),265.25)</f>
        <v>265.25</v>
      </c>
      <c r="J684" s="25">
        <f>IFERROR(__xludf.DUMMYFUNCTION("""COMPUTED_VALUE"""),265.25)</f>
        <v>265.25</v>
      </c>
      <c r="K684" s="25">
        <f>IFERROR(__xludf.DUMMYFUNCTION("""COMPUTED_VALUE"""),255.75)</f>
        <v>255.75</v>
      </c>
      <c r="L684" s="25">
        <f>IFERROR(__xludf.DUMMYFUNCTION("""COMPUTED_VALUE"""),260.41)</f>
        <v>260.41</v>
      </c>
      <c r="M684" s="25">
        <f>IFERROR(__xludf.DUMMYFUNCTION("""COMPUTED_VALUE"""),544145.0)</f>
        <v>544145</v>
      </c>
    </row>
    <row r="685">
      <c r="A685" s="26">
        <f>IFERROR(__xludf.DUMMYFUNCTION("""COMPUTED_VALUE"""),39358.645833333336)</f>
        <v>39358.64583</v>
      </c>
      <c r="B685" s="9">
        <f>IFERROR(__xludf.DUMMYFUNCTION("""COMPUTED_VALUE"""),240.0)</f>
        <v>240</v>
      </c>
      <c r="C685" s="9">
        <f>IFERROR(__xludf.DUMMYFUNCTION("""COMPUTED_VALUE"""),251.86)</f>
        <v>251.86</v>
      </c>
      <c r="D685" s="9">
        <f>IFERROR(__xludf.DUMMYFUNCTION("""COMPUTED_VALUE"""),238.75)</f>
        <v>238.75</v>
      </c>
      <c r="E685" s="9">
        <f>IFERROR(__xludf.DUMMYFUNCTION("""COMPUTED_VALUE"""),250.19)</f>
        <v>250.19</v>
      </c>
      <c r="F685" s="9">
        <f>IFERROR(__xludf.DUMMYFUNCTION("""COMPUTED_VALUE"""),3321528.0)</f>
        <v>3321528</v>
      </c>
      <c r="H685" s="27">
        <f>IFERROR(__xludf.DUMMYFUNCTION("""COMPUTED_VALUE"""),39358.645833333336)</f>
        <v>39358.64583</v>
      </c>
      <c r="I685" s="25">
        <f>IFERROR(__xludf.DUMMYFUNCTION("""COMPUTED_VALUE"""),262.5)</f>
        <v>262.5</v>
      </c>
      <c r="J685" s="25">
        <f>IFERROR(__xludf.DUMMYFUNCTION("""COMPUTED_VALUE"""),273.75)</f>
        <v>273.75</v>
      </c>
      <c r="K685" s="25">
        <f>IFERROR(__xludf.DUMMYFUNCTION("""COMPUTED_VALUE"""),262.48)</f>
        <v>262.48</v>
      </c>
      <c r="L685" s="25">
        <f>IFERROR(__xludf.DUMMYFUNCTION("""COMPUTED_VALUE"""),269.8)</f>
        <v>269.8</v>
      </c>
      <c r="M685" s="25">
        <f>IFERROR(__xludf.DUMMYFUNCTION("""COMPUTED_VALUE"""),1280718.0)</f>
        <v>1280718</v>
      </c>
    </row>
    <row r="686">
      <c r="A686" s="26">
        <f>IFERROR(__xludf.DUMMYFUNCTION("""COMPUTED_VALUE"""),39359.645833333336)</f>
        <v>39359.64583</v>
      </c>
      <c r="B686" s="9">
        <f>IFERROR(__xludf.DUMMYFUNCTION("""COMPUTED_VALUE"""),251.25)</f>
        <v>251.25</v>
      </c>
      <c r="C686" s="9">
        <f>IFERROR(__xludf.DUMMYFUNCTION("""COMPUTED_VALUE"""),251.25)</f>
        <v>251.25</v>
      </c>
      <c r="D686" s="9">
        <f>IFERROR(__xludf.DUMMYFUNCTION("""COMPUTED_VALUE"""),245.25)</f>
        <v>245.25</v>
      </c>
      <c r="E686" s="9">
        <f>IFERROR(__xludf.DUMMYFUNCTION("""COMPUTED_VALUE"""),249.86)</f>
        <v>249.86</v>
      </c>
      <c r="F686" s="9">
        <f>IFERROR(__xludf.DUMMYFUNCTION("""COMPUTED_VALUE"""),1794366.0)</f>
        <v>1794366</v>
      </c>
      <c r="H686" s="27">
        <f>IFERROR(__xludf.DUMMYFUNCTION("""COMPUTED_VALUE"""),39359.645833333336)</f>
        <v>39359.64583</v>
      </c>
      <c r="I686" s="25">
        <f>IFERROR(__xludf.DUMMYFUNCTION("""COMPUTED_VALUE"""),271.25)</f>
        <v>271.25</v>
      </c>
      <c r="J686" s="25">
        <f>IFERROR(__xludf.DUMMYFUNCTION("""COMPUTED_VALUE"""),271.25)</f>
        <v>271.25</v>
      </c>
      <c r="K686" s="25">
        <f>IFERROR(__xludf.DUMMYFUNCTION("""COMPUTED_VALUE"""),263.5)</f>
        <v>263.5</v>
      </c>
      <c r="L686" s="25">
        <f>IFERROR(__xludf.DUMMYFUNCTION("""COMPUTED_VALUE"""),269.83)</f>
        <v>269.83</v>
      </c>
      <c r="M686" s="25">
        <f>IFERROR(__xludf.DUMMYFUNCTION("""COMPUTED_VALUE"""),1089951.0)</f>
        <v>1089951</v>
      </c>
    </row>
    <row r="687">
      <c r="A687" s="26">
        <f>IFERROR(__xludf.DUMMYFUNCTION("""COMPUTED_VALUE"""),39360.645833333336)</f>
        <v>39360.64583</v>
      </c>
      <c r="B687" s="9">
        <f>IFERROR(__xludf.DUMMYFUNCTION("""COMPUTED_VALUE"""),250.0)</f>
        <v>250</v>
      </c>
      <c r="C687" s="9">
        <f>IFERROR(__xludf.DUMMYFUNCTION("""COMPUTED_VALUE"""),250.0)</f>
        <v>250</v>
      </c>
      <c r="D687" s="9">
        <f>IFERROR(__xludf.DUMMYFUNCTION("""COMPUTED_VALUE"""),246.95)</f>
        <v>246.95</v>
      </c>
      <c r="E687" s="9">
        <f>IFERROR(__xludf.DUMMYFUNCTION("""COMPUTED_VALUE"""),247.86)</f>
        <v>247.86</v>
      </c>
      <c r="F687" s="9">
        <f>IFERROR(__xludf.DUMMYFUNCTION("""COMPUTED_VALUE"""),1054183.0)</f>
        <v>1054183</v>
      </c>
      <c r="H687" s="27">
        <f>IFERROR(__xludf.DUMMYFUNCTION("""COMPUTED_VALUE"""),39360.645833333336)</f>
        <v>39360.64583</v>
      </c>
      <c r="I687" s="25">
        <f>IFERROR(__xludf.DUMMYFUNCTION("""COMPUTED_VALUE"""),269.83)</f>
        <v>269.83</v>
      </c>
      <c r="J687" s="25">
        <f>IFERROR(__xludf.DUMMYFUNCTION("""COMPUTED_VALUE"""),269.83)</f>
        <v>269.83</v>
      </c>
      <c r="K687" s="25">
        <f>IFERROR(__xludf.DUMMYFUNCTION("""COMPUTED_VALUE"""),264.33)</f>
        <v>264.33</v>
      </c>
      <c r="L687" s="25">
        <f>IFERROR(__xludf.DUMMYFUNCTION("""COMPUTED_VALUE"""),268.2)</f>
        <v>268.2</v>
      </c>
      <c r="M687" s="25">
        <f>IFERROR(__xludf.DUMMYFUNCTION("""COMPUTED_VALUE"""),436012.0)</f>
        <v>436012</v>
      </c>
    </row>
    <row r="688">
      <c r="A688" s="26">
        <f>IFERROR(__xludf.DUMMYFUNCTION("""COMPUTED_VALUE"""),39363.645833333336)</f>
        <v>39363.64583</v>
      </c>
      <c r="B688" s="9">
        <f>IFERROR(__xludf.DUMMYFUNCTION("""COMPUTED_VALUE"""),250.0)</f>
        <v>250</v>
      </c>
      <c r="C688" s="9">
        <f>IFERROR(__xludf.DUMMYFUNCTION("""COMPUTED_VALUE"""),253.13)</f>
        <v>253.13</v>
      </c>
      <c r="D688" s="9">
        <f>IFERROR(__xludf.DUMMYFUNCTION("""COMPUTED_VALUE"""),248.0)</f>
        <v>248</v>
      </c>
      <c r="E688" s="9">
        <f>IFERROR(__xludf.DUMMYFUNCTION("""COMPUTED_VALUE"""),250.46)</f>
        <v>250.46</v>
      </c>
      <c r="F688" s="9">
        <f>IFERROR(__xludf.DUMMYFUNCTION("""COMPUTED_VALUE"""),1086969.0)</f>
        <v>1086969</v>
      </c>
      <c r="H688" s="27">
        <f>IFERROR(__xludf.DUMMYFUNCTION("""COMPUTED_VALUE"""),39363.645833333336)</f>
        <v>39363.64583</v>
      </c>
      <c r="I688" s="25">
        <f>IFERROR(__xludf.DUMMYFUNCTION("""COMPUTED_VALUE"""),270.26)</f>
        <v>270.26</v>
      </c>
      <c r="J688" s="25">
        <f>IFERROR(__xludf.DUMMYFUNCTION("""COMPUTED_VALUE"""),274.7)</f>
        <v>274.7</v>
      </c>
      <c r="K688" s="25">
        <f>IFERROR(__xludf.DUMMYFUNCTION("""COMPUTED_VALUE"""),265.55)</f>
        <v>265.55</v>
      </c>
      <c r="L688" s="25">
        <f>IFERROR(__xludf.DUMMYFUNCTION("""COMPUTED_VALUE"""),269.59)</f>
        <v>269.59</v>
      </c>
      <c r="M688" s="25">
        <f>IFERROR(__xludf.DUMMYFUNCTION("""COMPUTED_VALUE"""),665536.0)</f>
        <v>665536</v>
      </c>
    </row>
    <row r="689">
      <c r="A689" s="26">
        <f>IFERROR(__xludf.DUMMYFUNCTION("""COMPUTED_VALUE"""),39364.645833333336)</f>
        <v>39364.64583</v>
      </c>
      <c r="B689" s="9">
        <f>IFERROR(__xludf.DUMMYFUNCTION("""COMPUTED_VALUE"""),248.13)</f>
        <v>248.13</v>
      </c>
      <c r="C689" s="9">
        <f>IFERROR(__xludf.DUMMYFUNCTION("""COMPUTED_VALUE"""),256.5)</f>
        <v>256.5</v>
      </c>
      <c r="D689" s="9">
        <f>IFERROR(__xludf.DUMMYFUNCTION("""COMPUTED_VALUE"""),248.13)</f>
        <v>248.13</v>
      </c>
      <c r="E689" s="9">
        <f>IFERROR(__xludf.DUMMYFUNCTION("""COMPUTED_VALUE"""),255.93)</f>
        <v>255.93</v>
      </c>
      <c r="F689" s="9">
        <f>IFERROR(__xludf.DUMMYFUNCTION("""COMPUTED_VALUE"""),1631749.0)</f>
        <v>1631749</v>
      </c>
      <c r="H689" s="27">
        <f>IFERROR(__xludf.DUMMYFUNCTION("""COMPUTED_VALUE"""),39364.645833333336)</f>
        <v>39364.64583</v>
      </c>
      <c r="I689" s="25">
        <f>IFERROR(__xludf.DUMMYFUNCTION("""COMPUTED_VALUE"""),270.0)</f>
        <v>270</v>
      </c>
      <c r="J689" s="25">
        <f>IFERROR(__xludf.DUMMYFUNCTION("""COMPUTED_VALUE"""),276.2)</f>
        <v>276.2</v>
      </c>
      <c r="K689" s="25">
        <f>IFERROR(__xludf.DUMMYFUNCTION("""COMPUTED_VALUE"""),268.83)</f>
        <v>268.83</v>
      </c>
      <c r="L689" s="25">
        <f>IFERROR(__xludf.DUMMYFUNCTION("""COMPUTED_VALUE"""),273.74)</f>
        <v>273.74</v>
      </c>
      <c r="M689" s="25">
        <f>IFERROR(__xludf.DUMMYFUNCTION("""COMPUTED_VALUE"""),926910.0)</f>
        <v>926910</v>
      </c>
    </row>
    <row r="690">
      <c r="A690" s="26">
        <f>IFERROR(__xludf.DUMMYFUNCTION("""COMPUTED_VALUE"""),39365.645833333336)</f>
        <v>39365.64583</v>
      </c>
      <c r="B690" s="9">
        <f>IFERROR(__xludf.DUMMYFUNCTION("""COMPUTED_VALUE"""),261.83)</f>
        <v>261.83</v>
      </c>
      <c r="C690" s="9">
        <f>IFERROR(__xludf.DUMMYFUNCTION("""COMPUTED_VALUE"""),267.74)</f>
        <v>267.74</v>
      </c>
      <c r="D690" s="9">
        <f>IFERROR(__xludf.DUMMYFUNCTION("""COMPUTED_VALUE"""),257.5)</f>
        <v>257.5</v>
      </c>
      <c r="E690" s="9">
        <f>IFERROR(__xludf.DUMMYFUNCTION("""COMPUTED_VALUE"""),265.63)</f>
        <v>265.63</v>
      </c>
      <c r="F690" s="9">
        <f>IFERROR(__xludf.DUMMYFUNCTION("""COMPUTED_VALUE"""),2788226.0)</f>
        <v>2788226</v>
      </c>
      <c r="H690" s="27">
        <f>IFERROR(__xludf.DUMMYFUNCTION("""COMPUTED_VALUE"""),39365.645833333336)</f>
        <v>39365.64583</v>
      </c>
      <c r="I690" s="25">
        <f>IFERROR(__xludf.DUMMYFUNCTION("""COMPUTED_VALUE"""),276.18)</f>
        <v>276.18</v>
      </c>
      <c r="J690" s="25">
        <f>IFERROR(__xludf.DUMMYFUNCTION("""COMPUTED_VALUE"""),282.56)</f>
        <v>282.56</v>
      </c>
      <c r="K690" s="25">
        <f>IFERROR(__xludf.DUMMYFUNCTION("""COMPUTED_VALUE"""),274.6)</f>
        <v>274.6</v>
      </c>
      <c r="L690" s="25">
        <f>IFERROR(__xludf.DUMMYFUNCTION("""COMPUTED_VALUE"""),281.38)</f>
        <v>281.38</v>
      </c>
      <c r="M690" s="25">
        <f>IFERROR(__xludf.DUMMYFUNCTION("""COMPUTED_VALUE"""),995809.0)</f>
        <v>995809</v>
      </c>
    </row>
    <row r="691">
      <c r="A691" s="26">
        <f>IFERROR(__xludf.DUMMYFUNCTION("""COMPUTED_VALUE"""),39366.645833333336)</f>
        <v>39366.64583</v>
      </c>
      <c r="B691" s="9">
        <f>IFERROR(__xludf.DUMMYFUNCTION("""COMPUTED_VALUE"""),262.5)</f>
        <v>262.5</v>
      </c>
      <c r="C691" s="9">
        <f>IFERROR(__xludf.DUMMYFUNCTION("""COMPUTED_VALUE"""),262.5)</f>
        <v>262.5</v>
      </c>
      <c r="D691" s="9">
        <f>IFERROR(__xludf.DUMMYFUNCTION("""COMPUTED_VALUE"""),245.38)</f>
        <v>245.38</v>
      </c>
      <c r="E691" s="9">
        <f>IFERROR(__xludf.DUMMYFUNCTION("""COMPUTED_VALUE"""),247.11)</f>
        <v>247.11</v>
      </c>
      <c r="F691" s="9">
        <f>IFERROR(__xludf.DUMMYFUNCTION("""COMPUTED_VALUE"""),4435431.0)</f>
        <v>4435431</v>
      </c>
      <c r="H691" s="27">
        <f>IFERROR(__xludf.DUMMYFUNCTION("""COMPUTED_VALUE"""),39366.645833333336)</f>
        <v>39366.64583</v>
      </c>
      <c r="I691" s="25">
        <f>IFERROR(__xludf.DUMMYFUNCTION("""COMPUTED_VALUE"""),283.75)</f>
        <v>283.75</v>
      </c>
      <c r="J691" s="25">
        <f>IFERROR(__xludf.DUMMYFUNCTION("""COMPUTED_VALUE"""),283.85)</f>
        <v>283.85</v>
      </c>
      <c r="K691" s="25">
        <f>IFERROR(__xludf.DUMMYFUNCTION("""COMPUTED_VALUE"""),265.0)</f>
        <v>265</v>
      </c>
      <c r="L691" s="25">
        <f>IFERROR(__xludf.DUMMYFUNCTION("""COMPUTED_VALUE"""),268.0)</f>
        <v>268</v>
      </c>
      <c r="M691" s="25">
        <f>IFERROR(__xludf.DUMMYFUNCTION("""COMPUTED_VALUE"""),1399585.0)</f>
        <v>1399585</v>
      </c>
    </row>
    <row r="692">
      <c r="A692" s="26">
        <f>IFERROR(__xludf.DUMMYFUNCTION("""COMPUTED_VALUE"""),39367.645833333336)</f>
        <v>39367.64583</v>
      </c>
      <c r="B692" s="9">
        <f>IFERROR(__xludf.DUMMYFUNCTION("""COMPUTED_VALUE"""),245.63)</f>
        <v>245.63</v>
      </c>
      <c r="C692" s="9">
        <f>IFERROR(__xludf.DUMMYFUNCTION("""COMPUTED_VALUE"""),246.86)</f>
        <v>246.86</v>
      </c>
      <c r="D692" s="9">
        <f>IFERROR(__xludf.DUMMYFUNCTION("""COMPUTED_VALUE"""),237.98)</f>
        <v>237.98</v>
      </c>
      <c r="E692" s="9">
        <f>IFERROR(__xludf.DUMMYFUNCTION("""COMPUTED_VALUE"""),241.21)</f>
        <v>241.21</v>
      </c>
      <c r="F692" s="9">
        <f>IFERROR(__xludf.DUMMYFUNCTION("""COMPUTED_VALUE"""),2568275.0)</f>
        <v>2568275</v>
      </c>
      <c r="H692" s="27">
        <f>IFERROR(__xludf.DUMMYFUNCTION("""COMPUTED_VALUE"""),39367.645833333336)</f>
        <v>39367.64583</v>
      </c>
      <c r="I692" s="25">
        <f>IFERROR(__xludf.DUMMYFUNCTION("""COMPUTED_VALUE"""),263.0)</f>
        <v>263</v>
      </c>
      <c r="J692" s="25">
        <f>IFERROR(__xludf.DUMMYFUNCTION("""COMPUTED_VALUE"""),268.75)</f>
        <v>268.75</v>
      </c>
      <c r="K692" s="25">
        <f>IFERROR(__xludf.DUMMYFUNCTION("""COMPUTED_VALUE"""),257.58)</f>
        <v>257.58</v>
      </c>
      <c r="L692" s="25">
        <f>IFERROR(__xludf.DUMMYFUNCTION("""COMPUTED_VALUE"""),265.88)</f>
        <v>265.88</v>
      </c>
      <c r="M692" s="25">
        <f>IFERROR(__xludf.DUMMYFUNCTION("""COMPUTED_VALUE"""),1228230.0)</f>
        <v>1228230</v>
      </c>
    </row>
    <row r="693">
      <c r="A693" s="26">
        <f>IFERROR(__xludf.DUMMYFUNCTION("""COMPUTED_VALUE"""),39370.645833333336)</f>
        <v>39370.64583</v>
      </c>
      <c r="B693" s="9">
        <f>IFERROR(__xludf.DUMMYFUNCTION("""COMPUTED_VALUE"""),245.98)</f>
        <v>245.98</v>
      </c>
      <c r="C693" s="9">
        <f>IFERROR(__xludf.DUMMYFUNCTION("""COMPUTED_VALUE"""),245.98)</f>
        <v>245.98</v>
      </c>
      <c r="D693" s="9">
        <f>IFERROR(__xludf.DUMMYFUNCTION("""COMPUTED_VALUE"""),239.25)</f>
        <v>239.25</v>
      </c>
      <c r="E693" s="9">
        <f>IFERROR(__xludf.DUMMYFUNCTION("""COMPUTED_VALUE"""),240.98)</f>
        <v>240.98</v>
      </c>
      <c r="F693" s="9">
        <f>IFERROR(__xludf.DUMMYFUNCTION("""COMPUTED_VALUE"""),1850719.0)</f>
        <v>1850719</v>
      </c>
      <c r="H693" s="27">
        <f>IFERROR(__xludf.DUMMYFUNCTION("""COMPUTED_VALUE"""),39370.645833333336)</f>
        <v>39370.64583</v>
      </c>
      <c r="I693" s="25">
        <f>IFERROR(__xludf.DUMMYFUNCTION("""COMPUTED_VALUE"""),267.5)</f>
        <v>267.5</v>
      </c>
      <c r="J693" s="25">
        <f>IFERROR(__xludf.DUMMYFUNCTION("""COMPUTED_VALUE"""),272.91)</f>
        <v>272.91</v>
      </c>
      <c r="K693" s="25">
        <f>IFERROR(__xludf.DUMMYFUNCTION("""COMPUTED_VALUE"""),264.94)</f>
        <v>264.94</v>
      </c>
      <c r="L693" s="25">
        <f>IFERROR(__xludf.DUMMYFUNCTION("""COMPUTED_VALUE"""),268.54)</f>
        <v>268.54</v>
      </c>
      <c r="M693" s="25">
        <f>IFERROR(__xludf.DUMMYFUNCTION("""COMPUTED_VALUE"""),1717900.0)</f>
        <v>1717900</v>
      </c>
    </row>
    <row r="694">
      <c r="A694" s="26">
        <f>IFERROR(__xludf.DUMMYFUNCTION("""COMPUTED_VALUE"""),39371.645833333336)</f>
        <v>39371.64583</v>
      </c>
      <c r="B694" s="9">
        <f>IFERROR(__xludf.DUMMYFUNCTION("""COMPUTED_VALUE"""),232.66)</f>
        <v>232.66</v>
      </c>
      <c r="C694" s="9">
        <f>IFERROR(__xludf.DUMMYFUNCTION("""COMPUTED_VALUE"""),241.25)</f>
        <v>241.25</v>
      </c>
      <c r="D694" s="9">
        <f>IFERROR(__xludf.DUMMYFUNCTION("""COMPUTED_VALUE"""),230.01)</f>
        <v>230.01</v>
      </c>
      <c r="E694" s="9">
        <f>IFERROR(__xludf.DUMMYFUNCTION("""COMPUTED_VALUE"""),233.29)</f>
        <v>233.29</v>
      </c>
      <c r="F694" s="9">
        <f>IFERROR(__xludf.DUMMYFUNCTION("""COMPUTED_VALUE"""),2584534.0)</f>
        <v>2584534</v>
      </c>
      <c r="H694" s="27">
        <f>IFERROR(__xludf.DUMMYFUNCTION("""COMPUTED_VALUE"""),39371.645833333336)</f>
        <v>39371.64583</v>
      </c>
      <c r="I694" s="25">
        <f>IFERROR(__xludf.DUMMYFUNCTION("""COMPUTED_VALUE"""),275.0)</f>
        <v>275</v>
      </c>
      <c r="J694" s="25">
        <f>IFERROR(__xludf.DUMMYFUNCTION("""COMPUTED_VALUE"""),278.75)</f>
        <v>278.75</v>
      </c>
      <c r="K694" s="25">
        <f>IFERROR(__xludf.DUMMYFUNCTION("""COMPUTED_VALUE"""),265.25)</f>
        <v>265.25</v>
      </c>
      <c r="L694" s="25">
        <f>IFERROR(__xludf.DUMMYFUNCTION("""COMPUTED_VALUE"""),267.1)</f>
        <v>267.1</v>
      </c>
      <c r="M694" s="25">
        <f>IFERROR(__xludf.DUMMYFUNCTION("""COMPUTED_VALUE"""),1765132.0)</f>
        <v>1765132</v>
      </c>
    </row>
    <row r="695">
      <c r="A695" s="26">
        <f>IFERROR(__xludf.DUMMYFUNCTION("""COMPUTED_VALUE"""),39372.645833333336)</f>
        <v>39372.64583</v>
      </c>
      <c r="B695" s="9">
        <f>IFERROR(__xludf.DUMMYFUNCTION("""COMPUTED_VALUE"""),225.0)</f>
        <v>225</v>
      </c>
      <c r="C695" s="9">
        <f>IFERROR(__xludf.DUMMYFUNCTION("""COMPUTED_VALUE"""),238.5)</f>
        <v>238.5</v>
      </c>
      <c r="D695" s="9">
        <f>IFERROR(__xludf.DUMMYFUNCTION("""COMPUTED_VALUE"""),223.13)</f>
        <v>223.13</v>
      </c>
      <c r="E695" s="9">
        <f>IFERROR(__xludf.DUMMYFUNCTION("""COMPUTED_VALUE"""),236.29)</f>
        <v>236.29</v>
      </c>
      <c r="F695" s="9">
        <f>IFERROR(__xludf.DUMMYFUNCTION("""COMPUTED_VALUE"""),2013136.0)</f>
        <v>2013136</v>
      </c>
      <c r="H695" s="27">
        <f>IFERROR(__xludf.DUMMYFUNCTION("""COMPUTED_VALUE"""),39372.645833333336)</f>
        <v>39372.64583</v>
      </c>
      <c r="I695" s="25">
        <f>IFERROR(__xludf.DUMMYFUNCTION("""COMPUTED_VALUE"""),265.0)</f>
        <v>265</v>
      </c>
      <c r="J695" s="25">
        <f>IFERROR(__xludf.DUMMYFUNCTION("""COMPUTED_VALUE"""),278.75)</f>
        <v>278.75</v>
      </c>
      <c r="K695" s="25">
        <f>IFERROR(__xludf.DUMMYFUNCTION("""COMPUTED_VALUE"""),250.0)</f>
        <v>250</v>
      </c>
      <c r="L695" s="25">
        <f>IFERROR(__xludf.DUMMYFUNCTION("""COMPUTED_VALUE"""),273.68)</f>
        <v>273.68</v>
      </c>
      <c r="M695" s="25">
        <f>IFERROR(__xludf.DUMMYFUNCTION("""COMPUTED_VALUE"""),1731310.0)</f>
        <v>1731310</v>
      </c>
    </row>
    <row r="696">
      <c r="A696" s="26">
        <f>IFERROR(__xludf.DUMMYFUNCTION("""COMPUTED_VALUE"""),39373.645833333336)</f>
        <v>39373.64583</v>
      </c>
      <c r="B696" s="9">
        <f>IFERROR(__xludf.DUMMYFUNCTION("""COMPUTED_VALUE"""),237.5)</f>
        <v>237.5</v>
      </c>
      <c r="C696" s="9">
        <f>IFERROR(__xludf.DUMMYFUNCTION("""COMPUTED_VALUE"""),243.75)</f>
        <v>243.75</v>
      </c>
      <c r="D696" s="9">
        <f>IFERROR(__xludf.DUMMYFUNCTION("""COMPUTED_VALUE"""),232.1)</f>
        <v>232.1</v>
      </c>
      <c r="E696" s="9">
        <f>IFERROR(__xludf.DUMMYFUNCTION("""COMPUTED_VALUE"""),236.25)</f>
        <v>236.25</v>
      </c>
      <c r="F696" s="9">
        <f>IFERROR(__xludf.DUMMYFUNCTION("""COMPUTED_VALUE"""),2358882.0)</f>
        <v>2358882</v>
      </c>
      <c r="H696" s="27">
        <f>IFERROR(__xludf.DUMMYFUNCTION("""COMPUTED_VALUE"""),39373.645833333336)</f>
        <v>39373.64583</v>
      </c>
      <c r="I696" s="25">
        <f>IFERROR(__xludf.DUMMYFUNCTION("""COMPUTED_VALUE"""),283.75)</f>
        <v>283.75</v>
      </c>
      <c r="J696" s="25">
        <f>IFERROR(__xludf.DUMMYFUNCTION("""COMPUTED_VALUE"""),287.48)</f>
        <v>287.48</v>
      </c>
      <c r="K696" s="25">
        <f>IFERROR(__xludf.DUMMYFUNCTION("""COMPUTED_VALUE"""),269.33)</f>
        <v>269.33</v>
      </c>
      <c r="L696" s="25">
        <f>IFERROR(__xludf.DUMMYFUNCTION("""COMPUTED_VALUE"""),280.96)</f>
        <v>280.96</v>
      </c>
      <c r="M696" s="25">
        <f>IFERROR(__xludf.DUMMYFUNCTION("""COMPUTED_VALUE"""),3411359.0)</f>
        <v>3411359</v>
      </c>
    </row>
    <row r="697">
      <c r="A697" s="26">
        <f>IFERROR(__xludf.DUMMYFUNCTION("""COMPUTED_VALUE"""),39374.645833333336)</f>
        <v>39374.64583</v>
      </c>
      <c r="B697" s="9">
        <f>IFERROR(__xludf.DUMMYFUNCTION("""COMPUTED_VALUE"""),237.5)</f>
        <v>237.5</v>
      </c>
      <c r="C697" s="9">
        <f>IFERROR(__xludf.DUMMYFUNCTION("""COMPUTED_VALUE"""),241.25)</f>
        <v>241.25</v>
      </c>
      <c r="D697" s="9">
        <f>IFERROR(__xludf.DUMMYFUNCTION("""COMPUTED_VALUE"""),234.52)</f>
        <v>234.52</v>
      </c>
      <c r="E697" s="9">
        <f>IFERROR(__xludf.DUMMYFUNCTION("""COMPUTED_VALUE"""),238.71)</f>
        <v>238.71</v>
      </c>
      <c r="F697" s="9">
        <f>IFERROR(__xludf.DUMMYFUNCTION("""COMPUTED_VALUE"""),1389848.0)</f>
        <v>1389848</v>
      </c>
      <c r="H697" s="27">
        <f>IFERROR(__xludf.DUMMYFUNCTION("""COMPUTED_VALUE"""),39374.645833333336)</f>
        <v>39374.64583</v>
      </c>
      <c r="I697" s="25">
        <f>IFERROR(__xludf.DUMMYFUNCTION("""COMPUTED_VALUE"""),286.96)</f>
        <v>286.96</v>
      </c>
      <c r="J697" s="25">
        <f>IFERROR(__xludf.DUMMYFUNCTION("""COMPUTED_VALUE"""),287.5)</f>
        <v>287.5</v>
      </c>
      <c r="K697" s="25">
        <f>IFERROR(__xludf.DUMMYFUNCTION("""COMPUTED_VALUE"""),270.6)</f>
        <v>270.6</v>
      </c>
      <c r="L697" s="25">
        <f>IFERROR(__xludf.DUMMYFUNCTION("""COMPUTED_VALUE"""),277.21)</f>
        <v>277.21</v>
      </c>
      <c r="M697" s="25">
        <f>IFERROR(__xludf.DUMMYFUNCTION("""COMPUTED_VALUE"""),2023533.0)</f>
        <v>2023533</v>
      </c>
    </row>
    <row r="698">
      <c r="A698" s="26">
        <f>IFERROR(__xludf.DUMMYFUNCTION("""COMPUTED_VALUE"""),39377.645833333336)</f>
        <v>39377.64583</v>
      </c>
      <c r="B698" s="9">
        <f>IFERROR(__xludf.DUMMYFUNCTION("""COMPUTED_VALUE"""),232.25)</f>
        <v>232.25</v>
      </c>
      <c r="C698" s="9">
        <f>IFERROR(__xludf.DUMMYFUNCTION("""COMPUTED_VALUE"""),238.78)</f>
        <v>238.78</v>
      </c>
      <c r="D698" s="9">
        <f>IFERROR(__xludf.DUMMYFUNCTION("""COMPUTED_VALUE"""),232.25)</f>
        <v>232.25</v>
      </c>
      <c r="E698" s="9">
        <f>IFERROR(__xludf.DUMMYFUNCTION("""COMPUTED_VALUE"""),235.84)</f>
        <v>235.84</v>
      </c>
      <c r="F698" s="9">
        <f>IFERROR(__xludf.DUMMYFUNCTION("""COMPUTED_VALUE"""),1335429.0)</f>
        <v>1335429</v>
      </c>
      <c r="H698" s="27">
        <f>IFERROR(__xludf.DUMMYFUNCTION("""COMPUTED_VALUE"""),39377.645833333336)</f>
        <v>39377.64583</v>
      </c>
      <c r="I698" s="25">
        <f>IFERROR(__xludf.DUMMYFUNCTION("""COMPUTED_VALUE"""),279.25)</f>
        <v>279.25</v>
      </c>
      <c r="J698" s="25">
        <f>IFERROR(__xludf.DUMMYFUNCTION("""COMPUTED_VALUE"""),279.25)</f>
        <v>279.25</v>
      </c>
      <c r="K698" s="25">
        <f>IFERROR(__xludf.DUMMYFUNCTION("""COMPUTED_VALUE"""),266.27)</f>
        <v>266.27</v>
      </c>
      <c r="L698" s="25">
        <f>IFERROR(__xludf.DUMMYFUNCTION("""COMPUTED_VALUE"""),267.99)</f>
        <v>267.99</v>
      </c>
      <c r="M698" s="25">
        <f>IFERROR(__xludf.DUMMYFUNCTION("""COMPUTED_VALUE"""),959202.0)</f>
        <v>959202</v>
      </c>
    </row>
    <row r="699">
      <c r="A699" s="26">
        <f>IFERROR(__xludf.DUMMYFUNCTION("""COMPUTED_VALUE"""),39378.645833333336)</f>
        <v>39378.64583</v>
      </c>
      <c r="B699" s="9">
        <f>IFERROR(__xludf.DUMMYFUNCTION("""COMPUTED_VALUE"""),237.5)</f>
        <v>237.5</v>
      </c>
      <c r="C699" s="9">
        <f>IFERROR(__xludf.DUMMYFUNCTION("""COMPUTED_VALUE"""),239.7)</f>
        <v>239.7</v>
      </c>
      <c r="D699" s="9">
        <f>IFERROR(__xludf.DUMMYFUNCTION("""COMPUTED_VALUE"""),233.75)</f>
        <v>233.75</v>
      </c>
      <c r="E699" s="9">
        <f>IFERROR(__xludf.DUMMYFUNCTION("""COMPUTED_VALUE"""),235.43)</f>
        <v>235.43</v>
      </c>
      <c r="F699" s="9">
        <f>IFERROR(__xludf.DUMMYFUNCTION("""COMPUTED_VALUE"""),1543293.0)</f>
        <v>1543293</v>
      </c>
      <c r="H699" s="27">
        <f>IFERROR(__xludf.DUMMYFUNCTION("""COMPUTED_VALUE"""),39378.645833333336)</f>
        <v>39378.64583</v>
      </c>
      <c r="I699" s="25">
        <f>IFERROR(__xludf.DUMMYFUNCTION("""COMPUTED_VALUE"""),267.0)</f>
        <v>267</v>
      </c>
      <c r="J699" s="25">
        <f>IFERROR(__xludf.DUMMYFUNCTION("""COMPUTED_VALUE"""),275.0)</f>
        <v>275</v>
      </c>
      <c r="K699" s="25">
        <f>IFERROR(__xludf.DUMMYFUNCTION("""COMPUTED_VALUE"""),264.75)</f>
        <v>264.75</v>
      </c>
      <c r="L699" s="25">
        <f>IFERROR(__xludf.DUMMYFUNCTION("""COMPUTED_VALUE"""),265.9)</f>
        <v>265.9</v>
      </c>
      <c r="M699" s="25">
        <f>IFERROR(__xludf.DUMMYFUNCTION("""COMPUTED_VALUE"""),1465591.0)</f>
        <v>1465591</v>
      </c>
    </row>
    <row r="700">
      <c r="A700" s="26">
        <f>IFERROR(__xludf.DUMMYFUNCTION("""COMPUTED_VALUE"""),39379.645833333336)</f>
        <v>39379.64583</v>
      </c>
      <c r="B700" s="9">
        <f>IFERROR(__xludf.DUMMYFUNCTION("""COMPUTED_VALUE"""),237.63)</f>
        <v>237.63</v>
      </c>
      <c r="C700" s="9">
        <f>IFERROR(__xludf.DUMMYFUNCTION("""COMPUTED_VALUE"""),239.75)</f>
        <v>239.75</v>
      </c>
      <c r="D700" s="9">
        <f>IFERROR(__xludf.DUMMYFUNCTION("""COMPUTED_VALUE"""),229.14)</f>
        <v>229.14</v>
      </c>
      <c r="E700" s="9">
        <f>IFERROR(__xludf.DUMMYFUNCTION("""COMPUTED_VALUE"""),230.56)</f>
        <v>230.56</v>
      </c>
      <c r="F700" s="9">
        <f>IFERROR(__xludf.DUMMYFUNCTION("""COMPUTED_VALUE"""),1430781.0)</f>
        <v>1430781</v>
      </c>
      <c r="H700" s="27">
        <f>IFERROR(__xludf.DUMMYFUNCTION("""COMPUTED_VALUE"""),39379.645833333336)</f>
        <v>39379.64583</v>
      </c>
      <c r="I700" s="25">
        <f>IFERROR(__xludf.DUMMYFUNCTION("""COMPUTED_VALUE"""),275.0)</f>
        <v>275</v>
      </c>
      <c r="J700" s="25">
        <f>IFERROR(__xludf.DUMMYFUNCTION("""COMPUTED_VALUE"""),275.0)</f>
        <v>275</v>
      </c>
      <c r="K700" s="25">
        <f>IFERROR(__xludf.DUMMYFUNCTION("""COMPUTED_VALUE"""),260.83)</f>
        <v>260.83</v>
      </c>
      <c r="L700" s="25">
        <f>IFERROR(__xludf.DUMMYFUNCTION("""COMPUTED_VALUE"""),262.0)</f>
        <v>262</v>
      </c>
      <c r="M700" s="25">
        <f>IFERROR(__xludf.DUMMYFUNCTION("""COMPUTED_VALUE"""),1025247.0)</f>
        <v>1025247</v>
      </c>
    </row>
    <row r="701">
      <c r="A701" s="26">
        <f>IFERROR(__xludf.DUMMYFUNCTION("""COMPUTED_VALUE"""),39380.645833333336)</f>
        <v>39380.64583</v>
      </c>
      <c r="B701" s="9">
        <f>IFERROR(__xludf.DUMMYFUNCTION("""COMPUTED_VALUE"""),231.38)</f>
        <v>231.38</v>
      </c>
      <c r="C701" s="9">
        <f>IFERROR(__xludf.DUMMYFUNCTION("""COMPUTED_VALUE"""),234.48)</f>
        <v>234.48</v>
      </c>
      <c r="D701" s="9">
        <f>IFERROR(__xludf.DUMMYFUNCTION("""COMPUTED_VALUE"""),228.13)</f>
        <v>228.13</v>
      </c>
      <c r="E701" s="9">
        <f>IFERROR(__xludf.DUMMYFUNCTION("""COMPUTED_VALUE"""),229.63)</f>
        <v>229.63</v>
      </c>
      <c r="F701" s="9">
        <f>IFERROR(__xludf.DUMMYFUNCTION("""COMPUTED_VALUE"""),1619480.0)</f>
        <v>1619480</v>
      </c>
      <c r="H701" s="27">
        <f>IFERROR(__xludf.DUMMYFUNCTION("""COMPUTED_VALUE"""),39380.645833333336)</f>
        <v>39380.64583</v>
      </c>
      <c r="I701" s="25">
        <f>IFERROR(__xludf.DUMMYFUNCTION("""COMPUTED_VALUE"""),264.75)</f>
        <v>264.75</v>
      </c>
      <c r="J701" s="25">
        <f>IFERROR(__xludf.DUMMYFUNCTION("""COMPUTED_VALUE"""),265.0)</f>
        <v>265</v>
      </c>
      <c r="K701" s="25">
        <f>IFERROR(__xludf.DUMMYFUNCTION("""COMPUTED_VALUE"""),259.54)</f>
        <v>259.54</v>
      </c>
      <c r="L701" s="25">
        <f>IFERROR(__xludf.DUMMYFUNCTION("""COMPUTED_VALUE"""),262.4)</f>
        <v>262.4</v>
      </c>
      <c r="M701" s="25">
        <f>IFERROR(__xludf.DUMMYFUNCTION("""COMPUTED_VALUE"""),1231318.0)</f>
        <v>1231318</v>
      </c>
    </row>
    <row r="702">
      <c r="A702" s="26">
        <f>IFERROR(__xludf.DUMMYFUNCTION("""COMPUTED_VALUE"""),39381.645833333336)</f>
        <v>39381.64583</v>
      </c>
      <c r="B702" s="9">
        <f>IFERROR(__xludf.DUMMYFUNCTION("""COMPUTED_VALUE"""),229.38)</f>
        <v>229.38</v>
      </c>
      <c r="C702" s="9">
        <f>IFERROR(__xludf.DUMMYFUNCTION("""COMPUTED_VALUE"""),231.88)</f>
        <v>231.88</v>
      </c>
      <c r="D702" s="9">
        <f>IFERROR(__xludf.DUMMYFUNCTION("""COMPUTED_VALUE"""),228.0)</f>
        <v>228</v>
      </c>
      <c r="E702" s="9">
        <f>IFERROR(__xludf.DUMMYFUNCTION("""COMPUTED_VALUE"""),231.03)</f>
        <v>231.03</v>
      </c>
      <c r="F702" s="9">
        <f>IFERROR(__xludf.DUMMYFUNCTION("""COMPUTED_VALUE"""),1034888.0)</f>
        <v>1034888</v>
      </c>
      <c r="H702" s="27">
        <f>IFERROR(__xludf.DUMMYFUNCTION("""COMPUTED_VALUE"""),39381.645833333336)</f>
        <v>39381.64583</v>
      </c>
      <c r="I702" s="25">
        <f>IFERROR(__xludf.DUMMYFUNCTION("""COMPUTED_VALUE"""),262.5)</f>
        <v>262.5</v>
      </c>
      <c r="J702" s="25">
        <f>IFERROR(__xludf.DUMMYFUNCTION("""COMPUTED_VALUE"""),271.0)</f>
        <v>271</v>
      </c>
      <c r="K702" s="25">
        <f>IFERROR(__xludf.DUMMYFUNCTION("""COMPUTED_VALUE"""),260.55)</f>
        <v>260.55</v>
      </c>
      <c r="L702" s="25">
        <f>IFERROR(__xludf.DUMMYFUNCTION("""COMPUTED_VALUE"""),267.83)</f>
        <v>267.83</v>
      </c>
      <c r="M702" s="25">
        <f>IFERROR(__xludf.DUMMYFUNCTION("""COMPUTED_VALUE"""),740015.0)</f>
        <v>740015</v>
      </c>
    </row>
    <row r="703">
      <c r="A703" s="26">
        <f>IFERROR(__xludf.DUMMYFUNCTION("""COMPUTED_VALUE"""),39384.645833333336)</f>
        <v>39384.64583</v>
      </c>
      <c r="B703" s="9">
        <f>IFERROR(__xludf.DUMMYFUNCTION("""COMPUTED_VALUE"""),237.5)</f>
        <v>237.5</v>
      </c>
      <c r="C703" s="9">
        <f>IFERROR(__xludf.DUMMYFUNCTION("""COMPUTED_VALUE"""),237.5)</f>
        <v>237.5</v>
      </c>
      <c r="D703" s="9">
        <f>IFERROR(__xludf.DUMMYFUNCTION("""COMPUTED_VALUE"""),231.9)</f>
        <v>231.9</v>
      </c>
      <c r="E703" s="9">
        <f>IFERROR(__xludf.DUMMYFUNCTION("""COMPUTED_VALUE"""),232.58)</f>
        <v>232.58</v>
      </c>
      <c r="F703" s="9">
        <f>IFERROR(__xludf.DUMMYFUNCTION("""COMPUTED_VALUE"""),666060.0)</f>
        <v>666060</v>
      </c>
      <c r="H703" s="27">
        <f>IFERROR(__xludf.DUMMYFUNCTION("""COMPUTED_VALUE"""),39384.645833333336)</f>
        <v>39384.64583</v>
      </c>
      <c r="I703" s="25">
        <f>IFERROR(__xludf.DUMMYFUNCTION("""COMPUTED_VALUE"""),272.25)</f>
        <v>272.25</v>
      </c>
      <c r="J703" s="25">
        <f>IFERROR(__xludf.DUMMYFUNCTION("""COMPUTED_VALUE"""),272.5)</f>
        <v>272.5</v>
      </c>
      <c r="K703" s="25">
        <f>IFERROR(__xludf.DUMMYFUNCTION("""COMPUTED_VALUE"""),265.35)</f>
        <v>265.35</v>
      </c>
      <c r="L703" s="25">
        <f>IFERROR(__xludf.DUMMYFUNCTION("""COMPUTED_VALUE"""),267.0)</f>
        <v>267</v>
      </c>
      <c r="M703" s="25">
        <f>IFERROR(__xludf.DUMMYFUNCTION("""COMPUTED_VALUE"""),884013.0)</f>
        <v>884013</v>
      </c>
    </row>
    <row r="704">
      <c r="A704" s="26">
        <f>IFERROR(__xludf.DUMMYFUNCTION("""COMPUTED_VALUE"""),39385.645833333336)</f>
        <v>39385.64583</v>
      </c>
      <c r="B704" s="9">
        <f>IFERROR(__xludf.DUMMYFUNCTION("""COMPUTED_VALUE"""),233.75)</f>
        <v>233.75</v>
      </c>
      <c r="C704" s="9">
        <f>IFERROR(__xludf.DUMMYFUNCTION("""COMPUTED_VALUE"""),235.5)</f>
        <v>235.5</v>
      </c>
      <c r="D704" s="9">
        <f>IFERROR(__xludf.DUMMYFUNCTION("""COMPUTED_VALUE"""),229.95)</f>
        <v>229.95</v>
      </c>
      <c r="E704" s="9">
        <f>IFERROR(__xludf.DUMMYFUNCTION("""COMPUTED_VALUE"""),231.78)</f>
        <v>231.78</v>
      </c>
      <c r="F704" s="9">
        <f>IFERROR(__xludf.DUMMYFUNCTION("""COMPUTED_VALUE"""),749555.0)</f>
        <v>749555</v>
      </c>
      <c r="H704" s="27">
        <f>IFERROR(__xludf.DUMMYFUNCTION("""COMPUTED_VALUE"""),39385.645833333336)</f>
        <v>39385.64583</v>
      </c>
      <c r="I704" s="25">
        <f>IFERROR(__xludf.DUMMYFUNCTION("""COMPUTED_VALUE"""),268.0)</f>
        <v>268</v>
      </c>
      <c r="J704" s="25">
        <f>IFERROR(__xludf.DUMMYFUNCTION("""COMPUTED_VALUE"""),268.75)</f>
        <v>268.75</v>
      </c>
      <c r="K704" s="25">
        <f>IFERROR(__xludf.DUMMYFUNCTION("""COMPUTED_VALUE"""),260.08)</f>
        <v>260.08</v>
      </c>
      <c r="L704" s="25">
        <f>IFERROR(__xludf.DUMMYFUNCTION("""COMPUTED_VALUE"""),262.13)</f>
        <v>262.13</v>
      </c>
      <c r="M704" s="25">
        <f>IFERROR(__xludf.DUMMYFUNCTION("""COMPUTED_VALUE"""),786451.0)</f>
        <v>786451</v>
      </c>
    </row>
    <row r="705">
      <c r="A705" s="26">
        <f>IFERROR(__xludf.DUMMYFUNCTION("""COMPUTED_VALUE"""),39386.645833333336)</f>
        <v>39386.64583</v>
      </c>
      <c r="B705" s="9">
        <f>IFERROR(__xludf.DUMMYFUNCTION("""COMPUTED_VALUE"""),233.69)</f>
        <v>233.69</v>
      </c>
      <c r="C705" s="9">
        <f>IFERROR(__xludf.DUMMYFUNCTION("""COMPUTED_VALUE"""),235.64)</f>
        <v>235.64</v>
      </c>
      <c r="D705" s="9">
        <f>IFERROR(__xludf.DUMMYFUNCTION("""COMPUTED_VALUE"""),227.26)</f>
        <v>227.26</v>
      </c>
      <c r="E705" s="9">
        <f>IFERROR(__xludf.DUMMYFUNCTION("""COMPUTED_VALUE"""),229.68)</f>
        <v>229.68</v>
      </c>
      <c r="F705" s="9">
        <f>IFERROR(__xludf.DUMMYFUNCTION("""COMPUTED_VALUE"""),1253191.0)</f>
        <v>1253191</v>
      </c>
      <c r="H705" s="27">
        <f>IFERROR(__xludf.DUMMYFUNCTION("""COMPUTED_VALUE"""),39386.645833333336)</f>
        <v>39386.64583</v>
      </c>
      <c r="I705" s="25">
        <f>IFERROR(__xludf.DUMMYFUNCTION("""COMPUTED_VALUE"""),261.75)</f>
        <v>261.75</v>
      </c>
      <c r="J705" s="25">
        <f>IFERROR(__xludf.DUMMYFUNCTION("""COMPUTED_VALUE"""),265.93)</f>
        <v>265.93</v>
      </c>
      <c r="K705" s="25">
        <f>IFERROR(__xludf.DUMMYFUNCTION("""COMPUTED_VALUE"""),254.25)</f>
        <v>254.25</v>
      </c>
      <c r="L705" s="25">
        <f>IFERROR(__xludf.DUMMYFUNCTION("""COMPUTED_VALUE"""),259.5)</f>
        <v>259.5</v>
      </c>
      <c r="M705" s="25">
        <f>IFERROR(__xludf.DUMMYFUNCTION("""COMPUTED_VALUE"""),1.1804132E7)</f>
        <v>11804132</v>
      </c>
    </row>
    <row r="706">
      <c r="A706" s="26">
        <f>IFERROR(__xludf.DUMMYFUNCTION("""COMPUTED_VALUE"""),39387.645833333336)</f>
        <v>39387.64583</v>
      </c>
      <c r="B706" s="9">
        <f>IFERROR(__xludf.DUMMYFUNCTION("""COMPUTED_VALUE"""),233.96)</f>
        <v>233.96</v>
      </c>
      <c r="C706" s="9">
        <f>IFERROR(__xludf.DUMMYFUNCTION("""COMPUTED_VALUE"""),235.0)</f>
        <v>235</v>
      </c>
      <c r="D706" s="9">
        <f>IFERROR(__xludf.DUMMYFUNCTION("""COMPUTED_VALUE"""),229.5)</f>
        <v>229.5</v>
      </c>
      <c r="E706" s="9">
        <f>IFERROR(__xludf.DUMMYFUNCTION("""COMPUTED_VALUE"""),234.24)</f>
        <v>234.24</v>
      </c>
      <c r="F706" s="9">
        <f>IFERROR(__xludf.DUMMYFUNCTION("""COMPUTED_VALUE"""),1190316.0)</f>
        <v>1190316</v>
      </c>
      <c r="H706" s="27">
        <f>IFERROR(__xludf.DUMMYFUNCTION("""COMPUTED_VALUE"""),39387.645833333336)</f>
        <v>39387.64583</v>
      </c>
      <c r="I706" s="25">
        <f>IFERROR(__xludf.DUMMYFUNCTION("""COMPUTED_VALUE"""),263.75)</f>
        <v>263.75</v>
      </c>
      <c r="J706" s="25">
        <f>IFERROR(__xludf.DUMMYFUNCTION("""COMPUTED_VALUE"""),263.75)</f>
        <v>263.75</v>
      </c>
      <c r="K706" s="25">
        <f>IFERROR(__xludf.DUMMYFUNCTION("""COMPUTED_VALUE"""),254.88)</f>
        <v>254.88</v>
      </c>
      <c r="L706" s="25">
        <f>IFERROR(__xludf.DUMMYFUNCTION("""COMPUTED_VALUE"""),255.76)</f>
        <v>255.76</v>
      </c>
      <c r="M706" s="25">
        <f>IFERROR(__xludf.DUMMYFUNCTION("""COMPUTED_VALUE"""),1379601.0)</f>
        <v>1379601</v>
      </c>
    </row>
    <row r="707">
      <c r="A707" s="26">
        <f>IFERROR(__xludf.DUMMYFUNCTION("""COMPUTED_VALUE"""),39388.645833333336)</f>
        <v>39388.64583</v>
      </c>
      <c r="B707" s="9">
        <f>IFERROR(__xludf.DUMMYFUNCTION("""COMPUTED_VALUE"""),231.25)</f>
        <v>231.25</v>
      </c>
      <c r="C707" s="9">
        <f>IFERROR(__xludf.DUMMYFUNCTION("""COMPUTED_VALUE"""),241.25)</f>
        <v>241.25</v>
      </c>
      <c r="D707" s="9">
        <f>IFERROR(__xludf.DUMMYFUNCTION("""COMPUTED_VALUE"""),227.63)</f>
        <v>227.63</v>
      </c>
      <c r="E707" s="9">
        <f>IFERROR(__xludf.DUMMYFUNCTION("""COMPUTED_VALUE"""),239.64)</f>
        <v>239.64</v>
      </c>
      <c r="F707" s="9">
        <f>IFERROR(__xludf.DUMMYFUNCTION("""COMPUTED_VALUE"""),1276101.0)</f>
        <v>1276101</v>
      </c>
      <c r="H707" s="27">
        <f>IFERROR(__xludf.DUMMYFUNCTION("""COMPUTED_VALUE"""),39388.645833333336)</f>
        <v>39388.64583</v>
      </c>
      <c r="I707" s="25">
        <f>IFERROR(__xludf.DUMMYFUNCTION("""COMPUTED_VALUE"""),252.5)</f>
        <v>252.5</v>
      </c>
      <c r="J707" s="25">
        <f>IFERROR(__xludf.DUMMYFUNCTION("""COMPUTED_VALUE"""),257.5)</f>
        <v>257.5</v>
      </c>
      <c r="K707" s="25">
        <f>IFERROR(__xludf.DUMMYFUNCTION("""COMPUTED_VALUE"""),250.75)</f>
        <v>250.75</v>
      </c>
      <c r="L707" s="25">
        <f>IFERROR(__xludf.DUMMYFUNCTION("""COMPUTED_VALUE"""),255.3)</f>
        <v>255.3</v>
      </c>
      <c r="M707" s="25">
        <f>IFERROR(__xludf.DUMMYFUNCTION("""COMPUTED_VALUE"""),873670.0)</f>
        <v>873670</v>
      </c>
    </row>
    <row r="708">
      <c r="A708" s="26">
        <f>IFERROR(__xludf.DUMMYFUNCTION("""COMPUTED_VALUE"""),39391.645833333336)</f>
        <v>39391.64583</v>
      </c>
      <c r="B708" s="9">
        <f>IFERROR(__xludf.DUMMYFUNCTION("""COMPUTED_VALUE"""),237.5)</f>
        <v>237.5</v>
      </c>
      <c r="C708" s="9">
        <f>IFERROR(__xludf.DUMMYFUNCTION("""COMPUTED_VALUE"""),241.09)</f>
        <v>241.09</v>
      </c>
      <c r="D708" s="9">
        <f>IFERROR(__xludf.DUMMYFUNCTION("""COMPUTED_VALUE"""),230.04)</f>
        <v>230.04</v>
      </c>
      <c r="E708" s="9">
        <f>IFERROR(__xludf.DUMMYFUNCTION("""COMPUTED_VALUE"""),231.75)</f>
        <v>231.75</v>
      </c>
      <c r="F708" s="9">
        <f>IFERROR(__xludf.DUMMYFUNCTION("""COMPUTED_VALUE"""),776435.0)</f>
        <v>776435</v>
      </c>
      <c r="H708" s="27">
        <f>IFERROR(__xludf.DUMMYFUNCTION("""COMPUTED_VALUE"""),39391.645833333336)</f>
        <v>39391.64583</v>
      </c>
      <c r="I708" s="25">
        <f>IFERROR(__xludf.DUMMYFUNCTION("""COMPUTED_VALUE"""),255.25)</f>
        <v>255.25</v>
      </c>
      <c r="J708" s="25">
        <f>IFERROR(__xludf.DUMMYFUNCTION("""COMPUTED_VALUE"""),257.7)</f>
        <v>257.7</v>
      </c>
      <c r="K708" s="25">
        <f>IFERROR(__xludf.DUMMYFUNCTION("""COMPUTED_VALUE"""),251.31)</f>
        <v>251.31</v>
      </c>
      <c r="L708" s="25">
        <f>IFERROR(__xludf.DUMMYFUNCTION("""COMPUTED_VALUE"""),252.83)</f>
        <v>252.83</v>
      </c>
      <c r="M708" s="25">
        <f>IFERROR(__xludf.DUMMYFUNCTION("""COMPUTED_VALUE"""),469117.0)</f>
        <v>469117</v>
      </c>
    </row>
    <row r="709">
      <c r="A709" s="26">
        <f>IFERROR(__xludf.DUMMYFUNCTION("""COMPUTED_VALUE"""),39392.645833333336)</f>
        <v>39392.64583</v>
      </c>
      <c r="B709" s="9">
        <f>IFERROR(__xludf.DUMMYFUNCTION("""COMPUTED_VALUE"""),231.25)</f>
        <v>231.25</v>
      </c>
      <c r="C709" s="9">
        <f>IFERROR(__xludf.DUMMYFUNCTION("""COMPUTED_VALUE"""),234.38)</f>
        <v>234.38</v>
      </c>
      <c r="D709" s="9">
        <f>IFERROR(__xludf.DUMMYFUNCTION("""COMPUTED_VALUE"""),231.25)</f>
        <v>231.25</v>
      </c>
      <c r="E709" s="9">
        <f>IFERROR(__xludf.DUMMYFUNCTION("""COMPUTED_VALUE"""),231.47)</f>
        <v>231.47</v>
      </c>
      <c r="F709" s="9">
        <f>IFERROR(__xludf.DUMMYFUNCTION("""COMPUTED_VALUE"""),564729.0)</f>
        <v>564729</v>
      </c>
      <c r="H709" s="27">
        <f>IFERROR(__xludf.DUMMYFUNCTION("""COMPUTED_VALUE"""),39392.645833333336)</f>
        <v>39392.64583</v>
      </c>
      <c r="I709" s="25">
        <f>IFERROR(__xludf.DUMMYFUNCTION("""COMPUTED_VALUE"""),253.75)</f>
        <v>253.75</v>
      </c>
      <c r="J709" s="25">
        <f>IFERROR(__xludf.DUMMYFUNCTION("""COMPUTED_VALUE"""),254.95)</f>
        <v>254.95</v>
      </c>
      <c r="K709" s="25">
        <f>IFERROR(__xludf.DUMMYFUNCTION("""COMPUTED_VALUE"""),250.0)</f>
        <v>250</v>
      </c>
      <c r="L709" s="25">
        <f>IFERROR(__xludf.DUMMYFUNCTION("""COMPUTED_VALUE"""),251.08)</f>
        <v>251.08</v>
      </c>
      <c r="M709" s="25">
        <f>IFERROR(__xludf.DUMMYFUNCTION("""COMPUTED_VALUE"""),549747.0)</f>
        <v>549747</v>
      </c>
    </row>
    <row r="710">
      <c r="A710" s="26">
        <f>IFERROR(__xludf.DUMMYFUNCTION("""COMPUTED_VALUE"""),39393.645833333336)</f>
        <v>39393.64583</v>
      </c>
      <c r="B710" s="9">
        <f>IFERROR(__xludf.DUMMYFUNCTION("""COMPUTED_VALUE"""),231.42)</f>
        <v>231.42</v>
      </c>
      <c r="C710" s="9">
        <f>IFERROR(__xludf.DUMMYFUNCTION("""COMPUTED_VALUE"""),231.42)</f>
        <v>231.42</v>
      </c>
      <c r="D710" s="9">
        <f>IFERROR(__xludf.DUMMYFUNCTION("""COMPUTED_VALUE"""),216.88)</f>
        <v>216.88</v>
      </c>
      <c r="E710" s="9">
        <f>IFERROR(__xludf.DUMMYFUNCTION("""COMPUTED_VALUE"""),218.24)</f>
        <v>218.24</v>
      </c>
      <c r="F710" s="9">
        <f>IFERROR(__xludf.DUMMYFUNCTION("""COMPUTED_VALUE"""),2893925.0)</f>
        <v>2893925</v>
      </c>
      <c r="H710" s="27">
        <f>IFERROR(__xludf.DUMMYFUNCTION("""COMPUTED_VALUE"""),39393.645833333336)</f>
        <v>39393.64583</v>
      </c>
      <c r="I710" s="25">
        <f>IFERROR(__xludf.DUMMYFUNCTION("""COMPUTED_VALUE"""),251.28)</f>
        <v>251.28</v>
      </c>
      <c r="J710" s="25">
        <f>IFERROR(__xludf.DUMMYFUNCTION("""COMPUTED_VALUE"""),252.29)</f>
        <v>252.29</v>
      </c>
      <c r="K710" s="25">
        <f>IFERROR(__xludf.DUMMYFUNCTION("""COMPUTED_VALUE"""),246.53)</f>
        <v>246.53</v>
      </c>
      <c r="L710" s="25">
        <f>IFERROR(__xludf.DUMMYFUNCTION("""COMPUTED_VALUE"""),249.26)</f>
        <v>249.26</v>
      </c>
      <c r="M710" s="25">
        <f>IFERROR(__xludf.DUMMYFUNCTION("""COMPUTED_VALUE"""),876004.0)</f>
        <v>876004</v>
      </c>
    </row>
    <row r="711">
      <c r="A711" s="26">
        <f>IFERROR(__xludf.DUMMYFUNCTION("""COMPUTED_VALUE"""),39394.645833333336)</f>
        <v>39394.64583</v>
      </c>
      <c r="B711" s="9">
        <f>IFERROR(__xludf.DUMMYFUNCTION("""COMPUTED_VALUE"""),214.84)</f>
        <v>214.84</v>
      </c>
      <c r="C711" s="9">
        <f>IFERROR(__xludf.DUMMYFUNCTION("""COMPUTED_VALUE"""),218.13)</f>
        <v>218.13</v>
      </c>
      <c r="D711" s="9">
        <f>IFERROR(__xludf.DUMMYFUNCTION("""COMPUTED_VALUE"""),212.88)</f>
        <v>212.88</v>
      </c>
      <c r="E711" s="9">
        <f>IFERROR(__xludf.DUMMYFUNCTION("""COMPUTED_VALUE"""),214.54)</f>
        <v>214.54</v>
      </c>
      <c r="F711" s="9">
        <f>IFERROR(__xludf.DUMMYFUNCTION("""COMPUTED_VALUE"""),1963155.0)</f>
        <v>1963155</v>
      </c>
      <c r="H711" s="27">
        <f>IFERROR(__xludf.DUMMYFUNCTION("""COMPUTED_VALUE"""),39394.645833333336)</f>
        <v>39394.64583</v>
      </c>
      <c r="I711" s="25">
        <f>IFERROR(__xludf.DUMMYFUNCTION("""COMPUTED_VALUE"""),247.53)</f>
        <v>247.53</v>
      </c>
      <c r="J711" s="25">
        <f>IFERROR(__xludf.DUMMYFUNCTION("""COMPUTED_VALUE"""),249.95)</f>
        <v>249.95</v>
      </c>
      <c r="K711" s="25">
        <f>IFERROR(__xludf.DUMMYFUNCTION("""COMPUTED_VALUE"""),245.0)</f>
        <v>245</v>
      </c>
      <c r="L711" s="25">
        <f>IFERROR(__xludf.DUMMYFUNCTION("""COMPUTED_VALUE"""),247.41)</f>
        <v>247.41</v>
      </c>
      <c r="M711" s="25">
        <f>IFERROR(__xludf.DUMMYFUNCTION("""COMPUTED_VALUE"""),671741.0)</f>
        <v>671741</v>
      </c>
    </row>
    <row r="712">
      <c r="A712" s="26">
        <f>IFERROR(__xludf.DUMMYFUNCTION("""COMPUTED_VALUE"""),39395.645833333336)</f>
        <v>39395.64583</v>
      </c>
      <c r="B712" s="9">
        <f>IFERROR(__xludf.DUMMYFUNCTION("""COMPUTED_VALUE"""),218.63)</f>
        <v>218.63</v>
      </c>
      <c r="C712" s="9">
        <f>IFERROR(__xludf.DUMMYFUNCTION("""COMPUTED_VALUE"""),218.63)</f>
        <v>218.63</v>
      </c>
      <c r="D712" s="9">
        <f>IFERROR(__xludf.DUMMYFUNCTION("""COMPUTED_VALUE"""),211.26)</f>
        <v>211.26</v>
      </c>
      <c r="E712" s="9">
        <f>IFERROR(__xludf.DUMMYFUNCTION("""COMPUTED_VALUE"""),212.64)</f>
        <v>212.64</v>
      </c>
      <c r="F712" s="9">
        <f>IFERROR(__xludf.DUMMYFUNCTION("""COMPUTED_VALUE"""),177058.0)</f>
        <v>177058</v>
      </c>
      <c r="H712" s="27">
        <f>IFERROR(__xludf.DUMMYFUNCTION("""COMPUTED_VALUE"""),39395.645833333336)</f>
        <v>39395.64583</v>
      </c>
      <c r="I712" s="25">
        <f>IFERROR(__xludf.DUMMYFUNCTION("""COMPUTED_VALUE"""),253.75)</f>
        <v>253.75</v>
      </c>
      <c r="J712" s="25">
        <f>IFERROR(__xludf.DUMMYFUNCTION("""COMPUTED_VALUE"""),253.75)</f>
        <v>253.75</v>
      </c>
      <c r="K712" s="25">
        <f>IFERROR(__xludf.DUMMYFUNCTION("""COMPUTED_VALUE"""),245.78)</f>
        <v>245.78</v>
      </c>
      <c r="L712" s="25">
        <f>IFERROR(__xludf.DUMMYFUNCTION("""COMPUTED_VALUE"""),246.31)</f>
        <v>246.31</v>
      </c>
      <c r="M712" s="25">
        <f>IFERROR(__xludf.DUMMYFUNCTION("""COMPUTED_VALUE"""),84775.0)</f>
        <v>84775</v>
      </c>
    </row>
    <row r="713">
      <c r="A713" s="26">
        <f>IFERROR(__xludf.DUMMYFUNCTION("""COMPUTED_VALUE"""),39398.645833333336)</f>
        <v>39398.64583</v>
      </c>
      <c r="B713" s="9">
        <f>IFERROR(__xludf.DUMMYFUNCTION("""COMPUTED_VALUE"""),209.38)</f>
        <v>209.38</v>
      </c>
      <c r="C713" s="9">
        <f>IFERROR(__xludf.DUMMYFUNCTION("""COMPUTED_VALUE"""),209.38)</f>
        <v>209.38</v>
      </c>
      <c r="D713" s="9">
        <f>IFERROR(__xludf.DUMMYFUNCTION("""COMPUTED_VALUE"""),201.27)</f>
        <v>201.27</v>
      </c>
      <c r="E713" s="9">
        <f>IFERROR(__xludf.DUMMYFUNCTION("""COMPUTED_VALUE"""),205.23)</f>
        <v>205.23</v>
      </c>
      <c r="F713" s="9">
        <f>IFERROR(__xludf.DUMMYFUNCTION("""COMPUTED_VALUE"""),3165604.0)</f>
        <v>3165604</v>
      </c>
      <c r="H713" s="27">
        <f>IFERROR(__xludf.DUMMYFUNCTION("""COMPUTED_VALUE"""),39398.645833333336)</f>
        <v>39398.64583</v>
      </c>
      <c r="I713" s="25">
        <f>IFERROR(__xludf.DUMMYFUNCTION("""COMPUTED_VALUE"""),246.31)</f>
        <v>246.31</v>
      </c>
      <c r="J713" s="25">
        <f>IFERROR(__xludf.DUMMYFUNCTION("""COMPUTED_VALUE"""),246.31)</f>
        <v>246.31</v>
      </c>
      <c r="K713" s="25">
        <f>IFERROR(__xludf.DUMMYFUNCTION("""COMPUTED_VALUE"""),240.0)</f>
        <v>240</v>
      </c>
      <c r="L713" s="25">
        <f>IFERROR(__xludf.DUMMYFUNCTION("""COMPUTED_VALUE"""),240.96)</f>
        <v>240.96</v>
      </c>
      <c r="M713" s="25">
        <f>IFERROR(__xludf.DUMMYFUNCTION("""COMPUTED_VALUE"""),1320247.0)</f>
        <v>1320247</v>
      </c>
    </row>
    <row r="714">
      <c r="A714" s="26">
        <f>IFERROR(__xludf.DUMMYFUNCTION("""COMPUTED_VALUE"""),39399.645833333336)</f>
        <v>39399.64583</v>
      </c>
      <c r="B714" s="9">
        <f>IFERROR(__xludf.DUMMYFUNCTION("""COMPUTED_VALUE"""),203.13)</f>
        <v>203.13</v>
      </c>
      <c r="C714" s="9">
        <f>IFERROR(__xludf.DUMMYFUNCTION("""COMPUTED_VALUE"""),211.64)</f>
        <v>211.64</v>
      </c>
      <c r="D714" s="9">
        <f>IFERROR(__xludf.DUMMYFUNCTION("""COMPUTED_VALUE"""),200.88)</f>
        <v>200.88</v>
      </c>
      <c r="E714" s="9">
        <f>IFERROR(__xludf.DUMMYFUNCTION("""COMPUTED_VALUE"""),203.39)</f>
        <v>203.39</v>
      </c>
      <c r="F714" s="9">
        <f>IFERROR(__xludf.DUMMYFUNCTION("""COMPUTED_VALUE"""),2939639.0)</f>
        <v>2939639</v>
      </c>
      <c r="H714" s="27">
        <f>IFERROR(__xludf.DUMMYFUNCTION("""COMPUTED_VALUE"""),39399.645833333336)</f>
        <v>39399.64583</v>
      </c>
      <c r="I714" s="25">
        <f>IFERROR(__xludf.DUMMYFUNCTION("""COMPUTED_VALUE"""),240.96)</f>
        <v>240.96</v>
      </c>
      <c r="J714" s="25">
        <f>IFERROR(__xludf.DUMMYFUNCTION("""COMPUTED_VALUE"""),243.18)</f>
        <v>243.18</v>
      </c>
      <c r="K714" s="25">
        <f>IFERROR(__xludf.DUMMYFUNCTION("""COMPUTED_VALUE"""),231.66)</f>
        <v>231.66</v>
      </c>
      <c r="L714" s="25">
        <f>IFERROR(__xludf.DUMMYFUNCTION("""COMPUTED_VALUE"""),236.84)</f>
        <v>236.84</v>
      </c>
      <c r="M714" s="25">
        <f>IFERROR(__xludf.DUMMYFUNCTION("""COMPUTED_VALUE"""),1174497.0)</f>
        <v>1174497</v>
      </c>
    </row>
    <row r="715">
      <c r="A715" s="26">
        <f>IFERROR(__xludf.DUMMYFUNCTION("""COMPUTED_VALUE"""),39400.645833333336)</f>
        <v>39400.64583</v>
      </c>
      <c r="B715" s="9">
        <f>IFERROR(__xludf.DUMMYFUNCTION("""COMPUTED_VALUE"""),210.0)</f>
        <v>210</v>
      </c>
      <c r="C715" s="9">
        <f>IFERROR(__xludf.DUMMYFUNCTION("""COMPUTED_VALUE"""),216.25)</f>
        <v>216.25</v>
      </c>
      <c r="D715" s="9">
        <f>IFERROR(__xludf.DUMMYFUNCTION("""COMPUTED_VALUE"""),207.0)</f>
        <v>207</v>
      </c>
      <c r="E715" s="9">
        <f>IFERROR(__xludf.DUMMYFUNCTION("""COMPUTED_VALUE"""),213.49)</f>
        <v>213.49</v>
      </c>
      <c r="F715" s="9">
        <f>IFERROR(__xludf.DUMMYFUNCTION("""COMPUTED_VALUE"""),2032751.0)</f>
        <v>2032751</v>
      </c>
      <c r="H715" s="27">
        <f>IFERROR(__xludf.DUMMYFUNCTION("""COMPUTED_VALUE"""),39400.645833333336)</f>
        <v>39400.64583</v>
      </c>
      <c r="I715" s="25">
        <f>IFERROR(__xludf.DUMMYFUNCTION("""COMPUTED_VALUE"""),240.0)</f>
        <v>240</v>
      </c>
      <c r="J715" s="25">
        <f>IFERROR(__xludf.DUMMYFUNCTION("""COMPUTED_VALUE"""),261.27)</f>
        <v>261.27</v>
      </c>
      <c r="K715" s="25">
        <f>IFERROR(__xludf.DUMMYFUNCTION("""COMPUTED_VALUE"""),240.0)</f>
        <v>240</v>
      </c>
      <c r="L715" s="25">
        <f>IFERROR(__xludf.DUMMYFUNCTION("""COMPUTED_VALUE"""),246.68)</f>
        <v>246.68</v>
      </c>
      <c r="M715" s="25">
        <f>IFERROR(__xludf.DUMMYFUNCTION("""COMPUTED_VALUE"""),897092.0)</f>
        <v>897092</v>
      </c>
    </row>
    <row r="716">
      <c r="A716" s="26">
        <f>IFERROR(__xludf.DUMMYFUNCTION("""COMPUTED_VALUE"""),39401.645833333336)</f>
        <v>39401.64583</v>
      </c>
      <c r="B716" s="9">
        <f>IFERROR(__xludf.DUMMYFUNCTION("""COMPUTED_VALUE"""),212.5)</f>
        <v>212.5</v>
      </c>
      <c r="C716" s="9">
        <f>IFERROR(__xludf.DUMMYFUNCTION("""COMPUTED_VALUE"""),212.5)</f>
        <v>212.5</v>
      </c>
      <c r="D716" s="9">
        <f>IFERROR(__xludf.DUMMYFUNCTION("""COMPUTED_VALUE"""),204.75)</f>
        <v>204.75</v>
      </c>
      <c r="E716" s="9">
        <f>IFERROR(__xludf.DUMMYFUNCTION("""COMPUTED_VALUE"""),205.91)</f>
        <v>205.91</v>
      </c>
      <c r="F716" s="9">
        <f>IFERROR(__xludf.DUMMYFUNCTION("""COMPUTED_VALUE"""),1631725.0)</f>
        <v>1631725</v>
      </c>
      <c r="H716" s="27">
        <f>IFERROR(__xludf.DUMMYFUNCTION("""COMPUTED_VALUE"""),39401.645833333336)</f>
        <v>39401.64583</v>
      </c>
      <c r="I716" s="25">
        <f>IFERROR(__xludf.DUMMYFUNCTION("""COMPUTED_VALUE"""),247.75)</f>
        <v>247.75</v>
      </c>
      <c r="J716" s="25">
        <f>IFERROR(__xludf.DUMMYFUNCTION("""COMPUTED_VALUE"""),249.48)</f>
        <v>249.48</v>
      </c>
      <c r="K716" s="25">
        <f>IFERROR(__xludf.DUMMYFUNCTION("""COMPUTED_VALUE"""),242.5)</f>
        <v>242.5</v>
      </c>
      <c r="L716" s="25">
        <f>IFERROR(__xludf.DUMMYFUNCTION("""COMPUTED_VALUE"""),245.05)</f>
        <v>245.05</v>
      </c>
      <c r="M716" s="25">
        <f>IFERROR(__xludf.DUMMYFUNCTION("""COMPUTED_VALUE"""),573849.0)</f>
        <v>573849</v>
      </c>
    </row>
    <row r="717">
      <c r="A717" s="26">
        <f>IFERROR(__xludf.DUMMYFUNCTION("""COMPUTED_VALUE"""),39402.645833333336)</f>
        <v>39402.64583</v>
      </c>
      <c r="B717" s="9">
        <f>IFERROR(__xludf.DUMMYFUNCTION("""COMPUTED_VALUE"""),205.91)</f>
        <v>205.91</v>
      </c>
      <c r="C717" s="9">
        <f>IFERROR(__xludf.DUMMYFUNCTION("""COMPUTED_VALUE"""),208.0)</f>
        <v>208</v>
      </c>
      <c r="D717" s="9">
        <f>IFERROR(__xludf.DUMMYFUNCTION("""COMPUTED_VALUE"""),202.25)</f>
        <v>202.25</v>
      </c>
      <c r="E717" s="9">
        <f>IFERROR(__xludf.DUMMYFUNCTION("""COMPUTED_VALUE"""),203.13)</f>
        <v>203.13</v>
      </c>
      <c r="F717" s="9">
        <f>IFERROR(__xludf.DUMMYFUNCTION("""COMPUTED_VALUE"""),1213941.0)</f>
        <v>1213941</v>
      </c>
      <c r="H717" s="27">
        <f>IFERROR(__xludf.DUMMYFUNCTION("""COMPUTED_VALUE"""),39402.645833333336)</f>
        <v>39402.64583</v>
      </c>
      <c r="I717" s="25">
        <f>IFERROR(__xludf.DUMMYFUNCTION("""COMPUTED_VALUE"""),245.0)</f>
        <v>245</v>
      </c>
      <c r="J717" s="25">
        <f>IFERROR(__xludf.DUMMYFUNCTION("""COMPUTED_VALUE"""),249.5)</f>
        <v>249.5</v>
      </c>
      <c r="K717" s="25">
        <f>IFERROR(__xludf.DUMMYFUNCTION("""COMPUTED_VALUE"""),241.79)</f>
        <v>241.79</v>
      </c>
      <c r="L717" s="25">
        <f>IFERROR(__xludf.DUMMYFUNCTION("""COMPUTED_VALUE"""),245.73)</f>
        <v>245.73</v>
      </c>
      <c r="M717" s="25">
        <f>IFERROR(__xludf.DUMMYFUNCTION("""COMPUTED_VALUE"""),916704.0)</f>
        <v>916704</v>
      </c>
    </row>
    <row r="718">
      <c r="A718" s="26">
        <f>IFERROR(__xludf.DUMMYFUNCTION("""COMPUTED_VALUE"""),39405.645833333336)</f>
        <v>39405.64583</v>
      </c>
      <c r="B718" s="9">
        <f>IFERROR(__xludf.DUMMYFUNCTION("""COMPUTED_VALUE"""),206.25)</f>
        <v>206.25</v>
      </c>
      <c r="C718" s="9">
        <f>IFERROR(__xludf.DUMMYFUNCTION("""COMPUTED_VALUE"""),206.25)</f>
        <v>206.25</v>
      </c>
      <c r="D718" s="9">
        <f>IFERROR(__xludf.DUMMYFUNCTION("""COMPUTED_VALUE"""),202.0)</f>
        <v>202</v>
      </c>
      <c r="E718" s="9">
        <f>IFERROR(__xludf.DUMMYFUNCTION("""COMPUTED_VALUE"""),202.49)</f>
        <v>202.49</v>
      </c>
      <c r="F718" s="9">
        <f>IFERROR(__xludf.DUMMYFUNCTION("""COMPUTED_VALUE"""),1805145.0)</f>
        <v>1805145</v>
      </c>
      <c r="H718" s="27">
        <f>IFERROR(__xludf.DUMMYFUNCTION("""COMPUTED_VALUE"""),39405.645833333336)</f>
        <v>39405.64583</v>
      </c>
      <c r="I718" s="25">
        <f>IFERROR(__xludf.DUMMYFUNCTION("""COMPUTED_VALUE"""),240.03)</f>
        <v>240.03</v>
      </c>
      <c r="J718" s="25">
        <f>IFERROR(__xludf.DUMMYFUNCTION("""COMPUTED_VALUE"""),251.75)</f>
        <v>251.75</v>
      </c>
      <c r="K718" s="25">
        <f>IFERROR(__xludf.DUMMYFUNCTION("""COMPUTED_VALUE"""),240.03)</f>
        <v>240.03</v>
      </c>
      <c r="L718" s="25">
        <f>IFERROR(__xludf.DUMMYFUNCTION("""COMPUTED_VALUE"""),248.38)</f>
        <v>248.38</v>
      </c>
      <c r="M718" s="25">
        <f>IFERROR(__xludf.DUMMYFUNCTION("""COMPUTED_VALUE"""),735887.0)</f>
        <v>735887</v>
      </c>
    </row>
    <row r="719">
      <c r="A719" s="26">
        <f>IFERROR(__xludf.DUMMYFUNCTION("""COMPUTED_VALUE"""),39406.645833333336)</f>
        <v>39406.64583</v>
      </c>
      <c r="B719" s="9">
        <f>IFERROR(__xludf.DUMMYFUNCTION("""COMPUTED_VALUE"""),200.88)</f>
        <v>200.88</v>
      </c>
      <c r="C719" s="9">
        <f>IFERROR(__xludf.DUMMYFUNCTION("""COMPUTED_VALUE"""),202.5)</f>
        <v>202.5</v>
      </c>
      <c r="D719" s="9">
        <f>IFERROR(__xludf.DUMMYFUNCTION("""COMPUTED_VALUE"""),194.17)</f>
        <v>194.17</v>
      </c>
      <c r="E719" s="9">
        <f>IFERROR(__xludf.DUMMYFUNCTION("""COMPUTED_VALUE"""),195.71)</f>
        <v>195.71</v>
      </c>
      <c r="F719" s="9">
        <f>IFERROR(__xludf.DUMMYFUNCTION("""COMPUTED_VALUE"""),2842109.0)</f>
        <v>2842109</v>
      </c>
      <c r="H719" s="27">
        <f>IFERROR(__xludf.DUMMYFUNCTION("""COMPUTED_VALUE"""),39406.645833333336)</f>
        <v>39406.64583</v>
      </c>
      <c r="I719" s="25">
        <f>IFERROR(__xludf.DUMMYFUNCTION("""COMPUTED_VALUE"""),247.25)</f>
        <v>247.25</v>
      </c>
      <c r="J719" s="25">
        <f>IFERROR(__xludf.DUMMYFUNCTION("""COMPUTED_VALUE"""),247.25)</f>
        <v>247.25</v>
      </c>
      <c r="K719" s="25">
        <f>IFERROR(__xludf.DUMMYFUNCTION("""COMPUTED_VALUE"""),239.53)</f>
        <v>239.53</v>
      </c>
      <c r="L719" s="25">
        <f>IFERROR(__xludf.DUMMYFUNCTION("""COMPUTED_VALUE"""),240.33)</f>
        <v>240.33</v>
      </c>
      <c r="M719" s="25">
        <f>IFERROR(__xludf.DUMMYFUNCTION("""COMPUTED_VALUE"""),1027848.0)</f>
        <v>1027848</v>
      </c>
    </row>
    <row r="720">
      <c r="A720" s="26">
        <f>IFERROR(__xludf.DUMMYFUNCTION("""COMPUTED_VALUE"""),39407.645833333336)</f>
        <v>39407.64583</v>
      </c>
      <c r="B720" s="9">
        <f>IFERROR(__xludf.DUMMYFUNCTION("""COMPUTED_VALUE"""),193.13)</f>
        <v>193.13</v>
      </c>
      <c r="C720" s="9">
        <f>IFERROR(__xludf.DUMMYFUNCTION("""COMPUTED_VALUE"""),198.38)</f>
        <v>198.38</v>
      </c>
      <c r="D720" s="9">
        <f>IFERROR(__xludf.DUMMYFUNCTION("""COMPUTED_VALUE"""),192.5)</f>
        <v>192.5</v>
      </c>
      <c r="E720" s="9">
        <f>IFERROR(__xludf.DUMMYFUNCTION("""COMPUTED_VALUE"""),193.39)</f>
        <v>193.39</v>
      </c>
      <c r="F720" s="9">
        <f>IFERROR(__xludf.DUMMYFUNCTION("""COMPUTED_VALUE"""),2065484.0)</f>
        <v>2065484</v>
      </c>
      <c r="H720" s="27">
        <f>IFERROR(__xludf.DUMMYFUNCTION("""COMPUTED_VALUE"""),39407.645833333336)</f>
        <v>39407.64583</v>
      </c>
      <c r="I720" s="25">
        <f>IFERROR(__xludf.DUMMYFUNCTION("""COMPUTED_VALUE"""),240.33)</f>
        <v>240.33</v>
      </c>
      <c r="J720" s="25">
        <f>IFERROR(__xludf.DUMMYFUNCTION("""COMPUTED_VALUE"""),245.0)</f>
        <v>245</v>
      </c>
      <c r="K720" s="25">
        <f>IFERROR(__xludf.DUMMYFUNCTION("""COMPUTED_VALUE"""),234.0)</f>
        <v>234</v>
      </c>
      <c r="L720" s="25">
        <f>IFERROR(__xludf.DUMMYFUNCTION("""COMPUTED_VALUE"""),236.2)</f>
        <v>236.2</v>
      </c>
      <c r="M720" s="25">
        <f>IFERROR(__xludf.DUMMYFUNCTION("""COMPUTED_VALUE"""),834257.0)</f>
        <v>834257</v>
      </c>
    </row>
    <row r="721">
      <c r="A721" s="26">
        <f>IFERROR(__xludf.DUMMYFUNCTION("""COMPUTED_VALUE"""),39408.645833333336)</f>
        <v>39408.64583</v>
      </c>
      <c r="B721" s="9">
        <f>IFERROR(__xludf.DUMMYFUNCTION("""COMPUTED_VALUE"""),193.74)</f>
        <v>193.74</v>
      </c>
      <c r="C721" s="9">
        <f>IFERROR(__xludf.DUMMYFUNCTION("""COMPUTED_VALUE"""),195.01)</f>
        <v>195.01</v>
      </c>
      <c r="D721" s="9">
        <f>IFERROR(__xludf.DUMMYFUNCTION("""COMPUTED_VALUE"""),189.88)</f>
        <v>189.88</v>
      </c>
      <c r="E721" s="9">
        <f>IFERROR(__xludf.DUMMYFUNCTION("""COMPUTED_VALUE"""),191.45)</f>
        <v>191.45</v>
      </c>
      <c r="F721" s="9">
        <f>IFERROR(__xludf.DUMMYFUNCTION("""COMPUTED_VALUE"""),1572093.0)</f>
        <v>1572093</v>
      </c>
      <c r="H721" s="27">
        <f>IFERROR(__xludf.DUMMYFUNCTION("""COMPUTED_VALUE"""),39408.645833333336)</f>
        <v>39408.64583</v>
      </c>
      <c r="I721" s="25">
        <f>IFERROR(__xludf.DUMMYFUNCTION("""COMPUTED_VALUE"""),242.43)</f>
        <v>242.43</v>
      </c>
      <c r="J721" s="25">
        <f>IFERROR(__xludf.DUMMYFUNCTION("""COMPUTED_VALUE"""),242.43)</f>
        <v>242.43</v>
      </c>
      <c r="K721" s="25">
        <f>IFERROR(__xludf.DUMMYFUNCTION("""COMPUTED_VALUE"""),233.75)</f>
        <v>233.75</v>
      </c>
      <c r="L721" s="25">
        <f>IFERROR(__xludf.DUMMYFUNCTION("""COMPUTED_VALUE"""),237.55)</f>
        <v>237.55</v>
      </c>
      <c r="M721" s="25">
        <f>IFERROR(__xludf.DUMMYFUNCTION("""COMPUTED_VALUE"""),600589.0)</f>
        <v>600589</v>
      </c>
    </row>
    <row r="722">
      <c r="A722" s="26">
        <f>IFERROR(__xludf.DUMMYFUNCTION("""COMPUTED_VALUE"""),39409.645833333336)</f>
        <v>39409.64583</v>
      </c>
      <c r="B722" s="9">
        <f>IFERROR(__xludf.DUMMYFUNCTION("""COMPUTED_VALUE"""),193.75)</f>
        <v>193.75</v>
      </c>
      <c r="C722" s="9">
        <f>IFERROR(__xludf.DUMMYFUNCTION("""COMPUTED_VALUE"""),200.59)</f>
        <v>200.59</v>
      </c>
      <c r="D722" s="9">
        <f>IFERROR(__xludf.DUMMYFUNCTION("""COMPUTED_VALUE"""),191.71)</f>
        <v>191.71</v>
      </c>
      <c r="E722" s="9">
        <f>IFERROR(__xludf.DUMMYFUNCTION("""COMPUTED_VALUE"""),194.69)</f>
        <v>194.69</v>
      </c>
      <c r="F722" s="9">
        <f>IFERROR(__xludf.DUMMYFUNCTION("""COMPUTED_VALUE"""),2085087.0)</f>
        <v>2085087</v>
      </c>
      <c r="H722" s="27">
        <f>IFERROR(__xludf.DUMMYFUNCTION("""COMPUTED_VALUE"""),39409.645833333336)</f>
        <v>39409.64583</v>
      </c>
      <c r="I722" s="25">
        <f>IFERROR(__xludf.DUMMYFUNCTION("""COMPUTED_VALUE"""),238.13)</f>
        <v>238.13</v>
      </c>
      <c r="J722" s="25">
        <f>IFERROR(__xludf.DUMMYFUNCTION("""COMPUTED_VALUE"""),241.5)</f>
        <v>241.5</v>
      </c>
      <c r="K722" s="25">
        <f>IFERROR(__xludf.DUMMYFUNCTION("""COMPUTED_VALUE"""),237.44)</f>
        <v>237.44</v>
      </c>
      <c r="L722" s="25">
        <f>IFERROR(__xludf.DUMMYFUNCTION("""COMPUTED_VALUE"""),240.24)</f>
        <v>240.24</v>
      </c>
      <c r="M722" s="25">
        <f>IFERROR(__xludf.DUMMYFUNCTION("""COMPUTED_VALUE"""),568385.0)</f>
        <v>568385</v>
      </c>
    </row>
    <row r="723">
      <c r="A723" s="26">
        <f>IFERROR(__xludf.DUMMYFUNCTION("""COMPUTED_VALUE"""),39412.645833333336)</f>
        <v>39412.64583</v>
      </c>
      <c r="B723" s="9">
        <f>IFERROR(__xludf.DUMMYFUNCTION("""COMPUTED_VALUE"""),195.63)</f>
        <v>195.63</v>
      </c>
      <c r="C723" s="9">
        <f>IFERROR(__xludf.DUMMYFUNCTION("""COMPUTED_VALUE"""),199.68)</f>
        <v>199.68</v>
      </c>
      <c r="D723" s="9">
        <f>IFERROR(__xludf.DUMMYFUNCTION("""COMPUTED_VALUE"""),195.63)</f>
        <v>195.63</v>
      </c>
      <c r="E723" s="9">
        <f>IFERROR(__xludf.DUMMYFUNCTION("""COMPUTED_VALUE"""),196.99)</f>
        <v>196.99</v>
      </c>
      <c r="F723" s="9">
        <f>IFERROR(__xludf.DUMMYFUNCTION("""COMPUTED_VALUE"""),1189440.0)</f>
        <v>1189440</v>
      </c>
      <c r="H723" s="27">
        <f>IFERROR(__xludf.DUMMYFUNCTION("""COMPUTED_VALUE"""),39412.645833333336)</f>
        <v>39412.64583</v>
      </c>
      <c r="I723" s="25">
        <f>IFERROR(__xludf.DUMMYFUNCTION("""COMPUTED_VALUE"""),245.0)</f>
        <v>245</v>
      </c>
      <c r="J723" s="25">
        <f>IFERROR(__xludf.DUMMYFUNCTION("""COMPUTED_VALUE"""),248.5)</f>
        <v>248.5</v>
      </c>
      <c r="K723" s="25">
        <f>IFERROR(__xludf.DUMMYFUNCTION("""COMPUTED_VALUE"""),242.5)</f>
        <v>242.5</v>
      </c>
      <c r="L723" s="25">
        <f>IFERROR(__xludf.DUMMYFUNCTION("""COMPUTED_VALUE"""),246.28)</f>
        <v>246.28</v>
      </c>
      <c r="M723" s="25">
        <f>IFERROR(__xludf.DUMMYFUNCTION("""COMPUTED_VALUE"""),558575.0)</f>
        <v>558575</v>
      </c>
    </row>
    <row r="724">
      <c r="A724" s="26">
        <f>IFERROR(__xludf.DUMMYFUNCTION("""COMPUTED_VALUE"""),39413.645833333336)</f>
        <v>39413.64583</v>
      </c>
      <c r="B724" s="9">
        <f>IFERROR(__xludf.DUMMYFUNCTION("""COMPUTED_VALUE"""),196.99)</f>
        <v>196.99</v>
      </c>
      <c r="C724" s="9">
        <f>IFERROR(__xludf.DUMMYFUNCTION("""COMPUTED_VALUE"""),198.25)</f>
        <v>198.25</v>
      </c>
      <c r="D724" s="9">
        <f>IFERROR(__xludf.DUMMYFUNCTION("""COMPUTED_VALUE"""),195.34)</f>
        <v>195.34</v>
      </c>
      <c r="E724" s="9">
        <f>IFERROR(__xludf.DUMMYFUNCTION("""COMPUTED_VALUE"""),196.71)</f>
        <v>196.71</v>
      </c>
      <c r="F724" s="9">
        <f>IFERROR(__xludf.DUMMYFUNCTION("""COMPUTED_VALUE"""),1468733.0)</f>
        <v>1468733</v>
      </c>
      <c r="H724" s="27">
        <f>IFERROR(__xludf.DUMMYFUNCTION("""COMPUTED_VALUE"""),39413.645833333336)</f>
        <v>39413.64583</v>
      </c>
      <c r="I724" s="25">
        <f>IFERROR(__xludf.DUMMYFUNCTION("""COMPUTED_VALUE"""),247.63)</f>
        <v>247.63</v>
      </c>
      <c r="J724" s="25">
        <f>IFERROR(__xludf.DUMMYFUNCTION("""COMPUTED_VALUE"""),249.73)</f>
        <v>249.73</v>
      </c>
      <c r="K724" s="25">
        <f>IFERROR(__xludf.DUMMYFUNCTION("""COMPUTED_VALUE"""),242.53)</f>
        <v>242.53</v>
      </c>
      <c r="L724" s="25">
        <f>IFERROR(__xludf.DUMMYFUNCTION("""COMPUTED_VALUE"""),248.99)</f>
        <v>248.99</v>
      </c>
      <c r="M724" s="25">
        <f>IFERROR(__xludf.DUMMYFUNCTION("""COMPUTED_VALUE"""),375991.0)</f>
        <v>375991</v>
      </c>
    </row>
    <row r="725">
      <c r="A725" s="26">
        <f>IFERROR(__xludf.DUMMYFUNCTION("""COMPUTED_VALUE"""),39414.645833333336)</f>
        <v>39414.64583</v>
      </c>
      <c r="B725" s="9">
        <f>IFERROR(__xludf.DUMMYFUNCTION("""COMPUTED_VALUE"""),198.63)</f>
        <v>198.63</v>
      </c>
      <c r="C725" s="9">
        <f>IFERROR(__xludf.DUMMYFUNCTION("""COMPUTED_VALUE"""),199.38)</f>
        <v>199.38</v>
      </c>
      <c r="D725" s="9">
        <f>IFERROR(__xludf.DUMMYFUNCTION("""COMPUTED_VALUE"""),194.88)</f>
        <v>194.88</v>
      </c>
      <c r="E725" s="9">
        <f>IFERROR(__xludf.DUMMYFUNCTION("""COMPUTED_VALUE"""),196.16)</f>
        <v>196.16</v>
      </c>
      <c r="F725" s="9">
        <f>IFERROR(__xludf.DUMMYFUNCTION("""COMPUTED_VALUE"""),1182368.0)</f>
        <v>1182368</v>
      </c>
      <c r="H725" s="27">
        <f>IFERROR(__xludf.DUMMYFUNCTION("""COMPUTED_VALUE"""),39414.645833333336)</f>
        <v>39414.64583</v>
      </c>
      <c r="I725" s="25">
        <f>IFERROR(__xludf.DUMMYFUNCTION("""COMPUTED_VALUE"""),250.0)</f>
        <v>250</v>
      </c>
      <c r="J725" s="25">
        <f>IFERROR(__xludf.DUMMYFUNCTION("""COMPUTED_VALUE"""),250.95)</f>
        <v>250.95</v>
      </c>
      <c r="K725" s="25">
        <f>IFERROR(__xludf.DUMMYFUNCTION("""COMPUTED_VALUE"""),242.5)</f>
        <v>242.5</v>
      </c>
      <c r="L725" s="25">
        <f>IFERROR(__xludf.DUMMYFUNCTION("""COMPUTED_VALUE"""),244.13)</f>
        <v>244.13</v>
      </c>
      <c r="M725" s="25">
        <f>IFERROR(__xludf.DUMMYFUNCTION("""COMPUTED_VALUE"""),731922.0)</f>
        <v>731922</v>
      </c>
    </row>
    <row r="726">
      <c r="A726" s="26">
        <f>IFERROR(__xludf.DUMMYFUNCTION("""COMPUTED_VALUE"""),39415.645833333336)</f>
        <v>39415.64583</v>
      </c>
      <c r="B726" s="9">
        <f>IFERROR(__xludf.DUMMYFUNCTION("""COMPUTED_VALUE"""),200.63)</f>
        <v>200.63</v>
      </c>
      <c r="C726" s="9">
        <f>IFERROR(__xludf.DUMMYFUNCTION("""COMPUTED_VALUE"""),201.75)</f>
        <v>201.75</v>
      </c>
      <c r="D726" s="9">
        <f>IFERROR(__xludf.DUMMYFUNCTION("""COMPUTED_VALUE"""),193.75)</f>
        <v>193.75</v>
      </c>
      <c r="E726" s="9">
        <f>IFERROR(__xludf.DUMMYFUNCTION("""COMPUTED_VALUE"""),195.91)</f>
        <v>195.91</v>
      </c>
      <c r="F726" s="9">
        <f>IFERROR(__xludf.DUMMYFUNCTION("""COMPUTED_VALUE"""),3007634.0)</f>
        <v>3007634</v>
      </c>
      <c r="H726" s="27">
        <f>IFERROR(__xludf.DUMMYFUNCTION("""COMPUTED_VALUE"""),39415.645833333336)</f>
        <v>39415.64583</v>
      </c>
      <c r="I726" s="25">
        <f>IFERROR(__xludf.DUMMYFUNCTION("""COMPUTED_VALUE"""),250.0)</f>
        <v>250</v>
      </c>
      <c r="J726" s="25">
        <f>IFERROR(__xludf.DUMMYFUNCTION("""COMPUTED_VALUE"""),250.13)</f>
        <v>250.13</v>
      </c>
      <c r="K726" s="25">
        <f>IFERROR(__xludf.DUMMYFUNCTION("""COMPUTED_VALUE"""),238.75)</f>
        <v>238.75</v>
      </c>
      <c r="L726" s="25">
        <f>IFERROR(__xludf.DUMMYFUNCTION("""COMPUTED_VALUE"""),241.51)</f>
        <v>241.51</v>
      </c>
      <c r="M726" s="25">
        <f>IFERROR(__xludf.DUMMYFUNCTION("""COMPUTED_VALUE"""),1257422.0)</f>
        <v>1257422</v>
      </c>
    </row>
    <row r="727">
      <c r="A727" s="26">
        <f>IFERROR(__xludf.DUMMYFUNCTION("""COMPUTED_VALUE"""),39416.645833333336)</f>
        <v>39416.64583</v>
      </c>
      <c r="B727" s="9">
        <f>IFERROR(__xludf.DUMMYFUNCTION("""COMPUTED_VALUE"""),196.75)</f>
        <v>196.75</v>
      </c>
      <c r="C727" s="9">
        <f>IFERROR(__xludf.DUMMYFUNCTION("""COMPUTED_VALUE"""),203.11)</f>
        <v>203.11</v>
      </c>
      <c r="D727" s="9">
        <f>IFERROR(__xludf.DUMMYFUNCTION("""COMPUTED_VALUE"""),196.75)</f>
        <v>196.75</v>
      </c>
      <c r="E727" s="9">
        <f>IFERROR(__xludf.DUMMYFUNCTION("""COMPUTED_VALUE"""),200.31)</f>
        <v>200.31</v>
      </c>
      <c r="F727" s="9">
        <f>IFERROR(__xludf.DUMMYFUNCTION("""COMPUTED_VALUE"""),3421174.0)</f>
        <v>3421174</v>
      </c>
      <c r="H727" s="27">
        <f>IFERROR(__xludf.DUMMYFUNCTION("""COMPUTED_VALUE"""),39416.645833333336)</f>
        <v>39416.64583</v>
      </c>
      <c r="I727" s="25">
        <f>IFERROR(__xludf.DUMMYFUNCTION("""COMPUTED_VALUE"""),241.51)</f>
        <v>241.51</v>
      </c>
      <c r="J727" s="25">
        <f>IFERROR(__xludf.DUMMYFUNCTION("""COMPUTED_VALUE"""),254.5)</f>
        <v>254.5</v>
      </c>
      <c r="K727" s="25">
        <f>IFERROR(__xludf.DUMMYFUNCTION("""COMPUTED_VALUE"""),241.51)</f>
        <v>241.51</v>
      </c>
      <c r="L727" s="25">
        <f>IFERROR(__xludf.DUMMYFUNCTION("""COMPUTED_VALUE"""),253.05)</f>
        <v>253.05</v>
      </c>
      <c r="M727" s="25">
        <f>IFERROR(__xludf.DUMMYFUNCTION("""COMPUTED_VALUE"""),1333653.0)</f>
        <v>1333653</v>
      </c>
    </row>
    <row r="728">
      <c r="A728" s="26">
        <f>IFERROR(__xludf.DUMMYFUNCTION("""COMPUTED_VALUE"""),39419.645833333336)</f>
        <v>39419.64583</v>
      </c>
      <c r="B728" s="9">
        <f>IFERROR(__xludf.DUMMYFUNCTION("""COMPUTED_VALUE"""),200.31)</f>
        <v>200.31</v>
      </c>
      <c r="C728" s="9">
        <f>IFERROR(__xludf.DUMMYFUNCTION("""COMPUTED_VALUE"""),204.0)</f>
        <v>204</v>
      </c>
      <c r="D728" s="9">
        <f>IFERROR(__xludf.DUMMYFUNCTION("""COMPUTED_VALUE"""),198.58)</f>
        <v>198.58</v>
      </c>
      <c r="E728" s="9">
        <f>IFERROR(__xludf.DUMMYFUNCTION("""COMPUTED_VALUE"""),200.04)</f>
        <v>200.04</v>
      </c>
      <c r="F728" s="9">
        <f>IFERROR(__xludf.DUMMYFUNCTION("""COMPUTED_VALUE"""),2512630.0)</f>
        <v>2512630</v>
      </c>
      <c r="H728" s="27">
        <f>IFERROR(__xludf.DUMMYFUNCTION("""COMPUTED_VALUE"""),39419.645833333336)</f>
        <v>39419.64583</v>
      </c>
      <c r="I728" s="25">
        <f>IFERROR(__xludf.DUMMYFUNCTION("""COMPUTED_VALUE"""),254.0)</f>
        <v>254</v>
      </c>
      <c r="J728" s="25">
        <f>IFERROR(__xludf.DUMMYFUNCTION("""COMPUTED_VALUE"""),266.5)</f>
        <v>266.5</v>
      </c>
      <c r="K728" s="25">
        <f>IFERROR(__xludf.DUMMYFUNCTION("""COMPUTED_VALUE"""),252.6)</f>
        <v>252.6</v>
      </c>
      <c r="L728" s="25">
        <f>IFERROR(__xludf.DUMMYFUNCTION("""COMPUTED_VALUE"""),262.48)</f>
        <v>262.48</v>
      </c>
      <c r="M728" s="25">
        <f>IFERROR(__xludf.DUMMYFUNCTION("""COMPUTED_VALUE"""),1629087.0)</f>
        <v>1629087</v>
      </c>
    </row>
    <row r="729">
      <c r="A729" s="26">
        <f>IFERROR(__xludf.DUMMYFUNCTION("""COMPUTED_VALUE"""),39420.645833333336)</f>
        <v>39420.64583</v>
      </c>
      <c r="B729" s="9">
        <f>IFERROR(__xludf.DUMMYFUNCTION("""COMPUTED_VALUE"""),199.81)</f>
        <v>199.81</v>
      </c>
      <c r="C729" s="9">
        <f>IFERROR(__xludf.DUMMYFUNCTION("""COMPUTED_VALUE"""),203.46)</f>
        <v>203.46</v>
      </c>
      <c r="D729" s="9">
        <f>IFERROR(__xludf.DUMMYFUNCTION("""COMPUTED_VALUE"""),198.85)</f>
        <v>198.85</v>
      </c>
      <c r="E729" s="9">
        <f>IFERROR(__xludf.DUMMYFUNCTION("""COMPUTED_VALUE"""),201.91)</f>
        <v>201.91</v>
      </c>
      <c r="F729" s="9">
        <f>IFERROR(__xludf.DUMMYFUNCTION("""COMPUTED_VALUE"""),1420957.0)</f>
        <v>1420957</v>
      </c>
      <c r="H729" s="27">
        <f>IFERROR(__xludf.DUMMYFUNCTION("""COMPUTED_VALUE"""),39420.645833333336)</f>
        <v>39420.64583</v>
      </c>
      <c r="I729" s="25">
        <f>IFERROR(__xludf.DUMMYFUNCTION("""COMPUTED_VALUE"""),262.48)</f>
        <v>262.48</v>
      </c>
      <c r="J729" s="25">
        <f>IFERROR(__xludf.DUMMYFUNCTION("""COMPUTED_VALUE"""),262.5)</f>
        <v>262.5</v>
      </c>
      <c r="K729" s="25">
        <f>IFERROR(__xludf.DUMMYFUNCTION("""COMPUTED_VALUE"""),256.26)</f>
        <v>256.26</v>
      </c>
      <c r="L729" s="25">
        <f>IFERROR(__xludf.DUMMYFUNCTION("""COMPUTED_VALUE"""),257.43)</f>
        <v>257.43</v>
      </c>
      <c r="M729" s="25">
        <f>IFERROR(__xludf.DUMMYFUNCTION("""COMPUTED_VALUE"""),445956.0)</f>
        <v>445956</v>
      </c>
    </row>
    <row r="730">
      <c r="A730" s="26">
        <f>IFERROR(__xludf.DUMMYFUNCTION("""COMPUTED_VALUE"""),39421.645833333336)</f>
        <v>39421.64583</v>
      </c>
      <c r="B730" s="9">
        <f>IFERROR(__xludf.DUMMYFUNCTION("""COMPUTED_VALUE"""),202.46)</f>
        <v>202.46</v>
      </c>
      <c r="C730" s="9">
        <f>IFERROR(__xludf.DUMMYFUNCTION("""COMPUTED_VALUE"""),202.46)</f>
        <v>202.46</v>
      </c>
      <c r="D730" s="9">
        <f>IFERROR(__xludf.DUMMYFUNCTION("""COMPUTED_VALUE"""),198.81)</f>
        <v>198.81</v>
      </c>
      <c r="E730" s="9">
        <f>IFERROR(__xludf.DUMMYFUNCTION("""COMPUTED_VALUE"""),200.44)</f>
        <v>200.44</v>
      </c>
      <c r="F730" s="9">
        <f>IFERROR(__xludf.DUMMYFUNCTION("""COMPUTED_VALUE"""),1249594.0)</f>
        <v>1249594</v>
      </c>
      <c r="H730" s="27">
        <f>IFERROR(__xludf.DUMMYFUNCTION("""COMPUTED_VALUE"""),39421.645833333336)</f>
        <v>39421.64583</v>
      </c>
      <c r="I730" s="25">
        <f>IFERROR(__xludf.DUMMYFUNCTION("""COMPUTED_VALUE"""),257.5)</f>
        <v>257.5</v>
      </c>
      <c r="J730" s="25">
        <f>IFERROR(__xludf.DUMMYFUNCTION("""COMPUTED_VALUE"""),261.25)</f>
        <v>261.25</v>
      </c>
      <c r="K730" s="25">
        <f>IFERROR(__xludf.DUMMYFUNCTION("""COMPUTED_VALUE"""),255.13)</f>
        <v>255.13</v>
      </c>
      <c r="L730" s="25">
        <f>IFERROR(__xludf.DUMMYFUNCTION("""COMPUTED_VALUE"""),258.3)</f>
        <v>258.3</v>
      </c>
      <c r="M730" s="25">
        <f>IFERROR(__xludf.DUMMYFUNCTION("""COMPUTED_VALUE"""),517310.0)</f>
        <v>517310</v>
      </c>
    </row>
    <row r="731">
      <c r="A731" s="26">
        <f>IFERROR(__xludf.DUMMYFUNCTION("""COMPUTED_VALUE"""),39422.645833333336)</f>
        <v>39422.64583</v>
      </c>
      <c r="B731" s="9">
        <f>IFERROR(__xludf.DUMMYFUNCTION("""COMPUTED_VALUE"""),201.41)</f>
        <v>201.41</v>
      </c>
      <c r="C731" s="9">
        <f>IFERROR(__xludf.DUMMYFUNCTION("""COMPUTED_VALUE"""),206.13)</f>
        <v>206.13</v>
      </c>
      <c r="D731" s="9">
        <f>IFERROR(__xludf.DUMMYFUNCTION("""COMPUTED_VALUE"""),201.41)</f>
        <v>201.41</v>
      </c>
      <c r="E731" s="9">
        <f>IFERROR(__xludf.DUMMYFUNCTION("""COMPUTED_VALUE"""),204.42)</f>
        <v>204.42</v>
      </c>
      <c r="F731" s="9">
        <f>IFERROR(__xludf.DUMMYFUNCTION("""COMPUTED_VALUE"""),1768050.0)</f>
        <v>1768050</v>
      </c>
      <c r="H731" s="27">
        <f>IFERROR(__xludf.DUMMYFUNCTION("""COMPUTED_VALUE"""),39422.645833333336)</f>
        <v>39422.64583</v>
      </c>
      <c r="I731" s="25">
        <f>IFERROR(__xludf.DUMMYFUNCTION("""COMPUTED_VALUE"""),260.0)</f>
        <v>260</v>
      </c>
      <c r="J731" s="25">
        <f>IFERROR(__xludf.DUMMYFUNCTION("""COMPUTED_VALUE"""),262.93)</f>
        <v>262.93</v>
      </c>
      <c r="K731" s="25">
        <f>IFERROR(__xludf.DUMMYFUNCTION("""COMPUTED_VALUE"""),257.8)</f>
        <v>257.8</v>
      </c>
      <c r="L731" s="25">
        <f>IFERROR(__xludf.DUMMYFUNCTION("""COMPUTED_VALUE"""),258.89)</f>
        <v>258.89</v>
      </c>
      <c r="M731" s="25">
        <f>IFERROR(__xludf.DUMMYFUNCTION("""COMPUTED_VALUE"""),1040863.0)</f>
        <v>1040863</v>
      </c>
    </row>
    <row r="732">
      <c r="A732" s="26">
        <f>IFERROR(__xludf.DUMMYFUNCTION("""COMPUTED_VALUE"""),39423.645833333336)</f>
        <v>39423.64583</v>
      </c>
      <c r="B732" s="9">
        <f>IFERROR(__xludf.DUMMYFUNCTION("""COMPUTED_VALUE"""),206.25)</f>
        <v>206.25</v>
      </c>
      <c r="C732" s="9">
        <f>IFERROR(__xludf.DUMMYFUNCTION("""COMPUTED_VALUE"""),218.66)</f>
        <v>218.66</v>
      </c>
      <c r="D732" s="9">
        <f>IFERROR(__xludf.DUMMYFUNCTION("""COMPUTED_VALUE"""),203.78)</f>
        <v>203.78</v>
      </c>
      <c r="E732" s="9">
        <f>IFERROR(__xludf.DUMMYFUNCTION("""COMPUTED_VALUE"""),215.29)</f>
        <v>215.29</v>
      </c>
      <c r="F732" s="9">
        <f>IFERROR(__xludf.DUMMYFUNCTION("""COMPUTED_VALUE"""),2717145.0)</f>
        <v>2717145</v>
      </c>
      <c r="H732" s="27">
        <f>IFERROR(__xludf.DUMMYFUNCTION("""COMPUTED_VALUE"""),39423.645833333336)</f>
        <v>39423.64583</v>
      </c>
      <c r="I732" s="25">
        <f>IFERROR(__xludf.DUMMYFUNCTION("""COMPUTED_VALUE"""),260.0)</f>
        <v>260</v>
      </c>
      <c r="J732" s="25">
        <f>IFERROR(__xludf.DUMMYFUNCTION("""COMPUTED_VALUE"""),268.01)</f>
        <v>268.01</v>
      </c>
      <c r="K732" s="25">
        <f>IFERROR(__xludf.DUMMYFUNCTION("""COMPUTED_VALUE"""),256.56)</f>
        <v>256.56</v>
      </c>
      <c r="L732" s="25">
        <f>IFERROR(__xludf.DUMMYFUNCTION("""COMPUTED_VALUE"""),265.65)</f>
        <v>265.65</v>
      </c>
      <c r="M732" s="25">
        <f>IFERROR(__xludf.DUMMYFUNCTION("""COMPUTED_VALUE"""),1201452.0)</f>
        <v>1201452</v>
      </c>
    </row>
    <row r="733">
      <c r="A733" s="26">
        <f>IFERROR(__xludf.DUMMYFUNCTION("""COMPUTED_VALUE"""),39426.645833333336)</f>
        <v>39426.64583</v>
      </c>
      <c r="B733" s="9">
        <f>IFERROR(__xludf.DUMMYFUNCTION("""COMPUTED_VALUE"""),217.44)</f>
        <v>217.44</v>
      </c>
      <c r="C733" s="9">
        <f>IFERROR(__xludf.DUMMYFUNCTION("""COMPUTED_VALUE"""),220.96)</f>
        <v>220.96</v>
      </c>
      <c r="D733" s="9">
        <f>IFERROR(__xludf.DUMMYFUNCTION("""COMPUTED_VALUE"""),212.5)</f>
        <v>212.5</v>
      </c>
      <c r="E733" s="9">
        <f>IFERROR(__xludf.DUMMYFUNCTION("""COMPUTED_VALUE"""),218.59)</f>
        <v>218.59</v>
      </c>
      <c r="F733" s="9">
        <f>IFERROR(__xludf.DUMMYFUNCTION("""COMPUTED_VALUE"""),1553271.0)</f>
        <v>1553271</v>
      </c>
      <c r="H733" s="27">
        <f>IFERROR(__xludf.DUMMYFUNCTION("""COMPUTED_VALUE"""),39426.645833333336)</f>
        <v>39426.64583</v>
      </c>
      <c r="I733" s="25">
        <f>IFERROR(__xludf.DUMMYFUNCTION("""COMPUTED_VALUE"""),267.52)</f>
        <v>267.52</v>
      </c>
      <c r="J733" s="25">
        <f>IFERROR(__xludf.DUMMYFUNCTION("""COMPUTED_VALUE"""),268.5)</f>
        <v>268.5</v>
      </c>
      <c r="K733" s="25">
        <f>IFERROR(__xludf.DUMMYFUNCTION("""COMPUTED_VALUE"""),257.5)</f>
        <v>257.5</v>
      </c>
      <c r="L733" s="25">
        <f>IFERROR(__xludf.DUMMYFUNCTION("""COMPUTED_VALUE"""),258.9)</f>
        <v>258.9</v>
      </c>
      <c r="M733" s="25">
        <f>IFERROR(__xludf.DUMMYFUNCTION("""COMPUTED_VALUE"""),966005.0)</f>
        <v>966005</v>
      </c>
    </row>
    <row r="734">
      <c r="A734" s="26">
        <f>IFERROR(__xludf.DUMMYFUNCTION("""COMPUTED_VALUE"""),39427.645833333336)</f>
        <v>39427.64583</v>
      </c>
      <c r="B734" s="9">
        <f>IFERROR(__xludf.DUMMYFUNCTION("""COMPUTED_VALUE"""),218.59)</f>
        <v>218.59</v>
      </c>
      <c r="C734" s="9">
        <f>IFERROR(__xludf.DUMMYFUNCTION("""COMPUTED_VALUE"""),219.88)</f>
        <v>219.88</v>
      </c>
      <c r="D734" s="9">
        <f>IFERROR(__xludf.DUMMYFUNCTION("""COMPUTED_VALUE"""),213.38)</f>
        <v>213.38</v>
      </c>
      <c r="E734" s="9">
        <f>IFERROR(__xludf.DUMMYFUNCTION("""COMPUTED_VALUE"""),218.04)</f>
        <v>218.04</v>
      </c>
      <c r="F734" s="9">
        <f>IFERROR(__xludf.DUMMYFUNCTION("""COMPUTED_VALUE"""),1055549.0)</f>
        <v>1055549</v>
      </c>
      <c r="H734" s="27">
        <f>IFERROR(__xludf.DUMMYFUNCTION("""COMPUTED_VALUE"""),39427.645833333336)</f>
        <v>39427.64583</v>
      </c>
      <c r="I734" s="25">
        <f>IFERROR(__xludf.DUMMYFUNCTION("""COMPUTED_VALUE"""),262.25)</f>
        <v>262.25</v>
      </c>
      <c r="J734" s="25">
        <f>IFERROR(__xludf.DUMMYFUNCTION("""COMPUTED_VALUE"""),262.25)</f>
        <v>262.25</v>
      </c>
      <c r="K734" s="25">
        <f>IFERROR(__xludf.DUMMYFUNCTION("""COMPUTED_VALUE"""),256.31)</f>
        <v>256.31</v>
      </c>
      <c r="L734" s="25">
        <f>IFERROR(__xludf.DUMMYFUNCTION("""COMPUTED_VALUE"""),260.33)</f>
        <v>260.33</v>
      </c>
      <c r="M734" s="25">
        <f>IFERROR(__xludf.DUMMYFUNCTION("""COMPUTED_VALUE"""),726864.0)</f>
        <v>726864</v>
      </c>
    </row>
    <row r="735">
      <c r="A735" s="26">
        <f>IFERROR(__xludf.DUMMYFUNCTION("""COMPUTED_VALUE"""),39428.645833333336)</f>
        <v>39428.64583</v>
      </c>
      <c r="B735" s="9">
        <f>IFERROR(__xludf.DUMMYFUNCTION("""COMPUTED_VALUE"""),213.75)</f>
        <v>213.75</v>
      </c>
      <c r="C735" s="9">
        <f>IFERROR(__xludf.DUMMYFUNCTION("""COMPUTED_VALUE"""),215.0)</f>
        <v>215</v>
      </c>
      <c r="D735" s="9">
        <f>IFERROR(__xludf.DUMMYFUNCTION("""COMPUTED_VALUE"""),207.13)</f>
        <v>207.13</v>
      </c>
      <c r="E735" s="9">
        <f>IFERROR(__xludf.DUMMYFUNCTION("""COMPUTED_VALUE"""),210.72)</f>
        <v>210.72</v>
      </c>
      <c r="F735" s="9">
        <f>IFERROR(__xludf.DUMMYFUNCTION("""COMPUTED_VALUE"""),1543875.0)</f>
        <v>1543875</v>
      </c>
      <c r="H735" s="27">
        <f>IFERROR(__xludf.DUMMYFUNCTION("""COMPUTED_VALUE"""),39428.645833333336)</f>
        <v>39428.64583</v>
      </c>
      <c r="I735" s="25">
        <f>IFERROR(__xludf.DUMMYFUNCTION("""COMPUTED_VALUE"""),257.05)</f>
        <v>257.05</v>
      </c>
      <c r="J735" s="25">
        <f>IFERROR(__xludf.DUMMYFUNCTION("""COMPUTED_VALUE"""),265.0)</f>
        <v>265</v>
      </c>
      <c r="K735" s="25">
        <f>IFERROR(__xludf.DUMMYFUNCTION("""COMPUTED_VALUE"""),256.52)</f>
        <v>256.52</v>
      </c>
      <c r="L735" s="25">
        <f>IFERROR(__xludf.DUMMYFUNCTION("""COMPUTED_VALUE"""),263.35)</f>
        <v>263.35</v>
      </c>
      <c r="M735" s="25">
        <f>IFERROR(__xludf.DUMMYFUNCTION("""COMPUTED_VALUE"""),929652.0)</f>
        <v>929652</v>
      </c>
    </row>
    <row r="736">
      <c r="A736" s="26">
        <f>IFERROR(__xludf.DUMMYFUNCTION("""COMPUTED_VALUE"""),39429.645833333336)</f>
        <v>39429.64583</v>
      </c>
      <c r="B736" s="9">
        <f>IFERROR(__xludf.DUMMYFUNCTION("""COMPUTED_VALUE"""),211.75)</f>
        <v>211.75</v>
      </c>
      <c r="C736" s="9">
        <f>IFERROR(__xludf.DUMMYFUNCTION("""COMPUTED_VALUE"""),212.36)</f>
        <v>212.36</v>
      </c>
      <c r="D736" s="9">
        <f>IFERROR(__xludf.DUMMYFUNCTION("""COMPUTED_VALUE"""),206.53)</f>
        <v>206.53</v>
      </c>
      <c r="E736" s="9">
        <f>IFERROR(__xludf.DUMMYFUNCTION("""COMPUTED_VALUE"""),207.49)</f>
        <v>207.49</v>
      </c>
      <c r="F736" s="9">
        <f>IFERROR(__xludf.DUMMYFUNCTION("""COMPUTED_VALUE"""),831607.0)</f>
        <v>831607</v>
      </c>
      <c r="H736" s="27">
        <f>IFERROR(__xludf.DUMMYFUNCTION("""COMPUTED_VALUE"""),39429.645833333336)</f>
        <v>39429.64583</v>
      </c>
      <c r="I736" s="25">
        <f>IFERROR(__xludf.DUMMYFUNCTION("""COMPUTED_VALUE"""),262.43)</f>
        <v>262.43</v>
      </c>
      <c r="J736" s="25">
        <f>IFERROR(__xludf.DUMMYFUNCTION("""COMPUTED_VALUE"""),265.52)</f>
        <v>265.52</v>
      </c>
      <c r="K736" s="25">
        <f>IFERROR(__xludf.DUMMYFUNCTION("""COMPUTED_VALUE"""),256.93)</f>
        <v>256.93</v>
      </c>
      <c r="L736" s="25">
        <f>IFERROR(__xludf.DUMMYFUNCTION("""COMPUTED_VALUE"""),257.4)</f>
        <v>257.4</v>
      </c>
      <c r="M736" s="25">
        <f>IFERROR(__xludf.DUMMYFUNCTION("""COMPUTED_VALUE"""),1161434.0)</f>
        <v>1161434</v>
      </c>
    </row>
    <row r="737">
      <c r="A737" s="26">
        <f>IFERROR(__xludf.DUMMYFUNCTION("""COMPUTED_VALUE"""),39430.645833333336)</f>
        <v>39430.64583</v>
      </c>
      <c r="B737" s="9">
        <f>IFERROR(__xludf.DUMMYFUNCTION("""COMPUTED_VALUE"""),206.5)</f>
        <v>206.5</v>
      </c>
      <c r="C737" s="9">
        <f>IFERROR(__xludf.DUMMYFUNCTION("""COMPUTED_VALUE"""),209.34)</f>
        <v>209.34</v>
      </c>
      <c r="D737" s="9">
        <f>IFERROR(__xludf.DUMMYFUNCTION("""COMPUTED_VALUE"""),204.76)</f>
        <v>204.76</v>
      </c>
      <c r="E737" s="9">
        <f>IFERROR(__xludf.DUMMYFUNCTION("""COMPUTED_VALUE"""),205.79)</f>
        <v>205.79</v>
      </c>
      <c r="F737" s="9">
        <f>IFERROR(__xludf.DUMMYFUNCTION("""COMPUTED_VALUE"""),535147.0)</f>
        <v>535147</v>
      </c>
      <c r="H737" s="27">
        <f>IFERROR(__xludf.DUMMYFUNCTION("""COMPUTED_VALUE"""),39430.645833333336)</f>
        <v>39430.64583</v>
      </c>
      <c r="I737" s="25">
        <f>IFERROR(__xludf.DUMMYFUNCTION("""COMPUTED_VALUE"""),253.83)</f>
        <v>253.83</v>
      </c>
      <c r="J737" s="25">
        <f>IFERROR(__xludf.DUMMYFUNCTION("""COMPUTED_VALUE"""),263.75)</f>
        <v>263.75</v>
      </c>
      <c r="K737" s="25">
        <f>IFERROR(__xludf.DUMMYFUNCTION("""COMPUTED_VALUE"""),253.83)</f>
        <v>253.83</v>
      </c>
      <c r="L737" s="25">
        <f>IFERROR(__xludf.DUMMYFUNCTION("""COMPUTED_VALUE"""),260.1)</f>
        <v>260.1</v>
      </c>
      <c r="M737" s="25">
        <f>IFERROR(__xludf.DUMMYFUNCTION("""COMPUTED_VALUE"""),680109.0)</f>
        <v>680109</v>
      </c>
    </row>
    <row r="738">
      <c r="A738" s="26">
        <f>IFERROR(__xludf.DUMMYFUNCTION("""COMPUTED_VALUE"""),39433.645833333336)</f>
        <v>39433.64583</v>
      </c>
      <c r="B738" s="9">
        <f>IFERROR(__xludf.DUMMYFUNCTION("""COMPUTED_VALUE"""),206.25)</f>
        <v>206.25</v>
      </c>
      <c r="C738" s="9">
        <f>IFERROR(__xludf.DUMMYFUNCTION("""COMPUTED_VALUE"""),207.38)</f>
        <v>207.38</v>
      </c>
      <c r="D738" s="9">
        <f>IFERROR(__xludf.DUMMYFUNCTION("""COMPUTED_VALUE"""),201.5)</f>
        <v>201.5</v>
      </c>
      <c r="E738" s="9">
        <f>IFERROR(__xludf.DUMMYFUNCTION("""COMPUTED_VALUE"""),203.04)</f>
        <v>203.04</v>
      </c>
      <c r="F738" s="9">
        <f>IFERROR(__xludf.DUMMYFUNCTION("""COMPUTED_VALUE"""),918375.0)</f>
        <v>918375</v>
      </c>
      <c r="H738" s="27">
        <f>IFERROR(__xludf.DUMMYFUNCTION("""COMPUTED_VALUE"""),39433.645833333336)</f>
        <v>39433.64583</v>
      </c>
      <c r="I738" s="25">
        <f>IFERROR(__xludf.DUMMYFUNCTION("""COMPUTED_VALUE"""),268.1)</f>
        <v>268.1</v>
      </c>
      <c r="J738" s="25">
        <f>IFERROR(__xludf.DUMMYFUNCTION("""COMPUTED_VALUE"""),268.1)</f>
        <v>268.1</v>
      </c>
      <c r="K738" s="25">
        <f>IFERROR(__xludf.DUMMYFUNCTION("""COMPUTED_VALUE"""),251.25)</f>
        <v>251.25</v>
      </c>
      <c r="L738" s="25">
        <f>IFERROR(__xludf.DUMMYFUNCTION("""COMPUTED_VALUE"""),253.1)</f>
        <v>253.1</v>
      </c>
      <c r="M738" s="25">
        <f>IFERROR(__xludf.DUMMYFUNCTION("""COMPUTED_VALUE"""),800832.0)</f>
        <v>800832</v>
      </c>
    </row>
    <row r="739">
      <c r="A739" s="26">
        <f>IFERROR(__xludf.DUMMYFUNCTION("""COMPUTED_VALUE"""),39435.645833333336)</f>
        <v>39435.64583</v>
      </c>
      <c r="B739" s="9">
        <f>IFERROR(__xludf.DUMMYFUNCTION("""COMPUTED_VALUE"""),204.33)</f>
        <v>204.33</v>
      </c>
      <c r="C739" s="9">
        <f>IFERROR(__xludf.DUMMYFUNCTION("""COMPUTED_VALUE"""),206.25)</f>
        <v>206.25</v>
      </c>
      <c r="D739" s="9">
        <f>IFERROR(__xludf.DUMMYFUNCTION("""COMPUTED_VALUE"""),204.02)</f>
        <v>204.02</v>
      </c>
      <c r="E739" s="9">
        <f>IFERROR(__xludf.DUMMYFUNCTION("""COMPUTED_VALUE"""),204.93)</f>
        <v>204.93</v>
      </c>
      <c r="F739" s="9">
        <f>IFERROR(__xludf.DUMMYFUNCTION("""COMPUTED_VALUE"""),662235.0)</f>
        <v>662235</v>
      </c>
      <c r="H739" s="27">
        <f>IFERROR(__xludf.DUMMYFUNCTION("""COMPUTED_VALUE"""),39435.645833333336)</f>
        <v>39435.64583</v>
      </c>
      <c r="I739" s="25">
        <f>IFERROR(__xludf.DUMMYFUNCTION("""COMPUTED_VALUE"""),253.0)</f>
        <v>253</v>
      </c>
      <c r="J739" s="25">
        <f>IFERROR(__xludf.DUMMYFUNCTION("""COMPUTED_VALUE"""),257.2)</f>
        <v>257.2</v>
      </c>
      <c r="K739" s="25">
        <f>IFERROR(__xludf.DUMMYFUNCTION("""COMPUTED_VALUE"""),252.0)</f>
        <v>252</v>
      </c>
      <c r="L739" s="25">
        <f>IFERROR(__xludf.DUMMYFUNCTION("""COMPUTED_VALUE"""),256.13)</f>
        <v>256.13</v>
      </c>
      <c r="M739" s="25">
        <f>IFERROR(__xludf.DUMMYFUNCTION("""COMPUTED_VALUE"""),667755.0)</f>
        <v>667755</v>
      </c>
    </row>
    <row r="740">
      <c r="A740" s="26">
        <f>IFERROR(__xludf.DUMMYFUNCTION("""COMPUTED_VALUE"""),39436.645833333336)</f>
        <v>39436.64583</v>
      </c>
      <c r="B740" s="9">
        <f>IFERROR(__xludf.DUMMYFUNCTION("""COMPUTED_VALUE"""),205.88)</f>
        <v>205.88</v>
      </c>
      <c r="C740" s="9">
        <f>IFERROR(__xludf.DUMMYFUNCTION("""COMPUTED_VALUE"""),215.0)</f>
        <v>215</v>
      </c>
      <c r="D740" s="9">
        <f>IFERROR(__xludf.DUMMYFUNCTION("""COMPUTED_VALUE"""),205.59)</f>
        <v>205.59</v>
      </c>
      <c r="E740" s="9">
        <f>IFERROR(__xludf.DUMMYFUNCTION("""COMPUTED_VALUE"""),211.94)</f>
        <v>211.94</v>
      </c>
      <c r="F740" s="9">
        <f>IFERROR(__xludf.DUMMYFUNCTION("""COMPUTED_VALUE"""),1900506.0)</f>
        <v>1900506</v>
      </c>
      <c r="H740" s="27">
        <f>IFERROR(__xludf.DUMMYFUNCTION("""COMPUTED_VALUE"""),39436.645833333336)</f>
        <v>39436.64583</v>
      </c>
      <c r="I740" s="25">
        <f>IFERROR(__xludf.DUMMYFUNCTION("""COMPUTED_VALUE"""),257.38)</f>
        <v>257.38</v>
      </c>
      <c r="J740" s="25">
        <f>IFERROR(__xludf.DUMMYFUNCTION("""COMPUTED_VALUE"""),263.49)</f>
        <v>263.49</v>
      </c>
      <c r="K740" s="25">
        <f>IFERROR(__xludf.DUMMYFUNCTION("""COMPUTED_VALUE"""),255.75)</f>
        <v>255.75</v>
      </c>
      <c r="L740" s="25">
        <f>IFERROR(__xludf.DUMMYFUNCTION("""COMPUTED_VALUE"""),261.34)</f>
        <v>261.34</v>
      </c>
      <c r="M740" s="25">
        <f>IFERROR(__xludf.DUMMYFUNCTION("""COMPUTED_VALUE"""),759005.0)</f>
        <v>759005</v>
      </c>
    </row>
    <row r="741">
      <c r="A741" s="26">
        <f>IFERROR(__xludf.DUMMYFUNCTION("""COMPUTED_VALUE"""),39440.645833333336)</f>
        <v>39440.64583</v>
      </c>
      <c r="B741" s="9">
        <f>IFERROR(__xludf.DUMMYFUNCTION("""COMPUTED_VALUE"""),214.8)</f>
        <v>214.8</v>
      </c>
      <c r="C741" s="9">
        <f>IFERROR(__xludf.DUMMYFUNCTION("""COMPUTED_VALUE"""),227.38)</f>
        <v>227.38</v>
      </c>
      <c r="D741" s="9">
        <f>IFERROR(__xludf.DUMMYFUNCTION("""COMPUTED_VALUE"""),213.75)</f>
        <v>213.75</v>
      </c>
      <c r="E741" s="9">
        <f>IFERROR(__xludf.DUMMYFUNCTION("""COMPUTED_VALUE"""),226.27)</f>
        <v>226.27</v>
      </c>
      <c r="F741" s="9">
        <f>IFERROR(__xludf.DUMMYFUNCTION("""COMPUTED_VALUE"""),2045667.0)</f>
        <v>2045667</v>
      </c>
      <c r="H741" s="27">
        <f>IFERROR(__xludf.DUMMYFUNCTION("""COMPUTED_VALUE"""),39440.645833333336)</f>
        <v>39440.64583</v>
      </c>
      <c r="I741" s="25">
        <f>IFERROR(__xludf.DUMMYFUNCTION("""COMPUTED_VALUE"""),270.0)</f>
        <v>270</v>
      </c>
      <c r="J741" s="25">
        <f>IFERROR(__xludf.DUMMYFUNCTION("""COMPUTED_VALUE"""),280.0)</f>
        <v>280</v>
      </c>
      <c r="K741" s="25">
        <f>IFERROR(__xludf.DUMMYFUNCTION("""COMPUTED_VALUE"""),262.5)</f>
        <v>262.5</v>
      </c>
      <c r="L741" s="25">
        <f>IFERROR(__xludf.DUMMYFUNCTION("""COMPUTED_VALUE"""),277.43)</f>
        <v>277.43</v>
      </c>
      <c r="M741" s="25">
        <f>IFERROR(__xludf.DUMMYFUNCTION("""COMPUTED_VALUE"""),1163916.0)</f>
        <v>1163916</v>
      </c>
    </row>
    <row r="742">
      <c r="A742" s="26">
        <f>IFERROR(__xludf.DUMMYFUNCTION("""COMPUTED_VALUE"""),39442.645833333336)</f>
        <v>39442.64583</v>
      </c>
      <c r="B742" s="9">
        <f>IFERROR(__xludf.DUMMYFUNCTION("""COMPUTED_VALUE"""),227.5)</f>
        <v>227.5</v>
      </c>
      <c r="C742" s="9">
        <f>IFERROR(__xludf.DUMMYFUNCTION("""COMPUTED_VALUE"""),228.19)</f>
        <v>228.19</v>
      </c>
      <c r="D742" s="9">
        <f>IFERROR(__xludf.DUMMYFUNCTION("""COMPUTED_VALUE"""),221.25)</f>
        <v>221.25</v>
      </c>
      <c r="E742" s="9">
        <f>IFERROR(__xludf.DUMMYFUNCTION("""COMPUTED_VALUE"""),227.23)</f>
        <v>227.23</v>
      </c>
      <c r="F742" s="9">
        <f>IFERROR(__xludf.DUMMYFUNCTION("""COMPUTED_VALUE"""),575547.0)</f>
        <v>575547</v>
      </c>
      <c r="H742" s="27">
        <f>IFERROR(__xludf.DUMMYFUNCTION("""COMPUTED_VALUE"""),39442.645833333336)</f>
        <v>39442.64583</v>
      </c>
      <c r="I742" s="25">
        <f>IFERROR(__xludf.DUMMYFUNCTION("""COMPUTED_VALUE"""),278.75)</f>
        <v>278.75</v>
      </c>
      <c r="J742" s="25">
        <f>IFERROR(__xludf.DUMMYFUNCTION("""COMPUTED_VALUE"""),279.93)</f>
        <v>279.93</v>
      </c>
      <c r="K742" s="25">
        <f>IFERROR(__xludf.DUMMYFUNCTION("""COMPUTED_VALUE"""),271.54)</f>
        <v>271.54</v>
      </c>
      <c r="L742" s="25">
        <f>IFERROR(__xludf.DUMMYFUNCTION("""COMPUTED_VALUE"""),275.08)</f>
        <v>275.08</v>
      </c>
      <c r="M742" s="25">
        <f>IFERROR(__xludf.DUMMYFUNCTION("""COMPUTED_VALUE"""),726499.0)</f>
        <v>726499</v>
      </c>
    </row>
    <row r="743">
      <c r="A743" s="26">
        <f>IFERROR(__xludf.DUMMYFUNCTION("""COMPUTED_VALUE"""),39443.645833333336)</f>
        <v>39443.64583</v>
      </c>
      <c r="B743" s="9">
        <f>IFERROR(__xludf.DUMMYFUNCTION("""COMPUTED_VALUE"""),228.0)</f>
        <v>228</v>
      </c>
      <c r="C743" s="9">
        <f>IFERROR(__xludf.DUMMYFUNCTION("""COMPUTED_VALUE"""),229.85)</f>
        <v>229.85</v>
      </c>
      <c r="D743" s="9">
        <f>IFERROR(__xludf.DUMMYFUNCTION("""COMPUTED_VALUE"""),224.02)</f>
        <v>224.02</v>
      </c>
      <c r="E743" s="9">
        <f>IFERROR(__xludf.DUMMYFUNCTION("""COMPUTED_VALUE"""),225.3)</f>
        <v>225.3</v>
      </c>
      <c r="F743" s="9">
        <f>IFERROR(__xludf.DUMMYFUNCTION("""COMPUTED_VALUE"""),1044813.0)</f>
        <v>1044813</v>
      </c>
      <c r="H743" s="27">
        <f>IFERROR(__xludf.DUMMYFUNCTION("""COMPUTED_VALUE"""),39443.645833333336)</f>
        <v>39443.64583</v>
      </c>
      <c r="I743" s="25">
        <f>IFERROR(__xludf.DUMMYFUNCTION("""COMPUTED_VALUE"""),276.27)</f>
        <v>276.27</v>
      </c>
      <c r="J743" s="25">
        <f>IFERROR(__xludf.DUMMYFUNCTION("""COMPUTED_VALUE"""),280.0)</f>
        <v>280</v>
      </c>
      <c r="K743" s="25">
        <f>IFERROR(__xludf.DUMMYFUNCTION("""COMPUTED_VALUE"""),271.64)</f>
        <v>271.64</v>
      </c>
      <c r="L743" s="25">
        <f>IFERROR(__xludf.DUMMYFUNCTION("""COMPUTED_VALUE"""),277.69)</f>
        <v>277.69</v>
      </c>
      <c r="M743" s="25">
        <f>IFERROR(__xludf.DUMMYFUNCTION("""COMPUTED_VALUE"""),1002142.0)</f>
        <v>1002142</v>
      </c>
    </row>
    <row r="744">
      <c r="A744" s="26">
        <f>IFERROR(__xludf.DUMMYFUNCTION("""COMPUTED_VALUE"""),39444.645833333336)</f>
        <v>39444.64583</v>
      </c>
      <c r="B744" s="9">
        <f>IFERROR(__xludf.DUMMYFUNCTION("""COMPUTED_VALUE"""),221.25)</f>
        <v>221.25</v>
      </c>
      <c r="C744" s="9">
        <f>IFERROR(__xludf.DUMMYFUNCTION("""COMPUTED_VALUE"""),226.25)</f>
        <v>226.25</v>
      </c>
      <c r="D744" s="9">
        <f>IFERROR(__xludf.DUMMYFUNCTION("""COMPUTED_VALUE"""),213.76)</f>
        <v>213.76</v>
      </c>
      <c r="E744" s="9">
        <f>IFERROR(__xludf.DUMMYFUNCTION("""COMPUTED_VALUE"""),224.53)</f>
        <v>224.53</v>
      </c>
      <c r="F744" s="9">
        <f>IFERROR(__xludf.DUMMYFUNCTION("""COMPUTED_VALUE"""),598020.0)</f>
        <v>598020</v>
      </c>
      <c r="H744" s="27">
        <f>IFERROR(__xludf.DUMMYFUNCTION("""COMPUTED_VALUE"""),39444.645833333336)</f>
        <v>39444.64583</v>
      </c>
      <c r="I744" s="25">
        <f>IFERROR(__xludf.DUMMYFUNCTION("""COMPUTED_VALUE"""),275.0)</f>
        <v>275</v>
      </c>
      <c r="J744" s="25">
        <f>IFERROR(__xludf.DUMMYFUNCTION("""COMPUTED_VALUE"""),275.0)</f>
        <v>275</v>
      </c>
      <c r="K744" s="25">
        <f>IFERROR(__xludf.DUMMYFUNCTION("""COMPUTED_VALUE"""),265.0)</f>
        <v>265</v>
      </c>
      <c r="L744" s="25">
        <f>IFERROR(__xludf.DUMMYFUNCTION("""COMPUTED_VALUE"""),270.54)</f>
        <v>270.54</v>
      </c>
      <c r="M744" s="25">
        <f>IFERROR(__xludf.DUMMYFUNCTION("""COMPUTED_VALUE"""),549149.0)</f>
        <v>549149</v>
      </c>
    </row>
    <row r="745">
      <c r="A745" s="26">
        <f>IFERROR(__xludf.DUMMYFUNCTION("""COMPUTED_VALUE"""),39447.645833333336)</f>
        <v>39447.64583</v>
      </c>
      <c r="B745" s="9">
        <f>IFERROR(__xludf.DUMMYFUNCTION("""COMPUTED_VALUE"""),225.13)</f>
        <v>225.13</v>
      </c>
      <c r="C745" s="9">
        <f>IFERROR(__xludf.DUMMYFUNCTION("""COMPUTED_VALUE"""),225.63)</f>
        <v>225.63</v>
      </c>
      <c r="D745" s="9">
        <f>IFERROR(__xludf.DUMMYFUNCTION("""COMPUTED_VALUE"""),219.89)</f>
        <v>219.89</v>
      </c>
      <c r="E745" s="9">
        <f>IFERROR(__xludf.DUMMYFUNCTION("""COMPUTED_VALUE"""),221.24)</f>
        <v>221.24</v>
      </c>
      <c r="F745" s="9">
        <f>IFERROR(__xludf.DUMMYFUNCTION("""COMPUTED_VALUE"""),659118.0)</f>
        <v>659118</v>
      </c>
      <c r="H745" s="27">
        <f>IFERROR(__xludf.DUMMYFUNCTION("""COMPUTED_VALUE"""),39447.645833333336)</f>
        <v>39447.64583</v>
      </c>
      <c r="I745" s="25">
        <f>IFERROR(__xludf.DUMMYFUNCTION("""COMPUTED_VALUE"""),270.75)</f>
        <v>270.75</v>
      </c>
      <c r="J745" s="25">
        <f>IFERROR(__xludf.DUMMYFUNCTION("""COMPUTED_VALUE"""),274.01)</f>
        <v>274.01</v>
      </c>
      <c r="K745" s="25">
        <f>IFERROR(__xludf.DUMMYFUNCTION("""COMPUTED_VALUE"""),263.0)</f>
        <v>263</v>
      </c>
      <c r="L745" s="25">
        <f>IFERROR(__xludf.DUMMYFUNCTION("""COMPUTED_VALUE"""),269.35)</f>
        <v>269.35</v>
      </c>
      <c r="M745" s="25">
        <f>IFERROR(__xludf.DUMMYFUNCTION("""COMPUTED_VALUE"""),539042.0)</f>
        <v>539042</v>
      </c>
    </row>
    <row r="746">
      <c r="A746" s="26">
        <f>IFERROR(__xludf.DUMMYFUNCTION("""COMPUTED_VALUE"""),39448.645833333336)</f>
        <v>39448.64583</v>
      </c>
      <c r="B746" s="9">
        <f>IFERROR(__xludf.DUMMYFUNCTION("""COMPUTED_VALUE"""),220.83)</f>
        <v>220.83</v>
      </c>
      <c r="C746" s="9">
        <f>IFERROR(__xludf.DUMMYFUNCTION("""COMPUTED_VALUE"""),222.33)</f>
        <v>222.33</v>
      </c>
      <c r="D746" s="9">
        <f>IFERROR(__xludf.DUMMYFUNCTION("""COMPUTED_VALUE"""),217.78)</f>
        <v>217.78</v>
      </c>
      <c r="E746" s="9">
        <f>IFERROR(__xludf.DUMMYFUNCTION("""COMPUTED_VALUE"""),218.36)</f>
        <v>218.36</v>
      </c>
      <c r="F746" s="9">
        <f>IFERROR(__xludf.DUMMYFUNCTION("""COMPUTED_VALUE"""),250203.0)</f>
        <v>250203</v>
      </c>
      <c r="H746" s="27">
        <f>IFERROR(__xludf.DUMMYFUNCTION("""COMPUTED_VALUE"""),39448.645833333336)</f>
        <v>39448.64583</v>
      </c>
      <c r="I746" s="25">
        <f>IFERROR(__xludf.DUMMYFUNCTION("""COMPUTED_VALUE"""),269.25)</f>
        <v>269.25</v>
      </c>
      <c r="J746" s="25">
        <f>IFERROR(__xludf.DUMMYFUNCTION("""COMPUTED_VALUE"""),269.25)</f>
        <v>269.25</v>
      </c>
      <c r="K746" s="25">
        <f>IFERROR(__xludf.DUMMYFUNCTION("""COMPUTED_VALUE"""),263.0)</f>
        <v>263</v>
      </c>
      <c r="L746" s="25">
        <f>IFERROR(__xludf.DUMMYFUNCTION("""COMPUTED_VALUE"""),263.64)</f>
        <v>263.64</v>
      </c>
      <c r="M746" s="25">
        <f>IFERROR(__xludf.DUMMYFUNCTION("""COMPUTED_VALUE"""),232097.0)</f>
        <v>232097</v>
      </c>
    </row>
    <row r="747">
      <c r="A747" s="26">
        <f>IFERROR(__xludf.DUMMYFUNCTION("""COMPUTED_VALUE"""),39449.645833333336)</f>
        <v>39449.64583</v>
      </c>
      <c r="B747" s="9">
        <f>IFERROR(__xludf.DUMMYFUNCTION("""COMPUTED_VALUE"""),218.75)</f>
        <v>218.75</v>
      </c>
      <c r="C747" s="9">
        <f>IFERROR(__xludf.DUMMYFUNCTION("""COMPUTED_VALUE"""),219.92)</f>
        <v>219.92</v>
      </c>
      <c r="D747" s="9">
        <f>IFERROR(__xludf.DUMMYFUNCTION("""COMPUTED_VALUE"""),214.05)</f>
        <v>214.05</v>
      </c>
      <c r="E747" s="9">
        <f>IFERROR(__xludf.DUMMYFUNCTION("""COMPUTED_VALUE"""),218.54)</f>
        <v>218.54</v>
      </c>
      <c r="F747" s="9">
        <f>IFERROR(__xludf.DUMMYFUNCTION("""COMPUTED_VALUE"""),769382.0)</f>
        <v>769382</v>
      </c>
      <c r="H747" s="27">
        <f>IFERROR(__xludf.DUMMYFUNCTION("""COMPUTED_VALUE"""),39449.645833333336)</f>
        <v>39449.64583</v>
      </c>
      <c r="I747" s="25">
        <f>IFERROR(__xludf.DUMMYFUNCTION("""COMPUTED_VALUE"""),265.0)</f>
        <v>265</v>
      </c>
      <c r="J747" s="25">
        <f>IFERROR(__xludf.DUMMYFUNCTION("""COMPUTED_VALUE"""),265.25)</f>
        <v>265.25</v>
      </c>
      <c r="K747" s="25">
        <f>IFERROR(__xludf.DUMMYFUNCTION("""COMPUTED_VALUE"""),257.88)</f>
        <v>257.88</v>
      </c>
      <c r="L747" s="25">
        <f>IFERROR(__xludf.DUMMYFUNCTION("""COMPUTED_VALUE"""),262.5)</f>
        <v>262.5</v>
      </c>
      <c r="M747" s="25">
        <f>IFERROR(__xludf.DUMMYFUNCTION("""COMPUTED_VALUE"""),716231.0)</f>
        <v>716231</v>
      </c>
    </row>
    <row r="748">
      <c r="A748" s="26">
        <f>IFERROR(__xludf.DUMMYFUNCTION("""COMPUTED_VALUE"""),39450.645833333336)</f>
        <v>39450.64583</v>
      </c>
      <c r="B748" s="9">
        <f>IFERROR(__xludf.DUMMYFUNCTION("""COMPUTED_VALUE"""),224.63)</f>
        <v>224.63</v>
      </c>
      <c r="C748" s="9">
        <f>IFERROR(__xludf.DUMMYFUNCTION("""COMPUTED_VALUE"""),224.63)</f>
        <v>224.63</v>
      </c>
      <c r="D748" s="9">
        <f>IFERROR(__xludf.DUMMYFUNCTION("""COMPUTED_VALUE"""),211.25)</f>
        <v>211.25</v>
      </c>
      <c r="E748" s="9">
        <f>IFERROR(__xludf.DUMMYFUNCTION("""COMPUTED_VALUE"""),213.63)</f>
        <v>213.63</v>
      </c>
      <c r="F748" s="9">
        <f>IFERROR(__xludf.DUMMYFUNCTION("""COMPUTED_VALUE"""),1553245.0)</f>
        <v>1553245</v>
      </c>
      <c r="H748" s="27">
        <f>IFERROR(__xludf.DUMMYFUNCTION("""COMPUTED_VALUE"""),39450.645833333336)</f>
        <v>39450.64583</v>
      </c>
      <c r="I748" s="25">
        <f>IFERROR(__xludf.DUMMYFUNCTION("""COMPUTED_VALUE"""),257.52)</f>
        <v>257.52</v>
      </c>
      <c r="J748" s="25">
        <f>IFERROR(__xludf.DUMMYFUNCTION("""COMPUTED_VALUE"""),261.25)</f>
        <v>261.25</v>
      </c>
      <c r="K748" s="25">
        <f>IFERROR(__xludf.DUMMYFUNCTION("""COMPUTED_VALUE"""),251.34)</f>
        <v>251.34</v>
      </c>
      <c r="L748" s="25">
        <f>IFERROR(__xludf.DUMMYFUNCTION("""COMPUTED_VALUE"""),252.76)</f>
        <v>252.76</v>
      </c>
      <c r="M748" s="25">
        <f>IFERROR(__xludf.DUMMYFUNCTION("""COMPUTED_VALUE"""),1292070.0)</f>
        <v>1292070</v>
      </c>
    </row>
    <row r="749">
      <c r="A749" s="26">
        <f>IFERROR(__xludf.DUMMYFUNCTION("""COMPUTED_VALUE"""),39451.645833333336)</f>
        <v>39451.64583</v>
      </c>
      <c r="B749" s="9">
        <f>IFERROR(__xludf.DUMMYFUNCTION("""COMPUTED_VALUE"""),218.43)</f>
        <v>218.43</v>
      </c>
      <c r="C749" s="9">
        <f>IFERROR(__xludf.DUMMYFUNCTION("""COMPUTED_VALUE"""),218.43)</f>
        <v>218.43</v>
      </c>
      <c r="D749" s="9">
        <f>IFERROR(__xludf.DUMMYFUNCTION("""COMPUTED_VALUE"""),210.0)</f>
        <v>210</v>
      </c>
      <c r="E749" s="9">
        <f>IFERROR(__xludf.DUMMYFUNCTION("""COMPUTED_VALUE"""),211.86)</f>
        <v>211.86</v>
      </c>
      <c r="F749" s="9">
        <f>IFERROR(__xludf.DUMMYFUNCTION("""COMPUTED_VALUE"""),770790.0)</f>
        <v>770790</v>
      </c>
      <c r="H749" s="27">
        <f>IFERROR(__xludf.DUMMYFUNCTION("""COMPUTED_VALUE"""),39451.645833333336)</f>
        <v>39451.64583</v>
      </c>
      <c r="I749" s="25">
        <f>IFERROR(__xludf.DUMMYFUNCTION("""COMPUTED_VALUE"""),252.76)</f>
        <v>252.76</v>
      </c>
      <c r="J749" s="25">
        <f>IFERROR(__xludf.DUMMYFUNCTION("""COMPUTED_VALUE"""),255.73)</f>
        <v>255.73</v>
      </c>
      <c r="K749" s="25">
        <f>IFERROR(__xludf.DUMMYFUNCTION("""COMPUTED_VALUE"""),250.58)</f>
        <v>250.58</v>
      </c>
      <c r="L749" s="25">
        <f>IFERROR(__xludf.DUMMYFUNCTION("""COMPUTED_VALUE"""),251.3)</f>
        <v>251.3</v>
      </c>
      <c r="M749" s="25">
        <f>IFERROR(__xludf.DUMMYFUNCTION("""COMPUTED_VALUE"""),579717.0)</f>
        <v>579717</v>
      </c>
    </row>
    <row r="750">
      <c r="A750" s="26">
        <f>IFERROR(__xludf.DUMMYFUNCTION("""COMPUTED_VALUE"""),39454.645833333336)</f>
        <v>39454.64583</v>
      </c>
      <c r="B750" s="9">
        <f>IFERROR(__xludf.DUMMYFUNCTION("""COMPUTED_VALUE"""),208.75)</f>
        <v>208.75</v>
      </c>
      <c r="C750" s="9">
        <f>IFERROR(__xludf.DUMMYFUNCTION("""COMPUTED_VALUE"""),211.25)</f>
        <v>211.25</v>
      </c>
      <c r="D750" s="9">
        <f>IFERROR(__xludf.DUMMYFUNCTION("""COMPUTED_VALUE"""),202.88)</f>
        <v>202.88</v>
      </c>
      <c r="E750" s="9">
        <f>IFERROR(__xludf.DUMMYFUNCTION("""COMPUTED_VALUE"""),204.61)</f>
        <v>204.61</v>
      </c>
      <c r="F750" s="9">
        <f>IFERROR(__xludf.DUMMYFUNCTION("""COMPUTED_VALUE"""),1656775.0)</f>
        <v>1656775</v>
      </c>
      <c r="H750" s="27">
        <f>IFERROR(__xludf.DUMMYFUNCTION("""COMPUTED_VALUE"""),39454.645833333336)</f>
        <v>39454.64583</v>
      </c>
      <c r="I750" s="25">
        <f>IFERROR(__xludf.DUMMYFUNCTION("""COMPUTED_VALUE"""),250.0)</f>
        <v>250</v>
      </c>
      <c r="J750" s="25">
        <f>IFERROR(__xludf.DUMMYFUNCTION("""COMPUTED_VALUE"""),252.2)</f>
        <v>252.2</v>
      </c>
      <c r="K750" s="25">
        <f>IFERROR(__xludf.DUMMYFUNCTION("""COMPUTED_VALUE"""),243.13)</f>
        <v>243.13</v>
      </c>
      <c r="L750" s="25">
        <f>IFERROR(__xludf.DUMMYFUNCTION("""COMPUTED_VALUE"""),243.9)</f>
        <v>243.9</v>
      </c>
      <c r="M750" s="25">
        <f>IFERROR(__xludf.DUMMYFUNCTION("""COMPUTED_VALUE"""),911836.0)</f>
        <v>911836</v>
      </c>
    </row>
    <row r="751">
      <c r="A751" s="26">
        <f>IFERROR(__xludf.DUMMYFUNCTION("""COMPUTED_VALUE"""),39455.645833333336)</f>
        <v>39455.64583</v>
      </c>
      <c r="B751" s="9">
        <f>IFERROR(__xludf.DUMMYFUNCTION("""COMPUTED_VALUE"""),206.88)</f>
        <v>206.88</v>
      </c>
      <c r="C751" s="9">
        <f>IFERROR(__xludf.DUMMYFUNCTION("""COMPUTED_VALUE"""),209.99)</f>
        <v>209.99</v>
      </c>
      <c r="D751" s="9">
        <f>IFERROR(__xludf.DUMMYFUNCTION("""COMPUTED_VALUE"""),202.77)</f>
        <v>202.77</v>
      </c>
      <c r="E751" s="9">
        <f>IFERROR(__xludf.DUMMYFUNCTION("""COMPUTED_VALUE"""),207.78)</f>
        <v>207.78</v>
      </c>
      <c r="F751" s="9">
        <f>IFERROR(__xludf.DUMMYFUNCTION("""COMPUTED_VALUE"""),1941408.0)</f>
        <v>1941408</v>
      </c>
      <c r="H751" s="27">
        <f>IFERROR(__xludf.DUMMYFUNCTION("""COMPUTED_VALUE"""),39455.645833333336)</f>
        <v>39455.64583</v>
      </c>
      <c r="I751" s="25">
        <f>IFERROR(__xludf.DUMMYFUNCTION("""COMPUTED_VALUE"""),245.0)</f>
        <v>245</v>
      </c>
      <c r="J751" s="25">
        <f>IFERROR(__xludf.DUMMYFUNCTION("""COMPUTED_VALUE"""),248.0)</f>
        <v>248</v>
      </c>
      <c r="K751" s="25">
        <f>IFERROR(__xludf.DUMMYFUNCTION("""COMPUTED_VALUE"""),242.33)</f>
        <v>242.33</v>
      </c>
      <c r="L751" s="25">
        <f>IFERROR(__xludf.DUMMYFUNCTION("""COMPUTED_VALUE"""),246.96)</f>
        <v>246.96</v>
      </c>
      <c r="M751" s="25">
        <f>IFERROR(__xludf.DUMMYFUNCTION("""COMPUTED_VALUE"""),801933.0)</f>
        <v>801933</v>
      </c>
    </row>
    <row r="752">
      <c r="A752" s="26">
        <f>IFERROR(__xludf.DUMMYFUNCTION("""COMPUTED_VALUE"""),39456.645833333336)</f>
        <v>39456.64583</v>
      </c>
      <c r="B752" s="9">
        <f>IFERROR(__xludf.DUMMYFUNCTION("""COMPUTED_VALUE"""),206.88)</f>
        <v>206.88</v>
      </c>
      <c r="C752" s="9">
        <f>IFERROR(__xludf.DUMMYFUNCTION("""COMPUTED_VALUE"""),212.38)</f>
        <v>212.38</v>
      </c>
      <c r="D752" s="9">
        <f>IFERROR(__xludf.DUMMYFUNCTION("""COMPUTED_VALUE"""),205.79)</f>
        <v>205.79</v>
      </c>
      <c r="E752" s="9">
        <f>IFERROR(__xludf.DUMMYFUNCTION("""COMPUTED_VALUE"""),206.62)</f>
        <v>206.62</v>
      </c>
      <c r="F752" s="9">
        <f>IFERROR(__xludf.DUMMYFUNCTION("""COMPUTED_VALUE"""),1839335.0)</f>
        <v>1839335</v>
      </c>
      <c r="H752" s="27">
        <f>IFERROR(__xludf.DUMMYFUNCTION("""COMPUTED_VALUE"""),39456.645833333336)</f>
        <v>39456.64583</v>
      </c>
      <c r="I752" s="25">
        <f>IFERROR(__xludf.DUMMYFUNCTION("""COMPUTED_VALUE"""),248.7)</f>
        <v>248.7</v>
      </c>
      <c r="J752" s="25">
        <f>IFERROR(__xludf.DUMMYFUNCTION("""COMPUTED_VALUE"""),251.5)</f>
        <v>251.5</v>
      </c>
      <c r="K752" s="25">
        <f>IFERROR(__xludf.DUMMYFUNCTION("""COMPUTED_VALUE"""),247.48)</f>
        <v>247.48</v>
      </c>
      <c r="L752" s="25">
        <f>IFERROR(__xludf.DUMMYFUNCTION("""COMPUTED_VALUE"""),249.08)</f>
        <v>249.08</v>
      </c>
      <c r="M752" s="25">
        <f>IFERROR(__xludf.DUMMYFUNCTION("""COMPUTED_VALUE"""),612532.0)</f>
        <v>612532</v>
      </c>
    </row>
    <row r="753">
      <c r="A753" s="26">
        <f>IFERROR(__xludf.DUMMYFUNCTION("""COMPUTED_VALUE"""),39457.645833333336)</f>
        <v>39457.64583</v>
      </c>
      <c r="B753" s="9">
        <f>IFERROR(__xludf.DUMMYFUNCTION("""COMPUTED_VALUE"""),210.93)</f>
        <v>210.93</v>
      </c>
      <c r="C753" s="9">
        <f>IFERROR(__xludf.DUMMYFUNCTION("""COMPUTED_VALUE"""),211.25)</f>
        <v>211.25</v>
      </c>
      <c r="D753" s="9">
        <f>IFERROR(__xludf.DUMMYFUNCTION("""COMPUTED_VALUE"""),198.5)</f>
        <v>198.5</v>
      </c>
      <c r="E753" s="9">
        <f>IFERROR(__xludf.DUMMYFUNCTION("""COMPUTED_VALUE"""),200.32)</f>
        <v>200.32</v>
      </c>
      <c r="F753" s="9">
        <f>IFERROR(__xludf.DUMMYFUNCTION("""COMPUTED_VALUE"""),1937285.0)</f>
        <v>1937285</v>
      </c>
      <c r="H753" s="27">
        <f>IFERROR(__xludf.DUMMYFUNCTION("""COMPUTED_VALUE"""),39457.645833333336)</f>
        <v>39457.64583</v>
      </c>
      <c r="I753" s="25">
        <f>IFERROR(__xludf.DUMMYFUNCTION("""COMPUTED_VALUE"""),249.5)</f>
        <v>249.5</v>
      </c>
      <c r="J753" s="25">
        <f>IFERROR(__xludf.DUMMYFUNCTION("""COMPUTED_VALUE"""),252.38)</f>
        <v>252.38</v>
      </c>
      <c r="K753" s="25">
        <f>IFERROR(__xludf.DUMMYFUNCTION("""COMPUTED_VALUE"""),240.5)</f>
        <v>240.5</v>
      </c>
      <c r="L753" s="25">
        <f>IFERROR(__xludf.DUMMYFUNCTION("""COMPUTED_VALUE"""),245.41)</f>
        <v>245.41</v>
      </c>
      <c r="M753" s="25">
        <f>IFERROR(__xludf.DUMMYFUNCTION("""COMPUTED_VALUE"""),835594.0)</f>
        <v>835594</v>
      </c>
    </row>
    <row r="754">
      <c r="A754" s="26">
        <f>IFERROR(__xludf.DUMMYFUNCTION("""COMPUTED_VALUE"""),39458.645833333336)</f>
        <v>39458.64583</v>
      </c>
      <c r="B754" s="9">
        <f>IFERROR(__xludf.DUMMYFUNCTION("""COMPUTED_VALUE"""),212.5)</f>
        <v>212.5</v>
      </c>
      <c r="C754" s="9">
        <f>IFERROR(__xludf.DUMMYFUNCTION("""COMPUTED_VALUE"""),217.41)</f>
        <v>217.41</v>
      </c>
      <c r="D754" s="9">
        <f>IFERROR(__xludf.DUMMYFUNCTION("""COMPUTED_VALUE"""),195.63)</f>
        <v>195.63</v>
      </c>
      <c r="E754" s="9">
        <f>IFERROR(__xludf.DUMMYFUNCTION("""COMPUTED_VALUE"""),197.72)</f>
        <v>197.72</v>
      </c>
      <c r="F754" s="9">
        <f>IFERROR(__xludf.DUMMYFUNCTION("""COMPUTED_VALUE"""),2829143.0)</f>
        <v>2829143</v>
      </c>
      <c r="H754" s="27">
        <f>IFERROR(__xludf.DUMMYFUNCTION("""COMPUTED_VALUE"""),39458.645833333336)</f>
        <v>39458.64583</v>
      </c>
      <c r="I754" s="25">
        <f>IFERROR(__xludf.DUMMYFUNCTION("""COMPUTED_VALUE"""),228.84)</f>
        <v>228.84</v>
      </c>
      <c r="J754" s="25">
        <f>IFERROR(__xludf.DUMMYFUNCTION("""COMPUTED_VALUE"""),251.0)</f>
        <v>251</v>
      </c>
      <c r="K754" s="25">
        <f>IFERROR(__xludf.DUMMYFUNCTION("""COMPUTED_VALUE"""),228.84)</f>
        <v>228.84</v>
      </c>
      <c r="L754" s="25">
        <f>IFERROR(__xludf.DUMMYFUNCTION("""COMPUTED_VALUE"""),247.44)</f>
        <v>247.44</v>
      </c>
      <c r="M754" s="25">
        <f>IFERROR(__xludf.DUMMYFUNCTION("""COMPUTED_VALUE"""),537297.0)</f>
        <v>537297</v>
      </c>
    </row>
    <row r="755">
      <c r="A755" s="26">
        <f>IFERROR(__xludf.DUMMYFUNCTION("""COMPUTED_VALUE"""),39461.645833333336)</f>
        <v>39461.64583</v>
      </c>
      <c r="B755" s="9">
        <f>IFERROR(__xludf.DUMMYFUNCTION("""COMPUTED_VALUE"""),199.88)</f>
        <v>199.88</v>
      </c>
      <c r="C755" s="9">
        <f>IFERROR(__xludf.DUMMYFUNCTION("""COMPUTED_VALUE"""),201.25)</f>
        <v>201.25</v>
      </c>
      <c r="D755" s="9">
        <f>IFERROR(__xludf.DUMMYFUNCTION("""COMPUTED_VALUE"""),190.63)</f>
        <v>190.63</v>
      </c>
      <c r="E755" s="9">
        <f>IFERROR(__xludf.DUMMYFUNCTION("""COMPUTED_VALUE"""),191.19)</f>
        <v>191.19</v>
      </c>
      <c r="F755" s="9">
        <f>IFERROR(__xludf.DUMMYFUNCTION("""COMPUTED_VALUE"""),2006353.0)</f>
        <v>2006353</v>
      </c>
      <c r="H755" s="27">
        <f>IFERROR(__xludf.DUMMYFUNCTION("""COMPUTED_VALUE"""),39461.645833333336)</f>
        <v>39461.64583</v>
      </c>
      <c r="I755" s="25">
        <f>IFERROR(__xludf.DUMMYFUNCTION("""COMPUTED_VALUE"""),249.95)</f>
        <v>249.95</v>
      </c>
      <c r="J755" s="25">
        <f>IFERROR(__xludf.DUMMYFUNCTION("""COMPUTED_VALUE"""),249.95)</f>
        <v>249.95</v>
      </c>
      <c r="K755" s="25">
        <f>IFERROR(__xludf.DUMMYFUNCTION("""COMPUTED_VALUE"""),238.9)</f>
        <v>238.9</v>
      </c>
      <c r="L755" s="25">
        <f>IFERROR(__xludf.DUMMYFUNCTION("""COMPUTED_VALUE"""),240.29)</f>
        <v>240.29</v>
      </c>
      <c r="M755" s="25">
        <f>IFERROR(__xludf.DUMMYFUNCTION("""COMPUTED_VALUE"""),1039716.0)</f>
        <v>1039716</v>
      </c>
    </row>
    <row r="756">
      <c r="A756" s="26">
        <f>IFERROR(__xludf.DUMMYFUNCTION("""COMPUTED_VALUE"""),39462.645833333336)</f>
        <v>39462.64583</v>
      </c>
      <c r="B756" s="9">
        <f>IFERROR(__xludf.DUMMYFUNCTION("""COMPUTED_VALUE"""),193.0)</f>
        <v>193</v>
      </c>
      <c r="C756" s="9">
        <f>IFERROR(__xludf.DUMMYFUNCTION("""COMPUTED_VALUE"""),194.36)</f>
        <v>194.36</v>
      </c>
      <c r="D756" s="9">
        <f>IFERROR(__xludf.DUMMYFUNCTION("""COMPUTED_VALUE"""),187.5)</f>
        <v>187.5</v>
      </c>
      <c r="E756" s="9">
        <f>IFERROR(__xludf.DUMMYFUNCTION("""COMPUTED_VALUE"""),187.76)</f>
        <v>187.76</v>
      </c>
      <c r="F756" s="9">
        <f>IFERROR(__xludf.DUMMYFUNCTION("""COMPUTED_VALUE"""),1598278.0)</f>
        <v>1598278</v>
      </c>
      <c r="H756" s="27">
        <f>IFERROR(__xludf.DUMMYFUNCTION("""COMPUTED_VALUE"""),39462.645833333336)</f>
        <v>39462.64583</v>
      </c>
      <c r="I756" s="25">
        <f>IFERROR(__xludf.DUMMYFUNCTION("""COMPUTED_VALUE"""),241.25)</f>
        <v>241.25</v>
      </c>
      <c r="J756" s="25">
        <f>IFERROR(__xludf.DUMMYFUNCTION("""COMPUTED_VALUE"""),242.0)</f>
        <v>242</v>
      </c>
      <c r="K756" s="25">
        <f>IFERROR(__xludf.DUMMYFUNCTION("""COMPUTED_VALUE"""),233.5)</f>
        <v>233.5</v>
      </c>
      <c r="L756" s="25">
        <f>IFERROR(__xludf.DUMMYFUNCTION("""COMPUTED_VALUE"""),235.0)</f>
        <v>235</v>
      </c>
      <c r="M756" s="25">
        <f>IFERROR(__xludf.DUMMYFUNCTION("""COMPUTED_VALUE"""),733897.0)</f>
        <v>733897</v>
      </c>
    </row>
    <row r="757">
      <c r="A757" s="26">
        <f>IFERROR(__xludf.DUMMYFUNCTION("""COMPUTED_VALUE"""),39463.645833333336)</f>
        <v>39463.64583</v>
      </c>
      <c r="B757" s="9">
        <f>IFERROR(__xludf.DUMMYFUNCTION("""COMPUTED_VALUE"""),187.5)</f>
        <v>187.5</v>
      </c>
      <c r="C757" s="9">
        <f>IFERROR(__xludf.DUMMYFUNCTION("""COMPUTED_VALUE"""),189.88)</f>
        <v>189.88</v>
      </c>
      <c r="D757" s="9">
        <f>IFERROR(__xludf.DUMMYFUNCTION("""COMPUTED_VALUE"""),183.76)</f>
        <v>183.76</v>
      </c>
      <c r="E757" s="9">
        <f>IFERROR(__xludf.DUMMYFUNCTION("""COMPUTED_VALUE"""),186.91)</f>
        <v>186.91</v>
      </c>
      <c r="F757" s="9">
        <f>IFERROR(__xludf.DUMMYFUNCTION("""COMPUTED_VALUE"""),1390887.0)</f>
        <v>1390887</v>
      </c>
      <c r="H757" s="27">
        <f>IFERROR(__xludf.DUMMYFUNCTION("""COMPUTED_VALUE"""),39463.645833333336)</f>
        <v>39463.64583</v>
      </c>
      <c r="I757" s="25">
        <f>IFERROR(__xludf.DUMMYFUNCTION("""COMPUTED_VALUE"""),235.0)</f>
        <v>235</v>
      </c>
      <c r="J757" s="25">
        <f>IFERROR(__xludf.DUMMYFUNCTION("""COMPUTED_VALUE"""),241.68)</f>
        <v>241.68</v>
      </c>
      <c r="K757" s="25">
        <f>IFERROR(__xludf.DUMMYFUNCTION("""COMPUTED_VALUE"""),231.25)</f>
        <v>231.25</v>
      </c>
      <c r="L757" s="25">
        <f>IFERROR(__xludf.DUMMYFUNCTION("""COMPUTED_VALUE"""),236.24)</f>
        <v>236.24</v>
      </c>
      <c r="M757" s="25">
        <f>IFERROR(__xludf.DUMMYFUNCTION("""COMPUTED_VALUE"""),782989.0)</f>
        <v>782989</v>
      </c>
    </row>
    <row r="758">
      <c r="A758" s="26">
        <f>IFERROR(__xludf.DUMMYFUNCTION("""COMPUTED_VALUE"""),39464.645833333336)</f>
        <v>39464.64583</v>
      </c>
      <c r="B758" s="9">
        <f>IFERROR(__xludf.DUMMYFUNCTION("""COMPUTED_VALUE"""),187.5)</f>
        <v>187.5</v>
      </c>
      <c r="C758" s="9">
        <f>IFERROR(__xludf.DUMMYFUNCTION("""COMPUTED_VALUE"""),190.66)</f>
        <v>190.66</v>
      </c>
      <c r="D758" s="9">
        <f>IFERROR(__xludf.DUMMYFUNCTION("""COMPUTED_VALUE"""),185.63)</f>
        <v>185.63</v>
      </c>
      <c r="E758" s="9">
        <f>IFERROR(__xludf.DUMMYFUNCTION("""COMPUTED_VALUE"""),186.3)</f>
        <v>186.3</v>
      </c>
      <c r="F758" s="9">
        <f>IFERROR(__xludf.DUMMYFUNCTION("""COMPUTED_VALUE"""),1212450.0)</f>
        <v>1212450</v>
      </c>
      <c r="H758" s="27">
        <f>IFERROR(__xludf.DUMMYFUNCTION("""COMPUTED_VALUE"""),39464.645833333336)</f>
        <v>39464.64583</v>
      </c>
      <c r="I758" s="25">
        <f>IFERROR(__xludf.DUMMYFUNCTION("""COMPUTED_VALUE"""),241.45)</f>
        <v>241.45</v>
      </c>
      <c r="J758" s="25">
        <f>IFERROR(__xludf.DUMMYFUNCTION("""COMPUTED_VALUE"""),241.5)</f>
        <v>241.5</v>
      </c>
      <c r="K758" s="25">
        <f>IFERROR(__xludf.DUMMYFUNCTION("""COMPUTED_VALUE"""),229.75)</f>
        <v>229.75</v>
      </c>
      <c r="L758" s="25">
        <f>IFERROR(__xludf.DUMMYFUNCTION("""COMPUTED_VALUE"""),230.68)</f>
        <v>230.68</v>
      </c>
      <c r="M758" s="25">
        <f>IFERROR(__xludf.DUMMYFUNCTION("""COMPUTED_VALUE"""),1575524.0)</f>
        <v>1575524</v>
      </c>
    </row>
    <row r="759">
      <c r="A759" s="26">
        <f>IFERROR(__xludf.DUMMYFUNCTION("""COMPUTED_VALUE"""),39468.645833333336)</f>
        <v>39468.64583</v>
      </c>
      <c r="B759" s="9">
        <f>IFERROR(__xludf.DUMMYFUNCTION("""COMPUTED_VALUE"""),182.49)</f>
        <v>182.49</v>
      </c>
      <c r="C759" s="9">
        <f>IFERROR(__xludf.DUMMYFUNCTION("""COMPUTED_VALUE"""),186.25)</f>
        <v>186.25</v>
      </c>
      <c r="D759" s="9">
        <f>IFERROR(__xludf.DUMMYFUNCTION("""COMPUTED_VALUE"""),163.03)</f>
        <v>163.03</v>
      </c>
      <c r="E759" s="9">
        <f>IFERROR(__xludf.DUMMYFUNCTION("""COMPUTED_VALUE"""),173.89)</f>
        <v>173.89</v>
      </c>
      <c r="F759" s="9">
        <f>IFERROR(__xludf.DUMMYFUNCTION("""COMPUTED_VALUE"""),2771192.0)</f>
        <v>2771192</v>
      </c>
      <c r="H759" s="27">
        <f>IFERROR(__xludf.DUMMYFUNCTION("""COMPUTED_VALUE"""),39465.645833333336)</f>
        <v>39465.64583</v>
      </c>
      <c r="I759" s="25">
        <f>IFERROR(__xludf.DUMMYFUNCTION("""COMPUTED_VALUE"""),232.38)</f>
        <v>232.38</v>
      </c>
      <c r="J759" s="25">
        <f>IFERROR(__xludf.DUMMYFUNCTION("""COMPUTED_VALUE"""),235.0)</f>
        <v>235</v>
      </c>
      <c r="K759" s="25">
        <f>IFERROR(__xludf.DUMMYFUNCTION("""COMPUTED_VALUE"""),224.28)</f>
        <v>224.28</v>
      </c>
      <c r="L759" s="25">
        <f>IFERROR(__xludf.DUMMYFUNCTION("""COMPUTED_VALUE"""),225.8)</f>
        <v>225.8</v>
      </c>
      <c r="M759" s="25">
        <f>IFERROR(__xludf.DUMMYFUNCTION("""COMPUTED_VALUE"""),1083454.0)</f>
        <v>1083454</v>
      </c>
    </row>
    <row r="760">
      <c r="A760" s="26">
        <f>IFERROR(__xludf.DUMMYFUNCTION("""COMPUTED_VALUE"""),39469.645833333336)</f>
        <v>39469.64583</v>
      </c>
      <c r="B760" s="9">
        <f>IFERROR(__xludf.DUMMYFUNCTION("""COMPUTED_VALUE"""),167.5)</f>
        <v>167.5</v>
      </c>
      <c r="C760" s="9">
        <f>IFERROR(__xludf.DUMMYFUNCTION("""COMPUTED_VALUE"""),180.5)</f>
        <v>180.5</v>
      </c>
      <c r="D760" s="9">
        <f>IFERROR(__xludf.DUMMYFUNCTION("""COMPUTED_VALUE"""),156.88)</f>
        <v>156.88</v>
      </c>
      <c r="E760" s="9">
        <f>IFERROR(__xludf.DUMMYFUNCTION("""COMPUTED_VALUE"""),172.61)</f>
        <v>172.61</v>
      </c>
      <c r="F760" s="9">
        <f>IFERROR(__xludf.DUMMYFUNCTION("""COMPUTED_VALUE"""),3460069.0)</f>
        <v>3460069</v>
      </c>
      <c r="H760" s="27">
        <f>IFERROR(__xludf.DUMMYFUNCTION("""COMPUTED_VALUE"""),39468.645833333336)</f>
        <v>39468.64583</v>
      </c>
      <c r="I760" s="25">
        <f>IFERROR(__xludf.DUMMYFUNCTION("""COMPUTED_VALUE"""),226.0)</f>
        <v>226</v>
      </c>
      <c r="J760" s="25">
        <f>IFERROR(__xludf.DUMMYFUNCTION("""COMPUTED_VALUE"""),226.18)</f>
        <v>226.18</v>
      </c>
      <c r="K760" s="25">
        <f>IFERROR(__xludf.DUMMYFUNCTION("""COMPUTED_VALUE"""),201.31)</f>
        <v>201.31</v>
      </c>
      <c r="L760" s="25">
        <f>IFERROR(__xludf.DUMMYFUNCTION("""COMPUTED_VALUE"""),207.76)</f>
        <v>207.76</v>
      </c>
      <c r="M760" s="25">
        <f>IFERROR(__xludf.DUMMYFUNCTION("""COMPUTED_VALUE"""),1210008.0)</f>
        <v>1210008</v>
      </c>
    </row>
    <row r="761">
      <c r="A761" s="26">
        <f>IFERROR(__xludf.DUMMYFUNCTION("""COMPUTED_VALUE"""),39470.645833333336)</f>
        <v>39470.64583</v>
      </c>
      <c r="B761" s="9">
        <f>IFERROR(__xludf.DUMMYFUNCTION("""COMPUTED_VALUE"""),181.13)</f>
        <v>181.13</v>
      </c>
      <c r="C761" s="9">
        <f>IFERROR(__xludf.DUMMYFUNCTION("""COMPUTED_VALUE"""),182.33)</f>
        <v>182.33</v>
      </c>
      <c r="D761" s="9">
        <f>IFERROR(__xludf.DUMMYFUNCTION("""COMPUTED_VALUE"""),171.53)</f>
        <v>171.53</v>
      </c>
      <c r="E761" s="9">
        <f>IFERROR(__xludf.DUMMYFUNCTION("""COMPUTED_VALUE"""),177.75)</f>
        <v>177.75</v>
      </c>
      <c r="F761" s="9">
        <f>IFERROR(__xludf.DUMMYFUNCTION("""COMPUTED_VALUE"""),2228398.0)</f>
        <v>2228398</v>
      </c>
      <c r="H761" s="27">
        <f>IFERROR(__xludf.DUMMYFUNCTION("""COMPUTED_VALUE"""),39469.645833333336)</f>
        <v>39469.64583</v>
      </c>
      <c r="I761" s="25">
        <f>IFERROR(__xludf.DUMMYFUNCTION("""COMPUTED_VALUE"""),203.68)</f>
        <v>203.68</v>
      </c>
      <c r="J761" s="25">
        <f>IFERROR(__xludf.DUMMYFUNCTION("""COMPUTED_VALUE"""),247.5)</f>
        <v>247.5</v>
      </c>
      <c r="K761" s="25">
        <f>IFERROR(__xludf.DUMMYFUNCTION("""COMPUTED_VALUE"""),181.25)</f>
        <v>181.25</v>
      </c>
      <c r="L761" s="25">
        <f>IFERROR(__xludf.DUMMYFUNCTION("""COMPUTED_VALUE"""),199.56)</f>
        <v>199.56</v>
      </c>
      <c r="M761" s="25">
        <f>IFERROR(__xludf.DUMMYFUNCTION("""COMPUTED_VALUE"""),1594218.0)</f>
        <v>1594218</v>
      </c>
    </row>
    <row r="762">
      <c r="A762" s="26">
        <f>IFERROR(__xludf.DUMMYFUNCTION("""COMPUTED_VALUE"""),39471.645833333336)</f>
        <v>39471.64583</v>
      </c>
      <c r="B762" s="9">
        <f>IFERROR(__xludf.DUMMYFUNCTION("""COMPUTED_VALUE"""),181.13)</f>
        <v>181.13</v>
      </c>
      <c r="C762" s="9">
        <f>IFERROR(__xludf.DUMMYFUNCTION("""COMPUTED_VALUE"""),187.88)</f>
        <v>187.88</v>
      </c>
      <c r="D762" s="9">
        <f>IFERROR(__xludf.DUMMYFUNCTION("""COMPUTED_VALUE"""),174.38)</f>
        <v>174.38</v>
      </c>
      <c r="E762" s="9">
        <f>IFERROR(__xludf.DUMMYFUNCTION("""COMPUTED_VALUE"""),177.82)</f>
        <v>177.82</v>
      </c>
      <c r="F762" s="9">
        <f>IFERROR(__xludf.DUMMYFUNCTION("""COMPUTED_VALUE"""),1742858.0)</f>
        <v>1742858</v>
      </c>
      <c r="H762" s="27">
        <f>IFERROR(__xludf.DUMMYFUNCTION("""COMPUTED_VALUE"""),39470.645833333336)</f>
        <v>39470.64583</v>
      </c>
      <c r="I762" s="25">
        <f>IFERROR(__xludf.DUMMYFUNCTION("""COMPUTED_VALUE"""),214.75)</f>
        <v>214.75</v>
      </c>
      <c r="J762" s="25">
        <f>IFERROR(__xludf.DUMMYFUNCTION("""COMPUTED_VALUE"""),222.5)</f>
        <v>222.5</v>
      </c>
      <c r="K762" s="25">
        <f>IFERROR(__xludf.DUMMYFUNCTION("""COMPUTED_VALUE"""),201.25)</f>
        <v>201.25</v>
      </c>
      <c r="L762" s="25">
        <f>IFERROR(__xludf.DUMMYFUNCTION("""COMPUTED_VALUE"""),217.99)</f>
        <v>217.99</v>
      </c>
      <c r="M762" s="25">
        <f>IFERROR(__xludf.DUMMYFUNCTION("""COMPUTED_VALUE"""),1339780.0)</f>
        <v>1339780</v>
      </c>
    </row>
    <row r="763">
      <c r="A763" s="26">
        <f>IFERROR(__xludf.DUMMYFUNCTION("""COMPUTED_VALUE"""),39472.645833333336)</f>
        <v>39472.64583</v>
      </c>
      <c r="B763" s="9">
        <f>IFERROR(__xludf.DUMMYFUNCTION("""COMPUTED_VALUE"""),178.75)</f>
        <v>178.75</v>
      </c>
      <c r="C763" s="9">
        <f>IFERROR(__xludf.DUMMYFUNCTION("""COMPUTED_VALUE"""),192.35)</f>
        <v>192.35</v>
      </c>
      <c r="D763" s="9">
        <f>IFERROR(__xludf.DUMMYFUNCTION("""COMPUTED_VALUE"""),178.75)</f>
        <v>178.75</v>
      </c>
      <c r="E763" s="9">
        <f>IFERROR(__xludf.DUMMYFUNCTION("""COMPUTED_VALUE"""),189.98)</f>
        <v>189.98</v>
      </c>
      <c r="F763" s="9">
        <f>IFERROR(__xludf.DUMMYFUNCTION("""COMPUTED_VALUE"""),831274.0)</f>
        <v>831274</v>
      </c>
      <c r="H763" s="27">
        <f>IFERROR(__xludf.DUMMYFUNCTION("""COMPUTED_VALUE"""),39471.645833333336)</f>
        <v>39471.64583</v>
      </c>
      <c r="I763" s="25">
        <f>IFERROR(__xludf.DUMMYFUNCTION("""COMPUTED_VALUE"""),217.5)</f>
        <v>217.5</v>
      </c>
      <c r="J763" s="25">
        <f>IFERROR(__xludf.DUMMYFUNCTION("""COMPUTED_VALUE"""),222.0)</f>
        <v>222</v>
      </c>
      <c r="K763" s="25">
        <f>IFERROR(__xludf.DUMMYFUNCTION("""COMPUTED_VALUE"""),206.44)</f>
        <v>206.44</v>
      </c>
      <c r="L763" s="25">
        <f>IFERROR(__xludf.DUMMYFUNCTION("""COMPUTED_VALUE"""),210.81)</f>
        <v>210.81</v>
      </c>
      <c r="M763" s="25">
        <f>IFERROR(__xludf.DUMMYFUNCTION("""COMPUTED_VALUE"""),503334.0)</f>
        <v>503334</v>
      </c>
    </row>
    <row r="764">
      <c r="A764" s="26">
        <f>IFERROR(__xludf.DUMMYFUNCTION("""COMPUTED_VALUE"""),39475.645833333336)</f>
        <v>39475.64583</v>
      </c>
      <c r="B764" s="9">
        <f>IFERROR(__xludf.DUMMYFUNCTION("""COMPUTED_VALUE"""),184.25)</f>
        <v>184.25</v>
      </c>
      <c r="C764" s="9">
        <f>IFERROR(__xludf.DUMMYFUNCTION("""COMPUTED_VALUE"""),187.5)</f>
        <v>187.5</v>
      </c>
      <c r="D764" s="9">
        <f>IFERROR(__xludf.DUMMYFUNCTION("""COMPUTED_VALUE"""),175.91)</f>
        <v>175.91</v>
      </c>
      <c r="E764" s="9">
        <f>IFERROR(__xludf.DUMMYFUNCTION("""COMPUTED_VALUE"""),180.79)</f>
        <v>180.79</v>
      </c>
      <c r="F764" s="9">
        <f>IFERROR(__xludf.DUMMYFUNCTION("""COMPUTED_VALUE"""),973586.0)</f>
        <v>973586</v>
      </c>
      <c r="H764" s="27">
        <f>IFERROR(__xludf.DUMMYFUNCTION("""COMPUTED_VALUE"""),39472.645833333336)</f>
        <v>39472.64583</v>
      </c>
      <c r="I764" s="25">
        <f>IFERROR(__xludf.DUMMYFUNCTION("""COMPUTED_VALUE"""),213.25)</f>
        <v>213.25</v>
      </c>
      <c r="J764" s="25">
        <f>IFERROR(__xludf.DUMMYFUNCTION("""COMPUTED_VALUE"""),224.43)</f>
        <v>224.43</v>
      </c>
      <c r="K764" s="25">
        <f>IFERROR(__xludf.DUMMYFUNCTION("""COMPUTED_VALUE"""),212.53)</f>
        <v>212.53</v>
      </c>
      <c r="L764" s="25">
        <f>IFERROR(__xludf.DUMMYFUNCTION("""COMPUTED_VALUE"""),221.15)</f>
        <v>221.15</v>
      </c>
      <c r="M764" s="25">
        <f>IFERROR(__xludf.DUMMYFUNCTION("""COMPUTED_VALUE"""),560779.0)</f>
        <v>560779</v>
      </c>
    </row>
    <row r="765">
      <c r="A765" s="26">
        <f>IFERROR(__xludf.DUMMYFUNCTION("""COMPUTED_VALUE"""),39476.645833333336)</f>
        <v>39476.64583</v>
      </c>
      <c r="B765" s="9">
        <f>IFERROR(__xludf.DUMMYFUNCTION("""COMPUTED_VALUE"""),181.25)</f>
        <v>181.25</v>
      </c>
      <c r="C765" s="9">
        <f>IFERROR(__xludf.DUMMYFUNCTION("""COMPUTED_VALUE"""),188.72)</f>
        <v>188.72</v>
      </c>
      <c r="D765" s="9">
        <f>IFERROR(__xludf.DUMMYFUNCTION("""COMPUTED_VALUE"""),181.25)</f>
        <v>181.25</v>
      </c>
      <c r="E765" s="9">
        <f>IFERROR(__xludf.DUMMYFUNCTION("""COMPUTED_VALUE"""),186.58)</f>
        <v>186.58</v>
      </c>
      <c r="F765" s="9">
        <f>IFERROR(__xludf.DUMMYFUNCTION("""COMPUTED_VALUE"""),1130083.0)</f>
        <v>1130083</v>
      </c>
      <c r="H765" s="27">
        <f>IFERROR(__xludf.DUMMYFUNCTION("""COMPUTED_VALUE"""),39475.645833333336)</f>
        <v>39475.64583</v>
      </c>
      <c r="I765" s="25">
        <f>IFERROR(__xludf.DUMMYFUNCTION("""COMPUTED_VALUE"""),217.5)</f>
        <v>217.5</v>
      </c>
      <c r="J765" s="25">
        <f>IFERROR(__xludf.DUMMYFUNCTION("""COMPUTED_VALUE"""),217.5)</f>
        <v>217.5</v>
      </c>
      <c r="K765" s="25">
        <f>IFERROR(__xludf.DUMMYFUNCTION("""COMPUTED_VALUE"""),206.25)</f>
        <v>206.25</v>
      </c>
      <c r="L765" s="25">
        <f>IFERROR(__xludf.DUMMYFUNCTION("""COMPUTED_VALUE"""),213.58)</f>
        <v>213.58</v>
      </c>
      <c r="M765" s="25">
        <f>IFERROR(__xludf.DUMMYFUNCTION("""COMPUTED_VALUE"""),621415.0)</f>
        <v>621415</v>
      </c>
    </row>
    <row r="766">
      <c r="A766" s="26">
        <f>IFERROR(__xludf.DUMMYFUNCTION("""COMPUTED_VALUE"""),39477.645833333336)</f>
        <v>39477.64583</v>
      </c>
      <c r="B766" s="9">
        <f>IFERROR(__xludf.DUMMYFUNCTION("""COMPUTED_VALUE"""),188.88)</f>
        <v>188.88</v>
      </c>
      <c r="C766" s="9">
        <f>IFERROR(__xludf.DUMMYFUNCTION("""COMPUTED_VALUE"""),188.88)</f>
        <v>188.88</v>
      </c>
      <c r="D766" s="9">
        <f>IFERROR(__xludf.DUMMYFUNCTION("""COMPUTED_VALUE"""),184.03)</f>
        <v>184.03</v>
      </c>
      <c r="E766" s="9">
        <f>IFERROR(__xludf.DUMMYFUNCTION("""COMPUTED_VALUE"""),186.66)</f>
        <v>186.66</v>
      </c>
      <c r="F766" s="9">
        <f>IFERROR(__xludf.DUMMYFUNCTION("""COMPUTED_VALUE"""),892477.0)</f>
        <v>892477</v>
      </c>
      <c r="H766" s="27">
        <f>IFERROR(__xludf.DUMMYFUNCTION("""COMPUTED_VALUE"""),39476.645833333336)</f>
        <v>39476.64583</v>
      </c>
      <c r="I766" s="25">
        <f>IFERROR(__xludf.DUMMYFUNCTION("""COMPUTED_VALUE"""),214.0)</f>
        <v>214</v>
      </c>
      <c r="J766" s="25">
        <f>IFERROR(__xludf.DUMMYFUNCTION("""COMPUTED_VALUE"""),221.15)</f>
        <v>221.15</v>
      </c>
      <c r="K766" s="25">
        <f>IFERROR(__xludf.DUMMYFUNCTION("""COMPUTED_VALUE"""),213.75)</f>
        <v>213.75</v>
      </c>
      <c r="L766" s="25">
        <f>IFERROR(__xludf.DUMMYFUNCTION("""COMPUTED_VALUE"""),216.93)</f>
        <v>216.93</v>
      </c>
      <c r="M766" s="25">
        <f>IFERROR(__xludf.DUMMYFUNCTION("""COMPUTED_VALUE"""),814678.0)</f>
        <v>814678</v>
      </c>
    </row>
    <row r="767">
      <c r="A767" s="26">
        <f>IFERROR(__xludf.DUMMYFUNCTION("""COMPUTED_VALUE"""),39478.645833333336)</f>
        <v>39478.64583</v>
      </c>
      <c r="B767" s="9">
        <f>IFERROR(__xludf.DUMMYFUNCTION("""COMPUTED_VALUE"""),187.0)</f>
        <v>187</v>
      </c>
      <c r="C767" s="9">
        <f>IFERROR(__xludf.DUMMYFUNCTION("""COMPUTED_VALUE"""),191.86)</f>
        <v>191.86</v>
      </c>
      <c r="D767" s="9">
        <f>IFERROR(__xludf.DUMMYFUNCTION("""COMPUTED_VALUE"""),183.78)</f>
        <v>183.78</v>
      </c>
      <c r="E767" s="9">
        <f>IFERROR(__xludf.DUMMYFUNCTION("""COMPUTED_VALUE"""),187.38)</f>
        <v>187.38</v>
      </c>
      <c r="F767" s="9">
        <f>IFERROR(__xludf.DUMMYFUNCTION("""COMPUTED_VALUE"""),2235662.0)</f>
        <v>2235662</v>
      </c>
      <c r="H767" s="27">
        <f>IFERROR(__xludf.DUMMYFUNCTION("""COMPUTED_VALUE"""),39477.645833333336)</f>
        <v>39477.64583</v>
      </c>
      <c r="I767" s="25">
        <f>IFERROR(__xludf.DUMMYFUNCTION("""COMPUTED_VALUE"""),220.5)</f>
        <v>220.5</v>
      </c>
      <c r="J767" s="25">
        <f>IFERROR(__xludf.DUMMYFUNCTION("""COMPUTED_VALUE"""),223.0)</f>
        <v>223</v>
      </c>
      <c r="K767" s="25">
        <f>IFERROR(__xludf.DUMMYFUNCTION("""COMPUTED_VALUE"""),215.0)</f>
        <v>215</v>
      </c>
      <c r="L767" s="25">
        <f>IFERROR(__xludf.DUMMYFUNCTION("""COMPUTED_VALUE"""),217.46)</f>
        <v>217.46</v>
      </c>
      <c r="M767" s="25">
        <f>IFERROR(__xludf.DUMMYFUNCTION("""COMPUTED_VALUE"""),758214.0)</f>
        <v>758214</v>
      </c>
    </row>
    <row r="768">
      <c r="A768" s="26">
        <f>IFERROR(__xludf.DUMMYFUNCTION("""COMPUTED_VALUE"""),39479.645833333336)</f>
        <v>39479.64583</v>
      </c>
      <c r="B768" s="9">
        <f>IFERROR(__xludf.DUMMYFUNCTION("""COMPUTED_VALUE"""),188.25)</f>
        <v>188.25</v>
      </c>
      <c r="C768" s="9">
        <f>IFERROR(__xludf.DUMMYFUNCTION("""COMPUTED_VALUE"""),201.0)</f>
        <v>201</v>
      </c>
      <c r="D768" s="9">
        <f>IFERROR(__xludf.DUMMYFUNCTION("""COMPUTED_VALUE"""),188.25)</f>
        <v>188.25</v>
      </c>
      <c r="E768" s="9">
        <f>IFERROR(__xludf.DUMMYFUNCTION("""COMPUTED_VALUE"""),199.33)</f>
        <v>199.33</v>
      </c>
      <c r="F768" s="9">
        <f>IFERROR(__xludf.DUMMYFUNCTION("""COMPUTED_VALUE"""),1392995.0)</f>
        <v>1392995</v>
      </c>
      <c r="H768" s="27">
        <f>IFERROR(__xludf.DUMMYFUNCTION("""COMPUTED_VALUE"""),39478.645833333336)</f>
        <v>39478.64583</v>
      </c>
      <c r="I768" s="25">
        <f>IFERROR(__xludf.DUMMYFUNCTION("""COMPUTED_VALUE"""),217.5)</f>
        <v>217.5</v>
      </c>
      <c r="J768" s="25">
        <f>IFERROR(__xludf.DUMMYFUNCTION("""COMPUTED_VALUE"""),222.5)</f>
        <v>222.5</v>
      </c>
      <c r="K768" s="25">
        <f>IFERROR(__xludf.DUMMYFUNCTION("""COMPUTED_VALUE"""),208.84)</f>
        <v>208.84</v>
      </c>
      <c r="L768" s="25">
        <f>IFERROR(__xludf.DUMMYFUNCTION("""COMPUTED_VALUE"""),218.44)</f>
        <v>218.44</v>
      </c>
      <c r="M768" s="25">
        <f>IFERROR(__xludf.DUMMYFUNCTION("""COMPUTED_VALUE"""),1491739.0)</f>
        <v>1491739</v>
      </c>
    </row>
    <row r="769">
      <c r="A769" s="26">
        <f>IFERROR(__xludf.DUMMYFUNCTION("""COMPUTED_VALUE"""),39482.645833333336)</f>
        <v>39482.64583</v>
      </c>
      <c r="B769" s="9">
        <f>IFERROR(__xludf.DUMMYFUNCTION("""COMPUTED_VALUE"""),204.31)</f>
        <v>204.31</v>
      </c>
      <c r="C769" s="9">
        <f>IFERROR(__xludf.DUMMYFUNCTION("""COMPUTED_VALUE"""),208.12)</f>
        <v>208.12</v>
      </c>
      <c r="D769" s="9">
        <f>IFERROR(__xludf.DUMMYFUNCTION("""COMPUTED_VALUE"""),200.63)</f>
        <v>200.63</v>
      </c>
      <c r="E769" s="9">
        <f>IFERROR(__xludf.DUMMYFUNCTION("""COMPUTED_VALUE"""),205.01)</f>
        <v>205.01</v>
      </c>
      <c r="F769" s="9">
        <f>IFERROR(__xludf.DUMMYFUNCTION("""COMPUTED_VALUE"""),1420146.0)</f>
        <v>1420146</v>
      </c>
      <c r="H769" s="27">
        <f>IFERROR(__xludf.DUMMYFUNCTION("""COMPUTED_VALUE"""),39479.645833333336)</f>
        <v>39479.64583</v>
      </c>
      <c r="I769" s="25">
        <f>IFERROR(__xludf.DUMMYFUNCTION("""COMPUTED_VALUE"""),221.25)</f>
        <v>221.25</v>
      </c>
      <c r="J769" s="25">
        <f>IFERROR(__xludf.DUMMYFUNCTION("""COMPUTED_VALUE"""),235.28)</f>
        <v>235.28</v>
      </c>
      <c r="K769" s="25">
        <f>IFERROR(__xludf.DUMMYFUNCTION("""COMPUTED_VALUE"""),218.33)</f>
        <v>218.33</v>
      </c>
      <c r="L769" s="25">
        <f>IFERROR(__xludf.DUMMYFUNCTION("""COMPUTED_VALUE"""),232.38)</f>
        <v>232.38</v>
      </c>
      <c r="M769" s="25">
        <f>IFERROR(__xludf.DUMMYFUNCTION("""COMPUTED_VALUE"""),1042380.0)</f>
        <v>1042380</v>
      </c>
    </row>
    <row r="770">
      <c r="A770" s="26">
        <f>IFERROR(__xludf.DUMMYFUNCTION("""COMPUTED_VALUE"""),39483.645833333336)</f>
        <v>39483.64583</v>
      </c>
      <c r="B770" s="9">
        <f>IFERROR(__xludf.DUMMYFUNCTION("""COMPUTED_VALUE"""),204.63)</f>
        <v>204.63</v>
      </c>
      <c r="C770" s="9">
        <f>IFERROR(__xludf.DUMMYFUNCTION("""COMPUTED_VALUE"""),204.63)</f>
        <v>204.63</v>
      </c>
      <c r="D770" s="9">
        <f>IFERROR(__xludf.DUMMYFUNCTION("""COMPUTED_VALUE"""),198.13)</f>
        <v>198.13</v>
      </c>
      <c r="E770" s="9">
        <f>IFERROR(__xludf.DUMMYFUNCTION("""COMPUTED_VALUE"""),201.16)</f>
        <v>201.16</v>
      </c>
      <c r="F770" s="9">
        <f>IFERROR(__xludf.DUMMYFUNCTION("""COMPUTED_VALUE"""),1002589.0)</f>
        <v>1002589</v>
      </c>
      <c r="H770" s="27">
        <f>IFERROR(__xludf.DUMMYFUNCTION("""COMPUTED_VALUE"""),39482.645833333336)</f>
        <v>39482.64583</v>
      </c>
      <c r="I770" s="25">
        <f>IFERROR(__xludf.DUMMYFUNCTION("""COMPUTED_VALUE"""),236.25)</f>
        <v>236.25</v>
      </c>
      <c r="J770" s="25">
        <f>IFERROR(__xludf.DUMMYFUNCTION("""COMPUTED_VALUE"""),247.25)</f>
        <v>247.25</v>
      </c>
      <c r="K770" s="25">
        <f>IFERROR(__xludf.DUMMYFUNCTION("""COMPUTED_VALUE"""),234.75)</f>
        <v>234.75</v>
      </c>
      <c r="L770" s="25">
        <f>IFERROR(__xludf.DUMMYFUNCTION("""COMPUTED_VALUE"""),243.91)</f>
        <v>243.91</v>
      </c>
      <c r="M770" s="25">
        <f>IFERROR(__xludf.DUMMYFUNCTION("""COMPUTED_VALUE"""),932630.0)</f>
        <v>932630</v>
      </c>
    </row>
    <row r="771">
      <c r="A771" s="26">
        <f>IFERROR(__xludf.DUMMYFUNCTION("""COMPUTED_VALUE"""),39484.645833333336)</f>
        <v>39484.64583</v>
      </c>
      <c r="B771" s="9">
        <f>IFERROR(__xludf.DUMMYFUNCTION("""COMPUTED_VALUE"""),188.13)</f>
        <v>188.13</v>
      </c>
      <c r="C771" s="9">
        <f>IFERROR(__xludf.DUMMYFUNCTION("""COMPUTED_VALUE"""),196.86)</f>
        <v>196.86</v>
      </c>
      <c r="D771" s="9">
        <f>IFERROR(__xludf.DUMMYFUNCTION("""COMPUTED_VALUE"""),187.5)</f>
        <v>187.5</v>
      </c>
      <c r="E771" s="9">
        <f>IFERROR(__xludf.DUMMYFUNCTION("""COMPUTED_VALUE"""),188.74)</f>
        <v>188.74</v>
      </c>
      <c r="F771" s="9">
        <f>IFERROR(__xludf.DUMMYFUNCTION("""COMPUTED_VALUE"""),1243002.0)</f>
        <v>1243002</v>
      </c>
      <c r="H771" s="27">
        <f>IFERROR(__xludf.DUMMYFUNCTION("""COMPUTED_VALUE"""),39483.645833333336)</f>
        <v>39483.64583</v>
      </c>
      <c r="I771" s="25">
        <f>IFERROR(__xludf.DUMMYFUNCTION("""COMPUTED_VALUE"""),240.0)</f>
        <v>240</v>
      </c>
      <c r="J771" s="25">
        <f>IFERROR(__xludf.DUMMYFUNCTION("""COMPUTED_VALUE"""),243.75)</f>
        <v>243.75</v>
      </c>
      <c r="K771" s="25">
        <f>IFERROR(__xludf.DUMMYFUNCTION("""COMPUTED_VALUE"""),233.91)</f>
        <v>233.91</v>
      </c>
      <c r="L771" s="25">
        <f>IFERROR(__xludf.DUMMYFUNCTION("""COMPUTED_VALUE"""),238.76)</f>
        <v>238.76</v>
      </c>
      <c r="M771" s="25">
        <f>IFERROR(__xludf.DUMMYFUNCTION("""COMPUTED_VALUE"""),430718.0)</f>
        <v>430718</v>
      </c>
    </row>
    <row r="772">
      <c r="A772" s="26">
        <f>IFERROR(__xludf.DUMMYFUNCTION("""COMPUTED_VALUE"""),39485.645833333336)</f>
        <v>39485.64583</v>
      </c>
      <c r="B772" s="9">
        <f>IFERROR(__xludf.DUMMYFUNCTION("""COMPUTED_VALUE"""),193.21)</f>
        <v>193.21</v>
      </c>
      <c r="C772" s="9">
        <f>IFERROR(__xludf.DUMMYFUNCTION("""COMPUTED_VALUE"""),193.21)</f>
        <v>193.21</v>
      </c>
      <c r="D772" s="9">
        <f>IFERROR(__xludf.DUMMYFUNCTION("""COMPUTED_VALUE"""),184.03)</f>
        <v>184.03</v>
      </c>
      <c r="E772" s="9">
        <f>IFERROR(__xludf.DUMMYFUNCTION("""COMPUTED_VALUE"""),185.29)</f>
        <v>185.29</v>
      </c>
      <c r="F772" s="9">
        <f>IFERROR(__xludf.DUMMYFUNCTION("""COMPUTED_VALUE"""),522450.0)</f>
        <v>522450</v>
      </c>
      <c r="H772" s="27">
        <f>IFERROR(__xludf.DUMMYFUNCTION("""COMPUTED_VALUE"""),39484.645833333336)</f>
        <v>39484.64583</v>
      </c>
      <c r="I772" s="25">
        <f>IFERROR(__xludf.DUMMYFUNCTION("""COMPUTED_VALUE"""),232.5)</f>
        <v>232.5</v>
      </c>
      <c r="J772" s="25">
        <f>IFERROR(__xludf.DUMMYFUNCTION("""COMPUTED_VALUE"""),232.5)</f>
        <v>232.5</v>
      </c>
      <c r="K772" s="25">
        <f>IFERROR(__xludf.DUMMYFUNCTION("""COMPUTED_VALUE"""),223.63)</f>
        <v>223.63</v>
      </c>
      <c r="L772" s="25">
        <f>IFERROR(__xludf.DUMMYFUNCTION("""COMPUTED_VALUE"""),226.53)</f>
        <v>226.53</v>
      </c>
      <c r="M772" s="25">
        <f>IFERROR(__xludf.DUMMYFUNCTION("""COMPUTED_VALUE"""),1001988.0)</f>
        <v>1001988</v>
      </c>
    </row>
    <row r="773">
      <c r="A773" s="26">
        <f>IFERROR(__xludf.DUMMYFUNCTION("""COMPUTED_VALUE"""),39486.645833333336)</f>
        <v>39486.64583</v>
      </c>
      <c r="B773" s="9">
        <f>IFERROR(__xludf.DUMMYFUNCTION("""COMPUTED_VALUE"""),185.0)</f>
        <v>185</v>
      </c>
      <c r="C773" s="9">
        <f>IFERROR(__xludf.DUMMYFUNCTION("""COMPUTED_VALUE"""),197.13)</f>
        <v>197.13</v>
      </c>
      <c r="D773" s="9">
        <f>IFERROR(__xludf.DUMMYFUNCTION("""COMPUTED_VALUE"""),184.88)</f>
        <v>184.88</v>
      </c>
      <c r="E773" s="9">
        <f>IFERROR(__xludf.DUMMYFUNCTION("""COMPUTED_VALUE"""),194.04)</f>
        <v>194.04</v>
      </c>
      <c r="F773" s="9">
        <f>IFERROR(__xludf.DUMMYFUNCTION("""COMPUTED_VALUE"""),1647574.0)</f>
        <v>1647574</v>
      </c>
      <c r="H773" s="27">
        <f>IFERROR(__xludf.DUMMYFUNCTION("""COMPUTED_VALUE"""),39485.645833333336)</f>
        <v>39485.64583</v>
      </c>
      <c r="I773" s="25">
        <f>IFERROR(__xludf.DUMMYFUNCTION("""COMPUTED_VALUE"""),226.53)</f>
        <v>226.53</v>
      </c>
      <c r="J773" s="25">
        <f>IFERROR(__xludf.DUMMYFUNCTION("""COMPUTED_VALUE"""),226.53)</f>
        <v>226.53</v>
      </c>
      <c r="K773" s="25">
        <f>IFERROR(__xludf.DUMMYFUNCTION("""COMPUTED_VALUE"""),217.76)</f>
        <v>217.76</v>
      </c>
      <c r="L773" s="25">
        <f>IFERROR(__xludf.DUMMYFUNCTION("""COMPUTED_VALUE"""),219.76)</f>
        <v>219.76</v>
      </c>
      <c r="M773" s="25">
        <f>IFERROR(__xludf.DUMMYFUNCTION("""COMPUTED_VALUE"""),643663.0)</f>
        <v>643663</v>
      </c>
    </row>
    <row r="774">
      <c r="A774" s="26">
        <f>IFERROR(__xludf.DUMMYFUNCTION("""COMPUTED_VALUE"""),39489.645833333336)</f>
        <v>39489.64583</v>
      </c>
      <c r="B774" s="9">
        <f>IFERROR(__xludf.DUMMYFUNCTION("""COMPUTED_VALUE"""),193.75)</f>
        <v>193.75</v>
      </c>
      <c r="C774" s="9">
        <f>IFERROR(__xludf.DUMMYFUNCTION("""COMPUTED_VALUE"""),200.0)</f>
        <v>200</v>
      </c>
      <c r="D774" s="9">
        <f>IFERROR(__xludf.DUMMYFUNCTION("""COMPUTED_VALUE"""),190.03)</f>
        <v>190.03</v>
      </c>
      <c r="E774" s="9">
        <f>IFERROR(__xludf.DUMMYFUNCTION("""COMPUTED_VALUE"""),194.74)</f>
        <v>194.74</v>
      </c>
      <c r="F774" s="9">
        <f>IFERROR(__xludf.DUMMYFUNCTION("""COMPUTED_VALUE"""),1747350.0)</f>
        <v>1747350</v>
      </c>
      <c r="H774" s="27">
        <f>IFERROR(__xludf.DUMMYFUNCTION("""COMPUTED_VALUE"""),39486.645833333336)</f>
        <v>39486.64583</v>
      </c>
      <c r="I774" s="25">
        <f>IFERROR(__xludf.DUMMYFUNCTION("""COMPUTED_VALUE"""),221.0)</f>
        <v>221</v>
      </c>
      <c r="J774" s="25">
        <f>IFERROR(__xludf.DUMMYFUNCTION("""COMPUTED_VALUE"""),231.25)</f>
        <v>231.25</v>
      </c>
      <c r="K774" s="25">
        <f>IFERROR(__xludf.DUMMYFUNCTION("""COMPUTED_VALUE"""),220.0)</f>
        <v>220</v>
      </c>
      <c r="L774" s="25">
        <f>IFERROR(__xludf.DUMMYFUNCTION("""COMPUTED_VALUE"""),224.6)</f>
        <v>224.6</v>
      </c>
      <c r="M774" s="25">
        <f>IFERROR(__xludf.DUMMYFUNCTION("""COMPUTED_VALUE"""),644205.0)</f>
        <v>644205</v>
      </c>
    </row>
    <row r="775">
      <c r="A775" s="26">
        <f>IFERROR(__xludf.DUMMYFUNCTION("""COMPUTED_VALUE"""),39490.645833333336)</f>
        <v>39490.64583</v>
      </c>
      <c r="B775" s="9">
        <f>IFERROR(__xludf.DUMMYFUNCTION("""COMPUTED_VALUE"""),195.0)</f>
        <v>195</v>
      </c>
      <c r="C775" s="9">
        <f>IFERROR(__xludf.DUMMYFUNCTION("""COMPUTED_VALUE"""),200.0)</f>
        <v>200</v>
      </c>
      <c r="D775" s="9">
        <f>IFERROR(__xludf.DUMMYFUNCTION("""COMPUTED_VALUE"""),191.92)</f>
        <v>191.92</v>
      </c>
      <c r="E775" s="9">
        <f>IFERROR(__xludf.DUMMYFUNCTION("""COMPUTED_VALUE"""),193.16)</f>
        <v>193.16</v>
      </c>
      <c r="F775" s="9">
        <f>IFERROR(__xludf.DUMMYFUNCTION("""COMPUTED_VALUE"""),1057804.0)</f>
        <v>1057804</v>
      </c>
      <c r="H775" s="27">
        <f>IFERROR(__xludf.DUMMYFUNCTION("""COMPUTED_VALUE"""),39489.645833333336)</f>
        <v>39489.64583</v>
      </c>
      <c r="I775" s="25">
        <f>IFERROR(__xludf.DUMMYFUNCTION("""COMPUTED_VALUE"""),224.6)</f>
        <v>224.6</v>
      </c>
      <c r="J775" s="25">
        <f>IFERROR(__xludf.DUMMYFUNCTION("""COMPUTED_VALUE"""),233.0)</f>
        <v>233</v>
      </c>
      <c r="K775" s="25">
        <f>IFERROR(__xludf.DUMMYFUNCTION("""COMPUTED_VALUE"""),215.03)</f>
        <v>215.03</v>
      </c>
      <c r="L775" s="25">
        <f>IFERROR(__xludf.DUMMYFUNCTION("""COMPUTED_VALUE"""),226.53)</f>
        <v>226.53</v>
      </c>
      <c r="M775" s="25">
        <f>IFERROR(__xludf.DUMMYFUNCTION("""COMPUTED_VALUE"""),800247.0)</f>
        <v>800247</v>
      </c>
    </row>
    <row r="776">
      <c r="A776" s="26">
        <f>IFERROR(__xludf.DUMMYFUNCTION("""COMPUTED_VALUE"""),39491.645833333336)</f>
        <v>39491.64583</v>
      </c>
      <c r="B776" s="9">
        <f>IFERROR(__xludf.DUMMYFUNCTION("""COMPUTED_VALUE"""),196.25)</f>
        <v>196.25</v>
      </c>
      <c r="C776" s="9">
        <f>IFERROR(__xludf.DUMMYFUNCTION("""COMPUTED_VALUE"""),206.26)</f>
        <v>206.26</v>
      </c>
      <c r="D776" s="9">
        <f>IFERROR(__xludf.DUMMYFUNCTION("""COMPUTED_VALUE"""),187.67)</f>
        <v>187.67</v>
      </c>
      <c r="E776" s="9">
        <f>IFERROR(__xludf.DUMMYFUNCTION("""COMPUTED_VALUE"""),193.18)</f>
        <v>193.18</v>
      </c>
      <c r="F776" s="9">
        <f>IFERROR(__xludf.DUMMYFUNCTION("""COMPUTED_VALUE"""),1236746.0)</f>
        <v>1236746</v>
      </c>
      <c r="H776" s="27">
        <f>IFERROR(__xludf.DUMMYFUNCTION("""COMPUTED_VALUE"""),39490.645833333336)</f>
        <v>39490.64583</v>
      </c>
      <c r="I776" s="25">
        <f>IFERROR(__xludf.DUMMYFUNCTION("""COMPUTED_VALUE"""),226.25)</f>
        <v>226.25</v>
      </c>
      <c r="J776" s="25">
        <f>IFERROR(__xludf.DUMMYFUNCTION("""COMPUTED_VALUE"""),231.25)</f>
        <v>231.25</v>
      </c>
      <c r="K776" s="25">
        <f>IFERROR(__xludf.DUMMYFUNCTION("""COMPUTED_VALUE"""),215.0)</f>
        <v>215</v>
      </c>
      <c r="L776" s="25">
        <f>IFERROR(__xludf.DUMMYFUNCTION("""COMPUTED_VALUE"""),216.16)</f>
        <v>216.16</v>
      </c>
      <c r="M776" s="25">
        <f>IFERROR(__xludf.DUMMYFUNCTION("""COMPUTED_VALUE"""),1290332.0)</f>
        <v>1290332</v>
      </c>
    </row>
    <row r="777">
      <c r="A777" s="26">
        <f>IFERROR(__xludf.DUMMYFUNCTION("""COMPUTED_VALUE"""),39492.645833333336)</f>
        <v>39492.64583</v>
      </c>
      <c r="B777" s="9">
        <f>IFERROR(__xludf.DUMMYFUNCTION("""COMPUTED_VALUE"""),190.69)</f>
        <v>190.69</v>
      </c>
      <c r="C777" s="9">
        <f>IFERROR(__xludf.DUMMYFUNCTION("""COMPUTED_VALUE"""),199.93)</f>
        <v>199.93</v>
      </c>
      <c r="D777" s="9">
        <f>IFERROR(__xludf.DUMMYFUNCTION("""COMPUTED_VALUE"""),190.69)</f>
        <v>190.69</v>
      </c>
      <c r="E777" s="9">
        <f>IFERROR(__xludf.DUMMYFUNCTION("""COMPUTED_VALUE"""),193.34)</f>
        <v>193.34</v>
      </c>
      <c r="F777" s="9">
        <f>IFERROR(__xludf.DUMMYFUNCTION("""COMPUTED_VALUE"""),1468743.0)</f>
        <v>1468743</v>
      </c>
      <c r="H777" s="27">
        <f>IFERROR(__xludf.DUMMYFUNCTION("""COMPUTED_VALUE"""),39491.645833333336)</f>
        <v>39491.64583</v>
      </c>
      <c r="I777" s="25">
        <f>IFERROR(__xludf.DUMMYFUNCTION("""COMPUTED_VALUE"""),218.75)</f>
        <v>218.75</v>
      </c>
      <c r="J777" s="25">
        <f>IFERROR(__xludf.DUMMYFUNCTION("""COMPUTED_VALUE"""),224.25)</f>
        <v>224.25</v>
      </c>
      <c r="K777" s="25">
        <f>IFERROR(__xludf.DUMMYFUNCTION("""COMPUTED_VALUE"""),212.83)</f>
        <v>212.83</v>
      </c>
      <c r="L777" s="25">
        <f>IFERROR(__xludf.DUMMYFUNCTION("""COMPUTED_VALUE"""),217.24)</f>
        <v>217.24</v>
      </c>
      <c r="M777" s="25">
        <f>IFERROR(__xludf.DUMMYFUNCTION("""COMPUTED_VALUE"""),546344.0)</f>
        <v>546344</v>
      </c>
    </row>
    <row r="778">
      <c r="A778" s="26">
        <f>IFERROR(__xludf.DUMMYFUNCTION("""COMPUTED_VALUE"""),39493.645833333336)</f>
        <v>39493.64583</v>
      </c>
      <c r="B778" s="9">
        <f>IFERROR(__xludf.DUMMYFUNCTION("""COMPUTED_VALUE"""),192.5)</f>
        <v>192.5</v>
      </c>
      <c r="C778" s="9">
        <f>IFERROR(__xludf.DUMMYFUNCTION("""COMPUTED_VALUE"""),197.5)</f>
        <v>197.5</v>
      </c>
      <c r="D778" s="9">
        <f>IFERROR(__xludf.DUMMYFUNCTION("""COMPUTED_VALUE"""),187.63)</f>
        <v>187.63</v>
      </c>
      <c r="E778" s="9">
        <f>IFERROR(__xludf.DUMMYFUNCTION("""COMPUTED_VALUE"""),195.68)</f>
        <v>195.68</v>
      </c>
      <c r="F778" s="9">
        <f>IFERROR(__xludf.DUMMYFUNCTION("""COMPUTED_VALUE"""),1119032.0)</f>
        <v>1119032</v>
      </c>
      <c r="H778" s="27">
        <f>IFERROR(__xludf.DUMMYFUNCTION("""COMPUTED_VALUE"""),39492.645833333336)</f>
        <v>39492.64583</v>
      </c>
      <c r="I778" s="25">
        <f>IFERROR(__xludf.DUMMYFUNCTION("""COMPUTED_VALUE"""),221.25)</f>
        <v>221.25</v>
      </c>
      <c r="J778" s="25">
        <f>IFERROR(__xludf.DUMMYFUNCTION("""COMPUTED_VALUE"""),225.0)</f>
        <v>225</v>
      </c>
      <c r="K778" s="25">
        <f>IFERROR(__xludf.DUMMYFUNCTION("""COMPUTED_VALUE"""),215.25)</f>
        <v>215.25</v>
      </c>
      <c r="L778" s="25">
        <f>IFERROR(__xludf.DUMMYFUNCTION("""COMPUTED_VALUE"""),218.45)</f>
        <v>218.45</v>
      </c>
      <c r="M778" s="25">
        <f>IFERROR(__xludf.DUMMYFUNCTION("""COMPUTED_VALUE"""),561620.0)</f>
        <v>561620</v>
      </c>
    </row>
    <row r="779">
      <c r="A779" s="26">
        <f>IFERROR(__xludf.DUMMYFUNCTION("""COMPUTED_VALUE"""),39496.645833333336)</f>
        <v>39496.64583</v>
      </c>
      <c r="B779" s="9">
        <f>IFERROR(__xludf.DUMMYFUNCTION("""COMPUTED_VALUE"""),196.25)</f>
        <v>196.25</v>
      </c>
      <c r="C779" s="9">
        <f>IFERROR(__xludf.DUMMYFUNCTION("""COMPUTED_VALUE"""),197.38)</f>
        <v>197.38</v>
      </c>
      <c r="D779" s="9">
        <f>IFERROR(__xludf.DUMMYFUNCTION("""COMPUTED_VALUE"""),192.53)</f>
        <v>192.53</v>
      </c>
      <c r="E779" s="9">
        <f>IFERROR(__xludf.DUMMYFUNCTION("""COMPUTED_VALUE"""),194.39)</f>
        <v>194.39</v>
      </c>
      <c r="F779" s="9">
        <f>IFERROR(__xludf.DUMMYFUNCTION("""COMPUTED_VALUE"""),408272.0)</f>
        <v>408272</v>
      </c>
      <c r="H779" s="27">
        <f>IFERROR(__xludf.DUMMYFUNCTION("""COMPUTED_VALUE"""),39493.645833333336)</f>
        <v>39493.64583</v>
      </c>
      <c r="I779" s="25">
        <f>IFERROR(__xludf.DUMMYFUNCTION("""COMPUTED_VALUE"""),215.0)</f>
        <v>215</v>
      </c>
      <c r="J779" s="25">
        <f>IFERROR(__xludf.DUMMYFUNCTION("""COMPUTED_VALUE"""),221.76)</f>
        <v>221.76</v>
      </c>
      <c r="K779" s="25">
        <f>IFERROR(__xludf.DUMMYFUNCTION("""COMPUTED_VALUE"""),215.0)</f>
        <v>215</v>
      </c>
      <c r="L779" s="25">
        <f>IFERROR(__xludf.DUMMYFUNCTION("""COMPUTED_VALUE"""),218.18)</f>
        <v>218.18</v>
      </c>
      <c r="M779" s="25">
        <f>IFERROR(__xludf.DUMMYFUNCTION("""COMPUTED_VALUE"""),553261.0)</f>
        <v>553261</v>
      </c>
    </row>
    <row r="780">
      <c r="A780" s="26">
        <f>IFERROR(__xludf.DUMMYFUNCTION("""COMPUTED_VALUE"""),39497.645833333336)</f>
        <v>39497.64583</v>
      </c>
      <c r="B780" s="9">
        <f>IFERROR(__xludf.DUMMYFUNCTION("""COMPUTED_VALUE"""),195.0)</f>
        <v>195</v>
      </c>
      <c r="C780" s="9">
        <f>IFERROR(__xludf.DUMMYFUNCTION("""COMPUTED_VALUE"""),196.91)</f>
        <v>196.91</v>
      </c>
      <c r="D780" s="9">
        <f>IFERROR(__xludf.DUMMYFUNCTION("""COMPUTED_VALUE"""),190.81)</f>
        <v>190.81</v>
      </c>
      <c r="E780" s="9">
        <f>IFERROR(__xludf.DUMMYFUNCTION("""COMPUTED_VALUE"""),194.56)</f>
        <v>194.56</v>
      </c>
      <c r="F780" s="9">
        <f>IFERROR(__xludf.DUMMYFUNCTION("""COMPUTED_VALUE"""),669549.0)</f>
        <v>669549</v>
      </c>
      <c r="H780" s="27">
        <f>IFERROR(__xludf.DUMMYFUNCTION("""COMPUTED_VALUE"""),39496.645833333336)</f>
        <v>39496.64583</v>
      </c>
      <c r="I780" s="25">
        <f>IFERROR(__xludf.DUMMYFUNCTION("""COMPUTED_VALUE"""),218.18)</f>
        <v>218.18</v>
      </c>
      <c r="J780" s="25">
        <f>IFERROR(__xludf.DUMMYFUNCTION("""COMPUTED_VALUE"""),218.75)</f>
        <v>218.75</v>
      </c>
      <c r="K780" s="25">
        <f>IFERROR(__xludf.DUMMYFUNCTION("""COMPUTED_VALUE"""),212.5)</f>
        <v>212.5</v>
      </c>
      <c r="L780" s="25">
        <f>IFERROR(__xludf.DUMMYFUNCTION("""COMPUTED_VALUE"""),213.3)</f>
        <v>213.3</v>
      </c>
      <c r="M780" s="25">
        <f>IFERROR(__xludf.DUMMYFUNCTION("""COMPUTED_VALUE"""),430790.0)</f>
        <v>430790</v>
      </c>
    </row>
    <row r="781">
      <c r="A781" s="26">
        <f>IFERROR(__xludf.DUMMYFUNCTION("""COMPUTED_VALUE"""),39498.645833333336)</f>
        <v>39498.64583</v>
      </c>
      <c r="B781" s="9">
        <f>IFERROR(__xludf.DUMMYFUNCTION("""COMPUTED_VALUE"""),196.38)</f>
        <v>196.38</v>
      </c>
      <c r="C781" s="9">
        <f>IFERROR(__xludf.DUMMYFUNCTION("""COMPUTED_VALUE"""),198.73)</f>
        <v>198.73</v>
      </c>
      <c r="D781" s="9">
        <f>IFERROR(__xludf.DUMMYFUNCTION("""COMPUTED_VALUE"""),194.56)</f>
        <v>194.56</v>
      </c>
      <c r="E781" s="9">
        <f>IFERROR(__xludf.DUMMYFUNCTION("""COMPUTED_VALUE"""),196.11)</f>
        <v>196.11</v>
      </c>
      <c r="F781" s="9">
        <f>IFERROR(__xludf.DUMMYFUNCTION("""COMPUTED_VALUE"""),875363.0)</f>
        <v>875363</v>
      </c>
      <c r="H781" s="27">
        <f>IFERROR(__xludf.DUMMYFUNCTION("""COMPUTED_VALUE"""),39497.645833333336)</f>
        <v>39497.64583</v>
      </c>
      <c r="I781" s="25">
        <f>IFERROR(__xludf.DUMMYFUNCTION("""COMPUTED_VALUE"""),214.0)</f>
        <v>214</v>
      </c>
      <c r="J781" s="25">
        <f>IFERROR(__xludf.DUMMYFUNCTION("""COMPUTED_VALUE"""),221.0)</f>
        <v>221</v>
      </c>
      <c r="K781" s="25">
        <f>IFERROR(__xludf.DUMMYFUNCTION("""COMPUTED_VALUE"""),213.75)</f>
        <v>213.75</v>
      </c>
      <c r="L781" s="25">
        <f>IFERROR(__xludf.DUMMYFUNCTION("""COMPUTED_VALUE"""),218.86)</f>
        <v>218.86</v>
      </c>
      <c r="M781" s="25">
        <f>IFERROR(__xludf.DUMMYFUNCTION("""COMPUTED_VALUE"""),486822.0)</f>
        <v>486822</v>
      </c>
    </row>
    <row r="782">
      <c r="A782" s="26">
        <f>IFERROR(__xludf.DUMMYFUNCTION("""COMPUTED_VALUE"""),39499.645833333336)</f>
        <v>39499.64583</v>
      </c>
      <c r="B782" s="9">
        <f>IFERROR(__xludf.DUMMYFUNCTION("""COMPUTED_VALUE"""),199.99)</f>
        <v>199.99</v>
      </c>
      <c r="C782" s="9">
        <f>IFERROR(__xludf.DUMMYFUNCTION("""COMPUTED_VALUE"""),206.25)</f>
        <v>206.25</v>
      </c>
      <c r="D782" s="9">
        <f>IFERROR(__xludf.DUMMYFUNCTION("""COMPUTED_VALUE"""),196.54)</f>
        <v>196.54</v>
      </c>
      <c r="E782" s="9">
        <f>IFERROR(__xludf.DUMMYFUNCTION("""COMPUTED_VALUE"""),203.44)</f>
        <v>203.44</v>
      </c>
      <c r="F782" s="9">
        <f>IFERROR(__xludf.DUMMYFUNCTION("""COMPUTED_VALUE"""),1295846.0)</f>
        <v>1295846</v>
      </c>
      <c r="H782" s="27">
        <f>IFERROR(__xludf.DUMMYFUNCTION("""COMPUTED_VALUE"""),39498.645833333336)</f>
        <v>39498.64583</v>
      </c>
      <c r="I782" s="25">
        <f>IFERROR(__xludf.DUMMYFUNCTION("""COMPUTED_VALUE"""),219.98)</f>
        <v>219.98</v>
      </c>
      <c r="J782" s="25">
        <f>IFERROR(__xludf.DUMMYFUNCTION("""COMPUTED_VALUE"""),223.66)</f>
        <v>223.66</v>
      </c>
      <c r="K782" s="25">
        <f>IFERROR(__xludf.DUMMYFUNCTION("""COMPUTED_VALUE"""),218.31)</f>
        <v>218.31</v>
      </c>
      <c r="L782" s="25">
        <f>IFERROR(__xludf.DUMMYFUNCTION("""COMPUTED_VALUE"""),221.53)</f>
        <v>221.53</v>
      </c>
      <c r="M782" s="25">
        <f>IFERROR(__xludf.DUMMYFUNCTION("""COMPUTED_VALUE"""),765156.0)</f>
        <v>765156</v>
      </c>
    </row>
    <row r="783">
      <c r="A783" s="26">
        <f>IFERROR(__xludf.DUMMYFUNCTION("""COMPUTED_VALUE"""),39500.645833333336)</f>
        <v>39500.64583</v>
      </c>
      <c r="B783" s="9">
        <f>IFERROR(__xludf.DUMMYFUNCTION("""COMPUTED_VALUE"""),201.5)</f>
        <v>201.5</v>
      </c>
      <c r="C783" s="9">
        <f>IFERROR(__xludf.DUMMYFUNCTION("""COMPUTED_VALUE"""),202.85)</f>
        <v>202.85</v>
      </c>
      <c r="D783" s="9">
        <f>IFERROR(__xludf.DUMMYFUNCTION("""COMPUTED_VALUE"""),196.44)</f>
        <v>196.44</v>
      </c>
      <c r="E783" s="9">
        <f>IFERROR(__xludf.DUMMYFUNCTION("""COMPUTED_VALUE"""),197.58)</f>
        <v>197.58</v>
      </c>
      <c r="F783" s="9">
        <f>IFERROR(__xludf.DUMMYFUNCTION("""COMPUTED_VALUE"""),621313.0)</f>
        <v>621313</v>
      </c>
      <c r="H783" s="27">
        <f>IFERROR(__xludf.DUMMYFUNCTION("""COMPUTED_VALUE"""),39499.645833333336)</f>
        <v>39499.64583</v>
      </c>
      <c r="I783" s="25">
        <f>IFERROR(__xludf.DUMMYFUNCTION("""COMPUTED_VALUE"""),224.5)</f>
        <v>224.5</v>
      </c>
      <c r="J783" s="25">
        <f>IFERROR(__xludf.DUMMYFUNCTION("""COMPUTED_VALUE"""),232.75)</f>
        <v>232.75</v>
      </c>
      <c r="K783" s="25">
        <f>IFERROR(__xludf.DUMMYFUNCTION("""COMPUTED_VALUE"""),220.5)</f>
        <v>220.5</v>
      </c>
      <c r="L783" s="25">
        <f>IFERROR(__xludf.DUMMYFUNCTION("""COMPUTED_VALUE"""),228.66)</f>
        <v>228.66</v>
      </c>
      <c r="M783" s="25">
        <f>IFERROR(__xludf.DUMMYFUNCTION("""COMPUTED_VALUE"""),890513.0)</f>
        <v>890513</v>
      </c>
    </row>
    <row r="784">
      <c r="A784" s="26">
        <f>IFERROR(__xludf.DUMMYFUNCTION("""COMPUTED_VALUE"""),39503.645833333336)</f>
        <v>39503.64583</v>
      </c>
      <c r="B784" s="9">
        <f>IFERROR(__xludf.DUMMYFUNCTION("""COMPUTED_VALUE"""),199.85)</f>
        <v>199.85</v>
      </c>
      <c r="C784" s="9">
        <f>IFERROR(__xludf.DUMMYFUNCTION("""COMPUTED_VALUE"""),202.98)</f>
        <v>202.98</v>
      </c>
      <c r="D784" s="9">
        <f>IFERROR(__xludf.DUMMYFUNCTION("""COMPUTED_VALUE"""),197.88)</f>
        <v>197.88</v>
      </c>
      <c r="E784" s="9">
        <f>IFERROR(__xludf.DUMMYFUNCTION("""COMPUTED_VALUE"""),201.89)</f>
        <v>201.89</v>
      </c>
      <c r="F784" s="9">
        <f>IFERROR(__xludf.DUMMYFUNCTION("""COMPUTED_VALUE"""),949056.0)</f>
        <v>949056</v>
      </c>
      <c r="H784" s="27">
        <f>IFERROR(__xludf.DUMMYFUNCTION("""COMPUTED_VALUE"""),39500.645833333336)</f>
        <v>39500.64583</v>
      </c>
      <c r="I784" s="25">
        <f>IFERROR(__xludf.DUMMYFUNCTION("""COMPUTED_VALUE"""),230.0)</f>
        <v>230</v>
      </c>
      <c r="J784" s="25">
        <f>IFERROR(__xludf.DUMMYFUNCTION("""COMPUTED_VALUE"""),230.23)</f>
        <v>230.23</v>
      </c>
      <c r="K784" s="25">
        <f>IFERROR(__xludf.DUMMYFUNCTION("""COMPUTED_VALUE"""),221.25)</f>
        <v>221.25</v>
      </c>
      <c r="L784" s="25">
        <f>IFERROR(__xludf.DUMMYFUNCTION("""COMPUTED_VALUE"""),225.14)</f>
        <v>225.14</v>
      </c>
      <c r="M784" s="25">
        <f>IFERROR(__xludf.DUMMYFUNCTION("""COMPUTED_VALUE"""),600379.0)</f>
        <v>600379</v>
      </c>
    </row>
    <row r="785">
      <c r="A785" s="26">
        <f>IFERROR(__xludf.DUMMYFUNCTION("""COMPUTED_VALUE"""),39504.645833333336)</f>
        <v>39504.64583</v>
      </c>
      <c r="B785" s="9">
        <f>IFERROR(__xludf.DUMMYFUNCTION("""COMPUTED_VALUE"""),202.38)</f>
        <v>202.38</v>
      </c>
      <c r="C785" s="9">
        <f>IFERROR(__xludf.DUMMYFUNCTION("""COMPUTED_VALUE"""),209.0)</f>
        <v>209</v>
      </c>
      <c r="D785" s="9">
        <f>IFERROR(__xludf.DUMMYFUNCTION("""COMPUTED_VALUE"""),201.25)</f>
        <v>201.25</v>
      </c>
      <c r="E785" s="9">
        <f>IFERROR(__xludf.DUMMYFUNCTION("""COMPUTED_VALUE"""),207.86)</f>
        <v>207.86</v>
      </c>
      <c r="F785" s="9">
        <f>IFERROR(__xludf.DUMMYFUNCTION("""COMPUTED_VALUE"""),1050338.0)</f>
        <v>1050338</v>
      </c>
      <c r="H785" s="27">
        <f>IFERROR(__xludf.DUMMYFUNCTION("""COMPUTED_VALUE"""),39503.645833333336)</f>
        <v>39503.64583</v>
      </c>
      <c r="I785" s="25">
        <f>IFERROR(__xludf.DUMMYFUNCTION("""COMPUTED_VALUE"""),232.0)</f>
        <v>232</v>
      </c>
      <c r="J785" s="25">
        <f>IFERROR(__xludf.DUMMYFUNCTION("""COMPUTED_VALUE"""),232.25)</f>
        <v>232.25</v>
      </c>
      <c r="K785" s="25">
        <f>IFERROR(__xludf.DUMMYFUNCTION("""COMPUTED_VALUE"""),222.56)</f>
        <v>222.56</v>
      </c>
      <c r="L785" s="25">
        <f>IFERROR(__xludf.DUMMYFUNCTION("""COMPUTED_VALUE"""),225.19)</f>
        <v>225.19</v>
      </c>
      <c r="M785" s="25">
        <f>IFERROR(__xludf.DUMMYFUNCTION("""COMPUTED_VALUE"""),813865.0)</f>
        <v>813865</v>
      </c>
    </row>
    <row r="786">
      <c r="A786" s="26">
        <f>IFERROR(__xludf.DUMMYFUNCTION("""COMPUTED_VALUE"""),39505.645833333336)</f>
        <v>39505.64583</v>
      </c>
      <c r="B786" s="9">
        <f>IFERROR(__xludf.DUMMYFUNCTION("""COMPUTED_VALUE"""),208.13)</f>
        <v>208.13</v>
      </c>
      <c r="C786" s="9">
        <f>IFERROR(__xludf.DUMMYFUNCTION("""COMPUTED_VALUE"""),210.93)</f>
        <v>210.93</v>
      </c>
      <c r="D786" s="9">
        <f>IFERROR(__xludf.DUMMYFUNCTION("""COMPUTED_VALUE"""),201.89)</f>
        <v>201.89</v>
      </c>
      <c r="E786" s="9">
        <f>IFERROR(__xludf.DUMMYFUNCTION("""COMPUTED_VALUE"""),202.36)</f>
        <v>202.36</v>
      </c>
      <c r="F786" s="9">
        <f>IFERROR(__xludf.DUMMYFUNCTION("""COMPUTED_VALUE"""),1054095.0)</f>
        <v>1054095</v>
      </c>
      <c r="H786" s="27">
        <f>IFERROR(__xludf.DUMMYFUNCTION("""COMPUTED_VALUE"""),39504.645833333336)</f>
        <v>39504.64583</v>
      </c>
      <c r="I786" s="25">
        <f>IFERROR(__xludf.DUMMYFUNCTION("""COMPUTED_VALUE"""),231.0)</f>
        <v>231</v>
      </c>
      <c r="J786" s="25">
        <f>IFERROR(__xludf.DUMMYFUNCTION("""COMPUTED_VALUE"""),231.0)</f>
        <v>231</v>
      </c>
      <c r="K786" s="25">
        <f>IFERROR(__xludf.DUMMYFUNCTION("""COMPUTED_VALUE"""),223.75)</f>
        <v>223.75</v>
      </c>
      <c r="L786" s="25">
        <f>IFERROR(__xludf.DUMMYFUNCTION("""COMPUTED_VALUE"""),224.6)</f>
        <v>224.6</v>
      </c>
      <c r="M786" s="25">
        <f>IFERROR(__xludf.DUMMYFUNCTION("""COMPUTED_VALUE"""),1249896.0)</f>
        <v>1249896</v>
      </c>
    </row>
    <row r="787">
      <c r="A787" s="26">
        <f>IFERROR(__xludf.DUMMYFUNCTION("""COMPUTED_VALUE"""),39506.645833333336)</f>
        <v>39506.64583</v>
      </c>
      <c r="B787" s="9">
        <f>IFERROR(__xludf.DUMMYFUNCTION("""COMPUTED_VALUE"""),201.13)</f>
        <v>201.13</v>
      </c>
      <c r="C787" s="9">
        <f>IFERROR(__xludf.DUMMYFUNCTION("""COMPUTED_VALUE"""),202.5)</f>
        <v>202.5</v>
      </c>
      <c r="D787" s="9">
        <f>IFERROR(__xludf.DUMMYFUNCTION("""COMPUTED_VALUE"""),199.02)</f>
        <v>199.02</v>
      </c>
      <c r="E787" s="9">
        <f>IFERROR(__xludf.DUMMYFUNCTION("""COMPUTED_VALUE"""),199.92)</f>
        <v>199.92</v>
      </c>
      <c r="F787" s="9">
        <f>IFERROR(__xludf.DUMMYFUNCTION("""COMPUTED_VALUE"""),1463254.0)</f>
        <v>1463254</v>
      </c>
      <c r="H787" s="27">
        <f>IFERROR(__xludf.DUMMYFUNCTION("""COMPUTED_VALUE"""),39505.645833333336)</f>
        <v>39505.64583</v>
      </c>
      <c r="I787" s="25">
        <f>IFERROR(__xludf.DUMMYFUNCTION("""COMPUTED_VALUE"""),227.0)</f>
        <v>227</v>
      </c>
      <c r="J787" s="25">
        <f>IFERROR(__xludf.DUMMYFUNCTION("""COMPUTED_VALUE"""),228.71)</f>
        <v>228.71</v>
      </c>
      <c r="K787" s="25">
        <f>IFERROR(__xludf.DUMMYFUNCTION("""COMPUTED_VALUE"""),218.51)</f>
        <v>218.51</v>
      </c>
      <c r="L787" s="25">
        <f>IFERROR(__xludf.DUMMYFUNCTION("""COMPUTED_VALUE"""),219.39)</f>
        <v>219.39</v>
      </c>
      <c r="M787" s="25">
        <f>IFERROR(__xludf.DUMMYFUNCTION("""COMPUTED_VALUE"""),591014.0)</f>
        <v>591014</v>
      </c>
    </row>
    <row r="788">
      <c r="A788" s="26">
        <f>IFERROR(__xludf.DUMMYFUNCTION("""COMPUTED_VALUE"""),39507.645833333336)</f>
        <v>39507.64583</v>
      </c>
      <c r="B788" s="9">
        <f>IFERROR(__xludf.DUMMYFUNCTION("""COMPUTED_VALUE"""),196.25)</f>
        <v>196.25</v>
      </c>
      <c r="C788" s="9">
        <f>IFERROR(__xludf.DUMMYFUNCTION("""COMPUTED_VALUE"""),200.24)</f>
        <v>200.24</v>
      </c>
      <c r="D788" s="9">
        <f>IFERROR(__xludf.DUMMYFUNCTION("""COMPUTED_VALUE"""),190.13)</f>
        <v>190.13</v>
      </c>
      <c r="E788" s="9">
        <f>IFERROR(__xludf.DUMMYFUNCTION("""COMPUTED_VALUE"""),193.53)</f>
        <v>193.53</v>
      </c>
      <c r="F788" s="9">
        <f>IFERROR(__xludf.DUMMYFUNCTION("""COMPUTED_VALUE"""),993136.0)</f>
        <v>993136</v>
      </c>
      <c r="H788" s="27">
        <f>IFERROR(__xludf.DUMMYFUNCTION("""COMPUTED_VALUE"""),39506.645833333336)</f>
        <v>39506.64583</v>
      </c>
      <c r="I788" s="25">
        <f>IFERROR(__xludf.DUMMYFUNCTION("""COMPUTED_VALUE"""),221.25)</f>
        <v>221.25</v>
      </c>
      <c r="J788" s="25">
        <f>IFERROR(__xludf.DUMMYFUNCTION("""COMPUTED_VALUE"""),222.5)</f>
        <v>222.5</v>
      </c>
      <c r="K788" s="25">
        <f>IFERROR(__xludf.DUMMYFUNCTION("""COMPUTED_VALUE"""),218.0)</f>
        <v>218</v>
      </c>
      <c r="L788" s="25">
        <f>IFERROR(__xludf.DUMMYFUNCTION("""COMPUTED_VALUE"""),220.23)</f>
        <v>220.23</v>
      </c>
      <c r="M788" s="25">
        <f>IFERROR(__xludf.DUMMYFUNCTION("""COMPUTED_VALUE"""),1394751.0)</f>
        <v>1394751</v>
      </c>
    </row>
    <row r="789">
      <c r="A789" s="26">
        <f>IFERROR(__xludf.DUMMYFUNCTION("""COMPUTED_VALUE"""),39510.645833333336)</f>
        <v>39510.64583</v>
      </c>
      <c r="B789" s="9">
        <f>IFERROR(__xludf.DUMMYFUNCTION("""COMPUTED_VALUE"""),192.63)</f>
        <v>192.63</v>
      </c>
      <c r="C789" s="9">
        <f>IFERROR(__xludf.DUMMYFUNCTION("""COMPUTED_VALUE"""),192.63)</f>
        <v>192.63</v>
      </c>
      <c r="D789" s="9">
        <f>IFERROR(__xludf.DUMMYFUNCTION("""COMPUTED_VALUE"""),181.25)</f>
        <v>181.25</v>
      </c>
      <c r="E789" s="9">
        <f>IFERROR(__xludf.DUMMYFUNCTION("""COMPUTED_VALUE"""),183.49)</f>
        <v>183.49</v>
      </c>
      <c r="F789" s="9">
        <f>IFERROR(__xludf.DUMMYFUNCTION("""COMPUTED_VALUE"""),1545592.0)</f>
        <v>1545592</v>
      </c>
      <c r="H789" s="27">
        <f>IFERROR(__xludf.DUMMYFUNCTION("""COMPUTED_VALUE"""),39507.645833333336)</f>
        <v>39507.64583</v>
      </c>
      <c r="I789" s="25">
        <f>IFERROR(__xludf.DUMMYFUNCTION("""COMPUTED_VALUE"""),220.0)</f>
        <v>220</v>
      </c>
      <c r="J789" s="25">
        <f>IFERROR(__xludf.DUMMYFUNCTION("""COMPUTED_VALUE"""),222.93)</f>
        <v>222.93</v>
      </c>
      <c r="K789" s="25">
        <f>IFERROR(__xludf.DUMMYFUNCTION("""COMPUTED_VALUE"""),215.88)</f>
        <v>215.88</v>
      </c>
      <c r="L789" s="25">
        <f>IFERROR(__xludf.DUMMYFUNCTION("""COMPUTED_VALUE"""),219.35)</f>
        <v>219.35</v>
      </c>
      <c r="M789" s="25">
        <f>IFERROR(__xludf.DUMMYFUNCTION("""COMPUTED_VALUE"""),854120.0)</f>
        <v>854120</v>
      </c>
    </row>
    <row r="790">
      <c r="A790" s="26">
        <f>IFERROR(__xludf.DUMMYFUNCTION("""COMPUTED_VALUE"""),39511.645833333336)</f>
        <v>39511.64583</v>
      </c>
      <c r="B790" s="9">
        <f>IFERROR(__xludf.DUMMYFUNCTION("""COMPUTED_VALUE"""),190.51)</f>
        <v>190.51</v>
      </c>
      <c r="C790" s="9">
        <f>IFERROR(__xludf.DUMMYFUNCTION("""COMPUTED_VALUE"""),190.51)</f>
        <v>190.51</v>
      </c>
      <c r="D790" s="9">
        <f>IFERROR(__xludf.DUMMYFUNCTION("""COMPUTED_VALUE"""),176.25)</f>
        <v>176.25</v>
      </c>
      <c r="E790" s="9">
        <f>IFERROR(__xludf.DUMMYFUNCTION("""COMPUTED_VALUE"""),177.38)</f>
        <v>177.38</v>
      </c>
      <c r="F790" s="9">
        <f>IFERROR(__xludf.DUMMYFUNCTION("""COMPUTED_VALUE"""),1349870.0)</f>
        <v>1349870</v>
      </c>
      <c r="H790" s="27">
        <f>IFERROR(__xludf.DUMMYFUNCTION("""COMPUTED_VALUE"""),39510.645833333336)</f>
        <v>39510.64583</v>
      </c>
      <c r="I790" s="25">
        <f>IFERROR(__xludf.DUMMYFUNCTION("""COMPUTED_VALUE"""),216.5)</f>
        <v>216.5</v>
      </c>
      <c r="J790" s="25">
        <f>IFERROR(__xludf.DUMMYFUNCTION("""COMPUTED_VALUE"""),217.18)</f>
        <v>217.18</v>
      </c>
      <c r="K790" s="25">
        <f>IFERROR(__xludf.DUMMYFUNCTION("""COMPUTED_VALUE"""),210.0)</f>
        <v>210</v>
      </c>
      <c r="L790" s="25">
        <f>IFERROR(__xludf.DUMMYFUNCTION("""COMPUTED_VALUE"""),212.15)</f>
        <v>212.15</v>
      </c>
      <c r="M790" s="25">
        <f>IFERROR(__xludf.DUMMYFUNCTION("""COMPUTED_VALUE"""),785332.0)</f>
        <v>785332</v>
      </c>
    </row>
    <row r="791">
      <c r="A791" s="26">
        <f>IFERROR(__xludf.DUMMYFUNCTION("""COMPUTED_VALUE"""),39512.645833333336)</f>
        <v>39512.64583</v>
      </c>
      <c r="B791" s="9">
        <f>IFERROR(__xludf.DUMMYFUNCTION("""COMPUTED_VALUE"""),178.13)</f>
        <v>178.13</v>
      </c>
      <c r="C791" s="9">
        <f>IFERROR(__xludf.DUMMYFUNCTION("""COMPUTED_VALUE"""),187.5)</f>
        <v>187.5</v>
      </c>
      <c r="D791" s="9">
        <f>IFERROR(__xludf.DUMMYFUNCTION("""COMPUTED_VALUE"""),175.63)</f>
        <v>175.63</v>
      </c>
      <c r="E791" s="9">
        <f>IFERROR(__xludf.DUMMYFUNCTION("""COMPUTED_VALUE"""),184.85)</f>
        <v>184.85</v>
      </c>
      <c r="F791" s="9">
        <f>IFERROR(__xludf.DUMMYFUNCTION("""COMPUTED_VALUE"""),1424587.0)</f>
        <v>1424587</v>
      </c>
      <c r="H791" s="27">
        <f>IFERROR(__xludf.DUMMYFUNCTION("""COMPUTED_VALUE"""),39511.645833333336)</f>
        <v>39511.64583</v>
      </c>
      <c r="I791" s="25">
        <f>IFERROR(__xludf.DUMMYFUNCTION("""COMPUTED_VALUE"""),214.5)</f>
        <v>214.5</v>
      </c>
      <c r="J791" s="25">
        <f>IFERROR(__xludf.DUMMYFUNCTION("""COMPUTED_VALUE"""),217.5)</f>
        <v>217.5</v>
      </c>
      <c r="K791" s="25">
        <f>IFERROR(__xludf.DUMMYFUNCTION("""COMPUTED_VALUE"""),211.78)</f>
        <v>211.78</v>
      </c>
      <c r="L791" s="25">
        <f>IFERROR(__xludf.DUMMYFUNCTION("""COMPUTED_VALUE"""),214.7)</f>
        <v>214.7</v>
      </c>
      <c r="M791" s="25">
        <f>IFERROR(__xludf.DUMMYFUNCTION("""COMPUTED_VALUE"""),752633.0)</f>
        <v>752633</v>
      </c>
    </row>
    <row r="792">
      <c r="A792" s="26">
        <f>IFERROR(__xludf.DUMMYFUNCTION("""COMPUTED_VALUE"""),39514.645833333336)</f>
        <v>39514.64583</v>
      </c>
      <c r="B792" s="9">
        <f>IFERROR(__xludf.DUMMYFUNCTION("""COMPUTED_VALUE"""),181.25)</f>
        <v>181.25</v>
      </c>
      <c r="C792" s="9">
        <f>IFERROR(__xludf.DUMMYFUNCTION("""COMPUTED_VALUE"""),181.25)</f>
        <v>181.25</v>
      </c>
      <c r="D792" s="9">
        <f>IFERROR(__xludf.DUMMYFUNCTION("""COMPUTED_VALUE"""),175.04)</f>
        <v>175.04</v>
      </c>
      <c r="E792" s="9">
        <f>IFERROR(__xludf.DUMMYFUNCTION("""COMPUTED_VALUE"""),178.82)</f>
        <v>178.82</v>
      </c>
      <c r="F792" s="9">
        <f>IFERROR(__xludf.DUMMYFUNCTION("""COMPUTED_VALUE"""),1145585.0)</f>
        <v>1145585</v>
      </c>
      <c r="H792" s="27">
        <f>IFERROR(__xludf.DUMMYFUNCTION("""COMPUTED_VALUE"""),39512.645833333336)</f>
        <v>39512.64583</v>
      </c>
      <c r="I792" s="25">
        <f>IFERROR(__xludf.DUMMYFUNCTION("""COMPUTED_VALUE"""),211.25)</f>
        <v>211.25</v>
      </c>
      <c r="J792" s="25">
        <f>IFERROR(__xludf.DUMMYFUNCTION("""COMPUTED_VALUE"""),220.7)</f>
        <v>220.7</v>
      </c>
      <c r="K792" s="25">
        <f>IFERROR(__xludf.DUMMYFUNCTION("""COMPUTED_VALUE"""),211.25)</f>
        <v>211.25</v>
      </c>
      <c r="L792" s="25">
        <f>IFERROR(__xludf.DUMMYFUNCTION("""COMPUTED_VALUE"""),218.83)</f>
        <v>218.83</v>
      </c>
      <c r="M792" s="25">
        <f>IFERROR(__xludf.DUMMYFUNCTION("""COMPUTED_VALUE"""),552337.0)</f>
        <v>552337</v>
      </c>
    </row>
    <row r="793">
      <c r="A793" s="26">
        <f>IFERROR(__xludf.DUMMYFUNCTION("""COMPUTED_VALUE"""),39517.645833333336)</f>
        <v>39517.64583</v>
      </c>
      <c r="B793" s="9">
        <f>IFERROR(__xludf.DUMMYFUNCTION("""COMPUTED_VALUE"""),176.75)</f>
        <v>176.75</v>
      </c>
      <c r="C793" s="9">
        <f>IFERROR(__xludf.DUMMYFUNCTION("""COMPUTED_VALUE"""),184.83)</f>
        <v>184.83</v>
      </c>
      <c r="D793" s="9">
        <f>IFERROR(__xludf.DUMMYFUNCTION("""COMPUTED_VALUE"""),175.0)</f>
        <v>175</v>
      </c>
      <c r="E793" s="9">
        <f>IFERROR(__xludf.DUMMYFUNCTION("""COMPUTED_VALUE"""),178.89)</f>
        <v>178.89</v>
      </c>
      <c r="F793" s="9">
        <f>IFERROR(__xludf.DUMMYFUNCTION("""COMPUTED_VALUE"""),707142.0)</f>
        <v>707142</v>
      </c>
      <c r="H793" s="27">
        <f>IFERROR(__xludf.DUMMYFUNCTION("""COMPUTED_VALUE"""),39514.645833333336)</f>
        <v>39514.64583</v>
      </c>
      <c r="I793" s="25">
        <f>IFERROR(__xludf.DUMMYFUNCTION("""COMPUTED_VALUE"""),215.65)</f>
        <v>215.65</v>
      </c>
      <c r="J793" s="25">
        <f>IFERROR(__xludf.DUMMYFUNCTION("""COMPUTED_VALUE"""),216.53)</f>
        <v>216.53</v>
      </c>
      <c r="K793" s="25">
        <f>IFERROR(__xludf.DUMMYFUNCTION("""COMPUTED_VALUE"""),210.56)</f>
        <v>210.56</v>
      </c>
      <c r="L793" s="25">
        <f>IFERROR(__xludf.DUMMYFUNCTION("""COMPUTED_VALUE"""),211.54)</f>
        <v>211.54</v>
      </c>
      <c r="M793" s="25">
        <f>IFERROR(__xludf.DUMMYFUNCTION("""COMPUTED_VALUE"""),499207.0)</f>
        <v>499207</v>
      </c>
    </row>
    <row r="794">
      <c r="A794" s="26">
        <f>IFERROR(__xludf.DUMMYFUNCTION("""COMPUTED_VALUE"""),39518.645833333336)</f>
        <v>39518.64583</v>
      </c>
      <c r="B794" s="9">
        <f>IFERROR(__xludf.DUMMYFUNCTION("""COMPUTED_VALUE"""),179.88)</f>
        <v>179.88</v>
      </c>
      <c r="C794" s="9">
        <f>IFERROR(__xludf.DUMMYFUNCTION("""COMPUTED_VALUE"""),179.88)</f>
        <v>179.88</v>
      </c>
      <c r="D794" s="9">
        <f>IFERROR(__xludf.DUMMYFUNCTION("""COMPUTED_VALUE"""),175.63)</f>
        <v>175.63</v>
      </c>
      <c r="E794" s="9">
        <f>IFERROR(__xludf.DUMMYFUNCTION("""COMPUTED_VALUE"""),178.29)</f>
        <v>178.29</v>
      </c>
      <c r="F794" s="9">
        <f>IFERROR(__xludf.DUMMYFUNCTION("""COMPUTED_VALUE"""),2005428.0)</f>
        <v>2005428</v>
      </c>
      <c r="H794" s="27">
        <f>IFERROR(__xludf.DUMMYFUNCTION("""COMPUTED_VALUE"""),39517.645833333336)</f>
        <v>39517.64583</v>
      </c>
      <c r="I794" s="25">
        <f>IFERROR(__xludf.DUMMYFUNCTION("""COMPUTED_VALUE"""),211.54)</f>
        <v>211.54</v>
      </c>
      <c r="J794" s="25">
        <f>IFERROR(__xludf.DUMMYFUNCTION("""COMPUTED_VALUE"""),213.5)</f>
        <v>213.5</v>
      </c>
      <c r="K794" s="25">
        <f>IFERROR(__xludf.DUMMYFUNCTION("""COMPUTED_VALUE"""),207.5)</f>
        <v>207.5</v>
      </c>
      <c r="L794" s="25">
        <f>IFERROR(__xludf.DUMMYFUNCTION("""COMPUTED_VALUE"""),208.41)</f>
        <v>208.41</v>
      </c>
      <c r="M794" s="25">
        <f>IFERROR(__xludf.DUMMYFUNCTION("""COMPUTED_VALUE"""),623542.0)</f>
        <v>623542</v>
      </c>
    </row>
    <row r="795">
      <c r="A795" s="26">
        <f>IFERROR(__xludf.DUMMYFUNCTION("""COMPUTED_VALUE"""),39519.645833333336)</f>
        <v>39519.64583</v>
      </c>
      <c r="B795" s="9">
        <f>IFERROR(__xludf.DUMMYFUNCTION("""COMPUTED_VALUE"""),184.25)</f>
        <v>184.25</v>
      </c>
      <c r="C795" s="9">
        <f>IFERROR(__xludf.DUMMYFUNCTION("""COMPUTED_VALUE"""),184.38)</f>
        <v>184.38</v>
      </c>
      <c r="D795" s="9">
        <f>IFERROR(__xludf.DUMMYFUNCTION("""COMPUTED_VALUE"""),172.0)</f>
        <v>172</v>
      </c>
      <c r="E795" s="9">
        <f>IFERROR(__xludf.DUMMYFUNCTION("""COMPUTED_VALUE"""),173.14)</f>
        <v>173.14</v>
      </c>
      <c r="F795" s="9">
        <f>IFERROR(__xludf.DUMMYFUNCTION("""COMPUTED_VALUE"""),1703273.0)</f>
        <v>1703273</v>
      </c>
      <c r="H795" s="27">
        <f>IFERROR(__xludf.DUMMYFUNCTION("""COMPUTED_VALUE"""),39518.645833333336)</f>
        <v>39518.64583</v>
      </c>
      <c r="I795" s="25">
        <f>IFERROR(__xludf.DUMMYFUNCTION("""COMPUTED_VALUE"""),210.0)</f>
        <v>210</v>
      </c>
      <c r="J795" s="25">
        <f>IFERROR(__xludf.DUMMYFUNCTION("""COMPUTED_VALUE"""),210.0)</f>
        <v>210</v>
      </c>
      <c r="K795" s="25">
        <f>IFERROR(__xludf.DUMMYFUNCTION("""COMPUTED_VALUE"""),205.0)</f>
        <v>205</v>
      </c>
      <c r="L795" s="25">
        <f>IFERROR(__xludf.DUMMYFUNCTION("""COMPUTED_VALUE"""),205.88)</f>
        <v>205.88</v>
      </c>
      <c r="M795" s="25">
        <f>IFERROR(__xludf.DUMMYFUNCTION("""COMPUTED_VALUE"""),1010880.0)</f>
        <v>1010880</v>
      </c>
    </row>
    <row r="796">
      <c r="A796" s="26">
        <f>IFERROR(__xludf.DUMMYFUNCTION("""COMPUTED_VALUE"""),39520.645833333336)</f>
        <v>39520.64583</v>
      </c>
      <c r="B796" s="9">
        <f>IFERROR(__xludf.DUMMYFUNCTION("""COMPUTED_VALUE"""),172.5)</f>
        <v>172.5</v>
      </c>
      <c r="C796" s="9">
        <f>IFERROR(__xludf.DUMMYFUNCTION("""COMPUTED_VALUE"""),173.1)</f>
        <v>173.1</v>
      </c>
      <c r="D796" s="9">
        <f>IFERROR(__xludf.DUMMYFUNCTION("""COMPUTED_VALUE"""),163.88)</f>
        <v>163.88</v>
      </c>
      <c r="E796" s="9">
        <f>IFERROR(__xludf.DUMMYFUNCTION("""COMPUTED_VALUE"""),167.21)</f>
        <v>167.21</v>
      </c>
      <c r="F796" s="9">
        <f>IFERROR(__xludf.DUMMYFUNCTION("""COMPUTED_VALUE"""),985186.0)</f>
        <v>985186</v>
      </c>
      <c r="H796" s="27">
        <f>IFERROR(__xludf.DUMMYFUNCTION("""COMPUTED_VALUE"""),39519.645833333336)</f>
        <v>39519.64583</v>
      </c>
      <c r="I796" s="25">
        <f>IFERROR(__xludf.DUMMYFUNCTION("""COMPUTED_VALUE"""),209.75)</f>
        <v>209.75</v>
      </c>
      <c r="J796" s="25">
        <f>IFERROR(__xludf.DUMMYFUNCTION("""COMPUTED_VALUE"""),212.5)</f>
        <v>212.5</v>
      </c>
      <c r="K796" s="25">
        <f>IFERROR(__xludf.DUMMYFUNCTION("""COMPUTED_VALUE"""),202.56)</f>
        <v>202.56</v>
      </c>
      <c r="L796" s="25">
        <f>IFERROR(__xludf.DUMMYFUNCTION("""COMPUTED_VALUE"""),205.89)</f>
        <v>205.89</v>
      </c>
      <c r="M796" s="25">
        <f>IFERROR(__xludf.DUMMYFUNCTION("""COMPUTED_VALUE"""),471103.0)</f>
        <v>471103</v>
      </c>
    </row>
    <row r="797">
      <c r="A797" s="26">
        <f>IFERROR(__xludf.DUMMYFUNCTION("""COMPUTED_VALUE"""),39521.645833333336)</f>
        <v>39521.64583</v>
      </c>
      <c r="B797" s="9">
        <f>IFERROR(__xludf.DUMMYFUNCTION("""COMPUTED_VALUE"""),166.88)</f>
        <v>166.88</v>
      </c>
      <c r="C797" s="9">
        <f>IFERROR(__xludf.DUMMYFUNCTION("""COMPUTED_VALUE"""),173.63)</f>
        <v>173.63</v>
      </c>
      <c r="D797" s="9">
        <f>IFERROR(__xludf.DUMMYFUNCTION("""COMPUTED_VALUE"""),166.25)</f>
        <v>166.25</v>
      </c>
      <c r="E797" s="9">
        <f>IFERROR(__xludf.DUMMYFUNCTION("""COMPUTED_VALUE"""),171.28)</f>
        <v>171.28</v>
      </c>
      <c r="F797" s="9">
        <f>IFERROR(__xludf.DUMMYFUNCTION("""COMPUTED_VALUE"""),1202846.0)</f>
        <v>1202846</v>
      </c>
      <c r="H797" s="27">
        <f>IFERROR(__xludf.DUMMYFUNCTION("""COMPUTED_VALUE"""),39520.645833333336)</f>
        <v>39520.64583</v>
      </c>
      <c r="I797" s="25">
        <f>IFERROR(__xludf.DUMMYFUNCTION("""COMPUTED_VALUE"""),203.75)</f>
        <v>203.75</v>
      </c>
      <c r="J797" s="25">
        <f>IFERROR(__xludf.DUMMYFUNCTION("""COMPUTED_VALUE"""),203.75)</f>
        <v>203.75</v>
      </c>
      <c r="K797" s="25">
        <f>IFERROR(__xludf.DUMMYFUNCTION("""COMPUTED_VALUE"""),190.25)</f>
        <v>190.25</v>
      </c>
      <c r="L797" s="25">
        <f>IFERROR(__xludf.DUMMYFUNCTION("""COMPUTED_VALUE"""),194.93)</f>
        <v>194.93</v>
      </c>
      <c r="M797" s="25">
        <f>IFERROR(__xludf.DUMMYFUNCTION("""COMPUTED_VALUE"""),852150.0)</f>
        <v>852150</v>
      </c>
    </row>
    <row r="798">
      <c r="A798" s="26">
        <f>IFERROR(__xludf.DUMMYFUNCTION("""COMPUTED_VALUE"""),39524.645833333336)</f>
        <v>39524.64583</v>
      </c>
      <c r="B798" s="9">
        <f>IFERROR(__xludf.DUMMYFUNCTION("""COMPUTED_VALUE"""),168.5)</f>
        <v>168.5</v>
      </c>
      <c r="C798" s="9">
        <f>IFERROR(__xludf.DUMMYFUNCTION("""COMPUTED_VALUE"""),169.29)</f>
        <v>169.29</v>
      </c>
      <c r="D798" s="9">
        <f>IFERROR(__xludf.DUMMYFUNCTION("""COMPUTED_VALUE"""),163.88)</f>
        <v>163.88</v>
      </c>
      <c r="E798" s="9">
        <f>IFERROR(__xludf.DUMMYFUNCTION("""COMPUTED_VALUE"""),167.23)</f>
        <v>167.23</v>
      </c>
      <c r="F798" s="9">
        <f>IFERROR(__xludf.DUMMYFUNCTION("""COMPUTED_VALUE"""),729010.0)</f>
        <v>729010</v>
      </c>
      <c r="H798" s="27">
        <f>IFERROR(__xludf.DUMMYFUNCTION("""COMPUTED_VALUE"""),39521.645833333336)</f>
        <v>39521.64583</v>
      </c>
      <c r="I798" s="25">
        <f>IFERROR(__xludf.DUMMYFUNCTION("""COMPUTED_VALUE"""),195.0)</f>
        <v>195</v>
      </c>
      <c r="J798" s="25">
        <f>IFERROR(__xludf.DUMMYFUNCTION("""COMPUTED_VALUE"""),203.23)</f>
        <v>203.23</v>
      </c>
      <c r="K798" s="25">
        <f>IFERROR(__xludf.DUMMYFUNCTION("""COMPUTED_VALUE"""),187.5)</f>
        <v>187.5</v>
      </c>
      <c r="L798" s="25">
        <f>IFERROR(__xludf.DUMMYFUNCTION("""COMPUTED_VALUE"""),200.96)</f>
        <v>200.96</v>
      </c>
      <c r="M798" s="25">
        <f>IFERROR(__xludf.DUMMYFUNCTION("""COMPUTED_VALUE"""),554014.0)</f>
        <v>554014</v>
      </c>
    </row>
    <row r="799">
      <c r="A799" s="26">
        <f>IFERROR(__xludf.DUMMYFUNCTION("""COMPUTED_VALUE"""),39525.645833333336)</f>
        <v>39525.64583</v>
      </c>
      <c r="B799" s="9">
        <f>IFERROR(__xludf.DUMMYFUNCTION("""COMPUTED_VALUE"""),167.5)</f>
        <v>167.5</v>
      </c>
      <c r="C799" s="9">
        <f>IFERROR(__xludf.DUMMYFUNCTION("""COMPUTED_VALUE"""),170.13)</f>
        <v>170.13</v>
      </c>
      <c r="D799" s="9">
        <f>IFERROR(__xludf.DUMMYFUNCTION("""COMPUTED_VALUE"""),162.5)</f>
        <v>162.5</v>
      </c>
      <c r="E799" s="9">
        <f>IFERROR(__xludf.DUMMYFUNCTION("""COMPUTED_VALUE"""),164.33)</f>
        <v>164.33</v>
      </c>
      <c r="F799" s="9">
        <f>IFERROR(__xludf.DUMMYFUNCTION("""COMPUTED_VALUE"""),1841428.0)</f>
        <v>1841428</v>
      </c>
      <c r="H799" s="27">
        <f>IFERROR(__xludf.DUMMYFUNCTION("""COMPUTED_VALUE"""),39524.645833333336)</f>
        <v>39524.64583</v>
      </c>
      <c r="I799" s="25">
        <f>IFERROR(__xludf.DUMMYFUNCTION("""COMPUTED_VALUE"""),193.75)</f>
        <v>193.75</v>
      </c>
      <c r="J799" s="25">
        <f>IFERROR(__xludf.DUMMYFUNCTION("""COMPUTED_VALUE"""),199.43)</f>
        <v>199.43</v>
      </c>
      <c r="K799" s="25">
        <f>IFERROR(__xludf.DUMMYFUNCTION("""COMPUTED_VALUE"""),192.19)</f>
        <v>192.19</v>
      </c>
      <c r="L799" s="25">
        <f>IFERROR(__xludf.DUMMYFUNCTION("""COMPUTED_VALUE"""),197.96)</f>
        <v>197.96</v>
      </c>
      <c r="M799" s="25">
        <f>IFERROR(__xludf.DUMMYFUNCTION("""COMPUTED_VALUE"""),489726.0)</f>
        <v>489726</v>
      </c>
    </row>
    <row r="800">
      <c r="A800" s="26">
        <f>IFERROR(__xludf.DUMMYFUNCTION("""COMPUTED_VALUE"""),39526.645833333336)</f>
        <v>39526.64583</v>
      </c>
      <c r="B800" s="9">
        <f>IFERROR(__xludf.DUMMYFUNCTION("""COMPUTED_VALUE"""),168.74)</f>
        <v>168.74</v>
      </c>
      <c r="C800" s="9">
        <f>IFERROR(__xludf.DUMMYFUNCTION("""COMPUTED_VALUE"""),171.63)</f>
        <v>171.63</v>
      </c>
      <c r="D800" s="9">
        <f>IFERROR(__xludf.DUMMYFUNCTION("""COMPUTED_VALUE"""),164.5)</f>
        <v>164.5</v>
      </c>
      <c r="E800" s="9">
        <f>IFERROR(__xludf.DUMMYFUNCTION("""COMPUTED_VALUE"""),167.96)</f>
        <v>167.96</v>
      </c>
      <c r="F800" s="9">
        <f>IFERROR(__xludf.DUMMYFUNCTION("""COMPUTED_VALUE"""),1954652.0)</f>
        <v>1954652</v>
      </c>
      <c r="H800" s="27">
        <f>IFERROR(__xludf.DUMMYFUNCTION("""COMPUTED_VALUE"""),39525.645833333336)</f>
        <v>39525.64583</v>
      </c>
      <c r="I800" s="25">
        <f>IFERROR(__xludf.DUMMYFUNCTION("""COMPUTED_VALUE"""),197.5)</f>
        <v>197.5</v>
      </c>
      <c r="J800" s="25">
        <f>IFERROR(__xludf.DUMMYFUNCTION("""COMPUTED_VALUE"""),207.2)</f>
        <v>207.2</v>
      </c>
      <c r="K800" s="25">
        <f>IFERROR(__xludf.DUMMYFUNCTION("""COMPUTED_VALUE"""),192.5)</f>
        <v>192.5</v>
      </c>
      <c r="L800" s="25">
        <f>IFERROR(__xludf.DUMMYFUNCTION("""COMPUTED_VALUE"""),204.43)</f>
        <v>204.43</v>
      </c>
      <c r="M800" s="25">
        <f>IFERROR(__xludf.DUMMYFUNCTION("""COMPUTED_VALUE"""),899020.0)</f>
        <v>899020</v>
      </c>
    </row>
    <row r="801">
      <c r="A801" s="26">
        <f>IFERROR(__xludf.DUMMYFUNCTION("""COMPUTED_VALUE"""),39531.645833333336)</f>
        <v>39531.64583</v>
      </c>
      <c r="B801" s="9">
        <f>IFERROR(__xludf.DUMMYFUNCTION("""COMPUTED_VALUE"""),169.66)</f>
        <v>169.66</v>
      </c>
      <c r="C801" s="9">
        <f>IFERROR(__xludf.DUMMYFUNCTION("""COMPUTED_VALUE"""),173.5)</f>
        <v>173.5</v>
      </c>
      <c r="D801" s="9">
        <f>IFERROR(__xludf.DUMMYFUNCTION("""COMPUTED_VALUE"""),167.9)</f>
        <v>167.9</v>
      </c>
      <c r="E801" s="9">
        <f>IFERROR(__xludf.DUMMYFUNCTION("""COMPUTED_VALUE"""),170.06)</f>
        <v>170.06</v>
      </c>
      <c r="F801" s="9">
        <f>IFERROR(__xludf.DUMMYFUNCTION("""COMPUTED_VALUE"""),1699501.0)</f>
        <v>1699501</v>
      </c>
      <c r="H801" s="27">
        <f>IFERROR(__xludf.DUMMYFUNCTION("""COMPUTED_VALUE"""),39526.645833333336)</f>
        <v>39526.64583</v>
      </c>
      <c r="I801" s="25">
        <f>IFERROR(__xludf.DUMMYFUNCTION("""COMPUTED_VALUE"""),207.0)</f>
        <v>207</v>
      </c>
      <c r="J801" s="25">
        <f>IFERROR(__xludf.DUMMYFUNCTION("""COMPUTED_VALUE"""),210.0)</f>
        <v>210</v>
      </c>
      <c r="K801" s="25">
        <f>IFERROR(__xludf.DUMMYFUNCTION("""COMPUTED_VALUE"""),201.39)</f>
        <v>201.39</v>
      </c>
      <c r="L801" s="25">
        <f>IFERROR(__xludf.DUMMYFUNCTION("""COMPUTED_VALUE"""),202.86)</f>
        <v>202.86</v>
      </c>
      <c r="M801" s="25">
        <f>IFERROR(__xludf.DUMMYFUNCTION("""COMPUTED_VALUE"""),1090481.0)</f>
        <v>1090481</v>
      </c>
    </row>
    <row r="802">
      <c r="A802" s="26">
        <f>IFERROR(__xludf.DUMMYFUNCTION("""COMPUTED_VALUE"""),39532.645833333336)</f>
        <v>39532.64583</v>
      </c>
      <c r="B802" s="9">
        <f>IFERROR(__xludf.DUMMYFUNCTION("""COMPUTED_VALUE"""),175.21)</f>
        <v>175.21</v>
      </c>
      <c r="C802" s="9">
        <f>IFERROR(__xludf.DUMMYFUNCTION("""COMPUTED_VALUE"""),193.36)</f>
        <v>193.36</v>
      </c>
      <c r="D802" s="9">
        <f>IFERROR(__xludf.DUMMYFUNCTION("""COMPUTED_VALUE"""),173.75)</f>
        <v>173.75</v>
      </c>
      <c r="E802" s="9">
        <f>IFERROR(__xludf.DUMMYFUNCTION("""COMPUTED_VALUE"""),186.54)</f>
        <v>186.54</v>
      </c>
      <c r="F802" s="9">
        <f>IFERROR(__xludf.DUMMYFUNCTION("""COMPUTED_VALUE"""),2842385.0)</f>
        <v>2842385</v>
      </c>
      <c r="H802" s="27">
        <f>IFERROR(__xludf.DUMMYFUNCTION("""COMPUTED_VALUE"""),39531.645833333336)</f>
        <v>39531.64583</v>
      </c>
      <c r="I802" s="25">
        <f>IFERROR(__xludf.DUMMYFUNCTION("""COMPUTED_VALUE"""),202.86)</f>
        <v>202.86</v>
      </c>
      <c r="J802" s="25">
        <f>IFERROR(__xludf.DUMMYFUNCTION("""COMPUTED_VALUE"""),209.38)</f>
        <v>209.38</v>
      </c>
      <c r="K802" s="25">
        <f>IFERROR(__xludf.DUMMYFUNCTION("""COMPUTED_VALUE"""),202.86)</f>
        <v>202.86</v>
      </c>
      <c r="L802" s="25">
        <f>IFERROR(__xludf.DUMMYFUNCTION("""COMPUTED_VALUE"""),205.93)</f>
        <v>205.93</v>
      </c>
      <c r="M802" s="25">
        <f>IFERROR(__xludf.DUMMYFUNCTION("""COMPUTED_VALUE"""),825496.0)</f>
        <v>825496</v>
      </c>
    </row>
    <row r="803">
      <c r="A803" s="26">
        <f>IFERROR(__xludf.DUMMYFUNCTION("""COMPUTED_VALUE"""),39533.645833333336)</f>
        <v>39533.64583</v>
      </c>
      <c r="B803" s="9">
        <f>IFERROR(__xludf.DUMMYFUNCTION("""COMPUTED_VALUE"""),188.13)</f>
        <v>188.13</v>
      </c>
      <c r="C803" s="9">
        <f>IFERROR(__xludf.DUMMYFUNCTION("""COMPUTED_VALUE"""),189.73)</f>
        <v>189.73</v>
      </c>
      <c r="D803" s="9">
        <f>IFERROR(__xludf.DUMMYFUNCTION("""COMPUTED_VALUE"""),181.39)</f>
        <v>181.39</v>
      </c>
      <c r="E803" s="9">
        <f>IFERROR(__xludf.DUMMYFUNCTION("""COMPUTED_VALUE"""),187.44)</f>
        <v>187.44</v>
      </c>
      <c r="F803" s="9">
        <f>IFERROR(__xludf.DUMMYFUNCTION("""COMPUTED_VALUE"""),1477398.0)</f>
        <v>1477398</v>
      </c>
      <c r="H803" s="27">
        <f>IFERROR(__xludf.DUMMYFUNCTION("""COMPUTED_VALUE"""),39532.645833333336)</f>
        <v>39532.64583</v>
      </c>
      <c r="I803" s="25">
        <f>IFERROR(__xludf.DUMMYFUNCTION("""COMPUTED_VALUE"""),210.0)</f>
        <v>210</v>
      </c>
      <c r="J803" s="25">
        <f>IFERROR(__xludf.DUMMYFUNCTION("""COMPUTED_VALUE"""),224.96)</f>
        <v>224.96</v>
      </c>
      <c r="K803" s="25">
        <f>IFERROR(__xludf.DUMMYFUNCTION("""COMPUTED_VALUE"""),208.75)</f>
        <v>208.75</v>
      </c>
      <c r="L803" s="25">
        <f>IFERROR(__xludf.DUMMYFUNCTION("""COMPUTED_VALUE"""),219.13)</f>
        <v>219.13</v>
      </c>
      <c r="M803" s="25">
        <f>IFERROR(__xludf.DUMMYFUNCTION("""COMPUTED_VALUE"""),732224.0)</f>
        <v>732224</v>
      </c>
    </row>
    <row r="804">
      <c r="A804" s="26">
        <f>IFERROR(__xludf.DUMMYFUNCTION("""COMPUTED_VALUE"""),39534.645833333336)</f>
        <v>39534.64583</v>
      </c>
      <c r="B804" s="9">
        <f>IFERROR(__xludf.DUMMYFUNCTION("""COMPUTED_VALUE"""),186.26)</f>
        <v>186.26</v>
      </c>
      <c r="C804" s="9">
        <f>IFERROR(__xludf.DUMMYFUNCTION("""COMPUTED_VALUE"""),186.26)</f>
        <v>186.26</v>
      </c>
      <c r="D804" s="9">
        <f>IFERROR(__xludf.DUMMYFUNCTION("""COMPUTED_VALUE"""),178.26)</f>
        <v>178.26</v>
      </c>
      <c r="E804" s="9">
        <f>IFERROR(__xludf.DUMMYFUNCTION("""COMPUTED_VALUE"""),180.22)</f>
        <v>180.22</v>
      </c>
      <c r="F804" s="9">
        <f>IFERROR(__xludf.DUMMYFUNCTION("""COMPUTED_VALUE"""),2086563.0)</f>
        <v>2086563</v>
      </c>
      <c r="H804" s="27">
        <f>IFERROR(__xludf.DUMMYFUNCTION("""COMPUTED_VALUE"""),39533.645833333336)</f>
        <v>39533.64583</v>
      </c>
      <c r="I804" s="25">
        <f>IFERROR(__xludf.DUMMYFUNCTION("""COMPUTED_VALUE"""),235.0)</f>
        <v>235</v>
      </c>
      <c r="J804" s="25">
        <f>IFERROR(__xludf.DUMMYFUNCTION("""COMPUTED_VALUE"""),235.0)</f>
        <v>235</v>
      </c>
      <c r="K804" s="25">
        <f>IFERROR(__xludf.DUMMYFUNCTION("""COMPUTED_VALUE"""),212.89)</f>
        <v>212.89</v>
      </c>
      <c r="L804" s="25">
        <f>IFERROR(__xludf.DUMMYFUNCTION("""COMPUTED_VALUE"""),219.59)</f>
        <v>219.59</v>
      </c>
      <c r="M804" s="25">
        <f>IFERROR(__xludf.DUMMYFUNCTION("""COMPUTED_VALUE"""),542942.0)</f>
        <v>542942</v>
      </c>
    </row>
    <row r="805">
      <c r="A805" s="26">
        <f>IFERROR(__xludf.DUMMYFUNCTION("""COMPUTED_VALUE"""),39535.645833333336)</f>
        <v>39535.64583</v>
      </c>
      <c r="B805" s="9">
        <f>IFERROR(__xludf.DUMMYFUNCTION("""COMPUTED_VALUE"""),179.0)</f>
        <v>179</v>
      </c>
      <c r="C805" s="9">
        <f>IFERROR(__xludf.DUMMYFUNCTION("""COMPUTED_VALUE"""),192.34)</f>
        <v>192.34</v>
      </c>
      <c r="D805" s="9">
        <f>IFERROR(__xludf.DUMMYFUNCTION("""COMPUTED_VALUE"""),177.5)</f>
        <v>177.5</v>
      </c>
      <c r="E805" s="9">
        <f>IFERROR(__xludf.DUMMYFUNCTION("""COMPUTED_VALUE"""),190.15)</f>
        <v>190.15</v>
      </c>
      <c r="F805" s="9">
        <f>IFERROR(__xludf.DUMMYFUNCTION("""COMPUTED_VALUE"""),1478736.0)</f>
        <v>1478736</v>
      </c>
      <c r="H805" s="27">
        <f>IFERROR(__xludf.DUMMYFUNCTION("""COMPUTED_VALUE"""),39534.645833333336)</f>
        <v>39534.64583</v>
      </c>
      <c r="I805" s="25">
        <f>IFERROR(__xludf.DUMMYFUNCTION("""COMPUTED_VALUE"""),218.0)</f>
        <v>218</v>
      </c>
      <c r="J805" s="25">
        <f>IFERROR(__xludf.DUMMYFUNCTION("""COMPUTED_VALUE"""),219.0)</f>
        <v>219</v>
      </c>
      <c r="K805" s="25">
        <f>IFERROR(__xludf.DUMMYFUNCTION("""COMPUTED_VALUE"""),210.28)</f>
        <v>210.28</v>
      </c>
      <c r="L805" s="25">
        <f>IFERROR(__xludf.DUMMYFUNCTION("""COMPUTED_VALUE"""),213.13)</f>
        <v>213.13</v>
      </c>
      <c r="M805" s="25">
        <f>IFERROR(__xludf.DUMMYFUNCTION("""COMPUTED_VALUE"""),1537788.0)</f>
        <v>1537788</v>
      </c>
    </row>
    <row r="806">
      <c r="A806" s="26">
        <f>IFERROR(__xludf.DUMMYFUNCTION("""COMPUTED_VALUE"""),39538.645833333336)</f>
        <v>39538.64583</v>
      </c>
      <c r="B806" s="9">
        <f>IFERROR(__xludf.DUMMYFUNCTION("""COMPUTED_VALUE"""),185.25)</f>
        <v>185.25</v>
      </c>
      <c r="C806" s="9">
        <f>IFERROR(__xludf.DUMMYFUNCTION("""COMPUTED_VALUE"""),187.5)</f>
        <v>187.5</v>
      </c>
      <c r="D806" s="9">
        <f>IFERROR(__xludf.DUMMYFUNCTION("""COMPUTED_VALUE"""),175.51)</f>
        <v>175.51</v>
      </c>
      <c r="E806" s="9">
        <f>IFERROR(__xludf.DUMMYFUNCTION("""COMPUTED_VALUE"""),179.99)</f>
        <v>179.99</v>
      </c>
      <c r="F806" s="9">
        <f>IFERROR(__xludf.DUMMYFUNCTION("""COMPUTED_VALUE"""),2524790.0)</f>
        <v>2524790</v>
      </c>
      <c r="H806" s="27">
        <f>IFERROR(__xludf.DUMMYFUNCTION("""COMPUTED_VALUE"""),39535.645833333336)</f>
        <v>39535.64583</v>
      </c>
      <c r="I806" s="25">
        <f>IFERROR(__xludf.DUMMYFUNCTION("""COMPUTED_VALUE"""),213.25)</f>
        <v>213.25</v>
      </c>
      <c r="J806" s="25">
        <f>IFERROR(__xludf.DUMMYFUNCTION("""COMPUTED_VALUE"""),218.68)</f>
        <v>218.68</v>
      </c>
      <c r="K806" s="25">
        <f>IFERROR(__xludf.DUMMYFUNCTION("""COMPUTED_VALUE"""),213.0)</f>
        <v>213</v>
      </c>
      <c r="L806" s="25">
        <f>IFERROR(__xludf.DUMMYFUNCTION("""COMPUTED_VALUE"""),217.76)</f>
        <v>217.76</v>
      </c>
      <c r="M806" s="25">
        <f>IFERROR(__xludf.DUMMYFUNCTION("""COMPUTED_VALUE"""),908424.0)</f>
        <v>908424</v>
      </c>
    </row>
    <row r="807">
      <c r="A807" s="26">
        <f>IFERROR(__xludf.DUMMYFUNCTION("""COMPUTED_VALUE"""),39539.645833333336)</f>
        <v>39539.64583</v>
      </c>
      <c r="B807" s="9">
        <f>IFERROR(__xludf.DUMMYFUNCTION("""COMPUTED_VALUE"""),180.64)</f>
        <v>180.64</v>
      </c>
      <c r="C807" s="9">
        <f>IFERROR(__xludf.DUMMYFUNCTION("""COMPUTED_VALUE"""),183.0)</f>
        <v>183</v>
      </c>
      <c r="D807" s="9">
        <f>IFERROR(__xludf.DUMMYFUNCTION("""COMPUTED_VALUE"""),176.28)</f>
        <v>176.28</v>
      </c>
      <c r="E807" s="9">
        <f>IFERROR(__xludf.DUMMYFUNCTION("""COMPUTED_VALUE"""),177.88)</f>
        <v>177.88</v>
      </c>
      <c r="F807" s="9">
        <f>IFERROR(__xludf.DUMMYFUNCTION("""COMPUTED_VALUE"""),786151.0)</f>
        <v>786151</v>
      </c>
      <c r="H807" s="27">
        <f>IFERROR(__xludf.DUMMYFUNCTION("""COMPUTED_VALUE"""),39538.645833333336)</f>
        <v>39538.64583</v>
      </c>
      <c r="I807" s="25">
        <f>IFERROR(__xludf.DUMMYFUNCTION("""COMPUTED_VALUE"""),217.76)</f>
        <v>217.76</v>
      </c>
      <c r="J807" s="25">
        <f>IFERROR(__xludf.DUMMYFUNCTION("""COMPUTED_VALUE"""),217.76)</f>
        <v>217.76</v>
      </c>
      <c r="K807" s="25">
        <f>IFERROR(__xludf.DUMMYFUNCTION("""COMPUTED_VALUE"""),199.25)</f>
        <v>199.25</v>
      </c>
      <c r="L807" s="25">
        <f>IFERROR(__xludf.DUMMYFUNCTION("""COMPUTED_VALUE"""),202.61)</f>
        <v>202.61</v>
      </c>
      <c r="M807" s="25">
        <f>IFERROR(__xludf.DUMMYFUNCTION("""COMPUTED_VALUE"""),1012965.0)</f>
        <v>1012965</v>
      </c>
    </row>
    <row r="808">
      <c r="A808" s="26">
        <f>IFERROR(__xludf.DUMMYFUNCTION("""COMPUTED_VALUE"""),39540.645833333336)</f>
        <v>39540.64583</v>
      </c>
      <c r="B808" s="9">
        <f>IFERROR(__xludf.DUMMYFUNCTION("""COMPUTED_VALUE"""),184.38)</f>
        <v>184.38</v>
      </c>
      <c r="C808" s="9">
        <f>IFERROR(__xludf.DUMMYFUNCTION("""COMPUTED_VALUE"""),187.38)</f>
        <v>187.38</v>
      </c>
      <c r="D808" s="9">
        <f>IFERROR(__xludf.DUMMYFUNCTION("""COMPUTED_VALUE"""),183.13)</f>
        <v>183.13</v>
      </c>
      <c r="E808" s="9">
        <f>IFERROR(__xludf.DUMMYFUNCTION("""COMPUTED_VALUE"""),185.35)</f>
        <v>185.35</v>
      </c>
      <c r="F808" s="9">
        <f>IFERROR(__xludf.DUMMYFUNCTION("""COMPUTED_VALUE"""),1394010.0)</f>
        <v>1394010</v>
      </c>
      <c r="H808" s="27">
        <f>IFERROR(__xludf.DUMMYFUNCTION("""COMPUTED_VALUE"""),39539.645833333336)</f>
        <v>39539.64583</v>
      </c>
      <c r="I808" s="25">
        <f>IFERROR(__xludf.DUMMYFUNCTION("""COMPUTED_VALUE"""),205.0)</f>
        <v>205</v>
      </c>
      <c r="J808" s="25">
        <f>IFERROR(__xludf.DUMMYFUNCTION("""COMPUTED_VALUE"""),213.23)</f>
        <v>213.23</v>
      </c>
      <c r="K808" s="25">
        <f>IFERROR(__xludf.DUMMYFUNCTION("""COMPUTED_VALUE"""),202.5)</f>
        <v>202.5</v>
      </c>
      <c r="L808" s="25">
        <f>IFERROR(__xludf.DUMMYFUNCTION("""COMPUTED_VALUE"""),208.09)</f>
        <v>208.09</v>
      </c>
      <c r="M808" s="25">
        <f>IFERROR(__xludf.DUMMYFUNCTION("""COMPUTED_VALUE"""),521682.0)</f>
        <v>521682</v>
      </c>
    </row>
    <row r="809">
      <c r="A809" s="26">
        <f>IFERROR(__xludf.DUMMYFUNCTION("""COMPUTED_VALUE"""),39541.645833333336)</f>
        <v>39541.64583</v>
      </c>
      <c r="B809" s="9">
        <f>IFERROR(__xludf.DUMMYFUNCTION("""COMPUTED_VALUE"""),183.76)</f>
        <v>183.76</v>
      </c>
      <c r="C809" s="9">
        <f>IFERROR(__xludf.DUMMYFUNCTION("""COMPUTED_VALUE"""),191.25)</f>
        <v>191.25</v>
      </c>
      <c r="D809" s="9">
        <f>IFERROR(__xludf.DUMMYFUNCTION("""COMPUTED_VALUE"""),183.76)</f>
        <v>183.76</v>
      </c>
      <c r="E809" s="9">
        <f>IFERROR(__xludf.DUMMYFUNCTION("""COMPUTED_VALUE"""),190.31)</f>
        <v>190.31</v>
      </c>
      <c r="F809" s="9">
        <f>IFERROR(__xludf.DUMMYFUNCTION("""COMPUTED_VALUE"""),1222270.0)</f>
        <v>1222270</v>
      </c>
      <c r="H809" s="27">
        <f>IFERROR(__xludf.DUMMYFUNCTION("""COMPUTED_VALUE"""),39540.645833333336)</f>
        <v>39540.64583</v>
      </c>
      <c r="I809" s="25">
        <f>IFERROR(__xludf.DUMMYFUNCTION("""COMPUTED_VALUE"""),212.5)</f>
        <v>212.5</v>
      </c>
      <c r="J809" s="25">
        <f>IFERROR(__xludf.DUMMYFUNCTION("""COMPUTED_VALUE"""),217.25)</f>
        <v>217.25</v>
      </c>
      <c r="K809" s="25">
        <f>IFERROR(__xludf.DUMMYFUNCTION("""COMPUTED_VALUE"""),212.31)</f>
        <v>212.31</v>
      </c>
      <c r="L809" s="25">
        <f>IFERROR(__xludf.DUMMYFUNCTION("""COMPUTED_VALUE"""),212.81)</f>
        <v>212.81</v>
      </c>
      <c r="M809" s="25">
        <f>IFERROR(__xludf.DUMMYFUNCTION("""COMPUTED_VALUE"""),357211.0)</f>
        <v>357211</v>
      </c>
    </row>
    <row r="810">
      <c r="A810" s="26">
        <f>IFERROR(__xludf.DUMMYFUNCTION("""COMPUTED_VALUE"""),39542.645833333336)</f>
        <v>39542.64583</v>
      </c>
      <c r="B810" s="9">
        <f>IFERROR(__xludf.DUMMYFUNCTION("""COMPUTED_VALUE"""),183.88)</f>
        <v>183.88</v>
      </c>
      <c r="C810" s="9">
        <f>IFERROR(__xludf.DUMMYFUNCTION("""COMPUTED_VALUE"""),190.88)</f>
        <v>190.88</v>
      </c>
      <c r="D810" s="9">
        <f>IFERROR(__xludf.DUMMYFUNCTION("""COMPUTED_VALUE"""),179.0)</f>
        <v>179</v>
      </c>
      <c r="E810" s="9">
        <f>IFERROR(__xludf.DUMMYFUNCTION("""COMPUTED_VALUE"""),185.68)</f>
        <v>185.68</v>
      </c>
      <c r="F810" s="9">
        <f>IFERROR(__xludf.DUMMYFUNCTION("""COMPUTED_VALUE"""),1003504.0)</f>
        <v>1003504</v>
      </c>
      <c r="H810" s="27">
        <f>IFERROR(__xludf.DUMMYFUNCTION("""COMPUTED_VALUE"""),39541.645833333336)</f>
        <v>39541.64583</v>
      </c>
      <c r="I810" s="25">
        <f>IFERROR(__xludf.DUMMYFUNCTION("""COMPUTED_VALUE"""),212.5)</f>
        <v>212.5</v>
      </c>
      <c r="J810" s="25">
        <f>IFERROR(__xludf.DUMMYFUNCTION("""COMPUTED_VALUE"""),223.0)</f>
        <v>223</v>
      </c>
      <c r="K810" s="25">
        <f>IFERROR(__xludf.DUMMYFUNCTION("""COMPUTED_VALUE"""),212.5)</f>
        <v>212.5</v>
      </c>
      <c r="L810" s="25">
        <f>IFERROR(__xludf.DUMMYFUNCTION("""COMPUTED_VALUE"""),221.35)</f>
        <v>221.35</v>
      </c>
      <c r="M810" s="25">
        <f>IFERROR(__xludf.DUMMYFUNCTION("""COMPUTED_VALUE"""),821793.0)</f>
        <v>821793</v>
      </c>
    </row>
    <row r="811">
      <c r="A811" s="26">
        <f>IFERROR(__xludf.DUMMYFUNCTION("""COMPUTED_VALUE"""),39545.645833333336)</f>
        <v>39545.64583</v>
      </c>
      <c r="B811" s="9">
        <f>IFERROR(__xludf.DUMMYFUNCTION("""COMPUTED_VALUE"""),187.38)</f>
        <v>187.38</v>
      </c>
      <c r="C811" s="9">
        <f>IFERROR(__xludf.DUMMYFUNCTION("""COMPUTED_VALUE"""),191.05)</f>
        <v>191.05</v>
      </c>
      <c r="D811" s="9">
        <f>IFERROR(__xludf.DUMMYFUNCTION("""COMPUTED_VALUE"""),184.53)</f>
        <v>184.53</v>
      </c>
      <c r="E811" s="9">
        <f>IFERROR(__xludf.DUMMYFUNCTION("""COMPUTED_VALUE"""),186.51)</f>
        <v>186.51</v>
      </c>
      <c r="F811" s="9">
        <f>IFERROR(__xludf.DUMMYFUNCTION("""COMPUTED_VALUE"""),2012148.0)</f>
        <v>2012148</v>
      </c>
      <c r="H811" s="27">
        <f>IFERROR(__xludf.DUMMYFUNCTION("""COMPUTED_VALUE"""),39542.645833333336)</f>
        <v>39542.64583</v>
      </c>
      <c r="I811" s="25">
        <f>IFERROR(__xludf.DUMMYFUNCTION("""COMPUTED_VALUE"""),221.5)</f>
        <v>221.5</v>
      </c>
      <c r="J811" s="25">
        <f>IFERROR(__xludf.DUMMYFUNCTION("""COMPUTED_VALUE"""),222.48)</f>
        <v>222.48</v>
      </c>
      <c r="K811" s="25">
        <f>IFERROR(__xludf.DUMMYFUNCTION("""COMPUTED_VALUE"""),215.01)</f>
        <v>215.01</v>
      </c>
      <c r="L811" s="25">
        <f>IFERROR(__xludf.DUMMYFUNCTION("""COMPUTED_VALUE"""),218.23)</f>
        <v>218.23</v>
      </c>
      <c r="M811" s="25">
        <f>IFERROR(__xludf.DUMMYFUNCTION("""COMPUTED_VALUE"""),505211.0)</f>
        <v>505211</v>
      </c>
    </row>
    <row r="812">
      <c r="A812" s="26">
        <f>IFERROR(__xludf.DUMMYFUNCTION("""COMPUTED_VALUE"""),39546.645833333336)</f>
        <v>39546.64583</v>
      </c>
      <c r="B812" s="9">
        <f>IFERROR(__xludf.DUMMYFUNCTION("""COMPUTED_VALUE"""),186.5)</f>
        <v>186.5</v>
      </c>
      <c r="C812" s="9">
        <f>IFERROR(__xludf.DUMMYFUNCTION("""COMPUTED_VALUE"""),186.88)</f>
        <v>186.88</v>
      </c>
      <c r="D812" s="9">
        <f>IFERROR(__xludf.DUMMYFUNCTION("""COMPUTED_VALUE"""),181.53)</f>
        <v>181.53</v>
      </c>
      <c r="E812" s="9">
        <f>IFERROR(__xludf.DUMMYFUNCTION("""COMPUTED_VALUE"""),183.37)</f>
        <v>183.37</v>
      </c>
      <c r="F812" s="9">
        <f>IFERROR(__xludf.DUMMYFUNCTION("""COMPUTED_VALUE"""),1548206.0)</f>
        <v>1548206</v>
      </c>
      <c r="H812" s="27">
        <f>IFERROR(__xludf.DUMMYFUNCTION("""COMPUTED_VALUE"""),39545.645833333336)</f>
        <v>39545.64583</v>
      </c>
      <c r="I812" s="25">
        <f>IFERROR(__xludf.DUMMYFUNCTION("""COMPUTED_VALUE"""),223.75)</f>
        <v>223.75</v>
      </c>
      <c r="J812" s="25">
        <f>IFERROR(__xludf.DUMMYFUNCTION("""COMPUTED_VALUE"""),230.03)</f>
        <v>230.03</v>
      </c>
      <c r="K812" s="25">
        <f>IFERROR(__xludf.DUMMYFUNCTION("""COMPUTED_VALUE"""),219.55)</f>
        <v>219.55</v>
      </c>
      <c r="L812" s="25">
        <f>IFERROR(__xludf.DUMMYFUNCTION("""COMPUTED_VALUE"""),226.03)</f>
        <v>226.03</v>
      </c>
      <c r="M812" s="25">
        <f>IFERROR(__xludf.DUMMYFUNCTION("""COMPUTED_VALUE"""),914882.0)</f>
        <v>914882</v>
      </c>
    </row>
    <row r="813">
      <c r="A813" s="26">
        <f>IFERROR(__xludf.DUMMYFUNCTION("""COMPUTED_VALUE"""),39547.645833333336)</f>
        <v>39547.64583</v>
      </c>
      <c r="B813" s="9">
        <f>IFERROR(__xludf.DUMMYFUNCTION("""COMPUTED_VALUE"""),183.37)</f>
        <v>183.37</v>
      </c>
      <c r="C813" s="9">
        <f>IFERROR(__xludf.DUMMYFUNCTION("""COMPUTED_VALUE"""),186.0)</f>
        <v>186</v>
      </c>
      <c r="D813" s="9">
        <f>IFERROR(__xludf.DUMMYFUNCTION("""COMPUTED_VALUE"""),181.38)</f>
        <v>181.38</v>
      </c>
      <c r="E813" s="9">
        <f>IFERROR(__xludf.DUMMYFUNCTION("""COMPUTED_VALUE"""),184.99)</f>
        <v>184.99</v>
      </c>
      <c r="F813" s="9">
        <f>IFERROR(__xludf.DUMMYFUNCTION("""COMPUTED_VALUE"""),1128569.0)</f>
        <v>1128569</v>
      </c>
      <c r="H813" s="27">
        <f>IFERROR(__xludf.DUMMYFUNCTION("""COMPUTED_VALUE"""),39546.645833333336)</f>
        <v>39546.64583</v>
      </c>
      <c r="I813" s="25">
        <f>IFERROR(__xludf.DUMMYFUNCTION("""COMPUTED_VALUE"""),226.25)</f>
        <v>226.25</v>
      </c>
      <c r="J813" s="25">
        <f>IFERROR(__xludf.DUMMYFUNCTION("""COMPUTED_VALUE"""),226.75)</f>
        <v>226.75</v>
      </c>
      <c r="K813" s="25">
        <f>IFERROR(__xludf.DUMMYFUNCTION("""COMPUTED_VALUE"""),218.75)</f>
        <v>218.75</v>
      </c>
      <c r="L813" s="25">
        <f>IFERROR(__xludf.DUMMYFUNCTION("""COMPUTED_VALUE"""),221.84)</f>
        <v>221.84</v>
      </c>
      <c r="M813" s="25">
        <f>IFERROR(__xludf.DUMMYFUNCTION("""COMPUTED_VALUE"""),1013838.0)</f>
        <v>1013838</v>
      </c>
    </row>
    <row r="814">
      <c r="A814" s="26">
        <f>IFERROR(__xludf.DUMMYFUNCTION("""COMPUTED_VALUE"""),39548.645833333336)</f>
        <v>39548.64583</v>
      </c>
      <c r="B814" s="9">
        <f>IFERROR(__xludf.DUMMYFUNCTION("""COMPUTED_VALUE"""),183.13)</f>
        <v>183.13</v>
      </c>
      <c r="C814" s="9">
        <f>IFERROR(__xludf.DUMMYFUNCTION("""COMPUTED_VALUE"""),188.74)</f>
        <v>188.74</v>
      </c>
      <c r="D814" s="9">
        <f>IFERROR(__xludf.DUMMYFUNCTION("""COMPUTED_VALUE"""),180.38)</f>
        <v>180.38</v>
      </c>
      <c r="E814" s="9">
        <f>IFERROR(__xludf.DUMMYFUNCTION("""COMPUTED_VALUE"""),181.58)</f>
        <v>181.58</v>
      </c>
      <c r="F814" s="9">
        <f>IFERROR(__xludf.DUMMYFUNCTION("""COMPUTED_VALUE"""),2141258.0)</f>
        <v>2141258</v>
      </c>
      <c r="H814" s="27">
        <f>IFERROR(__xludf.DUMMYFUNCTION("""COMPUTED_VALUE"""),39547.645833333336)</f>
        <v>39547.64583</v>
      </c>
      <c r="I814" s="25">
        <f>IFERROR(__xludf.DUMMYFUNCTION("""COMPUTED_VALUE"""),220.0)</f>
        <v>220</v>
      </c>
      <c r="J814" s="25">
        <f>IFERROR(__xludf.DUMMYFUNCTION("""COMPUTED_VALUE"""),223.0)</f>
        <v>223</v>
      </c>
      <c r="K814" s="25">
        <f>IFERROR(__xludf.DUMMYFUNCTION("""COMPUTED_VALUE"""),217.25)</f>
        <v>217.25</v>
      </c>
      <c r="L814" s="25">
        <f>IFERROR(__xludf.DUMMYFUNCTION("""COMPUTED_VALUE"""),219.06)</f>
        <v>219.06</v>
      </c>
      <c r="M814" s="25">
        <f>IFERROR(__xludf.DUMMYFUNCTION("""COMPUTED_VALUE"""),370650.0)</f>
        <v>370650</v>
      </c>
    </row>
    <row r="815">
      <c r="A815" s="26">
        <f>IFERROR(__xludf.DUMMYFUNCTION("""COMPUTED_VALUE"""),39549.645833333336)</f>
        <v>39549.64583</v>
      </c>
      <c r="B815" s="9">
        <f>IFERROR(__xludf.DUMMYFUNCTION("""COMPUTED_VALUE"""),183.75)</f>
        <v>183.75</v>
      </c>
      <c r="C815" s="9">
        <f>IFERROR(__xludf.DUMMYFUNCTION("""COMPUTED_VALUE"""),185.0)</f>
        <v>185</v>
      </c>
      <c r="D815" s="9">
        <f>IFERROR(__xludf.DUMMYFUNCTION("""COMPUTED_VALUE"""),176.63)</f>
        <v>176.63</v>
      </c>
      <c r="E815" s="9">
        <f>IFERROR(__xludf.DUMMYFUNCTION("""COMPUTED_VALUE"""),177.74)</f>
        <v>177.74</v>
      </c>
      <c r="F815" s="9">
        <f>IFERROR(__xludf.DUMMYFUNCTION("""COMPUTED_VALUE"""),3016789.0)</f>
        <v>3016789</v>
      </c>
      <c r="H815" s="27">
        <f>IFERROR(__xludf.DUMMYFUNCTION("""COMPUTED_VALUE"""),39548.645833333336)</f>
        <v>39548.64583</v>
      </c>
      <c r="I815" s="25">
        <f>IFERROR(__xludf.DUMMYFUNCTION("""COMPUTED_VALUE"""),220.0)</f>
        <v>220</v>
      </c>
      <c r="J815" s="25">
        <f>IFERROR(__xludf.DUMMYFUNCTION("""COMPUTED_VALUE"""),229.91)</f>
        <v>229.91</v>
      </c>
      <c r="K815" s="25">
        <f>IFERROR(__xludf.DUMMYFUNCTION("""COMPUTED_VALUE"""),219.25)</f>
        <v>219.25</v>
      </c>
      <c r="L815" s="25">
        <f>IFERROR(__xludf.DUMMYFUNCTION("""COMPUTED_VALUE"""),224.89)</f>
        <v>224.89</v>
      </c>
      <c r="M815" s="25">
        <f>IFERROR(__xludf.DUMMYFUNCTION("""COMPUTED_VALUE"""),731483.0)</f>
        <v>731483</v>
      </c>
    </row>
    <row r="816">
      <c r="A816" s="26">
        <f>IFERROR(__xludf.DUMMYFUNCTION("""COMPUTED_VALUE"""),39553.645833333336)</f>
        <v>39553.64583</v>
      </c>
      <c r="B816" s="9">
        <f>IFERROR(__xludf.DUMMYFUNCTION("""COMPUTED_VALUE"""),180.0)</f>
        <v>180</v>
      </c>
      <c r="C816" s="9">
        <f>IFERROR(__xludf.DUMMYFUNCTION("""COMPUTED_VALUE"""),190.63)</f>
        <v>190.63</v>
      </c>
      <c r="D816" s="9">
        <f>IFERROR(__xludf.DUMMYFUNCTION("""COMPUTED_VALUE"""),177.5)</f>
        <v>177.5</v>
      </c>
      <c r="E816" s="9">
        <f>IFERROR(__xludf.DUMMYFUNCTION("""COMPUTED_VALUE"""),188.8)</f>
        <v>188.8</v>
      </c>
      <c r="F816" s="9">
        <f>IFERROR(__xludf.DUMMYFUNCTION("""COMPUTED_VALUE"""),4550317.0)</f>
        <v>4550317</v>
      </c>
      <c r="H816" s="27">
        <f>IFERROR(__xludf.DUMMYFUNCTION("""COMPUTED_VALUE"""),39549.645833333336)</f>
        <v>39549.64583</v>
      </c>
      <c r="I816" s="25">
        <f>IFERROR(__xludf.DUMMYFUNCTION("""COMPUTED_VALUE"""),225.76)</f>
        <v>225.76</v>
      </c>
      <c r="J816" s="25">
        <f>IFERROR(__xludf.DUMMYFUNCTION("""COMPUTED_VALUE"""),231.25)</f>
        <v>231.25</v>
      </c>
      <c r="K816" s="25">
        <f>IFERROR(__xludf.DUMMYFUNCTION("""COMPUTED_VALUE"""),223.31)</f>
        <v>223.31</v>
      </c>
      <c r="L816" s="25">
        <f>IFERROR(__xludf.DUMMYFUNCTION("""COMPUTED_VALUE"""),227.0)</f>
        <v>227</v>
      </c>
      <c r="M816" s="25">
        <f>IFERROR(__xludf.DUMMYFUNCTION("""COMPUTED_VALUE"""),547316.0)</f>
        <v>547316</v>
      </c>
    </row>
    <row r="817">
      <c r="A817" s="26">
        <f>IFERROR(__xludf.DUMMYFUNCTION("""COMPUTED_VALUE"""),39554.645833333336)</f>
        <v>39554.64583</v>
      </c>
      <c r="B817" s="9">
        <f>IFERROR(__xludf.DUMMYFUNCTION("""COMPUTED_VALUE"""),190.63)</f>
        <v>190.63</v>
      </c>
      <c r="C817" s="9">
        <f>IFERROR(__xludf.DUMMYFUNCTION("""COMPUTED_VALUE"""),201.88)</f>
        <v>201.88</v>
      </c>
      <c r="D817" s="9">
        <f>IFERROR(__xludf.DUMMYFUNCTION("""COMPUTED_VALUE"""),190.0)</f>
        <v>190</v>
      </c>
      <c r="E817" s="9">
        <f>IFERROR(__xludf.DUMMYFUNCTION("""COMPUTED_VALUE"""),200.03)</f>
        <v>200.03</v>
      </c>
      <c r="F817" s="9">
        <f>IFERROR(__xludf.DUMMYFUNCTION("""COMPUTED_VALUE"""),3826451.0)</f>
        <v>3826451</v>
      </c>
      <c r="H817" s="27">
        <f>IFERROR(__xludf.DUMMYFUNCTION("""COMPUTED_VALUE"""),39553.645833333336)</f>
        <v>39553.64583</v>
      </c>
      <c r="I817" s="25">
        <f>IFERROR(__xludf.DUMMYFUNCTION("""COMPUTED_VALUE"""),230.5)</f>
        <v>230.5</v>
      </c>
      <c r="J817" s="25">
        <f>IFERROR(__xludf.DUMMYFUNCTION("""COMPUTED_VALUE"""),246.25)</f>
        <v>246.25</v>
      </c>
      <c r="K817" s="25">
        <f>IFERROR(__xludf.DUMMYFUNCTION("""COMPUTED_VALUE"""),220.1)</f>
        <v>220.1</v>
      </c>
      <c r="L817" s="25">
        <f>IFERROR(__xludf.DUMMYFUNCTION("""COMPUTED_VALUE"""),243.54)</f>
        <v>243.54</v>
      </c>
      <c r="M817" s="25">
        <f>IFERROR(__xludf.DUMMYFUNCTION("""COMPUTED_VALUE"""),1425943.0)</f>
        <v>1425943</v>
      </c>
    </row>
    <row r="818">
      <c r="A818" s="26">
        <f>IFERROR(__xludf.DUMMYFUNCTION("""COMPUTED_VALUE"""),39555.645833333336)</f>
        <v>39555.64583</v>
      </c>
      <c r="B818" s="9">
        <f>IFERROR(__xludf.DUMMYFUNCTION("""COMPUTED_VALUE"""),203.74)</f>
        <v>203.74</v>
      </c>
      <c r="C818" s="9">
        <f>IFERROR(__xludf.DUMMYFUNCTION("""COMPUTED_VALUE"""),211.25)</f>
        <v>211.25</v>
      </c>
      <c r="D818" s="9">
        <f>IFERROR(__xludf.DUMMYFUNCTION("""COMPUTED_VALUE"""),202.5)</f>
        <v>202.5</v>
      </c>
      <c r="E818" s="9">
        <f>IFERROR(__xludf.DUMMYFUNCTION("""COMPUTED_VALUE"""),207.39)</f>
        <v>207.39</v>
      </c>
      <c r="F818" s="9">
        <f>IFERROR(__xludf.DUMMYFUNCTION("""COMPUTED_VALUE"""),4614910.0)</f>
        <v>4614910</v>
      </c>
      <c r="H818" s="27">
        <f>IFERROR(__xludf.DUMMYFUNCTION("""COMPUTED_VALUE"""),39554.645833333336)</f>
        <v>39554.64583</v>
      </c>
      <c r="I818" s="25">
        <f>IFERROR(__xludf.DUMMYFUNCTION("""COMPUTED_VALUE"""),246.25)</f>
        <v>246.25</v>
      </c>
      <c r="J818" s="25">
        <f>IFERROR(__xludf.DUMMYFUNCTION("""COMPUTED_VALUE"""),250.5)</f>
        <v>250.5</v>
      </c>
      <c r="K818" s="25">
        <f>IFERROR(__xludf.DUMMYFUNCTION("""COMPUTED_VALUE"""),240.5)</f>
        <v>240.5</v>
      </c>
      <c r="L818" s="25">
        <f>IFERROR(__xludf.DUMMYFUNCTION("""COMPUTED_VALUE"""),242.98)</f>
        <v>242.98</v>
      </c>
      <c r="M818" s="25">
        <f>IFERROR(__xludf.DUMMYFUNCTION("""COMPUTED_VALUE"""),1609692.0)</f>
        <v>1609692</v>
      </c>
    </row>
    <row r="819">
      <c r="A819" s="26">
        <f>IFERROR(__xludf.DUMMYFUNCTION("""COMPUTED_VALUE"""),39559.645833333336)</f>
        <v>39559.64583</v>
      </c>
      <c r="B819" s="9">
        <f>IFERROR(__xludf.DUMMYFUNCTION("""COMPUTED_VALUE"""),209.88)</f>
        <v>209.88</v>
      </c>
      <c r="C819" s="9">
        <f>IFERROR(__xludf.DUMMYFUNCTION("""COMPUTED_VALUE"""),214.63)</f>
        <v>214.63</v>
      </c>
      <c r="D819" s="9">
        <f>IFERROR(__xludf.DUMMYFUNCTION("""COMPUTED_VALUE"""),203.5)</f>
        <v>203.5</v>
      </c>
      <c r="E819" s="9">
        <f>IFERROR(__xludf.DUMMYFUNCTION("""COMPUTED_VALUE"""),205.73)</f>
        <v>205.73</v>
      </c>
      <c r="F819" s="9">
        <f>IFERROR(__xludf.DUMMYFUNCTION("""COMPUTED_VALUE"""),1852749.0)</f>
        <v>1852749</v>
      </c>
      <c r="H819" s="27">
        <f>IFERROR(__xludf.DUMMYFUNCTION("""COMPUTED_VALUE"""),39555.645833333336)</f>
        <v>39555.64583</v>
      </c>
      <c r="I819" s="25">
        <f>IFERROR(__xludf.DUMMYFUNCTION("""COMPUTED_VALUE"""),249.93)</f>
        <v>249.93</v>
      </c>
      <c r="J819" s="25">
        <f>IFERROR(__xludf.DUMMYFUNCTION("""COMPUTED_VALUE"""),252.5)</f>
        <v>252.5</v>
      </c>
      <c r="K819" s="25">
        <f>IFERROR(__xludf.DUMMYFUNCTION("""COMPUTED_VALUE"""),244.89)</f>
        <v>244.89</v>
      </c>
      <c r="L819" s="25">
        <f>IFERROR(__xludf.DUMMYFUNCTION("""COMPUTED_VALUE"""),250.23)</f>
        <v>250.23</v>
      </c>
      <c r="M819" s="25">
        <f>IFERROR(__xludf.DUMMYFUNCTION("""COMPUTED_VALUE"""),999889.0)</f>
        <v>999889</v>
      </c>
    </row>
    <row r="820">
      <c r="A820" s="26">
        <f>IFERROR(__xludf.DUMMYFUNCTION("""COMPUTED_VALUE"""),39560.645833333336)</f>
        <v>39560.64583</v>
      </c>
      <c r="B820" s="9">
        <f>IFERROR(__xludf.DUMMYFUNCTION("""COMPUTED_VALUE"""),203.75)</f>
        <v>203.75</v>
      </c>
      <c r="C820" s="9">
        <f>IFERROR(__xludf.DUMMYFUNCTION("""COMPUTED_VALUE"""),205.64)</f>
        <v>205.64</v>
      </c>
      <c r="D820" s="9">
        <f>IFERROR(__xludf.DUMMYFUNCTION("""COMPUTED_VALUE"""),197.5)</f>
        <v>197.5</v>
      </c>
      <c r="E820" s="9">
        <f>IFERROR(__xludf.DUMMYFUNCTION("""COMPUTED_VALUE"""),199.83)</f>
        <v>199.83</v>
      </c>
      <c r="F820" s="9">
        <f>IFERROR(__xludf.DUMMYFUNCTION("""COMPUTED_VALUE"""),2099681.0)</f>
        <v>2099681</v>
      </c>
      <c r="H820" s="27">
        <f>IFERROR(__xludf.DUMMYFUNCTION("""COMPUTED_VALUE"""),39559.645833333336)</f>
        <v>39559.64583</v>
      </c>
      <c r="I820" s="25">
        <f>IFERROR(__xludf.DUMMYFUNCTION("""COMPUTED_VALUE"""),252.25)</f>
        <v>252.25</v>
      </c>
      <c r="J820" s="25">
        <f>IFERROR(__xludf.DUMMYFUNCTION("""COMPUTED_VALUE"""),258.75)</f>
        <v>258.75</v>
      </c>
      <c r="K820" s="25">
        <f>IFERROR(__xludf.DUMMYFUNCTION("""COMPUTED_VALUE"""),246.65)</f>
        <v>246.65</v>
      </c>
      <c r="L820" s="25">
        <f>IFERROR(__xludf.DUMMYFUNCTION("""COMPUTED_VALUE"""),248.35)</f>
        <v>248.35</v>
      </c>
      <c r="M820" s="25">
        <f>IFERROR(__xludf.DUMMYFUNCTION("""COMPUTED_VALUE"""),849824.0)</f>
        <v>849824</v>
      </c>
    </row>
    <row r="821">
      <c r="A821" s="26">
        <f>IFERROR(__xludf.DUMMYFUNCTION("""COMPUTED_VALUE"""),39561.645833333336)</f>
        <v>39561.64583</v>
      </c>
      <c r="B821" s="9">
        <f>IFERROR(__xludf.DUMMYFUNCTION("""COMPUTED_VALUE"""),200.0)</f>
        <v>200</v>
      </c>
      <c r="C821" s="9">
        <f>IFERROR(__xludf.DUMMYFUNCTION("""COMPUTED_VALUE"""),206.64)</f>
        <v>206.64</v>
      </c>
      <c r="D821" s="9">
        <f>IFERROR(__xludf.DUMMYFUNCTION("""COMPUTED_VALUE"""),199.64)</f>
        <v>199.64</v>
      </c>
      <c r="E821" s="9">
        <f>IFERROR(__xludf.DUMMYFUNCTION("""COMPUTED_VALUE"""),205.99)</f>
        <v>205.99</v>
      </c>
      <c r="F821" s="9">
        <f>IFERROR(__xludf.DUMMYFUNCTION("""COMPUTED_VALUE"""),2079013.0)</f>
        <v>2079013</v>
      </c>
      <c r="H821" s="27">
        <f>IFERROR(__xludf.DUMMYFUNCTION("""COMPUTED_VALUE"""),39560.645833333336)</f>
        <v>39560.64583</v>
      </c>
      <c r="I821" s="25">
        <f>IFERROR(__xludf.DUMMYFUNCTION("""COMPUTED_VALUE"""),246.24)</f>
        <v>246.24</v>
      </c>
      <c r="J821" s="25">
        <f>IFERROR(__xludf.DUMMYFUNCTION("""COMPUTED_VALUE"""),246.24)</f>
        <v>246.24</v>
      </c>
      <c r="K821" s="25">
        <f>IFERROR(__xludf.DUMMYFUNCTION("""COMPUTED_VALUE"""),220.5)</f>
        <v>220.5</v>
      </c>
      <c r="L821" s="25">
        <f>IFERROR(__xludf.DUMMYFUNCTION("""COMPUTED_VALUE"""),221.8)</f>
        <v>221.8</v>
      </c>
      <c r="M821" s="25">
        <f>IFERROR(__xludf.DUMMYFUNCTION("""COMPUTED_VALUE"""),3446299.0)</f>
        <v>3446299</v>
      </c>
    </row>
    <row r="822">
      <c r="A822" s="26">
        <f>IFERROR(__xludf.DUMMYFUNCTION("""COMPUTED_VALUE"""),39562.645833333336)</f>
        <v>39562.64583</v>
      </c>
      <c r="B822" s="9">
        <f>IFERROR(__xludf.DUMMYFUNCTION("""COMPUTED_VALUE"""),206.25)</f>
        <v>206.25</v>
      </c>
      <c r="C822" s="9">
        <f>IFERROR(__xludf.DUMMYFUNCTION("""COMPUTED_VALUE"""),213.49)</f>
        <v>213.49</v>
      </c>
      <c r="D822" s="9">
        <f>IFERROR(__xludf.DUMMYFUNCTION("""COMPUTED_VALUE"""),204.13)</f>
        <v>204.13</v>
      </c>
      <c r="E822" s="9">
        <f>IFERROR(__xludf.DUMMYFUNCTION("""COMPUTED_VALUE"""),212.01)</f>
        <v>212.01</v>
      </c>
      <c r="F822" s="9">
        <f>IFERROR(__xludf.DUMMYFUNCTION("""COMPUTED_VALUE"""),2293319.0)</f>
        <v>2293319</v>
      </c>
      <c r="H822" s="27">
        <f>IFERROR(__xludf.DUMMYFUNCTION("""COMPUTED_VALUE"""),39561.645833333336)</f>
        <v>39561.64583</v>
      </c>
      <c r="I822" s="25">
        <f>IFERROR(__xludf.DUMMYFUNCTION("""COMPUTED_VALUE"""),221.75)</f>
        <v>221.75</v>
      </c>
      <c r="J822" s="25">
        <f>IFERROR(__xludf.DUMMYFUNCTION("""COMPUTED_VALUE"""),226.43)</f>
        <v>226.43</v>
      </c>
      <c r="K822" s="25">
        <f>IFERROR(__xludf.DUMMYFUNCTION("""COMPUTED_VALUE"""),220.01)</f>
        <v>220.01</v>
      </c>
      <c r="L822" s="25">
        <f>IFERROR(__xludf.DUMMYFUNCTION("""COMPUTED_VALUE"""),222.29)</f>
        <v>222.29</v>
      </c>
      <c r="M822" s="25">
        <f>IFERROR(__xludf.DUMMYFUNCTION("""COMPUTED_VALUE"""),1581539.0)</f>
        <v>1581539</v>
      </c>
    </row>
    <row r="823">
      <c r="A823" s="26">
        <f>IFERROR(__xludf.DUMMYFUNCTION("""COMPUTED_VALUE"""),39563.645833333336)</f>
        <v>39563.64583</v>
      </c>
      <c r="B823" s="9">
        <f>IFERROR(__xludf.DUMMYFUNCTION("""COMPUTED_VALUE"""),212.49)</f>
        <v>212.49</v>
      </c>
      <c r="C823" s="9">
        <f>IFERROR(__xludf.DUMMYFUNCTION("""COMPUTED_VALUE"""),214.45)</f>
        <v>214.45</v>
      </c>
      <c r="D823" s="9">
        <f>IFERROR(__xludf.DUMMYFUNCTION("""COMPUTED_VALUE"""),206.38)</f>
        <v>206.38</v>
      </c>
      <c r="E823" s="9">
        <f>IFERROR(__xludf.DUMMYFUNCTION("""COMPUTED_VALUE"""),210.54)</f>
        <v>210.54</v>
      </c>
      <c r="F823" s="9">
        <f>IFERROR(__xludf.DUMMYFUNCTION("""COMPUTED_VALUE"""),1986998.0)</f>
        <v>1986998</v>
      </c>
      <c r="H823" s="27">
        <f>IFERROR(__xludf.DUMMYFUNCTION("""COMPUTED_VALUE"""),39562.645833333336)</f>
        <v>39562.64583</v>
      </c>
      <c r="I823" s="25">
        <f>IFERROR(__xludf.DUMMYFUNCTION("""COMPUTED_VALUE"""),226.0)</f>
        <v>226</v>
      </c>
      <c r="J823" s="25">
        <f>IFERROR(__xludf.DUMMYFUNCTION("""COMPUTED_VALUE"""),226.23)</f>
        <v>226.23</v>
      </c>
      <c r="K823" s="25">
        <f>IFERROR(__xludf.DUMMYFUNCTION("""COMPUTED_VALUE"""),216.0)</f>
        <v>216</v>
      </c>
      <c r="L823" s="25">
        <f>IFERROR(__xludf.DUMMYFUNCTION("""COMPUTED_VALUE"""),222.69)</f>
        <v>222.69</v>
      </c>
      <c r="M823" s="25">
        <f>IFERROR(__xludf.DUMMYFUNCTION("""COMPUTED_VALUE"""),3822524.0)</f>
        <v>3822524</v>
      </c>
    </row>
    <row r="824">
      <c r="A824" s="26">
        <f>IFERROR(__xludf.DUMMYFUNCTION("""COMPUTED_VALUE"""),39566.645833333336)</f>
        <v>39566.64583</v>
      </c>
      <c r="B824" s="9">
        <f>IFERROR(__xludf.DUMMYFUNCTION("""COMPUTED_VALUE"""),211.25)</f>
        <v>211.25</v>
      </c>
      <c r="C824" s="9">
        <f>IFERROR(__xludf.DUMMYFUNCTION("""COMPUTED_VALUE"""),212.5)</f>
        <v>212.5</v>
      </c>
      <c r="D824" s="9">
        <f>IFERROR(__xludf.DUMMYFUNCTION("""COMPUTED_VALUE"""),206.39)</f>
        <v>206.39</v>
      </c>
      <c r="E824" s="9">
        <f>IFERROR(__xludf.DUMMYFUNCTION("""COMPUTED_VALUE"""),207.96)</f>
        <v>207.96</v>
      </c>
      <c r="F824" s="9">
        <f>IFERROR(__xludf.DUMMYFUNCTION("""COMPUTED_VALUE"""),1078732.0)</f>
        <v>1078732</v>
      </c>
      <c r="H824" s="27">
        <f>IFERROR(__xludf.DUMMYFUNCTION("""COMPUTED_VALUE"""),39563.645833333336)</f>
        <v>39563.64583</v>
      </c>
      <c r="I824" s="25">
        <f>IFERROR(__xludf.DUMMYFUNCTION("""COMPUTED_VALUE"""),228.0)</f>
        <v>228</v>
      </c>
      <c r="J824" s="25">
        <f>IFERROR(__xludf.DUMMYFUNCTION("""COMPUTED_VALUE"""),228.0)</f>
        <v>228</v>
      </c>
      <c r="K824" s="25">
        <f>IFERROR(__xludf.DUMMYFUNCTION("""COMPUTED_VALUE"""),221.25)</f>
        <v>221.25</v>
      </c>
      <c r="L824" s="25">
        <f>IFERROR(__xludf.DUMMYFUNCTION("""COMPUTED_VALUE"""),222.33)</f>
        <v>222.33</v>
      </c>
      <c r="M824" s="25">
        <f>IFERROR(__xludf.DUMMYFUNCTION("""COMPUTED_VALUE"""),1707142.0)</f>
        <v>1707142</v>
      </c>
    </row>
    <row r="825">
      <c r="A825" s="26">
        <f>IFERROR(__xludf.DUMMYFUNCTION("""COMPUTED_VALUE"""),39567.645833333336)</f>
        <v>39567.64583</v>
      </c>
      <c r="B825" s="9">
        <f>IFERROR(__xludf.DUMMYFUNCTION("""COMPUTED_VALUE"""),206.25)</f>
        <v>206.25</v>
      </c>
      <c r="C825" s="9">
        <f>IFERROR(__xludf.DUMMYFUNCTION("""COMPUTED_VALUE"""),220.24)</f>
        <v>220.24</v>
      </c>
      <c r="D825" s="9">
        <f>IFERROR(__xludf.DUMMYFUNCTION("""COMPUTED_VALUE"""),205.14)</f>
        <v>205.14</v>
      </c>
      <c r="E825" s="9">
        <f>IFERROR(__xludf.DUMMYFUNCTION("""COMPUTED_VALUE"""),218.69)</f>
        <v>218.69</v>
      </c>
      <c r="F825" s="9">
        <f>IFERROR(__xludf.DUMMYFUNCTION("""COMPUTED_VALUE"""),4245846.0)</f>
        <v>4245846</v>
      </c>
      <c r="H825" s="27">
        <f>IFERROR(__xludf.DUMMYFUNCTION("""COMPUTED_VALUE"""),39566.645833333336)</f>
        <v>39566.64583</v>
      </c>
      <c r="I825" s="25">
        <f>IFERROR(__xludf.DUMMYFUNCTION("""COMPUTED_VALUE"""),202.25)</f>
        <v>202.25</v>
      </c>
      <c r="J825" s="25">
        <f>IFERROR(__xludf.DUMMYFUNCTION("""COMPUTED_VALUE"""),224.0)</f>
        <v>224</v>
      </c>
      <c r="K825" s="25">
        <f>IFERROR(__xludf.DUMMYFUNCTION("""COMPUTED_VALUE"""),180.0)</f>
        <v>180</v>
      </c>
      <c r="L825" s="25">
        <f>IFERROR(__xludf.DUMMYFUNCTION("""COMPUTED_VALUE"""),220.43)</f>
        <v>220.43</v>
      </c>
      <c r="M825" s="25">
        <f>IFERROR(__xludf.DUMMYFUNCTION("""COMPUTED_VALUE"""),1649534.0)</f>
        <v>1649534</v>
      </c>
    </row>
    <row r="826">
      <c r="A826" s="26">
        <f>IFERROR(__xludf.DUMMYFUNCTION("""COMPUTED_VALUE"""),39568.645833333336)</f>
        <v>39568.64583</v>
      </c>
      <c r="B826" s="9">
        <f>IFERROR(__xludf.DUMMYFUNCTION("""COMPUTED_VALUE"""),220.0)</f>
        <v>220</v>
      </c>
      <c r="C826" s="9">
        <f>IFERROR(__xludf.DUMMYFUNCTION("""COMPUTED_VALUE"""),226.25)</f>
        <v>226.25</v>
      </c>
      <c r="D826" s="9">
        <f>IFERROR(__xludf.DUMMYFUNCTION("""COMPUTED_VALUE"""),216.26)</f>
        <v>216.26</v>
      </c>
      <c r="E826" s="9">
        <f>IFERROR(__xludf.DUMMYFUNCTION("""COMPUTED_VALUE"""),219.14)</f>
        <v>219.14</v>
      </c>
      <c r="F826" s="9">
        <f>IFERROR(__xludf.DUMMYFUNCTION("""COMPUTED_VALUE"""),2624917.0)</f>
        <v>2624917</v>
      </c>
      <c r="H826" s="27">
        <f>IFERROR(__xludf.DUMMYFUNCTION("""COMPUTED_VALUE"""),39567.645833333336)</f>
        <v>39567.64583</v>
      </c>
      <c r="I826" s="25">
        <f>IFERROR(__xludf.DUMMYFUNCTION("""COMPUTED_VALUE"""),220.51)</f>
        <v>220.51</v>
      </c>
      <c r="J826" s="25">
        <f>IFERROR(__xludf.DUMMYFUNCTION("""COMPUTED_VALUE"""),232.5)</f>
        <v>232.5</v>
      </c>
      <c r="K826" s="25">
        <f>IFERROR(__xludf.DUMMYFUNCTION("""COMPUTED_VALUE"""),217.54)</f>
        <v>217.54</v>
      </c>
      <c r="L826" s="25">
        <f>IFERROR(__xludf.DUMMYFUNCTION("""COMPUTED_VALUE"""),227.64)</f>
        <v>227.64</v>
      </c>
      <c r="M826" s="25">
        <f>IFERROR(__xludf.DUMMYFUNCTION("""COMPUTED_VALUE"""),4052462.0)</f>
        <v>4052462</v>
      </c>
    </row>
    <row r="827">
      <c r="A827" s="26">
        <f>IFERROR(__xludf.DUMMYFUNCTION("""COMPUTED_VALUE"""),39570.645833333336)</f>
        <v>39570.64583</v>
      </c>
      <c r="B827" s="9">
        <f>IFERROR(__xludf.DUMMYFUNCTION("""COMPUTED_VALUE"""),221.88)</f>
        <v>221.88</v>
      </c>
      <c r="C827" s="9">
        <f>IFERROR(__xludf.DUMMYFUNCTION("""COMPUTED_VALUE"""),224.63)</f>
        <v>224.63</v>
      </c>
      <c r="D827" s="9">
        <f>IFERROR(__xludf.DUMMYFUNCTION("""COMPUTED_VALUE"""),221.04)</f>
        <v>221.04</v>
      </c>
      <c r="E827" s="9">
        <f>IFERROR(__xludf.DUMMYFUNCTION("""COMPUTED_VALUE"""),223.43)</f>
        <v>223.43</v>
      </c>
      <c r="F827" s="9">
        <f>IFERROR(__xludf.DUMMYFUNCTION("""COMPUTED_VALUE"""),2168626.0)</f>
        <v>2168626</v>
      </c>
      <c r="H827" s="27">
        <f>IFERROR(__xludf.DUMMYFUNCTION("""COMPUTED_VALUE"""),39568.645833333336)</f>
        <v>39568.64583</v>
      </c>
      <c r="I827" s="25">
        <f>IFERROR(__xludf.DUMMYFUNCTION("""COMPUTED_VALUE"""),229.03)</f>
        <v>229.03</v>
      </c>
      <c r="J827" s="25">
        <f>IFERROR(__xludf.DUMMYFUNCTION("""COMPUTED_VALUE"""),233.94)</f>
        <v>233.94</v>
      </c>
      <c r="K827" s="25">
        <f>IFERROR(__xludf.DUMMYFUNCTION("""COMPUTED_VALUE"""),226.63)</f>
        <v>226.63</v>
      </c>
      <c r="L827" s="25">
        <f>IFERROR(__xludf.DUMMYFUNCTION("""COMPUTED_VALUE"""),230.25)</f>
        <v>230.25</v>
      </c>
      <c r="M827" s="25">
        <f>IFERROR(__xludf.DUMMYFUNCTION("""COMPUTED_VALUE"""),2371995.0)</f>
        <v>2371995</v>
      </c>
    </row>
    <row r="828">
      <c r="A828" s="26">
        <f>IFERROR(__xludf.DUMMYFUNCTION("""COMPUTED_VALUE"""),39573.645833333336)</f>
        <v>39573.64583</v>
      </c>
      <c r="B828" s="9">
        <f>IFERROR(__xludf.DUMMYFUNCTION("""COMPUTED_VALUE"""),223.38)</f>
        <v>223.38</v>
      </c>
      <c r="C828" s="9">
        <f>IFERROR(__xludf.DUMMYFUNCTION("""COMPUTED_VALUE"""),226.25)</f>
        <v>226.25</v>
      </c>
      <c r="D828" s="9">
        <f>IFERROR(__xludf.DUMMYFUNCTION("""COMPUTED_VALUE"""),220.52)</f>
        <v>220.52</v>
      </c>
      <c r="E828" s="9">
        <f>IFERROR(__xludf.DUMMYFUNCTION("""COMPUTED_VALUE"""),223.24)</f>
        <v>223.24</v>
      </c>
      <c r="F828" s="9">
        <f>IFERROR(__xludf.DUMMYFUNCTION("""COMPUTED_VALUE"""),1224035.0)</f>
        <v>1224035</v>
      </c>
      <c r="H828" s="27">
        <f>IFERROR(__xludf.DUMMYFUNCTION("""COMPUTED_VALUE"""),39570.645833333336)</f>
        <v>39570.64583</v>
      </c>
      <c r="I828" s="25">
        <f>IFERROR(__xludf.DUMMYFUNCTION("""COMPUTED_VALUE"""),231.25)</f>
        <v>231.25</v>
      </c>
      <c r="J828" s="25">
        <f>IFERROR(__xludf.DUMMYFUNCTION("""COMPUTED_VALUE"""),240.5)</f>
        <v>240.5</v>
      </c>
      <c r="K828" s="25">
        <f>IFERROR(__xludf.DUMMYFUNCTION("""COMPUTED_VALUE"""),231.0)</f>
        <v>231</v>
      </c>
      <c r="L828" s="25">
        <f>IFERROR(__xludf.DUMMYFUNCTION("""COMPUTED_VALUE"""),235.94)</f>
        <v>235.94</v>
      </c>
      <c r="M828" s="25">
        <f>IFERROR(__xludf.DUMMYFUNCTION("""COMPUTED_VALUE"""),1324695.0)</f>
        <v>1324695</v>
      </c>
    </row>
    <row r="829">
      <c r="A829" s="26">
        <f>IFERROR(__xludf.DUMMYFUNCTION("""COMPUTED_VALUE"""),39574.645833333336)</f>
        <v>39574.64583</v>
      </c>
      <c r="B829" s="9">
        <f>IFERROR(__xludf.DUMMYFUNCTION("""COMPUTED_VALUE"""),220.7)</f>
        <v>220.7</v>
      </c>
      <c r="C829" s="9">
        <f>IFERROR(__xludf.DUMMYFUNCTION("""COMPUTED_VALUE"""),231.25)</f>
        <v>231.25</v>
      </c>
      <c r="D829" s="9">
        <f>IFERROR(__xludf.DUMMYFUNCTION("""COMPUTED_VALUE"""),217.0)</f>
        <v>217</v>
      </c>
      <c r="E829" s="9">
        <f>IFERROR(__xludf.DUMMYFUNCTION("""COMPUTED_VALUE"""),225.93)</f>
        <v>225.93</v>
      </c>
      <c r="F829" s="9">
        <f>IFERROR(__xludf.DUMMYFUNCTION("""COMPUTED_VALUE"""),2222832.0)</f>
        <v>2222832</v>
      </c>
      <c r="H829" s="27">
        <f>IFERROR(__xludf.DUMMYFUNCTION("""COMPUTED_VALUE"""),39573.645833333336)</f>
        <v>39573.64583</v>
      </c>
      <c r="I829" s="25">
        <f>IFERROR(__xludf.DUMMYFUNCTION("""COMPUTED_VALUE"""),236.25)</f>
        <v>236.25</v>
      </c>
      <c r="J829" s="25">
        <f>IFERROR(__xludf.DUMMYFUNCTION("""COMPUTED_VALUE"""),237.38)</f>
        <v>237.38</v>
      </c>
      <c r="K829" s="25">
        <f>IFERROR(__xludf.DUMMYFUNCTION("""COMPUTED_VALUE"""),230.29)</f>
        <v>230.29</v>
      </c>
      <c r="L829" s="25">
        <f>IFERROR(__xludf.DUMMYFUNCTION("""COMPUTED_VALUE"""),231.86)</f>
        <v>231.86</v>
      </c>
      <c r="M829" s="25">
        <f>IFERROR(__xludf.DUMMYFUNCTION("""COMPUTED_VALUE"""),903441.0)</f>
        <v>903441</v>
      </c>
    </row>
    <row r="830">
      <c r="A830" s="26">
        <f>IFERROR(__xludf.DUMMYFUNCTION("""COMPUTED_VALUE"""),39575.645833333336)</f>
        <v>39575.64583</v>
      </c>
      <c r="B830" s="9">
        <f>IFERROR(__xludf.DUMMYFUNCTION("""COMPUTED_VALUE"""),229.61)</f>
        <v>229.61</v>
      </c>
      <c r="C830" s="9">
        <f>IFERROR(__xludf.DUMMYFUNCTION("""COMPUTED_VALUE"""),232.38)</f>
        <v>232.38</v>
      </c>
      <c r="D830" s="9">
        <f>IFERROR(__xludf.DUMMYFUNCTION("""COMPUTED_VALUE"""),227.33)</f>
        <v>227.33</v>
      </c>
      <c r="E830" s="9">
        <f>IFERROR(__xludf.DUMMYFUNCTION("""COMPUTED_VALUE"""),230.52)</f>
        <v>230.52</v>
      </c>
      <c r="F830" s="9">
        <f>IFERROR(__xludf.DUMMYFUNCTION("""COMPUTED_VALUE"""),2760656.0)</f>
        <v>2760656</v>
      </c>
      <c r="H830" s="27">
        <f>IFERROR(__xludf.DUMMYFUNCTION("""COMPUTED_VALUE"""),39574.645833333336)</f>
        <v>39574.64583</v>
      </c>
      <c r="I830" s="25">
        <f>IFERROR(__xludf.DUMMYFUNCTION("""COMPUTED_VALUE"""),227.5)</f>
        <v>227.5</v>
      </c>
      <c r="J830" s="25">
        <f>IFERROR(__xludf.DUMMYFUNCTION("""COMPUTED_VALUE"""),237.5)</f>
        <v>237.5</v>
      </c>
      <c r="K830" s="25">
        <f>IFERROR(__xludf.DUMMYFUNCTION("""COMPUTED_VALUE"""),218.15)</f>
        <v>218.15</v>
      </c>
      <c r="L830" s="25">
        <f>IFERROR(__xludf.DUMMYFUNCTION("""COMPUTED_VALUE"""),234.26)</f>
        <v>234.26</v>
      </c>
      <c r="M830" s="25">
        <f>IFERROR(__xludf.DUMMYFUNCTION("""COMPUTED_VALUE"""),995699.0)</f>
        <v>995699</v>
      </c>
    </row>
    <row r="831">
      <c r="A831" s="26">
        <f>IFERROR(__xludf.DUMMYFUNCTION("""COMPUTED_VALUE"""),39576.645833333336)</f>
        <v>39576.64583</v>
      </c>
      <c r="B831" s="9">
        <f>IFERROR(__xludf.DUMMYFUNCTION("""COMPUTED_VALUE"""),225.63)</f>
        <v>225.63</v>
      </c>
      <c r="C831" s="9">
        <f>IFERROR(__xludf.DUMMYFUNCTION("""COMPUTED_VALUE"""),229.38)</f>
        <v>229.38</v>
      </c>
      <c r="D831" s="9">
        <f>IFERROR(__xludf.DUMMYFUNCTION("""COMPUTED_VALUE"""),218.18)</f>
        <v>218.18</v>
      </c>
      <c r="E831" s="9">
        <f>IFERROR(__xludf.DUMMYFUNCTION("""COMPUTED_VALUE"""),223.08)</f>
        <v>223.08</v>
      </c>
      <c r="F831" s="9">
        <f>IFERROR(__xludf.DUMMYFUNCTION("""COMPUTED_VALUE"""),1942209.0)</f>
        <v>1942209</v>
      </c>
      <c r="H831" s="27">
        <f>IFERROR(__xludf.DUMMYFUNCTION("""COMPUTED_VALUE"""),39575.645833333336)</f>
        <v>39575.64583</v>
      </c>
      <c r="I831" s="25">
        <f>IFERROR(__xludf.DUMMYFUNCTION("""COMPUTED_VALUE"""),237.5)</f>
        <v>237.5</v>
      </c>
      <c r="J831" s="25">
        <f>IFERROR(__xludf.DUMMYFUNCTION("""COMPUTED_VALUE"""),244.98)</f>
        <v>244.98</v>
      </c>
      <c r="K831" s="25">
        <f>IFERROR(__xludf.DUMMYFUNCTION("""COMPUTED_VALUE"""),237.5)</f>
        <v>237.5</v>
      </c>
      <c r="L831" s="25">
        <f>IFERROR(__xludf.DUMMYFUNCTION("""COMPUTED_VALUE"""),241.69)</f>
        <v>241.69</v>
      </c>
      <c r="M831" s="25">
        <f>IFERROR(__xludf.DUMMYFUNCTION("""COMPUTED_VALUE"""),3146385.0)</f>
        <v>3146385</v>
      </c>
    </row>
    <row r="832">
      <c r="A832" s="26">
        <f>IFERROR(__xludf.DUMMYFUNCTION("""COMPUTED_VALUE"""),39577.645833333336)</f>
        <v>39577.64583</v>
      </c>
      <c r="B832" s="9">
        <f>IFERROR(__xludf.DUMMYFUNCTION("""COMPUTED_VALUE"""),222.63)</f>
        <v>222.63</v>
      </c>
      <c r="C832" s="9">
        <f>IFERROR(__xludf.DUMMYFUNCTION("""COMPUTED_VALUE"""),223.93)</f>
        <v>223.93</v>
      </c>
      <c r="D832" s="9">
        <f>IFERROR(__xludf.DUMMYFUNCTION("""COMPUTED_VALUE"""),217.13)</f>
        <v>217.13</v>
      </c>
      <c r="E832" s="9">
        <f>IFERROR(__xludf.DUMMYFUNCTION("""COMPUTED_VALUE"""),218.67)</f>
        <v>218.67</v>
      </c>
      <c r="F832" s="9">
        <f>IFERROR(__xludf.DUMMYFUNCTION("""COMPUTED_VALUE"""),1801600.0)</f>
        <v>1801600</v>
      </c>
      <c r="H832" s="27">
        <f>IFERROR(__xludf.DUMMYFUNCTION("""COMPUTED_VALUE"""),39576.645833333336)</f>
        <v>39576.64583</v>
      </c>
      <c r="I832" s="25">
        <f>IFERROR(__xludf.DUMMYFUNCTION("""COMPUTED_VALUE"""),241.23)</f>
        <v>241.23</v>
      </c>
      <c r="J832" s="25">
        <f>IFERROR(__xludf.DUMMYFUNCTION("""COMPUTED_VALUE"""),241.25)</f>
        <v>241.25</v>
      </c>
      <c r="K832" s="25">
        <f>IFERROR(__xludf.DUMMYFUNCTION("""COMPUTED_VALUE"""),229.5)</f>
        <v>229.5</v>
      </c>
      <c r="L832" s="25">
        <f>IFERROR(__xludf.DUMMYFUNCTION("""COMPUTED_VALUE"""),236.75)</f>
        <v>236.75</v>
      </c>
      <c r="M832" s="25">
        <f>IFERROR(__xludf.DUMMYFUNCTION("""COMPUTED_VALUE"""),2711458.0)</f>
        <v>2711458</v>
      </c>
    </row>
    <row r="833">
      <c r="A833" s="26">
        <f>IFERROR(__xludf.DUMMYFUNCTION("""COMPUTED_VALUE"""),39580.645833333336)</f>
        <v>39580.64583</v>
      </c>
      <c r="B833" s="9">
        <f>IFERROR(__xludf.DUMMYFUNCTION("""COMPUTED_VALUE"""),221.18)</f>
        <v>221.18</v>
      </c>
      <c r="C833" s="9">
        <f>IFERROR(__xludf.DUMMYFUNCTION("""COMPUTED_VALUE"""),224.88)</f>
        <v>224.88</v>
      </c>
      <c r="D833" s="9">
        <f>IFERROR(__xludf.DUMMYFUNCTION("""COMPUTED_VALUE"""),211.92)</f>
        <v>211.92</v>
      </c>
      <c r="E833" s="9">
        <f>IFERROR(__xludf.DUMMYFUNCTION("""COMPUTED_VALUE"""),221.68)</f>
        <v>221.68</v>
      </c>
      <c r="F833" s="9">
        <f>IFERROR(__xludf.DUMMYFUNCTION("""COMPUTED_VALUE"""),2037730.0)</f>
        <v>2037730</v>
      </c>
      <c r="H833" s="27">
        <f>IFERROR(__xludf.DUMMYFUNCTION("""COMPUTED_VALUE"""),39577.645833333336)</f>
        <v>39577.64583</v>
      </c>
      <c r="I833" s="25">
        <f>IFERROR(__xludf.DUMMYFUNCTION("""COMPUTED_VALUE"""),239.75)</f>
        <v>239.75</v>
      </c>
      <c r="J833" s="25">
        <f>IFERROR(__xludf.DUMMYFUNCTION("""COMPUTED_VALUE"""),239.75)</f>
        <v>239.75</v>
      </c>
      <c r="K833" s="25">
        <f>IFERROR(__xludf.DUMMYFUNCTION("""COMPUTED_VALUE"""),227.5)</f>
        <v>227.5</v>
      </c>
      <c r="L833" s="25">
        <f>IFERROR(__xludf.DUMMYFUNCTION("""COMPUTED_VALUE"""),229.25)</f>
        <v>229.25</v>
      </c>
      <c r="M833" s="25">
        <f>IFERROR(__xludf.DUMMYFUNCTION("""COMPUTED_VALUE"""),1123074.0)</f>
        <v>1123074</v>
      </c>
    </row>
    <row r="834">
      <c r="A834" s="26">
        <f>IFERROR(__xludf.DUMMYFUNCTION("""COMPUTED_VALUE"""),39581.645833333336)</f>
        <v>39581.64583</v>
      </c>
      <c r="B834" s="9">
        <f>IFERROR(__xludf.DUMMYFUNCTION("""COMPUTED_VALUE"""),223.13)</f>
        <v>223.13</v>
      </c>
      <c r="C834" s="9">
        <f>IFERROR(__xludf.DUMMYFUNCTION("""COMPUTED_VALUE"""),226.86)</f>
        <v>226.86</v>
      </c>
      <c r="D834" s="9">
        <f>IFERROR(__xludf.DUMMYFUNCTION("""COMPUTED_VALUE"""),214.38)</f>
        <v>214.38</v>
      </c>
      <c r="E834" s="9">
        <f>IFERROR(__xludf.DUMMYFUNCTION("""COMPUTED_VALUE"""),218.59)</f>
        <v>218.59</v>
      </c>
      <c r="F834" s="9">
        <f>IFERROR(__xludf.DUMMYFUNCTION("""COMPUTED_VALUE"""),2256197.0)</f>
        <v>2256197</v>
      </c>
      <c r="H834" s="27">
        <f>IFERROR(__xludf.DUMMYFUNCTION("""COMPUTED_VALUE"""),39580.645833333336)</f>
        <v>39580.64583</v>
      </c>
      <c r="I834" s="25">
        <f>IFERROR(__xludf.DUMMYFUNCTION("""COMPUTED_VALUE"""),229.25)</f>
        <v>229.25</v>
      </c>
      <c r="J834" s="25">
        <f>IFERROR(__xludf.DUMMYFUNCTION("""COMPUTED_VALUE"""),233.71)</f>
        <v>233.71</v>
      </c>
      <c r="K834" s="25">
        <f>IFERROR(__xludf.DUMMYFUNCTION("""COMPUTED_VALUE"""),227.58)</f>
        <v>227.58</v>
      </c>
      <c r="L834" s="25">
        <f>IFERROR(__xludf.DUMMYFUNCTION("""COMPUTED_VALUE"""),231.73)</f>
        <v>231.73</v>
      </c>
      <c r="M834" s="25">
        <f>IFERROR(__xludf.DUMMYFUNCTION("""COMPUTED_VALUE"""),974627.0)</f>
        <v>974627</v>
      </c>
    </row>
    <row r="835">
      <c r="A835" s="26">
        <f>IFERROR(__xludf.DUMMYFUNCTION("""COMPUTED_VALUE"""),39582.645833333336)</f>
        <v>39582.64583</v>
      </c>
      <c r="B835" s="9">
        <f>IFERROR(__xludf.DUMMYFUNCTION("""COMPUTED_VALUE"""),217.5)</f>
        <v>217.5</v>
      </c>
      <c r="C835" s="9">
        <f>IFERROR(__xludf.DUMMYFUNCTION("""COMPUTED_VALUE"""),229.38)</f>
        <v>229.38</v>
      </c>
      <c r="D835" s="9">
        <f>IFERROR(__xludf.DUMMYFUNCTION("""COMPUTED_VALUE"""),217.5)</f>
        <v>217.5</v>
      </c>
      <c r="E835" s="9">
        <f>IFERROR(__xludf.DUMMYFUNCTION("""COMPUTED_VALUE"""),228.11)</f>
        <v>228.11</v>
      </c>
      <c r="F835" s="9">
        <f>IFERROR(__xludf.DUMMYFUNCTION("""COMPUTED_VALUE"""),2027864.0)</f>
        <v>2027864</v>
      </c>
      <c r="H835" s="27">
        <f>IFERROR(__xludf.DUMMYFUNCTION("""COMPUTED_VALUE"""),39581.645833333336)</f>
        <v>39581.64583</v>
      </c>
      <c r="I835" s="25">
        <f>IFERROR(__xludf.DUMMYFUNCTION("""COMPUTED_VALUE"""),232.5)</f>
        <v>232.5</v>
      </c>
      <c r="J835" s="25">
        <f>IFERROR(__xludf.DUMMYFUNCTION("""COMPUTED_VALUE"""),235.35)</f>
        <v>235.35</v>
      </c>
      <c r="K835" s="25">
        <f>IFERROR(__xludf.DUMMYFUNCTION("""COMPUTED_VALUE"""),222.25)</f>
        <v>222.25</v>
      </c>
      <c r="L835" s="25">
        <f>IFERROR(__xludf.DUMMYFUNCTION("""COMPUTED_VALUE"""),226.26)</f>
        <v>226.26</v>
      </c>
      <c r="M835" s="25">
        <f>IFERROR(__xludf.DUMMYFUNCTION("""COMPUTED_VALUE"""),1115719.0)</f>
        <v>1115719</v>
      </c>
    </row>
    <row r="836">
      <c r="A836" s="26">
        <f>IFERROR(__xludf.DUMMYFUNCTION("""COMPUTED_VALUE"""),39583.645833333336)</f>
        <v>39583.64583</v>
      </c>
      <c r="B836" s="9">
        <f>IFERROR(__xludf.DUMMYFUNCTION("""COMPUTED_VALUE"""),228.0)</f>
        <v>228</v>
      </c>
      <c r="C836" s="9">
        <f>IFERROR(__xludf.DUMMYFUNCTION("""COMPUTED_VALUE"""),238.56)</f>
        <v>238.56</v>
      </c>
      <c r="D836" s="9">
        <f>IFERROR(__xludf.DUMMYFUNCTION("""COMPUTED_VALUE"""),228.0)</f>
        <v>228</v>
      </c>
      <c r="E836" s="9">
        <f>IFERROR(__xludf.DUMMYFUNCTION("""COMPUTED_VALUE"""),236.64)</f>
        <v>236.64</v>
      </c>
      <c r="F836" s="9">
        <f>IFERROR(__xludf.DUMMYFUNCTION("""COMPUTED_VALUE"""),3622804.0)</f>
        <v>3622804</v>
      </c>
      <c r="H836" s="27">
        <f>IFERROR(__xludf.DUMMYFUNCTION("""COMPUTED_VALUE"""),39582.645833333336)</f>
        <v>39582.64583</v>
      </c>
      <c r="I836" s="25">
        <f>IFERROR(__xludf.DUMMYFUNCTION("""COMPUTED_VALUE"""),226.25)</f>
        <v>226.25</v>
      </c>
      <c r="J836" s="25">
        <f>IFERROR(__xludf.DUMMYFUNCTION("""COMPUTED_VALUE"""),244.74)</f>
        <v>244.74</v>
      </c>
      <c r="K836" s="25">
        <f>IFERROR(__xludf.DUMMYFUNCTION("""COMPUTED_VALUE"""),222.79)</f>
        <v>222.79</v>
      </c>
      <c r="L836" s="25">
        <f>IFERROR(__xludf.DUMMYFUNCTION("""COMPUTED_VALUE"""),242.79)</f>
        <v>242.79</v>
      </c>
      <c r="M836" s="25">
        <f>IFERROR(__xludf.DUMMYFUNCTION("""COMPUTED_VALUE"""),2343297.0)</f>
        <v>2343297</v>
      </c>
    </row>
    <row r="837">
      <c r="A837" s="26">
        <f>IFERROR(__xludf.DUMMYFUNCTION("""COMPUTED_VALUE"""),39584.645833333336)</f>
        <v>39584.64583</v>
      </c>
      <c r="B837" s="9">
        <f>IFERROR(__xludf.DUMMYFUNCTION("""COMPUTED_VALUE"""),237.13)</f>
        <v>237.13</v>
      </c>
      <c r="C837" s="9">
        <f>IFERROR(__xludf.DUMMYFUNCTION("""COMPUTED_VALUE"""),239.41)</f>
        <v>239.41</v>
      </c>
      <c r="D837" s="9">
        <f>IFERROR(__xludf.DUMMYFUNCTION("""COMPUTED_VALUE"""),232.51)</f>
        <v>232.51</v>
      </c>
      <c r="E837" s="9">
        <f>IFERROR(__xludf.DUMMYFUNCTION("""COMPUTED_VALUE"""),233.93)</f>
        <v>233.93</v>
      </c>
      <c r="F837" s="9">
        <f>IFERROR(__xludf.DUMMYFUNCTION("""COMPUTED_VALUE"""),2108093.0)</f>
        <v>2108093</v>
      </c>
      <c r="H837" s="27">
        <f>IFERROR(__xludf.DUMMYFUNCTION("""COMPUTED_VALUE"""),39583.645833333336)</f>
        <v>39583.64583</v>
      </c>
      <c r="I837" s="25">
        <f>IFERROR(__xludf.DUMMYFUNCTION("""COMPUTED_VALUE"""),243.25)</f>
        <v>243.25</v>
      </c>
      <c r="J837" s="25">
        <f>IFERROR(__xludf.DUMMYFUNCTION("""COMPUTED_VALUE"""),250.5)</f>
        <v>250.5</v>
      </c>
      <c r="K837" s="25">
        <f>IFERROR(__xludf.DUMMYFUNCTION("""COMPUTED_VALUE"""),240.03)</f>
        <v>240.03</v>
      </c>
      <c r="L837" s="25">
        <f>IFERROR(__xludf.DUMMYFUNCTION("""COMPUTED_VALUE"""),246.19)</f>
        <v>246.19</v>
      </c>
      <c r="M837" s="25">
        <f>IFERROR(__xludf.DUMMYFUNCTION("""COMPUTED_VALUE"""),1794474.0)</f>
        <v>1794474</v>
      </c>
    </row>
    <row r="838">
      <c r="A838" s="26">
        <f>IFERROR(__xludf.DUMMYFUNCTION("""COMPUTED_VALUE"""),39588.645833333336)</f>
        <v>39588.64583</v>
      </c>
      <c r="B838" s="9">
        <f>IFERROR(__xludf.DUMMYFUNCTION("""COMPUTED_VALUE"""),233.13)</f>
        <v>233.13</v>
      </c>
      <c r="C838" s="9">
        <f>IFERROR(__xludf.DUMMYFUNCTION("""COMPUTED_VALUE"""),239.13)</f>
        <v>239.13</v>
      </c>
      <c r="D838" s="9">
        <f>IFERROR(__xludf.DUMMYFUNCTION("""COMPUTED_VALUE"""),226.88)</f>
        <v>226.88</v>
      </c>
      <c r="E838" s="9">
        <f>IFERROR(__xludf.DUMMYFUNCTION("""COMPUTED_VALUE"""),235.96)</f>
        <v>235.96</v>
      </c>
      <c r="F838" s="9">
        <f>IFERROR(__xludf.DUMMYFUNCTION("""COMPUTED_VALUE"""),1746160.0)</f>
        <v>1746160</v>
      </c>
      <c r="H838" s="27">
        <f>IFERROR(__xludf.DUMMYFUNCTION("""COMPUTED_VALUE"""),39584.645833333336)</f>
        <v>39584.64583</v>
      </c>
      <c r="I838" s="25">
        <f>IFERROR(__xludf.DUMMYFUNCTION("""COMPUTED_VALUE"""),248.5)</f>
        <v>248.5</v>
      </c>
      <c r="J838" s="25">
        <f>IFERROR(__xludf.DUMMYFUNCTION("""COMPUTED_VALUE"""),248.5)</f>
        <v>248.5</v>
      </c>
      <c r="K838" s="25">
        <f>IFERROR(__xludf.DUMMYFUNCTION("""COMPUTED_VALUE"""),242.13)</f>
        <v>242.13</v>
      </c>
      <c r="L838" s="25">
        <f>IFERROR(__xludf.DUMMYFUNCTION("""COMPUTED_VALUE"""),245.26)</f>
        <v>245.26</v>
      </c>
      <c r="M838" s="25">
        <f>IFERROR(__xludf.DUMMYFUNCTION("""COMPUTED_VALUE"""),959662.0)</f>
        <v>959662</v>
      </c>
    </row>
    <row r="839">
      <c r="A839" s="26">
        <f>IFERROR(__xludf.DUMMYFUNCTION("""COMPUTED_VALUE"""),39589.645833333336)</f>
        <v>39589.64583</v>
      </c>
      <c r="B839" s="9">
        <f>IFERROR(__xludf.DUMMYFUNCTION("""COMPUTED_VALUE"""),234.25)</f>
        <v>234.25</v>
      </c>
      <c r="C839" s="9">
        <f>IFERROR(__xludf.DUMMYFUNCTION("""COMPUTED_VALUE"""),235.5)</f>
        <v>235.5</v>
      </c>
      <c r="D839" s="9">
        <f>IFERROR(__xludf.DUMMYFUNCTION("""COMPUTED_VALUE"""),231.75)</f>
        <v>231.75</v>
      </c>
      <c r="E839" s="9">
        <f>IFERROR(__xludf.DUMMYFUNCTION("""COMPUTED_VALUE"""),233.83)</f>
        <v>233.83</v>
      </c>
      <c r="F839" s="9">
        <f>IFERROR(__xludf.DUMMYFUNCTION("""COMPUTED_VALUE"""),1069923.0)</f>
        <v>1069923</v>
      </c>
      <c r="H839" s="27">
        <f>IFERROR(__xludf.DUMMYFUNCTION("""COMPUTED_VALUE"""),39588.645833333336)</f>
        <v>39588.64583</v>
      </c>
      <c r="I839" s="25">
        <f>IFERROR(__xludf.DUMMYFUNCTION("""COMPUTED_VALUE"""),243.75)</f>
        <v>243.75</v>
      </c>
      <c r="J839" s="25">
        <f>IFERROR(__xludf.DUMMYFUNCTION("""COMPUTED_VALUE"""),247.5)</f>
        <v>247.5</v>
      </c>
      <c r="K839" s="25">
        <f>IFERROR(__xludf.DUMMYFUNCTION("""COMPUTED_VALUE"""),236.81)</f>
        <v>236.81</v>
      </c>
      <c r="L839" s="25">
        <f>IFERROR(__xludf.DUMMYFUNCTION("""COMPUTED_VALUE"""),239.03)</f>
        <v>239.03</v>
      </c>
      <c r="M839" s="25">
        <f>IFERROR(__xludf.DUMMYFUNCTION("""COMPUTED_VALUE"""),1236726.0)</f>
        <v>1236726</v>
      </c>
    </row>
    <row r="840">
      <c r="A840" s="26">
        <f>IFERROR(__xludf.DUMMYFUNCTION("""COMPUTED_VALUE"""),39590.645833333336)</f>
        <v>39590.64583</v>
      </c>
      <c r="B840" s="9">
        <f>IFERROR(__xludf.DUMMYFUNCTION("""COMPUTED_VALUE"""),232.5)</f>
        <v>232.5</v>
      </c>
      <c r="C840" s="9">
        <f>IFERROR(__xludf.DUMMYFUNCTION("""COMPUTED_VALUE"""),237.38)</f>
        <v>237.38</v>
      </c>
      <c r="D840" s="9">
        <f>IFERROR(__xludf.DUMMYFUNCTION("""COMPUTED_VALUE"""),230.88)</f>
        <v>230.88</v>
      </c>
      <c r="E840" s="9">
        <f>IFERROR(__xludf.DUMMYFUNCTION("""COMPUTED_VALUE"""),232.96)</f>
        <v>232.96</v>
      </c>
      <c r="F840" s="9">
        <f>IFERROR(__xludf.DUMMYFUNCTION("""COMPUTED_VALUE"""),1534739.0)</f>
        <v>1534739</v>
      </c>
      <c r="H840" s="27">
        <f>IFERROR(__xludf.DUMMYFUNCTION("""COMPUTED_VALUE"""),39589.645833333336)</f>
        <v>39589.64583</v>
      </c>
      <c r="I840" s="25">
        <f>IFERROR(__xludf.DUMMYFUNCTION("""COMPUTED_VALUE"""),232.0)</f>
        <v>232</v>
      </c>
      <c r="J840" s="25">
        <f>IFERROR(__xludf.DUMMYFUNCTION("""COMPUTED_VALUE"""),242.0)</f>
        <v>242</v>
      </c>
      <c r="K840" s="25">
        <f>IFERROR(__xludf.DUMMYFUNCTION("""COMPUTED_VALUE"""),228.75)</f>
        <v>228.75</v>
      </c>
      <c r="L840" s="25">
        <f>IFERROR(__xludf.DUMMYFUNCTION("""COMPUTED_VALUE"""),241.28)</f>
        <v>241.28</v>
      </c>
      <c r="M840" s="25">
        <f>IFERROR(__xludf.DUMMYFUNCTION("""COMPUTED_VALUE"""),785046.0)</f>
        <v>785046</v>
      </c>
    </row>
    <row r="841">
      <c r="A841" s="26">
        <f>IFERROR(__xludf.DUMMYFUNCTION("""COMPUTED_VALUE"""),39591.645833333336)</f>
        <v>39591.64583</v>
      </c>
      <c r="B841" s="9">
        <f>IFERROR(__xludf.DUMMYFUNCTION("""COMPUTED_VALUE"""),232.96)</f>
        <v>232.96</v>
      </c>
      <c r="C841" s="9">
        <f>IFERROR(__xludf.DUMMYFUNCTION("""COMPUTED_VALUE"""),235.5)</f>
        <v>235.5</v>
      </c>
      <c r="D841" s="9">
        <f>IFERROR(__xludf.DUMMYFUNCTION("""COMPUTED_VALUE"""),227.04)</f>
        <v>227.04</v>
      </c>
      <c r="E841" s="9">
        <f>IFERROR(__xludf.DUMMYFUNCTION("""COMPUTED_VALUE"""),228.59)</f>
        <v>228.59</v>
      </c>
      <c r="F841" s="9">
        <f>IFERROR(__xludf.DUMMYFUNCTION("""COMPUTED_VALUE"""),1462271.0)</f>
        <v>1462271</v>
      </c>
      <c r="H841" s="27">
        <f>IFERROR(__xludf.DUMMYFUNCTION("""COMPUTED_VALUE"""),39590.645833333336)</f>
        <v>39590.64583</v>
      </c>
      <c r="I841" s="25">
        <f>IFERROR(__xludf.DUMMYFUNCTION("""COMPUTED_VALUE"""),239.13)</f>
        <v>239.13</v>
      </c>
      <c r="J841" s="25">
        <f>IFERROR(__xludf.DUMMYFUNCTION("""COMPUTED_VALUE"""),246.38)</f>
        <v>246.38</v>
      </c>
      <c r="K841" s="25">
        <f>IFERROR(__xludf.DUMMYFUNCTION("""COMPUTED_VALUE"""),237.75)</f>
        <v>237.75</v>
      </c>
      <c r="L841" s="25">
        <f>IFERROR(__xludf.DUMMYFUNCTION("""COMPUTED_VALUE"""),240.29)</f>
        <v>240.29</v>
      </c>
      <c r="M841" s="25">
        <f>IFERROR(__xludf.DUMMYFUNCTION("""COMPUTED_VALUE"""),1361300.0)</f>
        <v>1361300</v>
      </c>
    </row>
    <row r="842">
      <c r="A842" s="26">
        <f>IFERROR(__xludf.DUMMYFUNCTION("""COMPUTED_VALUE"""),39594.645833333336)</f>
        <v>39594.64583</v>
      </c>
      <c r="B842" s="9">
        <f>IFERROR(__xludf.DUMMYFUNCTION("""COMPUTED_VALUE"""),226.25)</f>
        <v>226.25</v>
      </c>
      <c r="C842" s="9">
        <f>IFERROR(__xludf.DUMMYFUNCTION("""COMPUTED_VALUE"""),236.88)</f>
        <v>236.88</v>
      </c>
      <c r="D842" s="9">
        <f>IFERROR(__xludf.DUMMYFUNCTION("""COMPUTED_VALUE"""),223.88)</f>
        <v>223.88</v>
      </c>
      <c r="E842" s="9">
        <f>IFERROR(__xludf.DUMMYFUNCTION("""COMPUTED_VALUE"""),235.63)</f>
        <v>235.63</v>
      </c>
      <c r="F842" s="9">
        <f>IFERROR(__xludf.DUMMYFUNCTION("""COMPUTED_VALUE"""),2674644.0)</f>
        <v>2674644</v>
      </c>
      <c r="H842" s="27">
        <f>IFERROR(__xludf.DUMMYFUNCTION("""COMPUTED_VALUE"""),39591.645833333336)</f>
        <v>39591.64583</v>
      </c>
      <c r="I842" s="25">
        <f>IFERROR(__xludf.DUMMYFUNCTION("""COMPUTED_VALUE"""),243.73)</f>
        <v>243.73</v>
      </c>
      <c r="J842" s="25">
        <f>IFERROR(__xludf.DUMMYFUNCTION("""COMPUTED_VALUE"""),244.93)</f>
        <v>244.93</v>
      </c>
      <c r="K842" s="25">
        <f>IFERROR(__xludf.DUMMYFUNCTION("""COMPUTED_VALUE"""),231.53)</f>
        <v>231.53</v>
      </c>
      <c r="L842" s="25">
        <f>IFERROR(__xludf.DUMMYFUNCTION("""COMPUTED_VALUE"""),233.1)</f>
        <v>233.1</v>
      </c>
      <c r="M842" s="25">
        <f>IFERROR(__xludf.DUMMYFUNCTION("""COMPUTED_VALUE"""),1350346.0)</f>
        <v>1350346</v>
      </c>
    </row>
    <row r="843">
      <c r="A843" s="26">
        <f>IFERROR(__xludf.DUMMYFUNCTION("""COMPUTED_VALUE"""),39595.645833333336)</f>
        <v>39595.64583</v>
      </c>
      <c r="B843" s="9">
        <f>IFERROR(__xludf.DUMMYFUNCTION("""COMPUTED_VALUE"""),236.25)</f>
        <v>236.25</v>
      </c>
      <c r="C843" s="9">
        <f>IFERROR(__xludf.DUMMYFUNCTION("""COMPUTED_VALUE"""),237.38)</f>
        <v>237.38</v>
      </c>
      <c r="D843" s="9">
        <f>IFERROR(__xludf.DUMMYFUNCTION("""COMPUTED_VALUE"""),233.25)</f>
        <v>233.25</v>
      </c>
      <c r="E843" s="9">
        <f>IFERROR(__xludf.DUMMYFUNCTION("""COMPUTED_VALUE"""),235.39)</f>
        <v>235.39</v>
      </c>
      <c r="F843" s="9">
        <f>IFERROR(__xludf.DUMMYFUNCTION("""COMPUTED_VALUE"""),1290445.0)</f>
        <v>1290445</v>
      </c>
      <c r="H843" s="27">
        <f>IFERROR(__xludf.DUMMYFUNCTION("""COMPUTED_VALUE"""),39594.645833333336)</f>
        <v>39594.64583</v>
      </c>
      <c r="I843" s="25">
        <f>IFERROR(__xludf.DUMMYFUNCTION("""COMPUTED_VALUE"""),230.0)</f>
        <v>230</v>
      </c>
      <c r="J843" s="25">
        <f>IFERROR(__xludf.DUMMYFUNCTION("""COMPUTED_VALUE"""),240.73)</f>
        <v>240.73</v>
      </c>
      <c r="K843" s="25">
        <f>IFERROR(__xludf.DUMMYFUNCTION("""COMPUTED_VALUE"""),229.0)</f>
        <v>229</v>
      </c>
      <c r="L843" s="25">
        <f>IFERROR(__xludf.DUMMYFUNCTION("""COMPUTED_VALUE"""),238.86)</f>
        <v>238.86</v>
      </c>
      <c r="M843" s="25">
        <f>IFERROR(__xludf.DUMMYFUNCTION("""COMPUTED_VALUE"""),1364318.0)</f>
        <v>1364318</v>
      </c>
    </row>
    <row r="844">
      <c r="A844" s="26">
        <f>IFERROR(__xludf.DUMMYFUNCTION("""COMPUTED_VALUE"""),39596.645833333336)</f>
        <v>39596.64583</v>
      </c>
      <c r="B844" s="9">
        <f>IFERROR(__xludf.DUMMYFUNCTION("""COMPUTED_VALUE"""),235.38)</f>
        <v>235.38</v>
      </c>
      <c r="C844" s="9">
        <f>IFERROR(__xludf.DUMMYFUNCTION("""COMPUTED_VALUE"""),240.0)</f>
        <v>240</v>
      </c>
      <c r="D844" s="9">
        <f>IFERROR(__xludf.DUMMYFUNCTION("""COMPUTED_VALUE"""),234.56)</f>
        <v>234.56</v>
      </c>
      <c r="E844" s="9">
        <f>IFERROR(__xludf.DUMMYFUNCTION("""COMPUTED_VALUE"""),238.95)</f>
        <v>238.95</v>
      </c>
      <c r="F844" s="9">
        <f>IFERROR(__xludf.DUMMYFUNCTION("""COMPUTED_VALUE"""),1928601.0)</f>
        <v>1928601</v>
      </c>
      <c r="H844" s="27">
        <f>IFERROR(__xludf.DUMMYFUNCTION("""COMPUTED_VALUE"""),39595.645833333336)</f>
        <v>39595.64583</v>
      </c>
      <c r="I844" s="25">
        <f>IFERROR(__xludf.DUMMYFUNCTION("""COMPUTED_VALUE"""),245.0)</f>
        <v>245</v>
      </c>
      <c r="J844" s="25">
        <f>IFERROR(__xludf.DUMMYFUNCTION("""COMPUTED_VALUE"""),248.5)</f>
        <v>248.5</v>
      </c>
      <c r="K844" s="25">
        <f>IFERROR(__xludf.DUMMYFUNCTION("""COMPUTED_VALUE"""),236.5)</f>
        <v>236.5</v>
      </c>
      <c r="L844" s="25">
        <f>IFERROR(__xludf.DUMMYFUNCTION("""COMPUTED_VALUE"""),242.23)</f>
        <v>242.23</v>
      </c>
      <c r="M844" s="25">
        <f>IFERROR(__xludf.DUMMYFUNCTION("""COMPUTED_VALUE"""),1420518.0)</f>
        <v>1420518</v>
      </c>
    </row>
    <row r="845">
      <c r="A845" s="26">
        <f>IFERROR(__xludf.DUMMYFUNCTION("""COMPUTED_VALUE"""),39597.645833333336)</f>
        <v>39597.64583</v>
      </c>
      <c r="B845" s="9">
        <f>IFERROR(__xludf.DUMMYFUNCTION("""COMPUTED_VALUE"""),238.13)</f>
        <v>238.13</v>
      </c>
      <c r="C845" s="9">
        <f>IFERROR(__xludf.DUMMYFUNCTION("""COMPUTED_VALUE"""),238.56)</f>
        <v>238.56</v>
      </c>
      <c r="D845" s="9">
        <f>IFERROR(__xludf.DUMMYFUNCTION("""COMPUTED_VALUE"""),232.07)</f>
        <v>232.07</v>
      </c>
      <c r="E845" s="9">
        <f>IFERROR(__xludf.DUMMYFUNCTION("""COMPUTED_VALUE"""),235.68)</f>
        <v>235.68</v>
      </c>
      <c r="F845" s="9">
        <f>IFERROR(__xludf.DUMMYFUNCTION("""COMPUTED_VALUE"""),1987314.0)</f>
        <v>1987314</v>
      </c>
      <c r="H845" s="27">
        <f>IFERROR(__xludf.DUMMYFUNCTION("""COMPUTED_VALUE"""),39596.645833333336)</f>
        <v>39596.64583</v>
      </c>
      <c r="I845" s="25">
        <f>IFERROR(__xludf.DUMMYFUNCTION("""COMPUTED_VALUE"""),242.53)</f>
        <v>242.53</v>
      </c>
      <c r="J845" s="25">
        <f>IFERROR(__xludf.DUMMYFUNCTION("""COMPUTED_VALUE"""),253.81)</f>
        <v>253.81</v>
      </c>
      <c r="K845" s="25">
        <f>IFERROR(__xludf.DUMMYFUNCTION("""COMPUTED_VALUE"""),242.53)</f>
        <v>242.53</v>
      </c>
      <c r="L845" s="25">
        <f>IFERROR(__xludf.DUMMYFUNCTION("""COMPUTED_VALUE"""),252.36)</f>
        <v>252.36</v>
      </c>
      <c r="M845" s="25">
        <f>IFERROR(__xludf.DUMMYFUNCTION("""COMPUTED_VALUE"""),1367397.0)</f>
        <v>1367397</v>
      </c>
    </row>
    <row r="846">
      <c r="A846" s="26">
        <f>IFERROR(__xludf.DUMMYFUNCTION("""COMPUTED_VALUE"""),39598.645833333336)</f>
        <v>39598.64583</v>
      </c>
      <c r="B846" s="9">
        <f>IFERROR(__xludf.DUMMYFUNCTION("""COMPUTED_VALUE"""),236.25)</f>
        <v>236.25</v>
      </c>
      <c r="C846" s="9">
        <f>IFERROR(__xludf.DUMMYFUNCTION("""COMPUTED_VALUE"""),247.25)</f>
        <v>247.25</v>
      </c>
      <c r="D846" s="9">
        <f>IFERROR(__xludf.DUMMYFUNCTION("""COMPUTED_VALUE"""),233.13)</f>
        <v>233.13</v>
      </c>
      <c r="E846" s="9">
        <f>IFERROR(__xludf.DUMMYFUNCTION("""COMPUTED_VALUE"""),245.35)</f>
        <v>245.35</v>
      </c>
      <c r="F846" s="9">
        <f>IFERROR(__xludf.DUMMYFUNCTION("""COMPUTED_VALUE"""),3451866.0)</f>
        <v>3451866</v>
      </c>
      <c r="H846" s="27">
        <f>IFERROR(__xludf.DUMMYFUNCTION("""COMPUTED_VALUE"""),39597.645833333336)</f>
        <v>39597.64583</v>
      </c>
      <c r="I846" s="25">
        <f>IFERROR(__xludf.DUMMYFUNCTION("""COMPUTED_VALUE"""),252.25)</f>
        <v>252.25</v>
      </c>
      <c r="J846" s="25">
        <f>IFERROR(__xludf.DUMMYFUNCTION("""COMPUTED_VALUE"""),257.09)</f>
        <v>257.09</v>
      </c>
      <c r="K846" s="25">
        <f>IFERROR(__xludf.DUMMYFUNCTION("""COMPUTED_VALUE"""),246.0)</f>
        <v>246</v>
      </c>
      <c r="L846" s="25">
        <f>IFERROR(__xludf.DUMMYFUNCTION("""COMPUTED_VALUE"""),248.66)</f>
        <v>248.66</v>
      </c>
      <c r="M846" s="25">
        <f>IFERROR(__xludf.DUMMYFUNCTION("""COMPUTED_VALUE"""),2064735.0)</f>
        <v>2064735</v>
      </c>
    </row>
    <row r="847">
      <c r="A847" s="26">
        <f>IFERROR(__xludf.DUMMYFUNCTION("""COMPUTED_VALUE"""),39601.645833333336)</f>
        <v>39601.64583</v>
      </c>
      <c r="B847" s="9">
        <f>IFERROR(__xludf.DUMMYFUNCTION("""COMPUTED_VALUE"""),247.5)</f>
        <v>247.5</v>
      </c>
      <c r="C847" s="9">
        <f>IFERROR(__xludf.DUMMYFUNCTION("""COMPUTED_VALUE"""),253.75)</f>
        <v>253.75</v>
      </c>
      <c r="D847" s="9">
        <f>IFERROR(__xludf.DUMMYFUNCTION("""COMPUTED_VALUE"""),242.56)</f>
        <v>242.56</v>
      </c>
      <c r="E847" s="9">
        <f>IFERROR(__xludf.DUMMYFUNCTION("""COMPUTED_VALUE"""),243.85)</f>
        <v>243.85</v>
      </c>
      <c r="F847" s="9">
        <f>IFERROR(__xludf.DUMMYFUNCTION("""COMPUTED_VALUE"""),2081428.0)</f>
        <v>2081428</v>
      </c>
      <c r="H847" s="27">
        <f>IFERROR(__xludf.DUMMYFUNCTION("""COMPUTED_VALUE"""),39598.645833333336)</f>
        <v>39598.64583</v>
      </c>
      <c r="I847" s="25">
        <f>IFERROR(__xludf.DUMMYFUNCTION("""COMPUTED_VALUE"""),247.75)</f>
        <v>247.75</v>
      </c>
      <c r="J847" s="25">
        <f>IFERROR(__xludf.DUMMYFUNCTION("""COMPUTED_VALUE"""),262.25)</f>
        <v>262.25</v>
      </c>
      <c r="K847" s="25">
        <f>IFERROR(__xludf.DUMMYFUNCTION("""COMPUTED_VALUE"""),244.5)</f>
        <v>244.5</v>
      </c>
      <c r="L847" s="25">
        <f>IFERROR(__xludf.DUMMYFUNCTION("""COMPUTED_VALUE"""),259.79)</f>
        <v>259.79</v>
      </c>
      <c r="M847" s="25">
        <f>IFERROR(__xludf.DUMMYFUNCTION("""COMPUTED_VALUE"""),3871321.0)</f>
        <v>3871321</v>
      </c>
    </row>
    <row r="848">
      <c r="A848" s="26">
        <f>IFERROR(__xludf.DUMMYFUNCTION("""COMPUTED_VALUE"""),39602.645833333336)</f>
        <v>39602.64583</v>
      </c>
      <c r="B848" s="9">
        <f>IFERROR(__xludf.DUMMYFUNCTION("""COMPUTED_VALUE"""),240.63)</f>
        <v>240.63</v>
      </c>
      <c r="C848" s="9">
        <f>IFERROR(__xludf.DUMMYFUNCTION("""COMPUTED_VALUE"""),243.78)</f>
        <v>243.78</v>
      </c>
      <c r="D848" s="9">
        <f>IFERROR(__xludf.DUMMYFUNCTION("""COMPUTED_VALUE"""),235.13)</f>
        <v>235.13</v>
      </c>
      <c r="E848" s="9">
        <f>IFERROR(__xludf.DUMMYFUNCTION("""COMPUTED_VALUE"""),240.28)</f>
        <v>240.28</v>
      </c>
      <c r="F848" s="9">
        <f>IFERROR(__xludf.DUMMYFUNCTION("""COMPUTED_VALUE"""),1948540.0)</f>
        <v>1948540</v>
      </c>
      <c r="H848" s="27">
        <f>IFERROR(__xludf.DUMMYFUNCTION("""COMPUTED_VALUE"""),39601.645833333336)</f>
        <v>39601.64583</v>
      </c>
      <c r="I848" s="25">
        <f>IFERROR(__xludf.DUMMYFUNCTION("""COMPUTED_VALUE"""),253.75)</f>
        <v>253.75</v>
      </c>
      <c r="J848" s="25">
        <f>IFERROR(__xludf.DUMMYFUNCTION("""COMPUTED_VALUE"""),264.35)</f>
        <v>264.35</v>
      </c>
      <c r="K848" s="25">
        <f>IFERROR(__xludf.DUMMYFUNCTION("""COMPUTED_VALUE"""),241.25)</f>
        <v>241.25</v>
      </c>
      <c r="L848" s="25">
        <f>IFERROR(__xludf.DUMMYFUNCTION("""COMPUTED_VALUE"""),245.96)</f>
        <v>245.96</v>
      </c>
      <c r="M848" s="25">
        <f>IFERROR(__xludf.DUMMYFUNCTION("""COMPUTED_VALUE"""),1763691.0)</f>
        <v>1763691</v>
      </c>
    </row>
    <row r="849">
      <c r="A849" s="26">
        <f>IFERROR(__xludf.DUMMYFUNCTION("""COMPUTED_VALUE"""),39603.645833333336)</f>
        <v>39603.64583</v>
      </c>
      <c r="B849" s="9">
        <f>IFERROR(__xludf.DUMMYFUNCTION("""COMPUTED_VALUE"""),240.0)</f>
        <v>240</v>
      </c>
      <c r="C849" s="9">
        <f>IFERROR(__xludf.DUMMYFUNCTION("""COMPUTED_VALUE"""),240.0)</f>
        <v>240</v>
      </c>
      <c r="D849" s="9">
        <f>IFERROR(__xludf.DUMMYFUNCTION("""COMPUTED_VALUE"""),231.64)</f>
        <v>231.64</v>
      </c>
      <c r="E849" s="9">
        <f>IFERROR(__xludf.DUMMYFUNCTION("""COMPUTED_VALUE"""),233.84)</f>
        <v>233.84</v>
      </c>
      <c r="F849" s="9">
        <f>IFERROR(__xludf.DUMMYFUNCTION("""COMPUTED_VALUE"""),1602354.0)</f>
        <v>1602354</v>
      </c>
      <c r="H849" s="27">
        <f>IFERROR(__xludf.DUMMYFUNCTION("""COMPUTED_VALUE"""),39602.645833333336)</f>
        <v>39602.64583</v>
      </c>
      <c r="I849" s="25">
        <f>IFERROR(__xludf.DUMMYFUNCTION("""COMPUTED_VALUE"""),240.0)</f>
        <v>240</v>
      </c>
      <c r="J849" s="25">
        <f>IFERROR(__xludf.DUMMYFUNCTION("""COMPUTED_VALUE"""),247.5)</f>
        <v>247.5</v>
      </c>
      <c r="K849" s="25">
        <f>IFERROR(__xludf.DUMMYFUNCTION("""COMPUTED_VALUE"""),234.54)</f>
        <v>234.54</v>
      </c>
      <c r="L849" s="25">
        <f>IFERROR(__xludf.DUMMYFUNCTION("""COMPUTED_VALUE"""),243.79)</f>
        <v>243.79</v>
      </c>
      <c r="M849" s="25">
        <f>IFERROR(__xludf.DUMMYFUNCTION("""COMPUTED_VALUE"""),1225064.0)</f>
        <v>1225064</v>
      </c>
    </row>
    <row r="850">
      <c r="A850" s="26">
        <f>IFERROR(__xludf.DUMMYFUNCTION("""COMPUTED_VALUE"""),39604.645833333336)</f>
        <v>39604.64583</v>
      </c>
      <c r="B850" s="9">
        <f>IFERROR(__xludf.DUMMYFUNCTION("""COMPUTED_VALUE"""),235.96)</f>
        <v>235.96</v>
      </c>
      <c r="C850" s="9">
        <f>IFERROR(__xludf.DUMMYFUNCTION("""COMPUTED_VALUE"""),248.38)</f>
        <v>248.38</v>
      </c>
      <c r="D850" s="9">
        <f>IFERROR(__xludf.DUMMYFUNCTION("""COMPUTED_VALUE"""),233.75)</f>
        <v>233.75</v>
      </c>
      <c r="E850" s="9">
        <f>IFERROR(__xludf.DUMMYFUNCTION("""COMPUTED_VALUE"""),247.44)</f>
        <v>247.44</v>
      </c>
      <c r="F850" s="9">
        <f>IFERROR(__xludf.DUMMYFUNCTION("""COMPUTED_VALUE"""),2393102.0)</f>
        <v>2393102</v>
      </c>
      <c r="H850" s="27">
        <f>IFERROR(__xludf.DUMMYFUNCTION("""COMPUTED_VALUE"""),39603.645833333336)</f>
        <v>39603.64583</v>
      </c>
      <c r="I850" s="25">
        <f>IFERROR(__xludf.DUMMYFUNCTION("""COMPUTED_VALUE"""),247.45)</f>
        <v>247.45</v>
      </c>
      <c r="J850" s="25">
        <f>IFERROR(__xludf.DUMMYFUNCTION("""COMPUTED_VALUE"""),247.45)</f>
        <v>247.45</v>
      </c>
      <c r="K850" s="25">
        <f>IFERROR(__xludf.DUMMYFUNCTION("""COMPUTED_VALUE"""),236.59)</f>
        <v>236.59</v>
      </c>
      <c r="L850" s="25">
        <f>IFERROR(__xludf.DUMMYFUNCTION("""COMPUTED_VALUE"""),239.19)</f>
        <v>239.19</v>
      </c>
      <c r="M850" s="25">
        <f>IFERROR(__xludf.DUMMYFUNCTION("""COMPUTED_VALUE"""),946964.0)</f>
        <v>946964</v>
      </c>
    </row>
    <row r="851">
      <c r="A851" s="26">
        <f>IFERROR(__xludf.DUMMYFUNCTION("""COMPUTED_VALUE"""),39605.645833333336)</f>
        <v>39605.64583</v>
      </c>
      <c r="B851" s="9">
        <f>IFERROR(__xludf.DUMMYFUNCTION("""COMPUTED_VALUE"""),250.0)</f>
        <v>250</v>
      </c>
      <c r="C851" s="9">
        <f>IFERROR(__xludf.DUMMYFUNCTION("""COMPUTED_VALUE"""),255.81)</f>
        <v>255.81</v>
      </c>
      <c r="D851" s="9">
        <f>IFERROR(__xludf.DUMMYFUNCTION("""COMPUTED_VALUE"""),247.58)</f>
        <v>247.58</v>
      </c>
      <c r="E851" s="9">
        <f>IFERROR(__xludf.DUMMYFUNCTION("""COMPUTED_VALUE"""),249.19)</f>
        <v>249.19</v>
      </c>
      <c r="F851" s="9">
        <f>IFERROR(__xludf.DUMMYFUNCTION("""COMPUTED_VALUE"""),1852033.0)</f>
        <v>1852033</v>
      </c>
      <c r="H851" s="27">
        <f>IFERROR(__xludf.DUMMYFUNCTION("""COMPUTED_VALUE"""),39604.645833333336)</f>
        <v>39604.64583</v>
      </c>
      <c r="I851" s="25">
        <f>IFERROR(__xludf.DUMMYFUNCTION("""COMPUTED_VALUE"""),241.03)</f>
        <v>241.03</v>
      </c>
      <c r="J851" s="25">
        <f>IFERROR(__xludf.DUMMYFUNCTION("""COMPUTED_VALUE"""),249.2)</f>
        <v>249.2</v>
      </c>
      <c r="K851" s="25">
        <f>IFERROR(__xludf.DUMMYFUNCTION("""COMPUTED_VALUE"""),241.0)</f>
        <v>241</v>
      </c>
      <c r="L851" s="25">
        <f>IFERROR(__xludf.DUMMYFUNCTION("""COMPUTED_VALUE"""),245.46)</f>
        <v>245.46</v>
      </c>
      <c r="M851" s="25">
        <f>IFERROR(__xludf.DUMMYFUNCTION("""COMPUTED_VALUE"""),1476314.0)</f>
        <v>1476314</v>
      </c>
    </row>
    <row r="852">
      <c r="A852" s="26">
        <f>IFERROR(__xludf.DUMMYFUNCTION("""COMPUTED_VALUE"""),39608.645833333336)</f>
        <v>39608.64583</v>
      </c>
      <c r="B852" s="9">
        <f>IFERROR(__xludf.DUMMYFUNCTION("""COMPUTED_VALUE"""),242.63)</f>
        <v>242.63</v>
      </c>
      <c r="C852" s="9">
        <f>IFERROR(__xludf.DUMMYFUNCTION("""COMPUTED_VALUE"""),246.25)</f>
        <v>246.25</v>
      </c>
      <c r="D852" s="9">
        <f>IFERROR(__xludf.DUMMYFUNCTION("""COMPUTED_VALUE"""),235.83)</f>
        <v>235.83</v>
      </c>
      <c r="E852" s="9">
        <f>IFERROR(__xludf.DUMMYFUNCTION("""COMPUTED_VALUE"""),237.69)</f>
        <v>237.69</v>
      </c>
      <c r="F852" s="9">
        <f>IFERROR(__xludf.DUMMYFUNCTION("""COMPUTED_VALUE"""),1753294.0)</f>
        <v>1753294</v>
      </c>
      <c r="H852" s="27">
        <f>IFERROR(__xludf.DUMMYFUNCTION("""COMPUTED_VALUE"""),39605.645833333336)</f>
        <v>39605.64583</v>
      </c>
      <c r="I852" s="25">
        <f>IFERROR(__xludf.DUMMYFUNCTION("""COMPUTED_VALUE"""),247.5)</f>
        <v>247.5</v>
      </c>
      <c r="J852" s="25">
        <f>IFERROR(__xludf.DUMMYFUNCTION("""COMPUTED_VALUE"""),249.66)</f>
        <v>249.66</v>
      </c>
      <c r="K852" s="25">
        <f>IFERROR(__xludf.DUMMYFUNCTION("""COMPUTED_VALUE"""),239.45)</f>
        <v>239.45</v>
      </c>
      <c r="L852" s="25">
        <f>IFERROR(__xludf.DUMMYFUNCTION("""COMPUTED_VALUE"""),241.55)</f>
        <v>241.55</v>
      </c>
      <c r="M852" s="25">
        <f>IFERROR(__xludf.DUMMYFUNCTION("""COMPUTED_VALUE"""),1034446.0)</f>
        <v>1034446</v>
      </c>
    </row>
    <row r="853">
      <c r="A853" s="26">
        <f>IFERROR(__xludf.DUMMYFUNCTION("""COMPUTED_VALUE"""),39609.645833333336)</f>
        <v>39609.64583</v>
      </c>
      <c r="B853" s="9">
        <f>IFERROR(__xludf.DUMMYFUNCTION("""COMPUTED_VALUE"""),236.25)</f>
        <v>236.25</v>
      </c>
      <c r="C853" s="9">
        <f>IFERROR(__xludf.DUMMYFUNCTION("""COMPUTED_VALUE"""),240.0)</f>
        <v>240</v>
      </c>
      <c r="D853" s="9">
        <f>IFERROR(__xludf.DUMMYFUNCTION("""COMPUTED_VALUE"""),224.56)</f>
        <v>224.56</v>
      </c>
      <c r="E853" s="9">
        <f>IFERROR(__xludf.DUMMYFUNCTION("""COMPUTED_VALUE"""),231.76)</f>
        <v>231.76</v>
      </c>
      <c r="F853" s="9">
        <f>IFERROR(__xludf.DUMMYFUNCTION("""COMPUTED_VALUE"""),2923784.0)</f>
        <v>2923784</v>
      </c>
      <c r="H853" s="27">
        <f>IFERROR(__xludf.DUMMYFUNCTION("""COMPUTED_VALUE"""),39608.645833333336)</f>
        <v>39608.64583</v>
      </c>
      <c r="I853" s="25">
        <f>IFERROR(__xludf.DUMMYFUNCTION("""COMPUTED_VALUE"""),225.56)</f>
        <v>225.56</v>
      </c>
      <c r="J853" s="25">
        <f>IFERROR(__xludf.DUMMYFUNCTION("""COMPUTED_VALUE"""),241.23)</f>
        <v>241.23</v>
      </c>
      <c r="K853" s="25">
        <f>IFERROR(__xludf.DUMMYFUNCTION("""COMPUTED_VALUE"""),222.5)</f>
        <v>222.5</v>
      </c>
      <c r="L853" s="25">
        <f>IFERROR(__xludf.DUMMYFUNCTION("""COMPUTED_VALUE"""),228.53)</f>
        <v>228.53</v>
      </c>
      <c r="M853" s="25">
        <f>IFERROR(__xludf.DUMMYFUNCTION("""COMPUTED_VALUE"""),1535035.0)</f>
        <v>1535035</v>
      </c>
    </row>
    <row r="854">
      <c r="A854" s="26">
        <f>IFERROR(__xludf.DUMMYFUNCTION("""COMPUTED_VALUE"""),39610.645833333336)</f>
        <v>39610.64583</v>
      </c>
      <c r="B854" s="9">
        <f>IFERROR(__xludf.DUMMYFUNCTION("""COMPUTED_VALUE"""),235.63)</f>
        <v>235.63</v>
      </c>
      <c r="C854" s="9">
        <f>IFERROR(__xludf.DUMMYFUNCTION("""COMPUTED_VALUE"""),238.0)</f>
        <v>238</v>
      </c>
      <c r="D854" s="9">
        <f>IFERROR(__xludf.DUMMYFUNCTION("""COMPUTED_VALUE"""),232.78)</f>
        <v>232.78</v>
      </c>
      <c r="E854" s="9">
        <f>IFERROR(__xludf.DUMMYFUNCTION("""COMPUTED_VALUE"""),236.61)</f>
        <v>236.61</v>
      </c>
      <c r="F854" s="9">
        <f>IFERROR(__xludf.DUMMYFUNCTION("""COMPUTED_VALUE"""),1202466.0)</f>
        <v>1202466</v>
      </c>
      <c r="H854" s="27">
        <f>IFERROR(__xludf.DUMMYFUNCTION("""COMPUTED_VALUE"""),39609.645833333336)</f>
        <v>39609.64583</v>
      </c>
      <c r="I854" s="25">
        <f>IFERROR(__xludf.DUMMYFUNCTION("""COMPUTED_VALUE"""),227.5)</f>
        <v>227.5</v>
      </c>
      <c r="J854" s="25">
        <f>IFERROR(__xludf.DUMMYFUNCTION("""COMPUTED_VALUE"""),229.75)</f>
        <v>229.75</v>
      </c>
      <c r="K854" s="25">
        <f>IFERROR(__xludf.DUMMYFUNCTION("""COMPUTED_VALUE"""),216.75)</f>
        <v>216.75</v>
      </c>
      <c r="L854" s="25">
        <f>IFERROR(__xludf.DUMMYFUNCTION("""COMPUTED_VALUE"""),219.75)</f>
        <v>219.75</v>
      </c>
      <c r="M854" s="25">
        <f>IFERROR(__xludf.DUMMYFUNCTION("""COMPUTED_VALUE"""),1538843.0)</f>
        <v>1538843</v>
      </c>
    </row>
    <row r="855">
      <c r="A855" s="26">
        <f>IFERROR(__xludf.DUMMYFUNCTION("""COMPUTED_VALUE"""),39611.645833333336)</f>
        <v>39611.64583</v>
      </c>
      <c r="B855" s="9">
        <f>IFERROR(__xludf.DUMMYFUNCTION("""COMPUTED_VALUE"""),229.51)</f>
        <v>229.51</v>
      </c>
      <c r="C855" s="9">
        <f>IFERROR(__xludf.DUMMYFUNCTION("""COMPUTED_VALUE"""),235.75)</f>
        <v>235.75</v>
      </c>
      <c r="D855" s="9">
        <f>IFERROR(__xludf.DUMMYFUNCTION("""COMPUTED_VALUE"""),228.89)</f>
        <v>228.89</v>
      </c>
      <c r="E855" s="9">
        <f>IFERROR(__xludf.DUMMYFUNCTION("""COMPUTED_VALUE"""),234.36)</f>
        <v>234.36</v>
      </c>
      <c r="F855" s="9">
        <f>IFERROR(__xludf.DUMMYFUNCTION("""COMPUTED_VALUE"""),1550053.0)</f>
        <v>1550053</v>
      </c>
      <c r="H855" s="27">
        <f>IFERROR(__xludf.DUMMYFUNCTION("""COMPUTED_VALUE"""),39610.645833333336)</f>
        <v>39610.64583</v>
      </c>
      <c r="I855" s="25">
        <f>IFERROR(__xludf.DUMMYFUNCTION("""COMPUTED_VALUE"""),222.5)</f>
        <v>222.5</v>
      </c>
      <c r="J855" s="25">
        <f>IFERROR(__xludf.DUMMYFUNCTION("""COMPUTED_VALUE"""),227.5)</f>
        <v>227.5</v>
      </c>
      <c r="K855" s="25">
        <f>IFERROR(__xludf.DUMMYFUNCTION("""COMPUTED_VALUE"""),220.0)</f>
        <v>220</v>
      </c>
      <c r="L855" s="25">
        <f>IFERROR(__xludf.DUMMYFUNCTION("""COMPUTED_VALUE"""),222.59)</f>
        <v>222.59</v>
      </c>
      <c r="M855" s="25">
        <f>IFERROR(__xludf.DUMMYFUNCTION("""COMPUTED_VALUE"""),1028342.0)</f>
        <v>1028342</v>
      </c>
    </row>
    <row r="856">
      <c r="A856" s="26">
        <f>IFERROR(__xludf.DUMMYFUNCTION("""COMPUTED_VALUE"""),39612.645833333336)</f>
        <v>39612.64583</v>
      </c>
      <c r="B856" s="9">
        <f>IFERROR(__xludf.DUMMYFUNCTION("""COMPUTED_VALUE"""),236.38)</f>
        <v>236.38</v>
      </c>
      <c r="C856" s="9">
        <f>IFERROR(__xludf.DUMMYFUNCTION("""COMPUTED_VALUE"""),239.36)</f>
        <v>239.36</v>
      </c>
      <c r="D856" s="9">
        <f>IFERROR(__xludf.DUMMYFUNCTION("""COMPUTED_VALUE"""),231.89)</f>
        <v>231.89</v>
      </c>
      <c r="E856" s="9">
        <f>IFERROR(__xludf.DUMMYFUNCTION("""COMPUTED_VALUE"""),233.33)</f>
        <v>233.33</v>
      </c>
      <c r="F856" s="9">
        <f>IFERROR(__xludf.DUMMYFUNCTION("""COMPUTED_VALUE"""),1284986.0)</f>
        <v>1284986</v>
      </c>
      <c r="H856" s="27">
        <f>IFERROR(__xludf.DUMMYFUNCTION("""COMPUTED_VALUE"""),39611.645833333336)</f>
        <v>39611.64583</v>
      </c>
      <c r="I856" s="25">
        <f>IFERROR(__xludf.DUMMYFUNCTION("""COMPUTED_VALUE"""),223.5)</f>
        <v>223.5</v>
      </c>
      <c r="J856" s="25">
        <f>IFERROR(__xludf.DUMMYFUNCTION("""COMPUTED_VALUE"""),225.6)</f>
        <v>225.6</v>
      </c>
      <c r="K856" s="25">
        <f>IFERROR(__xludf.DUMMYFUNCTION("""COMPUTED_VALUE"""),214.25)</f>
        <v>214.25</v>
      </c>
      <c r="L856" s="25">
        <f>IFERROR(__xludf.DUMMYFUNCTION("""COMPUTED_VALUE"""),222.06)</f>
        <v>222.06</v>
      </c>
      <c r="M856" s="25">
        <f>IFERROR(__xludf.DUMMYFUNCTION("""COMPUTED_VALUE"""),616001.0)</f>
        <v>616001</v>
      </c>
    </row>
    <row r="857">
      <c r="A857" s="26">
        <f>IFERROR(__xludf.DUMMYFUNCTION("""COMPUTED_VALUE"""),39615.645833333336)</f>
        <v>39615.64583</v>
      </c>
      <c r="B857" s="9">
        <f>IFERROR(__xludf.DUMMYFUNCTION("""COMPUTED_VALUE"""),236.99)</f>
        <v>236.99</v>
      </c>
      <c r="C857" s="9">
        <f>IFERROR(__xludf.DUMMYFUNCTION("""COMPUTED_VALUE"""),242.5)</f>
        <v>242.5</v>
      </c>
      <c r="D857" s="9">
        <f>IFERROR(__xludf.DUMMYFUNCTION("""COMPUTED_VALUE"""),235.0)</f>
        <v>235</v>
      </c>
      <c r="E857" s="9">
        <f>IFERROR(__xludf.DUMMYFUNCTION("""COMPUTED_VALUE"""),238.48)</f>
        <v>238.48</v>
      </c>
      <c r="F857" s="9">
        <f>IFERROR(__xludf.DUMMYFUNCTION("""COMPUTED_VALUE"""),1579574.0)</f>
        <v>1579574</v>
      </c>
      <c r="H857" s="27">
        <f>IFERROR(__xludf.DUMMYFUNCTION("""COMPUTED_VALUE"""),39612.645833333336)</f>
        <v>39612.64583</v>
      </c>
      <c r="I857" s="25">
        <f>IFERROR(__xludf.DUMMYFUNCTION("""COMPUTED_VALUE"""),220.0)</f>
        <v>220</v>
      </c>
      <c r="J857" s="25">
        <f>IFERROR(__xludf.DUMMYFUNCTION("""COMPUTED_VALUE"""),230.48)</f>
        <v>230.48</v>
      </c>
      <c r="K857" s="25">
        <f>IFERROR(__xludf.DUMMYFUNCTION("""COMPUTED_VALUE"""),220.0)</f>
        <v>220</v>
      </c>
      <c r="L857" s="25">
        <f>IFERROR(__xludf.DUMMYFUNCTION("""COMPUTED_VALUE"""),227.4)</f>
        <v>227.4</v>
      </c>
      <c r="M857" s="25">
        <f>IFERROR(__xludf.DUMMYFUNCTION("""COMPUTED_VALUE"""),1683108.0)</f>
        <v>1683108</v>
      </c>
    </row>
    <row r="858">
      <c r="A858" s="26">
        <f>IFERROR(__xludf.DUMMYFUNCTION("""COMPUTED_VALUE"""),39616.645833333336)</f>
        <v>39616.64583</v>
      </c>
      <c r="B858" s="9">
        <f>IFERROR(__xludf.DUMMYFUNCTION("""COMPUTED_VALUE"""),243.75)</f>
        <v>243.75</v>
      </c>
      <c r="C858" s="9">
        <f>IFERROR(__xludf.DUMMYFUNCTION("""COMPUTED_VALUE"""),243.75)</f>
        <v>243.75</v>
      </c>
      <c r="D858" s="9">
        <f>IFERROR(__xludf.DUMMYFUNCTION("""COMPUTED_VALUE"""),235.49)</f>
        <v>235.49</v>
      </c>
      <c r="E858" s="9">
        <f>IFERROR(__xludf.DUMMYFUNCTION("""COMPUTED_VALUE"""),238.94)</f>
        <v>238.94</v>
      </c>
      <c r="F858" s="9">
        <f>IFERROR(__xludf.DUMMYFUNCTION("""COMPUTED_VALUE"""),1344338.0)</f>
        <v>1344338</v>
      </c>
      <c r="H858" s="27">
        <f>IFERROR(__xludf.DUMMYFUNCTION("""COMPUTED_VALUE"""),39615.645833333336)</f>
        <v>39615.64583</v>
      </c>
      <c r="I858" s="25">
        <f>IFERROR(__xludf.DUMMYFUNCTION("""COMPUTED_VALUE"""),229.75)</f>
        <v>229.75</v>
      </c>
      <c r="J858" s="25">
        <f>IFERROR(__xludf.DUMMYFUNCTION("""COMPUTED_VALUE"""),232.0)</f>
        <v>232</v>
      </c>
      <c r="K858" s="25">
        <f>IFERROR(__xludf.DUMMYFUNCTION("""COMPUTED_VALUE"""),225.81)</f>
        <v>225.81</v>
      </c>
      <c r="L858" s="25">
        <f>IFERROR(__xludf.DUMMYFUNCTION("""COMPUTED_VALUE"""),227.7)</f>
        <v>227.7</v>
      </c>
      <c r="M858" s="25">
        <f>IFERROR(__xludf.DUMMYFUNCTION("""COMPUTED_VALUE"""),1635446.0)</f>
        <v>1635446</v>
      </c>
    </row>
    <row r="859">
      <c r="A859" s="26">
        <f>IFERROR(__xludf.DUMMYFUNCTION("""COMPUTED_VALUE"""),39617.645833333336)</f>
        <v>39617.64583</v>
      </c>
      <c r="B859" s="9">
        <f>IFERROR(__xludf.DUMMYFUNCTION("""COMPUTED_VALUE"""),239.75)</f>
        <v>239.75</v>
      </c>
      <c r="C859" s="9">
        <f>IFERROR(__xludf.DUMMYFUNCTION("""COMPUTED_VALUE"""),240.59)</f>
        <v>240.59</v>
      </c>
      <c r="D859" s="9">
        <f>IFERROR(__xludf.DUMMYFUNCTION("""COMPUTED_VALUE"""),231.75)</f>
        <v>231.75</v>
      </c>
      <c r="E859" s="9">
        <f>IFERROR(__xludf.DUMMYFUNCTION("""COMPUTED_VALUE"""),232.81)</f>
        <v>232.81</v>
      </c>
      <c r="F859" s="9">
        <f>IFERROR(__xludf.DUMMYFUNCTION("""COMPUTED_VALUE"""),1300225.0)</f>
        <v>1300225</v>
      </c>
      <c r="H859" s="27">
        <f>IFERROR(__xludf.DUMMYFUNCTION("""COMPUTED_VALUE"""),39616.645833333336)</f>
        <v>39616.64583</v>
      </c>
      <c r="I859" s="25">
        <f>IFERROR(__xludf.DUMMYFUNCTION("""COMPUTED_VALUE"""),226.25)</f>
        <v>226.25</v>
      </c>
      <c r="J859" s="25">
        <f>IFERROR(__xludf.DUMMYFUNCTION("""COMPUTED_VALUE"""),231.75)</f>
        <v>231.75</v>
      </c>
      <c r="K859" s="25">
        <f>IFERROR(__xludf.DUMMYFUNCTION("""COMPUTED_VALUE"""),226.25)</f>
        <v>226.25</v>
      </c>
      <c r="L859" s="25">
        <f>IFERROR(__xludf.DUMMYFUNCTION("""COMPUTED_VALUE"""),230.33)</f>
        <v>230.33</v>
      </c>
      <c r="M859" s="25">
        <f>IFERROR(__xludf.DUMMYFUNCTION("""COMPUTED_VALUE"""),876206.0)</f>
        <v>876206</v>
      </c>
    </row>
    <row r="860">
      <c r="A860" s="26">
        <f>IFERROR(__xludf.DUMMYFUNCTION("""COMPUTED_VALUE"""),39618.645833333336)</f>
        <v>39618.64583</v>
      </c>
      <c r="B860" s="9">
        <f>IFERROR(__xludf.DUMMYFUNCTION("""COMPUTED_VALUE"""),231.75)</f>
        <v>231.75</v>
      </c>
      <c r="C860" s="9">
        <f>IFERROR(__xludf.DUMMYFUNCTION("""COMPUTED_VALUE"""),235.21)</f>
        <v>235.21</v>
      </c>
      <c r="D860" s="9">
        <f>IFERROR(__xludf.DUMMYFUNCTION("""COMPUTED_VALUE"""),229.57)</f>
        <v>229.57</v>
      </c>
      <c r="E860" s="9">
        <f>IFERROR(__xludf.DUMMYFUNCTION("""COMPUTED_VALUE"""),232.8)</f>
        <v>232.8</v>
      </c>
      <c r="F860" s="9">
        <f>IFERROR(__xludf.DUMMYFUNCTION("""COMPUTED_VALUE"""),836908.0)</f>
        <v>836908</v>
      </c>
      <c r="H860" s="27">
        <f>IFERROR(__xludf.DUMMYFUNCTION("""COMPUTED_VALUE"""),39617.645833333336)</f>
        <v>39617.64583</v>
      </c>
      <c r="I860" s="25">
        <f>IFERROR(__xludf.DUMMYFUNCTION("""COMPUTED_VALUE"""),230.2)</f>
        <v>230.2</v>
      </c>
      <c r="J860" s="25">
        <f>IFERROR(__xludf.DUMMYFUNCTION("""COMPUTED_VALUE"""),230.25)</f>
        <v>230.25</v>
      </c>
      <c r="K860" s="25">
        <f>IFERROR(__xludf.DUMMYFUNCTION("""COMPUTED_VALUE"""),222.75)</f>
        <v>222.75</v>
      </c>
      <c r="L860" s="25">
        <f>IFERROR(__xludf.DUMMYFUNCTION("""COMPUTED_VALUE"""),225.23)</f>
        <v>225.23</v>
      </c>
      <c r="M860" s="25">
        <f>IFERROR(__xludf.DUMMYFUNCTION("""COMPUTED_VALUE"""),1607834.0)</f>
        <v>1607834</v>
      </c>
    </row>
    <row r="861">
      <c r="A861" s="26">
        <f>IFERROR(__xludf.DUMMYFUNCTION("""COMPUTED_VALUE"""),39619.645833333336)</f>
        <v>39619.64583</v>
      </c>
      <c r="B861" s="9">
        <f>IFERROR(__xludf.DUMMYFUNCTION("""COMPUTED_VALUE"""),233.13)</f>
        <v>233.13</v>
      </c>
      <c r="C861" s="9">
        <f>IFERROR(__xludf.DUMMYFUNCTION("""COMPUTED_VALUE"""),235.69)</f>
        <v>235.69</v>
      </c>
      <c r="D861" s="9">
        <f>IFERROR(__xludf.DUMMYFUNCTION("""COMPUTED_VALUE"""),227.0)</f>
        <v>227</v>
      </c>
      <c r="E861" s="9">
        <f>IFERROR(__xludf.DUMMYFUNCTION("""COMPUTED_VALUE"""),228.38)</f>
        <v>228.38</v>
      </c>
      <c r="F861" s="9">
        <f>IFERROR(__xludf.DUMMYFUNCTION("""COMPUTED_VALUE"""),1461858.0)</f>
        <v>1461858</v>
      </c>
      <c r="H861" s="27">
        <f>IFERROR(__xludf.DUMMYFUNCTION("""COMPUTED_VALUE"""),39618.645833333336)</f>
        <v>39618.64583</v>
      </c>
      <c r="I861" s="25">
        <f>IFERROR(__xludf.DUMMYFUNCTION("""COMPUTED_VALUE"""),220.06)</f>
        <v>220.06</v>
      </c>
      <c r="J861" s="25">
        <f>IFERROR(__xludf.DUMMYFUNCTION("""COMPUTED_VALUE"""),224.5)</f>
        <v>224.5</v>
      </c>
      <c r="K861" s="25">
        <f>IFERROR(__xludf.DUMMYFUNCTION("""COMPUTED_VALUE"""),220.0)</f>
        <v>220</v>
      </c>
      <c r="L861" s="25">
        <f>IFERROR(__xludf.DUMMYFUNCTION("""COMPUTED_VALUE"""),222.0)</f>
        <v>222</v>
      </c>
      <c r="M861" s="25">
        <f>IFERROR(__xludf.DUMMYFUNCTION("""COMPUTED_VALUE"""),822267.0)</f>
        <v>822267</v>
      </c>
    </row>
    <row r="862">
      <c r="A862" s="26">
        <f>IFERROR(__xludf.DUMMYFUNCTION("""COMPUTED_VALUE"""),39622.645833333336)</f>
        <v>39622.64583</v>
      </c>
      <c r="B862" s="9">
        <f>IFERROR(__xludf.DUMMYFUNCTION("""COMPUTED_VALUE"""),226.95)</f>
        <v>226.95</v>
      </c>
      <c r="C862" s="9">
        <f>IFERROR(__xludf.DUMMYFUNCTION("""COMPUTED_VALUE"""),233.35)</f>
        <v>233.35</v>
      </c>
      <c r="D862" s="9">
        <f>IFERROR(__xludf.DUMMYFUNCTION("""COMPUTED_VALUE"""),225.14)</f>
        <v>225.14</v>
      </c>
      <c r="E862" s="9">
        <f>IFERROR(__xludf.DUMMYFUNCTION("""COMPUTED_VALUE"""),230.73)</f>
        <v>230.73</v>
      </c>
      <c r="F862" s="9">
        <f>IFERROR(__xludf.DUMMYFUNCTION("""COMPUTED_VALUE"""),1204105.0)</f>
        <v>1204105</v>
      </c>
      <c r="H862" s="27">
        <f>IFERROR(__xludf.DUMMYFUNCTION("""COMPUTED_VALUE"""),39619.645833333336)</f>
        <v>39619.64583</v>
      </c>
      <c r="I862" s="25">
        <f>IFERROR(__xludf.DUMMYFUNCTION("""COMPUTED_VALUE"""),224.98)</f>
        <v>224.98</v>
      </c>
      <c r="J862" s="25">
        <f>IFERROR(__xludf.DUMMYFUNCTION("""COMPUTED_VALUE"""),224.98)</f>
        <v>224.98</v>
      </c>
      <c r="K862" s="25">
        <f>IFERROR(__xludf.DUMMYFUNCTION("""COMPUTED_VALUE"""),210.39)</f>
        <v>210.39</v>
      </c>
      <c r="L862" s="25">
        <f>IFERROR(__xludf.DUMMYFUNCTION("""COMPUTED_VALUE"""),215.96)</f>
        <v>215.96</v>
      </c>
      <c r="M862" s="25">
        <f>IFERROR(__xludf.DUMMYFUNCTION("""COMPUTED_VALUE"""),2039440.0)</f>
        <v>2039440</v>
      </c>
    </row>
    <row r="863">
      <c r="A863" s="26">
        <f>IFERROR(__xludf.DUMMYFUNCTION("""COMPUTED_VALUE"""),39623.645833333336)</f>
        <v>39623.64583</v>
      </c>
      <c r="B863" s="9">
        <f>IFERROR(__xludf.DUMMYFUNCTION("""COMPUTED_VALUE"""),230.73)</f>
        <v>230.73</v>
      </c>
      <c r="C863" s="9">
        <f>IFERROR(__xludf.DUMMYFUNCTION("""COMPUTED_VALUE"""),232.5)</f>
        <v>232.5</v>
      </c>
      <c r="D863" s="9">
        <f>IFERROR(__xludf.DUMMYFUNCTION("""COMPUTED_VALUE"""),220.63)</f>
        <v>220.63</v>
      </c>
      <c r="E863" s="9">
        <f>IFERROR(__xludf.DUMMYFUNCTION("""COMPUTED_VALUE"""),224.31)</f>
        <v>224.31</v>
      </c>
      <c r="F863" s="9">
        <f>IFERROR(__xludf.DUMMYFUNCTION("""COMPUTED_VALUE"""),1359007.0)</f>
        <v>1359007</v>
      </c>
      <c r="H863" s="27">
        <f>IFERROR(__xludf.DUMMYFUNCTION("""COMPUTED_VALUE"""),39622.645833333336)</f>
        <v>39622.64583</v>
      </c>
      <c r="I863" s="25">
        <f>IFERROR(__xludf.DUMMYFUNCTION("""COMPUTED_VALUE"""),215.96)</f>
        <v>215.96</v>
      </c>
      <c r="J863" s="25">
        <f>IFERROR(__xludf.DUMMYFUNCTION("""COMPUTED_VALUE"""),219.86)</f>
        <v>219.86</v>
      </c>
      <c r="K863" s="25">
        <f>IFERROR(__xludf.DUMMYFUNCTION("""COMPUTED_VALUE"""),210.75)</f>
        <v>210.75</v>
      </c>
      <c r="L863" s="25">
        <f>IFERROR(__xludf.DUMMYFUNCTION("""COMPUTED_VALUE"""),214.61)</f>
        <v>214.61</v>
      </c>
      <c r="M863" s="25">
        <f>IFERROR(__xludf.DUMMYFUNCTION("""COMPUTED_VALUE"""),893078.0)</f>
        <v>893078</v>
      </c>
    </row>
    <row r="864">
      <c r="A864" s="26">
        <f>IFERROR(__xludf.DUMMYFUNCTION("""COMPUTED_VALUE"""),39624.645833333336)</f>
        <v>39624.64583</v>
      </c>
      <c r="B864" s="9">
        <f>IFERROR(__xludf.DUMMYFUNCTION("""COMPUTED_VALUE"""),223.75)</f>
        <v>223.75</v>
      </c>
      <c r="C864" s="9">
        <f>IFERROR(__xludf.DUMMYFUNCTION("""COMPUTED_VALUE"""),223.75)</f>
        <v>223.75</v>
      </c>
      <c r="D864" s="9">
        <f>IFERROR(__xludf.DUMMYFUNCTION("""COMPUTED_VALUE"""),212.65)</f>
        <v>212.65</v>
      </c>
      <c r="E864" s="9">
        <f>IFERROR(__xludf.DUMMYFUNCTION("""COMPUTED_VALUE"""),218.34)</f>
        <v>218.34</v>
      </c>
      <c r="F864" s="9">
        <f>IFERROR(__xludf.DUMMYFUNCTION("""COMPUTED_VALUE"""),2786768.0)</f>
        <v>2786768</v>
      </c>
      <c r="H864" s="27">
        <f>IFERROR(__xludf.DUMMYFUNCTION("""COMPUTED_VALUE"""),39623.645833333336)</f>
        <v>39623.64583</v>
      </c>
      <c r="I864" s="25">
        <f>IFERROR(__xludf.DUMMYFUNCTION("""COMPUTED_VALUE"""),212.5)</f>
        <v>212.5</v>
      </c>
      <c r="J864" s="25">
        <f>IFERROR(__xludf.DUMMYFUNCTION("""COMPUTED_VALUE"""),216.93)</f>
        <v>216.93</v>
      </c>
      <c r="K864" s="25">
        <f>IFERROR(__xludf.DUMMYFUNCTION("""COMPUTED_VALUE"""),205.85)</f>
        <v>205.85</v>
      </c>
      <c r="L864" s="25">
        <f>IFERROR(__xludf.DUMMYFUNCTION("""COMPUTED_VALUE"""),211.1)</f>
        <v>211.1</v>
      </c>
      <c r="M864" s="25">
        <f>IFERROR(__xludf.DUMMYFUNCTION("""COMPUTED_VALUE"""),2321794.0)</f>
        <v>2321794</v>
      </c>
    </row>
    <row r="865">
      <c r="A865" s="26">
        <f>IFERROR(__xludf.DUMMYFUNCTION("""COMPUTED_VALUE"""),39625.645833333336)</f>
        <v>39625.64583</v>
      </c>
      <c r="B865" s="9">
        <f>IFERROR(__xludf.DUMMYFUNCTION("""COMPUTED_VALUE"""),217.51)</f>
        <v>217.51</v>
      </c>
      <c r="C865" s="9">
        <f>IFERROR(__xludf.DUMMYFUNCTION("""COMPUTED_VALUE"""),225.0)</f>
        <v>225</v>
      </c>
      <c r="D865" s="9">
        <f>IFERROR(__xludf.DUMMYFUNCTION("""COMPUTED_VALUE"""),217.51)</f>
        <v>217.51</v>
      </c>
      <c r="E865" s="9">
        <f>IFERROR(__xludf.DUMMYFUNCTION("""COMPUTED_VALUE"""),223.14)</f>
        <v>223.14</v>
      </c>
      <c r="F865" s="9">
        <f>IFERROR(__xludf.DUMMYFUNCTION("""COMPUTED_VALUE"""),2145229.0)</f>
        <v>2145229</v>
      </c>
      <c r="H865" s="27">
        <f>IFERROR(__xludf.DUMMYFUNCTION("""COMPUTED_VALUE"""),39624.645833333336)</f>
        <v>39624.64583</v>
      </c>
      <c r="I865" s="25">
        <f>IFERROR(__xludf.DUMMYFUNCTION("""COMPUTED_VALUE"""),210.0)</f>
        <v>210</v>
      </c>
      <c r="J865" s="25">
        <f>IFERROR(__xludf.DUMMYFUNCTION("""COMPUTED_VALUE"""),221.25)</f>
        <v>221.25</v>
      </c>
      <c r="K865" s="25">
        <f>IFERROR(__xludf.DUMMYFUNCTION("""COMPUTED_VALUE"""),207.83)</f>
        <v>207.83</v>
      </c>
      <c r="L865" s="25">
        <f>IFERROR(__xludf.DUMMYFUNCTION("""COMPUTED_VALUE"""),219.2)</f>
        <v>219.2</v>
      </c>
      <c r="M865" s="25">
        <f>IFERROR(__xludf.DUMMYFUNCTION("""COMPUTED_VALUE"""),1478549.0)</f>
        <v>1478549</v>
      </c>
    </row>
    <row r="866">
      <c r="A866" s="26">
        <f>IFERROR(__xludf.DUMMYFUNCTION("""COMPUTED_VALUE"""),39626.645833333336)</f>
        <v>39626.64583</v>
      </c>
      <c r="B866" s="9">
        <f>IFERROR(__xludf.DUMMYFUNCTION("""COMPUTED_VALUE"""),217.52)</f>
        <v>217.52</v>
      </c>
      <c r="C866" s="9">
        <f>IFERROR(__xludf.DUMMYFUNCTION("""COMPUTED_VALUE"""),220.63)</f>
        <v>220.63</v>
      </c>
      <c r="D866" s="9">
        <f>IFERROR(__xludf.DUMMYFUNCTION("""COMPUTED_VALUE"""),211.88)</f>
        <v>211.88</v>
      </c>
      <c r="E866" s="9">
        <f>IFERROR(__xludf.DUMMYFUNCTION("""COMPUTED_VALUE"""),213.18)</f>
        <v>213.18</v>
      </c>
      <c r="F866" s="9">
        <f>IFERROR(__xludf.DUMMYFUNCTION("""COMPUTED_VALUE"""),1426310.0)</f>
        <v>1426310</v>
      </c>
      <c r="H866" s="27">
        <f>IFERROR(__xludf.DUMMYFUNCTION("""COMPUTED_VALUE"""),39625.645833333336)</f>
        <v>39625.64583</v>
      </c>
      <c r="I866" s="25">
        <f>IFERROR(__xludf.DUMMYFUNCTION("""COMPUTED_VALUE"""),221.0)</f>
        <v>221</v>
      </c>
      <c r="J866" s="25">
        <f>IFERROR(__xludf.DUMMYFUNCTION("""COMPUTED_VALUE"""),224.5)</f>
        <v>224.5</v>
      </c>
      <c r="K866" s="25">
        <f>IFERROR(__xludf.DUMMYFUNCTION("""COMPUTED_VALUE"""),215.1)</f>
        <v>215.1</v>
      </c>
      <c r="L866" s="25">
        <f>IFERROR(__xludf.DUMMYFUNCTION("""COMPUTED_VALUE"""),220.34)</f>
        <v>220.34</v>
      </c>
      <c r="M866" s="25">
        <f>IFERROR(__xludf.DUMMYFUNCTION("""COMPUTED_VALUE"""),1757079.0)</f>
        <v>1757079</v>
      </c>
    </row>
    <row r="867">
      <c r="A867" s="26">
        <f>IFERROR(__xludf.DUMMYFUNCTION("""COMPUTED_VALUE"""),39629.645833333336)</f>
        <v>39629.64583</v>
      </c>
      <c r="B867" s="9">
        <f>IFERROR(__xludf.DUMMYFUNCTION("""COMPUTED_VALUE"""),214.38)</f>
        <v>214.38</v>
      </c>
      <c r="C867" s="9">
        <f>IFERROR(__xludf.DUMMYFUNCTION("""COMPUTED_VALUE"""),218.6)</f>
        <v>218.6</v>
      </c>
      <c r="D867" s="9">
        <f>IFERROR(__xludf.DUMMYFUNCTION("""COMPUTED_VALUE"""),213.75)</f>
        <v>213.75</v>
      </c>
      <c r="E867" s="9">
        <f>IFERROR(__xludf.DUMMYFUNCTION("""COMPUTED_VALUE"""),217.1)</f>
        <v>217.1</v>
      </c>
      <c r="F867" s="9">
        <f>IFERROR(__xludf.DUMMYFUNCTION("""COMPUTED_VALUE"""),1460712.0)</f>
        <v>1460712</v>
      </c>
      <c r="H867" s="27">
        <f>IFERROR(__xludf.DUMMYFUNCTION("""COMPUTED_VALUE"""),39626.645833333336)</f>
        <v>39626.64583</v>
      </c>
      <c r="I867" s="25">
        <f>IFERROR(__xludf.DUMMYFUNCTION("""COMPUTED_VALUE"""),220.34)</f>
        <v>220.34</v>
      </c>
      <c r="J867" s="25">
        <f>IFERROR(__xludf.DUMMYFUNCTION("""COMPUTED_VALUE"""),220.34)</f>
        <v>220.34</v>
      </c>
      <c r="K867" s="25">
        <f>IFERROR(__xludf.DUMMYFUNCTION("""COMPUTED_VALUE"""),212.79)</f>
        <v>212.79</v>
      </c>
      <c r="L867" s="25">
        <f>IFERROR(__xludf.DUMMYFUNCTION("""COMPUTED_VALUE"""),216.38)</f>
        <v>216.38</v>
      </c>
      <c r="M867" s="25">
        <f>IFERROR(__xludf.DUMMYFUNCTION("""COMPUTED_VALUE"""),1565237.0)</f>
        <v>1565237</v>
      </c>
    </row>
    <row r="868">
      <c r="A868" s="26">
        <f>IFERROR(__xludf.DUMMYFUNCTION("""COMPUTED_VALUE"""),39630.645833333336)</f>
        <v>39630.64583</v>
      </c>
      <c r="B868" s="9">
        <f>IFERROR(__xludf.DUMMYFUNCTION("""COMPUTED_VALUE"""),218.0)</f>
        <v>218</v>
      </c>
      <c r="C868" s="9">
        <f>IFERROR(__xludf.DUMMYFUNCTION("""COMPUTED_VALUE"""),221.13)</f>
        <v>221.13</v>
      </c>
      <c r="D868" s="9">
        <f>IFERROR(__xludf.DUMMYFUNCTION("""COMPUTED_VALUE"""),213.13)</f>
        <v>213.13</v>
      </c>
      <c r="E868" s="9">
        <f>IFERROR(__xludf.DUMMYFUNCTION("""COMPUTED_VALUE"""),214.63)</f>
        <v>214.63</v>
      </c>
      <c r="F868" s="9">
        <f>IFERROR(__xludf.DUMMYFUNCTION("""COMPUTED_VALUE"""),1544980.0)</f>
        <v>1544980</v>
      </c>
      <c r="H868" s="27">
        <f>IFERROR(__xludf.DUMMYFUNCTION("""COMPUTED_VALUE"""),39629.645833333336)</f>
        <v>39629.64583</v>
      </c>
      <c r="I868" s="25">
        <f>IFERROR(__xludf.DUMMYFUNCTION("""COMPUTED_VALUE"""),217.75)</f>
        <v>217.75</v>
      </c>
      <c r="J868" s="25">
        <f>IFERROR(__xludf.DUMMYFUNCTION("""COMPUTED_VALUE"""),219.5)</f>
        <v>219.5</v>
      </c>
      <c r="K868" s="25">
        <f>IFERROR(__xludf.DUMMYFUNCTION("""COMPUTED_VALUE"""),212.5)</f>
        <v>212.5</v>
      </c>
      <c r="L868" s="25">
        <f>IFERROR(__xludf.DUMMYFUNCTION("""COMPUTED_VALUE"""),214.55)</f>
        <v>214.55</v>
      </c>
      <c r="M868" s="25">
        <f>IFERROR(__xludf.DUMMYFUNCTION("""COMPUTED_VALUE"""),814511.0)</f>
        <v>814511</v>
      </c>
    </row>
    <row r="869">
      <c r="A869" s="26">
        <f>IFERROR(__xludf.DUMMYFUNCTION("""COMPUTED_VALUE"""),39631.645833333336)</f>
        <v>39631.64583</v>
      </c>
      <c r="B869" s="9">
        <f>IFERROR(__xludf.DUMMYFUNCTION("""COMPUTED_VALUE"""),215.63)</f>
        <v>215.63</v>
      </c>
      <c r="C869" s="9">
        <f>IFERROR(__xludf.DUMMYFUNCTION("""COMPUTED_VALUE"""),230.5)</f>
        <v>230.5</v>
      </c>
      <c r="D869" s="9">
        <f>IFERROR(__xludf.DUMMYFUNCTION("""COMPUTED_VALUE"""),215.25)</f>
        <v>215.25</v>
      </c>
      <c r="E869" s="9">
        <f>IFERROR(__xludf.DUMMYFUNCTION("""COMPUTED_VALUE"""),227.58)</f>
        <v>227.58</v>
      </c>
      <c r="F869" s="9">
        <f>IFERROR(__xludf.DUMMYFUNCTION("""COMPUTED_VALUE"""),1797365.0)</f>
        <v>1797365</v>
      </c>
      <c r="H869" s="27">
        <f>IFERROR(__xludf.DUMMYFUNCTION("""COMPUTED_VALUE"""),39630.645833333336)</f>
        <v>39630.64583</v>
      </c>
      <c r="I869" s="25">
        <f>IFERROR(__xludf.DUMMYFUNCTION("""COMPUTED_VALUE"""),216.25)</f>
        <v>216.25</v>
      </c>
      <c r="J869" s="25">
        <f>IFERROR(__xludf.DUMMYFUNCTION("""COMPUTED_VALUE"""),218.0)</f>
        <v>218</v>
      </c>
      <c r="K869" s="25">
        <f>IFERROR(__xludf.DUMMYFUNCTION("""COMPUTED_VALUE"""),208.76)</f>
        <v>208.76</v>
      </c>
      <c r="L869" s="25">
        <f>IFERROR(__xludf.DUMMYFUNCTION("""COMPUTED_VALUE"""),211.93)</f>
        <v>211.93</v>
      </c>
      <c r="M869" s="25">
        <f>IFERROR(__xludf.DUMMYFUNCTION("""COMPUTED_VALUE"""),1264904.0)</f>
        <v>1264904</v>
      </c>
    </row>
    <row r="870">
      <c r="A870" s="26">
        <f>IFERROR(__xludf.DUMMYFUNCTION("""COMPUTED_VALUE"""),39632.645833333336)</f>
        <v>39632.64583</v>
      </c>
      <c r="B870" s="9">
        <f>IFERROR(__xludf.DUMMYFUNCTION("""COMPUTED_VALUE"""),225.16)</f>
        <v>225.16</v>
      </c>
      <c r="C870" s="9">
        <f>IFERROR(__xludf.DUMMYFUNCTION("""COMPUTED_VALUE"""),225.16)</f>
        <v>225.16</v>
      </c>
      <c r="D870" s="9">
        <f>IFERROR(__xludf.DUMMYFUNCTION("""COMPUTED_VALUE"""),216.5)</f>
        <v>216.5</v>
      </c>
      <c r="E870" s="9">
        <f>IFERROR(__xludf.DUMMYFUNCTION("""COMPUTED_VALUE"""),217.88)</f>
        <v>217.88</v>
      </c>
      <c r="F870" s="9">
        <f>IFERROR(__xludf.DUMMYFUNCTION("""COMPUTED_VALUE"""),1521145.0)</f>
        <v>1521145</v>
      </c>
      <c r="H870" s="27">
        <f>IFERROR(__xludf.DUMMYFUNCTION("""COMPUTED_VALUE"""),39631.645833333336)</f>
        <v>39631.64583</v>
      </c>
      <c r="I870" s="25">
        <f>IFERROR(__xludf.DUMMYFUNCTION("""COMPUTED_VALUE"""),212.5)</f>
        <v>212.5</v>
      </c>
      <c r="J870" s="25">
        <f>IFERROR(__xludf.DUMMYFUNCTION("""COMPUTED_VALUE"""),222.0)</f>
        <v>222</v>
      </c>
      <c r="K870" s="25">
        <f>IFERROR(__xludf.DUMMYFUNCTION("""COMPUTED_VALUE"""),210.0)</f>
        <v>210</v>
      </c>
      <c r="L870" s="25">
        <f>IFERROR(__xludf.DUMMYFUNCTION("""COMPUTED_VALUE"""),219.13)</f>
        <v>219.13</v>
      </c>
      <c r="M870" s="25">
        <f>IFERROR(__xludf.DUMMYFUNCTION("""COMPUTED_VALUE"""),2035278.0)</f>
        <v>2035278</v>
      </c>
    </row>
    <row r="871">
      <c r="A871" s="26">
        <f>IFERROR(__xludf.DUMMYFUNCTION("""COMPUTED_VALUE"""),39633.645833333336)</f>
        <v>39633.64583</v>
      </c>
      <c r="B871" s="9">
        <f>IFERROR(__xludf.DUMMYFUNCTION("""COMPUTED_VALUE"""),218.5)</f>
        <v>218.5</v>
      </c>
      <c r="C871" s="9">
        <f>IFERROR(__xludf.DUMMYFUNCTION("""COMPUTED_VALUE"""),223.63)</f>
        <v>223.63</v>
      </c>
      <c r="D871" s="9">
        <f>IFERROR(__xludf.DUMMYFUNCTION("""COMPUTED_VALUE"""),216.42)</f>
        <v>216.42</v>
      </c>
      <c r="E871" s="9">
        <f>IFERROR(__xludf.DUMMYFUNCTION("""COMPUTED_VALUE"""),219.48)</f>
        <v>219.48</v>
      </c>
      <c r="F871" s="9">
        <f>IFERROR(__xludf.DUMMYFUNCTION("""COMPUTED_VALUE"""),1204238.0)</f>
        <v>1204238</v>
      </c>
      <c r="H871" s="27">
        <f>IFERROR(__xludf.DUMMYFUNCTION("""COMPUTED_VALUE"""),39632.645833333336)</f>
        <v>39632.64583</v>
      </c>
      <c r="I871" s="25">
        <f>IFERROR(__xludf.DUMMYFUNCTION("""COMPUTED_VALUE"""),220.25)</f>
        <v>220.25</v>
      </c>
      <c r="J871" s="25">
        <f>IFERROR(__xludf.DUMMYFUNCTION("""COMPUTED_VALUE"""),220.25)</f>
        <v>220.25</v>
      </c>
      <c r="K871" s="25">
        <f>IFERROR(__xludf.DUMMYFUNCTION("""COMPUTED_VALUE"""),205.14)</f>
        <v>205.14</v>
      </c>
      <c r="L871" s="25">
        <f>IFERROR(__xludf.DUMMYFUNCTION("""COMPUTED_VALUE"""),214.16)</f>
        <v>214.16</v>
      </c>
      <c r="M871" s="25">
        <f>IFERROR(__xludf.DUMMYFUNCTION("""COMPUTED_VALUE"""),1043132.0)</f>
        <v>1043132</v>
      </c>
    </row>
    <row r="872">
      <c r="A872" s="26">
        <f>IFERROR(__xludf.DUMMYFUNCTION("""COMPUTED_VALUE"""),39636.645833333336)</f>
        <v>39636.64583</v>
      </c>
      <c r="B872" s="9">
        <f>IFERROR(__xludf.DUMMYFUNCTION("""COMPUTED_VALUE"""),222.5)</f>
        <v>222.5</v>
      </c>
      <c r="C872" s="9">
        <f>IFERROR(__xludf.DUMMYFUNCTION("""COMPUTED_VALUE"""),228.13)</f>
        <v>228.13</v>
      </c>
      <c r="D872" s="9">
        <f>IFERROR(__xludf.DUMMYFUNCTION("""COMPUTED_VALUE"""),221.88)</f>
        <v>221.88</v>
      </c>
      <c r="E872" s="9">
        <f>IFERROR(__xludf.DUMMYFUNCTION("""COMPUTED_VALUE"""),224.98)</f>
        <v>224.98</v>
      </c>
      <c r="F872" s="9">
        <f>IFERROR(__xludf.DUMMYFUNCTION("""COMPUTED_VALUE"""),1040351.0)</f>
        <v>1040351</v>
      </c>
      <c r="H872" s="27">
        <f>IFERROR(__xludf.DUMMYFUNCTION("""COMPUTED_VALUE"""),39633.645833333336)</f>
        <v>39633.64583</v>
      </c>
      <c r="I872" s="25">
        <f>IFERROR(__xludf.DUMMYFUNCTION("""COMPUTED_VALUE"""),217.48)</f>
        <v>217.48</v>
      </c>
      <c r="J872" s="25">
        <f>IFERROR(__xludf.DUMMYFUNCTION("""COMPUTED_VALUE"""),217.51)</f>
        <v>217.51</v>
      </c>
      <c r="K872" s="25">
        <f>IFERROR(__xludf.DUMMYFUNCTION("""COMPUTED_VALUE"""),208.88)</f>
        <v>208.88</v>
      </c>
      <c r="L872" s="25">
        <f>IFERROR(__xludf.DUMMYFUNCTION("""COMPUTED_VALUE"""),211.13)</f>
        <v>211.13</v>
      </c>
      <c r="M872" s="25">
        <f>IFERROR(__xludf.DUMMYFUNCTION("""COMPUTED_VALUE"""),984896.0)</f>
        <v>984896</v>
      </c>
    </row>
    <row r="873">
      <c r="A873" s="26">
        <f>IFERROR(__xludf.DUMMYFUNCTION("""COMPUTED_VALUE"""),39637.645833333336)</f>
        <v>39637.64583</v>
      </c>
      <c r="B873" s="9">
        <f>IFERROR(__xludf.DUMMYFUNCTION("""COMPUTED_VALUE"""),222.13)</f>
        <v>222.13</v>
      </c>
      <c r="C873" s="9">
        <f>IFERROR(__xludf.DUMMYFUNCTION("""COMPUTED_VALUE"""),222.13)</f>
        <v>222.13</v>
      </c>
      <c r="D873" s="9">
        <f>IFERROR(__xludf.DUMMYFUNCTION("""COMPUTED_VALUE"""),213.96)</f>
        <v>213.96</v>
      </c>
      <c r="E873" s="9">
        <f>IFERROR(__xludf.DUMMYFUNCTION("""COMPUTED_VALUE"""),217.08)</f>
        <v>217.08</v>
      </c>
      <c r="F873" s="9">
        <f>IFERROR(__xludf.DUMMYFUNCTION("""COMPUTED_VALUE"""),1624617.0)</f>
        <v>1624617</v>
      </c>
      <c r="H873" s="27">
        <f>IFERROR(__xludf.DUMMYFUNCTION("""COMPUTED_VALUE"""),39636.645833333336)</f>
        <v>39636.64583</v>
      </c>
      <c r="I873" s="25">
        <f>IFERROR(__xludf.DUMMYFUNCTION("""COMPUTED_VALUE"""),211.25)</f>
        <v>211.25</v>
      </c>
      <c r="J873" s="25">
        <f>IFERROR(__xludf.DUMMYFUNCTION("""COMPUTED_VALUE"""),216.0)</f>
        <v>216</v>
      </c>
      <c r="K873" s="25">
        <f>IFERROR(__xludf.DUMMYFUNCTION("""COMPUTED_VALUE"""),208.0)</f>
        <v>208</v>
      </c>
      <c r="L873" s="25">
        <f>IFERROR(__xludf.DUMMYFUNCTION("""COMPUTED_VALUE"""),213.06)</f>
        <v>213.06</v>
      </c>
      <c r="M873" s="25">
        <f>IFERROR(__xludf.DUMMYFUNCTION("""COMPUTED_VALUE"""),448533.0)</f>
        <v>448533</v>
      </c>
    </row>
    <row r="874">
      <c r="A874" s="26">
        <f>IFERROR(__xludf.DUMMYFUNCTION("""COMPUTED_VALUE"""),39638.645833333336)</f>
        <v>39638.64583</v>
      </c>
      <c r="B874" s="9">
        <f>IFERROR(__xludf.DUMMYFUNCTION("""COMPUTED_VALUE"""),219.5)</f>
        <v>219.5</v>
      </c>
      <c r="C874" s="9">
        <f>IFERROR(__xludf.DUMMYFUNCTION("""COMPUTED_VALUE"""),229.0)</f>
        <v>229</v>
      </c>
      <c r="D874" s="9">
        <f>IFERROR(__xludf.DUMMYFUNCTION("""COMPUTED_VALUE"""),219.0)</f>
        <v>219</v>
      </c>
      <c r="E874" s="9">
        <f>IFERROR(__xludf.DUMMYFUNCTION("""COMPUTED_VALUE"""),227.74)</f>
        <v>227.74</v>
      </c>
      <c r="F874" s="9">
        <f>IFERROR(__xludf.DUMMYFUNCTION("""COMPUTED_VALUE"""),1875628.0)</f>
        <v>1875628</v>
      </c>
      <c r="H874" s="27">
        <f>IFERROR(__xludf.DUMMYFUNCTION("""COMPUTED_VALUE"""),39637.645833333336)</f>
        <v>39637.64583</v>
      </c>
      <c r="I874" s="25">
        <f>IFERROR(__xludf.DUMMYFUNCTION("""COMPUTED_VALUE"""),207.54)</f>
        <v>207.54</v>
      </c>
      <c r="J874" s="25">
        <f>IFERROR(__xludf.DUMMYFUNCTION("""COMPUTED_VALUE"""),211.25)</f>
        <v>211.25</v>
      </c>
      <c r="K874" s="25">
        <f>IFERROR(__xludf.DUMMYFUNCTION("""COMPUTED_VALUE"""),204.5)</f>
        <v>204.5</v>
      </c>
      <c r="L874" s="25">
        <f>IFERROR(__xludf.DUMMYFUNCTION("""COMPUTED_VALUE"""),207.55)</f>
        <v>207.55</v>
      </c>
      <c r="M874" s="25">
        <f>IFERROR(__xludf.DUMMYFUNCTION("""COMPUTED_VALUE"""),986906.0)</f>
        <v>986906</v>
      </c>
    </row>
    <row r="875">
      <c r="A875" s="26">
        <f>IFERROR(__xludf.DUMMYFUNCTION("""COMPUTED_VALUE"""),39639.645833333336)</f>
        <v>39639.64583</v>
      </c>
      <c r="B875" s="9">
        <f>IFERROR(__xludf.DUMMYFUNCTION("""COMPUTED_VALUE"""),235.63)</f>
        <v>235.63</v>
      </c>
      <c r="C875" s="9">
        <f>IFERROR(__xludf.DUMMYFUNCTION("""COMPUTED_VALUE"""),235.63)</f>
        <v>235.63</v>
      </c>
      <c r="D875" s="9">
        <f>IFERROR(__xludf.DUMMYFUNCTION("""COMPUTED_VALUE"""),222.5)</f>
        <v>222.5</v>
      </c>
      <c r="E875" s="9">
        <f>IFERROR(__xludf.DUMMYFUNCTION("""COMPUTED_VALUE"""),225.66)</f>
        <v>225.66</v>
      </c>
      <c r="F875" s="9">
        <f>IFERROR(__xludf.DUMMYFUNCTION("""COMPUTED_VALUE"""),1883984.0)</f>
        <v>1883984</v>
      </c>
      <c r="H875" s="27">
        <f>IFERROR(__xludf.DUMMYFUNCTION("""COMPUTED_VALUE"""),39638.645833333336)</f>
        <v>39638.64583</v>
      </c>
      <c r="I875" s="25">
        <f>IFERROR(__xludf.DUMMYFUNCTION("""COMPUTED_VALUE"""),212.5)</f>
        <v>212.5</v>
      </c>
      <c r="J875" s="25">
        <f>IFERROR(__xludf.DUMMYFUNCTION("""COMPUTED_VALUE"""),222.49)</f>
        <v>222.49</v>
      </c>
      <c r="K875" s="25">
        <f>IFERROR(__xludf.DUMMYFUNCTION("""COMPUTED_VALUE"""),212.5)</f>
        <v>212.5</v>
      </c>
      <c r="L875" s="25">
        <f>IFERROR(__xludf.DUMMYFUNCTION("""COMPUTED_VALUE"""),219.19)</f>
        <v>219.19</v>
      </c>
      <c r="M875" s="25">
        <f>IFERROR(__xludf.DUMMYFUNCTION("""COMPUTED_VALUE"""),894637.0)</f>
        <v>894637</v>
      </c>
    </row>
    <row r="876">
      <c r="A876" s="26">
        <f>IFERROR(__xludf.DUMMYFUNCTION("""COMPUTED_VALUE"""),39640.645833333336)</f>
        <v>39640.64583</v>
      </c>
      <c r="B876" s="9">
        <f>IFERROR(__xludf.DUMMYFUNCTION("""COMPUTED_VALUE"""),230.63)</f>
        <v>230.63</v>
      </c>
      <c r="C876" s="9">
        <f>IFERROR(__xludf.DUMMYFUNCTION("""COMPUTED_VALUE"""),234.33)</f>
        <v>234.33</v>
      </c>
      <c r="D876" s="9">
        <f>IFERROR(__xludf.DUMMYFUNCTION("""COMPUTED_VALUE"""),205.19)</f>
        <v>205.19</v>
      </c>
      <c r="E876" s="9">
        <f>IFERROR(__xludf.DUMMYFUNCTION("""COMPUTED_VALUE"""),209.61)</f>
        <v>209.61</v>
      </c>
      <c r="F876" s="9">
        <f>IFERROR(__xludf.DUMMYFUNCTION("""COMPUTED_VALUE"""),6596234.0)</f>
        <v>6596234</v>
      </c>
      <c r="H876" s="27">
        <f>IFERROR(__xludf.DUMMYFUNCTION("""COMPUTED_VALUE"""),39639.645833333336)</f>
        <v>39639.64583</v>
      </c>
      <c r="I876" s="25">
        <f>IFERROR(__xludf.DUMMYFUNCTION("""COMPUTED_VALUE"""),217.5)</f>
        <v>217.5</v>
      </c>
      <c r="J876" s="25">
        <f>IFERROR(__xludf.DUMMYFUNCTION("""COMPUTED_VALUE"""),222.25)</f>
        <v>222.25</v>
      </c>
      <c r="K876" s="25">
        <f>IFERROR(__xludf.DUMMYFUNCTION("""COMPUTED_VALUE"""),213.09)</f>
        <v>213.09</v>
      </c>
      <c r="L876" s="25">
        <f>IFERROR(__xludf.DUMMYFUNCTION("""COMPUTED_VALUE"""),217.1)</f>
        <v>217.1</v>
      </c>
      <c r="M876" s="25">
        <f>IFERROR(__xludf.DUMMYFUNCTION("""COMPUTED_VALUE"""),876092.0)</f>
        <v>876092</v>
      </c>
    </row>
    <row r="877">
      <c r="A877" s="26">
        <f>IFERROR(__xludf.DUMMYFUNCTION("""COMPUTED_VALUE"""),39643.645833333336)</f>
        <v>39643.64583</v>
      </c>
      <c r="B877" s="9">
        <f>IFERROR(__xludf.DUMMYFUNCTION("""COMPUTED_VALUE"""),207.53)</f>
        <v>207.53</v>
      </c>
      <c r="C877" s="9">
        <f>IFERROR(__xludf.DUMMYFUNCTION("""COMPUTED_VALUE"""),208.75)</f>
        <v>208.75</v>
      </c>
      <c r="D877" s="9">
        <f>IFERROR(__xludf.DUMMYFUNCTION("""COMPUTED_VALUE"""),192.79)</f>
        <v>192.79</v>
      </c>
      <c r="E877" s="9">
        <f>IFERROR(__xludf.DUMMYFUNCTION("""COMPUTED_VALUE"""),194.44)</f>
        <v>194.44</v>
      </c>
      <c r="F877" s="9">
        <f>IFERROR(__xludf.DUMMYFUNCTION("""COMPUTED_VALUE"""),3688791.0)</f>
        <v>3688791</v>
      </c>
      <c r="H877" s="27">
        <f>IFERROR(__xludf.DUMMYFUNCTION("""COMPUTED_VALUE"""),39640.645833333336)</f>
        <v>39640.64583</v>
      </c>
      <c r="I877" s="25">
        <f>IFERROR(__xludf.DUMMYFUNCTION("""COMPUTED_VALUE"""),229.25)</f>
        <v>229.25</v>
      </c>
      <c r="J877" s="25">
        <f>IFERROR(__xludf.DUMMYFUNCTION("""COMPUTED_VALUE"""),235.75)</f>
        <v>235.75</v>
      </c>
      <c r="K877" s="25">
        <f>IFERROR(__xludf.DUMMYFUNCTION("""COMPUTED_VALUE"""),196.35)</f>
        <v>196.35</v>
      </c>
      <c r="L877" s="25">
        <f>IFERROR(__xludf.DUMMYFUNCTION("""COMPUTED_VALUE"""),199.65)</f>
        <v>199.65</v>
      </c>
      <c r="M877" s="25">
        <f>IFERROR(__xludf.DUMMYFUNCTION("""COMPUTED_VALUE"""),1380946.0)</f>
        <v>1380946</v>
      </c>
    </row>
    <row r="878">
      <c r="A878" s="26">
        <f>IFERROR(__xludf.DUMMYFUNCTION("""COMPUTED_VALUE"""),39644.645833333336)</f>
        <v>39644.64583</v>
      </c>
      <c r="B878" s="9">
        <f>IFERROR(__xludf.DUMMYFUNCTION("""COMPUTED_VALUE"""),191.88)</f>
        <v>191.88</v>
      </c>
      <c r="C878" s="9">
        <f>IFERROR(__xludf.DUMMYFUNCTION("""COMPUTED_VALUE"""),197.38)</f>
        <v>197.38</v>
      </c>
      <c r="D878" s="9">
        <f>IFERROR(__xludf.DUMMYFUNCTION("""COMPUTED_VALUE"""),187.88)</f>
        <v>187.88</v>
      </c>
      <c r="E878" s="9">
        <f>IFERROR(__xludf.DUMMYFUNCTION("""COMPUTED_VALUE"""),193.08)</f>
        <v>193.08</v>
      </c>
      <c r="F878" s="9">
        <f>IFERROR(__xludf.DUMMYFUNCTION("""COMPUTED_VALUE"""),3231972.0)</f>
        <v>3231972</v>
      </c>
      <c r="H878" s="27">
        <f>IFERROR(__xludf.DUMMYFUNCTION("""COMPUTED_VALUE"""),39643.645833333336)</f>
        <v>39643.64583</v>
      </c>
      <c r="I878" s="25">
        <f>IFERROR(__xludf.DUMMYFUNCTION("""COMPUTED_VALUE"""),200.0)</f>
        <v>200</v>
      </c>
      <c r="J878" s="25">
        <f>IFERROR(__xludf.DUMMYFUNCTION("""COMPUTED_VALUE"""),200.0)</f>
        <v>200</v>
      </c>
      <c r="K878" s="25">
        <f>IFERROR(__xludf.DUMMYFUNCTION("""COMPUTED_VALUE"""),190.25)</f>
        <v>190.25</v>
      </c>
      <c r="L878" s="25">
        <f>IFERROR(__xludf.DUMMYFUNCTION("""COMPUTED_VALUE"""),191.96)</f>
        <v>191.96</v>
      </c>
      <c r="M878" s="25">
        <f>IFERROR(__xludf.DUMMYFUNCTION("""COMPUTED_VALUE"""),1139974.0)</f>
        <v>1139974</v>
      </c>
    </row>
    <row r="879">
      <c r="A879" s="26">
        <f>IFERROR(__xludf.DUMMYFUNCTION("""COMPUTED_VALUE"""),39645.645833333336)</f>
        <v>39645.64583</v>
      </c>
      <c r="B879" s="9">
        <f>IFERROR(__xludf.DUMMYFUNCTION("""COMPUTED_VALUE"""),195.15)</f>
        <v>195.15</v>
      </c>
      <c r="C879" s="9">
        <f>IFERROR(__xludf.DUMMYFUNCTION("""COMPUTED_VALUE"""),197.13)</f>
        <v>197.13</v>
      </c>
      <c r="D879" s="9">
        <f>IFERROR(__xludf.DUMMYFUNCTION("""COMPUTED_VALUE"""),191.0)</f>
        <v>191</v>
      </c>
      <c r="E879" s="9">
        <f>IFERROR(__xludf.DUMMYFUNCTION("""COMPUTED_VALUE"""),193.45)</f>
        <v>193.45</v>
      </c>
      <c r="F879" s="9">
        <f>IFERROR(__xludf.DUMMYFUNCTION("""COMPUTED_VALUE"""),1565876.0)</f>
        <v>1565876</v>
      </c>
      <c r="H879" s="27">
        <f>IFERROR(__xludf.DUMMYFUNCTION("""COMPUTED_VALUE"""),39644.645833333336)</f>
        <v>39644.64583</v>
      </c>
      <c r="I879" s="25">
        <f>IFERROR(__xludf.DUMMYFUNCTION("""COMPUTED_VALUE"""),191.96)</f>
        <v>191.96</v>
      </c>
      <c r="J879" s="25">
        <f>IFERROR(__xludf.DUMMYFUNCTION("""COMPUTED_VALUE"""),196.61)</f>
        <v>196.61</v>
      </c>
      <c r="K879" s="25">
        <f>IFERROR(__xludf.DUMMYFUNCTION("""COMPUTED_VALUE"""),184.29)</f>
        <v>184.29</v>
      </c>
      <c r="L879" s="25">
        <f>IFERROR(__xludf.DUMMYFUNCTION("""COMPUTED_VALUE"""),187.66)</f>
        <v>187.66</v>
      </c>
      <c r="M879" s="25">
        <f>IFERROR(__xludf.DUMMYFUNCTION("""COMPUTED_VALUE"""),1127461.0)</f>
        <v>1127461</v>
      </c>
    </row>
    <row r="880">
      <c r="A880" s="26">
        <f>IFERROR(__xludf.DUMMYFUNCTION("""COMPUTED_VALUE"""),39646.645833333336)</f>
        <v>39646.64583</v>
      </c>
      <c r="B880" s="9">
        <f>IFERROR(__xludf.DUMMYFUNCTION("""COMPUTED_VALUE"""),197.5)</f>
        <v>197.5</v>
      </c>
      <c r="C880" s="9">
        <f>IFERROR(__xludf.DUMMYFUNCTION("""COMPUTED_VALUE"""),200.98)</f>
        <v>200.98</v>
      </c>
      <c r="D880" s="9">
        <f>IFERROR(__xludf.DUMMYFUNCTION("""COMPUTED_VALUE"""),195.64)</f>
        <v>195.64</v>
      </c>
      <c r="E880" s="9">
        <f>IFERROR(__xludf.DUMMYFUNCTION("""COMPUTED_VALUE"""),197.79)</f>
        <v>197.79</v>
      </c>
      <c r="F880" s="9">
        <f>IFERROR(__xludf.DUMMYFUNCTION("""COMPUTED_VALUE"""),1628085.0)</f>
        <v>1628085</v>
      </c>
      <c r="H880" s="27">
        <f>IFERROR(__xludf.DUMMYFUNCTION("""COMPUTED_VALUE"""),39645.645833333336)</f>
        <v>39645.64583</v>
      </c>
      <c r="I880" s="25">
        <f>IFERROR(__xludf.DUMMYFUNCTION("""COMPUTED_VALUE"""),188.66)</f>
        <v>188.66</v>
      </c>
      <c r="J880" s="25">
        <f>IFERROR(__xludf.DUMMYFUNCTION("""COMPUTED_VALUE"""),193.41)</f>
        <v>193.41</v>
      </c>
      <c r="K880" s="25">
        <f>IFERROR(__xludf.DUMMYFUNCTION("""COMPUTED_VALUE"""),178.98)</f>
        <v>178.98</v>
      </c>
      <c r="L880" s="25">
        <f>IFERROR(__xludf.DUMMYFUNCTION("""COMPUTED_VALUE"""),182.03)</f>
        <v>182.03</v>
      </c>
      <c r="M880" s="25">
        <f>IFERROR(__xludf.DUMMYFUNCTION("""COMPUTED_VALUE"""),1434975.0)</f>
        <v>1434975</v>
      </c>
    </row>
    <row r="881">
      <c r="A881" s="26">
        <f>IFERROR(__xludf.DUMMYFUNCTION("""COMPUTED_VALUE"""),39647.645833333336)</f>
        <v>39647.64583</v>
      </c>
      <c r="B881" s="9">
        <f>IFERROR(__xludf.DUMMYFUNCTION("""COMPUTED_VALUE"""),198.13)</f>
        <v>198.13</v>
      </c>
      <c r="C881" s="9">
        <f>IFERROR(__xludf.DUMMYFUNCTION("""COMPUTED_VALUE"""),199.88)</f>
        <v>199.88</v>
      </c>
      <c r="D881" s="9">
        <f>IFERROR(__xludf.DUMMYFUNCTION("""COMPUTED_VALUE"""),187.88)</f>
        <v>187.88</v>
      </c>
      <c r="E881" s="9">
        <f>IFERROR(__xludf.DUMMYFUNCTION("""COMPUTED_VALUE"""),193.43)</f>
        <v>193.43</v>
      </c>
      <c r="F881" s="9">
        <f>IFERROR(__xludf.DUMMYFUNCTION("""COMPUTED_VALUE"""),2167356.0)</f>
        <v>2167356</v>
      </c>
      <c r="H881" s="27">
        <f>IFERROR(__xludf.DUMMYFUNCTION("""COMPUTED_VALUE"""),39646.645833333336)</f>
        <v>39646.64583</v>
      </c>
      <c r="I881" s="25">
        <f>IFERROR(__xludf.DUMMYFUNCTION("""COMPUTED_VALUE"""),183.75)</f>
        <v>183.75</v>
      </c>
      <c r="J881" s="25">
        <f>IFERROR(__xludf.DUMMYFUNCTION("""COMPUTED_VALUE"""),196.73)</f>
        <v>196.73</v>
      </c>
      <c r="K881" s="25">
        <f>IFERROR(__xludf.DUMMYFUNCTION("""COMPUTED_VALUE"""),182.51)</f>
        <v>182.51</v>
      </c>
      <c r="L881" s="25">
        <f>IFERROR(__xludf.DUMMYFUNCTION("""COMPUTED_VALUE"""),195.81)</f>
        <v>195.81</v>
      </c>
      <c r="M881" s="25">
        <f>IFERROR(__xludf.DUMMYFUNCTION("""COMPUTED_VALUE"""),2587679.0)</f>
        <v>2587679</v>
      </c>
    </row>
    <row r="882">
      <c r="A882" s="26">
        <f>IFERROR(__xludf.DUMMYFUNCTION("""COMPUTED_VALUE"""),39650.645833333336)</f>
        <v>39650.64583</v>
      </c>
      <c r="B882" s="9">
        <f>IFERROR(__xludf.DUMMYFUNCTION("""COMPUTED_VALUE"""),191.75)</f>
        <v>191.75</v>
      </c>
      <c r="C882" s="9">
        <f>IFERROR(__xludf.DUMMYFUNCTION("""COMPUTED_VALUE"""),197.96)</f>
        <v>197.96</v>
      </c>
      <c r="D882" s="9">
        <f>IFERROR(__xludf.DUMMYFUNCTION("""COMPUTED_VALUE"""),190.64)</f>
        <v>190.64</v>
      </c>
      <c r="E882" s="9">
        <f>IFERROR(__xludf.DUMMYFUNCTION("""COMPUTED_VALUE"""),195.16)</f>
        <v>195.16</v>
      </c>
      <c r="F882" s="9">
        <f>IFERROR(__xludf.DUMMYFUNCTION("""COMPUTED_VALUE"""),1288006.0)</f>
        <v>1288006</v>
      </c>
      <c r="H882" s="27">
        <f>IFERROR(__xludf.DUMMYFUNCTION("""COMPUTED_VALUE"""),39647.645833333336)</f>
        <v>39647.64583</v>
      </c>
      <c r="I882" s="25">
        <f>IFERROR(__xludf.DUMMYFUNCTION("""COMPUTED_VALUE"""),195.0)</f>
        <v>195</v>
      </c>
      <c r="J882" s="25">
        <f>IFERROR(__xludf.DUMMYFUNCTION("""COMPUTED_VALUE"""),200.5)</f>
        <v>200.5</v>
      </c>
      <c r="K882" s="25">
        <f>IFERROR(__xludf.DUMMYFUNCTION("""COMPUTED_VALUE"""),187.25)</f>
        <v>187.25</v>
      </c>
      <c r="L882" s="25">
        <f>IFERROR(__xludf.DUMMYFUNCTION("""COMPUTED_VALUE"""),198.46)</f>
        <v>198.46</v>
      </c>
      <c r="M882" s="25">
        <f>IFERROR(__xludf.DUMMYFUNCTION("""COMPUTED_VALUE"""),2084874.0)</f>
        <v>2084874</v>
      </c>
    </row>
    <row r="883">
      <c r="A883" s="26">
        <f>IFERROR(__xludf.DUMMYFUNCTION("""COMPUTED_VALUE"""),39651.645833333336)</f>
        <v>39651.64583</v>
      </c>
      <c r="B883" s="9">
        <f>IFERROR(__xludf.DUMMYFUNCTION("""COMPUTED_VALUE"""),194.86)</f>
        <v>194.86</v>
      </c>
      <c r="C883" s="9">
        <f>IFERROR(__xludf.DUMMYFUNCTION("""COMPUTED_VALUE"""),199.78)</f>
        <v>199.78</v>
      </c>
      <c r="D883" s="9">
        <f>IFERROR(__xludf.DUMMYFUNCTION("""COMPUTED_VALUE"""),193.28)</f>
        <v>193.28</v>
      </c>
      <c r="E883" s="9">
        <f>IFERROR(__xludf.DUMMYFUNCTION("""COMPUTED_VALUE"""),197.29)</f>
        <v>197.29</v>
      </c>
      <c r="F883" s="9">
        <f>IFERROR(__xludf.DUMMYFUNCTION("""COMPUTED_VALUE"""),1162831.0)</f>
        <v>1162831</v>
      </c>
      <c r="H883" s="27">
        <f>IFERROR(__xludf.DUMMYFUNCTION("""COMPUTED_VALUE"""),39650.645833333336)</f>
        <v>39650.64583</v>
      </c>
      <c r="I883" s="25">
        <f>IFERROR(__xludf.DUMMYFUNCTION("""COMPUTED_VALUE"""),199.75)</f>
        <v>199.75</v>
      </c>
      <c r="J883" s="25">
        <f>IFERROR(__xludf.DUMMYFUNCTION("""COMPUTED_VALUE"""),203.75)</f>
        <v>203.75</v>
      </c>
      <c r="K883" s="25">
        <f>IFERROR(__xludf.DUMMYFUNCTION("""COMPUTED_VALUE"""),195.75)</f>
        <v>195.75</v>
      </c>
      <c r="L883" s="25">
        <f>IFERROR(__xludf.DUMMYFUNCTION("""COMPUTED_VALUE"""),203.2)</f>
        <v>203.2</v>
      </c>
      <c r="M883" s="25">
        <f>IFERROR(__xludf.DUMMYFUNCTION("""COMPUTED_VALUE"""),895517.0)</f>
        <v>895517</v>
      </c>
    </row>
    <row r="884">
      <c r="A884" s="26">
        <f>IFERROR(__xludf.DUMMYFUNCTION("""COMPUTED_VALUE"""),39652.645833333336)</f>
        <v>39652.64583</v>
      </c>
      <c r="B884" s="9">
        <f>IFERROR(__xludf.DUMMYFUNCTION("""COMPUTED_VALUE"""),200.0)</f>
        <v>200</v>
      </c>
      <c r="C884" s="9">
        <f>IFERROR(__xludf.DUMMYFUNCTION("""COMPUTED_VALUE"""),206.26)</f>
        <v>206.26</v>
      </c>
      <c r="D884" s="9">
        <f>IFERROR(__xludf.DUMMYFUNCTION("""COMPUTED_VALUE"""),194.42)</f>
        <v>194.42</v>
      </c>
      <c r="E884" s="9">
        <f>IFERROR(__xludf.DUMMYFUNCTION("""COMPUTED_VALUE"""),200.28)</f>
        <v>200.28</v>
      </c>
      <c r="F884" s="9">
        <f>IFERROR(__xludf.DUMMYFUNCTION("""COMPUTED_VALUE"""),2002057.0)</f>
        <v>2002057</v>
      </c>
      <c r="H884" s="27">
        <f>IFERROR(__xludf.DUMMYFUNCTION("""COMPUTED_VALUE"""),39651.645833333336)</f>
        <v>39651.64583</v>
      </c>
      <c r="I884" s="25">
        <f>IFERROR(__xludf.DUMMYFUNCTION("""COMPUTED_VALUE"""),204.0)</f>
        <v>204</v>
      </c>
      <c r="J884" s="25">
        <f>IFERROR(__xludf.DUMMYFUNCTION("""COMPUTED_VALUE"""),210.99)</f>
        <v>210.99</v>
      </c>
      <c r="K884" s="25">
        <f>IFERROR(__xludf.DUMMYFUNCTION("""COMPUTED_VALUE"""),201.51)</f>
        <v>201.51</v>
      </c>
      <c r="L884" s="25">
        <f>IFERROR(__xludf.DUMMYFUNCTION("""COMPUTED_VALUE"""),207.96)</f>
        <v>207.96</v>
      </c>
      <c r="M884" s="25">
        <f>IFERROR(__xludf.DUMMYFUNCTION("""COMPUTED_VALUE"""),1060291.0)</f>
        <v>1060291</v>
      </c>
    </row>
    <row r="885">
      <c r="A885" s="26">
        <f>IFERROR(__xludf.DUMMYFUNCTION("""COMPUTED_VALUE"""),39653.645833333336)</f>
        <v>39653.64583</v>
      </c>
      <c r="B885" s="9">
        <f>IFERROR(__xludf.DUMMYFUNCTION("""COMPUTED_VALUE"""),202.63)</f>
        <v>202.63</v>
      </c>
      <c r="C885" s="9">
        <f>IFERROR(__xludf.DUMMYFUNCTION("""COMPUTED_VALUE"""),202.63)</f>
        <v>202.63</v>
      </c>
      <c r="D885" s="9">
        <f>IFERROR(__xludf.DUMMYFUNCTION("""COMPUTED_VALUE"""),185.63)</f>
        <v>185.63</v>
      </c>
      <c r="E885" s="9">
        <f>IFERROR(__xludf.DUMMYFUNCTION("""COMPUTED_VALUE"""),195.91)</f>
        <v>195.91</v>
      </c>
      <c r="F885" s="9">
        <f>IFERROR(__xludf.DUMMYFUNCTION("""COMPUTED_VALUE"""),2863760.0)</f>
        <v>2863760</v>
      </c>
      <c r="H885" s="27">
        <f>IFERROR(__xludf.DUMMYFUNCTION("""COMPUTED_VALUE"""),39652.645833333336)</f>
        <v>39652.64583</v>
      </c>
      <c r="I885" s="25">
        <f>IFERROR(__xludf.DUMMYFUNCTION("""COMPUTED_VALUE"""),207.5)</f>
        <v>207.5</v>
      </c>
      <c r="J885" s="25">
        <f>IFERROR(__xludf.DUMMYFUNCTION("""COMPUTED_VALUE"""),217.5)</f>
        <v>217.5</v>
      </c>
      <c r="K885" s="25">
        <f>IFERROR(__xludf.DUMMYFUNCTION("""COMPUTED_VALUE"""),204.73)</f>
        <v>204.73</v>
      </c>
      <c r="L885" s="25">
        <f>IFERROR(__xludf.DUMMYFUNCTION("""COMPUTED_VALUE"""),215.14)</f>
        <v>215.14</v>
      </c>
      <c r="M885" s="25">
        <f>IFERROR(__xludf.DUMMYFUNCTION("""COMPUTED_VALUE"""),1492855.0)</f>
        <v>1492855</v>
      </c>
    </row>
    <row r="886">
      <c r="A886" s="26">
        <f>IFERROR(__xludf.DUMMYFUNCTION("""COMPUTED_VALUE"""),39654.645833333336)</f>
        <v>39654.64583</v>
      </c>
      <c r="B886" s="9">
        <f>IFERROR(__xludf.DUMMYFUNCTION("""COMPUTED_VALUE"""),190.63)</f>
        <v>190.63</v>
      </c>
      <c r="C886" s="9">
        <f>IFERROR(__xludf.DUMMYFUNCTION("""COMPUTED_VALUE"""),197.75)</f>
        <v>197.75</v>
      </c>
      <c r="D886" s="9">
        <f>IFERROR(__xludf.DUMMYFUNCTION("""COMPUTED_VALUE"""),184.39)</f>
        <v>184.39</v>
      </c>
      <c r="E886" s="9">
        <f>IFERROR(__xludf.DUMMYFUNCTION("""COMPUTED_VALUE"""),193.83)</f>
        <v>193.83</v>
      </c>
      <c r="F886" s="9">
        <f>IFERROR(__xludf.DUMMYFUNCTION("""COMPUTED_VALUE"""),1326823.0)</f>
        <v>1326823</v>
      </c>
      <c r="H886" s="27">
        <f>IFERROR(__xludf.DUMMYFUNCTION("""COMPUTED_VALUE"""),39653.645833333336)</f>
        <v>39653.64583</v>
      </c>
      <c r="I886" s="25">
        <f>IFERROR(__xludf.DUMMYFUNCTION("""COMPUTED_VALUE"""),218.63)</f>
        <v>218.63</v>
      </c>
      <c r="J886" s="25">
        <f>IFERROR(__xludf.DUMMYFUNCTION("""COMPUTED_VALUE"""),218.63)</f>
        <v>218.63</v>
      </c>
      <c r="K886" s="25">
        <f>IFERROR(__xludf.DUMMYFUNCTION("""COMPUTED_VALUE"""),198.09)</f>
        <v>198.09</v>
      </c>
      <c r="L886" s="25">
        <f>IFERROR(__xludf.DUMMYFUNCTION("""COMPUTED_VALUE"""),200.64)</f>
        <v>200.64</v>
      </c>
      <c r="M886" s="25">
        <f>IFERROR(__xludf.DUMMYFUNCTION("""COMPUTED_VALUE"""),2935584.0)</f>
        <v>2935584</v>
      </c>
    </row>
    <row r="887">
      <c r="A887" s="26">
        <f>IFERROR(__xludf.DUMMYFUNCTION("""COMPUTED_VALUE"""),39657.645833333336)</f>
        <v>39657.64583</v>
      </c>
      <c r="B887" s="9">
        <f>IFERROR(__xludf.DUMMYFUNCTION("""COMPUTED_VALUE"""),194.16)</f>
        <v>194.16</v>
      </c>
      <c r="C887" s="9">
        <f>IFERROR(__xludf.DUMMYFUNCTION("""COMPUTED_VALUE"""),199.5)</f>
        <v>199.5</v>
      </c>
      <c r="D887" s="9">
        <f>IFERROR(__xludf.DUMMYFUNCTION("""COMPUTED_VALUE"""),190.75)</f>
        <v>190.75</v>
      </c>
      <c r="E887" s="9">
        <f>IFERROR(__xludf.DUMMYFUNCTION("""COMPUTED_VALUE"""),192.43)</f>
        <v>192.43</v>
      </c>
      <c r="F887" s="9">
        <f>IFERROR(__xludf.DUMMYFUNCTION("""COMPUTED_VALUE"""),1308560.0)</f>
        <v>1308560</v>
      </c>
      <c r="H887" s="27">
        <f>IFERROR(__xludf.DUMMYFUNCTION("""COMPUTED_VALUE"""),39654.645833333336)</f>
        <v>39654.64583</v>
      </c>
      <c r="I887" s="25">
        <f>IFERROR(__xludf.DUMMYFUNCTION("""COMPUTED_VALUE"""),199.8)</f>
        <v>199.8</v>
      </c>
      <c r="J887" s="25">
        <f>IFERROR(__xludf.DUMMYFUNCTION("""COMPUTED_VALUE"""),212.38)</f>
        <v>212.38</v>
      </c>
      <c r="K887" s="25">
        <f>IFERROR(__xludf.DUMMYFUNCTION("""COMPUTED_VALUE"""),195.5)</f>
        <v>195.5</v>
      </c>
      <c r="L887" s="25">
        <f>IFERROR(__xludf.DUMMYFUNCTION("""COMPUTED_VALUE"""),199.8)</f>
        <v>199.8</v>
      </c>
      <c r="M887" s="25">
        <f>IFERROR(__xludf.DUMMYFUNCTION("""COMPUTED_VALUE"""),2210634.0)</f>
        <v>2210634</v>
      </c>
    </row>
    <row r="888">
      <c r="A888" s="26">
        <f>IFERROR(__xludf.DUMMYFUNCTION("""COMPUTED_VALUE"""),39658.645833333336)</f>
        <v>39658.64583</v>
      </c>
      <c r="B888" s="9">
        <f>IFERROR(__xludf.DUMMYFUNCTION("""COMPUTED_VALUE"""),191.23)</f>
        <v>191.23</v>
      </c>
      <c r="C888" s="9">
        <f>IFERROR(__xludf.DUMMYFUNCTION("""COMPUTED_VALUE"""),193.24)</f>
        <v>193.24</v>
      </c>
      <c r="D888" s="9">
        <f>IFERROR(__xludf.DUMMYFUNCTION("""COMPUTED_VALUE"""),188.49)</f>
        <v>188.49</v>
      </c>
      <c r="E888" s="9">
        <f>IFERROR(__xludf.DUMMYFUNCTION("""COMPUTED_VALUE"""),192.59)</f>
        <v>192.59</v>
      </c>
      <c r="F888" s="9">
        <f>IFERROR(__xludf.DUMMYFUNCTION("""COMPUTED_VALUE"""),1051765.0)</f>
        <v>1051765</v>
      </c>
      <c r="H888" s="27">
        <f>IFERROR(__xludf.DUMMYFUNCTION("""COMPUTED_VALUE"""),39657.645833333336)</f>
        <v>39657.64583</v>
      </c>
      <c r="I888" s="25">
        <f>IFERROR(__xludf.DUMMYFUNCTION("""COMPUTED_VALUE"""),200.0)</f>
        <v>200</v>
      </c>
      <c r="J888" s="25">
        <f>IFERROR(__xludf.DUMMYFUNCTION("""COMPUTED_VALUE"""),204.24)</f>
        <v>204.24</v>
      </c>
      <c r="K888" s="25">
        <f>IFERROR(__xludf.DUMMYFUNCTION("""COMPUTED_VALUE"""),196.25)</f>
        <v>196.25</v>
      </c>
      <c r="L888" s="25">
        <f>IFERROR(__xludf.DUMMYFUNCTION("""COMPUTED_VALUE"""),201.56)</f>
        <v>201.56</v>
      </c>
      <c r="M888" s="25">
        <f>IFERROR(__xludf.DUMMYFUNCTION("""COMPUTED_VALUE"""),492343.0)</f>
        <v>492343</v>
      </c>
    </row>
    <row r="889">
      <c r="A889" s="26">
        <f>IFERROR(__xludf.DUMMYFUNCTION("""COMPUTED_VALUE"""),39659.645833333336)</f>
        <v>39659.64583</v>
      </c>
      <c r="B889" s="9">
        <f>IFERROR(__xludf.DUMMYFUNCTION("""COMPUTED_VALUE"""),195.01)</f>
        <v>195.01</v>
      </c>
      <c r="C889" s="9">
        <f>IFERROR(__xludf.DUMMYFUNCTION("""COMPUTED_VALUE"""),201.22)</f>
        <v>201.22</v>
      </c>
      <c r="D889" s="9">
        <f>IFERROR(__xludf.DUMMYFUNCTION("""COMPUTED_VALUE"""),194.25)</f>
        <v>194.25</v>
      </c>
      <c r="E889" s="9">
        <f>IFERROR(__xludf.DUMMYFUNCTION("""COMPUTED_VALUE"""),200.26)</f>
        <v>200.26</v>
      </c>
      <c r="F889" s="9">
        <f>IFERROR(__xludf.DUMMYFUNCTION("""COMPUTED_VALUE"""),1873291.0)</f>
        <v>1873291</v>
      </c>
      <c r="H889" s="27">
        <f>IFERROR(__xludf.DUMMYFUNCTION("""COMPUTED_VALUE"""),39658.645833333336)</f>
        <v>39658.64583</v>
      </c>
      <c r="I889" s="25">
        <f>IFERROR(__xludf.DUMMYFUNCTION("""COMPUTED_VALUE"""),201.68)</f>
        <v>201.68</v>
      </c>
      <c r="J889" s="25">
        <f>IFERROR(__xludf.DUMMYFUNCTION("""COMPUTED_VALUE"""),203.45)</f>
        <v>203.45</v>
      </c>
      <c r="K889" s="25">
        <f>IFERROR(__xludf.DUMMYFUNCTION("""COMPUTED_VALUE"""),198.0)</f>
        <v>198</v>
      </c>
      <c r="L889" s="25">
        <f>IFERROR(__xludf.DUMMYFUNCTION("""COMPUTED_VALUE"""),202.24)</f>
        <v>202.24</v>
      </c>
      <c r="M889" s="25">
        <f>IFERROR(__xludf.DUMMYFUNCTION("""COMPUTED_VALUE"""),618048.0)</f>
        <v>618048</v>
      </c>
    </row>
    <row r="890">
      <c r="A890" s="26">
        <f>IFERROR(__xludf.DUMMYFUNCTION("""COMPUTED_VALUE"""),39660.645833333336)</f>
        <v>39660.64583</v>
      </c>
      <c r="B890" s="9">
        <f>IFERROR(__xludf.DUMMYFUNCTION("""COMPUTED_VALUE"""),201.0)</f>
        <v>201</v>
      </c>
      <c r="C890" s="9">
        <f>IFERROR(__xludf.DUMMYFUNCTION("""COMPUTED_VALUE"""),201.5)</f>
        <v>201.5</v>
      </c>
      <c r="D890" s="9">
        <f>IFERROR(__xludf.DUMMYFUNCTION("""COMPUTED_VALUE"""),195.04)</f>
        <v>195.04</v>
      </c>
      <c r="E890" s="9">
        <f>IFERROR(__xludf.DUMMYFUNCTION("""COMPUTED_VALUE"""),197.93)</f>
        <v>197.93</v>
      </c>
      <c r="F890" s="9">
        <f>IFERROR(__xludf.DUMMYFUNCTION("""COMPUTED_VALUE"""),2494591.0)</f>
        <v>2494591</v>
      </c>
      <c r="H890" s="27">
        <f>IFERROR(__xludf.DUMMYFUNCTION("""COMPUTED_VALUE"""),39659.645833333336)</f>
        <v>39659.64583</v>
      </c>
      <c r="I890" s="25">
        <f>IFERROR(__xludf.DUMMYFUNCTION("""COMPUTED_VALUE"""),211.5)</f>
        <v>211.5</v>
      </c>
      <c r="J890" s="25">
        <f>IFERROR(__xludf.DUMMYFUNCTION("""COMPUTED_VALUE"""),211.5)</f>
        <v>211.5</v>
      </c>
      <c r="K890" s="25">
        <f>IFERROR(__xludf.DUMMYFUNCTION("""COMPUTED_VALUE"""),200.0)</f>
        <v>200</v>
      </c>
      <c r="L890" s="25">
        <f>IFERROR(__xludf.DUMMYFUNCTION("""COMPUTED_VALUE"""),209.74)</f>
        <v>209.74</v>
      </c>
      <c r="M890" s="25">
        <f>IFERROR(__xludf.DUMMYFUNCTION("""COMPUTED_VALUE"""),1105019.0)</f>
        <v>1105019</v>
      </c>
    </row>
    <row r="891">
      <c r="A891" s="26">
        <f>IFERROR(__xludf.DUMMYFUNCTION("""COMPUTED_VALUE"""),39661.645833333336)</f>
        <v>39661.64583</v>
      </c>
      <c r="B891" s="9">
        <f>IFERROR(__xludf.DUMMYFUNCTION("""COMPUTED_VALUE"""),195.0)</f>
        <v>195</v>
      </c>
      <c r="C891" s="9">
        <f>IFERROR(__xludf.DUMMYFUNCTION("""COMPUTED_VALUE"""),205.81)</f>
        <v>205.81</v>
      </c>
      <c r="D891" s="9">
        <f>IFERROR(__xludf.DUMMYFUNCTION("""COMPUTED_VALUE"""),193.13)</f>
        <v>193.13</v>
      </c>
      <c r="E891" s="9">
        <f>IFERROR(__xludf.DUMMYFUNCTION("""COMPUTED_VALUE"""),204.93)</f>
        <v>204.93</v>
      </c>
      <c r="F891" s="9">
        <f>IFERROR(__xludf.DUMMYFUNCTION("""COMPUTED_VALUE"""),1268708.0)</f>
        <v>1268708</v>
      </c>
      <c r="H891" s="27">
        <f>IFERROR(__xludf.DUMMYFUNCTION("""COMPUTED_VALUE"""),39660.645833333336)</f>
        <v>39660.64583</v>
      </c>
      <c r="I891" s="25">
        <f>IFERROR(__xludf.DUMMYFUNCTION("""COMPUTED_VALUE"""),210.0)</f>
        <v>210</v>
      </c>
      <c r="J891" s="25">
        <f>IFERROR(__xludf.DUMMYFUNCTION("""COMPUTED_VALUE"""),210.5)</f>
        <v>210.5</v>
      </c>
      <c r="K891" s="25">
        <f>IFERROR(__xludf.DUMMYFUNCTION("""COMPUTED_VALUE"""),205.38)</f>
        <v>205.38</v>
      </c>
      <c r="L891" s="25">
        <f>IFERROR(__xludf.DUMMYFUNCTION("""COMPUTED_VALUE"""),208.44)</f>
        <v>208.44</v>
      </c>
      <c r="M891" s="25">
        <f>IFERROR(__xludf.DUMMYFUNCTION("""COMPUTED_VALUE"""),1298895.0)</f>
        <v>1298895</v>
      </c>
    </row>
    <row r="892">
      <c r="A892" s="26">
        <f>IFERROR(__xludf.DUMMYFUNCTION("""COMPUTED_VALUE"""),39664.645833333336)</f>
        <v>39664.64583</v>
      </c>
      <c r="B892" s="9">
        <f>IFERROR(__xludf.DUMMYFUNCTION("""COMPUTED_VALUE"""),204.75)</f>
        <v>204.75</v>
      </c>
      <c r="C892" s="9">
        <f>IFERROR(__xludf.DUMMYFUNCTION("""COMPUTED_VALUE"""),210.49)</f>
        <v>210.49</v>
      </c>
      <c r="D892" s="9">
        <f>IFERROR(__xludf.DUMMYFUNCTION("""COMPUTED_VALUE"""),203.0)</f>
        <v>203</v>
      </c>
      <c r="E892" s="9">
        <f>IFERROR(__xludf.DUMMYFUNCTION("""COMPUTED_VALUE"""),207.36)</f>
        <v>207.36</v>
      </c>
      <c r="F892" s="9">
        <f>IFERROR(__xludf.DUMMYFUNCTION("""COMPUTED_VALUE"""),1215788.0)</f>
        <v>1215788</v>
      </c>
      <c r="H892" s="27">
        <f>IFERROR(__xludf.DUMMYFUNCTION("""COMPUTED_VALUE"""),39661.645833333336)</f>
        <v>39661.64583</v>
      </c>
      <c r="I892" s="25">
        <f>IFERROR(__xludf.DUMMYFUNCTION("""COMPUTED_VALUE"""),206.25)</f>
        <v>206.25</v>
      </c>
      <c r="J892" s="25">
        <f>IFERROR(__xludf.DUMMYFUNCTION("""COMPUTED_VALUE"""),214.24)</f>
        <v>214.24</v>
      </c>
      <c r="K892" s="25">
        <f>IFERROR(__xludf.DUMMYFUNCTION("""COMPUTED_VALUE"""),202.81)</f>
        <v>202.81</v>
      </c>
      <c r="L892" s="25">
        <f>IFERROR(__xludf.DUMMYFUNCTION("""COMPUTED_VALUE"""),210.16)</f>
        <v>210.16</v>
      </c>
      <c r="M892" s="25">
        <f>IFERROR(__xludf.DUMMYFUNCTION("""COMPUTED_VALUE"""),1002931.0)</f>
        <v>1002931</v>
      </c>
    </row>
    <row r="893">
      <c r="A893" s="26">
        <f>IFERROR(__xludf.DUMMYFUNCTION("""COMPUTED_VALUE"""),39665.645833333336)</f>
        <v>39665.64583</v>
      </c>
      <c r="B893" s="9">
        <f>IFERROR(__xludf.DUMMYFUNCTION("""COMPUTED_VALUE"""),207.36)</f>
        <v>207.36</v>
      </c>
      <c r="C893" s="9">
        <f>IFERROR(__xludf.DUMMYFUNCTION("""COMPUTED_VALUE"""),211.94)</f>
        <v>211.94</v>
      </c>
      <c r="D893" s="9">
        <f>IFERROR(__xludf.DUMMYFUNCTION("""COMPUTED_VALUE"""),202.26)</f>
        <v>202.26</v>
      </c>
      <c r="E893" s="9">
        <f>IFERROR(__xludf.DUMMYFUNCTION("""COMPUTED_VALUE"""),209.82)</f>
        <v>209.82</v>
      </c>
      <c r="F893" s="9">
        <f>IFERROR(__xludf.DUMMYFUNCTION("""COMPUTED_VALUE"""),1764530.0)</f>
        <v>1764530</v>
      </c>
      <c r="H893" s="27">
        <f>IFERROR(__xludf.DUMMYFUNCTION("""COMPUTED_VALUE"""),39664.645833333336)</f>
        <v>39664.64583</v>
      </c>
      <c r="I893" s="25">
        <f>IFERROR(__xludf.DUMMYFUNCTION("""COMPUTED_VALUE"""),203.75)</f>
        <v>203.75</v>
      </c>
      <c r="J893" s="25">
        <f>IFERROR(__xludf.DUMMYFUNCTION("""COMPUTED_VALUE"""),210.0)</f>
        <v>210</v>
      </c>
      <c r="K893" s="25">
        <f>IFERROR(__xludf.DUMMYFUNCTION("""COMPUTED_VALUE"""),202.75)</f>
        <v>202.75</v>
      </c>
      <c r="L893" s="25">
        <f>IFERROR(__xludf.DUMMYFUNCTION("""COMPUTED_VALUE"""),203.84)</f>
        <v>203.84</v>
      </c>
      <c r="M893" s="25">
        <f>IFERROR(__xludf.DUMMYFUNCTION("""COMPUTED_VALUE"""),1309732.0)</f>
        <v>1309732</v>
      </c>
    </row>
    <row r="894">
      <c r="A894" s="26">
        <f>IFERROR(__xludf.DUMMYFUNCTION("""COMPUTED_VALUE"""),39666.645833333336)</f>
        <v>39666.64583</v>
      </c>
      <c r="B894" s="9">
        <f>IFERROR(__xludf.DUMMYFUNCTION("""COMPUTED_VALUE"""),212.88)</f>
        <v>212.88</v>
      </c>
      <c r="C894" s="9">
        <f>IFERROR(__xludf.DUMMYFUNCTION("""COMPUTED_VALUE"""),215.63)</f>
        <v>215.63</v>
      </c>
      <c r="D894" s="9">
        <f>IFERROR(__xludf.DUMMYFUNCTION("""COMPUTED_VALUE"""),205.96)</f>
        <v>205.96</v>
      </c>
      <c r="E894" s="9">
        <f>IFERROR(__xludf.DUMMYFUNCTION("""COMPUTED_VALUE"""),212.42)</f>
        <v>212.42</v>
      </c>
      <c r="F894" s="9">
        <f>IFERROR(__xludf.DUMMYFUNCTION("""COMPUTED_VALUE"""),3340041.0)</f>
        <v>3340041</v>
      </c>
      <c r="H894" s="27">
        <f>IFERROR(__xludf.DUMMYFUNCTION("""COMPUTED_VALUE"""),39665.645833333336)</f>
        <v>39665.64583</v>
      </c>
      <c r="I894" s="25">
        <f>IFERROR(__xludf.DUMMYFUNCTION("""COMPUTED_VALUE"""),203.85)</f>
        <v>203.85</v>
      </c>
      <c r="J894" s="25">
        <f>IFERROR(__xludf.DUMMYFUNCTION("""COMPUTED_VALUE"""),208.75)</f>
        <v>208.75</v>
      </c>
      <c r="K894" s="25">
        <f>IFERROR(__xludf.DUMMYFUNCTION("""COMPUTED_VALUE"""),201.31)</f>
        <v>201.31</v>
      </c>
      <c r="L894" s="25">
        <f>IFERROR(__xludf.DUMMYFUNCTION("""COMPUTED_VALUE"""),207.43)</f>
        <v>207.43</v>
      </c>
      <c r="M894" s="25">
        <f>IFERROR(__xludf.DUMMYFUNCTION("""COMPUTED_VALUE"""),1192050.0)</f>
        <v>1192050</v>
      </c>
    </row>
    <row r="895">
      <c r="A895" s="26">
        <f>IFERROR(__xludf.DUMMYFUNCTION("""COMPUTED_VALUE"""),39667.645833333336)</f>
        <v>39667.64583</v>
      </c>
      <c r="B895" s="9">
        <f>IFERROR(__xludf.DUMMYFUNCTION("""COMPUTED_VALUE"""),212.88)</f>
        <v>212.88</v>
      </c>
      <c r="C895" s="9">
        <f>IFERROR(__xludf.DUMMYFUNCTION("""COMPUTED_VALUE"""),216.75)</f>
        <v>216.75</v>
      </c>
      <c r="D895" s="9">
        <f>IFERROR(__xludf.DUMMYFUNCTION("""COMPUTED_VALUE"""),210.25)</f>
        <v>210.25</v>
      </c>
      <c r="E895" s="9">
        <f>IFERROR(__xludf.DUMMYFUNCTION("""COMPUTED_VALUE"""),215.77)</f>
        <v>215.77</v>
      </c>
      <c r="F895" s="9">
        <f>IFERROR(__xludf.DUMMYFUNCTION("""COMPUTED_VALUE"""),967179.0)</f>
        <v>967179</v>
      </c>
      <c r="H895" s="27">
        <f>IFERROR(__xludf.DUMMYFUNCTION("""COMPUTED_VALUE"""),39666.645833333336)</f>
        <v>39666.64583</v>
      </c>
      <c r="I895" s="25">
        <f>IFERROR(__xludf.DUMMYFUNCTION("""COMPUTED_VALUE"""),209.98)</f>
        <v>209.98</v>
      </c>
      <c r="J895" s="25">
        <f>IFERROR(__xludf.DUMMYFUNCTION("""COMPUTED_VALUE"""),217.49)</f>
        <v>217.49</v>
      </c>
      <c r="K895" s="25">
        <f>IFERROR(__xludf.DUMMYFUNCTION("""COMPUTED_VALUE"""),209.1)</f>
        <v>209.1</v>
      </c>
      <c r="L895" s="25">
        <f>IFERROR(__xludf.DUMMYFUNCTION("""COMPUTED_VALUE"""),215.14)</f>
        <v>215.14</v>
      </c>
      <c r="M895" s="25">
        <f>IFERROR(__xludf.DUMMYFUNCTION("""COMPUTED_VALUE"""),1252483.0)</f>
        <v>1252483</v>
      </c>
    </row>
    <row r="896">
      <c r="A896" s="26">
        <f>IFERROR(__xludf.DUMMYFUNCTION("""COMPUTED_VALUE"""),39668.645833333336)</f>
        <v>39668.64583</v>
      </c>
      <c r="B896" s="9">
        <f>IFERROR(__xludf.DUMMYFUNCTION("""COMPUTED_VALUE"""),208.17)</f>
        <v>208.17</v>
      </c>
      <c r="C896" s="9">
        <f>IFERROR(__xludf.DUMMYFUNCTION("""COMPUTED_VALUE"""),214.97)</f>
        <v>214.97</v>
      </c>
      <c r="D896" s="9">
        <f>IFERROR(__xludf.DUMMYFUNCTION("""COMPUTED_VALUE"""),208.17)</f>
        <v>208.17</v>
      </c>
      <c r="E896" s="9">
        <f>IFERROR(__xludf.DUMMYFUNCTION("""COMPUTED_VALUE"""),209.95)</f>
        <v>209.95</v>
      </c>
      <c r="F896" s="9">
        <f>IFERROR(__xludf.DUMMYFUNCTION("""COMPUTED_VALUE"""),1190426.0)</f>
        <v>1190426</v>
      </c>
      <c r="H896" s="27">
        <f>IFERROR(__xludf.DUMMYFUNCTION("""COMPUTED_VALUE"""),39667.645833333336)</f>
        <v>39667.64583</v>
      </c>
      <c r="I896" s="25">
        <f>IFERROR(__xludf.DUMMYFUNCTION("""COMPUTED_VALUE"""),214.75)</f>
        <v>214.75</v>
      </c>
      <c r="J896" s="25">
        <f>IFERROR(__xludf.DUMMYFUNCTION("""COMPUTED_VALUE"""),217.48)</f>
        <v>217.48</v>
      </c>
      <c r="K896" s="25">
        <f>IFERROR(__xludf.DUMMYFUNCTION("""COMPUTED_VALUE"""),211.25)</f>
        <v>211.25</v>
      </c>
      <c r="L896" s="25">
        <f>IFERROR(__xludf.DUMMYFUNCTION("""COMPUTED_VALUE"""),213.34)</f>
        <v>213.34</v>
      </c>
      <c r="M896" s="25">
        <f>IFERROR(__xludf.DUMMYFUNCTION("""COMPUTED_VALUE"""),768080.0)</f>
        <v>768080</v>
      </c>
    </row>
    <row r="897">
      <c r="A897" s="26">
        <f>IFERROR(__xludf.DUMMYFUNCTION("""COMPUTED_VALUE"""),39671.645833333336)</f>
        <v>39671.64583</v>
      </c>
      <c r="B897" s="9">
        <f>IFERROR(__xludf.DUMMYFUNCTION("""COMPUTED_VALUE"""),211.88)</f>
        <v>211.88</v>
      </c>
      <c r="C897" s="9">
        <f>IFERROR(__xludf.DUMMYFUNCTION("""COMPUTED_VALUE"""),214.63)</f>
        <v>214.63</v>
      </c>
      <c r="D897" s="9">
        <f>IFERROR(__xludf.DUMMYFUNCTION("""COMPUTED_VALUE"""),207.08)</f>
        <v>207.08</v>
      </c>
      <c r="E897" s="9">
        <f>IFERROR(__xludf.DUMMYFUNCTION("""COMPUTED_VALUE"""),208.8)</f>
        <v>208.8</v>
      </c>
      <c r="F897" s="9">
        <f>IFERROR(__xludf.DUMMYFUNCTION("""COMPUTED_VALUE"""),1682016.0)</f>
        <v>1682016</v>
      </c>
      <c r="H897" s="27">
        <f>IFERROR(__xludf.DUMMYFUNCTION("""COMPUTED_VALUE"""),39668.645833333336)</f>
        <v>39668.64583</v>
      </c>
      <c r="I897" s="25">
        <f>IFERROR(__xludf.DUMMYFUNCTION("""COMPUTED_VALUE"""),211.24)</f>
        <v>211.24</v>
      </c>
      <c r="J897" s="25">
        <f>IFERROR(__xludf.DUMMYFUNCTION("""COMPUTED_VALUE"""),214.25)</f>
        <v>214.25</v>
      </c>
      <c r="K897" s="25">
        <f>IFERROR(__xludf.DUMMYFUNCTION("""COMPUTED_VALUE"""),208.35)</f>
        <v>208.35</v>
      </c>
      <c r="L897" s="25">
        <f>IFERROR(__xludf.DUMMYFUNCTION("""COMPUTED_VALUE"""),211.28)</f>
        <v>211.28</v>
      </c>
      <c r="M897" s="25">
        <f>IFERROR(__xludf.DUMMYFUNCTION("""COMPUTED_VALUE"""),521668.0)</f>
        <v>521668</v>
      </c>
    </row>
    <row r="898">
      <c r="A898" s="26">
        <f>IFERROR(__xludf.DUMMYFUNCTION("""COMPUTED_VALUE"""),39672.645833333336)</f>
        <v>39672.64583</v>
      </c>
      <c r="B898" s="9">
        <f>IFERROR(__xludf.DUMMYFUNCTION("""COMPUTED_VALUE"""),206.88)</f>
        <v>206.88</v>
      </c>
      <c r="C898" s="9">
        <f>IFERROR(__xludf.DUMMYFUNCTION("""COMPUTED_VALUE"""),212.1)</f>
        <v>212.1</v>
      </c>
      <c r="D898" s="9">
        <f>IFERROR(__xludf.DUMMYFUNCTION("""COMPUTED_VALUE"""),198.2)</f>
        <v>198.2</v>
      </c>
      <c r="E898" s="9">
        <f>IFERROR(__xludf.DUMMYFUNCTION("""COMPUTED_VALUE"""),200.49)</f>
        <v>200.49</v>
      </c>
      <c r="F898" s="9">
        <f>IFERROR(__xludf.DUMMYFUNCTION("""COMPUTED_VALUE"""),3314599.0)</f>
        <v>3314599</v>
      </c>
      <c r="H898" s="27">
        <f>IFERROR(__xludf.DUMMYFUNCTION("""COMPUTED_VALUE"""),39671.645833333336)</f>
        <v>39671.64583</v>
      </c>
      <c r="I898" s="25">
        <f>IFERROR(__xludf.DUMMYFUNCTION("""COMPUTED_VALUE"""),213.0)</f>
        <v>213</v>
      </c>
      <c r="J898" s="25">
        <f>IFERROR(__xludf.DUMMYFUNCTION("""COMPUTED_VALUE"""),214.45)</f>
        <v>214.45</v>
      </c>
      <c r="K898" s="25">
        <f>IFERROR(__xludf.DUMMYFUNCTION("""COMPUTED_VALUE"""),206.13)</f>
        <v>206.13</v>
      </c>
      <c r="L898" s="25">
        <f>IFERROR(__xludf.DUMMYFUNCTION("""COMPUTED_VALUE"""),208.49)</f>
        <v>208.49</v>
      </c>
      <c r="M898" s="25">
        <f>IFERROR(__xludf.DUMMYFUNCTION("""COMPUTED_VALUE"""),851275.0)</f>
        <v>851275</v>
      </c>
    </row>
    <row r="899">
      <c r="A899" s="26">
        <f>IFERROR(__xludf.DUMMYFUNCTION("""COMPUTED_VALUE"""),39673.645833333336)</f>
        <v>39673.64583</v>
      </c>
      <c r="B899" s="9">
        <f>IFERROR(__xludf.DUMMYFUNCTION("""COMPUTED_VALUE"""),199.93)</f>
        <v>199.93</v>
      </c>
      <c r="C899" s="9">
        <f>IFERROR(__xludf.DUMMYFUNCTION("""COMPUTED_VALUE"""),204.25)</f>
        <v>204.25</v>
      </c>
      <c r="D899" s="9">
        <f>IFERROR(__xludf.DUMMYFUNCTION("""COMPUTED_VALUE"""),198.4)</f>
        <v>198.4</v>
      </c>
      <c r="E899" s="9">
        <f>IFERROR(__xludf.DUMMYFUNCTION("""COMPUTED_VALUE"""),203.24)</f>
        <v>203.24</v>
      </c>
      <c r="F899" s="9">
        <f>IFERROR(__xludf.DUMMYFUNCTION("""COMPUTED_VALUE"""),1701767.0)</f>
        <v>1701767</v>
      </c>
      <c r="H899" s="27">
        <f>IFERROR(__xludf.DUMMYFUNCTION("""COMPUTED_VALUE"""),39672.645833333336)</f>
        <v>39672.64583</v>
      </c>
      <c r="I899" s="25">
        <f>IFERROR(__xludf.DUMMYFUNCTION("""COMPUTED_VALUE"""),208.75)</f>
        <v>208.75</v>
      </c>
      <c r="J899" s="25">
        <f>IFERROR(__xludf.DUMMYFUNCTION("""COMPUTED_VALUE"""),210.93)</f>
        <v>210.93</v>
      </c>
      <c r="K899" s="25">
        <f>IFERROR(__xludf.DUMMYFUNCTION("""COMPUTED_VALUE"""),203.75)</f>
        <v>203.75</v>
      </c>
      <c r="L899" s="25">
        <f>IFERROR(__xludf.DUMMYFUNCTION("""COMPUTED_VALUE"""),204.81)</f>
        <v>204.81</v>
      </c>
      <c r="M899" s="25">
        <f>IFERROR(__xludf.DUMMYFUNCTION("""COMPUTED_VALUE"""),830876.0)</f>
        <v>830876</v>
      </c>
    </row>
    <row r="900">
      <c r="A900" s="26">
        <f>IFERROR(__xludf.DUMMYFUNCTION("""COMPUTED_VALUE"""),39674.645833333336)</f>
        <v>39674.64583</v>
      </c>
      <c r="B900" s="9">
        <f>IFERROR(__xludf.DUMMYFUNCTION("""COMPUTED_VALUE"""),205.0)</f>
        <v>205</v>
      </c>
      <c r="C900" s="9">
        <f>IFERROR(__xludf.DUMMYFUNCTION("""COMPUTED_VALUE"""),213.05)</f>
        <v>213.05</v>
      </c>
      <c r="D900" s="9">
        <f>IFERROR(__xludf.DUMMYFUNCTION("""COMPUTED_VALUE"""),202.38)</f>
        <v>202.38</v>
      </c>
      <c r="E900" s="9">
        <f>IFERROR(__xludf.DUMMYFUNCTION("""COMPUTED_VALUE"""),211.69)</f>
        <v>211.69</v>
      </c>
      <c r="F900" s="9">
        <f>IFERROR(__xludf.DUMMYFUNCTION("""COMPUTED_VALUE"""),2047007.0)</f>
        <v>2047007</v>
      </c>
      <c r="H900" s="27">
        <f>IFERROR(__xludf.DUMMYFUNCTION("""COMPUTED_VALUE"""),39673.645833333336)</f>
        <v>39673.64583</v>
      </c>
      <c r="I900" s="25">
        <f>IFERROR(__xludf.DUMMYFUNCTION("""COMPUTED_VALUE"""),200.0)</f>
        <v>200</v>
      </c>
      <c r="J900" s="25">
        <f>IFERROR(__xludf.DUMMYFUNCTION("""COMPUTED_VALUE"""),209.43)</f>
        <v>209.43</v>
      </c>
      <c r="K900" s="25">
        <f>IFERROR(__xludf.DUMMYFUNCTION("""COMPUTED_VALUE"""),200.0)</f>
        <v>200</v>
      </c>
      <c r="L900" s="25">
        <f>IFERROR(__xludf.DUMMYFUNCTION("""COMPUTED_VALUE"""),207.08)</f>
        <v>207.08</v>
      </c>
      <c r="M900" s="25">
        <f>IFERROR(__xludf.DUMMYFUNCTION("""COMPUTED_VALUE"""),924492.0)</f>
        <v>924492</v>
      </c>
    </row>
    <row r="901">
      <c r="A901" s="26">
        <f>IFERROR(__xludf.DUMMYFUNCTION("""COMPUTED_VALUE"""),39678.645833333336)</f>
        <v>39678.64583</v>
      </c>
      <c r="B901" s="9">
        <f>IFERROR(__xludf.DUMMYFUNCTION("""COMPUTED_VALUE"""),212.63)</f>
        <v>212.63</v>
      </c>
      <c r="C901" s="9">
        <f>IFERROR(__xludf.DUMMYFUNCTION("""COMPUTED_VALUE"""),217.13)</f>
        <v>217.13</v>
      </c>
      <c r="D901" s="9">
        <f>IFERROR(__xludf.DUMMYFUNCTION("""COMPUTED_VALUE"""),211.89)</f>
        <v>211.89</v>
      </c>
      <c r="E901" s="9">
        <f>IFERROR(__xludf.DUMMYFUNCTION("""COMPUTED_VALUE"""),213.04)</f>
        <v>213.04</v>
      </c>
      <c r="F901" s="9">
        <f>IFERROR(__xludf.DUMMYFUNCTION("""COMPUTED_VALUE"""),1208855.0)</f>
        <v>1208855</v>
      </c>
      <c r="H901" s="27">
        <f>IFERROR(__xludf.DUMMYFUNCTION("""COMPUTED_VALUE"""),39674.645833333336)</f>
        <v>39674.64583</v>
      </c>
      <c r="I901" s="25">
        <f>IFERROR(__xludf.DUMMYFUNCTION("""COMPUTED_VALUE"""),207.25)</f>
        <v>207.25</v>
      </c>
      <c r="J901" s="25">
        <f>IFERROR(__xludf.DUMMYFUNCTION("""COMPUTED_VALUE"""),211.16)</f>
        <v>211.16</v>
      </c>
      <c r="K901" s="25">
        <f>IFERROR(__xludf.DUMMYFUNCTION("""COMPUTED_VALUE"""),202.75)</f>
        <v>202.75</v>
      </c>
      <c r="L901" s="25">
        <f>IFERROR(__xludf.DUMMYFUNCTION("""COMPUTED_VALUE"""),208.3)</f>
        <v>208.3</v>
      </c>
      <c r="M901" s="25">
        <f>IFERROR(__xludf.DUMMYFUNCTION("""COMPUTED_VALUE"""),935377.0)</f>
        <v>935377</v>
      </c>
    </row>
    <row r="902">
      <c r="A902" s="26">
        <f>IFERROR(__xludf.DUMMYFUNCTION("""COMPUTED_VALUE"""),39679.645833333336)</f>
        <v>39679.64583</v>
      </c>
      <c r="B902" s="9">
        <f>IFERROR(__xludf.DUMMYFUNCTION("""COMPUTED_VALUE"""),213.88)</f>
        <v>213.88</v>
      </c>
      <c r="C902" s="9">
        <f>IFERROR(__xludf.DUMMYFUNCTION("""COMPUTED_VALUE"""),214.34)</f>
        <v>214.34</v>
      </c>
      <c r="D902" s="9">
        <f>IFERROR(__xludf.DUMMYFUNCTION("""COMPUTED_VALUE"""),210.42)</f>
        <v>210.42</v>
      </c>
      <c r="E902" s="9">
        <f>IFERROR(__xludf.DUMMYFUNCTION("""COMPUTED_VALUE"""),211.59)</f>
        <v>211.59</v>
      </c>
      <c r="F902" s="9">
        <f>IFERROR(__xludf.DUMMYFUNCTION("""COMPUTED_VALUE"""),838666.0)</f>
        <v>838666</v>
      </c>
      <c r="H902" s="27">
        <f>IFERROR(__xludf.DUMMYFUNCTION("""COMPUTED_VALUE"""),39678.645833333336)</f>
        <v>39678.64583</v>
      </c>
      <c r="I902" s="25">
        <f>IFERROR(__xludf.DUMMYFUNCTION("""COMPUTED_VALUE"""),210.0)</f>
        <v>210</v>
      </c>
      <c r="J902" s="25">
        <f>IFERROR(__xludf.DUMMYFUNCTION("""COMPUTED_VALUE"""),213.1)</f>
        <v>213.1</v>
      </c>
      <c r="K902" s="25">
        <f>IFERROR(__xludf.DUMMYFUNCTION("""COMPUTED_VALUE"""),208.75)</f>
        <v>208.75</v>
      </c>
      <c r="L902" s="25">
        <f>IFERROR(__xludf.DUMMYFUNCTION("""COMPUTED_VALUE"""),210.39)</f>
        <v>210.39</v>
      </c>
      <c r="M902" s="25">
        <f>IFERROR(__xludf.DUMMYFUNCTION("""COMPUTED_VALUE"""),489162.0)</f>
        <v>489162</v>
      </c>
    </row>
    <row r="903">
      <c r="A903" s="26">
        <f>IFERROR(__xludf.DUMMYFUNCTION("""COMPUTED_VALUE"""),39680.645833333336)</f>
        <v>39680.64583</v>
      </c>
      <c r="B903" s="9">
        <f>IFERROR(__xludf.DUMMYFUNCTION("""COMPUTED_VALUE"""),210.03)</f>
        <v>210.03</v>
      </c>
      <c r="C903" s="9">
        <f>IFERROR(__xludf.DUMMYFUNCTION("""COMPUTED_VALUE"""),213.71)</f>
        <v>213.71</v>
      </c>
      <c r="D903" s="9">
        <f>IFERROR(__xludf.DUMMYFUNCTION("""COMPUTED_VALUE"""),210.03)</f>
        <v>210.03</v>
      </c>
      <c r="E903" s="9">
        <f>IFERROR(__xludf.DUMMYFUNCTION("""COMPUTED_VALUE"""),212.41)</f>
        <v>212.41</v>
      </c>
      <c r="F903" s="9">
        <f>IFERROR(__xludf.DUMMYFUNCTION("""COMPUTED_VALUE"""),564858.0)</f>
        <v>564858</v>
      </c>
      <c r="H903" s="27">
        <f>IFERROR(__xludf.DUMMYFUNCTION("""COMPUTED_VALUE"""),39679.645833333336)</f>
        <v>39679.64583</v>
      </c>
      <c r="I903" s="25">
        <f>IFERROR(__xludf.DUMMYFUNCTION("""COMPUTED_VALUE"""),211.13)</f>
        <v>211.13</v>
      </c>
      <c r="J903" s="25">
        <f>IFERROR(__xludf.DUMMYFUNCTION("""COMPUTED_VALUE"""),212.75)</f>
        <v>212.75</v>
      </c>
      <c r="K903" s="25">
        <f>IFERROR(__xludf.DUMMYFUNCTION("""COMPUTED_VALUE"""),208.78)</f>
        <v>208.78</v>
      </c>
      <c r="L903" s="25">
        <f>IFERROR(__xludf.DUMMYFUNCTION("""COMPUTED_VALUE"""),210.31)</f>
        <v>210.31</v>
      </c>
      <c r="M903" s="25">
        <f>IFERROR(__xludf.DUMMYFUNCTION("""COMPUTED_VALUE"""),488325.0)</f>
        <v>488325</v>
      </c>
    </row>
    <row r="904">
      <c r="A904" s="26">
        <f>IFERROR(__xludf.DUMMYFUNCTION("""COMPUTED_VALUE"""),39681.645833333336)</f>
        <v>39681.64583</v>
      </c>
      <c r="B904" s="9">
        <f>IFERROR(__xludf.DUMMYFUNCTION("""COMPUTED_VALUE"""),212.5)</f>
        <v>212.5</v>
      </c>
      <c r="C904" s="9">
        <f>IFERROR(__xludf.DUMMYFUNCTION("""COMPUTED_VALUE"""),212.88)</f>
        <v>212.88</v>
      </c>
      <c r="D904" s="9">
        <f>IFERROR(__xludf.DUMMYFUNCTION("""COMPUTED_VALUE"""),206.59)</f>
        <v>206.59</v>
      </c>
      <c r="E904" s="9">
        <f>IFERROR(__xludf.DUMMYFUNCTION("""COMPUTED_VALUE"""),207.68)</f>
        <v>207.68</v>
      </c>
      <c r="F904" s="9">
        <f>IFERROR(__xludf.DUMMYFUNCTION("""COMPUTED_VALUE"""),585681.0)</f>
        <v>585681</v>
      </c>
      <c r="H904" s="27">
        <f>IFERROR(__xludf.DUMMYFUNCTION("""COMPUTED_VALUE"""),39680.645833333336)</f>
        <v>39680.64583</v>
      </c>
      <c r="I904" s="25">
        <f>IFERROR(__xludf.DUMMYFUNCTION("""COMPUTED_VALUE"""),210.68)</f>
        <v>210.68</v>
      </c>
      <c r="J904" s="25">
        <f>IFERROR(__xludf.DUMMYFUNCTION("""COMPUTED_VALUE"""),212.25)</f>
        <v>212.25</v>
      </c>
      <c r="K904" s="25">
        <f>IFERROR(__xludf.DUMMYFUNCTION("""COMPUTED_VALUE"""),208.75)</f>
        <v>208.75</v>
      </c>
      <c r="L904" s="25">
        <f>IFERROR(__xludf.DUMMYFUNCTION("""COMPUTED_VALUE"""),210.4)</f>
        <v>210.4</v>
      </c>
      <c r="M904" s="25">
        <f>IFERROR(__xludf.DUMMYFUNCTION("""COMPUTED_VALUE"""),281814.0)</f>
        <v>281814</v>
      </c>
    </row>
    <row r="905">
      <c r="A905" s="26">
        <f>IFERROR(__xludf.DUMMYFUNCTION("""COMPUTED_VALUE"""),39682.645833333336)</f>
        <v>39682.64583</v>
      </c>
      <c r="B905" s="9">
        <f>IFERROR(__xludf.DUMMYFUNCTION("""COMPUTED_VALUE"""),207.49)</f>
        <v>207.49</v>
      </c>
      <c r="C905" s="9">
        <f>IFERROR(__xludf.DUMMYFUNCTION("""COMPUTED_VALUE"""),212.84)</f>
        <v>212.84</v>
      </c>
      <c r="D905" s="9">
        <f>IFERROR(__xludf.DUMMYFUNCTION("""COMPUTED_VALUE"""),205.78)</f>
        <v>205.78</v>
      </c>
      <c r="E905" s="9">
        <f>IFERROR(__xludf.DUMMYFUNCTION("""COMPUTED_VALUE"""),212.06)</f>
        <v>212.06</v>
      </c>
      <c r="F905" s="9">
        <f>IFERROR(__xludf.DUMMYFUNCTION("""COMPUTED_VALUE"""),1093749.0)</f>
        <v>1093749</v>
      </c>
      <c r="H905" s="27">
        <f>IFERROR(__xludf.DUMMYFUNCTION("""COMPUTED_VALUE"""),39681.645833333336)</f>
        <v>39681.64583</v>
      </c>
      <c r="I905" s="25">
        <f>IFERROR(__xludf.DUMMYFUNCTION("""COMPUTED_VALUE"""),209.0)</f>
        <v>209</v>
      </c>
      <c r="J905" s="25">
        <f>IFERROR(__xludf.DUMMYFUNCTION("""COMPUTED_VALUE"""),210.5)</f>
        <v>210.5</v>
      </c>
      <c r="K905" s="25">
        <f>IFERROR(__xludf.DUMMYFUNCTION("""COMPUTED_VALUE"""),203.8)</f>
        <v>203.8</v>
      </c>
      <c r="L905" s="25">
        <f>IFERROR(__xludf.DUMMYFUNCTION("""COMPUTED_VALUE"""),204.46)</f>
        <v>204.46</v>
      </c>
      <c r="M905" s="25">
        <f>IFERROR(__xludf.DUMMYFUNCTION("""COMPUTED_VALUE"""),494129.0)</f>
        <v>494129</v>
      </c>
    </row>
    <row r="906">
      <c r="A906" s="26">
        <f>IFERROR(__xludf.DUMMYFUNCTION("""COMPUTED_VALUE"""),39685.645833333336)</f>
        <v>39685.64583</v>
      </c>
      <c r="B906" s="9">
        <f>IFERROR(__xludf.DUMMYFUNCTION("""COMPUTED_VALUE"""),217.5)</f>
        <v>217.5</v>
      </c>
      <c r="C906" s="9">
        <f>IFERROR(__xludf.DUMMYFUNCTION("""COMPUTED_VALUE"""),218.13)</f>
        <v>218.13</v>
      </c>
      <c r="D906" s="9">
        <f>IFERROR(__xludf.DUMMYFUNCTION("""COMPUTED_VALUE"""),212.63)</f>
        <v>212.63</v>
      </c>
      <c r="E906" s="9">
        <f>IFERROR(__xludf.DUMMYFUNCTION("""COMPUTED_VALUE"""),213.31)</f>
        <v>213.31</v>
      </c>
      <c r="F906" s="9">
        <f>IFERROR(__xludf.DUMMYFUNCTION("""COMPUTED_VALUE"""),307641.0)</f>
        <v>307641</v>
      </c>
      <c r="H906" s="27">
        <f>IFERROR(__xludf.DUMMYFUNCTION("""COMPUTED_VALUE"""),39682.645833333336)</f>
        <v>39682.64583</v>
      </c>
      <c r="I906" s="25">
        <f>IFERROR(__xludf.DUMMYFUNCTION("""COMPUTED_VALUE"""),204.75)</f>
        <v>204.75</v>
      </c>
      <c r="J906" s="25">
        <f>IFERROR(__xludf.DUMMYFUNCTION("""COMPUTED_VALUE"""),206.19)</f>
        <v>206.19</v>
      </c>
      <c r="K906" s="25">
        <f>IFERROR(__xludf.DUMMYFUNCTION("""COMPUTED_VALUE"""),200.88)</f>
        <v>200.88</v>
      </c>
      <c r="L906" s="25">
        <f>IFERROR(__xludf.DUMMYFUNCTION("""COMPUTED_VALUE"""),204.75)</f>
        <v>204.75</v>
      </c>
      <c r="M906" s="25">
        <f>IFERROR(__xludf.DUMMYFUNCTION("""COMPUTED_VALUE"""),661321.0)</f>
        <v>661321</v>
      </c>
    </row>
    <row r="907">
      <c r="A907" s="26">
        <f>IFERROR(__xludf.DUMMYFUNCTION("""COMPUTED_VALUE"""),39686.645833333336)</f>
        <v>39686.64583</v>
      </c>
      <c r="B907" s="9">
        <f>IFERROR(__xludf.DUMMYFUNCTION("""COMPUTED_VALUE"""),215.01)</f>
        <v>215.01</v>
      </c>
      <c r="C907" s="9">
        <f>IFERROR(__xludf.DUMMYFUNCTION("""COMPUTED_VALUE"""),217.48)</f>
        <v>217.48</v>
      </c>
      <c r="D907" s="9">
        <f>IFERROR(__xludf.DUMMYFUNCTION("""COMPUTED_VALUE"""),211.25)</f>
        <v>211.25</v>
      </c>
      <c r="E907" s="9">
        <f>IFERROR(__xludf.DUMMYFUNCTION("""COMPUTED_VALUE"""),212.25)</f>
        <v>212.25</v>
      </c>
      <c r="F907" s="9">
        <f>IFERROR(__xludf.DUMMYFUNCTION("""COMPUTED_VALUE"""),2322344.0)</f>
        <v>2322344</v>
      </c>
      <c r="H907" s="27">
        <f>IFERROR(__xludf.DUMMYFUNCTION("""COMPUTED_VALUE"""),39685.645833333336)</f>
        <v>39685.64583</v>
      </c>
      <c r="I907" s="25">
        <f>IFERROR(__xludf.DUMMYFUNCTION("""COMPUTED_VALUE"""),206.0)</f>
        <v>206</v>
      </c>
      <c r="J907" s="25">
        <f>IFERROR(__xludf.DUMMYFUNCTION("""COMPUTED_VALUE"""),208.75)</f>
        <v>208.75</v>
      </c>
      <c r="K907" s="25">
        <f>IFERROR(__xludf.DUMMYFUNCTION("""COMPUTED_VALUE"""),204.0)</f>
        <v>204</v>
      </c>
      <c r="L907" s="25">
        <f>IFERROR(__xludf.DUMMYFUNCTION("""COMPUTED_VALUE"""),204.55)</f>
        <v>204.55</v>
      </c>
      <c r="M907" s="25">
        <f>IFERROR(__xludf.DUMMYFUNCTION("""COMPUTED_VALUE"""),235561.0)</f>
        <v>235561</v>
      </c>
    </row>
    <row r="908">
      <c r="A908" s="26">
        <f>IFERROR(__xludf.DUMMYFUNCTION("""COMPUTED_VALUE"""),39687.645833333336)</f>
        <v>39687.64583</v>
      </c>
      <c r="B908" s="9">
        <f>IFERROR(__xludf.DUMMYFUNCTION("""COMPUTED_VALUE"""),212.75)</f>
        <v>212.75</v>
      </c>
      <c r="C908" s="9">
        <f>IFERROR(__xludf.DUMMYFUNCTION("""COMPUTED_VALUE"""),214.88)</f>
        <v>214.88</v>
      </c>
      <c r="D908" s="9">
        <f>IFERROR(__xludf.DUMMYFUNCTION("""COMPUTED_VALUE"""),212.06)</f>
        <v>212.06</v>
      </c>
      <c r="E908" s="9">
        <f>IFERROR(__xludf.DUMMYFUNCTION("""COMPUTED_VALUE"""),213.53)</f>
        <v>213.53</v>
      </c>
      <c r="F908" s="9">
        <f>IFERROR(__xludf.DUMMYFUNCTION("""COMPUTED_VALUE"""),1372306.0)</f>
        <v>1372306</v>
      </c>
      <c r="H908" s="27">
        <f>IFERROR(__xludf.DUMMYFUNCTION("""COMPUTED_VALUE"""),39686.645833333336)</f>
        <v>39686.64583</v>
      </c>
      <c r="I908" s="25">
        <f>IFERROR(__xludf.DUMMYFUNCTION("""COMPUTED_VALUE"""),202.49)</f>
        <v>202.49</v>
      </c>
      <c r="J908" s="25">
        <f>IFERROR(__xludf.DUMMYFUNCTION("""COMPUTED_VALUE"""),209.24)</f>
        <v>209.24</v>
      </c>
      <c r="K908" s="25">
        <f>IFERROR(__xludf.DUMMYFUNCTION("""COMPUTED_VALUE"""),202.49)</f>
        <v>202.49</v>
      </c>
      <c r="L908" s="25">
        <f>IFERROR(__xludf.DUMMYFUNCTION("""COMPUTED_VALUE"""),208.51)</f>
        <v>208.51</v>
      </c>
      <c r="M908" s="25">
        <f>IFERROR(__xludf.DUMMYFUNCTION("""COMPUTED_VALUE"""),551251.0)</f>
        <v>551251</v>
      </c>
    </row>
    <row r="909">
      <c r="A909" s="26">
        <f>IFERROR(__xludf.DUMMYFUNCTION("""COMPUTED_VALUE"""),39688.645833333336)</f>
        <v>39688.64583</v>
      </c>
      <c r="B909" s="9">
        <f>IFERROR(__xludf.DUMMYFUNCTION("""COMPUTED_VALUE"""),214.13)</f>
        <v>214.13</v>
      </c>
      <c r="C909" s="9">
        <f>IFERROR(__xludf.DUMMYFUNCTION("""COMPUTED_VALUE"""),214.63)</f>
        <v>214.63</v>
      </c>
      <c r="D909" s="9">
        <f>IFERROR(__xludf.DUMMYFUNCTION("""COMPUTED_VALUE"""),212.0)</f>
        <v>212</v>
      </c>
      <c r="E909" s="9">
        <f>IFERROR(__xludf.DUMMYFUNCTION("""COMPUTED_VALUE"""),212.43)</f>
        <v>212.43</v>
      </c>
      <c r="F909" s="9">
        <f>IFERROR(__xludf.DUMMYFUNCTION("""COMPUTED_VALUE"""),1435100.0)</f>
        <v>1435100</v>
      </c>
      <c r="H909" s="27">
        <f>IFERROR(__xludf.DUMMYFUNCTION("""COMPUTED_VALUE"""),39687.645833333336)</f>
        <v>39687.64583</v>
      </c>
      <c r="I909" s="25">
        <f>IFERROR(__xludf.DUMMYFUNCTION("""COMPUTED_VALUE"""),205.03)</f>
        <v>205.03</v>
      </c>
      <c r="J909" s="25">
        <f>IFERROR(__xludf.DUMMYFUNCTION("""COMPUTED_VALUE"""),209.0)</f>
        <v>209</v>
      </c>
      <c r="K909" s="25">
        <f>IFERROR(__xludf.DUMMYFUNCTION("""COMPUTED_VALUE"""),203.28)</f>
        <v>203.28</v>
      </c>
      <c r="L909" s="25">
        <f>IFERROR(__xludf.DUMMYFUNCTION("""COMPUTED_VALUE"""),204.61)</f>
        <v>204.61</v>
      </c>
      <c r="M909" s="25">
        <f>IFERROR(__xludf.DUMMYFUNCTION("""COMPUTED_VALUE"""),532947.0)</f>
        <v>532947</v>
      </c>
    </row>
    <row r="910">
      <c r="A910" s="26">
        <f>IFERROR(__xludf.DUMMYFUNCTION("""COMPUTED_VALUE"""),39689.645833333336)</f>
        <v>39689.64583</v>
      </c>
      <c r="B910" s="9">
        <f>IFERROR(__xludf.DUMMYFUNCTION("""COMPUTED_VALUE"""),213.63)</f>
        <v>213.63</v>
      </c>
      <c r="C910" s="9">
        <f>IFERROR(__xludf.DUMMYFUNCTION("""COMPUTED_VALUE"""),218.75)</f>
        <v>218.75</v>
      </c>
      <c r="D910" s="9">
        <f>IFERROR(__xludf.DUMMYFUNCTION("""COMPUTED_VALUE"""),213.63)</f>
        <v>213.63</v>
      </c>
      <c r="E910" s="9">
        <f>IFERROR(__xludf.DUMMYFUNCTION("""COMPUTED_VALUE"""),218.64)</f>
        <v>218.64</v>
      </c>
      <c r="F910" s="9">
        <f>IFERROR(__xludf.DUMMYFUNCTION("""COMPUTED_VALUE"""),1148336.0)</f>
        <v>1148336</v>
      </c>
      <c r="H910" s="27">
        <f>IFERROR(__xludf.DUMMYFUNCTION("""COMPUTED_VALUE"""),39688.645833333336)</f>
        <v>39688.64583</v>
      </c>
      <c r="I910" s="25">
        <f>IFERROR(__xludf.DUMMYFUNCTION("""COMPUTED_VALUE"""),205.0)</f>
        <v>205</v>
      </c>
      <c r="J910" s="25">
        <f>IFERROR(__xludf.DUMMYFUNCTION("""COMPUTED_VALUE"""),206.06)</f>
        <v>206.06</v>
      </c>
      <c r="K910" s="25">
        <f>IFERROR(__xludf.DUMMYFUNCTION("""COMPUTED_VALUE"""),195.66)</f>
        <v>195.66</v>
      </c>
      <c r="L910" s="25">
        <f>IFERROR(__xludf.DUMMYFUNCTION("""COMPUTED_VALUE"""),198.09)</f>
        <v>198.09</v>
      </c>
      <c r="M910" s="25">
        <f>IFERROR(__xludf.DUMMYFUNCTION("""COMPUTED_VALUE"""),1645172.0)</f>
        <v>1645172</v>
      </c>
    </row>
    <row r="911">
      <c r="A911" s="26">
        <f>IFERROR(__xludf.DUMMYFUNCTION("""COMPUTED_VALUE"""),39692.645833333336)</f>
        <v>39692.64583</v>
      </c>
      <c r="B911" s="9">
        <f>IFERROR(__xludf.DUMMYFUNCTION("""COMPUTED_VALUE"""),218.75)</f>
        <v>218.75</v>
      </c>
      <c r="C911" s="9">
        <f>IFERROR(__xludf.DUMMYFUNCTION("""COMPUTED_VALUE"""),220.84)</f>
        <v>220.84</v>
      </c>
      <c r="D911" s="9">
        <f>IFERROR(__xludf.DUMMYFUNCTION("""COMPUTED_VALUE"""),212.74)</f>
        <v>212.74</v>
      </c>
      <c r="E911" s="9">
        <f>IFERROR(__xludf.DUMMYFUNCTION("""COMPUTED_VALUE"""),215.41)</f>
        <v>215.41</v>
      </c>
      <c r="F911" s="9">
        <f>IFERROR(__xludf.DUMMYFUNCTION("""COMPUTED_VALUE"""),1394238.0)</f>
        <v>1394238</v>
      </c>
      <c r="H911" s="27">
        <f>IFERROR(__xludf.DUMMYFUNCTION("""COMPUTED_VALUE"""),39689.645833333336)</f>
        <v>39689.64583</v>
      </c>
      <c r="I911" s="25">
        <f>IFERROR(__xludf.DUMMYFUNCTION("""COMPUTED_VALUE"""),200.0)</f>
        <v>200</v>
      </c>
      <c r="J911" s="25">
        <f>IFERROR(__xludf.DUMMYFUNCTION("""COMPUTED_VALUE"""),204.99)</f>
        <v>204.99</v>
      </c>
      <c r="K911" s="25">
        <f>IFERROR(__xludf.DUMMYFUNCTION("""COMPUTED_VALUE"""),200.0)</f>
        <v>200</v>
      </c>
      <c r="L911" s="25">
        <f>IFERROR(__xludf.DUMMYFUNCTION("""COMPUTED_VALUE"""),203.05)</f>
        <v>203.05</v>
      </c>
      <c r="M911" s="25">
        <f>IFERROR(__xludf.DUMMYFUNCTION("""COMPUTED_VALUE"""),499625.0)</f>
        <v>499625</v>
      </c>
    </row>
    <row r="912">
      <c r="A912" s="26">
        <f>IFERROR(__xludf.DUMMYFUNCTION("""COMPUTED_VALUE"""),39693.645833333336)</f>
        <v>39693.64583</v>
      </c>
      <c r="B912" s="9">
        <f>IFERROR(__xludf.DUMMYFUNCTION("""COMPUTED_VALUE"""),218.63)</f>
        <v>218.63</v>
      </c>
      <c r="C912" s="9">
        <f>IFERROR(__xludf.DUMMYFUNCTION("""COMPUTED_VALUE"""),222.75)</f>
        <v>222.75</v>
      </c>
      <c r="D912" s="9">
        <f>IFERROR(__xludf.DUMMYFUNCTION("""COMPUTED_VALUE"""),215.17)</f>
        <v>215.17</v>
      </c>
      <c r="E912" s="9">
        <f>IFERROR(__xludf.DUMMYFUNCTION("""COMPUTED_VALUE"""),221.91)</f>
        <v>221.91</v>
      </c>
      <c r="F912" s="9">
        <f>IFERROR(__xludf.DUMMYFUNCTION("""COMPUTED_VALUE"""),1050466.0)</f>
        <v>1050466</v>
      </c>
      <c r="H912" s="27">
        <f>IFERROR(__xludf.DUMMYFUNCTION("""COMPUTED_VALUE"""),39692.645833333336)</f>
        <v>39692.64583</v>
      </c>
      <c r="I912" s="25">
        <f>IFERROR(__xludf.DUMMYFUNCTION("""COMPUTED_VALUE"""),203.75)</f>
        <v>203.75</v>
      </c>
      <c r="J912" s="25">
        <f>IFERROR(__xludf.DUMMYFUNCTION("""COMPUTED_VALUE"""),205.0)</f>
        <v>205</v>
      </c>
      <c r="K912" s="25">
        <f>IFERROR(__xludf.DUMMYFUNCTION("""COMPUTED_VALUE"""),201.75)</f>
        <v>201.75</v>
      </c>
      <c r="L912" s="25">
        <f>IFERROR(__xludf.DUMMYFUNCTION("""COMPUTED_VALUE"""),203.74)</f>
        <v>203.74</v>
      </c>
      <c r="M912" s="25">
        <f>IFERROR(__xludf.DUMMYFUNCTION("""COMPUTED_VALUE"""),381858.0)</f>
        <v>381858</v>
      </c>
    </row>
    <row r="913">
      <c r="A913" s="26">
        <f>IFERROR(__xludf.DUMMYFUNCTION("""COMPUTED_VALUE"""),39695.645833333336)</f>
        <v>39695.64583</v>
      </c>
      <c r="B913" s="9">
        <f>IFERROR(__xludf.DUMMYFUNCTION("""COMPUTED_VALUE"""),220.14)</f>
        <v>220.14</v>
      </c>
      <c r="C913" s="9">
        <f>IFERROR(__xludf.DUMMYFUNCTION("""COMPUTED_VALUE"""),225.63)</f>
        <v>225.63</v>
      </c>
      <c r="D913" s="9">
        <f>IFERROR(__xludf.DUMMYFUNCTION("""COMPUTED_VALUE"""),218.95)</f>
        <v>218.95</v>
      </c>
      <c r="E913" s="9">
        <f>IFERROR(__xludf.DUMMYFUNCTION("""COMPUTED_VALUE"""),223.63)</f>
        <v>223.63</v>
      </c>
      <c r="F913" s="9">
        <f>IFERROR(__xludf.DUMMYFUNCTION("""COMPUTED_VALUE"""),2698673.0)</f>
        <v>2698673</v>
      </c>
      <c r="H913" s="27">
        <f>IFERROR(__xludf.DUMMYFUNCTION("""COMPUTED_VALUE"""),39693.645833333336)</f>
        <v>39693.64583</v>
      </c>
      <c r="I913" s="25">
        <f>IFERROR(__xludf.DUMMYFUNCTION("""COMPUTED_VALUE"""),203.74)</f>
        <v>203.74</v>
      </c>
      <c r="J913" s="25">
        <f>IFERROR(__xludf.DUMMYFUNCTION("""COMPUTED_VALUE"""),213.25)</f>
        <v>213.25</v>
      </c>
      <c r="K913" s="25">
        <f>IFERROR(__xludf.DUMMYFUNCTION("""COMPUTED_VALUE"""),203.74)</f>
        <v>203.74</v>
      </c>
      <c r="L913" s="25">
        <f>IFERROR(__xludf.DUMMYFUNCTION("""COMPUTED_VALUE"""),212.2)</f>
        <v>212.2</v>
      </c>
      <c r="M913" s="25">
        <f>IFERROR(__xludf.DUMMYFUNCTION("""COMPUTED_VALUE"""),661962.0)</f>
        <v>661962</v>
      </c>
    </row>
    <row r="914">
      <c r="A914" s="26">
        <f>IFERROR(__xludf.DUMMYFUNCTION("""COMPUTED_VALUE"""),39696.645833333336)</f>
        <v>39696.64583</v>
      </c>
      <c r="B914" s="9">
        <f>IFERROR(__xludf.DUMMYFUNCTION("""COMPUTED_VALUE"""),222.49)</f>
        <v>222.49</v>
      </c>
      <c r="C914" s="9">
        <f>IFERROR(__xludf.DUMMYFUNCTION("""COMPUTED_VALUE"""),222.49)</f>
        <v>222.49</v>
      </c>
      <c r="D914" s="9">
        <f>IFERROR(__xludf.DUMMYFUNCTION("""COMPUTED_VALUE"""),213.31)</f>
        <v>213.31</v>
      </c>
      <c r="E914" s="9">
        <f>IFERROR(__xludf.DUMMYFUNCTION("""COMPUTED_VALUE"""),214.04)</f>
        <v>214.04</v>
      </c>
      <c r="F914" s="9">
        <f>IFERROR(__xludf.DUMMYFUNCTION("""COMPUTED_VALUE"""),1377615.0)</f>
        <v>1377615</v>
      </c>
      <c r="H914" s="27">
        <f>IFERROR(__xludf.DUMMYFUNCTION("""COMPUTED_VALUE"""),39695.645833333336)</f>
        <v>39695.64583</v>
      </c>
      <c r="I914" s="25">
        <f>IFERROR(__xludf.DUMMYFUNCTION("""COMPUTED_VALUE"""),211.25)</f>
        <v>211.25</v>
      </c>
      <c r="J914" s="25">
        <f>IFERROR(__xludf.DUMMYFUNCTION("""COMPUTED_VALUE"""),213.7)</f>
        <v>213.7</v>
      </c>
      <c r="K914" s="25">
        <f>IFERROR(__xludf.DUMMYFUNCTION("""COMPUTED_VALUE"""),208.09)</f>
        <v>208.09</v>
      </c>
      <c r="L914" s="25">
        <f>IFERROR(__xludf.DUMMYFUNCTION("""COMPUTED_VALUE"""),211.05)</f>
        <v>211.05</v>
      </c>
      <c r="M914" s="25">
        <f>IFERROR(__xludf.DUMMYFUNCTION("""COMPUTED_VALUE"""),615419.0)</f>
        <v>615419</v>
      </c>
    </row>
    <row r="915">
      <c r="A915" s="26">
        <f>IFERROR(__xludf.DUMMYFUNCTION("""COMPUTED_VALUE"""),39699.645833333336)</f>
        <v>39699.64583</v>
      </c>
      <c r="B915" s="9">
        <f>IFERROR(__xludf.DUMMYFUNCTION("""COMPUTED_VALUE"""),219.13)</f>
        <v>219.13</v>
      </c>
      <c r="C915" s="9">
        <f>IFERROR(__xludf.DUMMYFUNCTION("""COMPUTED_VALUE"""),220.25)</f>
        <v>220.25</v>
      </c>
      <c r="D915" s="9">
        <f>IFERROR(__xludf.DUMMYFUNCTION("""COMPUTED_VALUE"""),216.92)</f>
        <v>216.92</v>
      </c>
      <c r="E915" s="9">
        <f>IFERROR(__xludf.DUMMYFUNCTION("""COMPUTED_VALUE"""),218.76)</f>
        <v>218.76</v>
      </c>
      <c r="F915" s="9">
        <f>IFERROR(__xludf.DUMMYFUNCTION("""COMPUTED_VALUE"""),1189800.0)</f>
        <v>1189800</v>
      </c>
      <c r="H915" s="27">
        <f>IFERROR(__xludf.DUMMYFUNCTION("""COMPUTED_VALUE"""),39696.645833333336)</f>
        <v>39696.64583</v>
      </c>
      <c r="I915" s="25">
        <f>IFERROR(__xludf.DUMMYFUNCTION("""COMPUTED_VALUE"""),212.5)</f>
        <v>212.5</v>
      </c>
      <c r="J915" s="25">
        <f>IFERROR(__xludf.DUMMYFUNCTION("""COMPUTED_VALUE"""),212.5)</f>
        <v>212.5</v>
      </c>
      <c r="K915" s="25">
        <f>IFERROR(__xludf.DUMMYFUNCTION("""COMPUTED_VALUE"""),206.25)</f>
        <v>206.25</v>
      </c>
      <c r="L915" s="25">
        <f>IFERROR(__xludf.DUMMYFUNCTION("""COMPUTED_VALUE"""),209.6)</f>
        <v>209.6</v>
      </c>
      <c r="M915" s="25">
        <f>IFERROR(__xludf.DUMMYFUNCTION("""COMPUTED_VALUE"""),611342.0)</f>
        <v>611342</v>
      </c>
    </row>
    <row r="916">
      <c r="A916" s="26">
        <f>IFERROR(__xludf.DUMMYFUNCTION("""COMPUTED_VALUE"""),39700.645833333336)</f>
        <v>39700.64583</v>
      </c>
      <c r="B916" s="9">
        <f>IFERROR(__xludf.DUMMYFUNCTION("""COMPUTED_VALUE"""),218.48)</f>
        <v>218.48</v>
      </c>
      <c r="C916" s="9">
        <f>IFERROR(__xludf.DUMMYFUNCTION("""COMPUTED_VALUE"""),219.75)</f>
        <v>219.75</v>
      </c>
      <c r="D916" s="9">
        <f>IFERROR(__xludf.DUMMYFUNCTION("""COMPUTED_VALUE"""),214.65)</f>
        <v>214.65</v>
      </c>
      <c r="E916" s="9">
        <f>IFERROR(__xludf.DUMMYFUNCTION("""COMPUTED_VALUE"""),218.68)</f>
        <v>218.68</v>
      </c>
      <c r="F916" s="9">
        <f>IFERROR(__xludf.DUMMYFUNCTION("""COMPUTED_VALUE"""),1166227.0)</f>
        <v>1166227</v>
      </c>
      <c r="H916" s="27">
        <f>IFERROR(__xludf.DUMMYFUNCTION("""COMPUTED_VALUE"""),39699.645833333336)</f>
        <v>39699.64583</v>
      </c>
      <c r="I916" s="25">
        <f>IFERROR(__xludf.DUMMYFUNCTION("""COMPUTED_VALUE"""),215.0)</f>
        <v>215</v>
      </c>
      <c r="J916" s="25">
        <f>IFERROR(__xludf.DUMMYFUNCTION("""COMPUTED_VALUE"""),218.6)</f>
        <v>218.6</v>
      </c>
      <c r="K916" s="25">
        <f>IFERROR(__xludf.DUMMYFUNCTION("""COMPUTED_VALUE"""),210.5)</f>
        <v>210.5</v>
      </c>
      <c r="L916" s="25">
        <f>IFERROR(__xludf.DUMMYFUNCTION("""COMPUTED_VALUE"""),214.18)</f>
        <v>214.18</v>
      </c>
      <c r="M916" s="25">
        <f>IFERROR(__xludf.DUMMYFUNCTION("""COMPUTED_VALUE"""),1292608.0)</f>
        <v>1292608</v>
      </c>
    </row>
    <row r="917">
      <c r="A917" s="26">
        <f>IFERROR(__xludf.DUMMYFUNCTION("""COMPUTED_VALUE"""),39701.645833333336)</f>
        <v>39701.64583</v>
      </c>
      <c r="B917" s="9">
        <f>IFERROR(__xludf.DUMMYFUNCTION("""COMPUTED_VALUE"""),217.41)</f>
        <v>217.41</v>
      </c>
      <c r="C917" s="9">
        <f>IFERROR(__xludf.DUMMYFUNCTION("""COMPUTED_VALUE"""),221.53)</f>
        <v>221.53</v>
      </c>
      <c r="D917" s="9">
        <f>IFERROR(__xludf.DUMMYFUNCTION("""COMPUTED_VALUE"""),215.15)</f>
        <v>215.15</v>
      </c>
      <c r="E917" s="9">
        <f>IFERROR(__xludf.DUMMYFUNCTION("""COMPUTED_VALUE"""),219.97)</f>
        <v>219.97</v>
      </c>
      <c r="F917" s="9">
        <f>IFERROR(__xludf.DUMMYFUNCTION("""COMPUTED_VALUE"""),1365934.0)</f>
        <v>1365934</v>
      </c>
      <c r="H917" s="27">
        <f>IFERROR(__xludf.DUMMYFUNCTION("""COMPUTED_VALUE"""),39700.645833333336)</f>
        <v>39700.64583</v>
      </c>
      <c r="I917" s="25">
        <f>IFERROR(__xludf.DUMMYFUNCTION("""COMPUTED_VALUE"""),213.75)</f>
        <v>213.75</v>
      </c>
      <c r="J917" s="25">
        <f>IFERROR(__xludf.DUMMYFUNCTION("""COMPUTED_VALUE"""),217.93)</f>
        <v>217.93</v>
      </c>
      <c r="K917" s="25">
        <f>IFERROR(__xludf.DUMMYFUNCTION("""COMPUTED_VALUE"""),210.0)</f>
        <v>210</v>
      </c>
      <c r="L917" s="25">
        <f>IFERROR(__xludf.DUMMYFUNCTION("""COMPUTED_VALUE"""),216.2)</f>
        <v>216.2</v>
      </c>
      <c r="M917" s="25">
        <f>IFERROR(__xludf.DUMMYFUNCTION("""COMPUTED_VALUE"""),703832.0)</f>
        <v>703832</v>
      </c>
    </row>
    <row r="918">
      <c r="A918" s="26">
        <f>IFERROR(__xludf.DUMMYFUNCTION("""COMPUTED_VALUE"""),39702.645833333336)</f>
        <v>39702.64583</v>
      </c>
      <c r="B918" s="9">
        <f>IFERROR(__xludf.DUMMYFUNCTION("""COMPUTED_VALUE"""),218.53)</f>
        <v>218.53</v>
      </c>
      <c r="C918" s="9">
        <f>IFERROR(__xludf.DUMMYFUNCTION("""COMPUTED_VALUE"""),220.0)</f>
        <v>220</v>
      </c>
      <c r="D918" s="9">
        <f>IFERROR(__xludf.DUMMYFUNCTION("""COMPUTED_VALUE"""),216.54)</f>
        <v>216.54</v>
      </c>
      <c r="E918" s="9">
        <f>IFERROR(__xludf.DUMMYFUNCTION("""COMPUTED_VALUE"""),218.83)</f>
        <v>218.83</v>
      </c>
      <c r="F918" s="9">
        <f>IFERROR(__xludf.DUMMYFUNCTION("""COMPUTED_VALUE"""),1658233.0)</f>
        <v>1658233</v>
      </c>
      <c r="H918" s="27">
        <f>IFERROR(__xludf.DUMMYFUNCTION("""COMPUTED_VALUE"""),39701.645833333336)</f>
        <v>39701.64583</v>
      </c>
      <c r="I918" s="25">
        <f>IFERROR(__xludf.DUMMYFUNCTION("""COMPUTED_VALUE"""),215.29)</f>
        <v>215.29</v>
      </c>
      <c r="J918" s="25">
        <f>IFERROR(__xludf.DUMMYFUNCTION("""COMPUTED_VALUE"""),217.55)</f>
        <v>217.55</v>
      </c>
      <c r="K918" s="25">
        <f>IFERROR(__xludf.DUMMYFUNCTION("""COMPUTED_VALUE"""),212.03)</f>
        <v>212.03</v>
      </c>
      <c r="L918" s="25">
        <f>IFERROR(__xludf.DUMMYFUNCTION("""COMPUTED_VALUE"""),212.73)</f>
        <v>212.73</v>
      </c>
      <c r="M918" s="25">
        <f>IFERROR(__xludf.DUMMYFUNCTION("""COMPUTED_VALUE"""),765864.0)</f>
        <v>765864</v>
      </c>
    </row>
    <row r="919">
      <c r="A919" s="26">
        <f>IFERROR(__xludf.DUMMYFUNCTION("""COMPUTED_VALUE"""),39703.645833333336)</f>
        <v>39703.64583</v>
      </c>
      <c r="B919" s="9">
        <f>IFERROR(__xludf.DUMMYFUNCTION("""COMPUTED_VALUE"""),219.13)</f>
        <v>219.13</v>
      </c>
      <c r="C919" s="9">
        <f>IFERROR(__xludf.DUMMYFUNCTION("""COMPUTED_VALUE"""),219.13)</f>
        <v>219.13</v>
      </c>
      <c r="D919" s="9">
        <f>IFERROR(__xludf.DUMMYFUNCTION("""COMPUTED_VALUE"""),204.66)</f>
        <v>204.66</v>
      </c>
      <c r="E919" s="9">
        <f>IFERROR(__xludf.DUMMYFUNCTION("""COMPUTED_VALUE"""),205.5)</f>
        <v>205.5</v>
      </c>
      <c r="F919" s="9">
        <f>IFERROR(__xludf.DUMMYFUNCTION("""COMPUTED_VALUE"""),3039391.0)</f>
        <v>3039391</v>
      </c>
      <c r="H919" s="27">
        <f>IFERROR(__xludf.DUMMYFUNCTION("""COMPUTED_VALUE"""),39702.645833333336)</f>
        <v>39702.64583</v>
      </c>
      <c r="I919" s="25">
        <f>IFERROR(__xludf.DUMMYFUNCTION("""COMPUTED_VALUE"""),212.73)</f>
        <v>212.73</v>
      </c>
      <c r="J919" s="25">
        <f>IFERROR(__xludf.DUMMYFUNCTION("""COMPUTED_VALUE"""),217.0)</f>
        <v>217</v>
      </c>
      <c r="K919" s="25">
        <f>IFERROR(__xludf.DUMMYFUNCTION("""COMPUTED_VALUE"""),207.25)</f>
        <v>207.25</v>
      </c>
      <c r="L919" s="25">
        <f>IFERROR(__xludf.DUMMYFUNCTION("""COMPUTED_VALUE"""),209.18)</f>
        <v>209.18</v>
      </c>
      <c r="M919" s="25">
        <f>IFERROR(__xludf.DUMMYFUNCTION("""COMPUTED_VALUE"""),477244.0)</f>
        <v>477244</v>
      </c>
    </row>
    <row r="920">
      <c r="A920" s="26">
        <f>IFERROR(__xludf.DUMMYFUNCTION("""COMPUTED_VALUE"""),39706.645833333336)</f>
        <v>39706.64583</v>
      </c>
      <c r="B920" s="9">
        <f>IFERROR(__xludf.DUMMYFUNCTION("""COMPUTED_VALUE"""),205.0)</f>
        <v>205</v>
      </c>
      <c r="C920" s="9">
        <f>IFERROR(__xludf.DUMMYFUNCTION("""COMPUTED_VALUE"""),205.0)</f>
        <v>205</v>
      </c>
      <c r="D920" s="9">
        <f>IFERROR(__xludf.DUMMYFUNCTION("""COMPUTED_VALUE"""),190.25)</f>
        <v>190.25</v>
      </c>
      <c r="E920" s="9">
        <f>IFERROR(__xludf.DUMMYFUNCTION("""COMPUTED_VALUE"""),197.27)</f>
        <v>197.27</v>
      </c>
      <c r="F920" s="9">
        <f>IFERROR(__xludf.DUMMYFUNCTION("""COMPUTED_VALUE"""),2151470.0)</f>
        <v>2151470</v>
      </c>
      <c r="H920" s="27">
        <f>IFERROR(__xludf.DUMMYFUNCTION("""COMPUTED_VALUE"""),39703.645833333336)</f>
        <v>39703.64583</v>
      </c>
      <c r="I920" s="25">
        <f>IFERROR(__xludf.DUMMYFUNCTION("""COMPUTED_VALUE"""),216.25)</f>
        <v>216.25</v>
      </c>
      <c r="J920" s="25">
        <f>IFERROR(__xludf.DUMMYFUNCTION("""COMPUTED_VALUE"""),216.25)</f>
        <v>216.25</v>
      </c>
      <c r="K920" s="25">
        <f>IFERROR(__xludf.DUMMYFUNCTION("""COMPUTED_VALUE"""),200.24)</f>
        <v>200.24</v>
      </c>
      <c r="L920" s="25">
        <f>IFERROR(__xludf.DUMMYFUNCTION("""COMPUTED_VALUE"""),202.64)</f>
        <v>202.64</v>
      </c>
      <c r="M920" s="25">
        <f>IFERROR(__xludf.DUMMYFUNCTION("""COMPUTED_VALUE"""),893491.0)</f>
        <v>893491</v>
      </c>
    </row>
    <row r="921">
      <c r="A921" s="26">
        <f>IFERROR(__xludf.DUMMYFUNCTION("""COMPUTED_VALUE"""),39707.645833333336)</f>
        <v>39707.64583</v>
      </c>
      <c r="B921" s="9">
        <f>IFERROR(__xludf.DUMMYFUNCTION("""COMPUTED_VALUE"""),191.26)</f>
        <v>191.26</v>
      </c>
      <c r="C921" s="9">
        <f>IFERROR(__xludf.DUMMYFUNCTION("""COMPUTED_VALUE"""),198.25)</f>
        <v>198.25</v>
      </c>
      <c r="D921" s="9">
        <f>IFERROR(__xludf.DUMMYFUNCTION("""COMPUTED_VALUE"""),188.75)</f>
        <v>188.75</v>
      </c>
      <c r="E921" s="9">
        <f>IFERROR(__xludf.DUMMYFUNCTION("""COMPUTED_VALUE"""),195.8)</f>
        <v>195.8</v>
      </c>
      <c r="F921" s="9">
        <f>IFERROR(__xludf.DUMMYFUNCTION("""COMPUTED_VALUE"""),1962599.0)</f>
        <v>1962599</v>
      </c>
      <c r="H921" s="27">
        <f>IFERROR(__xludf.DUMMYFUNCTION("""COMPUTED_VALUE"""),39706.645833333336)</f>
        <v>39706.64583</v>
      </c>
      <c r="I921" s="25">
        <f>IFERROR(__xludf.DUMMYFUNCTION("""COMPUTED_VALUE"""),195.0)</f>
        <v>195</v>
      </c>
      <c r="J921" s="25">
        <f>IFERROR(__xludf.DUMMYFUNCTION("""COMPUTED_VALUE"""),199.75)</f>
        <v>199.75</v>
      </c>
      <c r="K921" s="25">
        <f>IFERROR(__xludf.DUMMYFUNCTION("""COMPUTED_VALUE"""),186.25)</f>
        <v>186.25</v>
      </c>
      <c r="L921" s="25">
        <f>IFERROR(__xludf.DUMMYFUNCTION("""COMPUTED_VALUE"""),190.7)</f>
        <v>190.7</v>
      </c>
      <c r="M921" s="25">
        <f>IFERROR(__xludf.DUMMYFUNCTION("""COMPUTED_VALUE"""),2137737.0)</f>
        <v>2137737</v>
      </c>
    </row>
    <row r="922">
      <c r="A922" s="26">
        <f>IFERROR(__xludf.DUMMYFUNCTION("""COMPUTED_VALUE"""),39708.645833333336)</f>
        <v>39708.64583</v>
      </c>
      <c r="B922" s="9">
        <f>IFERROR(__xludf.DUMMYFUNCTION("""COMPUTED_VALUE"""),197.5)</f>
        <v>197.5</v>
      </c>
      <c r="C922" s="9">
        <f>IFERROR(__xludf.DUMMYFUNCTION("""COMPUTED_VALUE"""),205.87)</f>
        <v>205.87</v>
      </c>
      <c r="D922" s="9">
        <f>IFERROR(__xludf.DUMMYFUNCTION("""COMPUTED_VALUE"""),196.25)</f>
        <v>196.25</v>
      </c>
      <c r="E922" s="9">
        <f>IFERROR(__xludf.DUMMYFUNCTION("""COMPUTED_VALUE"""),197.38)</f>
        <v>197.38</v>
      </c>
      <c r="F922" s="9">
        <f>IFERROR(__xludf.DUMMYFUNCTION("""COMPUTED_VALUE"""),2291582.0)</f>
        <v>2291582</v>
      </c>
      <c r="H922" s="27">
        <f>IFERROR(__xludf.DUMMYFUNCTION("""COMPUTED_VALUE"""),39707.645833333336)</f>
        <v>39707.64583</v>
      </c>
      <c r="I922" s="25">
        <f>IFERROR(__xludf.DUMMYFUNCTION("""COMPUTED_VALUE"""),187.38)</f>
        <v>187.38</v>
      </c>
      <c r="J922" s="25">
        <f>IFERROR(__xludf.DUMMYFUNCTION("""COMPUTED_VALUE"""),187.75)</f>
        <v>187.75</v>
      </c>
      <c r="K922" s="25">
        <f>IFERROR(__xludf.DUMMYFUNCTION("""COMPUTED_VALUE"""),181.25)</f>
        <v>181.25</v>
      </c>
      <c r="L922" s="25">
        <f>IFERROR(__xludf.DUMMYFUNCTION("""COMPUTED_VALUE"""),187.21)</f>
        <v>187.21</v>
      </c>
      <c r="M922" s="25">
        <f>IFERROR(__xludf.DUMMYFUNCTION("""COMPUTED_VALUE"""),1268091.0)</f>
        <v>1268091</v>
      </c>
    </row>
    <row r="923">
      <c r="A923" s="26">
        <f>IFERROR(__xludf.DUMMYFUNCTION("""COMPUTED_VALUE"""),39709.645833333336)</f>
        <v>39709.64583</v>
      </c>
      <c r="B923" s="9">
        <f>IFERROR(__xludf.DUMMYFUNCTION("""COMPUTED_VALUE"""),188.76)</f>
        <v>188.76</v>
      </c>
      <c r="C923" s="9">
        <f>IFERROR(__xludf.DUMMYFUNCTION("""COMPUTED_VALUE"""),195.0)</f>
        <v>195</v>
      </c>
      <c r="D923" s="9">
        <f>IFERROR(__xludf.DUMMYFUNCTION("""COMPUTED_VALUE"""),177.66)</f>
        <v>177.66</v>
      </c>
      <c r="E923" s="9">
        <f>IFERROR(__xludf.DUMMYFUNCTION("""COMPUTED_VALUE"""),190.68)</f>
        <v>190.68</v>
      </c>
      <c r="F923" s="9">
        <f>IFERROR(__xludf.DUMMYFUNCTION("""COMPUTED_VALUE"""),3347524.0)</f>
        <v>3347524</v>
      </c>
      <c r="H923" s="27">
        <f>IFERROR(__xludf.DUMMYFUNCTION("""COMPUTED_VALUE"""),39708.645833333336)</f>
        <v>39708.64583</v>
      </c>
      <c r="I923" s="25">
        <f>IFERROR(__xludf.DUMMYFUNCTION("""COMPUTED_VALUE"""),187.0)</f>
        <v>187</v>
      </c>
      <c r="J923" s="25">
        <f>IFERROR(__xludf.DUMMYFUNCTION("""COMPUTED_VALUE"""),191.16)</f>
        <v>191.16</v>
      </c>
      <c r="K923" s="25">
        <f>IFERROR(__xludf.DUMMYFUNCTION("""COMPUTED_VALUE"""),182.0)</f>
        <v>182</v>
      </c>
      <c r="L923" s="25">
        <f>IFERROR(__xludf.DUMMYFUNCTION("""COMPUTED_VALUE"""),182.53)</f>
        <v>182.53</v>
      </c>
      <c r="M923" s="25">
        <f>IFERROR(__xludf.DUMMYFUNCTION("""COMPUTED_VALUE"""),1050217.0)</f>
        <v>1050217</v>
      </c>
    </row>
    <row r="924">
      <c r="A924" s="26">
        <f>IFERROR(__xludf.DUMMYFUNCTION("""COMPUTED_VALUE"""),39710.645833333336)</f>
        <v>39710.64583</v>
      </c>
      <c r="B924" s="9">
        <f>IFERROR(__xludf.DUMMYFUNCTION("""COMPUTED_VALUE"""),196.88)</f>
        <v>196.88</v>
      </c>
      <c r="C924" s="9">
        <f>IFERROR(__xludf.DUMMYFUNCTION("""COMPUTED_VALUE"""),205.74)</f>
        <v>205.74</v>
      </c>
      <c r="D924" s="9">
        <f>IFERROR(__xludf.DUMMYFUNCTION("""COMPUTED_VALUE"""),194.5)</f>
        <v>194.5</v>
      </c>
      <c r="E924" s="9">
        <f>IFERROR(__xludf.DUMMYFUNCTION("""COMPUTED_VALUE"""),203.12)</f>
        <v>203.12</v>
      </c>
      <c r="F924" s="9">
        <f>IFERROR(__xludf.DUMMYFUNCTION("""COMPUTED_VALUE"""),3899993.0)</f>
        <v>3899993</v>
      </c>
      <c r="H924" s="27">
        <f>IFERROR(__xludf.DUMMYFUNCTION("""COMPUTED_VALUE"""),39709.645833333336)</f>
        <v>39709.64583</v>
      </c>
      <c r="I924" s="25">
        <f>IFERROR(__xludf.DUMMYFUNCTION("""COMPUTED_VALUE"""),182.0)</f>
        <v>182</v>
      </c>
      <c r="J924" s="25">
        <f>IFERROR(__xludf.DUMMYFUNCTION("""COMPUTED_VALUE"""),187.25)</f>
        <v>187.25</v>
      </c>
      <c r="K924" s="25">
        <f>IFERROR(__xludf.DUMMYFUNCTION("""COMPUTED_VALUE"""),167.75)</f>
        <v>167.75</v>
      </c>
      <c r="L924" s="25">
        <f>IFERROR(__xludf.DUMMYFUNCTION("""COMPUTED_VALUE"""),180.29)</f>
        <v>180.29</v>
      </c>
      <c r="M924" s="25">
        <f>IFERROR(__xludf.DUMMYFUNCTION("""COMPUTED_VALUE"""),1589276.0)</f>
        <v>1589276</v>
      </c>
    </row>
    <row r="925">
      <c r="A925" s="26">
        <f>IFERROR(__xludf.DUMMYFUNCTION("""COMPUTED_VALUE"""),39713.645833333336)</f>
        <v>39713.64583</v>
      </c>
      <c r="B925" s="9">
        <f>IFERROR(__xludf.DUMMYFUNCTION("""COMPUTED_VALUE"""),205.63)</f>
        <v>205.63</v>
      </c>
      <c r="C925" s="9">
        <f>IFERROR(__xludf.DUMMYFUNCTION("""COMPUTED_VALUE"""),207.54)</f>
        <v>207.54</v>
      </c>
      <c r="D925" s="9">
        <f>IFERROR(__xludf.DUMMYFUNCTION("""COMPUTED_VALUE"""),201.0)</f>
        <v>201</v>
      </c>
      <c r="E925" s="9">
        <f>IFERROR(__xludf.DUMMYFUNCTION("""COMPUTED_VALUE"""),203.74)</f>
        <v>203.74</v>
      </c>
      <c r="F925" s="9">
        <f>IFERROR(__xludf.DUMMYFUNCTION("""COMPUTED_VALUE"""),1602974.0)</f>
        <v>1602974</v>
      </c>
      <c r="H925" s="27">
        <f>IFERROR(__xludf.DUMMYFUNCTION("""COMPUTED_VALUE"""),39710.645833333336)</f>
        <v>39710.64583</v>
      </c>
      <c r="I925" s="25">
        <f>IFERROR(__xludf.DUMMYFUNCTION("""COMPUTED_VALUE"""),194.93)</f>
        <v>194.93</v>
      </c>
      <c r="J925" s="25">
        <f>IFERROR(__xludf.DUMMYFUNCTION("""COMPUTED_VALUE"""),194.93)</f>
        <v>194.93</v>
      </c>
      <c r="K925" s="25">
        <f>IFERROR(__xludf.DUMMYFUNCTION("""COMPUTED_VALUE"""),182.53)</f>
        <v>182.53</v>
      </c>
      <c r="L925" s="25">
        <f>IFERROR(__xludf.DUMMYFUNCTION("""COMPUTED_VALUE"""),191.71)</f>
        <v>191.71</v>
      </c>
      <c r="M925" s="25">
        <f>IFERROR(__xludf.DUMMYFUNCTION("""COMPUTED_VALUE"""),2386092.0)</f>
        <v>2386092</v>
      </c>
    </row>
    <row r="926">
      <c r="A926" s="26">
        <f>IFERROR(__xludf.DUMMYFUNCTION("""COMPUTED_VALUE"""),39714.645833333336)</f>
        <v>39714.64583</v>
      </c>
      <c r="B926" s="9">
        <f>IFERROR(__xludf.DUMMYFUNCTION("""COMPUTED_VALUE"""),200.0)</f>
        <v>200</v>
      </c>
      <c r="C926" s="9">
        <f>IFERROR(__xludf.DUMMYFUNCTION("""COMPUTED_VALUE"""),203.0)</f>
        <v>203</v>
      </c>
      <c r="D926" s="9">
        <f>IFERROR(__xludf.DUMMYFUNCTION("""COMPUTED_VALUE"""),192.01)</f>
        <v>192.01</v>
      </c>
      <c r="E926" s="9">
        <f>IFERROR(__xludf.DUMMYFUNCTION("""COMPUTED_VALUE"""),192.99)</f>
        <v>192.99</v>
      </c>
      <c r="F926" s="9">
        <f>IFERROR(__xludf.DUMMYFUNCTION("""COMPUTED_VALUE"""),1672282.0)</f>
        <v>1672282</v>
      </c>
      <c r="H926" s="27">
        <f>IFERROR(__xludf.DUMMYFUNCTION("""COMPUTED_VALUE"""),39713.645833333336)</f>
        <v>39713.64583</v>
      </c>
      <c r="I926" s="25">
        <f>IFERROR(__xludf.DUMMYFUNCTION("""COMPUTED_VALUE"""),217.0)</f>
        <v>217</v>
      </c>
      <c r="J926" s="25">
        <f>IFERROR(__xludf.DUMMYFUNCTION("""COMPUTED_VALUE"""),217.0)</f>
        <v>217</v>
      </c>
      <c r="K926" s="25">
        <f>IFERROR(__xludf.DUMMYFUNCTION("""COMPUTED_VALUE"""),188.25)</f>
        <v>188.25</v>
      </c>
      <c r="L926" s="25">
        <f>IFERROR(__xludf.DUMMYFUNCTION("""COMPUTED_VALUE"""),191.7)</f>
        <v>191.7</v>
      </c>
      <c r="M926" s="25">
        <f>IFERROR(__xludf.DUMMYFUNCTION("""COMPUTED_VALUE"""),1118236.0)</f>
        <v>1118236</v>
      </c>
    </row>
    <row r="927">
      <c r="A927" s="26">
        <f>IFERROR(__xludf.DUMMYFUNCTION("""COMPUTED_VALUE"""),39715.645833333336)</f>
        <v>39715.64583</v>
      </c>
      <c r="B927" s="9">
        <f>IFERROR(__xludf.DUMMYFUNCTION("""COMPUTED_VALUE"""),193.75)</f>
        <v>193.75</v>
      </c>
      <c r="C927" s="9">
        <f>IFERROR(__xludf.DUMMYFUNCTION("""COMPUTED_VALUE"""),195.98)</f>
        <v>195.98</v>
      </c>
      <c r="D927" s="9">
        <f>IFERROR(__xludf.DUMMYFUNCTION("""COMPUTED_VALUE"""),186.25)</f>
        <v>186.25</v>
      </c>
      <c r="E927" s="9">
        <f>IFERROR(__xludf.DUMMYFUNCTION("""COMPUTED_VALUE"""),190.54)</f>
        <v>190.54</v>
      </c>
      <c r="F927" s="9">
        <f>IFERROR(__xludf.DUMMYFUNCTION("""COMPUTED_VALUE"""),2423213.0)</f>
        <v>2423213</v>
      </c>
      <c r="H927" s="27">
        <f>IFERROR(__xludf.DUMMYFUNCTION("""COMPUTED_VALUE"""),39714.645833333336)</f>
        <v>39714.64583</v>
      </c>
      <c r="I927" s="25">
        <f>IFERROR(__xludf.DUMMYFUNCTION("""COMPUTED_VALUE"""),178.84)</f>
        <v>178.84</v>
      </c>
      <c r="J927" s="25">
        <f>IFERROR(__xludf.DUMMYFUNCTION("""COMPUTED_VALUE"""),191.93)</f>
        <v>191.93</v>
      </c>
      <c r="K927" s="25">
        <f>IFERROR(__xludf.DUMMYFUNCTION("""COMPUTED_VALUE"""),178.84)</f>
        <v>178.84</v>
      </c>
      <c r="L927" s="25">
        <f>IFERROR(__xludf.DUMMYFUNCTION("""COMPUTED_VALUE"""),180.25)</f>
        <v>180.25</v>
      </c>
      <c r="M927" s="25">
        <f>IFERROR(__xludf.DUMMYFUNCTION("""COMPUTED_VALUE"""),741530.0)</f>
        <v>741530</v>
      </c>
    </row>
    <row r="928">
      <c r="A928" s="26">
        <f>IFERROR(__xludf.DUMMYFUNCTION("""COMPUTED_VALUE"""),39716.645833333336)</f>
        <v>39716.64583</v>
      </c>
      <c r="B928" s="9">
        <f>IFERROR(__xludf.DUMMYFUNCTION("""COMPUTED_VALUE"""),191.26)</f>
        <v>191.26</v>
      </c>
      <c r="C928" s="9">
        <f>IFERROR(__xludf.DUMMYFUNCTION("""COMPUTED_VALUE"""),191.26)</f>
        <v>191.26</v>
      </c>
      <c r="D928" s="9">
        <f>IFERROR(__xludf.DUMMYFUNCTION("""COMPUTED_VALUE"""),186.38)</f>
        <v>186.38</v>
      </c>
      <c r="E928" s="9">
        <f>IFERROR(__xludf.DUMMYFUNCTION("""COMPUTED_VALUE"""),188.36)</f>
        <v>188.36</v>
      </c>
      <c r="F928" s="9">
        <f>IFERROR(__xludf.DUMMYFUNCTION("""COMPUTED_VALUE"""),2301783.0)</f>
        <v>2301783</v>
      </c>
      <c r="H928" s="27">
        <f>IFERROR(__xludf.DUMMYFUNCTION("""COMPUTED_VALUE"""),39715.645833333336)</f>
        <v>39715.64583</v>
      </c>
      <c r="I928" s="25">
        <f>IFERROR(__xludf.DUMMYFUNCTION("""COMPUTED_VALUE"""),181.14)</f>
        <v>181.14</v>
      </c>
      <c r="J928" s="25">
        <f>IFERROR(__xludf.DUMMYFUNCTION("""COMPUTED_VALUE"""),187.0)</f>
        <v>187</v>
      </c>
      <c r="K928" s="25">
        <f>IFERROR(__xludf.DUMMYFUNCTION("""COMPUTED_VALUE"""),172.58)</f>
        <v>172.58</v>
      </c>
      <c r="L928" s="25">
        <f>IFERROR(__xludf.DUMMYFUNCTION("""COMPUTED_VALUE"""),178.26)</f>
        <v>178.26</v>
      </c>
      <c r="M928" s="25">
        <f>IFERROR(__xludf.DUMMYFUNCTION("""COMPUTED_VALUE"""),1845181.0)</f>
        <v>1845181</v>
      </c>
    </row>
    <row r="929">
      <c r="A929" s="26">
        <f>IFERROR(__xludf.DUMMYFUNCTION("""COMPUTED_VALUE"""),39717.645833333336)</f>
        <v>39717.64583</v>
      </c>
      <c r="B929" s="9">
        <f>IFERROR(__xludf.DUMMYFUNCTION("""COMPUTED_VALUE"""),187.75)</f>
        <v>187.75</v>
      </c>
      <c r="C929" s="9">
        <f>IFERROR(__xludf.DUMMYFUNCTION("""COMPUTED_VALUE"""),188.36)</f>
        <v>188.36</v>
      </c>
      <c r="D929" s="9">
        <f>IFERROR(__xludf.DUMMYFUNCTION("""COMPUTED_VALUE"""),179.51)</f>
        <v>179.51</v>
      </c>
      <c r="E929" s="9">
        <f>IFERROR(__xludf.DUMMYFUNCTION("""COMPUTED_VALUE"""),180.86)</f>
        <v>180.86</v>
      </c>
      <c r="F929" s="9">
        <f>IFERROR(__xludf.DUMMYFUNCTION("""COMPUTED_VALUE"""),1219495.0)</f>
        <v>1219495</v>
      </c>
      <c r="H929" s="27">
        <f>IFERROR(__xludf.DUMMYFUNCTION("""COMPUTED_VALUE"""),39716.645833333336)</f>
        <v>39716.64583</v>
      </c>
      <c r="I929" s="25">
        <f>IFERROR(__xludf.DUMMYFUNCTION("""COMPUTED_VALUE"""),178.28)</f>
        <v>178.28</v>
      </c>
      <c r="J929" s="25">
        <f>IFERROR(__xludf.DUMMYFUNCTION("""COMPUTED_VALUE"""),179.96)</f>
        <v>179.96</v>
      </c>
      <c r="K929" s="25">
        <f>IFERROR(__xludf.DUMMYFUNCTION("""COMPUTED_VALUE"""),167.76)</f>
        <v>167.76</v>
      </c>
      <c r="L929" s="25">
        <f>IFERROR(__xludf.DUMMYFUNCTION("""COMPUTED_VALUE"""),172.1)</f>
        <v>172.1</v>
      </c>
      <c r="M929" s="25">
        <f>IFERROR(__xludf.DUMMYFUNCTION("""COMPUTED_VALUE"""),3780658.0)</f>
        <v>3780658</v>
      </c>
    </row>
    <row r="930">
      <c r="A930" s="26">
        <f>IFERROR(__xludf.DUMMYFUNCTION("""COMPUTED_VALUE"""),39720.645833333336)</f>
        <v>39720.64583</v>
      </c>
      <c r="B930" s="9">
        <f>IFERROR(__xludf.DUMMYFUNCTION("""COMPUTED_VALUE"""),180.64)</f>
        <v>180.64</v>
      </c>
      <c r="C930" s="9">
        <f>IFERROR(__xludf.DUMMYFUNCTION("""COMPUTED_VALUE"""),181.5)</f>
        <v>181.5</v>
      </c>
      <c r="D930" s="9">
        <f>IFERROR(__xludf.DUMMYFUNCTION("""COMPUTED_VALUE"""),170.75)</f>
        <v>170.75</v>
      </c>
      <c r="E930" s="9">
        <f>IFERROR(__xludf.DUMMYFUNCTION("""COMPUTED_VALUE"""),174.16)</f>
        <v>174.16</v>
      </c>
      <c r="F930" s="9">
        <f>IFERROR(__xludf.DUMMYFUNCTION("""COMPUTED_VALUE"""),2151224.0)</f>
        <v>2151224</v>
      </c>
      <c r="H930" s="27">
        <f>IFERROR(__xludf.DUMMYFUNCTION("""COMPUTED_VALUE"""),39717.645833333336)</f>
        <v>39717.64583</v>
      </c>
      <c r="I930" s="25">
        <f>IFERROR(__xludf.DUMMYFUNCTION("""COMPUTED_VALUE"""),175.0)</f>
        <v>175</v>
      </c>
      <c r="J930" s="25">
        <f>IFERROR(__xludf.DUMMYFUNCTION("""COMPUTED_VALUE"""),175.0)</f>
        <v>175</v>
      </c>
      <c r="K930" s="25">
        <f>IFERROR(__xludf.DUMMYFUNCTION("""COMPUTED_VALUE"""),166.55)</f>
        <v>166.55</v>
      </c>
      <c r="L930" s="25">
        <f>IFERROR(__xludf.DUMMYFUNCTION("""COMPUTED_VALUE"""),169.05)</f>
        <v>169.05</v>
      </c>
      <c r="M930" s="25">
        <f>IFERROR(__xludf.DUMMYFUNCTION("""COMPUTED_VALUE"""),1054311.0)</f>
        <v>1054311</v>
      </c>
    </row>
    <row r="931">
      <c r="A931" s="26">
        <f>IFERROR(__xludf.DUMMYFUNCTION("""COMPUTED_VALUE"""),39721.645833333336)</f>
        <v>39721.64583</v>
      </c>
      <c r="B931" s="9">
        <f>IFERROR(__xludf.DUMMYFUNCTION("""COMPUTED_VALUE"""),171.25)</f>
        <v>171.25</v>
      </c>
      <c r="C931" s="9">
        <f>IFERROR(__xludf.DUMMYFUNCTION("""COMPUTED_VALUE"""),181.71)</f>
        <v>181.71</v>
      </c>
      <c r="D931" s="9">
        <f>IFERROR(__xludf.DUMMYFUNCTION("""COMPUTED_VALUE"""),165.0)</f>
        <v>165</v>
      </c>
      <c r="E931" s="9">
        <f>IFERROR(__xludf.DUMMYFUNCTION("""COMPUTED_VALUE"""),174.76)</f>
        <v>174.76</v>
      </c>
      <c r="F931" s="9">
        <f>IFERROR(__xludf.DUMMYFUNCTION("""COMPUTED_VALUE"""),2935383.0)</f>
        <v>2935383</v>
      </c>
      <c r="H931" s="27">
        <f>IFERROR(__xludf.DUMMYFUNCTION("""COMPUTED_VALUE"""),39720.645833333336)</f>
        <v>39720.64583</v>
      </c>
      <c r="I931" s="25">
        <f>IFERROR(__xludf.DUMMYFUNCTION("""COMPUTED_VALUE"""),169.7)</f>
        <v>169.7</v>
      </c>
      <c r="J931" s="25">
        <f>IFERROR(__xludf.DUMMYFUNCTION("""COMPUTED_VALUE"""),169.7)</f>
        <v>169.7</v>
      </c>
      <c r="K931" s="25">
        <f>IFERROR(__xludf.DUMMYFUNCTION("""COMPUTED_VALUE"""),153.0)</f>
        <v>153</v>
      </c>
      <c r="L931" s="25">
        <f>IFERROR(__xludf.DUMMYFUNCTION("""COMPUTED_VALUE"""),155.0)</f>
        <v>155</v>
      </c>
      <c r="M931" s="25">
        <f>IFERROR(__xludf.DUMMYFUNCTION("""COMPUTED_VALUE"""),1394659.0)</f>
        <v>1394659</v>
      </c>
    </row>
    <row r="932">
      <c r="A932" s="26">
        <f>IFERROR(__xludf.DUMMYFUNCTION("""COMPUTED_VALUE"""),39722.645833333336)</f>
        <v>39722.64583</v>
      </c>
      <c r="B932" s="9">
        <f>IFERROR(__xludf.DUMMYFUNCTION("""COMPUTED_VALUE"""),178.13)</f>
        <v>178.13</v>
      </c>
      <c r="C932" s="9">
        <f>IFERROR(__xludf.DUMMYFUNCTION("""COMPUTED_VALUE"""),183.38)</f>
        <v>183.38</v>
      </c>
      <c r="D932" s="9">
        <f>IFERROR(__xludf.DUMMYFUNCTION("""COMPUTED_VALUE"""),176.88)</f>
        <v>176.88</v>
      </c>
      <c r="E932" s="9">
        <f>IFERROR(__xludf.DUMMYFUNCTION("""COMPUTED_VALUE"""),181.16)</f>
        <v>181.16</v>
      </c>
      <c r="F932" s="9">
        <f>IFERROR(__xludf.DUMMYFUNCTION("""COMPUTED_VALUE"""),3296002.0)</f>
        <v>3296002</v>
      </c>
      <c r="H932" s="27">
        <f>IFERROR(__xludf.DUMMYFUNCTION("""COMPUTED_VALUE"""),39721.645833333336)</f>
        <v>39721.64583</v>
      </c>
      <c r="I932" s="25">
        <f>IFERROR(__xludf.DUMMYFUNCTION("""COMPUTED_VALUE"""),148.0)</f>
        <v>148</v>
      </c>
      <c r="J932" s="25">
        <f>IFERROR(__xludf.DUMMYFUNCTION("""COMPUTED_VALUE"""),169.18)</f>
        <v>169.18</v>
      </c>
      <c r="K932" s="25">
        <f>IFERROR(__xludf.DUMMYFUNCTION("""COMPUTED_VALUE"""),147.5)</f>
        <v>147.5</v>
      </c>
      <c r="L932" s="25">
        <f>IFERROR(__xludf.DUMMYFUNCTION("""COMPUTED_VALUE"""),166.4)</f>
        <v>166.4</v>
      </c>
      <c r="M932" s="25">
        <f>IFERROR(__xludf.DUMMYFUNCTION("""COMPUTED_VALUE"""),2097843.0)</f>
        <v>2097843</v>
      </c>
    </row>
    <row r="933">
      <c r="A933" s="26">
        <f>IFERROR(__xludf.DUMMYFUNCTION("""COMPUTED_VALUE"""),39724.645833333336)</f>
        <v>39724.64583</v>
      </c>
      <c r="B933" s="9">
        <f>IFERROR(__xludf.DUMMYFUNCTION("""COMPUTED_VALUE"""),179.13)</f>
        <v>179.13</v>
      </c>
      <c r="C933" s="9">
        <f>IFERROR(__xludf.DUMMYFUNCTION("""COMPUTED_VALUE"""),180.0)</f>
        <v>180</v>
      </c>
      <c r="D933" s="9">
        <f>IFERROR(__xludf.DUMMYFUNCTION("""COMPUTED_VALUE"""),172.5)</f>
        <v>172.5</v>
      </c>
      <c r="E933" s="9">
        <f>IFERROR(__xludf.DUMMYFUNCTION("""COMPUTED_VALUE"""),173.99)</f>
        <v>173.99</v>
      </c>
      <c r="F933" s="9">
        <f>IFERROR(__xludf.DUMMYFUNCTION("""COMPUTED_VALUE"""),1721033.0)</f>
        <v>1721033</v>
      </c>
      <c r="H933" s="27">
        <f>IFERROR(__xludf.DUMMYFUNCTION("""COMPUTED_VALUE"""),39722.645833333336)</f>
        <v>39722.64583</v>
      </c>
      <c r="I933" s="25">
        <f>IFERROR(__xludf.DUMMYFUNCTION("""COMPUTED_VALUE"""),167.4)</f>
        <v>167.4</v>
      </c>
      <c r="J933" s="25">
        <f>IFERROR(__xludf.DUMMYFUNCTION("""COMPUTED_VALUE"""),171.23)</f>
        <v>171.23</v>
      </c>
      <c r="K933" s="25">
        <f>IFERROR(__xludf.DUMMYFUNCTION("""COMPUTED_VALUE"""),161.34)</f>
        <v>161.34</v>
      </c>
      <c r="L933" s="25">
        <f>IFERROR(__xludf.DUMMYFUNCTION("""COMPUTED_VALUE"""),167.94)</f>
        <v>167.94</v>
      </c>
      <c r="M933" s="25">
        <f>IFERROR(__xludf.DUMMYFUNCTION("""COMPUTED_VALUE"""),1504479.0)</f>
        <v>1504479</v>
      </c>
    </row>
    <row r="934">
      <c r="A934" s="26">
        <f>IFERROR(__xludf.DUMMYFUNCTION("""COMPUTED_VALUE"""),39727.645833333336)</f>
        <v>39727.64583</v>
      </c>
      <c r="B934" s="9">
        <f>IFERROR(__xludf.DUMMYFUNCTION("""COMPUTED_VALUE"""),170.0)</f>
        <v>170</v>
      </c>
      <c r="C934" s="9">
        <f>IFERROR(__xludf.DUMMYFUNCTION("""COMPUTED_VALUE"""),173.75)</f>
        <v>173.75</v>
      </c>
      <c r="D934" s="9">
        <f>IFERROR(__xludf.DUMMYFUNCTION("""COMPUTED_VALUE"""),159.38)</f>
        <v>159.38</v>
      </c>
      <c r="E934" s="9">
        <f>IFERROR(__xludf.DUMMYFUNCTION("""COMPUTED_VALUE"""),164.83)</f>
        <v>164.83</v>
      </c>
      <c r="F934" s="9">
        <f>IFERROR(__xludf.DUMMYFUNCTION("""COMPUTED_VALUE"""),1614777.0)</f>
        <v>1614777</v>
      </c>
      <c r="H934" s="27">
        <f>IFERROR(__xludf.DUMMYFUNCTION("""COMPUTED_VALUE"""),39724.645833333336)</f>
        <v>39724.64583</v>
      </c>
      <c r="I934" s="25">
        <f>IFERROR(__xludf.DUMMYFUNCTION("""COMPUTED_VALUE"""),166.24)</f>
        <v>166.24</v>
      </c>
      <c r="J934" s="25">
        <f>IFERROR(__xludf.DUMMYFUNCTION("""COMPUTED_VALUE"""),166.24)</f>
        <v>166.24</v>
      </c>
      <c r="K934" s="25">
        <f>IFERROR(__xludf.DUMMYFUNCTION("""COMPUTED_VALUE"""),160.59)</f>
        <v>160.59</v>
      </c>
      <c r="L934" s="25">
        <f>IFERROR(__xludf.DUMMYFUNCTION("""COMPUTED_VALUE"""),164.38)</f>
        <v>164.38</v>
      </c>
      <c r="M934" s="25">
        <f>IFERROR(__xludf.DUMMYFUNCTION("""COMPUTED_VALUE"""),1043101.0)</f>
        <v>1043101</v>
      </c>
    </row>
    <row r="935">
      <c r="A935" s="26">
        <f>IFERROR(__xludf.DUMMYFUNCTION("""COMPUTED_VALUE"""),39728.645833333336)</f>
        <v>39728.64583</v>
      </c>
      <c r="B935" s="9">
        <f>IFERROR(__xludf.DUMMYFUNCTION("""COMPUTED_VALUE"""),167.02)</f>
        <v>167.02</v>
      </c>
      <c r="C935" s="9">
        <f>IFERROR(__xludf.DUMMYFUNCTION("""COMPUTED_VALUE"""),171.63)</f>
        <v>171.63</v>
      </c>
      <c r="D935" s="9">
        <f>IFERROR(__xludf.DUMMYFUNCTION("""COMPUTED_VALUE"""),158.27)</f>
        <v>158.27</v>
      </c>
      <c r="E935" s="9">
        <f>IFERROR(__xludf.DUMMYFUNCTION("""COMPUTED_VALUE"""),162.73)</f>
        <v>162.73</v>
      </c>
      <c r="F935" s="9">
        <f>IFERROR(__xludf.DUMMYFUNCTION("""COMPUTED_VALUE"""),2316967.0)</f>
        <v>2316967</v>
      </c>
      <c r="H935" s="27">
        <f>IFERROR(__xludf.DUMMYFUNCTION("""COMPUTED_VALUE"""),39727.645833333336)</f>
        <v>39727.64583</v>
      </c>
      <c r="I935" s="25">
        <f>IFERROR(__xludf.DUMMYFUNCTION("""COMPUTED_VALUE"""),162.81)</f>
        <v>162.81</v>
      </c>
      <c r="J935" s="25">
        <f>IFERROR(__xludf.DUMMYFUNCTION("""COMPUTED_VALUE"""),162.81)</f>
        <v>162.81</v>
      </c>
      <c r="K935" s="25">
        <f>IFERROR(__xludf.DUMMYFUNCTION("""COMPUTED_VALUE"""),150.0)</f>
        <v>150</v>
      </c>
      <c r="L935" s="25">
        <f>IFERROR(__xludf.DUMMYFUNCTION("""COMPUTED_VALUE"""),154.75)</f>
        <v>154.75</v>
      </c>
      <c r="M935" s="25">
        <f>IFERROR(__xludf.DUMMYFUNCTION("""COMPUTED_VALUE"""),1470746.0)</f>
        <v>1470746</v>
      </c>
    </row>
    <row r="936">
      <c r="A936" s="26">
        <f>IFERROR(__xludf.DUMMYFUNCTION("""COMPUTED_VALUE"""),39729.645833333336)</f>
        <v>39729.64583</v>
      </c>
      <c r="B936" s="9">
        <f>IFERROR(__xludf.DUMMYFUNCTION("""COMPUTED_VALUE"""),162.5)</f>
        <v>162.5</v>
      </c>
      <c r="C936" s="9">
        <f>IFERROR(__xludf.DUMMYFUNCTION("""COMPUTED_VALUE"""),162.5)</f>
        <v>162.5</v>
      </c>
      <c r="D936" s="9">
        <f>IFERROR(__xludf.DUMMYFUNCTION("""COMPUTED_VALUE"""),149.03)</f>
        <v>149.03</v>
      </c>
      <c r="E936" s="9">
        <f>IFERROR(__xludf.DUMMYFUNCTION("""COMPUTED_VALUE"""),156.78)</f>
        <v>156.78</v>
      </c>
      <c r="F936" s="9">
        <f>IFERROR(__xludf.DUMMYFUNCTION("""COMPUTED_VALUE"""),2856899.0)</f>
        <v>2856899</v>
      </c>
      <c r="H936" s="27">
        <f>IFERROR(__xludf.DUMMYFUNCTION("""COMPUTED_VALUE"""),39728.645833333336)</f>
        <v>39728.64583</v>
      </c>
      <c r="I936" s="25">
        <f>IFERROR(__xludf.DUMMYFUNCTION("""COMPUTED_VALUE"""),157.79)</f>
        <v>157.79</v>
      </c>
      <c r="J936" s="25">
        <f>IFERROR(__xludf.DUMMYFUNCTION("""COMPUTED_VALUE"""),166.25)</f>
        <v>166.25</v>
      </c>
      <c r="K936" s="25">
        <f>IFERROR(__xludf.DUMMYFUNCTION("""COMPUTED_VALUE"""),141.5)</f>
        <v>141.5</v>
      </c>
      <c r="L936" s="25">
        <f>IFERROR(__xludf.DUMMYFUNCTION("""COMPUTED_VALUE"""),143.98)</f>
        <v>143.98</v>
      </c>
      <c r="M936" s="25">
        <f>IFERROR(__xludf.DUMMYFUNCTION("""COMPUTED_VALUE"""),2221151.0)</f>
        <v>2221151</v>
      </c>
    </row>
    <row r="937">
      <c r="A937" s="26">
        <f>IFERROR(__xludf.DUMMYFUNCTION("""COMPUTED_VALUE"""),39731.645833333336)</f>
        <v>39731.64583</v>
      </c>
      <c r="B937" s="9">
        <f>IFERROR(__xludf.DUMMYFUNCTION("""COMPUTED_VALUE"""),150.0)</f>
        <v>150</v>
      </c>
      <c r="C937" s="9">
        <f>IFERROR(__xludf.DUMMYFUNCTION("""COMPUTED_VALUE"""),160.0)</f>
        <v>160</v>
      </c>
      <c r="D937" s="9">
        <f>IFERROR(__xludf.DUMMYFUNCTION("""COMPUTED_VALUE"""),130.0)</f>
        <v>130</v>
      </c>
      <c r="E937" s="9">
        <f>IFERROR(__xludf.DUMMYFUNCTION("""COMPUTED_VALUE"""),153.15)</f>
        <v>153.15</v>
      </c>
      <c r="F937" s="9">
        <f>IFERROR(__xludf.DUMMYFUNCTION("""COMPUTED_VALUE"""),4656963.0)</f>
        <v>4656963</v>
      </c>
      <c r="H937" s="27">
        <f>IFERROR(__xludf.DUMMYFUNCTION("""COMPUTED_VALUE"""),39729.645833333336)</f>
        <v>39729.64583</v>
      </c>
      <c r="I937" s="25">
        <f>IFERROR(__xludf.DUMMYFUNCTION("""COMPUTED_VALUE"""),138.75)</f>
        <v>138.75</v>
      </c>
      <c r="J937" s="25">
        <f>IFERROR(__xludf.DUMMYFUNCTION("""COMPUTED_VALUE"""),140.74)</f>
        <v>140.74</v>
      </c>
      <c r="K937" s="25">
        <f>IFERROR(__xludf.DUMMYFUNCTION("""COMPUTED_VALUE"""),127.0)</f>
        <v>127</v>
      </c>
      <c r="L937" s="25">
        <f>IFERROR(__xludf.DUMMYFUNCTION("""COMPUTED_VALUE"""),136.65)</f>
        <v>136.65</v>
      </c>
      <c r="M937" s="25">
        <f>IFERROR(__xludf.DUMMYFUNCTION("""COMPUTED_VALUE"""),2075345.0)</f>
        <v>2075345</v>
      </c>
    </row>
    <row r="938">
      <c r="A938" s="26">
        <f>IFERROR(__xludf.DUMMYFUNCTION("""COMPUTED_VALUE"""),39734.645833333336)</f>
        <v>39734.64583</v>
      </c>
      <c r="B938" s="9">
        <f>IFERROR(__xludf.DUMMYFUNCTION("""COMPUTED_VALUE"""),156.25)</f>
        <v>156.25</v>
      </c>
      <c r="C938" s="9">
        <f>IFERROR(__xludf.DUMMYFUNCTION("""COMPUTED_VALUE"""),170.0)</f>
        <v>170</v>
      </c>
      <c r="D938" s="9">
        <f>IFERROR(__xludf.DUMMYFUNCTION("""COMPUTED_VALUE"""),152.5)</f>
        <v>152.5</v>
      </c>
      <c r="E938" s="9">
        <f>IFERROR(__xludf.DUMMYFUNCTION("""COMPUTED_VALUE"""),164.82)</f>
        <v>164.82</v>
      </c>
      <c r="F938" s="9">
        <f>IFERROR(__xludf.DUMMYFUNCTION("""COMPUTED_VALUE"""),2484636.0)</f>
        <v>2484636</v>
      </c>
      <c r="H938" s="27">
        <f>IFERROR(__xludf.DUMMYFUNCTION("""COMPUTED_VALUE"""),39731.645833333336)</f>
        <v>39731.64583</v>
      </c>
      <c r="I938" s="25">
        <f>IFERROR(__xludf.DUMMYFUNCTION("""COMPUTED_VALUE"""),135.0)</f>
        <v>135</v>
      </c>
      <c r="J938" s="25">
        <f>IFERROR(__xludf.DUMMYFUNCTION("""COMPUTED_VALUE"""),137.5)</f>
        <v>137.5</v>
      </c>
      <c r="K938" s="25">
        <f>IFERROR(__xludf.DUMMYFUNCTION("""COMPUTED_VALUE"""),120.1)</f>
        <v>120.1</v>
      </c>
      <c r="L938" s="25">
        <f>IFERROR(__xludf.DUMMYFUNCTION("""COMPUTED_VALUE"""),131.2)</f>
        <v>131.2</v>
      </c>
      <c r="M938" s="25">
        <f>IFERROR(__xludf.DUMMYFUNCTION("""COMPUTED_VALUE"""),3435519.0)</f>
        <v>3435519</v>
      </c>
    </row>
    <row r="939">
      <c r="A939" s="26">
        <f>IFERROR(__xludf.DUMMYFUNCTION("""COMPUTED_VALUE"""),39735.645833333336)</f>
        <v>39735.64583</v>
      </c>
      <c r="B939" s="9">
        <f>IFERROR(__xludf.DUMMYFUNCTION("""COMPUTED_VALUE"""),173.13)</f>
        <v>173.13</v>
      </c>
      <c r="C939" s="9">
        <f>IFERROR(__xludf.DUMMYFUNCTION("""COMPUTED_VALUE"""),176.44)</f>
        <v>176.44</v>
      </c>
      <c r="D939" s="9">
        <f>IFERROR(__xludf.DUMMYFUNCTION("""COMPUTED_VALUE"""),168.75)</f>
        <v>168.75</v>
      </c>
      <c r="E939" s="9">
        <f>IFERROR(__xludf.DUMMYFUNCTION("""COMPUTED_VALUE"""),174.74)</f>
        <v>174.74</v>
      </c>
      <c r="F939" s="9">
        <f>IFERROR(__xludf.DUMMYFUNCTION("""COMPUTED_VALUE"""),1926817.0)</f>
        <v>1926817</v>
      </c>
      <c r="H939" s="27">
        <f>IFERROR(__xludf.DUMMYFUNCTION("""COMPUTED_VALUE"""),39734.645833333336)</f>
        <v>39734.64583</v>
      </c>
      <c r="I939" s="25">
        <f>IFERROR(__xludf.DUMMYFUNCTION("""COMPUTED_VALUE"""),131.99)</f>
        <v>131.99</v>
      </c>
      <c r="J939" s="25">
        <f>IFERROR(__xludf.DUMMYFUNCTION("""COMPUTED_VALUE"""),150.73)</f>
        <v>150.73</v>
      </c>
      <c r="K939" s="25">
        <f>IFERROR(__xludf.DUMMYFUNCTION("""COMPUTED_VALUE"""),131.2)</f>
        <v>131.2</v>
      </c>
      <c r="L939" s="25">
        <f>IFERROR(__xludf.DUMMYFUNCTION("""COMPUTED_VALUE"""),143.21)</f>
        <v>143.21</v>
      </c>
      <c r="M939" s="25">
        <f>IFERROR(__xludf.DUMMYFUNCTION("""COMPUTED_VALUE"""),3466506.0)</f>
        <v>3466506</v>
      </c>
    </row>
    <row r="940">
      <c r="A940" s="26">
        <f>IFERROR(__xludf.DUMMYFUNCTION("""COMPUTED_VALUE"""),39736.645833333336)</f>
        <v>39736.64583</v>
      </c>
      <c r="B940" s="9">
        <f>IFERROR(__xludf.DUMMYFUNCTION("""COMPUTED_VALUE"""),172.5)</f>
        <v>172.5</v>
      </c>
      <c r="C940" s="9">
        <f>IFERROR(__xludf.DUMMYFUNCTION("""COMPUTED_VALUE"""),172.5)</f>
        <v>172.5</v>
      </c>
      <c r="D940" s="9">
        <f>IFERROR(__xludf.DUMMYFUNCTION("""COMPUTED_VALUE"""),163.63)</f>
        <v>163.63</v>
      </c>
      <c r="E940" s="9">
        <f>IFERROR(__xludf.DUMMYFUNCTION("""COMPUTED_VALUE"""),166.93)</f>
        <v>166.93</v>
      </c>
      <c r="F940" s="9">
        <f>IFERROR(__xludf.DUMMYFUNCTION("""COMPUTED_VALUE"""),1570565.0)</f>
        <v>1570565</v>
      </c>
      <c r="H940" s="27">
        <f>IFERROR(__xludf.DUMMYFUNCTION("""COMPUTED_VALUE"""),39735.645833333336)</f>
        <v>39735.64583</v>
      </c>
      <c r="I940" s="25">
        <f>IFERROR(__xludf.DUMMYFUNCTION("""COMPUTED_VALUE"""),149.75)</f>
        <v>149.75</v>
      </c>
      <c r="J940" s="25">
        <f>IFERROR(__xludf.DUMMYFUNCTION("""COMPUTED_VALUE"""),154.85)</f>
        <v>154.85</v>
      </c>
      <c r="K940" s="25">
        <f>IFERROR(__xludf.DUMMYFUNCTION("""COMPUTED_VALUE"""),145.34)</f>
        <v>145.34</v>
      </c>
      <c r="L940" s="25">
        <f>IFERROR(__xludf.DUMMYFUNCTION("""COMPUTED_VALUE"""),148.18)</f>
        <v>148.18</v>
      </c>
      <c r="M940" s="25">
        <f>IFERROR(__xludf.DUMMYFUNCTION("""COMPUTED_VALUE"""),1856156.0)</f>
        <v>1856156</v>
      </c>
    </row>
    <row r="941">
      <c r="A941" s="26">
        <f>IFERROR(__xludf.DUMMYFUNCTION("""COMPUTED_VALUE"""),39737.645833333336)</f>
        <v>39737.64583</v>
      </c>
      <c r="B941" s="9">
        <f>IFERROR(__xludf.DUMMYFUNCTION("""COMPUTED_VALUE"""),162.5)</f>
        <v>162.5</v>
      </c>
      <c r="C941" s="9">
        <f>IFERROR(__xludf.DUMMYFUNCTION("""COMPUTED_VALUE"""),162.5)</f>
        <v>162.5</v>
      </c>
      <c r="D941" s="9">
        <f>IFERROR(__xludf.DUMMYFUNCTION("""COMPUTED_VALUE"""),150.4)</f>
        <v>150.4</v>
      </c>
      <c r="E941" s="9">
        <f>IFERROR(__xludf.DUMMYFUNCTION("""COMPUTED_VALUE"""),157.88)</f>
        <v>157.88</v>
      </c>
      <c r="F941" s="9">
        <f>IFERROR(__xludf.DUMMYFUNCTION("""COMPUTED_VALUE"""),1675009.0)</f>
        <v>1675009</v>
      </c>
      <c r="H941" s="27">
        <f>IFERROR(__xludf.DUMMYFUNCTION("""COMPUTED_VALUE"""),39736.645833333336)</f>
        <v>39736.64583</v>
      </c>
      <c r="I941" s="25">
        <f>IFERROR(__xludf.DUMMYFUNCTION("""COMPUTED_VALUE"""),146.25)</f>
        <v>146.25</v>
      </c>
      <c r="J941" s="25">
        <f>IFERROR(__xludf.DUMMYFUNCTION("""COMPUTED_VALUE"""),147.16)</f>
        <v>147.16</v>
      </c>
      <c r="K941" s="25">
        <f>IFERROR(__xludf.DUMMYFUNCTION("""COMPUTED_VALUE"""),133.82)</f>
        <v>133.82</v>
      </c>
      <c r="L941" s="25">
        <f>IFERROR(__xludf.DUMMYFUNCTION("""COMPUTED_VALUE"""),135.78)</f>
        <v>135.78</v>
      </c>
      <c r="M941" s="25">
        <f>IFERROR(__xludf.DUMMYFUNCTION("""COMPUTED_VALUE"""),1327188.0)</f>
        <v>1327188</v>
      </c>
    </row>
    <row r="942">
      <c r="A942" s="26">
        <f>IFERROR(__xludf.DUMMYFUNCTION("""COMPUTED_VALUE"""),39738.645833333336)</f>
        <v>39738.64583</v>
      </c>
      <c r="B942" s="9">
        <f>IFERROR(__xludf.DUMMYFUNCTION("""COMPUTED_VALUE"""),159.38)</f>
        <v>159.38</v>
      </c>
      <c r="C942" s="9">
        <f>IFERROR(__xludf.DUMMYFUNCTION("""COMPUTED_VALUE"""),163.63)</f>
        <v>163.63</v>
      </c>
      <c r="D942" s="9">
        <f>IFERROR(__xludf.DUMMYFUNCTION("""COMPUTED_VALUE"""),148.78)</f>
        <v>148.78</v>
      </c>
      <c r="E942" s="9">
        <f>IFERROR(__xludf.DUMMYFUNCTION("""COMPUTED_VALUE"""),150.34)</f>
        <v>150.34</v>
      </c>
      <c r="F942" s="9">
        <f>IFERROR(__xludf.DUMMYFUNCTION("""COMPUTED_VALUE"""),1520078.0)</f>
        <v>1520078</v>
      </c>
      <c r="H942" s="27">
        <f>IFERROR(__xludf.DUMMYFUNCTION("""COMPUTED_VALUE"""),39737.645833333336)</f>
        <v>39737.64583</v>
      </c>
      <c r="I942" s="25">
        <f>IFERROR(__xludf.DUMMYFUNCTION("""COMPUTED_VALUE"""),131.25)</f>
        <v>131.25</v>
      </c>
      <c r="J942" s="25">
        <f>IFERROR(__xludf.DUMMYFUNCTION("""COMPUTED_VALUE"""),132.18)</f>
        <v>132.18</v>
      </c>
      <c r="K942" s="25">
        <f>IFERROR(__xludf.DUMMYFUNCTION("""COMPUTED_VALUE"""),116.98)</f>
        <v>116.98</v>
      </c>
      <c r="L942" s="25">
        <f>IFERROR(__xludf.DUMMYFUNCTION("""COMPUTED_VALUE"""),123.75)</f>
        <v>123.75</v>
      </c>
      <c r="M942" s="25">
        <f>IFERROR(__xludf.DUMMYFUNCTION("""COMPUTED_VALUE"""),2007950.0)</f>
        <v>2007950</v>
      </c>
    </row>
    <row r="943">
      <c r="A943" s="26">
        <f>IFERROR(__xludf.DUMMYFUNCTION("""COMPUTED_VALUE"""),39741.645833333336)</f>
        <v>39741.64583</v>
      </c>
      <c r="B943" s="9">
        <f>IFERROR(__xludf.DUMMYFUNCTION("""COMPUTED_VALUE"""),155.0)</f>
        <v>155</v>
      </c>
      <c r="C943" s="9">
        <f>IFERROR(__xludf.DUMMYFUNCTION("""COMPUTED_VALUE"""),163.87)</f>
        <v>163.87</v>
      </c>
      <c r="D943" s="9">
        <f>IFERROR(__xludf.DUMMYFUNCTION("""COMPUTED_VALUE"""),152.63)</f>
        <v>152.63</v>
      </c>
      <c r="E943" s="9">
        <f>IFERROR(__xludf.DUMMYFUNCTION("""COMPUTED_VALUE"""),161.82)</f>
        <v>161.82</v>
      </c>
      <c r="F943" s="9">
        <f>IFERROR(__xludf.DUMMYFUNCTION("""COMPUTED_VALUE"""),1462423.0)</f>
        <v>1462423</v>
      </c>
      <c r="H943" s="27">
        <f>IFERROR(__xludf.DUMMYFUNCTION("""COMPUTED_VALUE"""),39738.645833333336)</f>
        <v>39738.64583</v>
      </c>
      <c r="I943" s="25">
        <f>IFERROR(__xludf.DUMMYFUNCTION("""COMPUTED_VALUE"""),125.0)</f>
        <v>125</v>
      </c>
      <c r="J943" s="25">
        <f>IFERROR(__xludf.DUMMYFUNCTION("""COMPUTED_VALUE"""),132.25)</f>
        <v>132.25</v>
      </c>
      <c r="K943" s="25">
        <f>IFERROR(__xludf.DUMMYFUNCTION("""COMPUTED_VALUE"""),111.25)</f>
        <v>111.25</v>
      </c>
      <c r="L943" s="25">
        <f>IFERROR(__xludf.DUMMYFUNCTION("""COMPUTED_VALUE"""),113.46)</f>
        <v>113.46</v>
      </c>
      <c r="M943" s="25">
        <f>IFERROR(__xludf.DUMMYFUNCTION("""COMPUTED_VALUE"""),2435885.0)</f>
        <v>2435885</v>
      </c>
    </row>
    <row r="944">
      <c r="A944" s="26">
        <f>IFERROR(__xludf.DUMMYFUNCTION("""COMPUTED_VALUE"""),39742.645833333336)</f>
        <v>39742.64583</v>
      </c>
      <c r="B944" s="9">
        <f>IFERROR(__xludf.DUMMYFUNCTION("""COMPUTED_VALUE"""),165.0)</f>
        <v>165</v>
      </c>
      <c r="C944" s="9">
        <f>IFERROR(__xludf.DUMMYFUNCTION("""COMPUTED_VALUE"""),174.25)</f>
        <v>174.25</v>
      </c>
      <c r="D944" s="9">
        <f>IFERROR(__xludf.DUMMYFUNCTION("""COMPUTED_VALUE"""),162.88)</f>
        <v>162.88</v>
      </c>
      <c r="E944" s="9">
        <f>IFERROR(__xludf.DUMMYFUNCTION("""COMPUTED_VALUE"""),168.45)</f>
        <v>168.45</v>
      </c>
      <c r="F944" s="9">
        <f>IFERROR(__xludf.DUMMYFUNCTION("""COMPUTED_VALUE"""),2280066.0)</f>
        <v>2280066</v>
      </c>
      <c r="H944" s="27">
        <f>IFERROR(__xludf.DUMMYFUNCTION("""COMPUTED_VALUE"""),39741.645833333336)</f>
        <v>39741.64583</v>
      </c>
      <c r="I944" s="25">
        <f>IFERROR(__xludf.DUMMYFUNCTION("""COMPUTED_VALUE"""),124.16)</f>
        <v>124.16</v>
      </c>
      <c r="J944" s="25">
        <f>IFERROR(__xludf.DUMMYFUNCTION("""COMPUTED_VALUE"""),126.25)</f>
        <v>126.25</v>
      </c>
      <c r="K944" s="25">
        <f>IFERROR(__xludf.DUMMYFUNCTION("""COMPUTED_VALUE"""),113.81)</f>
        <v>113.81</v>
      </c>
      <c r="L944" s="25">
        <f>IFERROR(__xludf.DUMMYFUNCTION("""COMPUTED_VALUE"""),122.84)</f>
        <v>122.84</v>
      </c>
      <c r="M944" s="25">
        <f>IFERROR(__xludf.DUMMYFUNCTION("""COMPUTED_VALUE"""),3103265.0)</f>
        <v>3103265</v>
      </c>
    </row>
    <row r="945">
      <c r="A945" s="26">
        <f>IFERROR(__xludf.DUMMYFUNCTION("""COMPUTED_VALUE"""),39743.645833333336)</f>
        <v>39743.64583</v>
      </c>
      <c r="B945" s="9">
        <f>IFERROR(__xludf.DUMMYFUNCTION("""COMPUTED_VALUE"""),165.25)</f>
        <v>165.25</v>
      </c>
      <c r="C945" s="9">
        <f>IFERROR(__xludf.DUMMYFUNCTION("""COMPUTED_VALUE"""),166.16)</f>
        <v>166.16</v>
      </c>
      <c r="D945" s="9">
        <f>IFERROR(__xludf.DUMMYFUNCTION("""COMPUTED_VALUE"""),160.32)</f>
        <v>160.32</v>
      </c>
      <c r="E945" s="9">
        <f>IFERROR(__xludf.DUMMYFUNCTION("""COMPUTED_VALUE"""),162.44)</f>
        <v>162.44</v>
      </c>
      <c r="F945" s="9">
        <f>IFERROR(__xludf.DUMMYFUNCTION("""COMPUTED_VALUE"""),1877619.0)</f>
        <v>1877619</v>
      </c>
      <c r="H945" s="27">
        <f>IFERROR(__xludf.DUMMYFUNCTION("""COMPUTED_VALUE"""),39742.645833333336)</f>
        <v>39742.64583</v>
      </c>
      <c r="I945" s="25">
        <f>IFERROR(__xludf.DUMMYFUNCTION("""COMPUTED_VALUE"""),134.6)</f>
        <v>134.6</v>
      </c>
      <c r="J945" s="25">
        <f>IFERROR(__xludf.DUMMYFUNCTION("""COMPUTED_VALUE"""),141.98)</f>
        <v>141.98</v>
      </c>
      <c r="K945" s="25">
        <f>IFERROR(__xludf.DUMMYFUNCTION("""COMPUTED_VALUE"""),123.34)</f>
        <v>123.34</v>
      </c>
      <c r="L945" s="25">
        <f>IFERROR(__xludf.DUMMYFUNCTION("""COMPUTED_VALUE"""),139.78)</f>
        <v>139.78</v>
      </c>
      <c r="M945" s="25">
        <f>IFERROR(__xludf.DUMMYFUNCTION("""COMPUTED_VALUE"""),2951225.0)</f>
        <v>2951225</v>
      </c>
    </row>
    <row r="946">
      <c r="A946" s="26">
        <f>IFERROR(__xludf.DUMMYFUNCTION("""COMPUTED_VALUE"""),39744.645833333336)</f>
        <v>39744.64583</v>
      </c>
      <c r="B946" s="9">
        <f>IFERROR(__xludf.DUMMYFUNCTION("""COMPUTED_VALUE"""),159.88)</f>
        <v>159.88</v>
      </c>
      <c r="C946" s="9">
        <f>IFERROR(__xludf.DUMMYFUNCTION("""COMPUTED_VALUE"""),169.8)</f>
        <v>169.8</v>
      </c>
      <c r="D946" s="9">
        <f>IFERROR(__xludf.DUMMYFUNCTION("""COMPUTED_VALUE"""),154.46)</f>
        <v>154.46</v>
      </c>
      <c r="E946" s="9">
        <f>IFERROR(__xludf.DUMMYFUNCTION("""COMPUTED_VALUE"""),160.41)</f>
        <v>160.41</v>
      </c>
      <c r="F946" s="9">
        <f>IFERROR(__xludf.DUMMYFUNCTION("""COMPUTED_VALUE"""),2544895.0)</f>
        <v>2544895</v>
      </c>
      <c r="H946" s="27">
        <f>IFERROR(__xludf.DUMMYFUNCTION("""COMPUTED_VALUE"""),39743.645833333336)</f>
        <v>39743.64583</v>
      </c>
      <c r="I946" s="25">
        <f>IFERROR(__xludf.DUMMYFUNCTION("""COMPUTED_VALUE"""),138.75)</f>
        <v>138.75</v>
      </c>
      <c r="J946" s="25">
        <f>IFERROR(__xludf.DUMMYFUNCTION("""COMPUTED_VALUE"""),138.75)</f>
        <v>138.75</v>
      </c>
      <c r="K946" s="25">
        <f>IFERROR(__xludf.DUMMYFUNCTION("""COMPUTED_VALUE"""),127.78)</f>
        <v>127.78</v>
      </c>
      <c r="L946" s="25">
        <f>IFERROR(__xludf.DUMMYFUNCTION("""COMPUTED_VALUE"""),136.66)</f>
        <v>136.66</v>
      </c>
      <c r="M946" s="25">
        <f>IFERROR(__xludf.DUMMYFUNCTION("""COMPUTED_VALUE"""),1505167.0)</f>
        <v>1505167</v>
      </c>
    </row>
    <row r="947">
      <c r="A947" s="26">
        <f>IFERROR(__xludf.DUMMYFUNCTION("""COMPUTED_VALUE"""),39745.645833333336)</f>
        <v>39745.64583</v>
      </c>
      <c r="B947" s="9">
        <f>IFERROR(__xludf.DUMMYFUNCTION("""COMPUTED_VALUE"""),156.16)</f>
        <v>156.16</v>
      </c>
      <c r="C947" s="9">
        <f>IFERROR(__xludf.DUMMYFUNCTION("""COMPUTED_VALUE"""),162.5)</f>
        <v>162.5</v>
      </c>
      <c r="D947" s="9">
        <f>IFERROR(__xludf.DUMMYFUNCTION("""COMPUTED_VALUE"""),150.0)</f>
        <v>150</v>
      </c>
      <c r="E947" s="9">
        <f>IFERROR(__xludf.DUMMYFUNCTION("""COMPUTED_VALUE"""),155.76)</f>
        <v>155.76</v>
      </c>
      <c r="F947" s="9">
        <f>IFERROR(__xludf.DUMMYFUNCTION("""COMPUTED_VALUE"""),2335466.0)</f>
        <v>2335466</v>
      </c>
      <c r="H947" s="27">
        <f>IFERROR(__xludf.DUMMYFUNCTION("""COMPUTED_VALUE"""),39744.645833333336)</f>
        <v>39744.64583</v>
      </c>
      <c r="I947" s="25">
        <f>IFERROR(__xludf.DUMMYFUNCTION("""COMPUTED_VALUE"""),131.16)</f>
        <v>131.16</v>
      </c>
      <c r="J947" s="25">
        <f>IFERROR(__xludf.DUMMYFUNCTION("""COMPUTED_VALUE"""),147.0)</f>
        <v>147</v>
      </c>
      <c r="K947" s="25">
        <f>IFERROR(__xludf.DUMMYFUNCTION("""COMPUTED_VALUE"""),125.31)</f>
        <v>125.31</v>
      </c>
      <c r="L947" s="25">
        <f>IFERROR(__xludf.DUMMYFUNCTION("""COMPUTED_VALUE"""),136.82)</f>
        <v>136.82</v>
      </c>
      <c r="M947" s="25">
        <f>IFERROR(__xludf.DUMMYFUNCTION("""COMPUTED_VALUE"""),2625254.0)</f>
        <v>2625254</v>
      </c>
    </row>
    <row r="948">
      <c r="A948" s="26">
        <f>IFERROR(__xludf.DUMMYFUNCTION("""COMPUTED_VALUE"""),39748.645833333336)</f>
        <v>39748.64583</v>
      </c>
      <c r="B948" s="9">
        <f>IFERROR(__xludf.DUMMYFUNCTION("""COMPUTED_VALUE"""),153.75)</f>
        <v>153.75</v>
      </c>
      <c r="C948" s="9">
        <f>IFERROR(__xludf.DUMMYFUNCTION("""COMPUTED_VALUE"""),161.25)</f>
        <v>161.25</v>
      </c>
      <c r="D948" s="9">
        <f>IFERROR(__xludf.DUMMYFUNCTION("""COMPUTED_VALUE"""),145.0)</f>
        <v>145</v>
      </c>
      <c r="E948" s="9">
        <f>IFERROR(__xludf.DUMMYFUNCTION("""COMPUTED_VALUE"""),156.48)</f>
        <v>156.48</v>
      </c>
      <c r="F948" s="9">
        <f>IFERROR(__xludf.DUMMYFUNCTION("""COMPUTED_VALUE"""),2501139.0)</f>
        <v>2501139</v>
      </c>
      <c r="H948" s="27">
        <f>IFERROR(__xludf.DUMMYFUNCTION("""COMPUTED_VALUE"""),39745.645833333336)</f>
        <v>39745.64583</v>
      </c>
      <c r="I948" s="25">
        <f>IFERROR(__xludf.DUMMYFUNCTION("""COMPUTED_VALUE"""),125.93)</f>
        <v>125.93</v>
      </c>
      <c r="J948" s="25">
        <f>IFERROR(__xludf.DUMMYFUNCTION("""COMPUTED_VALUE"""),134.1)</f>
        <v>134.1</v>
      </c>
      <c r="K948" s="25">
        <f>IFERROR(__xludf.DUMMYFUNCTION("""COMPUTED_VALUE"""),110.0)</f>
        <v>110</v>
      </c>
      <c r="L948" s="25">
        <f>IFERROR(__xludf.DUMMYFUNCTION("""COMPUTED_VALUE"""),124.71)</f>
        <v>124.71</v>
      </c>
      <c r="M948" s="25">
        <f>IFERROR(__xludf.DUMMYFUNCTION("""COMPUTED_VALUE"""),2119984.0)</f>
        <v>2119984</v>
      </c>
    </row>
    <row r="949">
      <c r="A949" s="26">
        <f>IFERROR(__xludf.DUMMYFUNCTION("""COMPUTED_VALUE"""),39750.645833333336)</f>
        <v>39750.64583</v>
      </c>
      <c r="B949" s="9">
        <f>IFERROR(__xludf.DUMMYFUNCTION("""COMPUTED_VALUE"""),165.67)</f>
        <v>165.67</v>
      </c>
      <c r="C949" s="9">
        <f>IFERROR(__xludf.DUMMYFUNCTION("""COMPUTED_VALUE"""),168.75)</f>
        <v>168.75</v>
      </c>
      <c r="D949" s="9">
        <f>IFERROR(__xludf.DUMMYFUNCTION("""COMPUTED_VALUE"""),160.0)</f>
        <v>160</v>
      </c>
      <c r="E949" s="9">
        <f>IFERROR(__xludf.DUMMYFUNCTION("""COMPUTED_VALUE"""),163.04)</f>
        <v>163.04</v>
      </c>
      <c r="F949" s="9">
        <f>IFERROR(__xludf.DUMMYFUNCTION("""COMPUTED_VALUE"""),3112257.0)</f>
        <v>3112257</v>
      </c>
      <c r="H949" s="27">
        <f>IFERROR(__xludf.DUMMYFUNCTION("""COMPUTED_VALUE"""),39748.645833333336)</f>
        <v>39748.64583</v>
      </c>
      <c r="I949" s="25">
        <f>IFERROR(__xludf.DUMMYFUNCTION("""COMPUTED_VALUE"""),120.25)</f>
        <v>120.25</v>
      </c>
      <c r="J949" s="25">
        <f>IFERROR(__xludf.DUMMYFUNCTION("""COMPUTED_VALUE"""),129.5)</f>
        <v>129.5</v>
      </c>
      <c r="K949" s="25">
        <f>IFERROR(__xludf.DUMMYFUNCTION("""COMPUTED_VALUE"""),103.84)</f>
        <v>103.84</v>
      </c>
      <c r="L949" s="25">
        <f>IFERROR(__xludf.DUMMYFUNCTION("""COMPUTED_VALUE"""),124.19)</f>
        <v>124.19</v>
      </c>
      <c r="M949" s="25">
        <f>IFERROR(__xludf.DUMMYFUNCTION("""COMPUTED_VALUE"""),2243144.0)</f>
        <v>2243144</v>
      </c>
    </row>
    <row r="950">
      <c r="A950" s="26">
        <f>IFERROR(__xludf.DUMMYFUNCTION("""COMPUTED_VALUE"""),39752.645833333336)</f>
        <v>39752.64583</v>
      </c>
      <c r="B950" s="9">
        <f>IFERROR(__xludf.DUMMYFUNCTION("""COMPUTED_VALUE"""),166.87)</f>
        <v>166.87</v>
      </c>
      <c r="C950" s="9">
        <f>IFERROR(__xludf.DUMMYFUNCTION("""COMPUTED_VALUE"""),179.99)</f>
        <v>179.99</v>
      </c>
      <c r="D950" s="9">
        <f>IFERROR(__xludf.DUMMYFUNCTION("""COMPUTED_VALUE"""),166.87)</f>
        <v>166.87</v>
      </c>
      <c r="E950" s="9">
        <f>IFERROR(__xludf.DUMMYFUNCTION("""COMPUTED_VALUE"""),173.62)</f>
        <v>173.62</v>
      </c>
      <c r="F950" s="9">
        <f>IFERROR(__xludf.DUMMYFUNCTION("""COMPUTED_VALUE"""),3885618.0)</f>
        <v>3885618</v>
      </c>
      <c r="H950" s="27">
        <f>IFERROR(__xludf.DUMMYFUNCTION("""COMPUTED_VALUE"""),39750.645833333336)</f>
        <v>39750.64583</v>
      </c>
      <c r="I950" s="25">
        <f>IFERROR(__xludf.DUMMYFUNCTION("""COMPUTED_VALUE"""),140.5)</f>
        <v>140.5</v>
      </c>
      <c r="J950" s="25">
        <f>IFERROR(__xludf.DUMMYFUNCTION("""COMPUTED_VALUE"""),143.75)</f>
        <v>143.75</v>
      </c>
      <c r="K950" s="25">
        <f>IFERROR(__xludf.DUMMYFUNCTION("""COMPUTED_VALUE"""),132.56)</f>
        <v>132.56</v>
      </c>
      <c r="L950" s="25">
        <f>IFERROR(__xludf.DUMMYFUNCTION("""COMPUTED_VALUE"""),135.2)</f>
        <v>135.2</v>
      </c>
      <c r="M950" s="25">
        <f>IFERROR(__xludf.DUMMYFUNCTION("""COMPUTED_VALUE"""),2738893.0)</f>
        <v>2738893</v>
      </c>
    </row>
    <row r="951">
      <c r="A951" s="26">
        <f>IFERROR(__xludf.DUMMYFUNCTION("""COMPUTED_VALUE"""),39755.645833333336)</f>
        <v>39755.64583</v>
      </c>
      <c r="B951" s="9">
        <f>IFERROR(__xludf.DUMMYFUNCTION("""COMPUTED_VALUE"""),175.14)</f>
        <v>175.14</v>
      </c>
      <c r="C951" s="9">
        <f>IFERROR(__xludf.DUMMYFUNCTION("""COMPUTED_VALUE"""),180.88)</f>
        <v>180.88</v>
      </c>
      <c r="D951" s="9">
        <f>IFERROR(__xludf.DUMMYFUNCTION("""COMPUTED_VALUE"""),168.81)</f>
        <v>168.81</v>
      </c>
      <c r="E951" s="9">
        <f>IFERROR(__xludf.DUMMYFUNCTION("""COMPUTED_VALUE"""),172.33)</f>
        <v>172.33</v>
      </c>
      <c r="F951" s="9">
        <f>IFERROR(__xludf.DUMMYFUNCTION("""COMPUTED_VALUE"""),2282784.0)</f>
        <v>2282784</v>
      </c>
      <c r="H951" s="27">
        <f>IFERROR(__xludf.DUMMYFUNCTION("""COMPUTED_VALUE"""),39752.645833333336)</f>
        <v>39752.64583</v>
      </c>
      <c r="I951" s="25">
        <f>IFERROR(__xludf.DUMMYFUNCTION("""COMPUTED_VALUE"""),142.25)</f>
        <v>142.25</v>
      </c>
      <c r="J951" s="25">
        <f>IFERROR(__xludf.DUMMYFUNCTION("""COMPUTED_VALUE"""),148.75)</f>
        <v>148.75</v>
      </c>
      <c r="K951" s="25">
        <f>IFERROR(__xludf.DUMMYFUNCTION("""COMPUTED_VALUE"""),132.44)</f>
        <v>132.44</v>
      </c>
      <c r="L951" s="25">
        <f>IFERROR(__xludf.DUMMYFUNCTION("""COMPUTED_VALUE"""),134.38)</f>
        <v>134.38</v>
      </c>
      <c r="M951" s="25">
        <f>IFERROR(__xludf.DUMMYFUNCTION("""COMPUTED_VALUE"""),2593995.0)</f>
        <v>2593995</v>
      </c>
    </row>
    <row r="952">
      <c r="A952" s="26">
        <f>IFERROR(__xludf.DUMMYFUNCTION("""COMPUTED_VALUE"""),39756.645833333336)</f>
        <v>39756.64583</v>
      </c>
      <c r="B952" s="9">
        <f>IFERROR(__xludf.DUMMYFUNCTION("""COMPUTED_VALUE"""),168.75)</f>
        <v>168.75</v>
      </c>
      <c r="C952" s="9">
        <f>IFERROR(__xludf.DUMMYFUNCTION("""COMPUTED_VALUE"""),172.24)</f>
        <v>172.24</v>
      </c>
      <c r="D952" s="9">
        <f>IFERROR(__xludf.DUMMYFUNCTION("""COMPUTED_VALUE"""),160.63)</f>
        <v>160.63</v>
      </c>
      <c r="E952" s="9">
        <f>IFERROR(__xludf.DUMMYFUNCTION("""COMPUTED_VALUE"""),166.49)</f>
        <v>166.49</v>
      </c>
      <c r="F952" s="9">
        <f>IFERROR(__xludf.DUMMYFUNCTION("""COMPUTED_VALUE"""),2780463.0)</f>
        <v>2780463</v>
      </c>
      <c r="H952" s="27">
        <f>IFERROR(__xludf.DUMMYFUNCTION("""COMPUTED_VALUE"""),39755.645833333336)</f>
        <v>39755.64583</v>
      </c>
      <c r="I952" s="25">
        <f>IFERROR(__xludf.DUMMYFUNCTION("""COMPUTED_VALUE"""),139.99)</f>
        <v>139.99</v>
      </c>
      <c r="J952" s="25">
        <f>IFERROR(__xludf.DUMMYFUNCTION("""COMPUTED_VALUE"""),145.75)</f>
        <v>145.75</v>
      </c>
      <c r="K952" s="25">
        <f>IFERROR(__xludf.DUMMYFUNCTION("""COMPUTED_VALUE"""),131.76)</f>
        <v>131.76</v>
      </c>
      <c r="L952" s="25">
        <f>IFERROR(__xludf.DUMMYFUNCTION("""COMPUTED_VALUE"""),136.85)</f>
        <v>136.85</v>
      </c>
      <c r="M952" s="25">
        <f>IFERROR(__xludf.DUMMYFUNCTION("""COMPUTED_VALUE"""),1883005.0)</f>
        <v>1883005</v>
      </c>
    </row>
    <row r="953">
      <c r="A953" s="26">
        <f>IFERROR(__xludf.DUMMYFUNCTION("""COMPUTED_VALUE"""),39757.645833333336)</f>
        <v>39757.64583</v>
      </c>
      <c r="B953" s="9">
        <f>IFERROR(__xludf.DUMMYFUNCTION("""COMPUTED_VALUE"""),168.63)</f>
        <v>168.63</v>
      </c>
      <c r="C953" s="9">
        <f>IFERROR(__xludf.DUMMYFUNCTION("""COMPUTED_VALUE"""),174.38)</f>
        <v>174.38</v>
      </c>
      <c r="D953" s="9">
        <f>IFERROR(__xludf.DUMMYFUNCTION("""COMPUTED_VALUE"""),162.89)</f>
        <v>162.89</v>
      </c>
      <c r="E953" s="9">
        <f>IFERROR(__xludf.DUMMYFUNCTION("""COMPUTED_VALUE"""),165.25)</f>
        <v>165.25</v>
      </c>
      <c r="F953" s="9">
        <f>IFERROR(__xludf.DUMMYFUNCTION("""COMPUTED_VALUE"""),2162760.0)</f>
        <v>2162760</v>
      </c>
      <c r="H953" s="27">
        <f>IFERROR(__xludf.DUMMYFUNCTION("""COMPUTED_VALUE"""),39756.645833333336)</f>
        <v>39756.64583</v>
      </c>
      <c r="I953" s="25">
        <f>IFERROR(__xludf.DUMMYFUNCTION("""COMPUTED_VALUE"""),149.15)</f>
        <v>149.15</v>
      </c>
      <c r="J953" s="25">
        <f>IFERROR(__xludf.DUMMYFUNCTION("""COMPUTED_VALUE"""),149.15)</f>
        <v>149.15</v>
      </c>
      <c r="K953" s="25">
        <f>IFERROR(__xludf.DUMMYFUNCTION("""COMPUTED_VALUE"""),122.5)</f>
        <v>122.5</v>
      </c>
      <c r="L953" s="25">
        <f>IFERROR(__xludf.DUMMYFUNCTION("""COMPUTED_VALUE"""),127.13)</f>
        <v>127.13</v>
      </c>
      <c r="M953" s="25">
        <f>IFERROR(__xludf.DUMMYFUNCTION("""COMPUTED_VALUE"""),2355635.0)</f>
        <v>2355635</v>
      </c>
    </row>
    <row r="954">
      <c r="A954" s="26">
        <f>IFERROR(__xludf.DUMMYFUNCTION("""COMPUTED_VALUE"""),39758.645833333336)</f>
        <v>39758.64583</v>
      </c>
      <c r="B954" s="9">
        <f>IFERROR(__xludf.DUMMYFUNCTION("""COMPUTED_VALUE"""),161.88)</f>
        <v>161.88</v>
      </c>
      <c r="C954" s="9">
        <f>IFERROR(__xludf.DUMMYFUNCTION("""COMPUTED_VALUE"""),164.75)</f>
        <v>164.75</v>
      </c>
      <c r="D954" s="9">
        <f>IFERROR(__xludf.DUMMYFUNCTION("""COMPUTED_VALUE"""),153.76)</f>
        <v>153.76</v>
      </c>
      <c r="E954" s="9">
        <f>IFERROR(__xludf.DUMMYFUNCTION("""COMPUTED_VALUE"""),155.71)</f>
        <v>155.71</v>
      </c>
      <c r="F954" s="9">
        <f>IFERROR(__xludf.DUMMYFUNCTION("""COMPUTED_VALUE"""),1681657.0)</f>
        <v>1681657</v>
      </c>
      <c r="H954" s="27">
        <f>IFERROR(__xludf.DUMMYFUNCTION("""COMPUTED_VALUE"""),39757.645833333336)</f>
        <v>39757.64583</v>
      </c>
      <c r="I954" s="25">
        <f>IFERROR(__xludf.DUMMYFUNCTION("""COMPUTED_VALUE"""),128.75)</f>
        <v>128.75</v>
      </c>
      <c r="J954" s="25">
        <f>IFERROR(__xludf.DUMMYFUNCTION("""COMPUTED_VALUE"""),137.23)</f>
        <v>137.23</v>
      </c>
      <c r="K954" s="25">
        <f>IFERROR(__xludf.DUMMYFUNCTION("""COMPUTED_VALUE"""),125.0)</f>
        <v>125</v>
      </c>
      <c r="L954" s="25">
        <f>IFERROR(__xludf.DUMMYFUNCTION("""COMPUTED_VALUE"""),126.6)</f>
        <v>126.6</v>
      </c>
      <c r="M954" s="25">
        <f>IFERROR(__xludf.DUMMYFUNCTION("""COMPUTED_VALUE"""),2308291.0)</f>
        <v>2308291</v>
      </c>
    </row>
    <row r="955">
      <c r="A955" s="26">
        <f>IFERROR(__xludf.DUMMYFUNCTION("""COMPUTED_VALUE"""),39759.645833333336)</f>
        <v>39759.64583</v>
      </c>
      <c r="B955" s="9">
        <f>IFERROR(__xludf.DUMMYFUNCTION("""COMPUTED_VALUE"""),154.38)</f>
        <v>154.38</v>
      </c>
      <c r="C955" s="9">
        <f>IFERROR(__xludf.DUMMYFUNCTION("""COMPUTED_VALUE"""),161.25)</f>
        <v>161.25</v>
      </c>
      <c r="D955" s="9">
        <f>IFERROR(__xludf.DUMMYFUNCTION("""COMPUTED_VALUE"""),150.27)</f>
        <v>150.27</v>
      </c>
      <c r="E955" s="9">
        <f>IFERROR(__xludf.DUMMYFUNCTION("""COMPUTED_VALUE"""),157.85)</f>
        <v>157.85</v>
      </c>
      <c r="F955" s="9">
        <f>IFERROR(__xludf.DUMMYFUNCTION("""COMPUTED_VALUE"""),1263657.0)</f>
        <v>1263657</v>
      </c>
      <c r="H955" s="27">
        <f>IFERROR(__xludf.DUMMYFUNCTION("""COMPUTED_VALUE"""),39758.645833333336)</f>
        <v>39758.64583</v>
      </c>
      <c r="I955" s="25">
        <f>IFERROR(__xludf.DUMMYFUNCTION("""COMPUTED_VALUE"""),132.13)</f>
        <v>132.13</v>
      </c>
      <c r="J955" s="25">
        <f>IFERROR(__xludf.DUMMYFUNCTION("""COMPUTED_VALUE"""),132.13)</f>
        <v>132.13</v>
      </c>
      <c r="K955" s="25">
        <f>IFERROR(__xludf.DUMMYFUNCTION("""COMPUTED_VALUE"""),120.53)</f>
        <v>120.53</v>
      </c>
      <c r="L955" s="25">
        <f>IFERROR(__xludf.DUMMYFUNCTION("""COMPUTED_VALUE"""),125.05)</f>
        <v>125.05</v>
      </c>
      <c r="M955" s="25">
        <f>IFERROR(__xludf.DUMMYFUNCTION("""COMPUTED_VALUE"""),1965479.0)</f>
        <v>1965479</v>
      </c>
    </row>
    <row r="956">
      <c r="A956" s="26">
        <f>IFERROR(__xludf.DUMMYFUNCTION("""COMPUTED_VALUE"""),39762.645833333336)</f>
        <v>39762.64583</v>
      </c>
      <c r="B956" s="9">
        <f>IFERROR(__xludf.DUMMYFUNCTION("""COMPUTED_VALUE"""),160.63)</f>
        <v>160.63</v>
      </c>
      <c r="C956" s="9">
        <f>IFERROR(__xludf.DUMMYFUNCTION("""COMPUTED_VALUE"""),169.36)</f>
        <v>169.36</v>
      </c>
      <c r="D956" s="9">
        <f>IFERROR(__xludf.DUMMYFUNCTION("""COMPUTED_VALUE"""),154.63)</f>
        <v>154.63</v>
      </c>
      <c r="E956" s="9">
        <f>IFERROR(__xludf.DUMMYFUNCTION("""COMPUTED_VALUE"""),167.31)</f>
        <v>167.31</v>
      </c>
      <c r="F956" s="9">
        <f>IFERROR(__xludf.DUMMYFUNCTION("""COMPUTED_VALUE"""),1290263.0)</f>
        <v>1290263</v>
      </c>
      <c r="H956" s="27">
        <f>IFERROR(__xludf.DUMMYFUNCTION("""COMPUTED_VALUE"""),39759.645833333336)</f>
        <v>39759.64583</v>
      </c>
      <c r="I956" s="25">
        <f>IFERROR(__xludf.DUMMYFUNCTION("""COMPUTED_VALUE"""),125.0)</f>
        <v>125</v>
      </c>
      <c r="J956" s="25">
        <f>IFERROR(__xludf.DUMMYFUNCTION("""COMPUTED_VALUE"""),133.75)</f>
        <v>133.75</v>
      </c>
      <c r="K956" s="25">
        <f>IFERROR(__xludf.DUMMYFUNCTION("""COMPUTED_VALUE"""),121.44)</f>
        <v>121.44</v>
      </c>
      <c r="L956" s="25">
        <f>IFERROR(__xludf.DUMMYFUNCTION("""COMPUTED_VALUE"""),131.29)</f>
        <v>131.29</v>
      </c>
      <c r="M956" s="25">
        <f>IFERROR(__xludf.DUMMYFUNCTION("""COMPUTED_VALUE"""),1469430.0)</f>
        <v>1469430</v>
      </c>
    </row>
    <row r="957">
      <c r="A957" s="26">
        <f>IFERROR(__xludf.DUMMYFUNCTION("""COMPUTED_VALUE"""),39763.645833333336)</f>
        <v>39763.64583</v>
      </c>
      <c r="B957" s="9">
        <f>IFERROR(__xludf.DUMMYFUNCTION("""COMPUTED_VALUE"""),167.31)</f>
        <v>167.31</v>
      </c>
      <c r="C957" s="9">
        <f>IFERROR(__xludf.DUMMYFUNCTION("""COMPUTED_VALUE"""),168.55)</f>
        <v>168.55</v>
      </c>
      <c r="D957" s="9">
        <f>IFERROR(__xludf.DUMMYFUNCTION("""COMPUTED_VALUE"""),155.79)</f>
        <v>155.79</v>
      </c>
      <c r="E957" s="9">
        <f>IFERROR(__xludf.DUMMYFUNCTION("""COMPUTED_VALUE"""),157.09)</f>
        <v>157.09</v>
      </c>
      <c r="F957" s="9">
        <f>IFERROR(__xludf.DUMMYFUNCTION("""COMPUTED_VALUE"""),1154402.0)</f>
        <v>1154402</v>
      </c>
      <c r="H957" s="27">
        <f>IFERROR(__xludf.DUMMYFUNCTION("""COMPUTED_VALUE"""),39762.645833333336)</f>
        <v>39762.64583</v>
      </c>
      <c r="I957" s="25">
        <f>IFERROR(__xludf.DUMMYFUNCTION("""COMPUTED_VALUE"""),137.48)</f>
        <v>137.48</v>
      </c>
      <c r="J957" s="25">
        <f>IFERROR(__xludf.DUMMYFUNCTION("""COMPUTED_VALUE"""),138.13)</f>
        <v>138.13</v>
      </c>
      <c r="K957" s="25">
        <f>IFERROR(__xludf.DUMMYFUNCTION("""COMPUTED_VALUE"""),128.76)</f>
        <v>128.76</v>
      </c>
      <c r="L957" s="25">
        <f>IFERROR(__xludf.DUMMYFUNCTION("""COMPUTED_VALUE"""),136.61)</f>
        <v>136.61</v>
      </c>
      <c r="M957" s="25">
        <f>IFERROR(__xludf.DUMMYFUNCTION("""COMPUTED_VALUE"""),1024754.0)</f>
        <v>1024754</v>
      </c>
    </row>
    <row r="958">
      <c r="A958" s="26">
        <f>IFERROR(__xludf.DUMMYFUNCTION("""COMPUTED_VALUE"""),39764.645833333336)</f>
        <v>39764.64583</v>
      </c>
      <c r="B958" s="9">
        <f>IFERROR(__xludf.DUMMYFUNCTION("""COMPUTED_VALUE"""),151.88)</f>
        <v>151.88</v>
      </c>
      <c r="C958" s="9">
        <f>IFERROR(__xludf.DUMMYFUNCTION("""COMPUTED_VALUE"""),163.36)</f>
        <v>163.36</v>
      </c>
      <c r="D958" s="9">
        <f>IFERROR(__xludf.DUMMYFUNCTION("""COMPUTED_VALUE"""),151.88)</f>
        <v>151.88</v>
      </c>
      <c r="E958" s="9">
        <f>IFERROR(__xludf.DUMMYFUNCTION("""COMPUTED_VALUE"""),157.43)</f>
        <v>157.43</v>
      </c>
      <c r="F958" s="9">
        <f>IFERROR(__xludf.DUMMYFUNCTION("""COMPUTED_VALUE"""),1674295.0)</f>
        <v>1674295</v>
      </c>
      <c r="H958" s="27">
        <f>IFERROR(__xludf.DUMMYFUNCTION("""COMPUTED_VALUE"""),39763.645833333336)</f>
        <v>39763.64583</v>
      </c>
      <c r="I958" s="25">
        <f>IFERROR(__xludf.DUMMYFUNCTION("""COMPUTED_VALUE"""),135.5)</f>
        <v>135.5</v>
      </c>
      <c r="J958" s="25">
        <f>IFERROR(__xludf.DUMMYFUNCTION("""COMPUTED_VALUE"""),136.94)</f>
        <v>136.94</v>
      </c>
      <c r="K958" s="25">
        <f>IFERROR(__xludf.DUMMYFUNCTION("""COMPUTED_VALUE"""),130.0)</f>
        <v>130</v>
      </c>
      <c r="L958" s="25">
        <f>IFERROR(__xludf.DUMMYFUNCTION("""COMPUTED_VALUE"""),132.21)</f>
        <v>132.21</v>
      </c>
      <c r="M958" s="25">
        <f>IFERROR(__xludf.DUMMYFUNCTION("""COMPUTED_VALUE"""),1624694.0)</f>
        <v>1624694</v>
      </c>
    </row>
    <row r="959">
      <c r="A959" s="26">
        <f>IFERROR(__xludf.DUMMYFUNCTION("""COMPUTED_VALUE"""),39766.645833333336)</f>
        <v>39766.64583</v>
      </c>
      <c r="B959" s="9">
        <f>IFERROR(__xludf.DUMMYFUNCTION("""COMPUTED_VALUE"""),160.13)</f>
        <v>160.13</v>
      </c>
      <c r="C959" s="9">
        <f>IFERROR(__xludf.DUMMYFUNCTION("""COMPUTED_VALUE"""),161.84)</f>
        <v>161.84</v>
      </c>
      <c r="D959" s="9">
        <f>IFERROR(__xludf.DUMMYFUNCTION("""COMPUTED_VALUE"""),148.5)</f>
        <v>148.5</v>
      </c>
      <c r="E959" s="9">
        <f>IFERROR(__xludf.DUMMYFUNCTION("""COMPUTED_VALUE"""),151.65)</f>
        <v>151.65</v>
      </c>
      <c r="F959" s="9">
        <f>IFERROR(__xludf.DUMMYFUNCTION("""COMPUTED_VALUE"""),2002145.0)</f>
        <v>2002145</v>
      </c>
      <c r="H959" s="27">
        <f>IFERROR(__xludf.DUMMYFUNCTION("""COMPUTED_VALUE"""),39764.645833333336)</f>
        <v>39764.64583</v>
      </c>
      <c r="I959" s="25">
        <f>IFERROR(__xludf.DUMMYFUNCTION("""COMPUTED_VALUE"""),132.21)</f>
        <v>132.21</v>
      </c>
      <c r="J959" s="25">
        <f>IFERROR(__xludf.DUMMYFUNCTION("""COMPUTED_VALUE"""),138.61)</f>
        <v>138.61</v>
      </c>
      <c r="K959" s="25">
        <f>IFERROR(__xludf.DUMMYFUNCTION("""COMPUTED_VALUE"""),128.76)</f>
        <v>128.76</v>
      </c>
      <c r="L959" s="25">
        <f>IFERROR(__xludf.DUMMYFUNCTION("""COMPUTED_VALUE"""),133.73)</f>
        <v>133.73</v>
      </c>
      <c r="M959" s="25">
        <f>IFERROR(__xludf.DUMMYFUNCTION("""COMPUTED_VALUE"""),1935511.0)</f>
        <v>1935511</v>
      </c>
    </row>
    <row r="960">
      <c r="A960" s="26">
        <f>IFERROR(__xludf.DUMMYFUNCTION("""COMPUTED_VALUE"""),39769.645833333336)</f>
        <v>39769.64583</v>
      </c>
      <c r="B960" s="9">
        <f>IFERROR(__xludf.DUMMYFUNCTION("""COMPUTED_VALUE"""),151.88)</f>
        <v>151.88</v>
      </c>
      <c r="C960" s="9">
        <f>IFERROR(__xludf.DUMMYFUNCTION("""COMPUTED_VALUE"""),155.5)</f>
        <v>155.5</v>
      </c>
      <c r="D960" s="9">
        <f>IFERROR(__xludf.DUMMYFUNCTION("""COMPUTED_VALUE"""),146.41)</f>
        <v>146.41</v>
      </c>
      <c r="E960" s="9">
        <f>IFERROR(__xludf.DUMMYFUNCTION("""COMPUTED_VALUE"""),154.05)</f>
        <v>154.05</v>
      </c>
      <c r="F960" s="9">
        <f>IFERROR(__xludf.DUMMYFUNCTION("""COMPUTED_VALUE"""),2255382.0)</f>
        <v>2255382</v>
      </c>
      <c r="H960" s="27">
        <f>IFERROR(__xludf.DUMMYFUNCTION("""COMPUTED_VALUE"""),39766.645833333336)</f>
        <v>39766.64583</v>
      </c>
      <c r="I960" s="25">
        <f>IFERROR(__xludf.DUMMYFUNCTION("""COMPUTED_VALUE"""),136.25)</f>
        <v>136.25</v>
      </c>
      <c r="J960" s="25">
        <f>IFERROR(__xludf.DUMMYFUNCTION("""COMPUTED_VALUE"""),137.13)</f>
        <v>137.13</v>
      </c>
      <c r="K960" s="25">
        <f>IFERROR(__xludf.DUMMYFUNCTION("""COMPUTED_VALUE"""),130.88)</f>
        <v>130.88</v>
      </c>
      <c r="L960" s="25">
        <f>IFERROR(__xludf.DUMMYFUNCTION("""COMPUTED_VALUE"""),132.71)</f>
        <v>132.71</v>
      </c>
      <c r="M960" s="25">
        <f>IFERROR(__xludf.DUMMYFUNCTION("""COMPUTED_VALUE"""),1654366.0)</f>
        <v>1654366</v>
      </c>
    </row>
    <row r="961">
      <c r="A961" s="26">
        <f>IFERROR(__xludf.DUMMYFUNCTION("""COMPUTED_VALUE"""),39770.645833333336)</f>
        <v>39770.64583</v>
      </c>
      <c r="B961" s="9">
        <f>IFERROR(__xludf.DUMMYFUNCTION("""COMPUTED_VALUE"""),152.5)</f>
        <v>152.5</v>
      </c>
      <c r="C961" s="9">
        <f>IFERROR(__xludf.DUMMYFUNCTION("""COMPUTED_VALUE"""),152.5)</f>
        <v>152.5</v>
      </c>
      <c r="D961" s="9">
        <f>IFERROR(__xludf.DUMMYFUNCTION("""COMPUTED_VALUE"""),146.25)</f>
        <v>146.25</v>
      </c>
      <c r="E961" s="9">
        <f>IFERROR(__xludf.DUMMYFUNCTION("""COMPUTED_VALUE"""),147.56)</f>
        <v>147.56</v>
      </c>
      <c r="F961" s="9">
        <f>IFERROR(__xludf.DUMMYFUNCTION("""COMPUTED_VALUE"""),1913580.0)</f>
        <v>1913580</v>
      </c>
      <c r="H961" s="27">
        <f>IFERROR(__xludf.DUMMYFUNCTION("""COMPUTED_VALUE"""),39769.645833333336)</f>
        <v>39769.64583</v>
      </c>
      <c r="I961" s="25">
        <f>IFERROR(__xludf.DUMMYFUNCTION("""COMPUTED_VALUE"""),132.25)</f>
        <v>132.25</v>
      </c>
      <c r="J961" s="25">
        <f>IFERROR(__xludf.DUMMYFUNCTION("""COMPUTED_VALUE"""),134.25)</f>
        <v>134.25</v>
      </c>
      <c r="K961" s="25">
        <f>IFERROR(__xludf.DUMMYFUNCTION("""COMPUTED_VALUE"""),126.38)</f>
        <v>126.38</v>
      </c>
      <c r="L961" s="25">
        <f>IFERROR(__xludf.DUMMYFUNCTION("""COMPUTED_VALUE"""),129.75)</f>
        <v>129.75</v>
      </c>
      <c r="M961" s="25">
        <f>IFERROR(__xludf.DUMMYFUNCTION("""COMPUTED_VALUE"""),2022743.0)</f>
        <v>2022743</v>
      </c>
    </row>
    <row r="962">
      <c r="A962" s="26">
        <f>IFERROR(__xludf.DUMMYFUNCTION("""COMPUTED_VALUE"""),39771.645833333336)</f>
        <v>39771.64583</v>
      </c>
      <c r="B962" s="9">
        <f>IFERROR(__xludf.DUMMYFUNCTION("""COMPUTED_VALUE"""),147.75)</f>
        <v>147.75</v>
      </c>
      <c r="C962" s="9">
        <f>IFERROR(__xludf.DUMMYFUNCTION("""COMPUTED_VALUE"""),150.0)</f>
        <v>150</v>
      </c>
      <c r="D962" s="9">
        <f>IFERROR(__xludf.DUMMYFUNCTION("""COMPUTED_VALUE"""),140.79)</f>
        <v>140.79</v>
      </c>
      <c r="E962" s="9">
        <f>IFERROR(__xludf.DUMMYFUNCTION("""COMPUTED_VALUE"""),146.59)</f>
        <v>146.59</v>
      </c>
      <c r="F962" s="9">
        <f>IFERROR(__xludf.DUMMYFUNCTION("""COMPUTED_VALUE"""),2817633.0)</f>
        <v>2817633</v>
      </c>
      <c r="H962" s="27">
        <f>IFERROR(__xludf.DUMMYFUNCTION("""COMPUTED_VALUE"""),39770.645833333336)</f>
        <v>39770.64583</v>
      </c>
      <c r="I962" s="25">
        <f>IFERROR(__xludf.DUMMYFUNCTION("""COMPUTED_VALUE"""),130.0)</f>
        <v>130</v>
      </c>
      <c r="J962" s="25">
        <f>IFERROR(__xludf.DUMMYFUNCTION("""COMPUTED_VALUE"""),130.0)</f>
        <v>130</v>
      </c>
      <c r="K962" s="25">
        <f>IFERROR(__xludf.DUMMYFUNCTION("""COMPUTED_VALUE"""),120.0)</f>
        <v>120</v>
      </c>
      <c r="L962" s="25">
        <f>IFERROR(__xludf.DUMMYFUNCTION("""COMPUTED_VALUE"""),120.79)</f>
        <v>120.79</v>
      </c>
      <c r="M962" s="25">
        <f>IFERROR(__xludf.DUMMYFUNCTION("""COMPUTED_VALUE"""),2438788.0)</f>
        <v>2438788</v>
      </c>
    </row>
    <row r="963">
      <c r="A963" s="26">
        <f>IFERROR(__xludf.DUMMYFUNCTION("""COMPUTED_VALUE"""),39773.645833333336)</f>
        <v>39773.64583</v>
      </c>
      <c r="B963" s="9">
        <f>IFERROR(__xludf.DUMMYFUNCTION("""COMPUTED_VALUE"""),140.0)</f>
        <v>140</v>
      </c>
      <c r="C963" s="9">
        <f>IFERROR(__xludf.DUMMYFUNCTION("""COMPUTED_VALUE"""),150.0)</f>
        <v>150</v>
      </c>
      <c r="D963" s="9">
        <f>IFERROR(__xludf.DUMMYFUNCTION("""COMPUTED_VALUE"""),136.25)</f>
        <v>136.25</v>
      </c>
      <c r="E963" s="9">
        <f>IFERROR(__xludf.DUMMYFUNCTION("""COMPUTED_VALUE"""),148.08)</f>
        <v>148.08</v>
      </c>
      <c r="F963" s="9">
        <f>IFERROR(__xludf.DUMMYFUNCTION("""COMPUTED_VALUE"""),1524713.0)</f>
        <v>1524713</v>
      </c>
      <c r="H963" s="27">
        <f>IFERROR(__xludf.DUMMYFUNCTION("""COMPUTED_VALUE"""),39771.645833333336)</f>
        <v>39771.64583</v>
      </c>
      <c r="I963" s="25">
        <f>IFERROR(__xludf.DUMMYFUNCTION("""COMPUTED_VALUE"""),122.5)</f>
        <v>122.5</v>
      </c>
      <c r="J963" s="25">
        <f>IFERROR(__xludf.DUMMYFUNCTION("""COMPUTED_VALUE"""),124.0)</f>
        <v>124</v>
      </c>
      <c r="K963" s="25">
        <f>IFERROR(__xludf.DUMMYFUNCTION("""COMPUTED_VALUE"""),117.93)</f>
        <v>117.93</v>
      </c>
      <c r="L963" s="25">
        <f>IFERROR(__xludf.DUMMYFUNCTION("""COMPUTED_VALUE"""),120.66)</f>
        <v>120.66</v>
      </c>
      <c r="M963" s="25">
        <f>IFERROR(__xludf.DUMMYFUNCTION("""COMPUTED_VALUE"""),2043772.0)</f>
        <v>2043772</v>
      </c>
    </row>
    <row r="964">
      <c r="A964" s="26">
        <f>IFERROR(__xludf.DUMMYFUNCTION("""COMPUTED_VALUE"""),39776.645833333336)</f>
        <v>39776.64583</v>
      </c>
      <c r="B964" s="9">
        <f>IFERROR(__xludf.DUMMYFUNCTION("""COMPUTED_VALUE"""),141.88)</f>
        <v>141.88</v>
      </c>
      <c r="C964" s="9">
        <f>IFERROR(__xludf.DUMMYFUNCTION("""COMPUTED_VALUE"""),152.48)</f>
        <v>152.48</v>
      </c>
      <c r="D964" s="9">
        <f>IFERROR(__xludf.DUMMYFUNCTION("""COMPUTED_VALUE"""),141.88)</f>
        <v>141.88</v>
      </c>
      <c r="E964" s="9">
        <f>IFERROR(__xludf.DUMMYFUNCTION("""COMPUTED_VALUE"""),149.53)</f>
        <v>149.53</v>
      </c>
      <c r="F964" s="9">
        <f>IFERROR(__xludf.DUMMYFUNCTION("""COMPUTED_VALUE"""),1754908.0)</f>
        <v>1754908</v>
      </c>
      <c r="H964" s="27">
        <f>IFERROR(__xludf.DUMMYFUNCTION("""COMPUTED_VALUE"""),39773.645833333336)</f>
        <v>39773.64583</v>
      </c>
      <c r="I964" s="25">
        <f>IFERROR(__xludf.DUMMYFUNCTION("""COMPUTED_VALUE"""),117.43)</f>
        <v>117.43</v>
      </c>
      <c r="J964" s="25">
        <f>IFERROR(__xludf.DUMMYFUNCTION("""COMPUTED_VALUE"""),129.25)</f>
        <v>129.25</v>
      </c>
      <c r="K964" s="25">
        <f>IFERROR(__xludf.DUMMYFUNCTION("""COMPUTED_VALUE"""),115.0)</f>
        <v>115</v>
      </c>
      <c r="L964" s="25">
        <f>IFERROR(__xludf.DUMMYFUNCTION("""COMPUTED_VALUE"""),126.61)</f>
        <v>126.61</v>
      </c>
      <c r="M964" s="25">
        <f>IFERROR(__xludf.DUMMYFUNCTION("""COMPUTED_VALUE"""),1711423.0)</f>
        <v>1711423</v>
      </c>
    </row>
    <row r="965">
      <c r="A965" s="26">
        <f>IFERROR(__xludf.DUMMYFUNCTION("""COMPUTED_VALUE"""),39777.645833333336)</f>
        <v>39777.64583</v>
      </c>
      <c r="B965" s="9">
        <f>IFERROR(__xludf.DUMMYFUNCTION("""COMPUTED_VALUE"""),148.13)</f>
        <v>148.13</v>
      </c>
      <c r="C965" s="9">
        <f>IFERROR(__xludf.DUMMYFUNCTION("""COMPUTED_VALUE"""),154.61)</f>
        <v>154.61</v>
      </c>
      <c r="D965" s="9">
        <f>IFERROR(__xludf.DUMMYFUNCTION("""COMPUTED_VALUE"""),146.95)</f>
        <v>146.95</v>
      </c>
      <c r="E965" s="9">
        <f>IFERROR(__xludf.DUMMYFUNCTION("""COMPUTED_VALUE"""),147.74)</f>
        <v>147.74</v>
      </c>
      <c r="F965" s="9">
        <f>IFERROR(__xludf.DUMMYFUNCTION("""COMPUTED_VALUE"""),1238741.0)</f>
        <v>1238741</v>
      </c>
      <c r="H965" s="27">
        <f>IFERROR(__xludf.DUMMYFUNCTION("""COMPUTED_VALUE"""),39776.645833333336)</f>
        <v>39776.64583</v>
      </c>
      <c r="I965" s="25">
        <f>IFERROR(__xludf.DUMMYFUNCTION("""COMPUTED_VALUE"""),126.0)</f>
        <v>126</v>
      </c>
      <c r="J965" s="25">
        <f>IFERROR(__xludf.DUMMYFUNCTION("""COMPUTED_VALUE"""),132.91)</f>
        <v>132.91</v>
      </c>
      <c r="K965" s="25">
        <f>IFERROR(__xludf.DUMMYFUNCTION("""COMPUTED_VALUE"""),122.56)</f>
        <v>122.56</v>
      </c>
      <c r="L965" s="25">
        <f>IFERROR(__xludf.DUMMYFUNCTION("""COMPUTED_VALUE"""),129.98)</f>
        <v>129.98</v>
      </c>
      <c r="M965" s="25">
        <f>IFERROR(__xludf.DUMMYFUNCTION("""COMPUTED_VALUE"""),2092639.0)</f>
        <v>2092639</v>
      </c>
    </row>
    <row r="966">
      <c r="A966" s="26">
        <f>IFERROR(__xludf.DUMMYFUNCTION("""COMPUTED_VALUE"""),39778.645833333336)</f>
        <v>39778.64583</v>
      </c>
      <c r="B966" s="9">
        <f>IFERROR(__xludf.DUMMYFUNCTION("""COMPUTED_VALUE"""),147.38)</f>
        <v>147.38</v>
      </c>
      <c r="C966" s="9">
        <f>IFERROR(__xludf.DUMMYFUNCTION("""COMPUTED_VALUE"""),149.38)</f>
        <v>149.38</v>
      </c>
      <c r="D966" s="9">
        <f>IFERROR(__xludf.DUMMYFUNCTION("""COMPUTED_VALUE"""),142.77)</f>
        <v>142.77</v>
      </c>
      <c r="E966" s="9">
        <f>IFERROR(__xludf.DUMMYFUNCTION("""COMPUTED_VALUE"""),148.39)</f>
        <v>148.39</v>
      </c>
      <c r="F966" s="9">
        <f>IFERROR(__xludf.DUMMYFUNCTION("""COMPUTED_VALUE"""),1796180.0)</f>
        <v>1796180</v>
      </c>
      <c r="H966" s="27">
        <f>IFERROR(__xludf.DUMMYFUNCTION("""COMPUTED_VALUE"""),39777.645833333336)</f>
        <v>39777.64583</v>
      </c>
      <c r="I966" s="25">
        <f>IFERROR(__xludf.DUMMYFUNCTION("""COMPUTED_VALUE"""),129.78)</f>
        <v>129.78</v>
      </c>
      <c r="J966" s="25">
        <f>IFERROR(__xludf.DUMMYFUNCTION("""COMPUTED_VALUE"""),134.99)</f>
        <v>134.99</v>
      </c>
      <c r="K966" s="25">
        <f>IFERROR(__xludf.DUMMYFUNCTION("""COMPUTED_VALUE"""),125.01)</f>
        <v>125.01</v>
      </c>
      <c r="L966" s="25">
        <f>IFERROR(__xludf.DUMMYFUNCTION("""COMPUTED_VALUE"""),126.0)</f>
        <v>126</v>
      </c>
      <c r="M966" s="25">
        <f>IFERROR(__xludf.DUMMYFUNCTION("""COMPUTED_VALUE"""),1443505.0)</f>
        <v>1443505</v>
      </c>
    </row>
    <row r="967">
      <c r="A967" s="26">
        <f>IFERROR(__xludf.DUMMYFUNCTION("""COMPUTED_VALUE"""),39780.645833333336)</f>
        <v>39780.64583</v>
      </c>
      <c r="B967" s="9">
        <f>IFERROR(__xludf.DUMMYFUNCTION("""COMPUTED_VALUE"""),146.27)</f>
        <v>146.27</v>
      </c>
      <c r="C967" s="9">
        <f>IFERROR(__xludf.DUMMYFUNCTION("""COMPUTED_VALUE"""),156.88)</f>
        <v>156.88</v>
      </c>
      <c r="D967" s="9">
        <f>IFERROR(__xludf.DUMMYFUNCTION("""COMPUTED_VALUE"""),140.01)</f>
        <v>140.01</v>
      </c>
      <c r="E967" s="9">
        <f>IFERROR(__xludf.DUMMYFUNCTION("""COMPUTED_VALUE"""),155.48)</f>
        <v>155.48</v>
      </c>
      <c r="F967" s="9">
        <f>IFERROR(__xludf.DUMMYFUNCTION("""COMPUTED_VALUE"""),3003928.0)</f>
        <v>3003928</v>
      </c>
      <c r="H967" s="27">
        <f>IFERROR(__xludf.DUMMYFUNCTION("""COMPUTED_VALUE"""),39778.645833333336)</f>
        <v>39778.64583</v>
      </c>
      <c r="I967" s="25">
        <f>IFERROR(__xludf.DUMMYFUNCTION("""COMPUTED_VALUE"""),125.81)</f>
        <v>125.81</v>
      </c>
      <c r="J967" s="25">
        <f>IFERROR(__xludf.DUMMYFUNCTION("""COMPUTED_VALUE"""),132.5)</f>
        <v>132.5</v>
      </c>
      <c r="K967" s="25">
        <f>IFERROR(__xludf.DUMMYFUNCTION("""COMPUTED_VALUE"""),124.29)</f>
        <v>124.29</v>
      </c>
      <c r="L967" s="25">
        <f>IFERROR(__xludf.DUMMYFUNCTION("""COMPUTED_VALUE"""),131.86)</f>
        <v>131.86</v>
      </c>
      <c r="M967" s="25">
        <f>IFERROR(__xludf.DUMMYFUNCTION("""COMPUTED_VALUE"""),1533889.0)</f>
        <v>1533889</v>
      </c>
    </row>
    <row r="968">
      <c r="A968" s="26">
        <f>IFERROR(__xludf.DUMMYFUNCTION("""COMPUTED_VALUE"""),39783.645833333336)</f>
        <v>39783.64583</v>
      </c>
      <c r="B968" s="9">
        <f>IFERROR(__xludf.DUMMYFUNCTION("""COMPUTED_VALUE"""),156.25)</f>
        <v>156.25</v>
      </c>
      <c r="C968" s="9">
        <f>IFERROR(__xludf.DUMMYFUNCTION("""COMPUTED_VALUE"""),162.34)</f>
        <v>162.34</v>
      </c>
      <c r="D968" s="9">
        <f>IFERROR(__xludf.DUMMYFUNCTION("""COMPUTED_VALUE"""),152.25)</f>
        <v>152.25</v>
      </c>
      <c r="E968" s="9">
        <f>IFERROR(__xludf.DUMMYFUNCTION("""COMPUTED_VALUE"""),153.9)</f>
        <v>153.9</v>
      </c>
      <c r="F968" s="9">
        <f>IFERROR(__xludf.DUMMYFUNCTION("""COMPUTED_VALUE"""),2342337.0)</f>
        <v>2342337</v>
      </c>
      <c r="H968" s="27">
        <f>IFERROR(__xludf.DUMMYFUNCTION("""COMPUTED_VALUE"""),39780.645833333336)</f>
        <v>39780.64583</v>
      </c>
      <c r="I968" s="25">
        <f>IFERROR(__xludf.DUMMYFUNCTION("""COMPUTED_VALUE"""),129.5)</f>
        <v>129.5</v>
      </c>
      <c r="J968" s="25">
        <f>IFERROR(__xludf.DUMMYFUNCTION("""COMPUTED_VALUE"""),142.0)</f>
        <v>142</v>
      </c>
      <c r="K968" s="25">
        <f>IFERROR(__xludf.DUMMYFUNCTION("""COMPUTED_VALUE"""),129.5)</f>
        <v>129.5</v>
      </c>
      <c r="L968" s="25">
        <f>IFERROR(__xludf.DUMMYFUNCTION("""COMPUTED_VALUE"""),139.85)</f>
        <v>139.85</v>
      </c>
      <c r="M968" s="25">
        <f>IFERROR(__xludf.DUMMYFUNCTION("""COMPUTED_VALUE"""),3034516.0)</f>
        <v>3034516</v>
      </c>
    </row>
    <row r="969">
      <c r="A969" s="26">
        <f>IFERROR(__xludf.DUMMYFUNCTION("""COMPUTED_VALUE"""),39784.645833333336)</f>
        <v>39784.64583</v>
      </c>
      <c r="B969" s="9">
        <f>IFERROR(__xludf.DUMMYFUNCTION("""COMPUTED_VALUE"""),153.0)</f>
        <v>153</v>
      </c>
      <c r="C969" s="9">
        <f>IFERROR(__xludf.DUMMYFUNCTION("""COMPUTED_VALUE"""),153.0)</f>
        <v>153</v>
      </c>
      <c r="D969" s="9">
        <f>IFERROR(__xludf.DUMMYFUNCTION("""COMPUTED_VALUE"""),147.13)</f>
        <v>147.13</v>
      </c>
      <c r="E969" s="9">
        <f>IFERROR(__xludf.DUMMYFUNCTION("""COMPUTED_VALUE"""),151.04)</f>
        <v>151.04</v>
      </c>
      <c r="F969" s="9">
        <f>IFERROR(__xludf.DUMMYFUNCTION("""COMPUTED_VALUE"""),1601791.0)</f>
        <v>1601791</v>
      </c>
      <c r="H969" s="27">
        <f>IFERROR(__xludf.DUMMYFUNCTION("""COMPUTED_VALUE"""),39783.645833333336)</f>
        <v>39783.64583</v>
      </c>
      <c r="I969" s="25">
        <f>IFERROR(__xludf.DUMMYFUNCTION("""COMPUTED_VALUE"""),139.85)</f>
        <v>139.85</v>
      </c>
      <c r="J969" s="25">
        <f>IFERROR(__xludf.DUMMYFUNCTION("""COMPUTED_VALUE"""),148.44)</f>
        <v>148.44</v>
      </c>
      <c r="K969" s="25">
        <f>IFERROR(__xludf.DUMMYFUNCTION("""COMPUTED_VALUE"""),139.09)</f>
        <v>139.09</v>
      </c>
      <c r="L969" s="25">
        <f>IFERROR(__xludf.DUMMYFUNCTION("""COMPUTED_VALUE"""),141.04)</f>
        <v>141.04</v>
      </c>
      <c r="M969" s="25">
        <f>IFERROR(__xludf.DUMMYFUNCTION("""COMPUTED_VALUE"""),2989676.0)</f>
        <v>2989676</v>
      </c>
    </row>
    <row r="970">
      <c r="A970" s="26">
        <f>IFERROR(__xludf.DUMMYFUNCTION("""COMPUTED_VALUE"""),39785.645833333336)</f>
        <v>39785.64583</v>
      </c>
      <c r="B970" s="9">
        <f>IFERROR(__xludf.DUMMYFUNCTION("""COMPUTED_VALUE"""),150.5)</f>
        <v>150.5</v>
      </c>
      <c r="C970" s="9">
        <f>IFERROR(__xludf.DUMMYFUNCTION("""COMPUTED_VALUE"""),152.75)</f>
        <v>152.75</v>
      </c>
      <c r="D970" s="9">
        <f>IFERROR(__xludf.DUMMYFUNCTION("""COMPUTED_VALUE"""),142.5)</f>
        <v>142.5</v>
      </c>
      <c r="E970" s="9">
        <f>IFERROR(__xludf.DUMMYFUNCTION("""COMPUTED_VALUE"""),144.57)</f>
        <v>144.57</v>
      </c>
      <c r="F970" s="9">
        <f>IFERROR(__xludf.DUMMYFUNCTION("""COMPUTED_VALUE"""),2233667.0)</f>
        <v>2233667</v>
      </c>
      <c r="H970" s="27">
        <f>IFERROR(__xludf.DUMMYFUNCTION("""COMPUTED_VALUE"""),39784.645833333336)</f>
        <v>39784.64583</v>
      </c>
      <c r="I970" s="25">
        <f>IFERROR(__xludf.DUMMYFUNCTION("""COMPUTED_VALUE"""),142.5)</f>
        <v>142.5</v>
      </c>
      <c r="J970" s="25">
        <f>IFERROR(__xludf.DUMMYFUNCTION("""COMPUTED_VALUE"""),142.5)</f>
        <v>142.5</v>
      </c>
      <c r="K970" s="25">
        <f>IFERROR(__xludf.DUMMYFUNCTION("""COMPUTED_VALUE"""),130.76)</f>
        <v>130.76</v>
      </c>
      <c r="L970" s="25">
        <f>IFERROR(__xludf.DUMMYFUNCTION("""COMPUTED_VALUE"""),133.21)</f>
        <v>133.21</v>
      </c>
      <c r="M970" s="25">
        <f>IFERROR(__xludf.DUMMYFUNCTION("""COMPUTED_VALUE"""),1664702.0)</f>
        <v>1664702</v>
      </c>
    </row>
    <row r="971">
      <c r="A971" s="26">
        <f>IFERROR(__xludf.DUMMYFUNCTION("""COMPUTED_VALUE"""),39786.645833333336)</f>
        <v>39786.64583</v>
      </c>
      <c r="B971" s="9">
        <f>IFERROR(__xludf.DUMMYFUNCTION("""COMPUTED_VALUE"""),145.0)</f>
        <v>145</v>
      </c>
      <c r="C971" s="9">
        <f>IFERROR(__xludf.DUMMYFUNCTION("""COMPUTED_VALUE"""),149.74)</f>
        <v>149.74</v>
      </c>
      <c r="D971" s="9">
        <f>IFERROR(__xludf.DUMMYFUNCTION("""COMPUTED_VALUE"""),143.54)</f>
        <v>143.54</v>
      </c>
      <c r="E971" s="9">
        <f>IFERROR(__xludf.DUMMYFUNCTION("""COMPUTED_VALUE"""),149.05)</f>
        <v>149.05</v>
      </c>
      <c r="F971" s="9">
        <f>IFERROR(__xludf.DUMMYFUNCTION("""COMPUTED_VALUE"""),1415505.0)</f>
        <v>1415505</v>
      </c>
      <c r="H971" s="27">
        <f>IFERROR(__xludf.DUMMYFUNCTION("""COMPUTED_VALUE"""),39785.645833333336)</f>
        <v>39785.64583</v>
      </c>
      <c r="I971" s="25">
        <f>IFERROR(__xludf.DUMMYFUNCTION("""COMPUTED_VALUE"""),134.09)</f>
        <v>134.09</v>
      </c>
      <c r="J971" s="25">
        <f>IFERROR(__xludf.DUMMYFUNCTION("""COMPUTED_VALUE"""),137.93)</f>
        <v>137.93</v>
      </c>
      <c r="K971" s="25">
        <f>IFERROR(__xludf.DUMMYFUNCTION("""COMPUTED_VALUE"""),130.4)</f>
        <v>130.4</v>
      </c>
      <c r="L971" s="25">
        <f>IFERROR(__xludf.DUMMYFUNCTION("""COMPUTED_VALUE"""),133.7)</f>
        <v>133.7</v>
      </c>
      <c r="M971" s="25">
        <f>IFERROR(__xludf.DUMMYFUNCTION("""COMPUTED_VALUE"""),2499498.0)</f>
        <v>2499498</v>
      </c>
    </row>
    <row r="972">
      <c r="A972" s="26">
        <f>IFERROR(__xludf.DUMMYFUNCTION("""COMPUTED_VALUE"""),39787.645833333336)</f>
        <v>39787.64583</v>
      </c>
      <c r="B972" s="9">
        <f>IFERROR(__xludf.DUMMYFUNCTION("""COMPUTED_VALUE"""),149.0)</f>
        <v>149</v>
      </c>
      <c r="C972" s="9">
        <f>IFERROR(__xludf.DUMMYFUNCTION("""COMPUTED_VALUE"""),149.0)</f>
        <v>149</v>
      </c>
      <c r="D972" s="9">
        <f>IFERROR(__xludf.DUMMYFUNCTION("""COMPUTED_VALUE"""),140.32)</f>
        <v>140.32</v>
      </c>
      <c r="E972" s="9">
        <f>IFERROR(__xludf.DUMMYFUNCTION("""COMPUTED_VALUE"""),141.81)</f>
        <v>141.81</v>
      </c>
      <c r="F972" s="9">
        <f>IFERROR(__xludf.DUMMYFUNCTION("""COMPUTED_VALUE"""),1526266.0)</f>
        <v>1526266</v>
      </c>
      <c r="H972" s="27">
        <f>IFERROR(__xludf.DUMMYFUNCTION("""COMPUTED_VALUE"""),39786.645833333336)</f>
        <v>39786.64583</v>
      </c>
      <c r="I972" s="25">
        <f>IFERROR(__xludf.DUMMYFUNCTION("""COMPUTED_VALUE"""),133.75)</f>
        <v>133.75</v>
      </c>
      <c r="J972" s="25">
        <f>IFERROR(__xludf.DUMMYFUNCTION("""COMPUTED_VALUE"""),138.43)</f>
        <v>138.43</v>
      </c>
      <c r="K972" s="25">
        <f>IFERROR(__xludf.DUMMYFUNCTION("""COMPUTED_VALUE"""),125.84)</f>
        <v>125.84</v>
      </c>
      <c r="L972" s="25">
        <f>IFERROR(__xludf.DUMMYFUNCTION("""COMPUTED_VALUE"""),137.35)</f>
        <v>137.35</v>
      </c>
      <c r="M972" s="25">
        <f>IFERROR(__xludf.DUMMYFUNCTION("""COMPUTED_VALUE"""),2064127.0)</f>
        <v>2064127</v>
      </c>
    </row>
    <row r="973">
      <c r="A973" s="26">
        <f>IFERROR(__xludf.DUMMYFUNCTION("""COMPUTED_VALUE"""),39790.645833333336)</f>
        <v>39790.64583</v>
      </c>
      <c r="B973" s="9">
        <f>IFERROR(__xludf.DUMMYFUNCTION("""COMPUTED_VALUE"""),144.4)</f>
        <v>144.4</v>
      </c>
      <c r="C973" s="9">
        <f>IFERROR(__xludf.DUMMYFUNCTION("""COMPUTED_VALUE"""),148.75)</f>
        <v>148.75</v>
      </c>
      <c r="D973" s="9">
        <f>IFERROR(__xludf.DUMMYFUNCTION("""COMPUTED_VALUE"""),142.26)</f>
        <v>142.26</v>
      </c>
      <c r="E973" s="9">
        <f>IFERROR(__xludf.DUMMYFUNCTION("""COMPUTED_VALUE"""),144.72)</f>
        <v>144.72</v>
      </c>
      <c r="F973" s="9">
        <f>IFERROR(__xludf.DUMMYFUNCTION("""COMPUTED_VALUE"""),2957643.0)</f>
        <v>2957643</v>
      </c>
      <c r="H973" s="27">
        <f>IFERROR(__xludf.DUMMYFUNCTION("""COMPUTED_VALUE"""),39787.645833333336)</f>
        <v>39787.64583</v>
      </c>
      <c r="I973" s="25">
        <f>IFERROR(__xludf.DUMMYFUNCTION("""COMPUTED_VALUE"""),134.6)</f>
        <v>134.6</v>
      </c>
      <c r="J973" s="25">
        <f>IFERROR(__xludf.DUMMYFUNCTION("""COMPUTED_VALUE"""),136.32)</f>
        <v>136.32</v>
      </c>
      <c r="K973" s="25">
        <f>IFERROR(__xludf.DUMMYFUNCTION("""COMPUTED_VALUE"""),129.56)</f>
        <v>129.56</v>
      </c>
      <c r="L973" s="25">
        <f>IFERROR(__xludf.DUMMYFUNCTION("""COMPUTED_VALUE"""),130.45)</f>
        <v>130.45</v>
      </c>
      <c r="M973" s="25">
        <f>IFERROR(__xludf.DUMMYFUNCTION("""COMPUTED_VALUE"""),1776362.0)</f>
        <v>1776362</v>
      </c>
    </row>
    <row r="974">
      <c r="A974" s="26">
        <f>IFERROR(__xludf.DUMMYFUNCTION("""COMPUTED_VALUE"""),39792.645833333336)</f>
        <v>39792.64583</v>
      </c>
      <c r="B974" s="9">
        <f>IFERROR(__xludf.DUMMYFUNCTION("""COMPUTED_VALUE"""),148.11)</f>
        <v>148.11</v>
      </c>
      <c r="C974" s="9">
        <f>IFERROR(__xludf.DUMMYFUNCTION("""COMPUTED_VALUE"""),150.84)</f>
        <v>150.84</v>
      </c>
      <c r="D974" s="9">
        <f>IFERROR(__xludf.DUMMYFUNCTION("""COMPUTED_VALUE"""),144.89)</f>
        <v>144.89</v>
      </c>
      <c r="E974" s="9">
        <f>IFERROR(__xludf.DUMMYFUNCTION("""COMPUTED_VALUE"""),146.72)</f>
        <v>146.72</v>
      </c>
      <c r="F974" s="9">
        <f>IFERROR(__xludf.DUMMYFUNCTION("""COMPUTED_VALUE"""),2804550.0)</f>
        <v>2804550</v>
      </c>
      <c r="H974" s="27">
        <f>IFERROR(__xludf.DUMMYFUNCTION("""COMPUTED_VALUE"""),39790.645833333336)</f>
        <v>39790.64583</v>
      </c>
      <c r="I974" s="25">
        <f>IFERROR(__xludf.DUMMYFUNCTION("""COMPUTED_VALUE"""),133.75)</f>
        <v>133.75</v>
      </c>
      <c r="J974" s="25">
        <f>IFERROR(__xludf.DUMMYFUNCTION("""COMPUTED_VALUE"""),136.56)</f>
        <v>136.56</v>
      </c>
      <c r="K974" s="25">
        <f>IFERROR(__xludf.DUMMYFUNCTION("""COMPUTED_VALUE"""),128.1)</f>
        <v>128.1</v>
      </c>
      <c r="L974" s="25">
        <f>IFERROR(__xludf.DUMMYFUNCTION("""COMPUTED_VALUE"""),130.56)</f>
        <v>130.56</v>
      </c>
      <c r="M974" s="25">
        <f>IFERROR(__xludf.DUMMYFUNCTION("""COMPUTED_VALUE"""),1905351.0)</f>
        <v>1905351</v>
      </c>
    </row>
    <row r="975">
      <c r="A975" s="26">
        <f>IFERROR(__xludf.DUMMYFUNCTION("""COMPUTED_VALUE"""),39793.645833333336)</f>
        <v>39793.64583</v>
      </c>
      <c r="B975" s="9">
        <f>IFERROR(__xludf.DUMMYFUNCTION("""COMPUTED_VALUE"""),147.11)</f>
        <v>147.11</v>
      </c>
      <c r="C975" s="9">
        <f>IFERROR(__xludf.DUMMYFUNCTION("""COMPUTED_VALUE"""),147.21)</f>
        <v>147.21</v>
      </c>
      <c r="D975" s="9">
        <f>IFERROR(__xludf.DUMMYFUNCTION("""COMPUTED_VALUE"""),140.29)</f>
        <v>140.29</v>
      </c>
      <c r="E975" s="9">
        <f>IFERROR(__xludf.DUMMYFUNCTION("""COMPUTED_VALUE"""),141.86)</f>
        <v>141.86</v>
      </c>
      <c r="F975" s="9">
        <f>IFERROR(__xludf.DUMMYFUNCTION("""COMPUTED_VALUE"""),2062642.0)</f>
        <v>2062642</v>
      </c>
      <c r="H975" s="27">
        <f>IFERROR(__xludf.DUMMYFUNCTION("""COMPUTED_VALUE"""),39792.645833333336)</f>
        <v>39792.64583</v>
      </c>
      <c r="I975" s="25">
        <f>IFERROR(__xludf.DUMMYFUNCTION("""COMPUTED_VALUE"""),137.45)</f>
        <v>137.45</v>
      </c>
      <c r="J975" s="25">
        <f>IFERROR(__xludf.DUMMYFUNCTION("""COMPUTED_VALUE"""),139.2)</f>
        <v>139.2</v>
      </c>
      <c r="K975" s="25">
        <f>IFERROR(__xludf.DUMMYFUNCTION("""COMPUTED_VALUE"""),132.38)</f>
        <v>132.38</v>
      </c>
      <c r="L975" s="25">
        <f>IFERROR(__xludf.DUMMYFUNCTION("""COMPUTED_VALUE"""),135.26)</f>
        <v>135.26</v>
      </c>
      <c r="M975" s="25">
        <f>IFERROR(__xludf.DUMMYFUNCTION("""COMPUTED_VALUE"""),2022095.0)</f>
        <v>2022095</v>
      </c>
    </row>
    <row r="976">
      <c r="A976" s="26">
        <f>IFERROR(__xludf.DUMMYFUNCTION("""COMPUTED_VALUE"""),39794.645833333336)</f>
        <v>39794.64583</v>
      </c>
      <c r="B976" s="9">
        <f>IFERROR(__xludf.DUMMYFUNCTION("""COMPUTED_VALUE"""),140.0)</f>
        <v>140</v>
      </c>
      <c r="C976" s="9">
        <f>IFERROR(__xludf.DUMMYFUNCTION("""COMPUTED_VALUE"""),140.0)</f>
        <v>140</v>
      </c>
      <c r="D976" s="9">
        <f>IFERROR(__xludf.DUMMYFUNCTION("""COMPUTED_VALUE"""),134.65)</f>
        <v>134.65</v>
      </c>
      <c r="E976" s="9">
        <f>IFERROR(__xludf.DUMMYFUNCTION("""COMPUTED_VALUE"""),138.11)</f>
        <v>138.11</v>
      </c>
      <c r="F976" s="9">
        <f>IFERROR(__xludf.DUMMYFUNCTION("""COMPUTED_VALUE"""),1634794.0)</f>
        <v>1634794</v>
      </c>
      <c r="H976" s="27">
        <f>IFERROR(__xludf.DUMMYFUNCTION("""COMPUTED_VALUE"""),39793.645833333336)</f>
        <v>39793.64583</v>
      </c>
      <c r="I976" s="25">
        <f>IFERROR(__xludf.DUMMYFUNCTION("""COMPUTED_VALUE"""),137.43)</f>
        <v>137.43</v>
      </c>
      <c r="J976" s="25">
        <f>IFERROR(__xludf.DUMMYFUNCTION("""COMPUTED_VALUE"""),137.43)</f>
        <v>137.43</v>
      </c>
      <c r="K976" s="25">
        <f>IFERROR(__xludf.DUMMYFUNCTION("""COMPUTED_VALUE"""),125.5)</f>
        <v>125.5</v>
      </c>
      <c r="L976" s="25">
        <f>IFERROR(__xludf.DUMMYFUNCTION("""COMPUTED_VALUE"""),126.91)</f>
        <v>126.91</v>
      </c>
      <c r="M976" s="25">
        <f>IFERROR(__xludf.DUMMYFUNCTION("""COMPUTED_VALUE"""),1825063.0)</f>
        <v>1825063</v>
      </c>
    </row>
    <row r="977">
      <c r="A977" s="26">
        <f>IFERROR(__xludf.DUMMYFUNCTION("""COMPUTED_VALUE"""),39797.645833333336)</f>
        <v>39797.64583</v>
      </c>
      <c r="B977" s="9">
        <f>IFERROR(__xludf.DUMMYFUNCTION("""COMPUTED_VALUE"""),140.0)</f>
        <v>140</v>
      </c>
      <c r="C977" s="9">
        <f>IFERROR(__xludf.DUMMYFUNCTION("""COMPUTED_VALUE"""),142.25)</f>
        <v>142.25</v>
      </c>
      <c r="D977" s="9">
        <f>IFERROR(__xludf.DUMMYFUNCTION("""COMPUTED_VALUE"""),136.26)</f>
        <v>136.26</v>
      </c>
      <c r="E977" s="9">
        <f>IFERROR(__xludf.DUMMYFUNCTION("""COMPUTED_VALUE"""),137.79)</f>
        <v>137.79</v>
      </c>
      <c r="F977" s="9">
        <f>IFERROR(__xludf.DUMMYFUNCTION("""COMPUTED_VALUE"""),1717269.0)</f>
        <v>1717269</v>
      </c>
      <c r="H977" s="27">
        <f>IFERROR(__xludf.DUMMYFUNCTION("""COMPUTED_VALUE"""),39794.645833333336)</f>
        <v>39794.64583</v>
      </c>
      <c r="I977" s="25">
        <f>IFERROR(__xludf.DUMMYFUNCTION("""COMPUTED_VALUE"""),127.49)</f>
        <v>127.49</v>
      </c>
      <c r="J977" s="25">
        <f>IFERROR(__xludf.DUMMYFUNCTION("""COMPUTED_VALUE"""),127.49)</f>
        <v>127.49</v>
      </c>
      <c r="K977" s="25">
        <f>IFERROR(__xludf.DUMMYFUNCTION("""COMPUTED_VALUE"""),118.81)</f>
        <v>118.81</v>
      </c>
      <c r="L977" s="25">
        <f>IFERROR(__xludf.DUMMYFUNCTION("""COMPUTED_VALUE"""),120.33)</f>
        <v>120.33</v>
      </c>
      <c r="M977" s="25">
        <f>IFERROR(__xludf.DUMMYFUNCTION("""COMPUTED_VALUE"""),1780259.0)</f>
        <v>1780259</v>
      </c>
    </row>
    <row r="978">
      <c r="A978" s="26">
        <f>IFERROR(__xludf.DUMMYFUNCTION("""COMPUTED_VALUE"""),39798.645833333336)</f>
        <v>39798.64583</v>
      </c>
      <c r="B978" s="9">
        <f>IFERROR(__xludf.DUMMYFUNCTION("""COMPUTED_VALUE"""),137.88)</f>
        <v>137.88</v>
      </c>
      <c r="C978" s="9">
        <f>IFERROR(__xludf.DUMMYFUNCTION("""COMPUTED_VALUE"""),141.63)</f>
        <v>141.63</v>
      </c>
      <c r="D978" s="9">
        <f>IFERROR(__xludf.DUMMYFUNCTION("""COMPUTED_VALUE"""),135.63)</f>
        <v>135.63</v>
      </c>
      <c r="E978" s="9">
        <f>IFERROR(__xludf.DUMMYFUNCTION("""COMPUTED_VALUE"""),140.6)</f>
        <v>140.6</v>
      </c>
      <c r="F978" s="9">
        <f>IFERROR(__xludf.DUMMYFUNCTION("""COMPUTED_VALUE"""),1112590.0)</f>
        <v>1112590</v>
      </c>
      <c r="H978" s="27">
        <f>IFERROR(__xludf.DUMMYFUNCTION("""COMPUTED_VALUE"""),39797.645833333336)</f>
        <v>39797.64583</v>
      </c>
      <c r="I978" s="25">
        <f>IFERROR(__xludf.DUMMYFUNCTION("""COMPUTED_VALUE"""),125.5)</f>
        <v>125.5</v>
      </c>
      <c r="J978" s="25">
        <f>IFERROR(__xludf.DUMMYFUNCTION("""COMPUTED_VALUE"""),125.5)</f>
        <v>125.5</v>
      </c>
      <c r="K978" s="25">
        <f>IFERROR(__xludf.DUMMYFUNCTION("""COMPUTED_VALUE"""),116.81)</f>
        <v>116.81</v>
      </c>
      <c r="L978" s="25">
        <f>IFERROR(__xludf.DUMMYFUNCTION("""COMPUTED_VALUE"""),117.41)</f>
        <v>117.41</v>
      </c>
      <c r="M978" s="25">
        <f>IFERROR(__xludf.DUMMYFUNCTION("""COMPUTED_VALUE"""),1499429.0)</f>
        <v>1499429</v>
      </c>
    </row>
    <row r="979">
      <c r="A979" s="26">
        <f>IFERROR(__xludf.DUMMYFUNCTION("""COMPUTED_VALUE"""),39799.645833333336)</f>
        <v>39799.64583</v>
      </c>
      <c r="B979" s="9">
        <f>IFERROR(__xludf.DUMMYFUNCTION("""COMPUTED_VALUE"""),142.46)</f>
        <v>142.46</v>
      </c>
      <c r="C979" s="9">
        <f>IFERROR(__xludf.DUMMYFUNCTION("""COMPUTED_VALUE"""),147.0)</f>
        <v>147</v>
      </c>
      <c r="D979" s="9">
        <f>IFERROR(__xludf.DUMMYFUNCTION("""COMPUTED_VALUE"""),140.38)</f>
        <v>140.38</v>
      </c>
      <c r="E979" s="9">
        <f>IFERROR(__xludf.DUMMYFUNCTION("""COMPUTED_VALUE"""),142.69)</f>
        <v>142.69</v>
      </c>
      <c r="F979" s="9">
        <f>IFERROR(__xludf.DUMMYFUNCTION("""COMPUTED_VALUE"""),3054630.0)</f>
        <v>3054630</v>
      </c>
      <c r="H979" s="27">
        <f>IFERROR(__xludf.DUMMYFUNCTION("""COMPUTED_VALUE"""),39798.645833333336)</f>
        <v>39798.64583</v>
      </c>
      <c r="I979" s="25">
        <f>IFERROR(__xludf.DUMMYFUNCTION("""COMPUTED_VALUE"""),117.5)</f>
        <v>117.5</v>
      </c>
      <c r="J979" s="25">
        <f>IFERROR(__xludf.DUMMYFUNCTION("""COMPUTED_VALUE"""),121.23)</f>
        <v>121.23</v>
      </c>
      <c r="K979" s="25">
        <f>IFERROR(__xludf.DUMMYFUNCTION("""COMPUTED_VALUE"""),116.25)</f>
        <v>116.25</v>
      </c>
      <c r="L979" s="25">
        <f>IFERROR(__xludf.DUMMYFUNCTION("""COMPUTED_VALUE"""),119.84)</f>
        <v>119.84</v>
      </c>
      <c r="M979" s="25">
        <f>IFERROR(__xludf.DUMMYFUNCTION("""COMPUTED_VALUE"""),1461967.0)</f>
        <v>1461967</v>
      </c>
    </row>
    <row r="980">
      <c r="A980" s="26">
        <f>IFERROR(__xludf.DUMMYFUNCTION("""COMPUTED_VALUE"""),39800.645833333336)</f>
        <v>39800.64583</v>
      </c>
      <c r="B980" s="9">
        <f>IFERROR(__xludf.DUMMYFUNCTION("""COMPUTED_VALUE"""),143.13)</f>
        <v>143.13</v>
      </c>
      <c r="C980" s="9">
        <f>IFERROR(__xludf.DUMMYFUNCTION("""COMPUTED_VALUE"""),148.05)</f>
        <v>148.05</v>
      </c>
      <c r="D980" s="9">
        <f>IFERROR(__xludf.DUMMYFUNCTION("""COMPUTED_VALUE"""),143.13)</f>
        <v>143.13</v>
      </c>
      <c r="E980" s="9">
        <f>IFERROR(__xludf.DUMMYFUNCTION("""COMPUTED_VALUE"""),147.13)</f>
        <v>147.13</v>
      </c>
      <c r="F980" s="9">
        <f>IFERROR(__xludf.DUMMYFUNCTION("""COMPUTED_VALUE"""),1583678.0)</f>
        <v>1583678</v>
      </c>
      <c r="H980" s="27">
        <f>IFERROR(__xludf.DUMMYFUNCTION("""COMPUTED_VALUE"""),39799.645833333336)</f>
        <v>39799.64583</v>
      </c>
      <c r="I980" s="25">
        <f>IFERROR(__xludf.DUMMYFUNCTION("""COMPUTED_VALUE"""),121.34)</f>
        <v>121.34</v>
      </c>
      <c r="J980" s="25">
        <f>IFERROR(__xludf.DUMMYFUNCTION("""COMPUTED_VALUE"""),123.0)</f>
        <v>123</v>
      </c>
      <c r="K980" s="25">
        <f>IFERROR(__xludf.DUMMYFUNCTION("""COMPUTED_VALUE"""),118.0)</f>
        <v>118</v>
      </c>
      <c r="L980" s="25">
        <f>IFERROR(__xludf.DUMMYFUNCTION("""COMPUTED_VALUE"""),119.33)</f>
        <v>119.33</v>
      </c>
      <c r="M980" s="25">
        <f>IFERROR(__xludf.DUMMYFUNCTION("""COMPUTED_VALUE"""),1619017.0)</f>
        <v>1619017</v>
      </c>
    </row>
    <row r="981">
      <c r="A981" s="26">
        <f>IFERROR(__xludf.DUMMYFUNCTION("""COMPUTED_VALUE"""),39801.645833333336)</f>
        <v>39801.64583</v>
      </c>
      <c r="B981" s="9">
        <f>IFERROR(__xludf.DUMMYFUNCTION("""COMPUTED_VALUE"""),147.64)</f>
        <v>147.64</v>
      </c>
      <c r="C981" s="9">
        <f>IFERROR(__xludf.DUMMYFUNCTION("""COMPUTED_VALUE"""),150.0)</f>
        <v>150</v>
      </c>
      <c r="D981" s="9">
        <f>IFERROR(__xludf.DUMMYFUNCTION("""COMPUTED_VALUE"""),143.66)</f>
        <v>143.66</v>
      </c>
      <c r="E981" s="9">
        <f>IFERROR(__xludf.DUMMYFUNCTION("""COMPUTED_VALUE"""),148.91)</f>
        <v>148.91</v>
      </c>
      <c r="F981" s="9">
        <f>IFERROR(__xludf.DUMMYFUNCTION("""COMPUTED_VALUE"""),1565092.0)</f>
        <v>1565092</v>
      </c>
      <c r="H981" s="27">
        <f>IFERROR(__xludf.DUMMYFUNCTION("""COMPUTED_VALUE"""),39800.645833333336)</f>
        <v>39800.64583</v>
      </c>
      <c r="I981" s="25">
        <f>IFERROR(__xludf.DUMMYFUNCTION("""COMPUTED_VALUE"""),118.73)</f>
        <v>118.73</v>
      </c>
      <c r="J981" s="25">
        <f>IFERROR(__xludf.DUMMYFUNCTION("""COMPUTED_VALUE"""),128.53)</f>
        <v>128.53</v>
      </c>
      <c r="K981" s="25">
        <f>IFERROR(__xludf.DUMMYFUNCTION("""COMPUTED_VALUE"""),118.0)</f>
        <v>118</v>
      </c>
      <c r="L981" s="25">
        <f>IFERROR(__xludf.DUMMYFUNCTION("""COMPUTED_VALUE"""),127.63)</f>
        <v>127.63</v>
      </c>
      <c r="M981" s="25">
        <f>IFERROR(__xludf.DUMMYFUNCTION("""COMPUTED_VALUE"""),1430984.0)</f>
        <v>1430984</v>
      </c>
    </row>
    <row r="982">
      <c r="A982" s="26">
        <f>IFERROR(__xludf.DUMMYFUNCTION("""COMPUTED_VALUE"""),39804.645833333336)</f>
        <v>39804.64583</v>
      </c>
      <c r="B982" s="9">
        <f>IFERROR(__xludf.DUMMYFUNCTION("""COMPUTED_VALUE"""),150.0)</f>
        <v>150</v>
      </c>
      <c r="C982" s="9">
        <f>IFERROR(__xludf.DUMMYFUNCTION("""COMPUTED_VALUE"""),150.63)</f>
        <v>150.63</v>
      </c>
      <c r="D982" s="9">
        <f>IFERROR(__xludf.DUMMYFUNCTION("""COMPUTED_VALUE"""),145.76)</f>
        <v>145.76</v>
      </c>
      <c r="E982" s="9">
        <f>IFERROR(__xludf.DUMMYFUNCTION("""COMPUTED_VALUE"""),148.35)</f>
        <v>148.35</v>
      </c>
      <c r="F982" s="9">
        <f>IFERROR(__xludf.DUMMYFUNCTION("""COMPUTED_VALUE"""),1093648.0)</f>
        <v>1093648</v>
      </c>
      <c r="H982" s="27">
        <f>IFERROR(__xludf.DUMMYFUNCTION("""COMPUTED_VALUE"""),39801.645833333336)</f>
        <v>39801.64583</v>
      </c>
      <c r="I982" s="25">
        <f>IFERROR(__xludf.DUMMYFUNCTION("""COMPUTED_VALUE"""),125.75)</f>
        <v>125.75</v>
      </c>
      <c r="J982" s="25">
        <f>IFERROR(__xludf.DUMMYFUNCTION("""COMPUTED_VALUE"""),133.5)</f>
        <v>133.5</v>
      </c>
      <c r="K982" s="25">
        <f>IFERROR(__xludf.DUMMYFUNCTION("""COMPUTED_VALUE"""),123.53)</f>
        <v>123.53</v>
      </c>
      <c r="L982" s="25">
        <f>IFERROR(__xludf.DUMMYFUNCTION("""COMPUTED_VALUE"""),128.39)</f>
        <v>128.39</v>
      </c>
      <c r="M982" s="25">
        <f>IFERROR(__xludf.DUMMYFUNCTION("""COMPUTED_VALUE"""),1235997.0)</f>
        <v>1235997</v>
      </c>
    </row>
    <row r="983">
      <c r="A983" s="26">
        <f>IFERROR(__xludf.DUMMYFUNCTION("""COMPUTED_VALUE"""),39805.645833333336)</f>
        <v>39805.64583</v>
      </c>
      <c r="B983" s="9">
        <f>IFERROR(__xludf.DUMMYFUNCTION("""COMPUTED_VALUE"""),146.98)</f>
        <v>146.98</v>
      </c>
      <c r="C983" s="9">
        <f>IFERROR(__xludf.DUMMYFUNCTION("""COMPUTED_VALUE"""),148.75)</f>
        <v>148.75</v>
      </c>
      <c r="D983" s="9">
        <f>IFERROR(__xludf.DUMMYFUNCTION("""COMPUTED_VALUE"""),145.45)</f>
        <v>145.45</v>
      </c>
      <c r="E983" s="9">
        <f>IFERROR(__xludf.DUMMYFUNCTION("""COMPUTED_VALUE"""),147.01)</f>
        <v>147.01</v>
      </c>
      <c r="F983" s="9">
        <f>IFERROR(__xludf.DUMMYFUNCTION("""COMPUTED_VALUE"""),887526.0)</f>
        <v>887526</v>
      </c>
      <c r="H983" s="27">
        <f>IFERROR(__xludf.DUMMYFUNCTION("""COMPUTED_VALUE"""),39804.645833333336)</f>
        <v>39804.64583</v>
      </c>
      <c r="I983" s="25">
        <f>IFERROR(__xludf.DUMMYFUNCTION("""COMPUTED_VALUE"""),129.88)</f>
        <v>129.88</v>
      </c>
      <c r="J983" s="25">
        <f>IFERROR(__xludf.DUMMYFUNCTION("""COMPUTED_VALUE"""),129.88)</f>
        <v>129.88</v>
      </c>
      <c r="K983" s="25">
        <f>IFERROR(__xludf.DUMMYFUNCTION("""COMPUTED_VALUE"""),125.85)</f>
        <v>125.85</v>
      </c>
      <c r="L983" s="25">
        <f>IFERROR(__xludf.DUMMYFUNCTION("""COMPUTED_VALUE"""),127.64)</f>
        <v>127.64</v>
      </c>
      <c r="M983" s="25">
        <f>IFERROR(__xludf.DUMMYFUNCTION("""COMPUTED_VALUE"""),1026713.0)</f>
        <v>1026713</v>
      </c>
    </row>
    <row r="984">
      <c r="A984" s="26">
        <f>IFERROR(__xludf.DUMMYFUNCTION("""COMPUTED_VALUE"""),39806.645833333336)</f>
        <v>39806.64583</v>
      </c>
      <c r="B984" s="9">
        <f>IFERROR(__xludf.DUMMYFUNCTION("""COMPUTED_VALUE"""),147.5)</f>
        <v>147.5</v>
      </c>
      <c r="C984" s="9">
        <f>IFERROR(__xludf.DUMMYFUNCTION("""COMPUTED_VALUE"""),152.78)</f>
        <v>152.78</v>
      </c>
      <c r="D984" s="9">
        <f>IFERROR(__xludf.DUMMYFUNCTION("""COMPUTED_VALUE"""),145.96)</f>
        <v>145.96</v>
      </c>
      <c r="E984" s="9">
        <f>IFERROR(__xludf.DUMMYFUNCTION("""COMPUTED_VALUE"""),146.75)</f>
        <v>146.75</v>
      </c>
      <c r="F984" s="9">
        <f>IFERROR(__xludf.DUMMYFUNCTION("""COMPUTED_VALUE"""),1068882.0)</f>
        <v>1068882</v>
      </c>
      <c r="H984" s="27">
        <f>IFERROR(__xludf.DUMMYFUNCTION("""COMPUTED_VALUE"""),39805.645833333336)</f>
        <v>39805.64583</v>
      </c>
      <c r="I984" s="25">
        <f>IFERROR(__xludf.DUMMYFUNCTION("""COMPUTED_VALUE"""),123.8)</f>
        <v>123.8</v>
      </c>
      <c r="J984" s="25">
        <f>IFERROR(__xludf.DUMMYFUNCTION("""COMPUTED_VALUE"""),127.9)</f>
        <v>127.9</v>
      </c>
      <c r="K984" s="25">
        <f>IFERROR(__xludf.DUMMYFUNCTION("""COMPUTED_VALUE"""),123.06)</f>
        <v>123.06</v>
      </c>
      <c r="L984" s="25">
        <f>IFERROR(__xludf.DUMMYFUNCTION("""COMPUTED_VALUE"""),125.15)</f>
        <v>125.15</v>
      </c>
      <c r="M984" s="25">
        <f>IFERROR(__xludf.DUMMYFUNCTION("""COMPUTED_VALUE"""),891780.0)</f>
        <v>891780</v>
      </c>
    </row>
    <row r="985">
      <c r="A985" s="26">
        <f>IFERROR(__xludf.DUMMYFUNCTION("""COMPUTED_VALUE"""),39808.645833333336)</f>
        <v>39808.64583</v>
      </c>
      <c r="B985" s="9">
        <f>IFERROR(__xludf.DUMMYFUNCTION("""COMPUTED_VALUE"""),144.63)</f>
        <v>144.63</v>
      </c>
      <c r="C985" s="9">
        <f>IFERROR(__xludf.DUMMYFUNCTION("""COMPUTED_VALUE"""),148.6)</f>
        <v>148.6</v>
      </c>
      <c r="D985" s="9">
        <f>IFERROR(__xludf.DUMMYFUNCTION("""COMPUTED_VALUE"""),138.13)</f>
        <v>138.13</v>
      </c>
      <c r="E985" s="9">
        <f>IFERROR(__xludf.DUMMYFUNCTION("""COMPUTED_VALUE"""),138.66)</f>
        <v>138.66</v>
      </c>
      <c r="F985" s="9">
        <f>IFERROR(__xludf.DUMMYFUNCTION("""COMPUTED_VALUE"""),1486165.0)</f>
        <v>1486165</v>
      </c>
      <c r="H985" s="27">
        <f>IFERROR(__xludf.DUMMYFUNCTION("""COMPUTED_VALUE"""),39806.645833333336)</f>
        <v>39806.64583</v>
      </c>
      <c r="I985" s="25">
        <f>IFERROR(__xludf.DUMMYFUNCTION("""COMPUTED_VALUE"""),124.18)</f>
        <v>124.18</v>
      </c>
      <c r="J985" s="25">
        <f>IFERROR(__xludf.DUMMYFUNCTION("""COMPUTED_VALUE"""),126.19)</f>
        <v>126.19</v>
      </c>
      <c r="K985" s="25">
        <f>IFERROR(__xludf.DUMMYFUNCTION("""COMPUTED_VALUE"""),118.06)</f>
        <v>118.06</v>
      </c>
      <c r="L985" s="25">
        <f>IFERROR(__xludf.DUMMYFUNCTION("""COMPUTED_VALUE"""),119.54)</f>
        <v>119.54</v>
      </c>
      <c r="M985" s="25">
        <f>IFERROR(__xludf.DUMMYFUNCTION("""COMPUTED_VALUE"""),2287109.0)</f>
        <v>2287109</v>
      </c>
    </row>
    <row r="986">
      <c r="A986" s="26">
        <f>IFERROR(__xludf.DUMMYFUNCTION("""COMPUTED_VALUE"""),39811.645833333336)</f>
        <v>39811.64583</v>
      </c>
      <c r="B986" s="9">
        <f>IFERROR(__xludf.DUMMYFUNCTION("""COMPUTED_VALUE"""),138.76)</f>
        <v>138.76</v>
      </c>
      <c r="C986" s="9">
        <f>IFERROR(__xludf.DUMMYFUNCTION("""COMPUTED_VALUE"""),139.95)</f>
        <v>139.95</v>
      </c>
      <c r="D986" s="9">
        <f>IFERROR(__xludf.DUMMYFUNCTION("""COMPUTED_VALUE"""),133.13)</f>
        <v>133.13</v>
      </c>
      <c r="E986" s="9">
        <f>IFERROR(__xludf.DUMMYFUNCTION("""COMPUTED_VALUE"""),139.22)</f>
        <v>139.22</v>
      </c>
      <c r="F986" s="9">
        <f>IFERROR(__xludf.DUMMYFUNCTION("""COMPUTED_VALUE"""),1783086.0)</f>
        <v>1783086</v>
      </c>
      <c r="H986" s="27">
        <f>IFERROR(__xludf.DUMMYFUNCTION("""COMPUTED_VALUE"""),39808.645833333336)</f>
        <v>39808.64583</v>
      </c>
      <c r="I986" s="25">
        <f>IFERROR(__xludf.DUMMYFUNCTION("""COMPUTED_VALUE"""),116.3)</f>
        <v>116.3</v>
      </c>
      <c r="J986" s="25">
        <f>IFERROR(__xludf.DUMMYFUNCTION("""COMPUTED_VALUE"""),123.75)</f>
        <v>123.75</v>
      </c>
      <c r="K986" s="25">
        <f>IFERROR(__xludf.DUMMYFUNCTION("""COMPUTED_VALUE"""),116.3)</f>
        <v>116.3</v>
      </c>
      <c r="L986" s="25">
        <f>IFERROR(__xludf.DUMMYFUNCTION("""COMPUTED_VALUE"""),117.91)</f>
        <v>117.91</v>
      </c>
      <c r="M986" s="25">
        <f>IFERROR(__xludf.DUMMYFUNCTION("""COMPUTED_VALUE"""),788641.0)</f>
        <v>788641</v>
      </c>
    </row>
    <row r="987">
      <c r="A987" s="26">
        <f>IFERROR(__xludf.DUMMYFUNCTION("""COMPUTED_VALUE"""),39812.645833333336)</f>
        <v>39812.64583</v>
      </c>
      <c r="B987" s="9">
        <f>IFERROR(__xludf.DUMMYFUNCTION("""COMPUTED_VALUE"""),140.25)</f>
        <v>140.25</v>
      </c>
      <c r="C987" s="9">
        <f>IFERROR(__xludf.DUMMYFUNCTION("""COMPUTED_VALUE"""),141.73)</f>
        <v>141.73</v>
      </c>
      <c r="D987" s="9">
        <f>IFERROR(__xludf.DUMMYFUNCTION("""COMPUTED_VALUE"""),136.39)</f>
        <v>136.39</v>
      </c>
      <c r="E987" s="9">
        <f>IFERROR(__xludf.DUMMYFUNCTION("""COMPUTED_VALUE"""),140.99)</f>
        <v>140.99</v>
      </c>
      <c r="F987" s="9">
        <f>IFERROR(__xludf.DUMMYFUNCTION("""COMPUTED_VALUE"""),1057188.0)</f>
        <v>1057188</v>
      </c>
      <c r="H987" s="27">
        <f>IFERROR(__xludf.DUMMYFUNCTION("""COMPUTED_VALUE"""),39811.645833333336)</f>
        <v>39811.64583</v>
      </c>
      <c r="I987" s="25">
        <f>IFERROR(__xludf.DUMMYFUNCTION("""COMPUTED_VALUE"""),119.0)</f>
        <v>119</v>
      </c>
      <c r="J987" s="25">
        <f>IFERROR(__xludf.DUMMYFUNCTION("""COMPUTED_VALUE"""),119.88)</f>
        <v>119.88</v>
      </c>
      <c r="K987" s="25">
        <f>IFERROR(__xludf.DUMMYFUNCTION("""COMPUTED_VALUE"""),115.0)</f>
        <v>115</v>
      </c>
      <c r="L987" s="25">
        <f>IFERROR(__xludf.DUMMYFUNCTION("""COMPUTED_VALUE"""),119.2)</f>
        <v>119.2</v>
      </c>
      <c r="M987" s="25">
        <f>IFERROR(__xludf.DUMMYFUNCTION("""COMPUTED_VALUE"""),1218902.0)</f>
        <v>1218902</v>
      </c>
    </row>
    <row r="988">
      <c r="A988" s="26">
        <f>IFERROR(__xludf.DUMMYFUNCTION("""COMPUTED_VALUE"""),39813.645833333336)</f>
        <v>39813.64583</v>
      </c>
      <c r="B988" s="9">
        <f>IFERROR(__xludf.DUMMYFUNCTION("""COMPUTED_VALUE"""),141.88)</f>
        <v>141.88</v>
      </c>
      <c r="C988" s="9">
        <f>IFERROR(__xludf.DUMMYFUNCTION("""COMPUTED_VALUE"""),142.38)</f>
        <v>142.38</v>
      </c>
      <c r="D988" s="9">
        <f>IFERROR(__xludf.DUMMYFUNCTION("""COMPUTED_VALUE"""),137.89)</f>
        <v>137.89</v>
      </c>
      <c r="E988" s="9">
        <f>IFERROR(__xludf.DUMMYFUNCTION("""COMPUTED_VALUE"""),139.43)</f>
        <v>139.43</v>
      </c>
      <c r="F988" s="9">
        <f>IFERROR(__xludf.DUMMYFUNCTION("""COMPUTED_VALUE"""),902665.0)</f>
        <v>902665</v>
      </c>
      <c r="H988" s="27">
        <f>IFERROR(__xludf.DUMMYFUNCTION("""COMPUTED_VALUE"""),39812.645833333336)</f>
        <v>39812.64583</v>
      </c>
      <c r="I988" s="25">
        <f>IFERROR(__xludf.DUMMYFUNCTION("""COMPUTED_VALUE"""),121.25)</f>
        <v>121.25</v>
      </c>
      <c r="J988" s="25">
        <f>IFERROR(__xludf.DUMMYFUNCTION("""COMPUTED_VALUE"""),123.38)</f>
        <v>123.38</v>
      </c>
      <c r="K988" s="25">
        <f>IFERROR(__xludf.DUMMYFUNCTION("""COMPUTED_VALUE"""),117.5)</f>
        <v>117.5</v>
      </c>
      <c r="L988" s="25">
        <f>IFERROR(__xludf.DUMMYFUNCTION("""COMPUTED_VALUE"""),120.64)</f>
        <v>120.64</v>
      </c>
      <c r="M988" s="25">
        <f>IFERROR(__xludf.DUMMYFUNCTION("""COMPUTED_VALUE"""),880632.0)</f>
        <v>880632</v>
      </c>
    </row>
    <row r="989">
      <c r="A989" s="26">
        <f>IFERROR(__xludf.DUMMYFUNCTION("""COMPUTED_VALUE"""),39814.645833333336)</f>
        <v>39814.64583</v>
      </c>
      <c r="B989" s="9">
        <f>IFERROR(__xludf.DUMMYFUNCTION("""COMPUTED_VALUE"""),139.5)</f>
        <v>139.5</v>
      </c>
      <c r="C989" s="9">
        <f>IFERROR(__xludf.DUMMYFUNCTION("""COMPUTED_VALUE"""),144.11)</f>
        <v>144.11</v>
      </c>
      <c r="D989" s="9">
        <f>IFERROR(__xludf.DUMMYFUNCTION("""COMPUTED_VALUE"""),138.97)</f>
        <v>138.97</v>
      </c>
      <c r="E989" s="9">
        <f>IFERROR(__xludf.DUMMYFUNCTION("""COMPUTED_VALUE"""),143.52)</f>
        <v>143.52</v>
      </c>
      <c r="F989" s="9">
        <f>IFERROR(__xludf.DUMMYFUNCTION("""COMPUTED_VALUE"""),932024.0)</f>
        <v>932024</v>
      </c>
      <c r="H989" s="27">
        <f>IFERROR(__xludf.DUMMYFUNCTION("""COMPUTED_VALUE"""),39813.645833333336)</f>
        <v>39813.64583</v>
      </c>
      <c r="I989" s="25">
        <f>IFERROR(__xludf.DUMMYFUNCTION("""COMPUTED_VALUE"""),123.08)</f>
        <v>123.08</v>
      </c>
      <c r="J989" s="25">
        <f>IFERROR(__xludf.DUMMYFUNCTION("""COMPUTED_VALUE"""),123.08)</f>
        <v>123.08</v>
      </c>
      <c r="K989" s="25">
        <f>IFERROR(__xludf.DUMMYFUNCTION("""COMPUTED_VALUE"""),118.06)</f>
        <v>118.06</v>
      </c>
      <c r="L989" s="25">
        <f>IFERROR(__xludf.DUMMYFUNCTION("""COMPUTED_VALUE"""),119.48)</f>
        <v>119.48</v>
      </c>
      <c r="M989" s="25">
        <f>IFERROR(__xludf.DUMMYFUNCTION("""COMPUTED_VALUE"""),635924.0)</f>
        <v>635924</v>
      </c>
    </row>
    <row r="990">
      <c r="A990" s="26">
        <f>IFERROR(__xludf.DUMMYFUNCTION("""COMPUTED_VALUE"""),39815.645833333336)</f>
        <v>39815.64583</v>
      </c>
      <c r="B990" s="9">
        <f>IFERROR(__xludf.DUMMYFUNCTION("""COMPUTED_VALUE"""),145.63)</f>
        <v>145.63</v>
      </c>
      <c r="C990" s="9">
        <f>IFERROR(__xludf.DUMMYFUNCTION("""COMPUTED_VALUE"""),145.63)</f>
        <v>145.63</v>
      </c>
      <c r="D990" s="9">
        <f>IFERROR(__xludf.DUMMYFUNCTION("""COMPUTED_VALUE"""),140.48)</f>
        <v>140.48</v>
      </c>
      <c r="E990" s="9">
        <f>IFERROR(__xludf.DUMMYFUNCTION("""COMPUTED_VALUE"""),141.51)</f>
        <v>141.51</v>
      </c>
      <c r="F990" s="9">
        <f>IFERROR(__xludf.DUMMYFUNCTION("""COMPUTED_VALUE"""),1126510.0)</f>
        <v>1126510</v>
      </c>
      <c r="H990" s="27">
        <f>IFERROR(__xludf.DUMMYFUNCTION("""COMPUTED_VALUE"""),39814.645833333336)</f>
        <v>39814.64583</v>
      </c>
      <c r="I990" s="25">
        <f>IFERROR(__xludf.DUMMYFUNCTION("""COMPUTED_VALUE"""),120.0)</f>
        <v>120</v>
      </c>
      <c r="J990" s="25">
        <f>IFERROR(__xludf.DUMMYFUNCTION("""COMPUTED_VALUE"""),124.71)</f>
        <v>124.71</v>
      </c>
      <c r="K990" s="25">
        <f>IFERROR(__xludf.DUMMYFUNCTION("""COMPUTED_VALUE"""),119.29)</f>
        <v>119.29</v>
      </c>
      <c r="L990" s="25">
        <f>IFERROR(__xludf.DUMMYFUNCTION("""COMPUTED_VALUE"""),124.21)</f>
        <v>124.21</v>
      </c>
      <c r="M990" s="25">
        <f>IFERROR(__xludf.DUMMYFUNCTION("""COMPUTED_VALUE"""),609108.0)</f>
        <v>609108</v>
      </c>
    </row>
    <row r="991">
      <c r="A991" s="26">
        <f>IFERROR(__xludf.DUMMYFUNCTION("""COMPUTED_VALUE"""),39818.645833333336)</f>
        <v>39818.64583</v>
      </c>
      <c r="B991" s="9">
        <f>IFERROR(__xludf.DUMMYFUNCTION("""COMPUTED_VALUE"""),142.5)</f>
        <v>142.5</v>
      </c>
      <c r="C991" s="9">
        <f>IFERROR(__xludf.DUMMYFUNCTION("""COMPUTED_VALUE"""),148.09)</f>
        <v>148.09</v>
      </c>
      <c r="D991" s="9">
        <f>IFERROR(__xludf.DUMMYFUNCTION("""COMPUTED_VALUE"""),142.46)</f>
        <v>142.46</v>
      </c>
      <c r="E991" s="9">
        <f>IFERROR(__xludf.DUMMYFUNCTION("""COMPUTED_VALUE"""),146.6)</f>
        <v>146.6</v>
      </c>
      <c r="F991" s="9">
        <f>IFERROR(__xludf.DUMMYFUNCTION("""COMPUTED_VALUE"""),1405154.0)</f>
        <v>1405154</v>
      </c>
      <c r="H991" s="27">
        <f>IFERROR(__xludf.DUMMYFUNCTION("""COMPUTED_VALUE"""),39815.645833333336)</f>
        <v>39815.64583</v>
      </c>
      <c r="I991" s="25">
        <f>IFERROR(__xludf.DUMMYFUNCTION("""COMPUTED_VALUE"""),124.26)</f>
        <v>124.26</v>
      </c>
      <c r="J991" s="25">
        <f>IFERROR(__xludf.DUMMYFUNCTION("""COMPUTED_VALUE"""),127.18)</f>
        <v>127.18</v>
      </c>
      <c r="K991" s="25">
        <f>IFERROR(__xludf.DUMMYFUNCTION("""COMPUTED_VALUE"""),123.54)</f>
        <v>123.54</v>
      </c>
      <c r="L991" s="25">
        <f>IFERROR(__xludf.DUMMYFUNCTION("""COMPUTED_VALUE"""),124.58)</f>
        <v>124.58</v>
      </c>
      <c r="M991" s="25">
        <f>IFERROR(__xludf.DUMMYFUNCTION("""COMPUTED_VALUE"""),1343935.0)</f>
        <v>1343935</v>
      </c>
    </row>
    <row r="992">
      <c r="A992" s="26">
        <f>IFERROR(__xludf.DUMMYFUNCTION("""COMPUTED_VALUE"""),39819.645833333336)</f>
        <v>39819.64583</v>
      </c>
      <c r="B992" s="9">
        <f>IFERROR(__xludf.DUMMYFUNCTION("""COMPUTED_VALUE"""),147.5)</f>
        <v>147.5</v>
      </c>
      <c r="C992" s="9">
        <f>IFERROR(__xludf.DUMMYFUNCTION("""COMPUTED_VALUE"""),148.75)</f>
        <v>148.75</v>
      </c>
      <c r="D992" s="9">
        <f>IFERROR(__xludf.DUMMYFUNCTION("""COMPUTED_VALUE"""),143.17)</f>
        <v>143.17</v>
      </c>
      <c r="E992" s="9">
        <f>IFERROR(__xludf.DUMMYFUNCTION("""COMPUTED_VALUE"""),146.07)</f>
        <v>146.07</v>
      </c>
      <c r="F992" s="9">
        <f>IFERROR(__xludf.DUMMYFUNCTION("""COMPUTED_VALUE"""),1445483.0)</f>
        <v>1445483</v>
      </c>
      <c r="H992" s="27">
        <f>IFERROR(__xludf.DUMMYFUNCTION("""COMPUTED_VALUE"""),39818.645833333336)</f>
        <v>39818.64583</v>
      </c>
      <c r="I992" s="25">
        <f>IFERROR(__xludf.DUMMYFUNCTION("""COMPUTED_VALUE"""),125.5)</f>
        <v>125.5</v>
      </c>
      <c r="J992" s="25">
        <f>IFERROR(__xludf.DUMMYFUNCTION("""COMPUTED_VALUE"""),130.75)</f>
        <v>130.75</v>
      </c>
      <c r="K992" s="25">
        <f>IFERROR(__xludf.DUMMYFUNCTION("""COMPUTED_VALUE"""),124.5)</f>
        <v>124.5</v>
      </c>
      <c r="L992" s="25">
        <f>IFERROR(__xludf.DUMMYFUNCTION("""COMPUTED_VALUE"""),128.81)</f>
        <v>128.81</v>
      </c>
      <c r="M992" s="25">
        <f>IFERROR(__xludf.DUMMYFUNCTION("""COMPUTED_VALUE"""),1207444.0)</f>
        <v>1207444</v>
      </c>
    </row>
    <row r="993">
      <c r="A993" s="26">
        <f>IFERROR(__xludf.DUMMYFUNCTION("""COMPUTED_VALUE"""),39820.645833333336)</f>
        <v>39820.64583</v>
      </c>
      <c r="B993" s="9">
        <f>IFERROR(__xludf.DUMMYFUNCTION("""COMPUTED_VALUE"""),146.39)</f>
        <v>146.39</v>
      </c>
      <c r="C993" s="9">
        <f>IFERROR(__xludf.DUMMYFUNCTION("""COMPUTED_VALUE"""),149.69)</f>
        <v>149.69</v>
      </c>
      <c r="D993" s="9">
        <f>IFERROR(__xludf.DUMMYFUNCTION("""COMPUTED_VALUE"""),143.2)</f>
        <v>143.2</v>
      </c>
      <c r="E993" s="9">
        <f>IFERROR(__xludf.DUMMYFUNCTION("""COMPUTED_VALUE"""),148.44)</f>
        <v>148.44</v>
      </c>
      <c r="F993" s="9">
        <f>IFERROR(__xludf.DUMMYFUNCTION("""COMPUTED_VALUE"""),2817294.0)</f>
        <v>2817294</v>
      </c>
      <c r="H993" s="27">
        <f>IFERROR(__xludf.DUMMYFUNCTION("""COMPUTED_VALUE"""),39819.645833333336)</f>
        <v>39819.64583</v>
      </c>
      <c r="I993" s="25">
        <f>IFERROR(__xludf.DUMMYFUNCTION("""COMPUTED_VALUE"""),128.75)</f>
        <v>128.75</v>
      </c>
      <c r="J993" s="25">
        <f>IFERROR(__xludf.DUMMYFUNCTION("""COMPUTED_VALUE"""),130.5)</f>
        <v>130.5</v>
      </c>
      <c r="K993" s="25">
        <f>IFERROR(__xludf.DUMMYFUNCTION("""COMPUTED_VALUE"""),124.56)</f>
        <v>124.56</v>
      </c>
      <c r="L993" s="25">
        <f>IFERROR(__xludf.DUMMYFUNCTION("""COMPUTED_VALUE"""),126.6)</f>
        <v>126.6</v>
      </c>
      <c r="M993" s="25">
        <f>IFERROR(__xludf.DUMMYFUNCTION("""COMPUTED_VALUE"""),1479748.0)</f>
        <v>1479748</v>
      </c>
    </row>
    <row r="994">
      <c r="A994" s="26">
        <f>IFERROR(__xludf.DUMMYFUNCTION("""COMPUTED_VALUE"""),39822.645833333336)</f>
        <v>39822.64583</v>
      </c>
      <c r="B994" s="9">
        <f>IFERROR(__xludf.DUMMYFUNCTION("""COMPUTED_VALUE"""),148.26)</f>
        <v>148.26</v>
      </c>
      <c r="C994" s="9">
        <f>IFERROR(__xludf.DUMMYFUNCTION("""COMPUTED_VALUE"""),158.32)</f>
        <v>158.32</v>
      </c>
      <c r="D994" s="9">
        <f>IFERROR(__xludf.DUMMYFUNCTION("""COMPUTED_VALUE"""),146.25)</f>
        <v>146.25</v>
      </c>
      <c r="E994" s="9">
        <f>IFERROR(__xludf.DUMMYFUNCTION("""COMPUTED_VALUE"""),150.43)</f>
        <v>150.43</v>
      </c>
      <c r="F994" s="9">
        <f>IFERROR(__xludf.DUMMYFUNCTION("""COMPUTED_VALUE"""),5022770.0)</f>
        <v>5022770</v>
      </c>
      <c r="H994" s="27">
        <f>IFERROR(__xludf.DUMMYFUNCTION("""COMPUTED_VALUE"""),39820.645833333336)</f>
        <v>39820.64583</v>
      </c>
      <c r="I994" s="25">
        <f>IFERROR(__xludf.DUMMYFUNCTION("""COMPUTED_VALUE"""),129.75)</f>
        <v>129.75</v>
      </c>
      <c r="J994" s="25">
        <f>IFERROR(__xludf.DUMMYFUNCTION("""COMPUTED_VALUE"""),129.95)</f>
        <v>129.95</v>
      </c>
      <c r="K994" s="25">
        <f>IFERROR(__xludf.DUMMYFUNCTION("""COMPUTED_VALUE"""),116.15)</f>
        <v>116.15</v>
      </c>
      <c r="L994" s="25">
        <f>IFERROR(__xludf.DUMMYFUNCTION("""COMPUTED_VALUE"""),126.2)</f>
        <v>126.2</v>
      </c>
      <c r="M994" s="25">
        <f>IFERROR(__xludf.DUMMYFUNCTION("""COMPUTED_VALUE"""),2253457.0)</f>
        <v>2253457</v>
      </c>
    </row>
    <row r="995">
      <c r="A995" s="26">
        <f>IFERROR(__xludf.DUMMYFUNCTION("""COMPUTED_VALUE"""),39825.645833333336)</f>
        <v>39825.64583</v>
      </c>
      <c r="B995" s="9">
        <f>IFERROR(__xludf.DUMMYFUNCTION("""COMPUTED_VALUE"""),143.96)</f>
        <v>143.96</v>
      </c>
      <c r="C995" s="9">
        <f>IFERROR(__xludf.DUMMYFUNCTION("""COMPUTED_VALUE"""),151.24)</f>
        <v>151.24</v>
      </c>
      <c r="D995" s="9">
        <f>IFERROR(__xludf.DUMMYFUNCTION("""COMPUTED_VALUE"""),142.28)</f>
        <v>142.28</v>
      </c>
      <c r="E995" s="9">
        <f>IFERROR(__xludf.DUMMYFUNCTION("""COMPUTED_VALUE"""),144.96)</f>
        <v>144.96</v>
      </c>
      <c r="F995" s="9">
        <f>IFERROR(__xludf.DUMMYFUNCTION("""COMPUTED_VALUE"""),3908647.0)</f>
        <v>3908647</v>
      </c>
      <c r="H995" s="27">
        <f>IFERROR(__xludf.DUMMYFUNCTION("""COMPUTED_VALUE"""),39822.645833333336)</f>
        <v>39822.64583</v>
      </c>
      <c r="I995" s="25">
        <f>IFERROR(__xludf.DUMMYFUNCTION("""COMPUTED_VALUE"""),124.98)</f>
        <v>124.98</v>
      </c>
      <c r="J995" s="25">
        <f>IFERROR(__xludf.DUMMYFUNCTION("""COMPUTED_VALUE"""),137.45)</f>
        <v>137.45</v>
      </c>
      <c r="K995" s="25">
        <f>IFERROR(__xludf.DUMMYFUNCTION("""COMPUTED_VALUE"""),121.25)</f>
        <v>121.25</v>
      </c>
      <c r="L995" s="25">
        <f>IFERROR(__xludf.DUMMYFUNCTION("""COMPUTED_VALUE"""),134.24)</f>
        <v>134.24</v>
      </c>
      <c r="M995" s="25">
        <f>IFERROR(__xludf.DUMMYFUNCTION("""COMPUTED_VALUE"""),3554995.0)</f>
        <v>3554995</v>
      </c>
    </row>
    <row r="996">
      <c r="A996" s="26">
        <f>IFERROR(__xludf.DUMMYFUNCTION("""COMPUTED_VALUE"""),39826.645833333336)</f>
        <v>39826.64583</v>
      </c>
      <c r="B996" s="9">
        <f>IFERROR(__xludf.DUMMYFUNCTION("""COMPUTED_VALUE"""),147.49)</f>
        <v>147.49</v>
      </c>
      <c r="C996" s="9">
        <f>IFERROR(__xludf.DUMMYFUNCTION("""COMPUTED_VALUE"""),155.3)</f>
        <v>155.3</v>
      </c>
      <c r="D996" s="9">
        <f>IFERROR(__xludf.DUMMYFUNCTION("""COMPUTED_VALUE"""),139.88)</f>
        <v>139.88</v>
      </c>
      <c r="E996" s="9">
        <f>IFERROR(__xludf.DUMMYFUNCTION("""COMPUTED_VALUE"""),153.52)</f>
        <v>153.52</v>
      </c>
      <c r="F996" s="9">
        <f>IFERROR(__xludf.DUMMYFUNCTION("""COMPUTED_VALUE"""),5494582.0)</f>
        <v>5494582</v>
      </c>
      <c r="H996" s="27">
        <f>IFERROR(__xludf.DUMMYFUNCTION("""COMPUTED_VALUE"""),39825.645833333336)</f>
        <v>39825.64583</v>
      </c>
      <c r="I996" s="25">
        <f>IFERROR(__xludf.DUMMYFUNCTION("""COMPUTED_VALUE"""),127.91)</f>
        <v>127.91</v>
      </c>
      <c r="J996" s="25">
        <f>IFERROR(__xludf.DUMMYFUNCTION("""COMPUTED_VALUE"""),132.5)</f>
        <v>132.5</v>
      </c>
      <c r="K996" s="25">
        <f>IFERROR(__xludf.DUMMYFUNCTION("""COMPUTED_VALUE"""),126.28)</f>
        <v>126.28</v>
      </c>
      <c r="L996" s="25">
        <f>IFERROR(__xludf.DUMMYFUNCTION("""COMPUTED_VALUE"""),128.14)</f>
        <v>128.14</v>
      </c>
      <c r="M996" s="25">
        <f>IFERROR(__xludf.DUMMYFUNCTION("""COMPUTED_VALUE"""),1898854.0)</f>
        <v>1898854</v>
      </c>
    </row>
    <row r="997">
      <c r="A997" s="26">
        <f>IFERROR(__xludf.DUMMYFUNCTION("""COMPUTED_VALUE"""),39827.645833333336)</f>
        <v>39827.64583</v>
      </c>
      <c r="B997" s="9">
        <f>IFERROR(__xludf.DUMMYFUNCTION("""COMPUTED_VALUE"""),153.19)</f>
        <v>153.19</v>
      </c>
      <c r="C997" s="9">
        <f>IFERROR(__xludf.DUMMYFUNCTION("""COMPUTED_VALUE"""),164.25)</f>
        <v>164.25</v>
      </c>
      <c r="D997" s="9">
        <f>IFERROR(__xludf.DUMMYFUNCTION("""COMPUTED_VALUE"""),153.19)</f>
        <v>153.19</v>
      </c>
      <c r="E997" s="9">
        <f>IFERROR(__xludf.DUMMYFUNCTION("""COMPUTED_VALUE"""),162.95)</f>
        <v>162.95</v>
      </c>
      <c r="F997" s="9">
        <f>IFERROR(__xludf.DUMMYFUNCTION("""COMPUTED_VALUE"""),5193908.0)</f>
        <v>5193908</v>
      </c>
      <c r="H997" s="27">
        <f>IFERROR(__xludf.DUMMYFUNCTION("""COMPUTED_VALUE"""),39826.645833333336)</f>
        <v>39826.64583</v>
      </c>
      <c r="I997" s="25">
        <f>IFERROR(__xludf.DUMMYFUNCTION("""COMPUTED_VALUE"""),124.9)</f>
        <v>124.9</v>
      </c>
      <c r="J997" s="25">
        <f>IFERROR(__xludf.DUMMYFUNCTION("""COMPUTED_VALUE"""),134.25)</f>
        <v>134.25</v>
      </c>
      <c r="K997" s="25">
        <f>IFERROR(__xludf.DUMMYFUNCTION("""COMPUTED_VALUE"""),122.05)</f>
        <v>122.05</v>
      </c>
      <c r="L997" s="25">
        <f>IFERROR(__xludf.DUMMYFUNCTION("""COMPUTED_VALUE"""),131.41)</f>
        <v>131.41</v>
      </c>
      <c r="M997" s="25">
        <f>IFERROR(__xludf.DUMMYFUNCTION("""COMPUTED_VALUE"""),3339952.0)</f>
        <v>3339952</v>
      </c>
    </row>
    <row r="998">
      <c r="A998" s="26">
        <f>IFERROR(__xludf.DUMMYFUNCTION("""COMPUTED_VALUE"""),39828.645833333336)</f>
        <v>39828.64583</v>
      </c>
      <c r="B998" s="9">
        <f>IFERROR(__xludf.DUMMYFUNCTION("""COMPUTED_VALUE"""),157.5)</f>
        <v>157.5</v>
      </c>
      <c r="C998" s="9">
        <f>IFERROR(__xludf.DUMMYFUNCTION("""COMPUTED_VALUE"""),157.99)</f>
        <v>157.99</v>
      </c>
      <c r="D998" s="9">
        <f>IFERROR(__xludf.DUMMYFUNCTION("""COMPUTED_VALUE"""),151.88)</f>
        <v>151.88</v>
      </c>
      <c r="E998" s="9">
        <f>IFERROR(__xludf.DUMMYFUNCTION("""COMPUTED_VALUE"""),156.46)</f>
        <v>156.46</v>
      </c>
      <c r="F998" s="9">
        <f>IFERROR(__xludf.DUMMYFUNCTION("""COMPUTED_VALUE"""),3169897.0)</f>
        <v>3169897</v>
      </c>
      <c r="H998" s="27">
        <f>IFERROR(__xludf.DUMMYFUNCTION("""COMPUTED_VALUE"""),39827.645833333336)</f>
        <v>39827.64583</v>
      </c>
      <c r="I998" s="25">
        <f>IFERROR(__xludf.DUMMYFUNCTION("""COMPUTED_VALUE"""),132.0)</f>
        <v>132</v>
      </c>
      <c r="J998" s="25">
        <f>IFERROR(__xludf.DUMMYFUNCTION("""COMPUTED_VALUE"""),139.4)</f>
        <v>139.4</v>
      </c>
      <c r="K998" s="25">
        <f>IFERROR(__xludf.DUMMYFUNCTION("""COMPUTED_VALUE"""),132.0)</f>
        <v>132</v>
      </c>
      <c r="L998" s="25">
        <f>IFERROR(__xludf.DUMMYFUNCTION("""COMPUTED_VALUE"""),134.74)</f>
        <v>134.74</v>
      </c>
      <c r="M998" s="25">
        <f>IFERROR(__xludf.DUMMYFUNCTION("""COMPUTED_VALUE"""),1489726.0)</f>
        <v>1489726</v>
      </c>
    </row>
    <row r="999">
      <c r="A999" s="26">
        <f>IFERROR(__xludf.DUMMYFUNCTION("""COMPUTED_VALUE"""),39829.645833333336)</f>
        <v>39829.64583</v>
      </c>
      <c r="B999" s="9">
        <f>IFERROR(__xludf.DUMMYFUNCTION("""COMPUTED_VALUE"""),157.25)</f>
        <v>157.25</v>
      </c>
      <c r="C999" s="9">
        <f>IFERROR(__xludf.DUMMYFUNCTION("""COMPUTED_VALUE"""),159.24)</f>
        <v>159.24</v>
      </c>
      <c r="D999" s="9">
        <f>IFERROR(__xludf.DUMMYFUNCTION("""COMPUTED_VALUE"""),155.0)</f>
        <v>155</v>
      </c>
      <c r="E999" s="9">
        <f>IFERROR(__xludf.DUMMYFUNCTION("""COMPUTED_VALUE"""),158.43)</f>
        <v>158.43</v>
      </c>
      <c r="F999" s="9">
        <f>IFERROR(__xludf.DUMMYFUNCTION("""COMPUTED_VALUE"""),1589659.0)</f>
        <v>1589659</v>
      </c>
      <c r="H999" s="27">
        <f>IFERROR(__xludf.DUMMYFUNCTION("""COMPUTED_VALUE"""),39828.645833333336)</f>
        <v>39828.64583</v>
      </c>
      <c r="I999" s="25">
        <f>IFERROR(__xludf.DUMMYFUNCTION("""COMPUTED_VALUE"""),130.0)</f>
        <v>130</v>
      </c>
      <c r="J999" s="25">
        <f>IFERROR(__xludf.DUMMYFUNCTION("""COMPUTED_VALUE"""),130.75)</f>
        <v>130.75</v>
      </c>
      <c r="K999" s="25">
        <f>IFERROR(__xludf.DUMMYFUNCTION("""COMPUTED_VALUE"""),124.59)</f>
        <v>124.59</v>
      </c>
      <c r="L999" s="25">
        <f>IFERROR(__xludf.DUMMYFUNCTION("""COMPUTED_VALUE"""),127.61)</f>
        <v>127.61</v>
      </c>
      <c r="M999" s="25">
        <f>IFERROR(__xludf.DUMMYFUNCTION("""COMPUTED_VALUE"""),1792881.0)</f>
        <v>1792881</v>
      </c>
    </row>
    <row r="1000">
      <c r="A1000" s="26">
        <f>IFERROR(__xludf.DUMMYFUNCTION("""COMPUTED_VALUE"""),39832.645833333336)</f>
        <v>39832.64583</v>
      </c>
      <c r="B1000" s="9">
        <f>IFERROR(__xludf.DUMMYFUNCTION("""COMPUTED_VALUE"""),158.38)</f>
        <v>158.38</v>
      </c>
      <c r="C1000" s="9">
        <f>IFERROR(__xludf.DUMMYFUNCTION("""COMPUTED_VALUE"""),159.09)</f>
        <v>159.09</v>
      </c>
      <c r="D1000" s="9">
        <f>IFERROR(__xludf.DUMMYFUNCTION("""COMPUTED_VALUE"""),155.07)</f>
        <v>155.07</v>
      </c>
      <c r="E1000" s="9">
        <f>IFERROR(__xludf.DUMMYFUNCTION("""COMPUTED_VALUE"""),157.76)</f>
        <v>157.76</v>
      </c>
      <c r="F1000" s="9">
        <f>IFERROR(__xludf.DUMMYFUNCTION("""COMPUTED_VALUE"""),1192961.0)</f>
        <v>1192961</v>
      </c>
      <c r="H1000" s="27">
        <f>IFERROR(__xludf.DUMMYFUNCTION("""COMPUTED_VALUE"""),39829.645833333336)</f>
        <v>39829.64583</v>
      </c>
      <c r="I1000" s="25">
        <f>IFERROR(__xludf.DUMMYFUNCTION("""COMPUTED_VALUE"""),127.18)</f>
        <v>127.18</v>
      </c>
      <c r="J1000" s="25">
        <f>IFERROR(__xludf.DUMMYFUNCTION("""COMPUTED_VALUE"""),129.75)</f>
        <v>129.75</v>
      </c>
      <c r="K1000" s="25">
        <f>IFERROR(__xludf.DUMMYFUNCTION("""COMPUTED_VALUE"""),121.63)</f>
        <v>121.63</v>
      </c>
      <c r="L1000" s="25">
        <f>IFERROR(__xludf.DUMMYFUNCTION("""COMPUTED_VALUE"""),125.75)</f>
        <v>125.75</v>
      </c>
      <c r="M1000" s="25">
        <f>IFERROR(__xludf.DUMMYFUNCTION("""COMPUTED_VALUE"""),2447519.0)</f>
        <v>2447519</v>
      </c>
    </row>
    <row r="1001">
      <c r="A1001" s="26">
        <f>IFERROR(__xludf.DUMMYFUNCTION("""COMPUTED_VALUE"""),39833.645833333336)</f>
        <v>39833.64583</v>
      </c>
      <c r="B1001" s="9">
        <f>IFERROR(__xludf.DUMMYFUNCTION("""COMPUTED_VALUE"""),155.0)</f>
        <v>155</v>
      </c>
      <c r="C1001" s="9">
        <f>IFERROR(__xludf.DUMMYFUNCTION("""COMPUTED_VALUE"""),157.13)</f>
        <v>157.13</v>
      </c>
      <c r="D1001" s="9">
        <f>IFERROR(__xludf.DUMMYFUNCTION("""COMPUTED_VALUE"""),153.75)</f>
        <v>153.75</v>
      </c>
      <c r="E1001" s="9">
        <f>IFERROR(__xludf.DUMMYFUNCTION("""COMPUTED_VALUE"""),156.47)</f>
        <v>156.47</v>
      </c>
      <c r="F1001" s="9">
        <f>IFERROR(__xludf.DUMMYFUNCTION("""COMPUTED_VALUE"""),621836.0)</f>
        <v>621836</v>
      </c>
      <c r="H1001" s="27">
        <f>IFERROR(__xludf.DUMMYFUNCTION("""COMPUTED_VALUE"""),39832.645833333336)</f>
        <v>39832.64583</v>
      </c>
      <c r="I1001" s="25">
        <f>IFERROR(__xludf.DUMMYFUNCTION("""COMPUTED_VALUE"""),129.48)</f>
        <v>129.48</v>
      </c>
      <c r="J1001" s="25">
        <f>IFERROR(__xludf.DUMMYFUNCTION("""COMPUTED_VALUE"""),129.48)</f>
        <v>129.48</v>
      </c>
      <c r="K1001" s="25">
        <f>IFERROR(__xludf.DUMMYFUNCTION("""COMPUTED_VALUE"""),121.83)</f>
        <v>121.83</v>
      </c>
      <c r="L1001" s="25">
        <f>IFERROR(__xludf.DUMMYFUNCTION("""COMPUTED_VALUE"""),125.19)</f>
        <v>125.19</v>
      </c>
      <c r="M1001" s="25">
        <f>IFERROR(__xludf.DUMMYFUNCTION("""COMPUTED_VALUE"""),1717094.0)</f>
        <v>1717094</v>
      </c>
    </row>
    <row r="1002">
      <c r="A1002" s="26">
        <f>IFERROR(__xludf.DUMMYFUNCTION("""COMPUTED_VALUE"""),39834.645833333336)</f>
        <v>39834.64583</v>
      </c>
      <c r="B1002" s="9">
        <f>IFERROR(__xludf.DUMMYFUNCTION("""COMPUTED_VALUE"""),153.88)</f>
        <v>153.88</v>
      </c>
      <c r="C1002" s="9">
        <f>IFERROR(__xludf.DUMMYFUNCTION("""COMPUTED_VALUE"""),156.44)</f>
        <v>156.44</v>
      </c>
      <c r="D1002" s="9">
        <f>IFERROR(__xludf.DUMMYFUNCTION("""COMPUTED_VALUE"""),151.75)</f>
        <v>151.75</v>
      </c>
      <c r="E1002" s="9">
        <f>IFERROR(__xludf.DUMMYFUNCTION("""COMPUTED_VALUE"""),152.98)</f>
        <v>152.98</v>
      </c>
      <c r="F1002" s="9">
        <f>IFERROR(__xludf.DUMMYFUNCTION("""COMPUTED_VALUE"""),971342.0)</f>
        <v>971342</v>
      </c>
      <c r="H1002" s="27">
        <f>IFERROR(__xludf.DUMMYFUNCTION("""COMPUTED_VALUE"""),39833.645833333336)</f>
        <v>39833.64583</v>
      </c>
      <c r="I1002" s="25">
        <f>IFERROR(__xludf.DUMMYFUNCTION("""COMPUTED_VALUE"""),123.68)</f>
        <v>123.68</v>
      </c>
      <c r="J1002" s="25">
        <f>IFERROR(__xludf.DUMMYFUNCTION("""COMPUTED_VALUE"""),126.98)</f>
        <v>126.98</v>
      </c>
      <c r="K1002" s="25">
        <f>IFERROR(__xludf.DUMMYFUNCTION("""COMPUTED_VALUE"""),122.5)</f>
        <v>122.5</v>
      </c>
      <c r="L1002" s="25">
        <f>IFERROR(__xludf.DUMMYFUNCTION("""COMPUTED_VALUE"""),124.11)</f>
        <v>124.11</v>
      </c>
      <c r="M1002" s="25">
        <f>IFERROR(__xludf.DUMMYFUNCTION("""COMPUTED_VALUE"""),1158799.0)</f>
        <v>1158799</v>
      </c>
    </row>
    <row r="1003">
      <c r="A1003" s="26">
        <f>IFERROR(__xludf.DUMMYFUNCTION("""COMPUTED_VALUE"""),39835.645833333336)</f>
        <v>39835.64583</v>
      </c>
      <c r="B1003" s="9">
        <f>IFERROR(__xludf.DUMMYFUNCTION("""COMPUTED_VALUE"""),154.38)</f>
        <v>154.38</v>
      </c>
      <c r="C1003" s="9">
        <f>IFERROR(__xludf.DUMMYFUNCTION("""COMPUTED_VALUE"""),154.88)</f>
        <v>154.88</v>
      </c>
      <c r="D1003" s="9">
        <f>IFERROR(__xludf.DUMMYFUNCTION("""COMPUTED_VALUE"""),150.38)</f>
        <v>150.38</v>
      </c>
      <c r="E1003" s="9">
        <f>IFERROR(__xludf.DUMMYFUNCTION("""COMPUTED_VALUE"""),153.86)</f>
        <v>153.86</v>
      </c>
      <c r="F1003" s="9">
        <f>IFERROR(__xludf.DUMMYFUNCTION("""COMPUTED_VALUE"""),1097010.0)</f>
        <v>1097010</v>
      </c>
      <c r="H1003" s="27">
        <f>IFERROR(__xludf.DUMMYFUNCTION("""COMPUTED_VALUE"""),39834.645833333336)</f>
        <v>39834.64583</v>
      </c>
      <c r="I1003" s="25">
        <f>IFERROR(__xludf.DUMMYFUNCTION("""COMPUTED_VALUE"""),122.75)</f>
        <v>122.75</v>
      </c>
      <c r="J1003" s="25">
        <f>IFERROR(__xludf.DUMMYFUNCTION("""COMPUTED_VALUE"""),125.25)</f>
        <v>125.25</v>
      </c>
      <c r="K1003" s="25">
        <f>IFERROR(__xludf.DUMMYFUNCTION("""COMPUTED_VALUE"""),121.25)</f>
        <v>121.25</v>
      </c>
      <c r="L1003" s="25">
        <f>IFERROR(__xludf.DUMMYFUNCTION("""COMPUTED_VALUE"""),123.08)</f>
        <v>123.08</v>
      </c>
      <c r="M1003" s="25">
        <f>IFERROR(__xludf.DUMMYFUNCTION("""COMPUTED_VALUE"""),917465.0)</f>
        <v>917465</v>
      </c>
    </row>
    <row r="1004">
      <c r="A1004" s="26">
        <f>IFERROR(__xludf.DUMMYFUNCTION("""COMPUTED_VALUE"""),39836.645833333336)</f>
        <v>39836.64583</v>
      </c>
      <c r="B1004" s="9">
        <f>IFERROR(__xludf.DUMMYFUNCTION("""COMPUTED_VALUE"""),151.25)</f>
        <v>151.25</v>
      </c>
      <c r="C1004" s="9">
        <f>IFERROR(__xludf.DUMMYFUNCTION("""COMPUTED_VALUE"""),153.35)</f>
        <v>153.35</v>
      </c>
      <c r="D1004" s="9">
        <f>IFERROR(__xludf.DUMMYFUNCTION("""COMPUTED_VALUE"""),148.82)</f>
        <v>148.82</v>
      </c>
      <c r="E1004" s="9">
        <f>IFERROR(__xludf.DUMMYFUNCTION("""COMPUTED_VALUE"""),150.58)</f>
        <v>150.58</v>
      </c>
      <c r="F1004" s="9">
        <f>IFERROR(__xludf.DUMMYFUNCTION("""COMPUTED_VALUE"""),1453128.0)</f>
        <v>1453128</v>
      </c>
      <c r="H1004" s="27">
        <f>IFERROR(__xludf.DUMMYFUNCTION("""COMPUTED_VALUE"""),39835.645833333336)</f>
        <v>39835.64583</v>
      </c>
      <c r="I1004" s="25">
        <f>IFERROR(__xludf.DUMMYFUNCTION("""COMPUTED_VALUE"""),123.75)</f>
        <v>123.75</v>
      </c>
      <c r="J1004" s="25">
        <f>IFERROR(__xludf.DUMMYFUNCTION("""COMPUTED_VALUE"""),126.01)</f>
        <v>126.01</v>
      </c>
      <c r="K1004" s="25">
        <f>IFERROR(__xludf.DUMMYFUNCTION("""COMPUTED_VALUE"""),120.79)</f>
        <v>120.79</v>
      </c>
      <c r="L1004" s="25">
        <f>IFERROR(__xludf.DUMMYFUNCTION("""COMPUTED_VALUE"""),124.15)</f>
        <v>124.15</v>
      </c>
      <c r="M1004" s="25">
        <f>IFERROR(__xludf.DUMMYFUNCTION("""COMPUTED_VALUE"""),1212034.0)</f>
        <v>1212034</v>
      </c>
    </row>
    <row r="1005">
      <c r="A1005" s="26">
        <f>IFERROR(__xludf.DUMMYFUNCTION("""COMPUTED_VALUE"""),39840.645833333336)</f>
        <v>39840.64583</v>
      </c>
      <c r="B1005" s="9">
        <f>IFERROR(__xludf.DUMMYFUNCTION("""COMPUTED_VALUE"""),152.38)</f>
        <v>152.38</v>
      </c>
      <c r="C1005" s="9">
        <f>IFERROR(__xludf.DUMMYFUNCTION("""COMPUTED_VALUE"""),157.5)</f>
        <v>157.5</v>
      </c>
      <c r="D1005" s="9">
        <f>IFERROR(__xludf.DUMMYFUNCTION("""COMPUTED_VALUE"""),151.88)</f>
        <v>151.88</v>
      </c>
      <c r="E1005" s="9">
        <f>IFERROR(__xludf.DUMMYFUNCTION("""COMPUTED_VALUE"""),156.51)</f>
        <v>156.51</v>
      </c>
      <c r="F1005" s="9">
        <f>IFERROR(__xludf.DUMMYFUNCTION("""COMPUTED_VALUE"""),1313398.0)</f>
        <v>1313398</v>
      </c>
      <c r="H1005" s="27">
        <f>IFERROR(__xludf.DUMMYFUNCTION("""COMPUTED_VALUE"""),39836.645833333336)</f>
        <v>39836.64583</v>
      </c>
      <c r="I1005" s="25">
        <f>IFERROR(__xludf.DUMMYFUNCTION("""COMPUTED_VALUE"""),122.53)</f>
        <v>122.53</v>
      </c>
      <c r="J1005" s="25">
        <f>IFERROR(__xludf.DUMMYFUNCTION("""COMPUTED_VALUE"""),124.73)</f>
        <v>124.73</v>
      </c>
      <c r="K1005" s="25">
        <f>IFERROR(__xludf.DUMMYFUNCTION("""COMPUTED_VALUE"""),120.83)</f>
        <v>120.83</v>
      </c>
      <c r="L1005" s="25">
        <f>IFERROR(__xludf.DUMMYFUNCTION("""COMPUTED_VALUE"""),121.54)</f>
        <v>121.54</v>
      </c>
      <c r="M1005" s="25">
        <f>IFERROR(__xludf.DUMMYFUNCTION("""COMPUTED_VALUE"""),757805.0)</f>
        <v>757805</v>
      </c>
    </row>
    <row r="1006">
      <c r="A1006" s="26">
        <f>IFERROR(__xludf.DUMMYFUNCTION("""COMPUTED_VALUE"""),39841.645833333336)</f>
        <v>39841.64583</v>
      </c>
      <c r="B1006" s="9">
        <f>IFERROR(__xludf.DUMMYFUNCTION("""COMPUTED_VALUE"""),157.88)</f>
        <v>157.88</v>
      </c>
      <c r="C1006" s="9">
        <f>IFERROR(__xludf.DUMMYFUNCTION("""COMPUTED_VALUE"""),162.0)</f>
        <v>162</v>
      </c>
      <c r="D1006" s="9">
        <f>IFERROR(__xludf.DUMMYFUNCTION("""COMPUTED_VALUE"""),156.25)</f>
        <v>156.25</v>
      </c>
      <c r="E1006" s="9">
        <f>IFERROR(__xludf.DUMMYFUNCTION("""COMPUTED_VALUE"""),160.84)</f>
        <v>160.84</v>
      </c>
      <c r="F1006" s="9">
        <f>IFERROR(__xludf.DUMMYFUNCTION("""COMPUTED_VALUE"""),898481.0)</f>
        <v>898481</v>
      </c>
      <c r="H1006" s="27">
        <f>IFERROR(__xludf.DUMMYFUNCTION("""COMPUTED_VALUE"""),39840.645833333336)</f>
        <v>39840.64583</v>
      </c>
      <c r="I1006" s="25">
        <f>IFERROR(__xludf.DUMMYFUNCTION("""COMPUTED_VALUE"""),122.75)</f>
        <v>122.75</v>
      </c>
      <c r="J1006" s="25">
        <f>IFERROR(__xludf.DUMMYFUNCTION("""COMPUTED_VALUE"""),128.75)</f>
        <v>128.75</v>
      </c>
      <c r="K1006" s="25">
        <f>IFERROR(__xludf.DUMMYFUNCTION("""COMPUTED_VALUE"""),122.75)</f>
        <v>122.75</v>
      </c>
      <c r="L1006" s="25">
        <f>IFERROR(__xludf.DUMMYFUNCTION("""COMPUTED_VALUE"""),124.78)</f>
        <v>124.78</v>
      </c>
      <c r="M1006" s="25">
        <f>IFERROR(__xludf.DUMMYFUNCTION("""COMPUTED_VALUE"""),1310989.0)</f>
        <v>1310989</v>
      </c>
    </row>
    <row r="1007">
      <c r="A1007" s="26">
        <f>IFERROR(__xludf.DUMMYFUNCTION("""COMPUTED_VALUE"""),39842.645833333336)</f>
        <v>39842.64583</v>
      </c>
      <c r="B1007" s="9">
        <f>IFERROR(__xludf.DUMMYFUNCTION("""COMPUTED_VALUE"""),161.25)</f>
        <v>161.25</v>
      </c>
      <c r="C1007" s="9">
        <f>IFERROR(__xludf.DUMMYFUNCTION("""COMPUTED_VALUE"""),164.88)</f>
        <v>164.88</v>
      </c>
      <c r="D1007" s="9">
        <f>IFERROR(__xludf.DUMMYFUNCTION("""COMPUTED_VALUE"""),160.88)</f>
        <v>160.88</v>
      </c>
      <c r="E1007" s="9">
        <f>IFERROR(__xludf.DUMMYFUNCTION("""COMPUTED_VALUE"""),163.77)</f>
        <v>163.77</v>
      </c>
      <c r="F1007" s="9">
        <f>IFERROR(__xludf.DUMMYFUNCTION("""COMPUTED_VALUE"""),3250219.0)</f>
        <v>3250219</v>
      </c>
      <c r="H1007" s="27">
        <f>IFERROR(__xludf.DUMMYFUNCTION("""COMPUTED_VALUE"""),39841.645833333336)</f>
        <v>39841.64583</v>
      </c>
      <c r="I1007" s="25">
        <f>IFERROR(__xludf.DUMMYFUNCTION("""COMPUTED_VALUE"""),118.8)</f>
        <v>118.8</v>
      </c>
      <c r="J1007" s="25">
        <f>IFERROR(__xludf.DUMMYFUNCTION("""COMPUTED_VALUE"""),127.5)</f>
        <v>127.5</v>
      </c>
      <c r="K1007" s="25">
        <f>IFERROR(__xludf.DUMMYFUNCTION("""COMPUTED_VALUE"""),118.8)</f>
        <v>118.8</v>
      </c>
      <c r="L1007" s="25">
        <f>IFERROR(__xludf.DUMMYFUNCTION("""COMPUTED_VALUE"""),126.86)</f>
        <v>126.86</v>
      </c>
      <c r="M1007" s="25">
        <f>IFERROR(__xludf.DUMMYFUNCTION("""COMPUTED_VALUE"""),1197349.0)</f>
        <v>1197349</v>
      </c>
    </row>
    <row r="1008">
      <c r="A1008" s="26">
        <f>IFERROR(__xludf.DUMMYFUNCTION("""COMPUTED_VALUE"""),39843.645833333336)</f>
        <v>39843.64583</v>
      </c>
      <c r="B1008" s="9">
        <f>IFERROR(__xludf.DUMMYFUNCTION("""COMPUTED_VALUE"""),162.63)</f>
        <v>162.63</v>
      </c>
      <c r="C1008" s="9">
        <f>IFERROR(__xludf.DUMMYFUNCTION("""COMPUTED_VALUE"""),164.25)</f>
        <v>164.25</v>
      </c>
      <c r="D1008" s="9">
        <f>IFERROR(__xludf.DUMMYFUNCTION("""COMPUTED_VALUE"""),160.88)</f>
        <v>160.88</v>
      </c>
      <c r="E1008" s="9">
        <f>IFERROR(__xludf.DUMMYFUNCTION("""COMPUTED_VALUE"""),163.33)</f>
        <v>163.33</v>
      </c>
      <c r="F1008" s="9">
        <f>IFERROR(__xludf.DUMMYFUNCTION("""COMPUTED_VALUE"""),1453959.0)</f>
        <v>1453959</v>
      </c>
      <c r="H1008" s="27">
        <f>IFERROR(__xludf.DUMMYFUNCTION("""COMPUTED_VALUE"""),39843.645833333336)</f>
        <v>39843.64583</v>
      </c>
      <c r="I1008" s="25">
        <f>IFERROR(__xludf.DUMMYFUNCTION("""COMPUTED_VALUE"""),126.25)</f>
        <v>126.25</v>
      </c>
      <c r="J1008" s="25">
        <f>IFERROR(__xludf.DUMMYFUNCTION("""COMPUTED_VALUE"""),128.75)</f>
        <v>128.75</v>
      </c>
      <c r="K1008" s="25">
        <f>IFERROR(__xludf.DUMMYFUNCTION("""COMPUTED_VALUE"""),124.58)</f>
        <v>124.58</v>
      </c>
      <c r="L1008" s="25">
        <f>IFERROR(__xludf.DUMMYFUNCTION("""COMPUTED_VALUE"""),127.9)</f>
        <v>127.9</v>
      </c>
      <c r="M1008" s="25">
        <f>IFERROR(__xludf.DUMMYFUNCTION("""COMPUTED_VALUE"""),2176881.0)</f>
        <v>2176881</v>
      </c>
    </row>
    <row r="1009">
      <c r="A1009" s="26">
        <f>IFERROR(__xludf.DUMMYFUNCTION("""COMPUTED_VALUE"""),39846.645833333336)</f>
        <v>39846.64583</v>
      </c>
      <c r="B1009" s="9">
        <f>IFERROR(__xludf.DUMMYFUNCTION("""COMPUTED_VALUE"""),161.5)</f>
        <v>161.5</v>
      </c>
      <c r="C1009" s="9">
        <f>IFERROR(__xludf.DUMMYFUNCTION("""COMPUTED_VALUE"""),162.13)</f>
        <v>162.13</v>
      </c>
      <c r="D1009" s="9">
        <f>IFERROR(__xludf.DUMMYFUNCTION("""COMPUTED_VALUE"""),158.49)</f>
        <v>158.49</v>
      </c>
      <c r="E1009" s="9">
        <f>IFERROR(__xludf.DUMMYFUNCTION("""COMPUTED_VALUE"""),159.96)</f>
        <v>159.96</v>
      </c>
      <c r="F1009" s="9">
        <f>IFERROR(__xludf.DUMMYFUNCTION("""COMPUTED_VALUE"""),2108751.0)</f>
        <v>2108751</v>
      </c>
      <c r="H1009" s="27">
        <f>IFERROR(__xludf.DUMMYFUNCTION("""COMPUTED_VALUE"""),39846.645833333336)</f>
        <v>39846.64583</v>
      </c>
      <c r="I1009" s="25">
        <f>IFERROR(__xludf.DUMMYFUNCTION("""COMPUTED_VALUE"""),127.2)</f>
        <v>127.2</v>
      </c>
      <c r="J1009" s="25">
        <f>IFERROR(__xludf.DUMMYFUNCTION("""COMPUTED_VALUE"""),127.2)</f>
        <v>127.2</v>
      </c>
      <c r="K1009" s="25">
        <f>IFERROR(__xludf.DUMMYFUNCTION("""COMPUTED_VALUE"""),121.79)</f>
        <v>121.79</v>
      </c>
      <c r="L1009" s="25">
        <f>IFERROR(__xludf.DUMMYFUNCTION("""COMPUTED_VALUE"""),122.83)</f>
        <v>122.83</v>
      </c>
      <c r="M1009" s="25">
        <f>IFERROR(__xludf.DUMMYFUNCTION("""COMPUTED_VALUE"""),808673.0)</f>
        <v>808673</v>
      </c>
    </row>
    <row r="1010">
      <c r="A1010" s="26">
        <f>IFERROR(__xludf.DUMMYFUNCTION("""COMPUTED_VALUE"""),39847.645833333336)</f>
        <v>39847.64583</v>
      </c>
      <c r="B1010" s="9">
        <f>IFERROR(__xludf.DUMMYFUNCTION("""COMPUTED_VALUE"""),160.75)</f>
        <v>160.75</v>
      </c>
      <c r="C1010" s="9">
        <f>IFERROR(__xludf.DUMMYFUNCTION("""COMPUTED_VALUE"""),162.75)</f>
        <v>162.75</v>
      </c>
      <c r="D1010" s="9">
        <f>IFERROR(__xludf.DUMMYFUNCTION("""COMPUTED_VALUE"""),157.57)</f>
        <v>157.57</v>
      </c>
      <c r="E1010" s="9">
        <f>IFERROR(__xludf.DUMMYFUNCTION("""COMPUTED_VALUE"""),160.31)</f>
        <v>160.31</v>
      </c>
      <c r="F1010" s="9">
        <f>IFERROR(__xludf.DUMMYFUNCTION("""COMPUTED_VALUE"""),2015634.0)</f>
        <v>2015634</v>
      </c>
      <c r="H1010" s="27">
        <f>IFERROR(__xludf.DUMMYFUNCTION("""COMPUTED_VALUE"""),39847.645833333336)</f>
        <v>39847.64583</v>
      </c>
      <c r="I1010" s="25">
        <f>IFERROR(__xludf.DUMMYFUNCTION("""COMPUTED_VALUE"""),123.25)</f>
        <v>123.25</v>
      </c>
      <c r="J1010" s="25">
        <f>IFERROR(__xludf.DUMMYFUNCTION("""COMPUTED_VALUE"""),127.45)</f>
        <v>127.45</v>
      </c>
      <c r="K1010" s="25">
        <f>IFERROR(__xludf.DUMMYFUNCTION("""COMPUTED_VALUE"""),123.25)</f>
        <v>123.25</v>
      </c>
      <c r="L1010" s="25">
        <f>IFERROR(__xludf.DUMMYFUNCTION("""COMPUTED_VALUE"""),124.96)</f>
        <v>124.96</v>
      </c>
      <c r="M1010" s="25">
        <f>IFERROR(__xludf.DUMMYFUNCTION("""COMPUTED_VALUE"""),952140.0)</f>
        <v>952140</v>
      </c>
    </row>
    <row r="1011">
      <c r="A1011" s="26">
        <f>IFERROR(__xludf.DUMMYFUNCTION("""COMPUTED_VALUE"""),39848.645833333336)</f>
        <v>39848.64583</v>
      </c>
      <c r="B1011" s="9">
        <f>IFERROR(__xludf.DUMMYFUNCTION("""COMPUTED_VALUE"""),160.63)</f>
        <v>160.63</v>
      </c>
      <c r="C1011" s="9">
        <f>IFERROR(__xludf.DUMMYFUNCTION("""COMPUTED_VALUE"""),163.28)</f>
        <v>163.28</v>
      </c>
      <c r="D1011" s="9">
        <f>IFERROR(__xludf.DUMMYFUNCTION("""COMPUTED_VALUE"""),159.54)</f>
        <v>159.54</v>
      </c>
      <c r="E1011" s="9">
        <f>IFERROR(__xludf.DUMMYFUNCTION("""COMPUTED_VALUE"""),160.21)</f>
        <v>160.21</v>
      </c>
      <c r="F1011" s="9">
        <f>IFERROR(__xludf.DUMMYFUNCTION("""COMPUTED_VALUE"""),946788.0)</f>
        <v>946788</v>
      </c>
      <c r="H1011" s="27">
        <f>IFERROR(__xludf.DUMMYFUNCTION("""COMPUTED_VALUE"""),39848.645833333336)</f>
        <v>39848.64583</v>
      </c>
      <c r="I1011" s="25">
        <f>IFERROR(__xludf.DUMMYFUNCTION("""COMPUTED_VALUE"""),125.75)</f>
        <v>125.75</v>
      </c>
      <c r="J1011" s="25">
        <f>IFERROR(__xludf.DUMMYFUNCTION("""COMPUTED_VALUE"""),128.23)</f>
        <v>128.23</v>
      </c>
      <c r="K1011" s="25">
        <f>IFERROR(__xludf.DUMMYFUNCTION("""COMPUTED_VALUE"""),123.25)</f>
        <v>123.25</v>
      </c>
      <c r="L1011" s="25">
        <f>IFERROR(__xludf.DUMMYFUNCTION("""COMPUTED_VALUE"""),124.66)</f>
        <v>124.66</v>
      </c>
      <c r="M1011" s="25">
        <f>IFERROR(__xludf.DUMMYFUNCTION("""COMPUTED_VALUE"""),621189.0)</f>
        <v>621189</v>
      </c>
    </row>
    <row r="1012">
      <c r="A1012" s="26">
        <f>IFERROR(__xludf.DUMMYFUNCTION("""COMPUTED_VALUE"""),39849.645833333336)</f>
        <v>39849.64583</v>
      </c>
      <c r="B1012" s="9">
        <f>IFERROR(__xludf.DUMMYFUNCTION("""COMPUTED_VALUE"""),160.75)</f>
        <v>160.75</v>
      </c>
      <c r="C1012" s="9">
        <f>IFERROR(__xludf.DUMMYFUNCTION("""COMPUTED_VALUE"""),161.88)</f>
        <v>161.88</v>
      </c>
      <c r="D1012" s="9">
        <f>IFERROR(__xludf.DUMMYFUNCTION("""COMPUTED_VALUE"""),154.69)</f>
        <v>154.69</v>
      </c>
      <c r="E1012" s="9">
        <f>IFERROR(__xludf.DUMMYFUNCTION("""COMPUTED_VALUE"""),156.98)</f>
        <v>156.98</v>
      </c>
      <c r="F1012" s="9">
        <f>IFERROR(__xludf.DUMMYFUNCTION("""COMPUTED_VALUE"""),2192203.0)</f>
        <v>2192203</v>
      </c>
      <c r="H1012" s="27">
        <f>IFERROR(__xludf.DUMMYFUNCTION("""COMPUTED_VALUE"""),39849.645833333336)</f>
        <v>39849.64583</v>
      </c>
      <c r="I1012" s="25">
        <f>IFERROR(__xludf.DUMMYFUNCTION("""COMPUTED_VALUE"""),125.0)</f>
        <v>125</v>
      </c>
      <c r="J1012" s="25">
        <f>IFERROR(__xludf.DUMMYFUNCTION("""COMPUTED_VALUE"""),125.65)</f>
        <v>125.65</v>
      </c>
      <c r="K1012" s="25">
        <f>IFERROR(__xludf.DUMMYFUNCTION("""COMPUTED_VALUE"""),119.56)</f>
        <v>119.56</v>
      </c>
      <c r="L1012" s="25">
        <f>IFERROR(__xludf.DUMMYFUNCTION("""COMPUTED_VALUE"""),120.73)</f>
        <v>120.73</v>
      </c>
      <c r="M1012" s="25">
        <f>IFERROR(__xludf.DUMMYFUNCTION("""COMPUTED_VALUE"""),1085387.0)</f>
        <v>1085387</v>
      </c>
    </row>
    <row r="1013">
      <c r="A1013" s="26">
        <f>IFERROR(__xludf.DUMMYFUNCTION("""COMPUTED_VALUE"""),39850.645833333336)</f>
        <v>39850.64583</v>
      </c>
      <c r="B1013" s="9">
        <f>IFERROR(__xludf.DUMMYFUNCTION("""COMPUTED_VALUE"""),157.36)</f>
        <v>157.36</v>
      </c>
      <c r="C1013" s="9">
        <f>IFERROR(__xludf.DUMMYFUNCTION("""COMPUTED_VALUE"""),162.18)</f>
        <v>162.18</v>
      </c>
      <c r="D1013" s="9">
        <f>IFERROR(__xludf.DUMMYFUNCTION("""COMPUTED_VALUE"""),156.0)</f>
        <v>156</v>
      </c>
      <c r="E1013" s="9">
        <f>IFERROR(__xludf.DUMMYFUNCTION("""COMPUTED_VALUE"""),161.11)</f>
        <v>161.11</v>
      </c>
      <c r="F1013" s="9">
        <f>IFERROR(__xludf.DUMMYFUNCTION("""COMPUTED_VALUE"""),1752502.0)</f>
        <v>1752502</v>
      </c>
      <c r="H1013" s="27">
        <f>IFERROR(__xludf.DUMMYFUNCTION("""COMPUTED_VALUE"""),39850.645833333336)</f>
        <v>39850.64583</v>
      </c>
      <c r="I1013" s="25">
        <f>IFERROR(__xludf.DUMMYFUNCTION("""COMPUTED_VALUE"""),122.5)</f>
        <v>122.5</v>
      </c>
      <c r="J1013" s="25">
        <f>IFERROR(__xludf.DUMMYFUNCTION("""COMPUTED_VALUE"""),126.98)</f>
        <v>126.98</v>
      </c>
      <c r="K1013" s="25">
        <f>IFERROR(__xludf.DUMMYFUNCTION("""COMPUTED_VALUE"""),121.75)</f>
        <v>121.75</v>
      </c>
      <c r="L1013" s="25">
        <f>IFERROR(__xludf.DUMMYFUNCTION("""COMPUTED_VALUE"""),125.7)</f>
        <v>125.7</v>
      </c>
      <c r="M1013" s="25">
        <f>IFERROR(__xludf.DUMMYFUNCTION("""COMPUTED_VALUE"""),1710097.0)</f>
        <v>1710097</v>
      </c>
    </row>
    <row r="1014">
      <c r="A1014" s="26">
        <f>IFERROR(__xludf.DUMMYFUNCTION("""COMPUTED_VALUE"""),39853.645833333336)</f>
        <v>39853.64583</v>
      </c>
      <c r="B1014" s="9">
        <f>IFERROR(__xludf.DUMMYFUNCTION("""COMPUTED_VALUE"""),158.5)</f>
        <v>158.5</v>
      </c>
      <c r="C1014" s="9">
        <f>IFERROR(__xludf.DUMMYFUNCTION("""COMPUTED_VALUE"""),165.0)</f>
        <v>165</v>
      </c>
      <c r="D1014" s="9">
        <f>IFERROR(__xludf.DUMMYFUNCTION("""COMPUTED_VALUE"""),158.5)</f>
        <v>158.5</v>
      </c>
      <c r="E1014" s="9">
        <f>IFERROR(__xludf.DUMMYFUNCTION("""COMPUTED_VALUE"""),164.01)</f>
        <v>164.01</v>
      </c>
      <c r="F1014" s="9">
        <f>IFERROR(__xludf.DUMMYFUNCTION("""COMPUTED_VALUE"""),1439205.0)</f>
        <v>1439205</v>
      </c>
      <c r="H1014" s="27">
        <f>IFERROR(__xludf.DUMMYFUNCTION("""COMPUTED_VALUE"""),39853.645833333336)</f>
        <v>39853.64583</v>
      </c>
      <c r="I1014" s="25">
        <f>IFERROR(__xludf.DUMMYFUNCTION("""COMPUTED_VALUE"""),125.0)</f>
        <v>125</v>
      </c>
      <c r="J1014" s="25">
        <f>IFERROR(__xludf.DUMMYFUNCTION("""COMPUTED_VALUE"""),130.91)</f>
        <v>130.91</v>
      </c>
      <c r="K1014" s="25">
        <f>IFERROR(__xludf.DUMMYFUNCTION("""COMPUTED_VALUE"""),124.16)</f>
        <v>124.16</v>
      </c>
      <c r="L1014" s="25">
        <f>IFERROR(__xludf.DUMMYFUNCTION("""COMPUTED_VALUE"""),128.75)</f>
        <v>128.75</v>
      </c>
      <c r="M1014" s="25">
        <f>IFERROR(__xludf.DUMMYFUNCTION("""COMPUTED_VALUE"""),1148806.0)</f>
        <v>1148806</v>
      </c>
    </row>
    <row r="1015">
      <c r="A1015" s="26">
        <f>IFERROR(__xludf.DUMMYFUNCTION("""COMPUTED_VALUE"""),39854.645833333336)</f>
        <v>39854.64583</v>
      </c>
      <c r="B1015" s="9">
        <f>IFERROR(__xludf.DUMMYFUNCTION("""COMPUTED_VALUE"""),164.31)</f>
        <v>164.31</v>
      </c>
      <c r="C1015" s="9">
        <f>IFERROR(__xludf.DUMMYFUNCTION("""COMPUTED_VALUE"""),165.63)</f>
        <v>165.63</v>
      </c>
      <c r="D1015" s="9">
        <f>IFERROR(__xludf.DUMMYFUNCTION("""COMPUTED_VALUE"""),161.88)</f>
        <v>161.88</v>
      </c>
      <c r="E1015" s="9">
        <f>IFERROR(__xludf.DUMMYFUNCTION("""COMPUTED_VALUE"""),163.55)</f>
        <v>163.55</v>
      </c>
      <c r="F1015" s="9">
        <f>IFERROR(__xludf.DUMMYFUNCTION("""COMPUTED_VALUE"""),1670970.0)</f>
        <v>1670970</v>
      </c>
      <c r="H1015" s="27">
        <f>IFERROR(__xludf.DUMMYFUNCTION("""COMPUTED_VALUE"""),39854.645833333336)</f>
        <v>39854.64583</v>
      </c>
      <c r="I1015" s="25">
        <f>IFERROR(__xludf.DUMMYFUNCTION("""COMPUTED_VALUE"""),129.25)</f>
        <v>129.25</v>
      </c>
      <c r="J1015" s="25">
        <f>IFERROR(__xludf.DUMMYFUNCTION("""COMPUTED_VALUE"""),132.0)</f>
        <v>132</v>
      </c>
      <c r="K1015" s="25">
        <f>IFERROR(__xludf.DUMMYFUNCTION("""COMPUTED_VALUE"""),127.75)</f>
        <v>127.75</v>
      </c>
      <c r="L1015" s="25">
        <f>IFERROR(__xludf.DUMMYFUNCTION("""COMPUTED_VALUE"""),131.15)</f>
        <v>131.15</v>
      </c>
      <c r="M1015" s="25">
        <f>IFERROR(__xludf.DUMMYFUNCTION("""COMPUTED_VALUE"""),1697693.0)</f>
        <v>1697693</v>
      </c>
    </row>
    <row r="1016">
      <c r="A1016" s="26">
        <f>IFERROR(__xludf.DUMMYFUNCTION("""COMPUTED_VALUE"""),39855.645833333336)</f>
        <v>39855.64583</v>
      </c>
      <c r="B1016" s="9">
        <f>IFERROR(__xludf.DUMMYFUNCTION("""COMPUTED_VALUE"""),161.25)</f>
        <v>161.25</v>
      </c>
      <c r="C1016" s="9">
        <f>IFERROR(__xludf.DUMMYFUNCTION("""COMPUTED_VALUE"""),163.11)</f>
        <v>163.11</v>
      </c>
      <c r="D1016" s="9">
        <f>IFERROR(__xludf.DUMMYFUNCTION("""COMPUTED_VALUE"""),160.0)</f>
        <v>160</v>
      </c>
      <c r="E1016" s="9">
        <f>IFERROR(__xludf.DUMMYFUNCTION("""COMPUTED_VALUE"""),162.74)</f>
        <v>162.74</v>
      </c>
      <c r="F1016" s="9">
        <f>IFERROR(__xludf.DUMMYFUNCTION("""COMPUTED_VALUE"""),882128.0)</f>
        <v>882128</v>
      </c>
      <c r="H1016" s="27">
        <f>IFERROR(__xludf.DUMMYFUNCTION("""COMPUTED_VALUE"""),39855.645833333336)</f>
        <v>39855.64583</v>
      </c>
      <c r="I1016" s="25">
        <f>IFERROR(__xludf.DUMMYFUNCTION("""COMPUTED_VALUE"""),129.5)</f>
        <v>129.5</v>
      </c>
      <c r="J1016" s="25">
        <f>IFERROR(__xludf.DUMMYFUNCTION("""COMPUTED_VALUE"""),130.75)</f>
        <v>130.75</v>
      </c>
      <c r="K1016" s="25">
        <f>IFERROR(__xludf.DUMMYFUNCTION("""COMPUTED_VALUE"""),128.0)</f>
        <v>128</v>
      </c>
      <c r="L1016" s="25">
        <f>IFERROR(__xludf.DUMMYFUNCTION("""COMPUTED_VALUE"""),128.69)</f>
        <v>128.69</v>
      </c>
      <c r="M1016" s="25">
        <f>IFERROR(__xludf.DUMMYFUNCTION("""COMPUTED_VALUE"""),1125683.0)</f>
        <v>1125683</v>
      </c>
    </row>
    <row r="1017">
      <c r="A1017" s="26">
        <f>IFERROR(__xludf.DUMMYFUNCTION("""COMPUTED_VALUE"""),39856.645833333336)</f>
        <v>39856.64583</v>
      </c>
      <c r="B1017" s="9">
        <f>IFERROR(__xludf.DUMMYFUNCTION("""COMPUTED_VALUE"""),161.88)</f>
        <v>161.88</v>
      </c>
      <c r="C1017" s="9">
        <f>IFERROR(__xludf.DUMMYFUNCTION("""COMPUTED_VALUE"""),161.88)</f>
        <v>161.88</v>
      </c>
      <c r="D1017" s="9">
        <f>IFERROR(__xludf.DUMMYFUNCTION("""COMPUTED_VALUE"""),156.26)</f>
        <v>156.26</v>
      </c>
      <c r="E1017" s="9">
        <f>IFERROR(__xludf.DUMMYFUNCTION("""COMPUTED_VALUE"""),156.82)</f>
        <v>156.82</v>
      </c>
      <c r="F1017" s="9">
        <f>IFERROR(__xludf.DUMMYFUNCTION("""COMPUTED_VALUE"""),1405332.0)</f>
        <v>1405332</v>
      </c>
      <c r="H1017" s="27">
        <f>IFERROR(__xludf.DUMMYFUNCTION("""COMPUTED_VALUE"""),39856.645833333336)</f>
        <v>39856.64583</v>
      </c>
      <c r="I1017" s="25">
        <f>IFERROR(__xludf.DUMMYFUNCTION("""COMPUTED_VALUE"""),128.0)</f>
        <v>128</v>
      </c>
      <c r="J1017" s="25">
        <f>IFERROR(__xludf.DUMMYFUNCTION("""COMPUTED_VALUE"""),128.93)</f>
        <v>128.93</v>
      </c>
      <c r="K1017" s="25">
        <f>IFERROR(__xludf.DUMMYFUNCTION("""COMPUTED_VALUE"""),126.03)</f>
        <v>126.03</v>
      </c>
      <c r="L1017" s="25">
        <f>IFERROR(__xludf.DUMMYFUNCTION("""COMPUTED_VALUE"""),127.48)</f>
        <v>127.48</v>
      </c>
      <c r="M1017" s="25">
        <f>IFERROR(__xludf.DUMMYFUNCTION("""COMPUTED_VALUE"""),711093.0)</f>
        <v>711093</v>
      </c>
    </row>
    <row r="1018">
      <c r="A1018" s="26">
        <f>IFERROR(__xludf.DUMMYFUNCTION("""COMPUTED_VALUE"""),39857.645833333336)</f>
        <v>39857.64583</v>
      </c>
      <c r="B1018" s="9">
        <f>IFERROR(__xludf.DUMMYFUNCTION("""COMPUTED_VALUE"""),158.74)</f>
        <v>158.74</v>
      </c>
      <c r="C1018" s="9">
        <f>IFERROR(__xludf.DUMMYFUNCTION("""COMPUTED_VALUE"""),159.99)</f>
        <v>159.99</v>
      </c>
      <c r="D1018" s="9">
        <f>IFERROR(__xludf.DUMMYFUNCTION("""COMPUTED_VALUE"""),155.51)</f>
        <v>155.51</v>
      </c>
      <c r="E1018" s="9">
        <f>IFERROR(__xludf.DUMMYFUNCTION("""COMPUTED_VALUE"""),156.46)</f>
        <v>156.46</v>
      </c>
      <c r="F1018" s="9">
        <f>IFERROR(__xludf.DUMMYFUNCTION("""COMPUTED_VALUE"""),1598917.0)</f>
        <v>1598917</v>
      </c>
      <c r="H1018" s="27">
        <f>IFERROR(__xludf.DUMMYFUNCTION("""COMPUTED_VALUE"""),39857.645833333336)</f>
        <v>39857.64583</v>
      </c>
      <c r="I1018" s="25">
        <f>IFERROR(__xludf.DUMMYFUNCTION("""COMPUTED_VALUE"""),127.5)</f>
        <v>127.5</v>
      </c>
      <c r="J1018" s="25">
        <f>IFERROR(__xludf.DUMMYFUNCTION("""COMPUTED_VALUE"""),130.0)</f>
        <v>130</v>
      </c>
      <c r="K1018" s="25">
        <f>IFERROR(__xludf.DUMMYFUNCTION("""COMPUTED_VALUE"""),126.75)</f>
        <v>126.75</v>
      </c>
      <c r="L1018" s="25">
        <f>IFERROR(__xludf.DUMMYFUNCTION("""COMPUTED_VALUE"""),127.8)</f>
        <v>127.8</v>
      </c>
      <c r="M1018" s="25">
        <f>IFERROR(__xludf.DUMMYFUNCTION("""COMPUTED_VALUE"""),814302.0)</f>
        <v>814302</v>
      </c>
    </row>
    <row r="1019">
      <c r="A1019" s="26">
        <f>IFERROR(__xludf.DUMMYFUNCTION("""COMPUTED_VALUE"""),39860.645833333336)</f>
        <v>39860.64583</v>
      </c>
      <c r="B1019" s="9">
        <f>IFERROR(__xludf.DUMMYFUNCTION("""COMPUTED_VALUE"""),157.49)</f>
        <v>157.49</v>
      </c>
      <c r="C1019" s="9">
        <f>IFERROR(__xludf.DUMMYFUNCTION("""COMPUTED_VALUE"""),157.5)</f>
        <v>157.5</v>
      </c>
      <c r="D1019" s="9">
        <f>IFERROR(__xludf.DUMMYFUNCTION("""COMPUTED_VALUE"""),151.89)</f>
        <v>151.89</v>
      </c>
      <c r="E1019" s="9">
        <f>IFERROR(__xludf.DUMMYFUNCTION("""COMPUTED_VALUE"""),152.68)</f>
        <v>152.68</v>
      </c>
      <c r="F1019" s="9">
        <f>IFERROR(__xludf.DUMMYFUNCTION("""COMPUTED_VALUE"""),1485717.0)</f>
        <v>1485717</v>
      </c>
      <c r="H1019" s="27">
        <f>IFERROR(__xludf.DUMMYFUNCTION("""COMPUTED_VALUE"""),39860.645833333336)</f>
        <v>39860.64583</v>
      </c>
      <c r="I1019" s="25">
        <f>IFERROR(__xludf.DUMMYFUNCTION("""COMPUTED_VALUE"""),126.9)</f>
        <v>126.9</v>
      </c>
      <c r="J1019" s="25">
        <f>IFERROR(__xludf.DUMMYFUNCTION("""COMPUTED_VALUE"""),128.74)</f>
        <v>128.74</v>
      </c>
      <c r="K1019" s="25">
        <f>IFERROR(__xludf.DUMMYFUNCTION("""COMPUTED_VALUE"""),124.5)</f>
        <v>124.5</v>
      </c>
      <c r="L1019" s="25">
        <f>IFERROR(__xludf.DUMMYFUNCTION("""COMPUTED_VALUE"""),125.19)</f>
        <v>125.19</v>
      </c>
      <c r="M1019" s="25">
        <f>IFERROR(__xludf.DUMMYFUNCTION("""COMPUTED_VALUE"""),625499.0)</f>
        <v>625499</v>
      </c>
    </row>
    <row r="1020">
      <c r="A1020" s="26">
        <f>IFERROR(__xludf.DUMMYFUNCTION("""COMPUTED_VALUE"""),39861.645833333336)</f>
        <v>39861.64583</v>
      </c>
      <c r="B1020" s="9">
        <f>IFERROR(__xludf.DUMMYFUNCTION("""COMPUTED_VALUE"""),151.0)</f>
        <v>151</v>
      </c>
      <c r="C1020" s="9">
        <f>IFERROR(__xludf.DUMMYFUNCTION("""COMPUTED_VALUE"""),152.35)</f>
        <v>152.35</v>
      </c>
      <c r="D1020" s="9">
        <f>IFERROR(__xludf.DUMMYFUNCTION("""COMPUTED_VALUE"""),145.63)</f>
        <v>145.63</v>
      </c>
      <c r="E1020" s="9">
        <f>IFERROR(__xludf.DUMMYFUNCTION("""COMPUTED_VALUE"""),146.74)</f>
        <v>146.74</v>
      </c>
      <c r="F1020" s="9">
        <f>IFERROR(__xludf.DUMMYFUNCTION("""COMPUTED_VALUE"""),1878148.0)</f>
        <v>1878148</v>
      </c>
      <c r="H1020" s="27">
        <f>IFERROR(__xludf.DUMMYFUNCTION("""COMPUTED_VALUE"""),39861.645833333336)</f>
        <v>39861.64583</v>
      </c>
      <c r="I1020" s="25">
        <f>IFERROR(__xludf.DUMMYFUNCTION("""COMPUTED_VALUE"""),124.0)</f>
        <v>124</v>
      </c>
      <c r="J1020" s="25">
        <f>IFERROR(__xludf.DUMMYFUNCTION("""COMPUTED_VALUE"""),124.95)</f>
        <v>124.95</v>
      </c>
      <c r="K1020" s="25">
        <f>IFERROR(__xludf.DUMMYFUNCTION("""COMPUTED_VALUE"""),120.0)</f>
        <v>120</v>
      </c>
      <c r="L1020" s="25">
        <f>IFERROR(__xludf.DUMMYFUNCTION("""COMPUTED_VALUE"""),121.31)</f>
        <v>121.31</v>
      </c>
      <c r="M1020" s="25">
        <f>IFERROR(__xludf.DUMMYFUNCTION("""COMPUTED_VALUE"""),737597.0)</f>
        <v>737597</v>
      </c>
    </row>
    <row r="1021">
      <c r="A1021" s="26">
        <f>IFERROR(__xludf.DUMMYFUNCTION("""COMPUTED_VALUE"""),39862.645833333336)</f>
        <v>39862.64583</v>
      </c>
      <c r="B1021" s="9">
        <f>IFERROR(__xludf.DUMMYFUNCTION("""COMPUTED_VALUE"""),147.31)</f>
        <v>147.31</v>
      </c>
      <c r="C1021" s="9">
        <f>IFERROR(__xludf.DUMMYFUNCTION("""COMPUTED_VALUE"""),148.5)</f>
        <v>148.5</v>
      </c>
      <c r="D1021" s="9">
        <f>IFERROR(__xludf.DUMMYFUNCTION("""COMPUTED_VALUE"""),139.42)</f>
        <v>139.42</v>
      </c>
      <c r="E1021" s="9">
        <f>IFERROR(__xludf.DUMMYFUNCTION("""COMPUTED_VALUE"""),147.35)</f>
        <v>147.35</v>
      </c>
      <c r="F1021" s="9">
        <f>IFERROR(__xludf.DUMMYFUNCTION("""COMPUTED_VALUE"""),1387082.0)</f>
        <v>1387082</v>
      </c>
      <c r="H1021" s="27">
        <f>IFERROR(__xludf.DUMMYFUNCTION("""COMPUTED_VALUE"""),39862.645833333336)</f>
        <v>39862.64583</v>
      </c>
      <c r="I1021" s="25">
        <f>IFERROR(__xludf.DUMMYFUNCTION("""COMPUTED_VALUE"""),120.34)</f>
        <v>120.34</v>
      </c>
      <c r="J1021" s="25">
        <f>IFERROR(__xludf.DUMMYFUNCTION("""COMPUTED_VALUE"""),122.73)</f>
        <v>122.73</v>
      </c>
      <c r="K1021" s="25">
        <f>IFERROR(__xludf.DUMMYFUNCTION("""COMPUTED_VALUE"""),119.25)</f>
        <v>119.25</v>
      </c>
      <c r="L1021" s="25">
        <f>IFERROR(__xludf.DUMMYFUNCTION("""COMPUTED_VALUE"""),120.19)</f>
        <v>120.19</v>
      </c>
      <c r="M1021" s="25">
        <f>IFERROR(__xludf.DUMMYFUNCTION("""COMPUTED_VALUE"""),657353.0)</f>
        <v>657353</v>
      </c>
    </row>
    <row r="1022">
      <c r="A1022" s="26">
        <f>IFERROR(__xludf.DUMMYFUNCTION("""COMPUTED_VALUE"""),39863.645833333336)</f>
        <v>39863.64583</v>
      </c>
      <c r="B1022" s="9">
        <f>IFERROR(__xludf.DUMMYFUNCTION("""COMPUTED_VALUE"""),146.88)</f>
        <v>146.88</v>
      </c>
      <c r="C1022" s="9">
        <f>IFERROR(__xludf.DUMMYFUNCTION("""COMPUTED_VALUE"""),151.71)</f>
        <v>151.71</v>
      </c>
      <c r="D1022" s="9">
        <f>IFERROR(__xludf.DUMMYFUNCTION("""COMPUTED_VALUE"""),146.5)</f>
        <v>146.5</v>
      </c>
      <c r="E1022" s="9">
        <f>IFERROR(__xludf.DUMMYFUNCTION("""COMPUTED_VALUE"""),151.11)</f>
        <v>151.11</v>
      </c>
      <c r="F1022" s="9">
        <f>IFERROR(__xludf.DUMMYFUNCTION("""COMPUTED_VALUE"""),1235350.0)</f>
        <v>1235350</v>
      </c>
      <c r="H1022" s="27">
        <f>IFERROR(__xludf.DUMMYFUNCTION("""COMPUTED_VALUE"""),39863.645833333336)</f>
        <v>39863.64583</v>
      </c>
      <c r="I1022" s="25">
        <f>IFERROR(__xludf.DUMMYFUNCTION("""COMPUTED_VALUE"""),120.5)</f>
        <v>120.5</v>
      </c>
      <c r="J1022" s="25">
        <f>IFERROR(__xludf.DUMMYFUNCTION("""COMPUTED_VALUE"""),123.2)</f>
        <v>123.2</v>
      </c>
      <c r="K1022" s="25">
        <f>IFERROR(__xludf.DUMMYFUNCTION("""COMPUTED_VALUE"""),119.75)</f>
        <v>119.75</v>
      </c>
      <c r="L1022" s="25">
        <f>IFERROR(__xludf.DUMMYFUNCTION("""COMPUTED_VALUE"""),122.38)</f>
        <v>122.38</v>
      </c>
      <c r="M1022" s="25">
        <f>IFERROR(__xludf.DUMMYFUNCTION("""COMPUTED_VALUE"""),869268.0)</f>
        <v>869268</v>
      </c>
    </row>
    <row r="1023">
      <c r="A1023" s="26">
        <f>IFERROR(__xludf.DUMMYFUNCTION("""COMPUTED_VALUE"""),39864.645833333336)</f>
        <v>39864.64583</v>
      </c>
      <c r="B1023" s="9">
        <f>IFERROR(__xludf.DUMMYFUNCTION("""COMPUTED_VALUE"""),148.75)</f>
        <v>148.75</v>
      </c>
      <c r="C1023" s="9">
        <f>IFERROR(__xludf.DUMMYFUNCTION("""COMPUTED_VALUE"""),149.54)</f>
        <v>149.54</v>
      </c>
      <c r="D1023" s="9">
        <f>IFERROR(__xludf.DUMMYFUNCTION("""COMPUTED_VALUE"""),145.63)</f>
        <v>145.63</v>
      </c>
      <c r="E1023" s="9">
        <f>IFERROR(__xludf.DUMMYFUNCTION("""COMPUTED_VALUE"""),147.14)</f>
        <v>147.14</v>
      </c>
      <c r="F1023" s="9">
        <f>IFERROR(__xludf.DUMMYFUNCTION("""COMPUTED_VALUE"""),954482.0)</f>
        <v>954482</v>
      </c>
      <c r="H1023" s="27">
        <f>IFERROR(__xludf.DUMMYFUNCTION("""COMPUTED_VALUE"""),39864.645833333336)</f>
        <v>39864.64583</v>
      </c>
      <c r="I1023" s="25">
        <f>IFERROR(__xludf.DUMMYFUNCTION("""COMPUTED_VALUE"""),121.63)</f>
        <v>121.63</v>
      </c>
      <c r="J1023" s="25">
        <f>IFERROR(__xludf.DUMMYFUNCTION("""COMPUTED_VALUE"""),121.88)</f>
        <v>121.88</v>
      </c>
      <c r="K1023" s="25">
        <f>IFERROR(__xludf.DUMMYFUNCTION("""COMPUTED_VALUE"""),116.08)</f>
        <v>116.08</v>
      </c>
      <c r="L1023" s="25">
        <f>IFERROR(__xludf.DUMMYFUNCTION("""COMPUTED_VALUE"""),118.51)</f>
        <v>118.51</v>
      </c>
      <c r="M1023" s="25">
        <f>IFERROR(__xludf.DUMMYFUNCTION("""COMPUTED_VALUE"""),1192847.0)</f>
        <v>1192847</v>
      </c>
    </row>
    <row r="1024">
      <c r="A1024" s="26">
        <f>IFERROR(__xludf.DUMMYFUNCTION("""COMPUTED_VALUE"""),39868.645833333336)</f>
        <v>39868.64583</v>
      </c>
      <c r="B1024" s="9">
        <f>IFERROR(__xludf.DUMMYFUNCTION("""COMPUTED_VALUE"""),144.38)</f>
        <v>144.38</v>
      </c>
      <c r="C1024" s="9">
        <f>IFERROR(__xludf.DUMMYFUNCTION("""COMPUTED_VALUE"""),149.0)</f>
        <v>149</v>
      </c>
      <c r="D1024" s="9">
        <f>IFERROR(__xludf.DUMMYFUNCTION("""COMPUTED_VALUE"""),143.19)</f>
        <v>143.19</v>
      </c>
      <c r="E1024" s="9">
        <f>IFERROR(__xludf.DUMMYFUNCTION("""COMPUTED_VALUE"""),148.19)</f>
        <v>148.19</v>
      </c>
      <c r="F1024" s="9">
        <f>IFERROR(__xludf.DUMMYFUNCTION("""COMPUTED_VALUE"""),963601.0)</f>
        <v>963601</v>
      </c>
      <c r="H1024" s="27">
        <f>IFERROR(__xludf.DUMMYFUNCTION("""COMPUTED_VALUE"""),39868.645833333336)</f>
        <v>39868.64583</v>
      </c>
      <c r="I1024" s="25">
        <f>IFERROR(__xludf.DUMMYFUNCTION("""COMPUTED_VALUE"""),117.5)</f>
        <v>117.5</v>
      </c>
      <c r="J1024" s="25">
        <f>IFERROR(__xludf.DUMMYFUNCTION("""COMPUTED_VALUE"""),118.93)</f>
        <v>118.93</v>
      </c>
      <c r="K1024" s="25">
        <f>IFERROR(__xludf.DUMMYFUNCTION("""COMPUTED_VALUE"""),115.13)</f>
        <v>115.13</v>
      </c>
      <c r="L1024" s="25">
        <f>IFERROR(__xludf.DUMMYFUNCTION("""COMPUTED_VALUE"""),117.23)</f>
        <v>117.23</v>
      </c>
      <c r="M1024" s="25">
        <f>IFERROR(__xludf.DUMMYFUNCTION("""COMPUTED_VALUE"""),1123883.0)</f>
        <v>1123883</v>
      </c>
    </row>
    <row r="1025">
      <c r="A1025" s="26">
        <f>IFERROR(__xludf.DUMMYFUNCTION("""COMPUTED_VALUE"""),39869.645833333336)</f>
        <v>39869.64583</v>
      </c>
      <c r="B1025" s="9">
        <f>IFERROR(__xludf.DUMMYFUNCTION("""COMPUTED_VALUE"""),149.0)</f>
        <v>149</v>
      </c>
      <c r="C1025" s="9">
        <f>IFERROR(__xludf.DUMMYFUNCTION("""COMPUTED_VALUE"""),153.06)</f>
        <v>153.06</v>
      </c>
      <c r="D1025" s="9">
        <f>IFERROR(__xludf.DUMMYFUNCTION("""COMPUTED_VALUE"""),148.75)</f>
        <v>148.75</v>
      </c>
      <c r="E1025" s="9">
        <f>IFERROR(__xludf.DUMMYFUNCTION("""COMPUTED_VALUE"""),152.18)</f>
        <v>152.18</v>
      </c>
      <c r="F1025" s="9">
        <f>IFERROR(__xludf.DUMMYFUNCTION("""COMPUTED_VALUE"""),1328126.0)</f>
        <v>1328126</v>
      </c>
      <c r="H1025" s="27">
        <f>IFERROR(__xludf.DUMMYFUNCTION("""COMPUTED_VALUE"""),39869.645833333336)</f>
        <v>39869.64583</v>
      </c>
      <c r="I1025" s="25">
        <f>IFERROR(__xludf.DUMMYFUNCTION("""COMPUTED_VALUE"""),117.5)</f>
        <v>117.5</v>
      </c>
      <c r="J1025" s="25">
        <f>IFERROR(__xludf.DUMMYFUNCTION("""COMPUTED_VALUE"""),121.2)</f>
        <v>121.2</v>
      </c>
      <c r="K1025" s="25">
        <f>IFERROR(__xludf.DUMMYFUNCTION("""COMPUTED_VALUE"""),117.5)</f>
        <v>117.5</v>
      </c>
      <c r="L1025" s="25">
        <f>IFERROR(__xludf.DUMMYFUNCTION("""COMPUTED_VALUE"""),120.19)</f>
        <v>120.19</v>
      </c>
      <c r="M1025" s="25">
        <f>IFERROR(__xludf.DUMMYFUNCTION("""COMPUTED_VALUE"""),1379482.0)</f>
        <v>1379482</v>
      </c>
    </row>
    <row r="1026">
      <c r="A1026" s="26">
        <f>IFERROR(__xludf.DUMMYFUNCTION("""COMPUTED_VALUE"""),39870.645833333336)</f>
        <v>39870.64583</v>
      </c>
      <c r="B1026" s="9">
        <f>IFERROR(__xludf.DUMMYFUNCTION("""COMPUTED_VALUE"""),150.5)</f>
        <v>150.5</v>
      </c>
      <c r="C1026" s="9">
        <f>IFERROR(__xludf.DUMMYFUNCTION("""COMPUTED_VALUE"""),155.0)</f>
        <v>155</v>
      </c>
      <c r="D1026" s="9">
        <f>IFERROR(__xludf.DUMMYFUNCTION("""COMPUTED_VALUE"""),150.0)</f>
        <v>150</v>
      </c>
      <c r="E1026" s="9">
        <f>IFERROR(__xludf.DUMMYFUNCTION("""COMPUTED_VALUE"""),154.5)</f>
        <v>154.5</v>
      </c>
      <c r="F1026" s="9">
        <f>IFERROR(__xludf.DUMMYFUNCTION("""COMPUTED_VALUE"""),2071481.0)</f>
        <v>2071481</v>
      </c>
      <c r="H1026" s="27">
        <f>IFERROR(__xludf.DUMMYFUNCTION("""COMPUTED_VALUE"""),39870.645833333336)</f>
        <v>39870.64583</v>
      </c>
      <c r="I1026" s="25">
        <f>IFERROR(__xludf.DUMMYFUNCTION("""COMPUTED_VALUE"""),120.25)</f>
        <v>120.25</v>
      </c>
      <c r="J1026" s="25">
        <f>IFERROR(__xludf.DUMMYFUNCTION("""COMPUTED_VALUE"""),122.65)</f>
        <v>122.65</v>
      </c>
      <c r="K1026" s="25">
        <f>IFERROR(__xludf.DUMMYFUNCTION("""COMPUTED_VALUE"""),119.25)</f>
        <v>119.25</v>
      </c>
      <c r="L1026" s="25">
        <f>IFERROR(__xludf.DUMMYFUNCTION("""COMPUTED_VALUE"""),120.55)</f>
        <v>120.55</v>
      </c>
      <c r="M1026" s="25">
        <f>IFERROR(__xludf.DUMMYFUNCTION("""COMPUTED_VALUE"""),2202072.0)</f>
        <v>2202072</v>
      </c>
    </row>
    <row r="1027">
      <c r="A1027" s="26">
        <f>IFERROR(__xludf.DUMMYFUNCTION("""COMPUTED_VALUE"""),39871.645833333336)</f>
        <v>39871.64583</v>
      </c>
      <c r="B1027" s="9">
        <f>IFERROR(__xludf.DUMMYFUNCTION("""COMPUTED_VALUE"""),153.46)</f>
        <v>153.46</v>
      </c>
      <c r="C1027" s="9">
        <f>IFERROR(__xludf.DUMMYFUNCTION("""COMPUTED_VALUE"""),154.73)</f>
        <v>154.73</v>
      </c>
      <c r="D1027" s="9">
        <f>IFERROR(__xludf.DUMMYFUNCTION("""COMPUTED_VALUE"""),150.47)</f>
        <v>150.47</v>
      </c>
      <c r="E1027" s="9">
        <f>IFERROR(__xludf.DUMMYFUNCTION("""COMPUTED_VALUE"""),153.91)</f>
        <v>153.91</v>
      </c>
      <c r="F1027" s="9">
        <f>IFERROR(__xludf.DUMMYFUNCTION("""COMPUTED_VALUE"""),1665847.0)</f>
        <v>1665847</v>
      </c>
      <c r="H1027" s="27">
        <f>IFERROR(__xludf.DUMMYFUNCTION("""COMPUTED_VALUE"""),39871.645833333336)</f>
        <v>39871.64583</v>
      </c>
      <c r="I1027" s="25">
        <f>IFERROR(__xludf.DUMMYFUNCTION("""COMPUTED_VALUE"""),120.5)</f>
        <v>120.5</v>
      </c>
      <c r="J1027" s="25">
        <f>IFERROR(__xludf.DUMMYFUNCTION("""COMPUTED_VALUE"""),122.25)</f>
        <v>122.25</v>
      </c>
      <c r="K1027" s="25">
        <f>IFERROR(__xludf.DUMMYFUNCTION("""COMPUTED_VALUE"""),113.81)</f>
        <v>113.81</v>
      </c>
      <c r="L1027" s="25">
        <f>IFERROR(__xludf.DUMMYFUNCTION("""COMPUTED_VALUE"""),120.78)</f>
        <v>120.78</v>
      </c>
      <c r="M1027" s="25">
        <f>IFERROR(__xludf.DUMMYFUNCTION("""COMPUTED_VALUE"""),1687537.0)</f>
        <v>1687537</v>
      </c>
    </row>
    <row r="1028">
      <c r="A1028" s="26">
        <f>IFERROR(__xludf.DUMMYFUNCTION("""COMPUTED_VALUE"""),39874.645833333336)</f>
        <v>39874.64583</v>
      </c>
      <c r="B1028" s="9">
        <f>IFERROR(__xludf.DUMMYFUNCTION("""COMPUTED_VALUE"""),152.25)</f>
        <v>152.25</v>
      </c>
      <c r="C1028" s="9">
        <f>IFERROR(__xludf.DUMMYFUNCTION("""COMPUTED_VALUE"""),153.48)</f>
        <v>153.48</v>
      </c>
      <c r="D1028" s="9">
        <f>IFERROR(__xludf.DUMMYFUNCTION("""COMPUTED_VALUE"""),148.75)</f>
        <v>148.75</v>
      </c>
      <c r="E1028" s="9">
        <f>IFERROR(__xludf.DUMMYFUNCTION("""COMPUTED_VALUE"""),152.38)</f>
        <v>152.38</v>
      </c>
      <c r="F1028" s="9">
        <f>IFERROR(__xludf.DUMMYFUNCTION("""COMPUTED_VALUE"""),1477574.0)</f>
        <v>1477574</v>
      </c>
      <c r="H1028" s="27">
        <f>IFERROR(__xludf.DUMMYFUNCTION("""COMPUTED_VALUE"""),39874.645833333336)</f>
        <v>39874.64583</v>
      </c>
      <c r="I1028" s="25">
        <f>IFERROR(__xludf.DUMMYFUNCTION("""COMPUTED_VALUE"""),118.53)</f>
        <v>118.53</v>
      </c>
      <c r="J1028" s="25">
        <f>IFERROR(__xludf.DUMMYFUNCTION("""COMPUTED_VALUE"""),120.5)</f>
        <v>120.5</v>
      </c>
      <c r="K1028" s="25">
        <f>IFERROR(__xludf.DUMMYFUNCTION("""COMPUTED_VALUE"""),113.7)</f>
        <v>113.7</v>
      </c>
      <c r="L1028" s="25">
        <f>IFERROR(__xludf.DUMMYFUNCTION("""COMPUTED_VALUE"""),114.96)</f>
        <v>114.96</v>
      </c>
      <c r="M1028" s="25">
        <f>IFERROR(__xludf.DUMMYFUNCTION("""COMPUTED_VALUE"""),997236.0)</f>
        <v>997236</v>
      </c>
    </row>
    <row r="1029">
      <c r="A1029" s="26">
        <f>IFERROR(__xludf.DUMMYFUNCTION("""COMPUTED_VALUE"""),39875.645833333336)</f>
        <v>39875.64583</v>
      </c>
      <c r="B1029" s="9">
        <f>IFERROR(__xludf.DUMMYFUNCTION("""COMPUTED_VALUE"""),150.75)</f>
        <v>150.75</v>
      </c>
      <c r="C1029" s="9">
        <f>IFERROR(__xludf.DUMMYFUNCTION("""COMPUTED_VALUE"""),152.48)</f>
        <v>152.48</v>
      </c>
      <c r="D1029" s="9">
        <f>IFERROR(__xludf.DUMMYFUNCTION("""COMPUTED_VALUE"""),148.93)</f>
        <v>148.93</v>
      </c>
      <c r="E1029" s="9">
        <f>IFERROR(__xludf.DUMMYFUNCTION("""COMPUTED_VALUE"""),149.7)</f>
        <v>149.7</v>
      </c>
      <c r="F1029" s="9">
        <f>IFERROR(__xludf.DUMMYFUNCTION("""COMPUTED_VALUE"""),1102306.0)</f>
        <v>1102306</v>
      </c>
      <c r="H1029" s="27">
        <f>IFERROR(__xludf.DUMMYFUNCTION("""COMPUTED_VALUE"""),39875.645833333336)</f>
        <v>39875.64583</v>
      </c>
      <c r="I1029" s="25">
        <f>IFERROR(__xludf.DUMMYFUNCTION("""COMPUTED_VALUE"""),113.0)</f>
        <v>113</v>
      </c>
      <c r="J1029" s="25">
        <f>IFERROR(__xludf.DUMMYFUNCTION("""COMPUTED_VALUE"""),116.5)</f>
        <v>116.5</v>
      </c>
      <c r="K1029" s="25">
        <f>IFERROR(__xludf.DUMMYFUNCTION("""COMPUTED_VALUE"""),109.84)</f>
        <v>109.84</v>
      </c>
      <c r="L1029" s="25">
        <f>IFERROR(__xludf.DUMMYFUNCTION("""COMPUTED_VALUE"""),111.55)</f>
        <v>111.55</v>
      </c>
      <c r="M1029" s="25">
        <f>IFERROR(__xludf.DUMMYFUNCTION("""COMPUTED_VALUE"""),890224.0)</f>
        <v>890224</v>
      </c>
    </row>
    <row r="1030">
      <c r="A1030" s="26">
        <f>IFERROR(__xludf.DUMMYFUNCTION("""COMPUTED_VALUE"""),39876.645833333336)</f>
        <v>39876.64583</v>
      </c>
      <c r="B1030" s="9">
        <f>IFERROR(__xludf.DUMMYFUNCTION("""COMPUTED_VALUE"""),150.13)</f>
        <v>150.13</v>
      </c>
      <c r="C1030" s="9">
        <f>IFERROR(__xludf.DUMMYFUNCTION("""COMPUTED_VALUE"""),152.13)</f>
        <v>152.13</v>
      </c>
      <c r="D1030" s="9">
        <f>IFERROR(__xludf.DUMMYFUNCTION("""COMPUTED_VALUE"""),147.5)</f>
        <v>147.5</v>
      </c>
      <c r="E1030" s="9">
        <f>IFERROR(__xludf.DUMMYFUNCTION("""COMPUTED_VALUE"""),149.9)</f>
        <v>149.9</v>
      </c>
      <c r="F1030" s="9">
        <f>IFERROR(__xludf.DUMMYFUNCTION("""COMPUTED_VALUE"""),1080201.0)</f>
        <v>1080201</v>
      </c>
      <c r="H1030" s="27">
        <f>IFERROR(__xludf.DUMMYFUNCTION("""COMPUTED_VALUE"""),39876.645833333336)</f>
        <v>39876.64583</v>
      </c>
      <c r="I1030" s="25">
        <f>IFERROR(__xludf.DUMMYFUNCTION("""COMPUTED_VALUE"""),112.0)</f>
        <v>112</v>
      </c>
      <c r="J1030" s="25">
        <f>IFERROR(__xludf.DUMMYFUNCTION("""COMPUTED_VALUE"""),116.11)</f>
        <v>116.11</v>
      </c>
      <c r="K1030" s="25">
        <f>IFERROR(__xludf.DUMMYFUNCTION("""COMPUTED_VALUE"""),111.55)</f>
        <v>111.55</v>
      </c>
      <c r="L1030" s="25">
        <f>IFERROR(__xludf.DUMMYFUNCTION("""COMPUTED_VALUE"""),115.14)</f>
        <v>115.14</v>
      </c>
      <c r="M1030" s="25">
        <f>IFERROR(__xludf.DUMMYFUNCTION("""COMPUTED_VALUE"""),814575.0)</f>
        <v>814575</v>
      </c>
    </row>
    <row r="1031">
      <c r="A1031" s="26">
        <f>IFERROR(__xludf.DUMMYFUNCTION("""COMPUTED_VALUE"""),39877.645833333336)</f>
        <v>39877.64583</v>
      </c>
      <c r="B1031" s="9">
        <f>IFERROR(__xludf.DUMMYFUNCTION("""COMPUTED_VALUE"""),150.63)</f>
        <v>150.63</v>
      </c>
      <c r="C1031" s="9">
        <f>IFERROR(__xludf.DUMMYFUNCTION("""COMPUTED_VALUE"""),153.1)</f>
        <v>153.1</v>
      </c>
      <c r="D1031" s="9">
        <f>IFERROR(__xludf.DUMMYFUNCTION("""COMPUTED_VALUE"""),146.95)</f>
        <v>146.95</v>
      </c>
      <c r="E1031" s="9">
        <f>IFERROR(__xludf.DUMMYFUNCTION("""COMPUTED_VALUE"""),147.74)</f>
        <v>147.74</v>
      </c>
      <c r="F1031" s="9">
        <f>IFERROR(__xludf.DUMMYFUNCTION("""COMPUTED_VALUE"""),867470.0)</f>
        <v>867470</v>
      </c>
      <c r="H1031" s="27">
        <f>IFERROR(__xludf.DUMMYFUNCTION("""COMPUTED_VALUE"""),39877.645833333336)</f>
        <v>39877.64583</v>
      </c>
      <c r="I1031" s="25">
        <f>IFERROR(__xludf.DUMMYFUNCTION("""COMPUTED_VALUE"""),116.24)</f>
        <v>116.24</v>
      </c>
      <c r="J1031" s="25">
        <f>IFERROR(__xludf.DUMMYFUNCTION("""COMPUTED_VALUE"""),117.73)</f>
        <v>117.73</v>
      </c>
      <c r="K1031" s="25">
        <f>IFERROR(__xludf.DUMMYFUNCTION("""COMPUTED_VALUE"""),114.5)</f>
        <v>114.5</v>
      </c>
      <c r="L1031" s="25">
        <f>IFERROR(__xludf.DUMMYFUNCTION("""COMPUTED_VALUE"""),115.8)</f>
        <v>115.8</v>
      </c>
      <c r="M1031" s="25">
        <f>IFERROR(__xludf.DUMMYFUNCTION("""COMPUTED_VALUE"""),1071124.0)</f>
        <v>1071124</v>
      </c>
    </row>
    <row r="1032">
      <c r="A1032" s="26">
        <f>IFERROR(__xludf.DUMMYFUNCTION("""COMPUTED_VALUE"""),39878.645833333336)</f>
        <v>39878.64583</v>
      </c>
      <c r="B1032" s="9">
        <f>IFERROR(__xludf.DUMMYFUNCTION("""COMPUTED_VALUE"""),147.75)</f>
        <v>147.75</v>
      </c>
      <c r="C1032" s="9">
        <f>IFERROR(__xludf.DUMMYFUNCTION("""COMPUTED_VALUE"""),154.75)</f>
        <v>154.75</v>
      </c>
      <c r="D1032" s="9">
        <f>IFERROR(__xludf.DUMMYFUNCTION("""COMPUTED_VALUE"""),143.94)</f>
        <v>143.94</v>
      </c>
      <c r="E1032" s="9">
        <f>IFERROR(__xludf.DUMMYFUNCTION("""COMPUTED_VALUE"""),152.42)</f>
        <v>152.42</v>
      </c>
      <c r="F1032" s="9">
        <f>IFERROR(__xludf.DUMMYFUNCTION("""COMPUTED_VALUE"""),1284869.0)</f>
        <v>1284869</v>
      </c>
      <c r="H1032" s="27">
        <f>IFERROR(__xludf.DUMMYFUNCTION("""COMPUTED_VALUE"""),39878.645833333336)</f>
        <v>39878.64583</v>
      </c>
      <c r="I1032" s="25">
        <f>IFERROR(__xludf.DUMMYFUNCTION("""COMPUTED_VALUE"""),115.0)</f>
        <v>115</v>
      </c>
      <c r="J1032" s="25">
        <f>IFERROR(__xludf.DUMMYFUNCTION("""COMPUTED_VALUE"""),121.21)</f>
        <v>121.21</v>
      </c>
      <c r="K1032" s="25">
        <f>IFERROR(__xludf.DUMMYFUNCTION("""COMPUTED_VALUE"""),114.41)</f>
        <v>114.41</v>
      </c>
      <c r="L1032" s="25">
        <f>IFERROR(__xludf.DUMMYFUNCTION("""COMPUTED_VALUE"""),120.43)</f>
        <v>120.43</v>
      </c>
      <c r="M1032" s="25">
        <f>IFERROR(__xludf.DUMMYFUNCTION("""COMPUTED_VALUE"""),1451401.0)</f>
        <v>1451401</v>
      </c>
    </row>
    <row r="1033">
      <c r="A1033" s="26">
        <f>IFERROR(__xludf.DUMMYFUNCTION("""COMPUTED_VALUE"""),39881.645833333336)</f>
        <v>39881.64583</v>
      </c>
      <c r="B1033" s="9">
        <f>IFERROR(__xludf.DUMMYFUNCTION("""COMPUTED_VALUE"""),150.64)</f>
        <v>150.64</v>
      </c>
      <c r="C1033" s="9">
        <f>IFERROR(__xludf.DUMMYFUNCTION("""COMPUTED_VALUE"""),152.0)</f>
        <v>152</v>
      </c>
      <c r="D1033" s="9">
        <f>IFERROR(__xludf.DUMMYFUNCTION("""COMPUTED_VALUE"""),148.76)</f>
        <v>148.76</v>
      </c>
      <c r="E1033" s="9">
        <f>IFERROR(__xludf.DUMMYFUNCTION("""COMPUTED_VALUE"""),150.26)</f>
        <v>150.26</v>
      </c>
      <c r="F1033" s="9">
        <f>IFERROR(__xludf.DUMMYFUNCTION("""COMPUTED_VALUE"""),1232930.0)</f>
        <v>1232930</v>
      </c>
      <c r="H1033" s="27">
        <f>IFERROR(__xludf.DUMMYFUNCTION("""COMPUTED_VALUE"""),39881.645833333336)</f>
        <v>39881.64583</v>
      </c>
      <c r="I1033" s="25">
        <f>IFERROR(__xludf.DUMMYFUNCTION("""COMPUTED_VALUE"""),117.78)</f>
        <v>117.78</v>
      </c>
      <c r="J1033" s="25">
        <f>IFERROR(__xludf.DUMMYFUNCTION("""COMPUTED_VALUE"""),120.0)</f>
        <v>120</v>
      </c>
      <c r="K1033" s="25">
        <f>IFERROR(__xludf.DUMMYFUNCTION("""COMPUTED_VALUE"""),114.75)</f>
        <v>114.75</v>
      </c>
      <c r="L1033" s="25">
        <f>IFERROR(__xludf.DUMMYFUNCTION("""COMPUTED_VALUE"""),115.75)</f>
        <v>115.75</v>
      </c>
      <c r="M1033" s="25">
        <f>IFERROR(__xludf.DUMMYFUNCTION("""COMPUTED_VALUE"""),1133796.0)</f>
        <v>1133796</v>
      </c>
    </row>
    <row r="1034">
      <c r="A1034" s="26">
        <f>IFERROR(__xludf.DUMMYFUNCTION("""COMPUTED_VALUE"""),39884.645833333336)</f>
        <v>39884.64583</v>
      </c>
      <c r="B1034" s="9">
        <f>IFERROR(__xludf.DUMMYFUNCTION("""COMPUTED_VALUE"""),151.51)</f>
        <v>151.51</v>
      </c>
      <c r="C1034" s="9">
        <f>IFERROR(__xludf.DUMMYFUNCTION("""COMPUTED_VALUE"""),156.98)</f>
        <v>156.98</v>
      </c>
      <c r="D1034" s="9">
        <f>IFERROR(__xludf.DUMMYFUNCTION("""COMPUTED_VALUE"""),151.38)</f>
        <v>151.38</v>
      </c>
      <c r="E1034" s="9">
        <f>IFERROR(__xludf.DUMMYFUNCTION("""COMPUTED_VALUE"""),153.48)</f>
        <v>153.48</v>
      </c>
      <c r="F1034" s="9">
        <f>IFERROR(__xludf.DUMMYFUNCTION("""COMPUTED_VALUE"""),2062794.0)</f>
        <v>2062794</v>
      </c>
      <c r="H1034" s="27">
        <f>IFERROR(__xludf.DUMMYFUNCTION("""COMPUTED_VALUE"""),39884.645833333336)</f>
        <v>39884.64583</v>
      </c>
      <c r="I1034" s="25">
        <f>IFERROR(__xludf.DUMMYFUNCTION("""COMPUTED_VALUE"""),115.41)</f>
        <v>115.41</v>
      </c>
      <c r="J1034" s="25">
        <f>IFERROR(__xludf.DUMMYFUNCTION("""COMPUTED_VALUE"""),121.25)</f>
        <v>121.25</v>
      </c>
      <c r="K1034" s="25">
        <f>IFERROR(__xludf.DUMMYFUNCTION("""COMPUTED_VALUE"""),115.41)</f>
        <v>115.41</v>
      </c>
      <c r="L1034" s="25">
        <f>IFERROR(__xludf.DUMMYFUNCTION("""COMPUTED_VALUE"""),119.35)</f>
        <v>119.35</v>
      </c>
      <c r="M1034" s="25">
        <f>IFERROR(__xludf.DUMMYFUNCTION("""COMPUTED_VALUE"""),2154364.0)</f>
        <v>2154364</v>
      </c>
    </row>
    <row r="1035">
      <c r="A1035" s="26">
        <f>IFERROR(__xludf.DUMMYFUNCTION("""COMPUTED_VALUE"""),39885.645833333336)</f>
        <v>39885.64583</v>
      </c>
      <c r="B1035" s="9">
        <f>IFERROR(__xludf.DUMMYFUNCTION("""COMPUTED_VALUE"""),156.18)</f>
        <v>156.18</v>
      </c>
      <c r="C1035" s="9">
        <f>IFERROR(__xludf.DUMMYFUNCTION("""COMPUTED_VALUE"""),162.49)</f>
        <v>162.49</v>
      </c>
      <c r="D1035" s="9">
        <f>IFERROR(__xludf.DUMMYFUNCTION("""COMPUTED_VALUE"""),155.0)</f>
        <v>155</v>
      </c>
      <c r="E1035" s="9">
        <f>IFERROR(__xludf.DUMMYFUNCTION("""COMPUTED_VALUE"""),162.13)</f>
        <v>162.13</v>
      </c>
      <c r="F1035" s="9">
        <f>IFERROR(__xludf.DUMMYFUNCTION("""COMPUTED_VALUE"""),1832622.0)</f>
        <v>1832622</v>
      </c>
      <c r="H1035" s="27">
        <f>IFERROR(__xludf.DUMMYFUNCTION("""COMPUTED_VALUE"""),39885.645833333336)</f>
        <v>39885.64583</v>
      </c>
      <c r="I1035" s="25">
        <f>IFERROR(__xludf.DUMMYFUNCTION("""COMPUTED_VALUE"""),118.34)</f>
        <v>118.34</v>
      </c>
      <c r="J1035" s="25">
        <f>IFERROR(__xludf.DUMMYFUNCTION("""COMPUTED_VALUE"""),127.5)</f>
        <v>127.5</v>
      </c>
      <c r="K1035" s="25">
        <f>IFERROR(__xludf.DUMMYFUNCTION("""COMPUTED_VALUE"""),118.34)</f>
        <v>118.34</v>
      </c>
      <c r="L1035" s="25">
        <f>IFERROR(__xludf.DUMMYFUNCTION("""COMPUTED_VALUE"""),126.71)</f>
        <v>126.71</v>
      </c>
      <c r="M1035" s="25">
        <f>IFERROR(__xludf.DUMMYFUNCTION("""COMPUTED_VALUE"""),2549925.0)</f>
        <v>2549925</v>
      </c>
    </row>
    <row r="1036">
      <c r="A1036" s="26">
        <f>IFERROR(__xludf.DUMMYFUNCTION("""COMPUTED_VALUE"""),39888.645833333336)</f>
        <v>39888.64583</v>
      </c>
      <c r="B1036" s="9">
        <f>IFERROR(__xludf.DUMMYFUNCTION("""COMPUTED_VALUE"""),162.88)</f>
        <v>162.88</v>
      </c>
      <c r="C1036" s="9">
        <f>IFERROR(__xludf.DUMMYFUNCTION("""COMPUTED_VALUE"""),162.88)</f>
        <v>162.88</v>
      </c>
      <c r="D1036" s="9">
        <f>IFERROR(__xludf.DUMMYFUNCTION("""COMPUTED_VALUE"""),158.64)</f>
        <v>158.64</v>
      </c>
      <c r="E1036" s="9">
        <f>IFERROR(__xludf.DUMMYFUNCTION("""COMPUTED_VALUE"""),160.98)</f>
        <v>160.98</v>
      </c>
      <c r="F1036" s="9">
        <f>IFERROR(__xludf.DUMMYFUNCTION("""COMPUTED_VALUE"""),1687408.0)</f>
        <v>1687408</v>
      </c>
      <c r="H1036" s="27">
        <f>IFERROR(__xludf.DUMMYFUNCTION("""COMPUTED_VALUE"""),39888.645833333336)</f>
        <v>39888.64583</v>
      </c>
      <c r="I1036" s="25">
        <f>IFERROR(__xludf.DUMMYFUNCTION("""COMPUTED_VALUE"""),127.5)</f>
        <v>127.5</v>
      </c>
      <c r="J1036" s="25">
        <f>IFERROR(__xludf.DUMMYFUNCTION("""COMPUTED_VALUE"""),130.7)</f>
        <v>130.7</v>
      </c>
      <c r="K1036" s="25">
        <f>IFERROR(__xludf.DUMMYFUNCTION("""COMPUTED_VALUE"""),125.6)</f>
        <v>125.6</v>
      </c>
      <c r="L1036" s="25">
        <f>IFERROR(__xludf.DUMMYFUNCTION("""COMPUTED_VALUE"""),129.95)</f>
        <v>129.95</v>
      </c>
      <c r="M1036" s="25">
        <f>IFERROR(__xludf.DUMMYFUNCTION("""COMPUTED_VALUE"""),1168224.0)</f>
        <v>1168224</v>
      </c>
    </row>
    <row r="1037">
      <c r="A1037" s="26">
        <f>IFERROR(__xludf.DUMMYFUNCTION("""COMPUTED_VALUE"""),39889.645833333336)</f>
        <v>39889.64583</v>
      </c>
      <c r="B1037" s="9">
        <f>IFERROR(__xludf.DUMMYFUNCTION("""COMPUTED_VALUE"""),160.5)</f>
        <v>160.5</v>
      </c>
      <c r="C1037" s="9">
        <f>IFERROR(__xludf.DUMMYFUNCTION("""COMPUTED_VALUE"""),160.5)</f>
        <v>160.5</v>
      </c>
      <c r="D1037" s="9">
        <f>IFERROR(__xludf.DUMMYFUNCTION("""COMPUTED_VALUE"""),157.13)</f>
        <v>157.13</v>
      </c>
      <c r="E1037" s="9">
        <f>IFERROR(__xludf.DUMMYFUNCTION("""COMPUTED_VALUE"""),158.19)</f>
        <v>158.19</v>
      </c>
      <c r="F1037" s="9">
        <f>IFERROR(__xludf.DUMMYFUNCTION("""COMPUTED_VALUE"""),1237249.0)</f>
        <v>1237249</v>
      </c>
      <c r="H1037" s="27">
        <f>IFERROR(__xludf.DUMMYFUNCTION("""COMPUTED_VALUE"""),39889.645833333336)</f>
        <v>39889.64583</v>
      </c>
      <c r="I1037" s="25">
        <f>IFERROR(__xludf.DUMMYFUNCTION("""COMPUTED_VALUE"""),128.75)</f>
        <v>128.75</v>
      </c>
      <c r="J1037" s="25">
        <f>IFERROR(__xludf.DUMMYFUNCTION("""COMPUTED_VALUE"""),129.5)</f>
        <v>129.5</v>
      </c>
      <c r="K1037" s="25">
        <f>IFERROR(__xludf.DUMMYFUNCTION("""COMPUTED_VALUE"""),123.26)</f>
        <v>123.26</v>
      </c>
      <c r="L1037" s="25">
        <f>IFERROR(__xludf.DUMMYFUNCTION("""COMPUTED_VALUE"""),124.39)</f>
        <v>124.39</v>
      </c>
      <c r="M1037" s="25">
        <f>IFERROR(__xludf.DUMMYFUNCTION("""COMPUTED_VALUE"""),1736543.0)</f>
        <v>1736543</v>
      </c>
    </row>
    <row r="1038">
      <c r="A1038" s="26">
        <f>IFERROR(__xludf.DUMMYFUNCTION("""COMPUTED_VALUE"""),39890.645833333336)</f>
        <v>39890.64583</v>
      </c>
      <c r="B1038" s="9">
        <f>IFERROR(__xludf.DUMMYFUNCTION("""COMPUTED_VALUE"""),158.13)</f>
        <v>158.13</v>
      </c>
      <c r="C1038" s="9">
        <f>IFERROR(__xludf.DUMMYFUNCTION("""COMPUTED_VALUE"""),162.75)</f>
        <v>162.75</v>
      </c>
      <c r="D1038" s="9">
        <f>IFERROR(__xludf.DUMMYFUNCTION("""COMPUTED_VALUE"""),158.13)</f>
        <v>158.13</v>
      </c>
      <c r="E1038" s="9">
        <f>IFERROR(__xludf.DUMMYFUNCTION("""COMPUTED_VALUE"""),159.76)</f>
        <v>159.76</v>
      </c>
      <c r="F1038" s="9">
        <f>IFERROR(__xludf.DUMMYFUNCTION("""COMPUTED_VALUE"""),1833538.0)</f>
        <v>1833538</v>
      </c>
      <c r="H1038" s="27">
        <f>IFERROR(__xludf.DUMMYFUNCTION("""COMPUTED_VALUE"""),39890.645833333336)</f>
        <v>39890.64583</v>
      </c>
      <c r="I1038" s="25">
        <f>IFERROR(__xludf.DUMMYFUNCTION("""COMPUTED_VALUE"""),125.0)</f>
        <v>125</v>
      </c>
      <c r="J1038" s="25">
        <f>IFERROR(__xludf.DUMMYFUNCTION("""COMPUTED_VALUE"""),128.63)</f>
        <v>128.63</v>
      </c>
      <c r="K1038" s="25">
        <f>IFERROR(__xludf.DUMMYFUNCTION("""COMPUTED_VALUE"""),125.0)</f>
        <v>125</v>
      </c>
      <c r="L1038" s="25">
        <f>IFERROR(__xludf.DUMMYFUNCTION("""COMPUTED_VALUE"""),126.29)</f>
        <v>126.29</v>
      </c>
      <c r="M1038" s="25">
        <f>IFERROR(__xludf.DUMMYFUNCTION("""COMPUTED_VALUE"""),1603450.0)</f>
        <v>1603450</v>
      </c>
    </row>
    <row r="1039">
      <c r="A1039" s="26">
        <f>IFERROR(__xludf.DUMMYFUNCTION("""COMPUTED_VALUE"""),39891.645833333336)</f>
        <v>39891.64583</v>
      </c>
      <c r="B1039" s="9">
        <f>IFERROR(__xludf.DUMMYFUNCTION("""COMPUTED_VALUE"""),160.63)</f>
        <v>160.63</v>
      </c>
      <c r="C1039" s="9">
        <f>IFERROR(__xludf.DUMMYFUNCTION("""COMPUTED_VALUE"""),163.82)</f>
        <v>163.82</v>
      </c>
      <c r="D1039" s="9">
        <f>IFERROR(__xludf.DUMMYFUNCTION("""COMPUTED_VALUE"""),158.75)</f>
        <v>158.75</v>
      </c>
      <c r="E1039" s="9">
        <f>IFERROR(__xludf.DUMMYFUNCTION("""COMPUTED_VALUE"""),162.15)</f>
        <v>162.15</v>
      </c>
      <c r="F1039" s="9">
        <f>IFERROR(__xludf.DUMMYFUNCTION("""COMPUTED_VALUE"""),1678133.0)</f>
        <v>1678133</v>
      </c>
      <c r="H1039" s="27">
        <f>IFERROR(__xludf.DUMMYFUNCTION("""COMPUTED_VALUE"""),39891.645833333336)</f>
        <v>39891.64583</v>
      </c>
      <c r="I1039" s="25">
        <f>IFERROR(__xludf.DUMMYFUNCTION("""COMPUTED_VALUE"""),126.38)</f>
        <v>126.38</v>
      </c>
      <c r="J1039" s="25">
        <f>IFERROR(__xludf.DUMMYFUNCTION("""COMPUTED_VALUE"""),129.5)</f>
        <v>129.5</v>
      </c>
      <c r="K1039" s="25">
        <f>IFERROR(__xludf.DUMMYFUNCTION("""COMPUTED_VALUE"""),125.4)</f>
        <v>125.4</v>
      </c>
      <c r="L1039" s="25">
        <f>IFERROR(__xludf.DUMMYFUNCTION("""COMPUTED_VALUE"""),128.74)</f>
        <v>128.74</v>
      </c>
      <c r="M1039" s="25">
        <f>IFERROR(__xludf.DUMMYFUNCTION("""COMPUTED_VALUE"""),1845646.0)</f>
        <v>1845646</v>
      </c>
    </row>
    <row r="1040">
      <c r="A1040" s="26">
        <f>IFERROR(__xludf.DUMMYFUNCTION("""COMPUTED_VALUE"""),39892.645833333336)</f>
        <v>39892.64583</v>
      </c>
      <c r="B1040" s="9">
        <f>IFERROR(__xludf.DUMMYFUNCTION("""COMPUTED_VALUE"""),165.43)</f>
        <v>165.43</v>
      </c>
      <c r="C1040" s="9">
        <f>IFERROR(__xludf.DUMMYFUNCTION("""COMPUTED_VALUE"""),165.43)</f>
        <v>165.43</v>
      </c>
      <c r="D1040" s="9">
        <f>IFERROR(__xludf.DUMMYFUNCTION("""COMPUTED_VALUE"""),160.63)</f>
        <v>160.63</v>
      </c>
      <c r="E1040" s="9">
        <f>IFERROR(__xludf.DUMMYFUNCTION("""COMPUTED_VALUE"""),162.03)</f>
        <v>162.03</v>
      </c>
      <c r="F1040" s="9">
        <f>IFERROR(__xludf.DUMMYFUNCTION("""COMPUTED_VALUE"""),1187893.0)</f>
        <v>1187893</v>
      </c>
      <c r="H1040" s="27">
        <f>IFERROR(__xludf.DUMMYFUNCTION("""COMPUTED_VALUE"""),39892.645833333336)</f>
        <v>39892.64583</v>
      </c>
      <c r="I1040" s="25">
        <f>IFERROR(__xludf.DUMMYFUNCTION("""COMPUTED_VALUE"""),132.23)</f>
        <v>132.23</v>
      </c>
      <c r="J1040" s="25">
        <f>IFERROR(__xludf.DUMMYFUNCTION("""COMPUTED_VALUE"""),132.23)</f>
        <v>132.23</v>
      </c>
      <c r="K1040" s="25">
        <f>IFERROR(__xludf.DUMMYFUNCTION("""COMPUTED_VALUE"""),126.38)</f>
        <v>126.38</v>
      </c>
      <c r="L1040" s="25">
        <f>IFERROR(__xludf.DUMMYFUNCTION("""COMPUTED_VALUE"""),127.45)</f>
        <v>127.45</v>
      </c>
      <c r="M1040" s="25">
        <f>IFERROR(__xludf.DUMMYFUNCTION("""COMPUTED_VALUE"""),1034845.0)</f>
        <v>1034845</v>
      </c>
    </row>
    <row r="1041">
      <c r="A1041" s="26">
        <f>IFERROR(__xludf.DUMMYFUNCTION("""COMPUTED_VALUE"""),39895.645833333336)</f>
        <v>39895.64583</v>
      </c>
      <c r="B1041" s="9">
        <f>IFERROR(__xludf.DUMMYFUNCTION("""COMPUTED_VALUE"""),162.53)</f>
        <v>162.53</v>
      </c>
      <c r="C1041" s="9">
        <f>IFERROR(__xludf.DUMMYFUNCTION("""COMPUTED_VALUE"""),167.49)</f>
        <v>167.49</v>
      </c>
      <c r="D1041" s="9">
        <f>IFERROR(__xludf.DUMMYFUNCTION("""COMPUTED_VALUE"""),161.9)</f>
        <v>161.9</v>
      </c>
      <c r="E1041" s="9">
        <f>IFERROR(__xludf.DUMMYFUNCTION("""COMPUTED_VALUE"""),166.41)</f>
        <v>166.41</v>
      </c>
      <c r="F1041" s="9">
        <f>IFERROR(__xludf.DUMMYFUNCTION("""COMPUTED_VALUE"""),1530355.0)</f>
        <v>1530355</v>
      </c>
      <c r="H1041" s="27">
        <f>IFERROR(__xludf.DUMMYFUNCTION("""COMPUTED_VALUE"""),39895.645833333336)</f>
        <v>39895.64583</v>
      </c>
      <c r="I1041" s="25">
        <f>IFERROR(__xludf.DUMMYFUNCTION("""COMPUTED_VALUE"""),131.13)</f>
        <v>131.13</v>
      </c>
      <c r="J1041" s="25">
        <f>IFERROR(__xludf.DUMMYFUNCTION("""COMPUTED_VALUE"""),132.4)</f>
        <v>132.4</v>
      </c>
      <c r="K1041" s="25">
        <f>IFERROR(__xludf.DUMMYFUNCTION("""COMPUTED_VALUE"""),127.75)</f>
        <v>127.75</v>
      </c>
      <c r="L1041" s="25">
        <f>IFERROR(__xludf.DUMMYFUNCTION("""COMPUTED_VALUE"""),129.91)</f>
        <v>129.91</v>
      </c>
      <c r="M1041" s="25">
        <f>IFERROR(__xludf.DUMMYFUNCTION("""COMPUTED_VALUE"""),1146828.0)</f>
        <v>1146828</v>
      </c>
    </row>
    <row r="1042">
      <c r="A1042" s="26">
        <f>IFERROR(__xludf.DUMMYFUNCTION("""COMPUTED_VALUE"""),39896.645833333336)</f>
        <v>39896.64583</v>
      </c>
      <c r="B1042" s="9">
        <f>IFERROR(__xludf.DUMMYFUNCTION("""COMPUTED_VALUE"""),168.13)</f>
        <v>168.13</v>
      </c>
      <c r="C1042" s="9">
        <f>IFERROR(__xludf.DUMMYFUNCTION("""COMPUTED_VALUE"""),170.03)</f>
        <v>170.03</v>
      </c>
      <c r="D1042" s="9">
        <f>IFERROR(__xludf.DUMMYFUNCTION("""COMPUTED_VALUE"""),163.89)</f>
        <v>163.89</v>
      </c>
      <c r="E1042" s="9">
        <f>IFERROR(__xludf.DUMMYFUNCTION("""COMPUTED_VALUE"""),165.09)</f>
        <v>165.09</v>
      </c>
      <c r="F1042" s="9">
        <f>IFERROR(__xludf.DUMMYFUNCTION("""COMPUTED_VALUE"""),1343332.0)</f>
        <v>1343332</v>
      </c>
      <c r="H1042" s="27">
        <f>IFERROR(__xludf.DUMMYFUNCTION("""COMPUTED_VALUE"""),39896.645833333336)</f>
        <v>39896.64583</v>
      </c>
      <c r="I1042" s="25">
        <f>IFERROR(__xludf.DUMMYFUNCTION("""COMPUTED_VALUE"""),130.55)</f>
        <v>130.55</v>
      </c>
      <c r="J1042" s="25">
        <f>IFERROR(__xludf.DUMMYFUNCTION("""COMPUTED_VALUE"""),133.13)</f>
        <v>133.13</v>
      </c>
      <c r="K1042" s="25">
        <f>IFERROR(__xludf.DUMMYFUNCTION("""COMPUTED_VALUE"""),128.05)</f>
        <v>128.05</v>
      </c>
      <c r="L1042" s="25">
        <f>IFERROR(__xludf.DUMMYFUNCTION("""COMPUTED_VALUE"""),130.41)</f>
        <v>130.41</v>
      </c>
      <c r="M1042" s="25">
        <f>IFERROR(__xludf.DUMMYFUNCTION("""COMPUTED_VALUE"""),1670386.0)</f>
        <v>1670386</v>
      </c>
    </row>
    <row r="1043">
      <c r="A1043" s="26">
        <f>IFERROR(__xludf.DUMMYFUNCTION("""COMPUTED_VALUE"""),39897.645833333336)</f>
        <v>39897.64583</v>
      </c>
      <c r="B1043" s="9">
        <f>IFERROR(__xludf.DUMMYFUNCTION("""COMPUTED_VALUE"""),164.03)</f>
        <v>164.03</v>
      </c>
      <c r="C1043" s="9">
        <f>IFERROR(__xludf.DUMMYFUNCTION("""COMPUTED_VALUE"""),168.75)</f>
        <v>168.75</v>
      </c>
      <c r="D1043" s="9">
        <f>IFERROR(__xludf.DUMMYFUNCTION("""COMPUTED_VALUE"""),164.03)</f>
        <v>164.03</v>
      </c>
      <c r="E1043" s="9">
        <f>IFERROR(__xludf.DUMMYFUNCTION("""COMPUTED_VALUE"""),167.37)</f>
        <v>167.37</v>
      </c>
      <c r="F1043" s="9">
        <f>IFERROR(__xludf.DUMMYFUNCTION("""COMPUTED_VALUE"""),1637410.0)</f>
        <v>1637410</v>
      </c>
      <c r="H1043" s="27">
        <f>IFERROR(__xludf.DUMMYFUNCTION("""COMPUTED_VALUE"""),39897.645833333336)</f>
        <v>39897.64583</v>
      </c>
      <c r="I1043" s="25">
        <f>IFERROR(__xludf.DUMMYFUNCTION("""COMPUTED_VALUE"""),125.91)</f>
        <v>125.91</v>
      </c>
      <c r="J1043" s="25">
        <f>IFERROR(__xludf.DUMMYFUNCTION("""COMPUTED_VALUE"""),132.48)</f>
        <v>132.48</v>
      </c>
      <c r="K1043" s="25">
        <f>IFERROR(__xludf.DUMMYFUNCTION("""COMPUTED_VALUE"""),125.91)</f>
        <v>125.91</v>
      </c>
      <c r="L1043" s="25">
        <f>IFERROR(__xludf.DUMMYFUNCTION("""COMPUTED_VALUE"""),131.5)</f>
        <v>131.5</v>
      </c>
      <c r="M1043" s="25">
        <f>IFERROR(__xludf.DUMMYFUNCTION("""COMPUTED_VALUE"""),957904.0)</f>
        <v>957904</v>
      </c>
    </row>
    <row r="1044">
      <c r="A1044" s="26">
        <f>IFERROR(__xludf.DUMMYFUNCTION("""COMPUTED_VALUE"""),39898.645833333336)</f>
        <v>39898.64583</v>
      </c>
      <c r="B1044" s="9">
        <f>IFERROR(__xludf.DUMMYFUNCTION("""COMPUTED_VALUE"""),168.13)</f>
        <v>168.13</v>
      </c>
      <c r="C1044" s="9">
        <f>IFERROR(__xludf.DUMMYFUNCTION("""COMPUTED_VALUE"""),174.64)</f>
        <v>174.64</v>
      </c>
      <c r="D1044" s="9">
        <f>IFERROR(__xludf.DUMMYFUNCTION("""COMPUTED_VALUE"""),167.78)</f>
        <v>167.78</v>
      </c>
      <c r="E1044" s="9">
        <f>IFERROR(__xludf.DUMMYFUNCTION("""COMPUTED_VALUE"""),172.39)</f>
        <v>172.39</v>
      </c>
      <c r="F1044" s="9">
        <f>IFERROR(__xludf.DUMMYFUNCTION("""COMPUTED_VALUE"""),2993265.0)</f>
        <v>2993265</v>
      </c>
      <c r="H1044" s="27">
        <f>IFERROR(__xludf.DUMMYFUNCTION("""COMPUTED_VALUE"""),39898.645833333336)</f>
        <v>39898.64583</v>
      </c>
      <c r="I1044" s="25">
        <f>IFERROR(__xludf.DUMMYFUNCTION("""COMPUTED_VALUE"""),128.16)</f>
        <v>128.16</v>
      </c>
      <c r="J1044" s="25">
        <f>IFERROR(__xludf.DUMMYFUNCTION("""COMPUTED_VALUE"""),144.49)</f>
        <v>144.49</v>
      </c>
      <c r="K1044" s="25">
        <f>IFERROR(__xludf.DUMMYFUNCTION("""COMPUTED_VALUE"""),128.16)</f>
        <v>128.16</v>
      </c>
      <c r="L1044" s="25">
        <f>IFERROR(__xludf.DUMMYFUNCTION("""COMPUTED_VALUE"""),139.61)</f>
        <v>139.61</v>
      </c>
      <c r="M1044" s="25">
        <f>IFERROR(__xludf.DUMMYFUNCTION("""COMPUTED_VALUE"""),3807582.0)</f>
        <v>3807582</v>
      </c>
    </row>
    <row r="1045">
      <c r="A1045" s="26">
        <f>IFERROR(__xludf.DUMMYFUNCTION("""COMPUTED_VALUE"""),39899.645833333336)</f>
        <v>39899.64583</v>
      </c>
      <c r="B1045" s="9">
        <f>IFERROR(__xludf.DUMMYFUNCTION("""COMPUTED_VALUE"""),171.88)</f>
        <v>171.88</v>
      </c>
      <c r="C1045" s="9">
        <f>IFERROR(__xludf.DUMMYFUNCTION("""COMPUTED_VALUE"""),173.25)</f>
        <v>173.25</v>
      </c>
      <c r="D1045" s="9">
        <f>IFERROR(__xludf.DUMMYFUNCTION("""COMPUTED_VALUE"""),166.26)</f>
        <v>166.26</v>
      </c>
      <c r="E1045" s="9">
        <f>IFERROR(__xludf.DUMMYFUNCTION("""COMPUTED_VALUE"""),168.11)</f>
        <v>168.11</v>
      </c>
      <c r="F1045" s="9">
        <f>IFERROR(__xludf.DUMMYFUNCTION("""COMPUTED_VALUE"""),2087452.0)</f>
        <v>2087452</v>
      </c>
      <c r="H1045" s="27">
        <f>IFERROR(__xludf.DUMMYFUNCTION("""COMPUTED_VALUE"""),39899.645833333336)</f>
        <v>39899.64583</v>
      </c>
      <c r="I1045" s="25">
        <f>IFERROR(__xludf.DUMMYFUNCTION("""COMPUTED_VALUE"""),134.16)</f>
        <v>134.16</v>
      </c>
      <c r="J1045" s="25">
        <f>IFERROR(__xludf.DUMMYFUNCTION("""COMPUTED_VALUE"""),146.25)</f>
        <v>146.25</v>
      </c>
      <c r="K1045" s="25">
        <f>IFERROR(__xludf.DUMMYFUNCTION("""COMPUTED_VALUE"""),134.16)</f>
        <v>134.16</v>
      </c>
      <c r="L1045" s="25">
        <f>IFERROR(__xludf.DUMMYFUNCTION("""COMPUTED_VALUE"""),143.71)</f>
        <v>143.71</v>
      </c>
      <c r="M1045" s="25">
        <f>IFERROR(__xludf.DUMMYFUNCTION("""COMPUTED_VALUE"""),1769856.0)</f>
        <v>1769856</v>
      </c>
    </row>
    <row r="1046">
      <c r="A1046" s="26">
        <f>IFERROR(__xludf.DUMMYFUNCTION("""COMPUTED_VALUE"""),39902.645833333336)</f>
        <v>39902.64583</v>
      </c>
      <c r="B1046" s="9">
        <f>IFERROR(__xludf.DUMMYFUNCTION("""COMPUTED_VALUE"""),165.0)</f>
        <v>165</v>
      </c>
      <c r="C1046" s="9">
        <f>IFERROR(__xludf.DUMMYFUNCTION("""COMPUTED_VALUE"""),166.13)</f>
        <v>166.13</v>
      </c>
      <c r="D1046" s="9">
        <f>IFERROR(__xludf.DUMMYFUNCTION("""COMPUTED_VALUE"""),158.21)</f>
        <v>158.21</v>
      </c>
      <c r="E1046" s="9">
        <f>IFERROR(__xludf.DUMMYFUNCTION("""COMPUTED_VALUE"""),162.66)</f>
        <v>162.66</v>
      </c>
      <c r="F1046" s="9">
        <f>IFERROR(__xludf.DUMMYFUNCTION("""COMPUTED_VALUE"""),1549176.0)</f>
        <v>1549176</v>
      </c>
      <c r="H1046" s="27">
        <f>IFERROR(__xludf.DUMMYFUNCTION("""COMPUTED_VALUE"""),39902.645833333336)</f>
        <v>39902.64583</v>
      </c>
      <c r="I1046" s="25">
        <f>IFERROR(__xludf.DUMMYFUNCTION("""COMPUTED_VALUE"""),133.44)</f>
        <v>133.44</v>
      </c>
      <c r="J1046" s="25">
        <f>IFERROR(__xludf.DUMMYFUNCTION("""COMPUTED_VALUE"""),142.5)</f>
        <v>142.5</v>
      </c>
      <c r="K1046" s="25">
        <f>IFERROR(__xludf.DUMMYFUNCTION("""COMPUTED_VALUE"""),129.5)</f>
        <v>129.5</v>
      </c>
      <c r="L1046" s="25">
        <f>IFERROR(__xludf.DUMMYFUNCTION("""COMPUTED_VALUE"""),130.81)</f>
        <v>130.81</v>
      </c>
      <c r="M1046" s="25">
        <f>IFERROR(__xludf.DUMMYFUNCTION("""COMPUTED_VALUE"""),1287047.0)</f>
        <v>1287047</v>
      </c>
    </row>
    <row r="1047">
      <c r="A1047" s="26">
        <f>IFERROR(__xludf.DUMMYFUNCTION("""COMPUTED_VALUE"""),39903.645833333336)</f>
        <v>39903.64583</v>
      </c>
      <c r="B1047" s="9">
        <f>IFERROR(__xludf.DUMMYFUNCTION("""COMPUTED_VALUE"""),163.75)</f>
        <v>163.75</v>
      </c>
      <c r="C1047" s="9">
        <f>IFERROR(__xludf.DUMMYFUNCTION("""COMPUTED_VALUE"""),167.49)</f>
        <v>167.49</v>
      </c>
      <c r="D1047" s="9">
        <f>IFERROR(__xludf.DUMMYFUNCTION("""COMPUTED_VALUE"""),162.63)</f>
        <v>162.63</v>
      </c>
      <c r="E1047" s="9">
        <f>IFERROR(__xludf.DUMMYFUNCTION("""COMPUTED_VALUE"""),165.49)</f>
        <v>165.49</v>
      </c>
      <c r="F1047" s="9">
        <f>IFERROR(__xludf.DUMMYFUNCTION("""COMPUTED_VALUE"""),1596903.0)</f>
        <v>1596903</v>
      </c>
      <c r="H1047" s="27">
        <f>IFERROR(__xludf.DUMMYFUNCTION("""COMPUTED_VALUE"""),39903.645833333336)</f>
        <v>39903.64583</v>
      </c>
      <c r="I1047" s="25">
        <f>IFERROR(__xludf.DUMMYFUNCTION("""COMPUTED_VALUE"""),131.25)</f>
        <v>131.25</v>
      </c>
      <c r="J1047" s="25">
        <f>IFERROR(__xludf.DUMMYFUNCTION("""COMPUTED_VALUE"""),135.98)</f>
        <v>135.98</v>
      </c>
      <c r="K1047" s="25">
        <f>IFERROR(__xludf.DUMMYFUNCTION("""COMPUTED_VALUE"""),131.25)</f>
        <v>131.25</v>
      </c>
      <c r="L1047" s="25">
        <f>IFERROR(__xludf.DUMMYFUNCTION("""COMPUTED_VALUE"""),134.64)</f>
        <v>134.64</v>
      </c>
      <c r="M1047" s="25">
        <f>IFERROR(__xludf.DUMMYFUNCTION("""COMPUTED_VALUE"""),1194418.0)</f>
        <v>1194418</v>
      </c>
    </row>
    <row r="1048">
      <c r="A1048" s="26">
        <f>IFERROR(__xludf.DUMMYFUNCTION("""COMPUTED_VALUE"""),39904.645833333336)</f>
        <v>39904.64583</v>
      </c>
      <c r="B1048" s="9">
        <f>IFERROR(__xludf.DUMMYFUNCTION("""COMPUTED_VALUE"""),166.39)</f>
        <v>166.39</v>
      </c>
      <c r="C1048" s="9">
        <f>IFERROR(__xludf.DUMMYFUNCTION("""COMPUTED_VALUE"""),172.49)</f>
        <v>172.49</v>
      </c>
      <c r="D1048" s="9">
        <f>IFERROR(__xludf.DUMMYFUNCTION("""COMPUTED_VALUE"""),163.17)</f>
        <v>163.17</v>
      </c>
      <c r="E1048" s="9">
        <f>IFERROR(__xludf.DUMMYFUNCTION("""COMPUTED_VALUE"""),171.72)</f>
        <v>171.72</v>
      </c>
      <c r="F1048" s="9">
        <f>IFERROR(__xludf.DUMMYFUNCTION("""COMPUTED_VALUE"""),1554861.0)</f>
        <v>1554861</v>
      </c>
      <c r="H1048" s="27">
        <f>IFERROR(__xludf.DUMMYFUNCTION("""COMPUTED_VALUE"""),39904.645833333336)</f>
        <v>39904.64583</v>
      </c>
      <c r="I1048" s="25">
        <f>IFERROR(__xludf.DUMMYFUNCTION("""COMPUTED_VALUE"""),134.0)</f>
        <v>134</v>
      </c>
      <c r="J1048" s="25">
        <f>IFERROR(__xludf.DUMMYFUNCTION("""COMPUTED_VALUE"""),138.45)</f>
        <v>138.45</v>
      </c>
      <c r="K1048" s="25">
        <f>IFERROR(__xludf.DUMMYFUNCTION("""COMPUTED_VALUE"""),130.13)</f>
        <v>130.13</v>
      </c>
      <c r="L1048" s="25">
        <f>IFERROR(__xludf.DUMMYFUNCTION("""COMPUTED_VALUE"""),136.13)</f>
        <v>136.13</v>
      </c>
      <c r="M1048" s="25">
        <f>IFERROR(__xludf.DUMMYFUNCTION("""COMPUTED_VALUE"""),1681142.0)</f>
        <v>1681142</v>
      </c>
    </row>
    <row r="1049">
      <c r="A1049" s="26">
        <f>IFERROR(__xludf.DUMMYFUNCTION("""COMPUTED_VALUE"""),39905.645833333336)</f>
        <v>39905.64583</v>
      </c>
      <c r="B1049" s="9">
        <f>IFERROR(__xludf.DUMMYFUNCTION("""COMPUTED_VALUE"""),174.5)</f>
        <v>174.5</v>
      </c>
      <c r="C1049" s="9">
        <f>IFERROR(__xludf.DUMMYFUNCTION("""COMPUTED_VALUE"""),179.38)</f>
        <v>179.38</v>
      </c>
      <c r="D1049" s="9">
        <f>IFERROR(__xludf.DUMMYFUNCTION("""COMPUTED_VALUE"""),172.82)</f>
        <v>172.82</v>
      </c>
      <c r="E1049" s="9">
        <f>IFERROR(__xludf.DUMMYFUNCTION("""COMPUTED_VALUE"""),177.43)</f>
        <v>177.43</v>
      </c>
      <c r="F1049" s="9">
        <f>IFERROR(__xludf.DUMMYFUNCTION("""COMPUTED_VALUE"""),1964717.0)</f>
        <v>1964717</v>
      </c>
      <c r="H1049" s="27">
        <f>IFERROR(__xludf.DUMMYFUNCTION("""COMPUTED_VALUE"""),39905.645833333336)</f>
        <v>39905.64583</v>
      </c>
      <c r="I1049" s="25">
        <f>IFERROR(__xludf.DUMMYFUNCTION("""COMPUTED_VALUE"""),136.41)</f>
        <v>136.41</v>
      </c>
      <c r="J1049" s="25">
        <f>IFERROR(__xludf.DUMMYFUNCTION("""COMPUTED_VALUE"""),146.75)</f>
        <v>146.75</v>
      </c>
      <c r="K1049" s="25">
        <f>IFERROR(__xludf.DUMMYFUNCTION("""COMPUTED_VALUE"""),136.41)</f>
        <v>136.41</v>
      </c>
      <c r="L1049" s="25">
        <f>IFERROR(__xludf.DUMMYFUNCTION("""COMPUTED_VALUE"""),144.69)</f>
        <v>144.69</v>
      </c>
      <c r="M1049" s="25">
        <f>IFERROR(__xludf.DUMMYFUNCTION("""COMPUTED_VALUE"""),2125941.0)</f>
        <v>2125941</v>
      </c>
    </row>
    <row r="1050">
      <c r="A1050" s="26">
        <f>IFERROR(__xludf.DUMMYFUNCTION("""COMPUTED_VALUE"""),39909.645833333336)</f>
        <v>39909.64583</v>
      </c>
      <c r="B1050" s="9">
        <f>IFERROR(__xludf.DUMMYFUNCTION("""COMPUTED_VALUE"""),180.41)</f>
        <v>180.41</v>
      </c>
      <c r="C1050" s="9">
        <f>IFERROR(__xludf.DUMMYFUNCTION("""COMPUTED_VALUE"""),183.63)</f>
        <v>183.63</v>
      </c>
      <c r="D1050" s="9">
        <f>IFERROR(__xludf.DUMMYFUNCTION("""COMPUTED_VALUE"""),173.01)</f>
        <v>173.01</v>
      </c>
      <c r="E1050" s="9">
        <f>IFERROR(__xludf.DUMMYFUNCTION("""COMPUTED_VALUE"""),176.76)</f>
        <v>176.76</v>
      </c>
      <c r="F1050" s="9">
        <f>IFERROR(__xludf.DUMMYFUNCTION("""COMPUTED_VALUE"""),1732122.0)</f>
        <v>1732122</v>
      </c>
      <c r="H1050" s="27">
        <f>IFERROR(__xludf.DUMMYFUNCTION("""COMPUTED_VALUE"""),39909.645833333336)</f>
        <v>39909.64583</v>
      </c>
      <c r="I1050" s="25">
        <f>IFERROR(__xludf.DUMMYFUNCTION("""COMPUTED_VALUE"""),146.2)</f>
        <v>146.2</v>
      </c>
      <c r="J1050" s="25">
        <f>IFERROR(__xludf.DUMMYFUNCTION("""COMPUTED_VALUE"""),148.5)</f>
        <v>148.5</v>
      </c>
      <c r="K1050" s="25">
        <f>IFERROR(__xludf.DUMMYFUNCTION("""COMPUTED_VALUE"""),143.93)</f>
        <v>143.93</v>
      </c>
      <c r="L1050" s="25">
        <f>IFERROR(__xludf.DUMMYFUNCTION("""COMPUTED_VALUE"""),144.89)</f>
        <v>144.89</v>
      </c>
      <c r="M1050" s="25">
        <f>IFERROR(__xludf.DUMMYFUNCTION("""COMPUTED_VALUE"""),1353645.0)</f>
        <v>1353645</v>
      </c>
    </row>
    <row r="1051">
      <c r="A1051" s="26">
        <f>IFERROR(__xludf.DUMMYFUNCTION("""COMPUTED_VALUE"""),39911.645833333336)</f>
        <v>39911.64583</v>
      </c>
      <c r="B1051" s="9">
        <f>IFERROR(__xludf.DUMMYFUNCTION("""COMPUTED_VALUE"""),173.76)</f>
        <v>173.76</v>
      </c>
      <c r="C1051" s="9">
        <f>IFERROR(__xludf.DUMMYFUNCTION("""COMPUTED_VALUE"""),179.33)</f>
        <v>179.33</v>
      </c>
      <c r="D1051" s="9">
        <f>IFERROR(__xludf.DUMMYFUNCTION("""COMPUTED_VALUE"""),169.56)</f>
        <v>169.56</v>
      </c>
      <c r="E1051" s="9">
        <f>IFERROR(__xludf.DUMMYFUNCTION("""COMPUTED_VALUE"""),178.14)</f>
        <v>178.14</v>
      </c>
      <c r="F1051" s="9">
        <f>IFERROR(__xludf.DUMMYFUNCTION("""COMPUTED_VALUE"""),2475722.0)</f>
        <v>2475722</v>
      </c>
      <c r="H1051" s="27">
        <f>IFERROR(__xludf.DUMMYFUNCTION("""COMPUTED_VALUE"""),39911.645833333336)</f>
        <v>39911.64583</v>
      </c>
      <c r="I1051" s="25">
        <f>IFERROR(__xludf.DUMMYFUNCTION("""COMPUTED_VALUE"""),146.28)</f>
        <v>146.28</v>
      </c>
      <c r="J1051" s="25">
        <f>IFERROR(__xludf.DUMMYFUNCTION("""COMPUTED_VALUE"""),153.43)</f>
        <v>153.43</v>
      </c>
      <c r="K1051" s="25">
        <f>IFERROR(__xludf.DUMMYFUNCTION("""COMPUTED_VALUE"""),140.25)</f>
        <v>140.25</v>
      </c>
      <c r="L1051" s="25">
        <f>IFERROR(__xludf.DUMMYFUNCTION("""COMPUTED_VALUE"""),151.04)</f>
        <v>151.04</v>
      </c>
      <c r="M1051" s="25">
        <f>IFERROR(__xludf.DUMMYFUNCTION("""COMPUTED_VALUE"""),2548378.0)</f>
        <v>2548378</v>
      </c>
    </row>
    <row r="1052">
      <c r="A1052" s="26">
        <f>IFERROR(__xludf.DUMMYFUNCTION("""COMPUTED_VALUE"""),39912.645833333336)</f>
        <v>39912.64583</v>
      </c>
      <c r="B1052" s="9">
        <f>IFERROR(__xludf.DUMMYFUNCTION("""COMPUTED_VALUE"""),179.38)</f>
        <v>179.38</v>
      </c>
      <c r="C1052" s="9">
        <f>IFERROR(__xludf.DUMMYFUNCTION("""COMPUTED_VALUE"""),179.61)</f>
        <v>179.61</v>
      </c>
      <c r="D1052" s="9">
        <f>IFERROR(__xludf.DUMMYFUNCTION("""COMPUTED_VALUE"""),174.5)</f>
        <v>174.5</v>
      </c>
      <c r="E1052" s="9">
        <f>IFERROR(__xludf.DUMMYFUNCTION("""COMPUTED_VALUE"""),178.38)</f>
        <v>178.38</v>
      </c>
      <c r="F1052" s="9">
        <f>IFERROR(__xludf.DUMMYFUNCTION("""COMPUTED_VALUE"""),1882711.0)</f>
        <v>1882711</v>
      </c>
      <c r="H1052" s="27">
        <f>IFERROR(__xludf.DUMMYFUNCTION("""COMPUTED_VALUE"""),39912.645833333336)</f>
        <v>39912.64583</v>
      </c>
      <c r="I1052" s="25">
        <f>IFERROR(__xludf.DUMMYFUNCTION("""COMPUTED_VALUE"""),153.0)</f>
        <v>153</v>
      </c>
      <c r="J1052" s="25">
        <f>IFERROR(__xludf.DUMMYFUNCTION("""COMPUTED_VALUE"""),154.98)</f>
        <v>154.98</v>
      </c>
      <c r="K1052" s="25">
        <f>IFERROR(__xludf.DUMMYFUNCTION("""COMPUTED_VALUE"""),148.56)</f>
        <v>148.56</v>
      </c>
      <c r="L1052" s="25">
        <f>IFERROR(__xludf.DUMMYFUNCTION("""COMPUTED_VALUE"""),150.64)</f>
        <v>150.64</v>
      </c>
      <c r="M1052" s="25">
        <f>IFERROR(__xludf.DUMMYFUNCTION("""COMPUTED_VALUE"""),1646681.0)</f>
        <v>1646681</v>
      </c>
    </row>
    <row r="1053">
      <c r="A1053" s="26">
        <f>IFERROR(__xludf.DUMMYFUNCTION("""COMPUTED_VALUE"""),39916.645833333336)</f>
        <v>39916.64583</v>
      </c>
      <c r="B1053" s="9">
        <f>IFERROR(__xludf.DUMMYFUNCTION("""COMPUTED_VALUE"""),179.38)</f>
        <v>179.38</v>
      </c>
      <c r="C1053" s="9">
        <f>IFERROR(__xludf.DUMMYFUNCTION("""COMPUTED_VALUE"""),183.37)</f>
        <v>183.37</v>
      </c>
      <c r="D1053" s="9">
        <f>IFERROR(__xludf.DUMMYFUNCTION("""COMPUTED_VALUE"""),172.15)</f>
        <v>172.15</v>
      </c>
      <c r="E1053" s="9">
        <f>IFERROR(__xludf.DUMMYFUNCTION("""COMPUTED_VALUE"""),176.16)</f>
        <v>176.16</v>
      </c>
      <c r="F1053" s="9">
        <f>IFERROR(__xludf.DUMMYFUNCTION("""COMPUTED_VALUE"""),2354564.0)</f>
        <v>2354564</v>
      </c>
      <c r="H1053" s="27">
        <f>IFERROR(__xludf.DUMMYFUNCTION("""COMPUTED_VALUE"""),39916.645833333336)</f>
        <v>39916.64583</v>
      </c>
      <c r="I1053" s="25">
        <f>IFERROR(__xludf.DUMMYFUNCTION("""COMPUTED_VALUE"""),151.13)</f>
        <v>151.13</v>
      </c>
      <c r="J1053" s="25">
        <f>IFERROR(__xludf.DUMMYFUNCTION("""COMPUTED_VALUE"""),152.25)</f>
        <v>152.25</v>
      </c>
      <c r="K1053" s="25">
        <f>IFERROR(__xludf.DUMMYFUNCTION("""COMPUTED_VALUE"""),143.8)</f>
        <v>143.8</v>
      </c>
      <c r="L1053" s="25">
        <f>IFERROR(__xludf.DUMMYFUNCTION("""COMPUTED_VALUE"""),148.06)</f>
        <v>148.06</v>
      </c>
      <c r="M1053" s="25">
        <f>IFERROR(__xludf.DUMMYFUNCTION("""COMPUTED_VALUE"""),1030252.0)</f>
        <v>1030252</v>
      </c>
    </row>
    <row r="1054">
      <c r="A1054" s="26">
        <f>IFERROR(__xludf.DUMMYFUNCTION("""COMPUTED_VALUE"""),39918.645833333336)</f>
        <v>39918.64583</v>
      </c>
      <c r="B1054" s="9">
        <f>IFERROR(__xludf.DUMMYFUNCTION("""COMPUTED_VALUE"""),168.5)</f>
        <v>168.5</v>
      </c>
      <c r="C1054" s="9">
        <f>IFERROR(__xludf.DUMMYFUNCTION("""COMPUTED_VALUE"""),172.75)</f>
        <v>172.75</v>
      </c>
      <c r="D1054" s="9">
        <f>IFERROR(__xludf.DUMMYFUNCTION("""COMPUTED_VALUE"""),162.52)</f>
        <v>162.52</v>
      </c>
      <c r="E1054" s="9">
        <f>IFERROR(__xludf.DUMMYFUNCTION("""COMPUTED_VALUE"""),171.33)</f>
        <v>171.33</v>
      </c>
      <c r="F1054" s="9">
        <f>IFERROR(__xludf.DUMMYFUNCTION("""COMPUTED_VALUE"""),5579534.0)</f>
        <v>5579534</v>
      </c>
      <c r="H1054" s="27">
        <f>IFERROR(__xludf.DUMMYFUNCTION("""COMPUTED_VALUE"""),39918.645833333336)</f>
        <v>39918.64583</v>
      </c>
      <c r="I1054" s="25">
        <f>IFERROR(__xludf.DUMMYFUNCTION("""COMPUTED_VALUE"""),137.89)</f>
        <v>137.89</v>
      </c>
      <c r="J1054" s="25">
        <f>IFERROR(__xludf.DUMMYFUNCTION("""COMPUTED_VALUE"""),145.45)</f>
        <v>145.45</v>
      </c>
      <c r="K1054" s="25">
        <f>IFERROR(__xludf.DUMMYFUNCTION("""COMPUTED_VALUE"""),137.51)</f>
        <v>137.51</v>
      </c>
      <c r="L1054" s="25">
        <f>IFERROR(__xludf.DUMMYFUNCTION("""COMPUTED_VALUE"""),144.43)</f>
        <v>144.43</v>
      </c>
      <c r="M1054" s="25">
        <f>IFERROR(__xludf.DUMMYFUNCTION("""COMPUTED_VALUE"""),2441809.0)</f>
        <v>2441809</v>
      </c>
    </row>
    <row r="1055">
      <c r="A1055" s="26">
        <f>IFERROR(__xludf.DUMMYFUNCTION("""COMPUTED_VALUE"""),39919.645833333336)</f>
        <v>39919.64583</v>
      </c>
      <c r="B1055" s="9">
        <f>IFERROR(__xludf.DUMMYFUNCTION("""COMPUTED_VALUE"""),171.5)</f>
        <v>171.5</v>
      </c>
      <c r="C1055" s="9">
        <f>IFERROR(__xludf.DUMMYFUNCTION("""COMPUTED_VALUE"""),175.0)</f>
        <v>175</v>
      </c>
      <c r="D1055" s="9">
        <f>IFERROR(__xludf.DUMMYFUNCTION("""COMPUTED_VALUE"""),165.0)</f>
        <v>165</v>
      </c>
      <c r="E1055" s="9">
        <f>IFERROR(__xludf.DUMMYFUNCTION("""COMPUTED_VALUE"""),168.15)</f>
        <v>168.15</v>
      </c>
      <c r="F1055" s="9">
        <f>IFERROR(__xludf.DUMMYFUNCTION("""COMPUTED_VALUE"""),3413414.0)</f>
        <v>3413414</v>
      </c>
      <c r="H1055" s="27">
        <f>IFERROR(__xludf.DUMMYFUNCTION("""COMPUTED_VALUE"""),39919.645833333336)</f>
        <v>39919.64583</v>
      </c>
      <c r="I1055" s="25">
        <f>IFERROR(__xludf.DUMMYFUNCTION("""COMPUTED_VALUE"""),145.0)</f>
        <v>145</v>
      </c>
      <c r="J1055" s="25">
        <f>IFERROR(__xludf.DUMMYFUNCTION("""COMPUTED_VALUE"""),147.25)</f>
        <v>147.25</v>
      </c>
      <c r="K1055" s="25">
        <f>IFERROR(__xludf.DUMMYFUNCTION("""COMPUTED_VALUE"""),141.8)</f>
        <v>141.8</v>
      </c>
      <c r="L1055" s="25">
        <f>IFERROR(__xludf.DUMMYFUNCTION("""COMPUTED_VALUE"""),143.01)</f>
        <v>143.01</v>
      </c>
      <c r="M1055" s="25">
        <f>IFERROR(__xludf.DUMMYFUNCTION("""COMPUTED_VALUE"""),2217241.0)</f>
        <v>2217241</v>
      </c>
    </row>
    <row r="1056">
      <c r="A1056" s="26">
        <f>IFERROR(__xludf.DUMMYFUNCTION("""COMPUTED_VALUE"""),39920.645833333336)</f>
        <v>39920.64583</v>
      </c>
      <c r="B1056" s="9">
        <f>IFERROR(__xludf.DUMMYFUNCTION("""COMPUTED_VALUE"""),168.75)</f>
        <v>168.75</v>
      </c>
      <c r="C1056" s="9">
        <f>IFERROR(__xludf.DUMMYFUNCTION("""COMPUTED_VALUE"""),177.6)</f>
        <v>177.6</v>
      </c>
      <c r="D1056" s="9">
        <f>IFERROR(__xludf.DUMMYFUNCTION("""COMPUTED_VALUE"""),168.75)</f>
        <v>168.75</v>
      </c>
      <c r="E1056" s="9">
        <f>IFERROR(__xludf.DUMMYFUNCTION("""COMPUTED_VALUE"""),174.66)</f>
        <v>174.66</v>
      </c>
      <c r="F1056" s="9">
        <f>IFERROR(__xludf.DUMMYFUNCTION("""COMPUTED_VALUE"""),2937426.0)</f>
        <v>2937426</v>
      </c>
      <c r="H1056" s="27">
        <f>IFERROR(__xludf.DUMMYFUNCTION("""COMPUTED_VALUE"""),39920.645833333336)</f>
        <v>39920.64583</v>
      </c>
      <c r="I1056" s="25">
        <f>IFERROR(__xludf.DUMMYFUNCTION("""COMPUTED_VALUE"""),144.2)</f>
        <v>144.2</v>
      </c>
      <c r="J1056" s="25">
        <f>IFERROR(__xludf.DUMMYFUNCTION("""COMPUTED_VALUE"""),149.88)</f>
        <v>149.88</v>
      </c>
      <c r="K1056" s="25">
        <f>IFERROR(__xludf.DUMMYFUNCTION("""COMPUTED_VALUE"""),141.28)</f>
        <v>141.28</v>
      </c>
      <c r="L1056" s="25">
        <f>IFERROR(__xludf.DUMMYFUNCTION("""COMPUTED_VALUE"""),143.28)</f>
        <v>143.28</v>
      </c>
      <c r="M1056" s="25">
        <f>IFERROR(__xludf.DUMMYFUNCTION("""COMPUTED_VALUE"""),1666006.0)</f>
        <v>1666006</v>
      </c>
    </row>
    <row r="1057">
      <c r="A1057" s="26">
        <f>IFERROR(__xludf.DUMMYFUNCTION("""COMPUTED_VALUE"""),39923.645833333336)</f>
        <v>39923.64583</v>
      </c>
      <c r="B1057" s="9">
        <f>IFERROR(__xludf.DUMMYFUNCTION("""COMPUTED_VALUE"""),173.13)</f>
        <v>173.13</v>
      </c>
      <c r="C1057" s="9">
        <f>IFERROR(__xludf.DUMMYFUNCTION("""COMPUTED_VALUE"""),176.25)</f>
        <v>176.25</v>
      </c>
      <c r="D1057" s="9">
        <f>IFERROR(__xludf.DUMMYFUNCTION("""COMPUTED_VALUE"""),171.63)</f>
        <v>171.63</v>
      </c>
      <c r="E1057" s="9">
        <f>IFERROR(__xludf.DUMMYFUNCTION("""COMPUTED_VALUE"""),174.18)</f>
        <v>174.18</v>
      </c>
      <c r="F1057" s="9">
        <f>IFERROR(__xludf.DUMMYFUNCTION("""COMPUTED_VALUE"""),1866587.0)</f>
        <v>1866587</v>
      </c>
      <c r="H1057" s="27">
        <f>IFERROR(__xludf.DUMMYFUNCTION("""COMPUTED_VALUE"""),39923.645833333336)</f>
        <v>39923.64583</v>
      </c>
      <c r="I1057" s="25">
        <f>IFERROR(__xludf.DUMMYFUNCTION("""COMPUTED_VALUE"""),138.19)</f>
        <v>138.19</v>
      </c>
      <c r="J1057" s="25">
        <f>IFERROR(__xludf.DUMMYFUNCTION("""COMPUTED_VALUE"""),145.45)</f>
        <v>145.45</v>
      </c>
      <c r="K1057" s="25">
        <f>IFERROR(__xludf.DUMMYFUNCTION("""COMPUTED_VALUE"""),138.19)</f>
        <v>138.19</v>
      </c>
      <c r="L1057" s="25">
        <f>IFERROR(__xludf.DUMMYFUNCTION("""COMPUTED_VALUE"""),140.35)</f>
        <v>140.35</v>
      </c>
      <c r="M1057" s="25">
        <f>IFERROR(__xludf.DUMMYFUNCTION("""COMPUTED_VALUE"""),1332550.0)</f>
        <v>1332550</v>
      </c>
    </row>
    <row r="1058">
      <c r="A1058" s="26">
        <f>IFERROR(__xludf.DUMMYFUNCTION("""COMPUTED_VALUE"""),39924.645833333336)</f>
        <v>39924.64583</v>
      </c>
      <c r="B1058" s="9">
        <f>IFERROR(__xludf.DUMMYFUNCTION("""COMPUTED_VALUE"""),172.38)</f>
        <v>172.38</v>
      </c>
      <c r="C1058" s="9">
        <f>IFERROR(__xludf.DUMMYFUNCTION("""COMPUTED_VALUE"""),173.74)</f>
        <v>173.74</v>
      </c>
      <c r="D1058" s="9">
        <f>IFERROR(__xludf.DUMMYFUNCTION("""COMPUTED_VALUE"""),169.38)</f>
        <v>169.38</v>
      </c>
      <c r="E1058" s="9">
        <f>IFERROR(__xludf.DUMMYFUNCTION("""COMPUTED_VALUE"""),170.31)</f>
        <v>170.31</v>
      </c>
      <c r="F1058" s="9">
        <f>IFERROR(__xludf.DUMMYFUNCTION("""COMPUTED_VALUE"""),1001733.0)</f>
        <v>1001733</v>
      </c>
      <c r="H1058" s="27">
        <f>IFERROR(__xludf.DUMMYFUNCTION("""COMPUTED_VALUE"""),39924.645833333336)</f>
        <v>39924.64583</v>
      </c>
      <c r="I1058" s="25">
        <f>IFERROR(__xludf.DUMMYFUNCTION("""COMPUTED_VALUE"""),144.9)</f>
        <v>144.9</v>
      </c>
      <c r="J1058" s="25">
        <f>IFERROR(__xludf.DUMMYFUNCTION("""COMPUTED_VALUE"""),147.13)</f>
        <v>147.13</v>
      </c>
      <c r="K1058" s="25">
        <f>IFERROR(__xludf.DUMMYFUNCTION("""COMPUTED_VALUE"""),136.25)</f>
        <v>136.25</v>
      </c>
      <c r="L1058" s="25">
        <f>IFERROR(__xludf.DUMMYFUNCTION("""COMPUTED_VALUE"""),137.69)</f>
        <v>137.69</v>
      </c>
      <c r="M1058" s="25">
        <f>IFERROR(__xludf.DUMMYFUNCTION("""COMPUTED_VALUE"""),2872245.0)</f>
        <v>2872245</v>
      </c>
    </row>
    <row r="1059">
      <c r="A1059" s="26">
        <f>IFERROR(__xludf.DUMMYFUNCTION("""COMPUTED_VALUE"""),39925.645833333336)</f>
        <v>39925.64583</v>
      </c>
      <c r="B1059" s="9">
        <f>IFERROR(__xludf.DUMMYFUNCTION("""COMPUTED_VALUE"""),170.25)</f>
        <v>170.25</v>
      </c>
      <c r="C1059" s="9">
        <f>IFERROR(__xludf.DUMMYFUNCTION("""COMPUTED_VALUE"""),173.5)</f>
        <v>173.5</v>
      </c>
      <c r="D1059" s="9">
        <f>IFERROR(__xludf.DUMMYFUNCTION("""COMPUTED_VALUE"""),169.44)</f>
        <v>169.44</v>
      </c>
      <c r="E1059" s="9">
        <f>IFERROR(__xludf.DUMMYFUNCTION("""COMPUTED_VALUE"""),172.64)</f>
        <v>172.64</v>
      </c>
      <c r="F1059" s="9">
        <f>IFERROR(__xludf.DUMMYFUNCTION("""COMPUTED_VALUE"""),1327780.0)</f>
        <v>1327780</v>
      </c>
      <c r="H1059" s="27">
        <f>IFERROR(__xludf.DUMMYFUNCTION("""COMPUTED_VALUE"""),39925.645833333336)</f>
        <v>39925.64583</v>
      </c>
      <c r="I1059" s="25">
        <f>IFERROR(__xludf.DUMMYFUNCTION("""COMPUTED_VALUE"""),140.0)</f>
        <v>140</v>
      </c>
      <c r="J1059" s="25">
        <f>IFERROR(__xludf.DUMMYFUNCTION("""COMPUTED_VALUE"""),141.15)</f>
        <v>141.15</v>
      </c>
      <c r="K1059" s="25">
        <f>IFERROR(__xludf.DUMMYFUNCTION("""COMPUTED_VALUE"""),134.29)</f>
        <v>134.29</v>
      </c>
      <c r="L1059" s="25">
        <f>IFERROR(__xludf.DUMMYFUNCTION("""COMPUTED_VALUE"""),135.74)</f>
        <v>135.74</v>
      </c>
      <c r="M1059" s="25">
        <f>IFERROR(__xludf.DUMMYFUNCTION("""COMPUTED_VALUE"""),1646231.0)</f>
        <v>1646231</v>
      </c>
    </row>
    <row r="1060">
      <c r="A1060" s="26">
        <f>IFERROR(__xludf.DUMMYFUNCTION("""COMPUTED_VALUE"""),39926.645833333336)</f>
        <v>39926.64583</v>
      </c>
      <c r="B1060" s="9">
        <f>IFERROR(__xludf.DUMMYFUNCTION("""COMPUTED_VALUE"""),171.39)</f>
        <v>171.39</v>
      </c>
      <c r="C1060" s="9">
        <f>IFERROR(__xludf.DUMMYFUNCTION("""COMPUTED_VALUE"""),182.46)</f>
        <v>182.46</v>
      </c>
      <c r="D1060" s="9">
        <f>IFERROR(__xludf.DUMMYFUNCTION("""COMPUTED_VALUE"""),169.55)</f>
        <v>169.55</v>
      </c>
      <c r="E1060" s="9">
        <f>IFERROR(__xludf.DUMMYFUNCTION("""COMPUTED_VALUE"""),181.31)</f>
        <v>181.31</v>
      </c>
      <c r="F1060" s="9">
        <f>IFERROR(__xludf.DUMMYFUNCTION("""COMPUTED_VALUE"""),1524324.0)</f>
        <v>1524324</v>
      </c>
      <c r="H1060" s="27">
        <f>IFERROR(__xludf.DUMMYFUNCTION("""COMPUTED_VALUE"""),39926.645833333336)</f>
        <v>39926.64583</v>
      </c>
      <c r="I1060" s="25">
        <f>IFERROR(__xludf.DUMMYFUNCTION("""COMPUTED_VALUE"""),137.38)</f>
        <v>137.38</v>
      </c>
      <c r="J1060" s="25">
        <f>IFERROR(__xludf.DUMMYFUNCTION("""COMPUTED_VALUE"""),143.21)</f>
        <v>143.21</v>
      </c>
      <c r="K1060" s="25">
        <f>IFERROR(__xludf.DUMMYFUNCTION("""COMPUTED_VALUE"""),136.3)</f>
        <v>136.3</v>
      </c>
      <c r="L1060" s="25">
        <f>IFERROR(__xludf.DUMMYFUNCTION("""COMPUTED_VALUE"""),142.03)</f>
        <v>142.03</v>
      </c>
      <c r="M1060" s="25">
        <f>IFERROR(__xludf.DUMMYFUNCTION("""COMPUTED_VALUE"""),1843428.0)</f>
        <v>1843428</v>
      </c>
    </row>
    <row r="1061">
      <c r="A1061" s="26">
        <f>IFERROR(__xludf.DUMMYFUNCTION("""COMPUTED_VALUE"""),39927.645833333336)</f>
        <v>39927.64583</v>
      </c>
      <c r="B1061" s="9">
        <f>IFERROR(__xludf.DUMMYFUNCTION("""COMPUTED_VALUE"""),180.14)</f>
        <v>180.14</v>
      </c>
      <c r="C1061" s="9">
        <f>IFERROR(__xludf.DUMMYFUNCTION("""COMPUTED_VALUE"""),182.25)</f>
        <v>182.25</v>
      </c>
      <c r="D1061" s="9">
        <f>IFERROR(__xludf.DUMMYFUNCTION("""COMPUTED_VALUE"""),175.57)</f>
        <v>175.57</v>
      </c>
      <c r="E1061" s="9">
        <f>IFERROR(__xludf.DUMMYFUNCTION("""COMPUTED_VALUE"""),181.08)</f>
        <v>181.08</v>
      </c>
      <c r="F1061" s="9">
        <f>IFERROR(__xludf.DUMMYFUNCTION("""COMPUTED_VALUE"""),1426411.0)</f>
        <v>1426411</v>
      </c>
      <c r="H1061" s="27">
        <f>IFERROR(__xludf.DUMMYFUNCTION("""COMPUTED_VALUE"""),39927.645833333336)</f>
        <v>39927.64583</v>
      </c>
      <c r="I1061" s="25">
        <f>IFERROR(__xludf.DUMMYFUNCTION("""COMPUTED_VALUE"""),139.99)</f>
        <v>139.99</v>
      </c>
      <c r="J1061" s="25">
        <f>IFERROR(__xludf.DUMMYFUNCTION("""COMPUTED_VALUE"""),146.75)</f>
        <v>146.75</v>
      </c>
      <c r="K1061" s="25">
        <f>IFERROR(__xludf.DUMMYFUNCTION("""COMPUTED_VALUE"""),139.99)</f>
        <v>139.99</v>
      </c>
      <c r="L1061" s="25">
        <f>IFERROR(__xludf.DUMMYFUNCTION("""COMPUTED_VALUE"""),145.98)</f>
        <v>145.98</v>
      </c>
      <c r="M1061" s="25">
        <f>IFERROR(__xludf.DUMMYFUNCTION("""COMPUTED_VALUE"""),1344381.0)</f>
        <v>1344381</v>
      </c>
    </row>
    <row r="1062">
      <c r="A1062" s="26">
        <f>IFERROR(__xludf.DUMMYFUNCTION("""COMPUTED_VALUE"""),39930.645833333336)</f>
        <v>39930.64583</v>
      </c>
      <c r="B1062" s="9">
        <f>IFERROR(__xludf.DUMMYFUNCTION("""COMPUTED_VALUE"""),180.99)</f>
        <v>180.99</v>
      </c>
      <c r="C1062" s="9">
        <f>IFERROR(__xludf.DUMMYFUNCTION("""COMPUTED_VALUE"""),181.24)</f>
        <v>181.24</v>
      </c>
      <c r="D1062" s="9">
        <f>IFERROR(__xludf.DUMMYFUNCTION("""COMPUTED_VALUE"""),176.88)</f>
        <v>176.88</v>
      </c>
      <c r="E1062" s="9">
        <f>IFERROR(__xludf.DUMMYFUNCTION("""COMPUTED_VALUE"""),179.49)</f>
        <v>179.49</v>
      </c>
      <c r="F1062" s="9">
        <f>IFERROR(__xludf.DUMMYFUNCTION("""COMPUTED_VALUE"""),1204763.0)</f>
        <v>1204763</v>
      </c>
      <c r="H1062" s="27">
        <f>IFERROR(__xludf.DUMMYFUNCTION("""COMPUTED_VALUE"""),39930.645833333336)</f>
        <v>39930.64583</v>
      </c>
      <c r="I1062" s="25">
        <f>IFERROR(__xludf.DUMMYFUNCTION("""COMPUTED_VALUE"""),145.96)</f>
        <v>145.96</v>
      </c>
      <c r="J1062" s="25">
        <f>IFERROR(__xludf.DUMMYFUNCTION("""COMPUTED_VALUE"""),152.2)</f>
        <v>152.2</v>
      </c>
      <c r="K1062" s="25">
        <f>IFERROR(__xludf.DUMMYFUNCTION("""COMPUTED_VALUE"""),143.13)</f>
        <v>143.13</v>
      </c>
      <c r="L1062" s="25">
        <f>IFERROR(__xludf.DUMMYFUNCTION("""COMPUTED_VALUE"""),150.48)</f>
        <v>150.48</v>
      </c>
      <c r="M1062" s="25">
        <f>IFERROR(__xludf.DUMMYFUNCTION("""COMPUTED_VALUE"""),2035281.0)</f>
        <v>2035281</v>
      </c>
    </row>
    <row r="1063">
      <c r="A1063" s="26">
        <f>IFERROR(__xludf.DUMMYFUNCTION("""COMPUTED_VALUE"""),39931.645833333336)</f>
        <v>39931.64583</v>
      </c>
      <c r="B1063" s="9">
        <f>IFERROR(__xludf.DUMMYFUNCTION("""COMPUTED_VALUE"""),178.75)</f>
        <v>178.75</v>
      </c>
      <c r="C1063" s="9">
        <f>IFERROR(__xludf.DUMMYFUNCTION("""COMPUTED_VALUE"""),183.64)</f>
        <v>183.64</v>
      </c>
      <c r="D1063" s="9">
        <f>IFERROR(__xludf.DUMMYFUNCTION("""COMPUTED_VALUE"""),177.25)</f>
        <v>177.25</v>
      </c>
      <c r="E1063" s="9">
        <f>IFERROR(__xludf.DUMMYFUNCTION("""COMPUTED_VALUE"""),178.84)</f>
        <v>178.84</v>
      </c>
      <c r="F1063" s="9">
        <f>IFERROR(__xludf.DUMMYFUNCTION("""COMPUTED_VALUE"""),1179462.0)</f>
        <v>1179462</v>
      </c>
      <c r="H1063" s="27">
        <f>IFERROR(__xludf.DUMMYFUNCTION("""COMPUTED_VALUE"""),39931.645833333336)</f>
        <v>39931.64583</v>
      </c>
      <c r="I1063" s="25">
        <f>IFERROR(__xludf.DUMMYFUNCTION("""COMPUTED_VALUE"""),149.78)</f>
        <v>149.78</v>
      </c>
      <c r="J1063" s="25">
        <f>IFERROR(__xludf.DUMMYFUNCTION("""COMPUTED_VALUE"""),151.96)</f>
        <v>151.96</v>
      </c>
      <c r="K1063" s="25">
        <f>IFERROR(__xludf.DUMMYFUNCTION("""COMPUTED_VALUE"""),144.09)</f>
        <v>144.09</v>
      </c>
      <c r="L1063" s="25">
        <f>IFERROR(__xludf.DUMMYFUNCTION("""COMPUTED_VALUE"""),149.63)</f>
        <v>149.63</v>
      </c>
      <c r="M1063" s="25">
        <f>IFERROR(__xludf.DUMMYFUNCTION("""COMPUTED_VALUE"""),2097173.0)</f>
        <v>2097173</v>
      </c>
    </row>
    <row r="1064">
      <c r="A1064" s="26">
        <f>IFERROR(__xludf.DUMMYFUNCTION("""COMPUTED_VALUE"""),39932.645833333336)</f>
        <v>39932.64583</v>
      </c>
      <c r="B1064" s="9">
        <f>IFERROR(__xludf.DUMMYFUNCTION("""COMPUTED_VALUE"""),180.0)</f>
        <v>180</v>
      </c>
      <c r="C1064" s="9">
        <f>IFERROR(__xludf.DUMMYFUNCTION("""COMPUTED_VALUE"""),189.71)</f>
        <v>189.71</v>
      </c>
      <c r="D1064" s="9">
        <f>IFERROR(__xludf.DUMMYFUNCTION("""COMPUTED_VALUE"""),178.79)</f>
        <v>178.79</v>
      </c>
      <c r="E1064" s="9">
        <f>IFERROR(__xludf.DUMMYFUNCTION("""COMPUTED_VALUE"""),188.66)</f>
        <v>188.66</v>
      </c>
      <c r="F1064" s="9">
        <f>IFERROR(__xludf.DUMMYFUNCTION("""COMPUTED_VALUE"""),1926779.0)</f>
        <v>1926779</v>
      </c>
      <c r="H1064" s="27">
        <f>IFERROR(__xludf.DUMMYFUNCTION("""COMPUTED_VALUE"""),39932.645833333336)</f>
        <v>39932.64583</v>
      </c>
      <c r="I1064" s="25">
        <f>IFERROR(__xludf.DUMMYFUNCTION("""COMPUTED_VALUE"""),150.5)</f>
        <v>150.5</v>
      </c>
      <c r="J1064" s="25">
        <f>IFERROR(__xludf.DUMMYFUNCTION("""COMPUTED_VALUE"""),157.25)</f>
        <v>157.25</v>
      </c>
      <c r="K1064" s="25">
        <f>IFERROR(__xludf.DUMMYFUNCTION("""COMPUTED_VALUE"""),150.5)</f>
        <v>150.5</v>
      </c>
      <c r="L1064" s="25">
        <f>IFERROR(__xludf.DUMMYFUNCTION("""COMPUTED_VALUE"""),155.9)</f>
        <v>155.9</v>
      </c>
      <c r="M1064" s="25">
        <f>IFERROR(__xludf.DUMMYFUNCTION("""COMPUTED_VALUE"""),2632823.0)</f>
        <v>2632823</v>
      </c>
    </row>
    <row r="1065">
      <c r="A1065" s="26">
        <f>IFERROR(__xludf.DUMMYFUNCTION("""COMPUTED_VALUE"""),39937.645833333336)</f>
        <v>39937.64583</v>
      </c>
      <c r="B1065" s="9">
        <f>IFERROR(__xludf.DUMMYFUNCTION("""COMPUTED_VALUE"""),190.01)</f>
        <v>190.01</v>
      </c>
      <c r="C1065" s="9">
        <f>IFERROR(__xludf.DUMMYFUNCTION("""COMPUTED_VALUE"""),204.49)</f>
        <v>204.49</v>
      </c>
      <c r="D1065" s="9">
        <f>IFERROR(__xludf.DUMMYFUNCTION("""COMPUTED_VALUE"""),190.01)</f>
        <v>190.01</v>
      </c>
      <c r="E1065" s="9">
        <f>IFERROR(__xludf.DUMMYFUNCTION("""COMPUTED_VALUE"""),203.53)</f>
        <v>203.53</v>
      </c>
      <c r="F1065" s="9">
        <f>IFERROR(__xludf.DUMMYFUNCTION("""COMPUTED_VALUE"""),2501760.0)</f>
        <v>2501760</v>
      </c>
      <c r="H1065" s="27">
        <f>IFERROR(__xludf.DUMMYFUNCTION("""COMPUTED_VALUE"""),39937.645833333336)</f>
        <v>39937.64583</v>
      </c>
      <c r="I1065" s="25">
        <f>IFERROR(__xludf.DUMMYFUNCTION("""COMPUTED_VALUE"""),157.75)</f>
        <v>157.75</v>
      </c>
      <c r="J1065" s="25">
        <f>IFERROR(__xludf.DUMMYFUNCTION("""COMPUTED_VALUE"""),174.9)</f>
        <v>174.9</v>
      </c>
      <c r="K1065" s="25">
        <f>IFERROR(__xludf.DUMMYFUNCTION("""COMPUTED_VALUE"""),157.54)</f>
        <v>157.54</v>
      </c>
      <c r="L1065" s="25">
        <f>IFERROR(__xludf.DUMMYFUNCTION("""COMPUTED_VALUE"""),166.6)</f>
        <v>166.6</v>
      </c>
      <c r="M1065" s="25">
        <f>IFERROR(__xludf.DUMMYFUNCTION("""COMPUTED_VALUE"""),2785734.0)</f>
        <v>2785734</v>
      </c>
    </row>
    <row r="1066">
      <c r="A1066" s="26">
        <f>IFERROR(__xludf.DUMMYFUNCTION("""COMPUTED_VALUE"""),39938.645833333336)</f>
        <v>39938.64583</v>
      </c>
      <c r="B1066" s="9">
        <f>IFERROR(__xludf.DUMMYFUNCTION("""COMPUTED_VALUE"""),201.94)</f>
        <v>201.94</v>
      </c>
      <c r="C1066" s="9">
        <f>IFERROR(__xludf.DUMMYFUNCTION("""COMPUTED_VALUE"""),203.13)</f>
        <v>203.13</v>
      </c>
      <c r="D1066" s="9">
        <f>IFERROR(__xludf.DUMMYFUNCTION("""COMPUTED_VALUE"""),193.79)</f>
        <v>193.79</v>
      </c>
      <c r="E1066" s="9">
        <f>IFERROR(__xludf.DUMMYFUNCTION("""COMPUTED_VALUE"""),197.76)</f>
        <v>197.76</v>
      </c>
      <c r="F1066" s="9">
        <f>IFERROR(__xludf.DUMMYFUNCTION("""COMPUTED_VALUE"""),2303825.0)</f>
        <v>2303825</v>
      </c>
      <c r="H1066" s="27">
        <f>IFERROR(__xludf.DUMMYFUNCTION("""COMPUTED_VALUE"""),39938.645833333336)</f>
        <v>39938.64583</v>
      </c>
      <c r="I1066" s="25">
        <f>IFERROR(__xludf.DUMMYFUNCTION("""COMPUTED_VALUE"""),167.25)</f>
        <v>167.25</v>
      </c>
      <c r="J1066" s="25">
        <f>IFERROR(__xludf.DUMMYFUNCTION("""COMPUTED_VALUE"""),168.74)</f>
        <v>168.74</v>
      </c>
      <c r="K1066" s="25">
        <f>IFERROR(__xludf.DUMMYFUNCTION("""COMPUTED_VALUE"""),159.03)</f>
        <v>159.03</v>
      </c>
      <c r="L1066" s="25">
        <f>IFERROR(__xludf.DUMMYFUNCTION("""COMPUTED_VALUE"""),162.75)</f>
        <v>162.75</v>
      </c>
      <c r="M1066" s="25">
        <f>IFERROR(__xludf.DUMMYFUNCTION("""COMPUTED_VALUE"""),2205579.0)</f>
        <v>2205579</v>
      </c>
    </row>
    <row r="1067">
      <c r="A1067" s="26">
        <f>IFERROR(__xludf.DUMMYFUNCTION("""COMPUTED_VALUE"""),39939.645833333336)</f>
        <v>39939.64583</v>
      </c>
      <c r="B1067" s="9">
        <f>IFERROR(__xludf.DUMMYFUNCTION("""COMPUTED_VALUE"""),196.94)</f>
        <v>196.94</v>
      </c>
      <c r="C1067" s="9">
        <f>IFERROR(__xludf.DUMMYFUNCTION("""COMPUTED_VALUE"""),201.13)</f>
        <v>201.13</v>
      </c>
      <c r="D1067" s="9">
        <f>IFERROR(__xludf.DUMMYFUNCTION("""COMPUTED_VALUE"""),193.49)</f>
        <v>193.49</v>
      </c>
      <c r="E1067" s="9">
        <f>IFERROR(__xludf.DUMMYFUNCTION("""COMPUTED_VALUE"""),196.66)</f>
        <v>196.66</v>
      </c>
      <c r="F1067" s="9">
        <f>IFERROR(__xludf.DUMMYFUNCTION("""COMPUTED_VALUE"""),1808524.0)</f>
        <v>1808524</v>
      </c>
      <c r="H1067" s="27">
        <f>IFERROR(__xludf.DUMMYFUNCTION("""COMPUTED_VALUE"""),39939.645833333336)</f>
        <v>39939.64583</v>
      </c>
      <c r="I1067" s="25">
        <f>IFERROR(__xludf.DUMMYFUNCTION("""COMPUTED_VALUE"""),159.56)</f>
        <v>159.56</v>
      </c>
      <c r="J1067" s="25">
        <f>IFERROR(__xludf.DUMMYFUNCTION("""COMPUTED_VALUE"""),162.43)</f>
        <v>162.43</v>
      </c>
      <c r="K1067" s="25">
        <f>IFERROR(__xludf.DUMMYFUNCTION("""COMPUTED_VALUE"""),153.75)</f>
        <v>153.75</v>
      </c>
      <c r="L1067" s="25">
        <f>IFERROR(__xludf.DUMMYFUNCTION("""COMPUTED_VALUE"""),158.84)</f>
        <v>158.84</v>
      </c>
      <c r="M1067" s="25">
        <f>IFERROR(__xludf.DUMMYFUNCTION("""COMPUTED_VALUE"""),1.3130524E7)</f>
        <v>13130524</v>
      </c>
    </row>
    <row r="1068">
      <c r="A1068" s="26">
        <f>IFERROR(__xludf.DUMMYFUNCTION("""COMPUTED_VALUE"""),39940.645833333336)</f>
        <v>39940.64583</v>
      </c>
      <c r="B1068" s="9">
        <f>IFERROR(__xludf.DUMMYFUNCTION("""COMPUTED_VALUE"""),196.25)</f>
        <v>196.25</v>
      </c>
      <c r="C1068" s="9">
        <f>IFERROR(__xludf.DUMMYFUNCTION("""COMPUTED_VALUE"""),196.74)</f>
        <v>196.74</v>
      </c>
      <c r="D1068" s="9">
        <f>IFERROR(__xludf.DUMMYFUNCTION("""COMPUTED_VALUE"""),191.16)</f>
        <v>191.16</v>
      </c>
      <c r="E1068" s="9">
        <f>IFERROR(__xludf.DUMMYFUNCTION("""COMPUTED_VALUE"""),194.09)</f>
        <v>194.09</v>
      </c>
      <c r="F1068" s="9">
        <f>IFERROR(__xludf.DUMMYFUNCTION("""COMPUTED_VALUE"""),1817268.0)</f>
        <v>1817268</v>
      </c>
      <c r="H1068" s="27">
        <f>IFERROR(__xludf.DUMMYFUNCTION("""COMPUTED_VALUE"""),39940.645833333336)</f>
        <v>39940.64583</v>
      </c>
      <c r="I1068" s="25">
        <f>IFERROR(__xludf.DUMMYFUNCTION("""COMPUTED_VALUE"""),159.0)</f>
        <v>159</v>
      </c>
      <c r="J1068" s="25">
        <f>IFERROR(__xludf.DUMMYFUNCTION("""COMPUTED_VALUE"""),161.25)</f>
        <v>161.25</v>
      </c>
      <c r="K1068" s="25">
        <f>IFERROR(__xludf.DUMMYFUNCTION("""COMPUTED_VALUE"""),154.82)</f>
        <v>154.82</v>
      </c>
      <c r="L1068" s="25">
        <f>IFERROR(__xludf.DUMMYFUNCTION("""COMPUTED_VALUE"""),157.93)</f>
        <v>157.93</v>
      </c>
      <c r="M1068" s="25">
        <f>IFERROR(__xludf.DUMMYFUNCTION("""COMPUTED_VALUE"""),1934716.0)</f>
        <v>1934716</v>
      </c>
    </row>
    <row r="1069">
      <c r="A1069" s="26">
        <f>IFERROR(__xludf.DUMMYFUNCTION("""COMPUTED_VALUE"""),39941.645833333336)</f>
        <v>39941.64583</v>
      </c>
      <c r="B1069" s="9">
        <f>IFERROR(__xludf.DUMMYFUNCTION("""COMPUTED_VALUE"""),193.63)</f>
        <v>193.63</v>
      </c>
      <c r="C1069" s="9">
        <f>IFERROR(__xludf.DUMMYFUNCTION("""COMPUTED_VALUE"""),196.38)</f>
        <v>196.38</v>
      </c>
      <c r="D1069" s="9">
        <f>IFERROR(__xludf.DUMMYFUNCTION("""COMPUTED_VALUE"""),187.65)</f>
        <v>187.65</v>
      </c>
      <c r="E1069" s="9">
        <f>IFERROR(__xludf.DUMMYFUNCTION("""COMPUTED_VALUE"""),190.09)</f>
        <v>190.09</v>
      </c>
      <c r="F1069" s="9">
        <f>IFERROR(__xludf.DUMMYFUNCTION("""COMPUTED_VALUE"""),1618896.0)</f>
        <v>1618896</v>
      </c>
      <c r="H1069" s="27">
        <f>IFERROR(__xludf.DUMMYFUNCTION("""COMPUTED_VALUE"""),39941.645833333336)</f>
        <v>39941.64583</v>
      </c>
      <c r="I1069" s="25">
        <f>IFERROR(__xludf.DUMMYFUNCTION("""COMPUTED_VALUE"""),157.0)</f>
        <v>157</v>
      </c>
      <c r="J1069" s="25">
        <f>IFERROR(__xludf.DUMMYFUNCTION("""COMPUTED_VALUE"""),160.5)</f>
        <v>160.5</v>
      </c>
      <c r="K1069" s="25">
        <f>IFERROR(__xludf.DUMMYFUNCTION("""COMPUTED_VALUE"""),154.63)</f>
        <v>154.63</v>
      </c>
      <c r="L1069" s="25">
        <f>IFERROR(__xludf.DUMMYFUNCTION("""COMPUTED_VALUE"""),157.74)</f>
        <v>157.74</v>
      </c>
      <c r="M1069" s="25">
        <f>IFERROR(__xludf.DUMMYFUNCTION("""COMPUTED_VALUE"""),2250438.0)</f>
        <v>2250438</v>
      </c>
    </row>
    <row r="1070">
      <c r="A1070" s="26">
        <f>IFERROR(__xludf.DUMMYFUNCTION("""COMPUTED_VALUE"""),39944.645833333336)</f>
        <v>39944.64583</v>
      </c>
      <c r="B1070" s="9">
        <f>IFERROR(__xludf.DUMMYFUNCTION("""COMPUTED_VALUE"""),190.0)</f>
        <v>190</v>
      </c>
      <c r="C1070" s="9">
        <f>IFERROR(__xludf.DUMMYFUNCTION("""COMPUTED_VALUE"""),192.34)</f>
        <v>192.34</v>
      </c>
      <c r="D1070" s="9">
        <f>IFERROR(__xludf.DUMMYFUNCTION("""COMPUTED_VALUE"""),186.53)</f>
        <v>186.53</v>
      </c>
      <c r="E1070" s="9">
        <f>IFERROR(__xludf.DUMMYFUNCTION("""COMPUTED_VALUE"""),189.71)</f>
        <v>189.71</v>
      </c>
      <c r="F1070" s="9">
        <f>IFERROR(__xludf.DUMMYFUNCTION("""COMPUTED_VALUE"""),817225.0)</f>
        <v>817225</v>
      </c>
      <c r="H1070" s="27">
        <f>IFERROR(__xludf.DUMMYFUNCTION("""COMPUTED_VALUE"""),39944.645833333336)</f>
        <v>39944.64583</v>
      </c>
      <c r="I1070" s="25">
        <f>IFERROR(__xludf.DUMMYFUNCTION("""COMPUTED_VALUE"""),159.63)</f>
        <v>159.63</v>
      </c>
      <c r="J1070" s="25">
        <f>IFERROR(__xludf.DUMMYFUNCTION("""COMPUTED_VALUE"""),159.91)</f>
        <v>159.91</v>
      </c>
      <c r="K1070" s="25">
        <f>IFERROR(__xludf.DUMMYFUNCTION("""COMPUTED_VALUE"""),152.25)</f>
        <v>152.25</v>
      </c>
      <c r="L1070" s="25">
        <f>IFERROR(__xludf.DUMMYFUNCTION("""COMPUTED_VALUE"""),153.81)</f>
        <v>153.81</v>
      </c>
      <c r="M1070" s="25">
        <f>IFERROR(__xludf.DUMMYFUNCTION("""COMPUTED_VALUE"""),1324653.0)</f>
        <v>1324653</v>
      </c>
    </row>
    <row r="1071">
      <c r="A1071" s="26">
        <f>IFERROR(__xludf.DUMMYFUNCTION("""COMPUTED_VALUE"""),39945.645833333336)</f>
        <v>39945.64583</v>
      </c>
      <c r="B1071" s="9">
        <f>IFERROR(__xludf.DUMMYFUNCTION("""COMPUTED_VALUE"""),188.13)</f>
        <v>188.13</v>
      </c>
      <c r="C1071" s="9">
        <f>IFERROR(__xludf.DUMMYFUNCTION("""COMPUTED_VALUE"""),200.63)</f>
        <v>200.63</v>
      </c>
      <c r="D1071" s="9">
        <f>IFERROR(__xludf.DUMMYFUNCTION("""COMPUTED_VALUE"""),187.95)</f>
        <v>187.95</v>
      </c>
      <c r="E1071" s="9">
        <f>IFERROR(__xludf.DUMMYFUNCTION("""COMPUTED_VALUE"""),199.81)</f>
        <v>199.81</v>
      </c>
      <c r="F1071" s="9">
        <f>IFERROR(__xludf.DUMMYFUNCTION("""COMPUTED_VALUE"""),1766472.0)</f>
        <v>1766472</v>
      </c>
      <c r="H1071" s="27">
        <f>IFERROR(__xludf.DUMMYFUNCTION("""COMPUTED_VALUE"""),39945.645833333336)</f>
        <v>39945.64583</v>
      </c>
      <c r="I1071" s="25">
        <f>IFERROR(__xludf.DUMMYFUNCTION("""COMPUTED_VALUE"""),152.5)</f>
        <v>152.5</v>
      </c>
      <c r="J1071" s="25">
        <f>IFERROR(__xludf.DUMMYFUNCTION("""COMPUTED_VALUE"""),161.45)</f>
        <v>161.45</v>
      </c>
      <c r="K1071" s="25">
        <f>IFERROR(__xludf.DUMMYFUNCTION("""COMPUTED_VALUE"""),152.5)</f>
        <v>152.5</v>
      </c>
      <c r="L1071" s="25">
        <f>IFERROR(__xludf.DUMMYFUNCTION("""COMPUTED_VALUE"""),160.28)</f>
        <v>160.28</v>
      </c>
      <c r="M1071" s="25">
        <f>IFERROR(__xludf.DUMMYFUNCTION("""COMPUTED_VALUE"""),2371863.0)</f>
        <v>2371863</v>
      </c>
    </row>
    <row r="1072">
      <c r="A1072" s="26">
        <f>IFERROR(__xludf.DUMMYFUNCTION("""COMPUTED_VALUE"""),39946.645833333336)</f>
        <v>39946.64583</v>
      </c>
      <c r="B1072" s="9">
        <f>IFERROR(__xludf.DUMMYFUNCTION("""COMPUTED_VALUE"""),200.03)</f>
        <v>200.03</v>
      </c>
      <c r="C1072" s="9">
        <f>IFERROR(__xludf.DUMMYFUNCTION("""COMPUTED_VALUE"""),200.03)</f>
        <v>200.03</v>
      </c>
      <c r="D1072" s="9">
        <f>IFERROR(__xludf.DUMMYFUNCTION("""COMPUTED_VALUE"""),195.0)</f>
        <v>195</v>
      </c>
      <c r="E1072" s="9">
        <f>IFERROR(__xludf.DUMMYFUNCTION("""COMPUTED_VALUE"""),196.74)</f>
        <v>196.74</v>
      </c>
      <c r="F1072" s="9">
        <f>IFERROR(__xludf.DUMMYFUNCTION("""COMPUTED_VALUE"""),938561.0)</f>
        <v>938561</v>
      </c>
      <c r="H1072" s="27">
        <f>IFERROR(__xludf.DUMMYFUNCTION("""COMPUTED_VALUE"""),39946.645833333336)</f>
        <v>39946.64583</v>
      </c>
      <c r="I1072" s="25">
        <f>IFERROR(__xludf.DUMMYFUNCTION("""COMPUTED_VALUE"""),160.5)</f>
        <v>160.5</v>
      </c>
      <c r="J1072" s="25">
        <f>IFERROR(__xludf.DUMMYFUNCTION("""COMPUTED_VALUE"""),161.23)</f>
        <v>161.23</v>
      </c>
      <c r="K1072" s="25">
        <f>IFERROR(__xludf.DUMMYFUNCTION("""COMPUTED_VALUE"""),153.75)</f>
        <v>153.75</v>
      </c>
      <c r="L1072" s="25">
        <f>IFERROR(__xludf.DUMMYFUNCTION("""COMPUTED_VALUE"""),155.43)</f>
        <v>155.43</v>
      </c>
      <c r="M1072" s="25">
        <f>IFERROR(__xludf.DUMMYFUNCTION("""COMPUTED_VALUE"""),1831200.0)</f>
        <v>1831200</v>
      </c>
    </row>
    <row r="1073">
      <c r="A1073" s="26">
        <f>IFERROR(__xludf.DUMMYFUNCTION("""COMPUTED_VALUE"""),39947.645833333336)</f>
        <v>39947.64583</v>
      </c>
      <c r="B1073" s="9">
        <f>IFERROR(__xludf.DUMMYFUNCTION("""COMPUTED_VALUE"""),192.5)</f>
        <v>192.5</v>
      </c>
      <c r="C1073" s="9">
        <f>IFERROR(__xludf.DUMMYFUNCTION("""COMPUTED_VALUE"""),198.5)</f>
        <v>198.5</v>
      </c>
      <c r="D1073" s="9">
        <f>IFERROR(__xludf.DUMMYFUNCTION("""COMPUTED_VALUE"""),191.61)</f>
        <v>191.61</v>
      </c>
      <c r="E1073" s="9">
        <f>IFERROR(__xludf.DUMMYFUNCTION("""COMPUTED_VALUE"""),195.9)</f>
        <v>195.9</v>
      </c>
      <c r="F1073" s="9">
        <f>IFERROR(__xludf.DUMMYFUNCTION("""COMPUTED_VALUE"""),1068409.0)</f>
        <v>1068409</v>
      </c>
      <c r="H1073" s="27">
        <f>IFERROR(__xludf.DUMMYFUNCTION("""COMPUTED_VALUE"""),39947.645833333336)</f>
        <v>39947.64583</v>
      </c>
      <c r="I1073" s="25">
        <f>IFERROR(__xludf.DUMMYFUNCTION("""COMPUTED_VALUE"""),154.5)</f>
        <v>154.5</v>
      </c>
      <c r="J1073" s="25">
        <f>IFERROR(__xludf.DUMMYFUNCTION("""COMPUTED_VALUE"""),156.75)</f>
        <v>156.75</v>
      </c>
      <c r="K1073" s="25">
        <f>IFERROR(__xludf.DUMMYFUNCTION("""COMPUTED_VALUE"""),151.32)</f>
        <v>151.32</v>
      </c>
      <c r="L1073" s="25">
        <f>IFERROR(__xludf.DUMMYFUNCTION("""COMPUTED_VALUE"""),154.95)</f>
        <v>154.95</v>
      </c>
      <c r="M1073" s="25">
        <f>IFERROR(__xludf.DUMMYFUNCTION("""COMPUTED_VALUE"""),2360794.0)</f>
        <v>2360794</v>
      </c>
    </row>
    <row r="1074">
      <c r="A1074" s="26">
        <f>IFERROR(__xludf.DUMMYFUNCTION("""COMPUTED_VALUE"""),39948.645833333336)</f>
        <v>39948.64583</v>
      </c>
      <c r="B1074" s="9">
        <f>IFERROR(__xludf.DUMMYFUNCTION("""COMPUTED_VALUE"""),196.38)</f>
        <v>196.38</v>
      </c>
      <c r="C1074" s="9">
        <f>IFERROR(__xludf.DUMMYFUNCTION("""COMPUTED_VALUE"""),200.88)</f>
        <v>200.88</v>
      </c>
      <c r="D1074" s="9">
        <f>IFERROR(__xludf.DUMMYFUNCTION("""COMPUTED_VALUE"""),195.07)</f>
        <v>195.07</v>
      </c>
      <c r="E1074" s="9">
        <f>IFERROR(__xludf.DUMMYFUNCTION("""COMPUTED_VALUE"""),199.1)</f>
        <v>199.1</v>
      </c>
      <c r="F1074" s="9">
        <f>IFERROR(__xludf.DUMMYFUNCTION("""COMPUTED_VALUE"""),1047206.0)</f>
        <v>1047206</v>
      </c>
      <c r="H1074" s="27">
        <f>IFERROR(__xludf.DUMMYFUNCTION("""COMPUTED_VALUE"""),39948.645833333336)</f>
        <v>39948.64583</v>
      </c>
      <c r="I1074" s="25">
        <f>IFERROR(__xludf.DUMMYFUNCTION("""COMPUTED_VALUE"""),156.0)</f>
        <v>156</v>
      </c>
      <c r="J1074" s="25">
        <f>IFERROR(__xludf.DUMMYFUNCTION("""COMPUTED_VALUE"""),163.71)</f>
        <v>163.71</v>
      </c>
      <c r="K1074" s="25">
        <f>IFERROR(__xludf.DUMMYFUNCTION("""COMPUTED_VALUE"""),156.0)</f>
        <v>156</v>
      </c>
      <c r="L1074" s="25">
        <f>IFERROR(__xludf.DUMMYFUNCTION("""COMPUTED_VALUE"""),161.01)</f>
        <v>161.01</v>
      </c>
      <c r="M1074" s="25">
        <f>IFERROR(__xludf.DUMMYFUNCTION("""COMPUTED_VALUE"""),2735618.0)</f>
        <v>2735618</v>
      </c>
    </row>
    <row r="1075">
      <c r="A1075" s="26">
        <f>IFERROR(__xludf.DUMMYFUNCTION("""COMPUTED_VALUE"""),39951.645833333336)</f>
        <v>39951.64583</v>
      </c>
      <c r="B1075" s="9">
        <f>IFERROR(__xludf.DUMMYFUNCTION("""COMPUTED_VALUE"""),213.13)</f>
        <v>213.13</v>
      </c>
      <c r="C1075" s="9">
        <f>IFERROR(__xludf.DUMMYFUNCTION("""COMPUTED_VALUE"""),238.86)</f>
        <v>238.86</v>
      </c>
      <c r="D1075" s="9">
        <f>IFERROR(__xludf.DUMMYFUNCTION("""COMPUTED_VALUE"""),210.13)</f>
        <v>210.13</v>
      </c>
      <c r="E1075" s="9">
        <f>IFERROR(__xludf.DUMMYFUNCTION("""COMPUTED_VALUE"""),225.01)</f>
        <v>225.01</v>
      </c>
      <c r="F1075" s="9">
        <f>IFERROR(__xludf.DUMMYFUNCTION("""COMPUTED_VALUE"""),17453.0)</f>
        <v>17453</v>
      </c>
      <c r="H1075" s="27">
        <f>IFERROR(__xludf.DUMMYFUNCTION("""COMPUTED_VALUE"""),39951.645833333336)</f>
        <v>39951.64583</v>
      </c>
      <c r="I1075" s="25">
        <f>IFERROR(__xludf.DUMMYFUNCTION("""COMPUTED_VALUE"""),191.65)</f>
        <v>191.65</v>
      </c>
      <c r="J1075" s="25">
        <f>IFERROR(__xludf.DUMMYFUNCTION("""COMPUTED_VALUE"""),197.9)</f>
        <v>197.9</v>
      </c>
      <c r="K1075" s="25">
        <f>IFERROR(__xludf.DUMMYFUNCTION("""COMPUTED_VALUE"""),173.75)</f>
        <v>173.75</v>
      </c>
      <c r="L1075" s="25">
        <f>IFERROR(__xludf.DUMMYFUNCTION("""COMPUTED_VALUE"""),185.96)</f>
        <v>185.96</v>
      </c>
      <c r="M1075" s="25">
        <f>IFERROR(__xludf.DUMMYFUNCTION("""COMPUTED_VALUE"""),18345.0)</f>
        <v>18345</v>
      </c>
    </row>
    <row r="1076">
      <c r="A1076" s="26">
        <f>IFERROR(__xludf.DUMMYFUNCTION("""COMPUTED_VALUE"""),39952.645833333336)</f>
        <v>39952.64583</v>
      </c>
      <c r="B1076" s="9">
        <f>IFERROR(__xludf.DUMMYFUNCTION("""COMPUTED_VALUE"""),213.91)</f>
        <v>213.91</v>
      </c>
      <c r="C1076" s="9">
        <f>IFERROR(__xludf.DUMMYFUNCTION("""COMPUTED_VALUE"""),224.38)</f>
        <v>224.38</v>
      </c>
      <c r="D1076" s="9">
        <f>IFERROR(__xludf.DUMMYFUNCTION("""COMPUTED_VALUE"""),193.5)</f>
        <v>193.5</v>
      </c>
      <c r="E1076" s="9">
        <f>IFERROR(__xludf.DUMMYFUNCTION("""COMPUTED_VALUE"""),194.87)</f>
        <v>194.87</v>
      </c>
      <c r="F1076" s="9">
        <f>IFERROR(__xludf.DUMMYFUNCTION("""COMPUTED_VALUE"""),5552238.0)</f>
        <v>5552238</v>
      </c>
      <c r="H1076" s="27">
        <f>IFERROR(__xludf.DUMMYFUNCTION("""COMPUTED_VALUE"""),39952.645833333336)</f>
        <v>39952.64583</v>
      </c>
      <c r="I1076" s="25">
        <f>IFERROR(__xludf.DUMMYFUNCTION("""COMPUTED_VALUE"""),187.5)</f>
        <v>187.5</v>
      </c>
      <c r="J1076" s="25">
        <f>IFERROR(__xludf.DUMMYFUNCTION("""COMPUTED_VALUE"""),187.5)</f>
        <v>187.5</v>
      </c>
      <c r="K1076" s="25">
        <f>IFERROR(__xludf.DUMMYFUNCTION("""COMPUTED_VALUE"""),163.9)</f>
        <v>163.9</v>
      </c>
      <c r="L1076" s="25">
        <f>IFERROR(__xludf.DUMMYFUNCTION("""COMPUTED_VALUE"""),167.44)</f>
        <v>167.44</v>
      </c>
      <c r="M1076" s="25">
        <f>IFERROR(__xludf.DUMMYFUNCTION("""COMPUTED_VALUE"""),3253894.0)</f>
        <v>3253894</v>
      </c>
    </row>
    <row r="1077">
      <c r="A1077" s="26">
        <f>IFERROR(__xludf.DUMMYFUNCTION("""COMPUTED_VALUE"""),39953.645833333336)</f>
        <v>39953.64583</v>
      </c>
      <c r="B1077" s="9">
        <f>IFERROR(__xludf.DUMMYFUNCTION("""COMPUTED_VALUE"""),194.75)</f>
        <v>194.75</v>
      </c>
      <c r="C1077" s="9">
        <f>IFERROR(__xludf.DUMMYFUNCTION("""COMPUTED_VALUE"""),201.0)</f>
        <v>201</v>
      </c>
      <c r="D1077" s="9">
        <f>IFERROR(__xludf.DUMMYFUNCTION("""COMPUTED_VALUE"""),189.42)</f>
        <v>189.42</v>
      </c>
      <c r="E1077" s="9">
        <f>IFERROR(__xludf.DUMMYFUNCTION("""COMPUTED_VALUE"""),191.36)</f>
        <v>191.36</v>
      </c>
      <c r="F1077" s="9">
        <f>IFERROR(__xludf.DUMMYFUNCTION("""COMPUTED_VALUE"""),4176075.0)</f>
        <v>4176075</v>
      </c>
      <c r="H1077" s="27">
        <f>IFERROR(__xludf.DUMMYFUNCTION("""COMPUTED_VALUE"""),39953.645833333336)</f>
        <v>39953.64583</v>
      </c>
      <c r="I1077" s="25">
        <f>IFERROR(__xludf.DUMMYFUNCTION("""COMPUTED_VALUE"""),167.5)</f>
        <v>167.5</v>
      </c>
      <c r="J1077" s="25">
        <f>IFERROR(__xludf.DUMMYFUNCTION("""COMPUTED_VALUE"""),175.49)</f>
        <v>175.49</v>
      </c>
      <c r="K1077" s="25">
        <f>IFERROR(__xludf.DUMMYFUNCTION("""COMPUTED_VALUE"""),165.75)</f>
        <v>165.75</v>
      </c>
      <c r="L1077" s="25">
        <f>IFERROR(__xludf.DUMMYFUNCTION("""COMPUTED_VALUE"""),169.16)</f>
        <v>169.16</v>
      </c>
      <c r="M1077" s="25">
        <f>IFERROR(__xludf.DUMMYFUNCTION("""COMPUTED_VALUE"""),2126916.0)</f>
        <v>2126916</v>
      </c>
    </row>
    <row r="1078">
      <c r="A1078" s="26">
        <f>IFERROR(__xludf.DUMMYFUNCTION("""COMPUTED_VALUE"""),39954.645833333336)</f>
        <v>39954.64583</v>
      </c>
      <c r="B1078" s="9">
        <f>IFERROR(__xludf.DUMMYFUNCTION("""COMPUTED_VALUE"""),190.13)</f>
        <v>190.13</v>
      </c>
      <c r="C1078" s="9">
        <f>IFERROR(__xludf.DUMMYFUNCTION("""COMPUTED_VALUE"""),194.38)</f>
        <v>194.38</v>
      </c>
      <c r="D1078" s="9">
        <f>IFERROR(__xludf.DUMMYFUNCTION("""COMPUTED_VALUE"""),186.5)</f>
        <v>186.5</v>
      </c>
      <c r="E1078" s="9">
        <f>IFERROR(__xludf.DUMMYFUNCTION("""COMPUTED_VALUE"""),187.8)</f>
        <v>187.8</v>
      </c>
      <c r="F1078" s="9">
        <f>IFERROR(__xludf.DUMMYFUNCTION("""COMPUTED_VALUE"""),2427936.0)</f>
        <v>2427936</v>
      </c>
      <c r="H1078" s="27">
        <f>IFERROR(__xludf.DUMMYFUNCTION("""COMPUTED_VALUE"""),39954.645833333336)</f>
        <v>39954.64583</v>
      </c>
      <c r="I1078" s="25">
        <f>IFERROR(__xludf.DUMMYFUNCTION("""COMPUTED_VALUE"""),167.5)</f>
        <v>167.5</v>
      </c>
      <c r="J1078" s="25">
        <f>IFERROR(__xludf.DUMMYFUNCTION("""COMPUTED_VALUE"""),171.25)</f>
        <v>171.25</v>
      </c>
      <c r="K1078" s="25">
        <f>IFERROR(__xludf.DUMMYFUNCTION("""COMPUTED_VALUE"""),161.0)</f>
        <v>161</v>
      </c>
      <c r="L1078" s="25">
        <f>IFERROR(__xludf.DUMMYFUNCTION("""COMPUTED_VALUE"""),161.86)</f>
        <v>161.86</v>
      </c>
      <c r="M1078" s="25">
        <f>IFERROR(__xludf.DUMMYFUNCTION("""COMPUTED_VALUE"""),1114831.0)</f>
        <v>1114831</v>
      </c>
    </row>
    <row r="1079">
      <c r="A1079" s="26">
        <f>IFERROR(__xludf.DUMMYFUNCTION("""COMPUTED_VALUE"""),39955.645833333336)</f>
        <v>39955.64583</v>
      </c>
      <c r="B1079" s="9">
        <f>IFERROR(__xludf.DUMMYFUNCTION("""COMPUTED_VALUE"""),186.25)</f>
        <v>186.25</v>
      </c>
      <c r="C1079" s="9">
        <f>IFERROR(__xludf.DUMMYFUNCTION("""COMPUTED_VALUE"""),191.13)</f>
        <v>191.13</v>
      </c>
      <c r="D1079" s="9">
        <f>IFERROR(__xludf.DUMMYFUNCTION("""COMPUTED_VALUE"""),185.63)</f>
        <v>185.63</v>
      </c>
      <c r="E1079" s="9">
        <f>IFERROR(__xludf.DUMMYFUNCTION("""COMPUTED_VALUE"""),190.29)</f>
        <v>190.29</v>
      </c>
      <c r="F1079" s="9">
        <f>IFERROR(__xludf.DUMMYFUNCTION("""COMPUTED_VALUE"""),1139895.0)</f>
        <v>1139895</v>
      </c>
      <c r="H1079" s="27">
        <f>IFERROR(__xludf.DUMMYFUNCTION("""COMPUTED_VALUE"""),39955.645833333336)</f>
        <v>39955.64583</v>
      </c>
      <c r="I1079" s="25">
        <f>IFERROR(__xludf.DUMMYFUNCTION("""COMPUTED_VALUE"""),157.5)</f>
        <v>157.5</v>
      </c>
      <c r="J1079" s="25">
        <f>IFERROR(__xludf.DUMMYFUNCTION("""COMPUTED_VALUE"""),161.25)</f>
        <v>161.25</v>
      </c>
      <c r="K1079" s="25">
        <f>IFERROR(__xludf.DUMMYFUNCTION("""COMPUTED_VALUE"""),157.5)</f>
        <v>157.5</v>
      </c>
      <c r="L1079" s="25">
        <f>IFERROR(__xludf.DUMMYFUNCTION("""COMPUTED_VALUE"""),158.51)</f>
        <v>158.51</v>
      </c>
      <c r="M1079" s="25">
        <f>IFERROR(__xludf.DUMMYFUNCTION("""COMPUTED_VALUE"""),1465364.0)</f>
        <v>1465364</v>
      </c>
    </row>
    <row r="1080">
      <c r="A1080" s="26">
        <f>IFERROR(__xludf.DUMMYFUNCTION("""COMPUTED_VALUE"""),39958.645833333336)</f>
        <v>39958.64583</v>
      </c>
      <c r="B1080" s="9">
        <f>IFERROR(__xludf.DUMMYFUNCTION("""COMPUTED_VALUE"""),191.25)</f>
        <v>191.25</v>
      </c>
      <c r="C1080" s="9">
        <f>IFERROR(__xludf.DUMMYFUNCTION("""COMPUTED_VALUE"""),191.25)</f>
        <v>191.25</v>
      </c>
      <c r="D1080" s="9">
        <f>IFERROR(__xludf.DUMMYFUNCTION("""COMPUTED_VALUE"""),186.32)</f>
        <v>186.32</v>
      </c>
      <c r="E1080" s="9">
        <f>IFERROR(__xludf.DUMMYFUNCTION("""COMPUTED_VALUE"""),188.88)</f>
        <v>188.88</v>
      </c>
      <c r="F1080" s="9">
        <f>IFERROR(__xludf.DUMMYFUNCTION("""COMPUTED_VALUE"""),1307070.0)</f>
        <v>1307070</v>
      </c>
      <c r="H1080" s="27">
        <f>IFERROR(__xludf.DUMMYFUNCTION("""COMPUTED_VALUE"""),39958.645833333336)</f>
        <v>39958.64583</v>
      </c>
      <c r="I1080" s="25">
        <f>IFERROR(__xludf.DUMMYFUNCTION("""COMPUTED_VALUE"""),159.0)</f>
        <v>159</v>
      </c>
      <c r="J1080" s="25">
        <f>IFERROR(__xludf.DUMMYFUNCTION("""COMPUTED_VALUE"""),161.0)</f>
        <v>161</v>
      </c>
      <c r="K1080" s="25">
        <f>IFERROR(__xludf.DUMMYFUNCTION("""COMPUTED_VALUE"""),155.66)</f>
        <v>155.66</v>
      </c>
      <c r="L1080" s="25">
        <f>IFERROR(__xludf.DUMMYFUNCTION("""COMPUTED_VALUE"""),157.84)</f>
        <v>157.84</v>
      </c>
      <c r="M1080" s="25">
        <f>IFERROR(__xludf.DUMMYFUNCTION("""COMPUTED_VALUE"""),1418411.0)</f>
        <v>1418411</v>
      </c>
    </row>
    <row r="1081">
      <c r="A1081" s="26">
        <f>IFERROR(__xludf.DUMMYFUNCTION("""COMPUTED_VALUE"""),39959.645833333336)</f>
        <v>39959.64583</v>
      </c>
      <c r="B1081" s="9">
        <f>IFERROR(__xludf.DUMMYFUNCTION("""COMPUTED_VALUE"""),190.51)</f>
        <v>190.51</v>
      </c>
      <c r="C1081" s="9">
        <f>IFERROR(__xludf.DUMMYFUNCTION("""COMPUTED_VALUE"""),195.08)</f>
        <v>195.08</v>
      </c>
      <c r="D1081" s="9">
        <f>IFERROR(__xludf.DUMMYFUNCTION("""COMPUTED_VALUE"""),188.89)</f>
        <v>188.89</v>
      </c>
      <c r="E1081" s="9">
        <f>IFERROR(__xludf.DUMMYFUNCTION("""COMPUTED_VALUE"""),193.46)</f>
        <v>193.46</v>
      </c>
      <c r="F1081" s="9">
        <f>IFERROR(__xludf.DUMMYFUNCTION("""COMPUTED_VALUE"""),1456708.0)</f>
        <v>1456708</v>
      </c>
      <c r="H1081" s="27">
        <f>IFERROR(__xludf.DUMMYFUNCTION("""COMPUTED_VALUE"""),39959.645833333336)</f>
        <v>39959.64583</v>
      </c>
      <c r="I1081" s="25">
        <f>IFERROR(__xludf.DUMMYFUNCTION("""COMPUTED_VALUE"""),158.74)</f>
        <v>158.74</v>
      </c>
      <c r="J1081" s="25">
        <f>IFERROR(__xludf.DUMMYFUNCTION("""COMPUTED_VALUE"""),159.91)</f>
        <v>159.91</v>
      </c>
      <c r="K1081" s="25">
        <f>IFERROR(__xludf.DUMMYFUNCTION("""COMPUTED_VALUE"""),155.13)</f>
        <v>155.13</v>
      </c>
      <c r="L1081" s="25">
        <f>IFERROR(__xludf.DUMMYFUNCTION("""COMPUTED_VALUE"""),156.11)</f>
        <v>156.11</v>
      </c>
      <c r="M1081" s="25">
        <f>IFERROR(__xludf.DUMMYFUNCTION("""COMPUTED_VALUE"""),1514725.0)</f>
        <v>1514725</v>
      </c>
    </row>
    <row r="1082">
      <c r="A1082" s="26">
        <f>IFERROR(__xludf.DUMMYFUNCTION("""COMPUTED_VALUE"""),39960.645833333336)</f>
        <v>39960.64583</v>
      </c>
      <c r="B1082" s="9">
        <f>IFERROR(__xludf.DUMMYFUNCTION("""COMPUTED_VALUE"""),195.25)</f>
        <v>195.25</v>
      </c>
      <c r="C1082" s="9">
        <f>IFERROR(__xludf.DUMMYFUNCTION("""COMPUTED_VALUE"""),199.63)</f>
        <v>199.63</v>
      </c>
      <c r="D1082" s="9">
        <f>IFERROR(__xludf.DUMMYFUNCTION("""COMPUTED_VALUE"""),194.52)</f>
        <v>194.52</v>
      </c>
      <c r="E1082" s="9">
        <f>IFERROR(__xludf.DUMMYFUNCTION("""COMPUTED_VALUE"""),198.52)</f>
        <v>198.52</v>
      </c>
      <c r="F1082" s="9">
        <f>IFERROR(__xludf.DUMMYFUNCTION("""COMPUTED_VALUE"""),1237356.0)</f>
        <v>1237356</v>
      </c>
      <c r="H1082" s="27">
        <f>IFERROR(__xludf.DUMMYFUNCTION("""COMPUTED_VALUE"""),39960.645833333336)</f>
        <v>39960.64583</v>
      </c>
      <c r="I1082" s="25">
        <f>IFERROR(__xludf.DUMMYFUNCTION("""COMPUTED_VALUE"""),157.7)</f>
        <v>157.7</v>
      </c>
      <c r="J1082" s="25">
        <f>IFERROR(__xludf.DUMMYFUNCTION("""COMPUTED_VALUE"""),163.0)</f>
        <v>163</v>
      </c>
      <c r="K1082" s="25">
        <f>IFERROR(__xludf.DUMMYFUNCTION("""COMPUTED_VALUE"""),157.7)</f>
        <v>157.7</v>
      </c>
      <c r="L1082" s="25">
        <f>IFERROR(__xludf.DUMMYFUNCTION("""COMPUTED_VALUE"""),162.14)</f>
        <v>162.14</v>
      </c>
      <c r="M1082" s="25">
        <f>IFERROR(__xludf.DUMMYFUNCTION("""COMPUTED_VALUE"""),2305717.0)</f>
        <v>2305717</v>
      </c>
    </row>
    <row r="1083">
      <c r="A1083" s="26">
        <f>IFERROR(__xludf.DUMMYFUNCTION("""COMPUTED_VALUE"""),39961.645833333336)</f>
        <v>39961.64583</v>
      </c>
      <c r="B1083" s="9">
        <f>IFERROR(__xludf.DUMMYFUNCTION("""COMPUTED_VALUE"""),189.69)</f>
        <v>189.69</v>
      </c>
      <c r="C1083" s="9">
        <f>IFERROR(__xludf.DUMMYFUNCTION("""COMPUTED_VALUE"""),203.63)</f>
        <v>203.63</v>
      </c>
      <c r="D1083" s="9">
        <f>IFERROR(__xludf.DUMMYFUNCTION("""COMPUTED_VALUE"""),189.69)</f>
        <v>189.69</v>
      </c>
      <c r="E1083" s="9">
        <f>IFERROR(__xludf.DUMMYFUNCTION("""COMPUTED_VALUE"""),197.38)</f>
        <v>197.38</v>
      </c>
      <c r="F1083" s="9">
        <f>IFERROR(__xludf.DUMMYFUNCTION("""COMPUTED_VALUE"""),2608362.0)</f>
        <v>2608362</v>
      </c>
      <c r="H1083" s="27">
        <f>IFERROR(__xludf.DUMMYFUNCTION("""COMPUTED_VALUE"""),39961.645833333336)</f>
        <v>39961.64583</v>
      </c>
      <c r="I1083" s="25">
        <f>IFERROR(__xludf.DUMMYFUNCTION("""COMPUTED_VALUE"""),155.85)</f>
        <v>155.85</v>
      </c>
      <c r="J1083" s="25">
        <f>IFERROR(__xludf.DUMMYFUNCTION("""COMPUTED_VALUE"""),168.48)</f>
        <v>168.48</v>
      </c>
      <c r="K1083" s="25">
        <f>IFERROR(__xludf.DUMMYFUNCTION("""COMPUTED_VALUE"""),155.85)</f>
        <v>155.85</v>
      </c>
      <c r="L1083" s="25">
        <f>IFERROR(__xludf.DUMMYFUNCTION("""COMPUTED_VALUE"""),165.8)</f>
        <v>165.8</v>
      </c>
      <c r="M1083" s="25">
        <f>IFERROR(__xludf.DUMMYFUNCTION("""COMPUTED_VALUE"""),4215919.0)</f>
        <v>4215919</v>
      </c>
    </row>
    <row r="1084">
      <c r="A1084" s="26">
        <f>IFERROR(__xludf.DUMMYFUNCTION("""COMPUTED_VALUE"""),39962.645833333336)</f>
        <v>39962.64583</v>
      </c>
      <c r="B1084" s="9">
        <f>IFERROR(__xludf.DUMMYFUNCTION("""COMPUTED_VALUE"""),198.59)</f>
        <v>198.59</v>
      </c>
      <c r="C1084" s="9">
        <f>IFERROR(__xludf.DUMMYFUNCTION("""COMPUTED_VALUE"""),201.88)</f>
        <v>201.88</v>
      </c>
      <c r="D1084" s="9">
        <f>IFERROR(__xludf.DUMMYFUNCTION("""COMPUTED_VALUE"""),196.88)</f>
        <v>196.88</v>
      </c>
      <c r="E1084" s="9">
        <f>IFERROR(__xludf.DUMMYFUNCTION("""COMPUTED_VALUE"""),200.64)</f>
        <v>200.64</v>
      </c>
      <c r="F1084" s="9">
        <f>IFERROR(__xludf.DUMMYFUNCTION("""COMPUTED_VALUE"""),1739799.0)</f>
        <v>1739799</v>
      </c>
      <c r="H1084" s="27">
        <f>IFERROR(__xludf.DUMMYFUNCTION("""COMPUTED_VALUE"""),39962.645833333336)</f>
        <v>39962.64583</v>
      </c>
      <c r="I1084" s="25">
        <f>IFERROR(__xludf.DUMMYFUNCTION("""COMPUTED_VALUE"""),167.19)</f>
        <v>167.19</v>
      </c>
      <c r="J1084" s="25">
        <f>IFERROR(__xludf.DUMMYFUNCTION("""COMPUTED_VALUE"""),177.5)</f>
        <v>177.5</v>
      </c>
      <c r="K1084" s="25">
        <f>IFERROR(__xludf.DUMMYFUNCTION("""COMPUTED_VALUE"""),163.16)</f>
        <v>163.16</v>
      </c>
      <c r="L1084" s="25">
        <f>IFERROR(__xludf.DUMMYFUNCTION("""COMPUTED_VALUE"""),176.15)</f>
        <v>176.15</v>
      </c>
      <c r="M1084" s="25">
        <f>IFERROR(__xludf.DUMMYFUNCTION("""COMPUTED_VALUE"""),3467806.0)</f>
        <v>3467806</v>
      </c>
    </row>
    <row r="1085">
      <c r="A1085" s="26">
        <f>IFERROR(__xludf.DUMMYFUNCTION("""COMPUTED_VALUE"""),39965.645833333336)</f>
        <v>39965.64583</v>
      </c>
      <c r="B1085" s="9">
        <f>IFERROR(__xludf.DUMMYFUNCTION("""COMPUTED_VALUE"""),201.92)</f>
        <v>201.92</v>
      </c>
      <c r="C1085" s="9">
        <f>IFERROR(__xludf.DUMMYFUNCTION("""COMPUTED_VALUE"""),210.71)</f>
        <v>210.71</v>
      </c>
      <c r="D1085" s="9">
        <f>IFERROR(__xludf.DUMMYFUNCTION("""COMPUTED_VALUE"""),200.67)</f>
        <v>200.67</v>
      </c>
      <c r="E1085" s="9">
        <f>IFERROR(__xludf.DUMMYFUNCTION("""COMPUTED_VALUE"""),209.56)</f>
        <v>209.56</v>
      </c>
      <c r="F1085" s="9">
        <f>IFERROR(__xludf.DUMMYFUNCTION("""COMPUTED_VALUE"""),1648466.0)</f>
        <v>1648466</v>
      </c>
      <c r="H1085" s="27">
        <f>IFERROR(__xludf.DUMMYFUNCTION("""COMPUTED_VALUE"""),39965.645833333336)</f>
        <v>39965.64583</v>
      </c>
      <c r="I1085" s="25">
        <f>IFERROR(__xludf.DUMMYFUNCTION("""COMPUTED_VALUE"""),168.34)</f>
        <v>168.34</v>
      </c>
      <c r="J1085" s="25">
        <f>IFERROR(__xludf.DUMMYFUNCTION("""COMPUTED_VALUE"""),177.46)</f>
        <v>177.46</v>
      </c>
      <c r="K1085" s="25">
        <f>IFERROR(__xludf.DUMMYFUNCTION("""COMPUTED_VALUE"""),168.34)</f>
        <v>168.34</v>
      </c>
      <c r="L1085" s="25">
        <f>IFERROR(__xludf.DUMMYFUNCTION("""COMPUTED_VALUE"""),174.41)</f>
        <v>174.41</v>
      </c>
      <c r="M1085" s="25">
        <f>IFERROR(__xludf.DUMMYFUNCTION("""COMPUTED_VALUE"""),1976451.0)</f>
        <v>1976451</v>
      </c>
    </row>
    <row r="1086">
      <c r="A1086" s="26">
        <f>IFERROR(__xludf.DUMMYFUNCTION("""COMPUTED_VALUE"""),39966.645833333336)</f>
        <v>39966.64583</v>
      </c>
      <c r="B1086" s="9">
        <f>IFERROR(__xludf.DUMMYFUNCTION("""COMPUTED_VALUE"""),212.48)</f>
        <v>212.48</v>
      </c>
      <c r="C1086" s="9">
        <f>IFERROR(__xludf.DUMMYFUNCTION("""COMPUTED_VALUE"""),213.5)</f>
        <v>213.5</v>
      </c>
      <c r="D1086" s="9">
        <f>IFERROR(__xludf.DUMMYFUNCTION("""COMPUTED_VALUE"""),207.88)</f>
        <v>207.88</v>
      </c>
      <c r="E1086" s="9">
        <f>IFERROR(__xludf.DUMMYFUNCTION("""COMPUTED_VALUE"""),211.08)</f>
        <v>211.08</v>
      </c>
      <c r="F1086" s="9">
        <f>IFERROR(__xludf.DUMMYFUNCTION("""COMPUTED_VALUE"""),1303270.0)</f>
        <v>1303270</v>
      </c>
      <c r="H1086" s="27">
        <f>IFERROR(__xludf.DUMMYFUNCTION("""COMPUTED_VALUE"""),39966.645833333336)</f>
        <v>39966.64583</v>
      </c>
      <c r="I1086" s="25">
        <f>IFERROR(__xludf.DUMMYFUNCTION("""COMPUTED_VALUE"""),175.0)</f>
        <v>175</v>
      </c>
      <c r="J1086" s="25">
        <f>IFERROR(__xludf.DUMMYFUNCTION("""COMPUTED_VALUE"""),177.5)</f>
        <v>177.5</v>
      </c>
      <c r="K1086" s="25">
        <f>IFERROR(__xludf.DUMMYFUNCTION("""COMPUTED_VALUE"""),172.5)</f>
        <v>172.5</v>
      </c>
      <c r="L1086" s="25">
        <f>IFERROR(__xludf.DUMMYFUNCTION("""COMPUTED_VALUE"""),173.69)</f>
        <v>173.69</v>
      </c>
      <c r="M1086" s="25">
        <f>IFERROR(__xludf.DUMMYFUNCTION("""COMPUTED_VALUE"""),1029543.0)</f>
        <v>1029543</v>
      </c>
    </row>
    <row r="1087">
      <c r="A1087" s="26">
        <f>IFERROR(__xludf.DUMMYFUNCTION("""COMPUTED_VALUE"""),39967.645833333336)</f>
        <v>39967.64583</v>
      </c>
      <c r="B1087" s="9">
        <f>IFERROR(__xludf.DUMMYFUNCTION("""COMPUTED_VALUE"""),211.03)</f>
        <v>211.03</v>
      </c>
      <c r="C1087" s="9">
        <f>IFERROR(__xludf.DUMMYFUNCTION("""COMPUTED_VALUE"""),213.5)</f>
        <v>213.5</v>
      </c>
      <c r="D1087" s="9">
        <f>IFERROR(__xludf.DUMMYFUNCTION("""COMPUTED_VALUE"""),201.65)</f>
        <v>201.65</v>
      </c>
      <c r="E1087" s="9">
        <f>IFERROR(__xludf.DUMMYFUNCTION("""COMPUTED_VALUE"""),205.19)</f>
        <v>205.19</v>
      </c>
      <c r="F1087" s="9">
        <f>IFERROR(__xludf.DUMMYFUNCTION("""COMPUTED_VALUE"""),1714253.0)</f>
        <v>1714253</v>
      </c>
      <c r="H1087" s="27">
        <f>IFERROR(__xludf.DUMMYFUNCTION("""COMPUTED_VALUE"""),39967.645833333336)</f>
        <v>39967.64583</v>
      </c>
      <c r="I1087" s="25">
        <f>IFERROR(__xludf.DUMMYFUNCTION("""COMPUTED_VALUE"""),172.5)</f>
        <v>172.5</v>
      </c>
      <c r="J1087" s="25">
        <f>IFERROR(__xludf.DUMMYFUNCTION("""COMPUTED_VALUE"""),176.19)</f>
        <v>176.19</v>
      </c>
      <c r="K1087" s="25">
        <f>IFERROR(__xludf.DUMMYFUNCTION("""COMPUTED_VALUE"""),170.78)</f>
        <v>170.78</v>
      </c>
      <c r="L1087" s="25">
        <f>IFERROR(__xludf.DUMMYFUNCTION("""COMPUTED_VALUE"""),174.21)</f>
        <v>174.21</v>
      </c>
      <c r="M1087" s="25">
        <f>IFERROR(__xludf.DUMMYFUNCTION("""COMPUTED_VALUE"""),978736.0)</f>
        <v>978736</v>
      </c>
    </row>
    <row r="1088">
      <c r="A1088" s="26">
        <f>IFERROR(__xludf.DUMMYFUNCTION("""COMPUTED_VALUE"""),39968.645833333336)</f>
        <v>39968.64583</v>
      </c>
      <c r="B1088" s="9">
        <f>IFERROR(__xludf.DUMMYFUNCTION("""COMPUTED_VALUE"""),204.35)</f>
        <v>204.35</v>
      </c>
      <c r="C1088" s="9">
        <f>IFERROR(__xludf.DUMMYFUNCTION("""COMPUTED_VALUE"""),206.18)</f>
        <v>206.18</v>
      </c>
      <c r="D1088" s="9">
        <f>IFERROR(__xludf.DUMMYFUNCTION("""COMPUTED_VALUE"""),200.13)</f>
        <v>200.13</v>
      </c>
      <c r="E1088" s="9">
        <f>IFERROR(__xludf.DUMMYFUNCTION("""COMPUTED_VALUE"""),203.74)</f>
        <v>203.74</v>
      </c>
      <c r="F1088" s="9">
        <f>IFERROR(__xludf.DUMMYFUNCTION("""COMPUTED_VALUE"""),1368127.0)</f>
        <v>1368127</v>
      </c>
      <c r="H1088" s="27">
        <f>IFERROR(__xludf.DUMMYFUNCTION("""COMPUTED_VALUE"""),39968.645833333336)</f>
        <v>39968.64583</v>
      </c>
      <c r="I1088" s="25">
        <f>IFERROR(__xludf.DUMMYFUNCTION("""COMPUTED_VALUE"""),171.75)</f>
        <v>171.75</v>
      </c>
      <c r="J1088" s="25">
        <f>IFERROR(__xludf.DUMMYFUNCTION("""COMPUTED_VALUE"""),177.25)</f>
        <v>177.25</v>
      </c>
      <c r="K1088" s="25">
        <f>IFERROR(__xludf.DUMMYFUNCTION("""COMPUTED_VALUE"""),171.59)</f>
        <v>171.59</v>
      </c>
      <c r="L1088" s="25">
        <f>IFERROR(__xludf.DUMMYFUNCTION("""COMPUTED_VALUE"""),176.8)</f>
        <v>176.8</v>
      </c>
      <c r="M1088" s="25">
        <f>IFERROR(__xludf.DUMMYFUNCTION("""COMPUTED_VALUE"""),1755176.0)</f>
        <v>1755176</v>
      </c>
    </row>
    <row r="1089">
      <c r="A1089" s="26">
        <f>IFERROR(__xludf.DUMMYFUNCTION("""COMPUTED_VALUE"""),39969.645833333336)</f>
        <v>39969.64583</v>
      </c>
      <c r="B1089" s="9">
        <f>IFERROR(__xludf.DUMMYFUNCTION("""COMPUTED_VALUE"""),206.5)</f>
        <v>206.5</v>
      </c>
      <c r="C1089" s="9">
        <f>IFERROR(__xludf.DUMMYFUNCTION("""COMPUTED_VALUE"""),214.38)</f>
        <v>214.38</v>
      </c>
      <c r="D1089" s="9">
        <f>IFERROR(__xludf.DUMMYFUNCTION("""COMPUTED_VALUE"""),204.38)</f>
        <v>204.38</v>
      </c>
      <c r="E1089" s="9">
        <f>IFERROR(__xludf.DUMMYFUNCTION("""COMPUTED_VALUE"""),212.36)</f>
        <v>212.36</v>
      </c>
      <c r="F1089" s="9">
        <f>IFERROR(__xludf.DUMMYFUNCTION("""COMPUTED_VALUE"""),2074335.0)</f>
        <v>2074335</v>
      </c>
      <c r="H1089" s="27">
        <f>IFERROR(__xludf.DUMMYFUNCTION("""COMPUTED_VALUE"""),39969.645833333336)</f>
        <v>39969.64583</v>
      </c>
      <c r="I1089" s="25">
        <f>IFERROR(__xludf.DUMMYFUNCTION("""COMPUTED_VALUE"""),177.25)</f>
        <v>177.25</v>
      </c>
      <c r="J1089" s="25">
        <f>IFERROR(__xludf.DUMMYFUNCTION("""COMPUTED_VALUE"""),182.18)</f>
        <v>182.18</v>
      </c>
      <c r="K1089" s="25">
        <f>IFERROR(__xludf.DUMMYFUNCTION("""COMPUTED_VALUE"""),174.09)</f>
        <v>174.09</v>
      </c>
      <c r="L1089" s="25">
        <f>IFERROR(__xludf.DUMMYFUNCTION("""COMPUTED_VALUE"""),180.34)</f>
        <v>180.34</v>
      </c>
      <c r="M1089" s="25">
        <f>IFERROR(__xludf.DUMMYFUNCTION("""COMPUTED_VALUE"""),3305033.0)</f>
        <v>3305033</v>
      </c>
    </row>
    <row r="1090">
      <c r="A1090" s="26">
        <f>IFERROR(__xludf.DUMMYFUNCTION("""COMPUTED_VALUE"""),39972.645833333336)</f>
        <v>39972.64583</v>
      </c>
      <c r="B1090" s="9">
        <f>IFERROR(__xludf.DUMMYFUNCTION("""COMPUTED_VALUE"""),212.25)</f>
        <v>212.25</v>
      </c>
      <c r="C1090" s="9">
        <f>IFERROR(__xludf.DUMMYFUNCTION("""COMPUTED_VALUE"""),219.0)</f>
        <v>219</v>
      </c>
      <c r="D1090" s="9">
        <f>IFERROR(__xludf.DUMMYFUNCTION("""COMPUTED_VALUE"""),211.5)</f>
        <v>211.5</v>
      </c>
      <c r="E1090" s="9">
        <f>IFERROR(__xludf.DUMMYFUNCTION("""COMPUTED_VALUE"""),217.76)</f>
        <v>217.76</v>
      </c>
      <c r="F1090" s="9">
        <f>IFERROR(__xludf.DUMMYFUNCTION("""COMPUTED_VALUE"""),1409798.0)</f>
        <v>1409798</v>
      </c>
      <c r="H1090" s="27">
        <f>IFERROR(__xludf.DUMMYFUNCTION("""COMPUTED_VALUE"""),39972.645833333336)</f>
        <v>39972.64583</v>
      </c>
      <c r="I1090" s="25">
        <f>IFERROR(__xludf.DUMMYFUNCTION("""COMPUTED_VALUE"""),181.18)</f>
        <v>181.18</v>
      </c>
      <c r="J1090" s="25">
        <f>IFERROR(__xludf.DUMMYFUNCTION("""COMPUTED_VALUE"""),187.44)</f>
        <v>187.44</v>
      </c>
      <c r="K1090" s="25">
        <f>IFERROR(__xludf.DUMMYFUNCTION("""COMPUTED_VALUE"""),180.0)</f>
        <v>180</v>
      </c>
      <c r="L1090" s="25">
        <f>IFERROR(__xludf.DUMMYFUNCTION("""COMPUTED_VALUE"""),185.53)</f>
        <v>185.53</v>
      </c>
      <c r="M1090" s="25">
        <f>IFERROR(__xludf.DUMMYFUNCTION("""COMPUTED_VALUE"""),2316956.0)</f>
        <v>2316956</v>
      </c>
    </row>
    <row r="1091">
      <c r="A1091" s="26">
        <f>IFERROR(__xludf.DUMMYFUNCTION("""COMPUTED_VALUE"""),39973.645833333336)</f>
        <v>39973.64583</v>
      </c>
      <c r="B1091" s="9">
        <f>IFERROR(__xludf.DUMMYFUNCTION("""COMPUTED_VALUE"""),216.25)</f>
        <v>216.25</v>
      </c>
      <c r="C1091" s="9">
        <f>IFERROR(__xludf.DUMMYFUNCTION("""COMPUTED_VALUE"""),225.0)</f>
        <v>225</v>
      </c>
      <c r="D1091" s="9">
        <f>IFERROR(__xludf.DUMMYFUNCTION("""COMPUTED_VALUE"""),215.03)</f>
        <v>215.03</v>
      </c>
      <c r="E1091" s="9">
        <f>IFERROR(__xludf.DUMMYFUNCTION("""COMPUTED_VALUE"""),224.35)</f>
        <v>224.35</v>
      </c>
      <c r="F1091" s="9">
        <f>IFERROR(__xludf.DUMMYFUNCTION("""COMPUTED_VALUE"""),2109443.0)</f>
        <v>2109443</v>
      </c>
      <c r="H1091" s="27">
        <f>IFERROR(__xludf.DUMMYFUNCTION("""COMPUTED_VALUE"""),39973.645833333336)</f>
        <v>39973.64583</v>
      </c>
      <c r="I1091" s="25">
        <f>IFERROR(__xludf.DUMMYFUNCTION("""COMPUTED_VALUE"""),182.78)</f>
        <v>182.78</v>
      </c>
      <c r="J1091" s="25">
        <f>IFERROR(__xludf.DUMMYFUNCTION("""COMPUTED_VALUE"""),198.75)</f>
        <v>198.75</v>
      </c>
      <c r="K1091" s="25">
        <f>IFERROR(__xludf.DUMMYFUNCTION("""COMPUTED_VALUE"""),182.78)</f>
        <v>182.78</v>
      </c>
      <c r="L1091" s="25">
        <f>IFERROR(__xludf.DUMMYFUNCTION("""COMPUTED_VALUE"""),195.54)</f>
        <v>195.54</v>
      </c>
      <c r="M1091" s="25">
        <f>IFERROR(__xludf.DUMMYFUNCTION("""COMPUTED_VALUE"""),2422677.0)</f>
        <v>2422677</v>
      </c>
    </row>
    <row r="1092">
      <c r="A1092" s="26">
        <f>IFERROR(__xludf.DUMMYFUNCTION("""COMPUTED_VALUE"""),39974.645833333336)</f>
        <v>39974.64583</v>
      </c>
      <c r="B1092" s="9">
        <f>IFERROR(__xludf.DUMMYFUNCTION("""COMPUTED_VALUE"""),223.75)</f>
        <v>223.75</v>
      </c>
      <c r="C1092" s="9">
        <f>IFERROR(__xludf.DUMMYFUNCTION("""COMPUTED_VALUE"""),229.75)</f>
        <v>229.75</v>
      </c>
      <c r="D1092" s="9">
        <f>IFERROR(__xludf.DUMMYFUNCTION("""COMPUTED_VALUE"""),220.38)</f>
        <v>220.38</v>
      </c>
      <c r="E1092" s="9">
        <f>IFERROR(__xludf.DUMMYFUNCTION("""COMPUTED_VALUE"""),226.1)</f>
        <v>226.1</v>
      </c>
      <c r="F1092" s="9">
        <f>IFERROR(__xludf.DUMMYFUNCTION("""COMPUTED_VALUE"""),2216671.0)</f>
        <v>2216671</v>
      </c>
      <c r="H1092" s="27">
        <f>IFERROR(__xludf.DUMMYFUNCTION("""COMPUTED_VALUE"""),39974.645833333336)</f>
        <v>39974.64583</v>
      </c>
      <c r="I1092" s="25">
        <f>IFERROR(__xludf.DUMMYFUNCTION("""COMPUTED_VALUE"""),196.25)</f>
        <v>196.25</v>
      </c>
      <c r="J1092" s="25">
        <f>IFERROR(__xludf.DUMMYFUNCTION("""COMPUTED_VALUE"""),201.25)</f>
        <v>201.25</v>
      </c>
      <c r="K1092" s="25">
        <f>IFERROR(__xludf.DUMMYFUNCTION("""COMPUTED_VALUE"""),191.81)</f>
        <v>191.81</v>
      </c>
      <c r="L1092" s="25">
        <f>IFERROR(__xludf.DUMMYFUNCTION("""COMPUTED_VALUE"""),195.45)</f>
        <v>195.45</v>
      </c>
      <c r="M1092" s="25">
        <f>IFERROR(__xludf.DUMMYFUNCTION("""COMPUTED_VALUE"""),2345949.0)</f>
        <v>2345949</v>
      </c>
    </row>
    <row r="1093">
      <c r="A1093" s="26">
        <f>IFERROR(__xludf.DUMMYFUNCTION("""COMPUTED_VALUE"""),39975.645833333336)</f>
        <v>39975.64583</v>
      </c>
      <c r="B1093" s="9">
        <f>IFERROR(__xludf.DUMMYFUNCTION("""COMPUTED_VALUE"""),230.55)</f>
        <v>230.55</v>
      </c>
      <c r="C1093" s="9">
        <f>IFERROR(__xludf.DUMMYFUNCTION("""COMPUTED_VALUE"""),230.55)</f>
        <v>230.55</v>
      </c>
      <c r="D1093" s="9">
        <f>IFERROR(__xludf.DUMMYFUNCTION("""COMPUTED_VALUE"""),215.08)</f>
        <v>215.08</v>
      </c>
      <c r="E1093" s="9">
        <f>IFERROR(__xludf.DUMMYFUNCTION("""COMPUTED_VALUE"""),218.87)</f>
        <v>218.87</v>
      </c>
      <c r="F1093" s="9">
        <f>IFERROR(__xludf.DUMMYFUNCTION("""COMPUTED_VALUE"""),2032225.0)</f>
        <v>2032225</v>
      </c>
      <c r="H1093" s="27">
        <f>IFERROR(__xludf.DUMMYFUNCTION("""COMPUTED_VALUE"""),39975.645833333336)</f>
        <v>39975.64583</v>
      </c>
      <c r="I1093" s="25">
        <f>IFERROR(__xludf.DUMMYFUNCTION("""COMPUTED_VALUE"""),197.0)</f>
        <v>197</v>
      </c>
      <c r="J1093" s="25">
        <f>IFERROR(__xludf.DUMMYFUNCTION("""COMPUTED_VALUE"""),198.11)</f>
        <v>198.11</v>
      </c>
      <c r="K1093" s="25">
        <f>IFERROR(__xludf.DUMMYFUNCTION("""COMPUTED_VALUE"""),192.5)</f>
        <v>192.5</v>
      </c>
      <c r="L1093" s="25">
        <f>IFERROR(__xludf.DUMMYFUNCTION("""COMPUTED_VALUE"""),193.78)</f>
        <v>193.78</v>
      </c>
      <c r="M1093" s="25">
        <f>IFERROR(__xludf.DUMMYFUNCTION("""COMPUTED_VALUE"""),970800.0)</f>
        <v>970800</v>
      </c>
    </row>
    <row r="1094">
      <c r="A1094" s="26">
        <f>IFERROR(__xludf.DUMMYFUNCTION("""COMPUTED_VALUE"""),39976.645833333336)</f>
        <v>39976.64583</v>
      </c>
      <c r="B1094" s="9">
        <f>IFERROR(__xludf.DUMMYFUNCTION("""COMPUTED_VALUE"""),220.13)</f>
        <v>220.13</v>
      </c>
      <c r="C1094" s="9">
        <f>IFERROR(__xludf.DUMMYFUNCTION("""COMPUTED_VALUE"""),221.88)</f>
        <v>221.88</v>
      </c>
      <c r="D1094" s="9">
        <f>IFERROR(__xludf.DUMMYFUNCTION("""COMPUTED_VALUE"""),214.13)</f>
        <v>214.13</v>
      </c>
      <c r="E1094" s="9">
        <f>IFERROR(__xludf.DUMMYFUNCTION("""COMPUTED_VALUE"""),216.06)</f>
        <v>216.06</v>
      </c>
      <c r="F1094" s="9">
        <f>IFERROR(__xludf.DUMMYFUNCTION("""COMPUTED_VALUE"""),1183384.0)</f>
        <v>1183384</v>
      </c>
      <c r="H1094" s="27">
        <f>IFERROR(__xludf.DUMMYFUNCTION("""COMPUTED_VALUE"""),39976.645833333336)</f>
        <v>39976.64583</v>
      </c>
      <c r="I1094" s="25">
        <f>IFERROR(__xludf.DUMMYFUNCTION("""COMPUTED_VALUE"""),196.25)</f>
        <v>196.25</v>
      </c>
      <c r="J1094" s="25">
        <f>IFERROR(__xludf.DUMMYFUNCTION("""COMPUTED_VALUE"""),198.7)</f>
        <v>198.7</v>
      </c>
      <c r="K1094" s="25">
        <f>IFERROR(__xludf.DUMMYFUNCTION("""COMPUTED_VALUE"""),190.3)</f>
        <v>190.3</v>
      </c>
      <c r="L1094" s="25">
        <f>IFERROR(__xludf.DUMMYFUNCTION("""COMPUTED_VALUE"""),191.14)</f>
        <v>191.14</v>
      </c>
      <c r="M1094" s="25">
        <f>IFERROR(__xludf.DUMMYFUNCTION("""COMPUTED_VALUE"""),1589665.0)</f>
        <v>1589665</v>
      </c>
    </row>
    <row r="1095">
      <c r="A1095" s="26">
        <f>IFERROR(__xludf.DUMMYFUNCTION("""COMPUTED_VALUE"""),39979.645833333336)</f>
        <v>39979.64583</v>
      </c>
      <c r="B1095" s="9">
        <f>IFERROR(__xludf.DUMMYFUNCTION("""COMPUTED_VALUE"""),215.61)</f>
        <v>215.61</v>
      </c>
      <c r="C1095" s="9">
        <f>IFERROR(__xludf.DUMMYFUNCTION("""COMPUTED_VALUE"""),221.99)</f>
        <v>221.99</v>
      </c>
      <c r="D1095" s="9">
        <f>IFERROR(__xludf.DUMMYFUNCTION("""COMPUTED_VALUE"""),210.52)</f>
        <v>210.52</v>
      </c>
      <c r="E1095" s="9">
        <f>IFERROR(__xludf.DUMMYFUNCTION("""COMPUTED_VALUE"""),214.39)</f>
        <v>214.39</v>
      </c>
      <c r="F1095" s="9">
        <f>IFERROR(__xludf.DUMMYFUNCTION("""COMPUTED_VALUE"""),2076594.0)</f>
        <v>2076594</v>
      </c>
      <c r="H1095" s="27">
        <f>IFERROR(__xludf.DUMMYFUNCTION("""COMPUTED_VALUE"""),39979.645833333336)</f>
        <v>39979.64583</v>
      </c>
      <c r="I1095" s="25">
        <f>IFERROR(__xludf.DUMMYFUNCTION("""COMPUTED_VALUE"""),191.18)</f>
        <v>191.18</v>
      </c>
      <c r="J1095" s="25">
        <f>IFERROR(__xludf.DUMMYFUNCTION("""COMPUTED_VALUE"""),196.25)</f>
        <v>196.25</v>
      </c>
      <c r="K1095" s="25">
        <f>IFERROR(__xludf.DUMMYFUNCTION("""COMPUTED_VALUE"""),188.75)</f>
        <v>188.75</v>
      </c>
      <c r="L1095" s="25">
        <f>IFERROR(__xludf.DUMMYFUNCTION("""COMPUTED_VALUE"""),194.5)</f>
        <v>194.5</v>
      </c>
      <c r="M1095" s="25">
        <f>IFERROR(__xludf.DUMMYFUNCTION("""COMPUTED_VALUE"""),1648967.0)</f>
        <v>1648967</v>
      </c>
    </row>
    <row r="1096">
      <c r="A1096" s="26">
        <f>IFERROR(__xludf.DUMMYFUNCTION("""COMPUTED_VALUE"""),39980.645833333336)</f>
        <v>39980.64583</v>
      </c>
      <c r="B1096" s="9">
        <f>IFERROR(__xludf.DUMMYFUNCTION("""COMPUTED_VALUE"""),213.5)</f>
        <v>213.5</v>
      </c>
      <c r="C1096" s="9">
        <f>IFERROR(__xludf.DUMMYFUNCTION("""COMPUTED_VALUE"""),216.87)</f>
        <v>216.87</v>
      </c>
      <c r="D1096" s="9">
        <f>IFERROR(__xludf.DUMMYFUNCTION("""COMPUTED_VALUE"""),210.63)</f>
        <v>210.63</v>
      </c>
      <c r="E1096" s="9">
        <f>IFERROR(__xludf.DUMMYFUNCTION("""COMPUTED_VALUE"""),215.58)</f>
        <v>215.58</v>
      </c>
      <c r="F1096" s="9">
        <f>IFERROR(__xludf.DUMMYFUNCTION("""COMPUTED_VALUE"""),1189962.0)</f>
        <v>1189962</v>
      </c>
      <c r="H1096" s="27">
        <f>IFERROR(__xludf.DUMMYFUNCTION("""COMPUTED_VALUE"""),39980.645833333336)</f>
        <v>39980.64583</v>
      </c>
      <c r="I1096" s="25">
        <f>IFERROR(__xludf.DUMMYFUNCTION("""COMPUTED_VALUE"""),191.65)</f>
        <v>191.65</v>
      </c>
      <c r="J1096" s="25">
        <f>IFERROR(__xludf.DUMMYFUNCTION("""COMPUTED_VALUE"""),196.75)</f>
        <v>196.75</v>
      </c>
      <c r="K1096" s="25">
        <f>IFERROR(__xludf.DUMMYFUNCTION("""COMPUTED_VALUE"""),185.6)</f>
        <v>185.6</v>
      </c>
      <c r="L1096" s="25">
        <f>IFERROR(__xludf.DUMMYFUNCTION("""COMPUTED_VALUE"""),194.58)</f>
        <v>194.58</v>
      </c>
      <c r="M1096" s="25">
        <f>IFERROR(__xludf.DUMMYFUNCTION("""COMPUTED_VALUE"""),2172003.0)</f>
        <v>2172003</v>
      </c>
    </row>
    <row r="1097">
      <c r="A1097" s="26">
        <f>IFERROR(__xludf.DUMMYFUNCTION("""COMPUTED_VALUE"""),39981.645833333336)</f>
        <v>39981.64583</v>
      </c>
      <c r="B1097" s="9">
        <f>IFERROR(__xludf.DUMMYFUNCTION("""COMPUTED_VALUE"""),212.25)</f>
        <v>212.25</v>
      </c>
      <c r="C1097" s="9">
        <f>IFERROR(__xludf.DUMMYFUNCTION("""COMPUTED_VALUE"""),217.76)</f>
        <v>217.76</v>
      </c>
      <c r="D1097" s="9">
        <f>IFERROR(__xludf.DUMMYFUNCTION("""COMPUTED_VALUE"""),209.54)</f>
        <v>209.54</v>
      </c>
      <c r="E1097" s="9">
        <f>IFERROR(__xludf.DUMMYFUNCTION("""COMPUTED_VALUE"""),213.93)</f>
        <v>213.93</v>
      </c>
      <c r="F1097" s="9">
        <f>IFERROR(__xludf.DUMMYFUNCTION("""COMPUTED_VALUE"""),1683838.0)</f>
        <v>1683838</v>
      </c>
      <c r="H1097" s="27">
        <f>IFERROR(__xludf.DUMMYFUNCTION("""COMPUTED_VALUE"""),39981.645833333336)</f>
        <v>39981.64583</v>
      </c>
      <c r="I1097" s="25">
        <f>IFERROR(__xludf.DUMMYFUNCTION("""COMPUTED_VALUE"""),196.0)</f>
        <v>196</v>
      </c>
      <c r="J1097" s="25">
        <f>IFERROR(__xludf.DUMMYFUNCTION("""COMPUTED_VALUE"""),197.5)</f>
        <v>197.5</v>
      </c>
      <c r="K1097" s="25">
        <f>IFERROR(__xludf.DUMMYFUNCTION("""COMPUTED_VALUE"""),187.5)</f>
        <v>187.5</v>
      </c>
      <c r="L1097" s="25">
        <f>IFERROR(__xludf.DUMMYFUNCTION("""COMPUTED_VALUE"""),189.38)</f>
        <v>189.38</v>
      </c>
      <c r="M1097" s="25">
        <f>IFERROR(__xludf.DUMMYFUNCTION("""COMPUTED_VALUE"""),1870784.0)</f>
        <v>1870784</v>
      </c>
    </row>
    <row r="1098">
      <c r="A1098" s="26">
        <f>IFERROR(__xludf.DUMMYFUNCTION("""COMPUTED_VALUE"""),39982.645833333336)</f>
        <v>39982.64583</v>
      </c>
      <c r="B1098" s="9">
        <f>IFERROR(__xludf.DUMMYFUNCTION("""COMPUTED_VALUE"""),211.5)</f>
        <v>211.5</v>
      </c>
      <c r="C1098" s="9">
        <f>IFERROR(__xludf.DUMMYFUNCTION("""COMPUTED_VALUE"""),220.25)</f>
        <v>220.25</v>
      </c>
      <c r="D1098" s="9">
        <f>IFERROR(__xludf.DUMMYFUNCTION("""COMPUTED_VALUE"""),210.71)</f>
        <v>210.71</v>
      </c>
      <c r="E1098" s="9">
        <f>IFERROR(__xludf.DUMMYFUNCTION("""COMPUTED_VALUE"""),215.72)</f>
        <v>215.72</v>
      </c>
      <c r="F1098" s="9">
        <f>IFERROR(__xludf.DUMMYFUNCTION("""COMPUTED_VALUE"""),1589301.0)</f>
        <v>1589301</v>
      </c>
      <c r="H1098" s="27">
        <f>IFERROR(__xludf.DUMMYFUNCTION("""COMPUTED_VALUE"""),39982.645833333336)</f>
        <v>39982.64583</v>
      </c>
      <c r="I1098" s="25">
        <f>IFERROR(__xludf.DUMMYFUNCTION("""COMPUTED_VALUE"""),189.0)</f>
        <v>189</v>
      </c>
      <c r="J1098" s="25">
        <f>IFERROR(__xludf.DUMMYFUNCTION("""COMPUTED_VALUE"""),196.5)</f>
        <v>196.5</v>
      </c>
      <c r="K1098" s="25">
        <f>IFERROR(__xludf.DUMMYFUNCTION("""COMPUTED_VALUE"""),186.03)</f>
        <v>186.03</v>
      </c>
      <c r="L1098" s="25">
        <f>IFERROR(__xludf.DUMMYFUNCTION("""COMPUTED_VALUE"""),188.2)</f>
        <v>188.2</v>
      </c>
      <c r="M1098" s="25">
        <f>IFERROR(__xludf.DUMMYFUNCTION("""COMPUTED_VALUE"""),2376554.0)</f>
        <v>2376554</v>
      </c>
    </row>
    <row r="1099">
      <c r="A1099" s="26">
        <f>IFERROR(__xludf.DUMMYFUNCTION("""COMPUTED_VALUE"""),39983.645833333336)</f>
        <v>39983.64583</v>
      </c>
      <c r="B1099" s="9">
        <f>IFERROR(__xludf.DUMMYFUNCTION("""COMPUTED_VALUE"""),216.0)</f>
        <v>216</v>
      </c>
      <c r="C1099" s="9">
        <f>IFERROR(__xludf.DUMMYFUNCTION("""COMPUTED_VALUE"""),223.14)</f>
        <v>223.14</v>
      </c>
      <c r="D1099" s="9">
        <f>IFERROR(__xludf.DUMMYFUNCTION("""COMPUTED_VALUE"""),214.64)</f>
        <v>214.64</v>
      </c>
      <c r="E1099" s="9">
        <f>IFERROR(__xludf.DUMMYFUNCTION("""COMPUTED_VALUE"""),221.3)</f>
        <v>221.3</v>
      </c>
      <c r="F1099" s="9">
        <f>IFERROR(__xludf.DUMMYFUNCTION("""COMPUTED_VALUE"""),1871865.0)</f>
        <v>1871865</v>
      </c>
      <c r="H1099" s="27">
        <f>IFERROR(__xludf.DUMMYFUNCTION("""COMPUTED_VALUE"""),39983.645833333336)</f>
        <v>39983.64583</v>
      </c>
      <c r="I1099" s="25">
        <f>IFERROR(__xludf.DUMMYFUNCTION("""COMPUTED_VALUE"""),188.5)</f>
        <v>188.5</v>
      </c>
      <c r="J1099" s="25">
        <f>IFERROR(__xludf.DUMMYFUNCTION("""COMPUTED_VALUE"""),196.0)</f>
        <v>196</v>
      </c>
      <c r="K1099" s="25">
        <f>IFERROR(__xludf.DUMMYFUNCTION("""COMPUTED_VALUE"""),187.5)</f>
        <v>187.5</v>
      </c>
      <c r="L1099" s="25">
        <f>IFERROR(__xludf.DUMMYFUNCTION("""COMPUTED_VALUE"""),189.9)</f>
        <v>189.9</v>
      </c>
      <c r="M1099" s="25">
        <f>IFERROR(__xludf.DUMMYFUNCTION("""COMPUTED_VALUE"""),3863866.0)</f>
        <v>3863866</v>
      </c>
    </row>
    <row r="1100">
      <c r="A1100" s="26">
        <f>IFERROR(__xludf.DUMMYFUNCTION("""COMPUTED_VALUE"""),39986.645833333336)</f>
        <v>39986.64583</v>
      </c>
      <c r="B1100" s="9">
        <f>IFERROR(__xludf.DUMMYFUNCTION("""COMPUTED_VALUE"""),222.53)</f>
        <v>222.53</v>
      </c>
      <c r="C1100" s="9">
        <f>IFERROR(__xludf.DUMMYFUNCTION("""COMPUTED_VALUE"""),223.65)</f>
        <v>223.65</v>
      </c>
      <c r="D1100" s="9">
        <f>IFERROR(__xludf.DUMMYFUNCTION("""COMPUTED_VALUE"""),218.5)</f>
        <v>218.5</v>
      </c>
      <c r="E1100" s="9">
        <f>IFERROR(__xludf.DUMMYFUNCTION("""COMPUTED_VALUE"""),220.8)</f>
        <v>220.8</v>
      </c>
      <c r="F1100" s="9">
        <f>IFERROR(__xludf.DUMMYFUNCTION("""COMPUTED_VALUE"""),1177326.0)</f>
        <v>1177326</v>
      </c>
      <c r="H1100" s="27">
        <f>IFERROR(__xludf.DUMMYFUNCTION("""COMPUTED_VALUE"""),39986.645833333336)</f>
        <v>39986.64583</v>
      </c>
      <c r="I1100" s="25">
        <f>IFERROR(__xludf.DUMMYFUNCTION("""COMPUTED_VALUE"""),192.2)</f>
        <v>192.2</v>
      </c>
      <c r="J1100" s="25">
        <f>IFERROR(__xludf.DUMMYFUNCTION("""COMPUTED_VALUE"""),193.9)</f>
        <v>193.9</v>
      </c>
      <c r="K1100" s="25">
        <f>IFERROR(__xludf.DUMMYFUNCTION("""COMPUTED_VALUE"""),184.0)</f>
        <v>184</v>
      </c>
      <c r="L1100" s="25">
        <f>IFERROR(__xludf.DUMMYFUNCTION("""COMPUTED_VALUE"""),184.83)</f>
        <v>184.83</v>
      </c>
      <c r="M1100" s="25">
        <f>IFERROR(__xludf.DUMMYFUNCTION("""COMPUTED_VALUE"""),2053104.0)</f>
        <v>2053104</v>
      </c>
    </row>
    <row r="1101">
      <c r="A1101" s="26">
        <f>IFERROR(__xludf.DUMMYFUNCTION("""COMPUTED_VALUE"""),39987.645833333336)</f>
        <v>39987.64583</v>
      </c>
      <c r="B1101" s="9">
        <f>IFERROR(__xludf.DUMMYFUNCTION("""COMPUTED_VALUE"""),217.66)</f>
        <v>217.66</v>
      </c>
      <c r="C1101" s="9">
        <f>IFERROR(__xludf.DUMMYFUNCTION("""COMPUTED_VALUE"""),221.24)</f>
        <v>221.24</v>
      </c>
      <c r="D1101" s="9">
        <f>IFERROR(__xludf.DUMMYFUNCTION("""COMPUTED_VALUE"""),212.63)</f>
        <v>212.63</v>
      </c>
      <c r="E1101" s="9">
        <f>IFERROR(__xludf.DUMMYFUNCTION("""COMPUTED_VALUE"""),218.42)</f>
        <v>218.42</v>
      </c>
      <c r="F1101" s="9">
        <f>IFERROR(__xludf.DUMMYFUNCTION("""COMPUTED_VALUE"""),1579004.0)</f>
        <v>1579004</v>
      </c>
      <c r="H1101" s="27">
        <f>IFERROR(__xludf.DUMMYFUNCTION("""COMPUTED_VALUE"""),39987.645833333336)</f>
        <v>39987.64583</v>
      </c>
      <c r="I1101" s="25">
        <f>IFERROR(__xludf.DUMMYFUNCTION("""COMPUTED_VALUE"""),180.0)</f>
        <v>180</v>
      </c>
      <c r="J1101" s="25">
        <f>IFERROR(__xludf.DUMMYFUNCTION("""COMPUTED_VALUE"""),188.88)</f>
        <v>188.88</v>
      </c>
      <c r="K1101" s="25">
        <f>IFERROR(__xludf.DUMMYFUNCTION("""COMPUTED_VALUE"""),179.0)</f>
        <v>179</v>
      </c>
      <c r="L1101" s="25">
        <f>IFERROR(__xludf.DUMMYFUNCTION("""COMPUTED_VALUE"""),183.33)</f>
        <v>183.33</v>
      </c>
      <c r="M1101" s="25">
        <f>IFERROR(__xludf.DUMMYFUNCTION("""COMPUTED_VALUE"""),2567847.0)</f>
        <v>2567847</v>
      </c>
    </row>
    <row r="1102">
      <c r="A1102" s="26">
        <f>IFERROR(__xludf.DUMMYFUNCTION("""COMPUTED_VALUE"""),39988.645833333336)</f>
        <v>39988.64583</v>
      </c>
      <c r="B1102" s="9">
        <f>IFERROR(__xludf.DUMMYFUNCTION("""COMPUTED_VALUE"""),218.79)</f>
        <v>218.79</v>
      </c>
      <c r="C1102" s="9">
        <f>IFERROR(__xludf.DUMMYFUNCTION("""COMPUTED_VALUE"""),221.86)</f>
        <v>221.86</v>
      </c>
      <c r="D1102" s="9">
        <f>IFERROR(__xludf.DUMMYFUNCTION("""COMPUTED_VALUE"""),215.28)</f>
        <v>215.28</v>
      </c>
      <c r="E1102" s="9">
        <f>IFERROR(__xludf.DUMMYFUNCTION("""COMPUTED_VALUE"""),219.69)</f>
        <v>219.69</v>
      </c>
      <c r="F1102" s="9">
        <f>IFERROR(__xludf.DUMMYFUNCTION("""COMPUTED_VALUE"""),1273803.0)</f>
        <v>1273803</v>
      </c>
      <c r="H1102" s="27">
        <f>IFERROR(__xludf.DUMMYFUNCTION("""COMPUTED_VALUE"""),39988.645833333336)</f>
        <v>39988.64583</v>
      </c>
      <c r="I1102" s="25">
        <f>IFERROR(__xludf.DUMMYFUNCTION("""COMPUTED_VALUE"""),186.48)</f>
        <v>186.48</v>
      </c>
      <c r="J1102" s="25">
        <f>IFERROR(__xludf.DUMMYFUNCTION("""COMPUTED_VALUE"""),194.25)</f>
        <v>194.25</v>
      </c>
      <c r="K1102" s="25">
        <f>IFERROR(__xludf.DUMMYFUNCTION("""COMPUTED_VALUE"""),180.1)</f>
        <v>180.1</v>
      </c>
      <c r="L1102" s="25">
        <f>IFERROR(__xludf.DUMMYFUNCTION("""COMPUTED_VALUE"""),190.88)</f>
        <v>190.88</v>
      </c>
      <c r="M1102" s="25">
        <f>IFERROR(__xludf.DUMMYFUNCTION("""COMPUTED_VALUE"""),3651977.0)</f>
        <v>3651977</v>
      </c>
    </row>
    <row r="1103">
      <c r="A1103" s="26">
        <f>IFERROR(__xludf.DUMMYFUNCTION("""COMPUTED_VALUE"""),39989.645833333336)</f>
        <v>39989.64583</v>
      </c>
      <c r="B1103" s="9">
        <f>IFERROR(__xludf.DUMMYFUNCTION("""COMPUTED_VALUE"""),220.56)</f>
        <v>220.56</v>
      </c>
      <c r="C1103" s="9">
        <f>IFERROR(__xludf.DUMMYFUNCTION("""COMPUTED_VALUE"""),224.73)</f>
        <v>224.73</v>
      </c>
      <c r="D1103" s="9">
        <f>IFERROR(__xludf.DUMMYFUNCTION("""COMPUTED_VALUE"""),218.53)</f>
        <v>218.53</v>
      </c>
      <c r="E1103" s="9">
        <f>IFERROR(__xludf.DUMMYFUNCTION("""COMPUTED_VALUE"""),219.89)</f>
        <v>219.89</v>
      </c>
      <c r="F1103" s="9">
        <f>IFERROR(__xludf.DUMMYFUNCTION("""COMPUTED_VALUE"""),1653860.0)</f>
        <v>1653860</v>
      </c>
      <c r="H1103" s="27">
        <f>IFERROR(__xludf.DUMMYFUNCTION("""COMPUTED_VALUE"""),39989.645833333336)</f>
        <v>39989.64583</v>
      </c>
      <c r="I1103" s="25">
        <f>IFERROR(__xludf.DUMMYFUNCTION("""COMPUTED_VALUE"""),191.0)</f>
        <v>191</v>
      </c>
      <c r="J1103" s="25">
        <f>IFERROR(__xludf.DUMMYFUNCTION("""COMPUTED_VALUE"""),196.0)</f>
        <v>196</v>
      </c>
      <c r="K1103" s="25">
        <f>IFERROR(__xludf.DUMMYFUNCTION("""COMPUTED_VALUE"""),185.15)</f>
        <v>185.15</v>
      </c>
      <c r="L1103" s="25">
        <f>IFERROR(__xludf.DUMMYFUNCTION("""COMPUTED_VALUE"""),190.25)</f>
        <v>190.25</v>
      </c>
      <c r="M1103" s="25">
        <f>IFERROR(__xludf.DUMMYFUNCTION("""COMPUTED_VALUE"""),4847331.0)</f>
        <v>4847331</v>
      </c>
    </row>
    <row r="1104">
      <c r="A1104" s="26">
        <f>IFERROR(__xludf.DUMMYFUNCTION("""COMPUTED_VALUE"""),39990.645833333336)</f>
        <v>39990.64583</v>
      </c>
      <c r="B1104" s="9">
        <f>IFERROR(__xludf.DUMMYFUNCTION("""COMPUTED_VALUE"""),223.13)</f>
        <v>223.13</v>
      </c>
      <c r="C1104" s="9">
        <f>IFERROR(__xludf.DUMMYFUNCTION("""COMPUTED_VALUE"""),230.0)</f>
        <v>230</v>
      </c>
      <c r="D1104" s="9">
        <f>IFERROR(__xludf.DUMMYFUNCTION("""COMPUTED_VALUE"""),219.38)</f>
        <v>219.38</v>
      </c>
      <c r="E1104" s="9">
        <f>IFERROR(__xludf.DUMMYFUNCTION("""COMPUTED_VALUE"""),228.39)</f>
        <v>228.39</v>
      </c>
      <c r="F1104" s="9">
        <f>IFERROR(__xludf.DUMMYFUNCTION("""COMPUTED_VALUE"""),1618272.0)</f>
        <v>1618272</v>
      </c>
      <c r="H1104" s="27">
        <f>IFERROR(__xludf.DUMMYFUNCTION("""COMPUTED_VALUE"""),39990.645833333336)</f>
        <v>39990.64583</v>
      </c>
      <c r="I1104" s="25">
        <f>IFERROR(__xludf.DUMMYFUNCTION("""COMPUTED_VALUE"""),191.25)</f>
        <v>191.25</v>
      </c>
      <c r="J1104" s="25">
        <f>IFERROR(__xludf.DUMMYFUNCTION("""COMPUTED_VALUE"""),202.2)</f>
        <v>202.2</v>
      </c>
      <c r="K1104" s="25">
        <f>IFERROR(__xludf.DUMMYFUNCTION("""COMPUTED_VALUE"""),188.28)</f>
        <v>188.28</v>
      </c>
      <c r="L1104" s="25">
        <f>IFERROR(__xludf.DUMMYFUNCTION("""COMPUTED_VALUE"""),198.7)</f>
        <v>198.7</v>
      </c>
      <c r="M1104" s="25">
        <f>IFERROR(__xludf.DUMMYFUNCTION("""COMPUTED_VALUE"""),3049850.0)</f>
        <v>3049850</v>
      </c>
    </row>
    <row r="1105">
      <c r="A1105" s="26">
        <f>IFERROR(__xludf.DUMMYFUNCTION("""COMPUTED_VALUE"""),39993.645833333336)</f>
        <v>39993.64583</v>
      </c>
      <c r="B1105" s="9">
        <f>IFERROR(__xludf.DUMMYFUNCTION("""COMPUTED_VALUE"""),232.49)</f>
        <v>232.49</v>
      </c>
      <c r="C1105" s="9">
        <f>IFERROR(__xludf.DUMMYFUNCTION("""COMPUTED_VALUE"""),258.75)</f>
        <v>258.75</v>
      </c>
      <c r="D1105" s="9">
        <f>IFERROR(__xludf.DUMMYFUNCTION("""COMPUTED_VALUE"""),221.38)</f>
        <v>221.38</v>
      </c>
      <c r="E1105" s="9">
        <f>IFERROR(__xludf.DUMMYFUNCTION("""COMPUTED_VALUE"""),222.87)</f>
        <v>222.87</v>
      </c>
      <c r="F1105" s="9">
        <f>IFERROR(__xludf.DUMMYFUNCTION("""COMPUTED_VALUE"""),1224429.0)</f>
        <v>1224429</v>
      </c>
      <c r="H1105" s="27">
        <f>IFERROR(__xludf.DUMMYFUNCTION("""COMPUTED_VALUE"""),39993.645833333336)</f>
        <v>39993.64583</v>
      </c>
      <c r="I1105" s="25">
        <f>IFERROR(__xludf.DUMMYFUNCTION("""COMPUTED_VALUE"""),199.93)</f>
        <v>199.93</v>
      </c>
      <c r="J1105" s="25">
        <f>IFERROR(__xludf.DUMMYFUNCTION("""COMPUTED_VALUE"""),201.0)</f>
        <v>201</v>
      </c>
      <c r="K1105" s="25">
        <f>IFERROR(__xludf.DUMMYFUNCTION("""COMPUTED_VALUE"""),191.68)</f>
        <v>191.68</v>
      </c>
      <c r="L1105" s="25">
        <f>IFERROR(__xludf.DUMMYFUNCTION("""COMPUTED_VALUE"""),193.1)</f>
        <v>193.1</v>
      </c>
      <c r="M1105" s="25">
        <f>IFERROR(__xludf.DUMMYFUNCTION("""COMPUTED_VALUE"""),2372603.0)</f>
        <v>2372603</v>
      </c>
    </row>
    <row r="1106">
      <c r="A1106" s="26">
        <f>IFERROR(__xludf.DUMMYFUNCTION("""COMPUTED_VALUE"""),39994.645833333336)</f>
        <v>39994.64583</v>
      </c>
      <c r="B1106" s="9">
        <f>IFERROR(__xludf.DUMMYFUNCTION("""COMPUTED_VALUE"""),224.38)</f>
        <v>224.38</v>
      </c>
      <c r="C1106" s="9">
        <f>IFERROR(__xludf.DUMMYFUNCTION("""COMPUTED_VALUE"""),224.88)</f>
        <v>224.88</v>
      </c>
      <c r="D1106" s="9">
        <f>IFERROR(__xludf.DUMMYFUNCTION("""COMPUTED_VALUE"""),219.78)</f>
        <v>219.78</v>
      </c>
      <c r="E1106" s="9">
        <f>IFERROR(__xludf.DUMMYFUNCTION("""COMPUTED_VALUE"""),222.06)</f>
        <v>222.06</v>
      </c>
      <c r="F1106" s="9">
        <f>IFERROR(__xludf.DUMMYFUNCTION("""COMPUTED_VALUE"""),1119606.0)</f>
        <v>1119606</v>
      </c>
      <c r="H1106" s="27">
        <f>IFERROR(__xludf.DUMMYFUNCTION("""COMPUTED_VALUE"""),39994.645833333336)</f>
        <v>39994.64583</v>
      </c>
      <c r="I1106" s="25">
        <f>IFERROR(__xludf.DUMMYFUNCTION("""COMPUTED_VALUE"""),193.75)</f>
        <v>193.75</v>
      </c>
      <c r="J1106" s="25">
        <f>IFERROR(__xludf.DUMMYFUNCTION("""COMPUTED_VALUE"""),199.0)</f>
        <v>199</v>
      </c>
      <c r="K1106" s="25">
        <f>IFERROR(__xludf.DUMMYFUNCTION("""COMPUTED_VALUE"""),191.58)</f>
        <v>191.58</v>
      </c>
      <c r="L1106" s="25">
        <f>IFERROR(__xludf.DUMMYFUNCTION("""COMPUTED_VALUE"""),194.93)</f>
        <v>194.93</v>
      </c>
      <c r="M1106" s="25">
        <f>IFERROR(__xludf.DUMMYFUNCTION("""COMPUTED_VALUE"""),2961974.0)</f>
        <v>2961974</v>
      </c>
    </row>
    <row r="1107">
      <c r="A1107" s="26">
        <f>IFERROR(__xludf.DUMMYFUNCTION("""COMPUTED_VALUE"""),39995.645833333336)</f>
        <v>39995.64583</v>
      </c>
      <c r="B1107" s="9">
        <f>IFERROR(__xludf.DUMMYFUNCTION("""COMPUTED_VALUE"""),221.32)</f>
        <v>221.32</v>
      </c>
      <c r="C1107" s="9">
        <f>IFERROR(__xludf.DUMMYFUNCTION("""COMPUTED_VALUE"""),226.47)</f>
        <v>226.47</v>
      </c>
      <c r="D1107" s="9">
        <f>IFERROR(__xludf.DUMMYFUNCTION("""COMPUTED_VALUE"""),220.58)</f>
        <v>220.58</v>
      </c>
      <c r="E1107" s="9">
        <f>IFERROR(__xludf.DUMMYFUNCTION("""COMPUTED_VALUE"""),224.4)</f>
        <v>224.4</v>
      </c>
      <c r="F1107" s="9">
        <f>IFERROR(__xludf.DUMMYFUNCTION("""COMPUTED_VALUE"""),999018.0)</f>
        <v>999018</v>
      </c>
      <c r="H1107" s="27">
        <f>IFERROR(__xludf.DUMMYFUNCTION("""COMPUTED_VALUE"""),39995.645833333336)</f>
        <v>39995.64583</v>
      </c>
      <c r="I1107" s="25">
        <f>IFERROR(__xludf.DUMMYFUNCTION("""COMPUTED_VALUE"""),193.55)</f>
        <v>193.55</v>
      </c>
      <c r="J1107" s="25">
        <f>IFERROR(__xludf.DUMMYFUNCTION("""COMPUTED_VALUE"""),197.5)</f>
        <v>197.5</v>
      </c>
      <c r="K1107" s="25">
        <f>IFERROR(__xludf.DUMMYFUNCTION("""COMPUTED_VALUE"""),191.23)</f>
        <v>191.23</v>
      </c>
      <c r="L1107" s="25">
        <f>IFERROR(__xludf.DUMMYFUNCTION("""COMPUTED_VALUE"""),196.48)</f>
        <v>196.48</v>
      </c>
      <c r="M1107" s="25">
        <f>IFERROR(__xludf.DUMMYFUNCTION("""COMPUTED_VALUE"""),1842369.0)</f>
        <v>1842369</v>
      </c>
    </row>
    <row r="1108">
      <c r="A1108" s="26">
        <f>IFERROR(__xludf.DUMMYFUNCTION("""COMPUTED_VALUE"""),39996.645833333336)</f>
        <v>39996.64583</v>
      </c>
      <c r="B1108" s="9">
        <f>IFERROR(__xludf.DUMMYFUNCTION("""COMPUTED_VALUE"""),223.89)</f>
        <v>223.89</v>
      </c>
      <c r="C1108" s="9">
        <f>IFERROR(__xludf.DUMMYFUNCTION("""COMPUTED_VALUE"""),225.5)</f>
        <v>225.5</v>
      </c>
      <c r="D1108" s="9">
        <f>IFERROR(__xludf.DUMMYFUNCTION("""COMPUTED_VALUE"""),220.64)</f>
        <v>220.64</v>
      </c>
      <c r="E1108" s="9">
        <f>IFERROR(__xludf.DUMMYFUNCTION("""COMPUTED_VALUE"""),224.58)</f>
        <v>224.58</v>
      </c>
      <c r="F1108" s="9">
        <f>IFERROR(__xludf.DUMMYFUNCTION("""COMPUTED_VALUE"""),1052380.0)</f>
        <v>1052380</v>
      </c>
      <c r="H1108" s="27">
        <f>IFERROR(__xludf.DUMMYFUNCTION("""COMPUTED_VALUE"""),39996.645833333336)</f>
        <v>39996.64583</v>
      </c>
      <c r="I1108" s="25">
        <f>IFERROR(__xludf.DUMMYFUNCTION("""COMPUTED_VALUE"""),195.0)</f>
        <v>195</v>
      </c>
      <c r="J1108" s="25">
        <f>IFERROR(__xludf.DUMMYFUNCTION("""COMPUTED_VALUE"""),197.65)</f>
        <v>197.65</v>
      </c>
      <c r="K1108" s="25">
        <f>IFERROR(__xludf.DUMMYFUNCTION("""COMPUTED_VALUE"""),190.6)</f>
        <v>190.6</v>
      </c>
      <c r="L1108" s="25">
        <f>IFERROR(__xludf.DUMMYFUNCTION("""COMPUTED_VALUE"""),195.0)</f>
        <v>195</v>
      </c>
      <c r="M1108" s="25">
        <f>IFERROR(__xludf.DUMMYFUNCTION("""COMPUTED_VALUE"""),1857714.0)</f>
        <v>1857714</v>
      </c>
    </row>
    <row r="1109">
      <c r="A1109" s="26">
        <f>IFERROR(__xludf.DUMMYFUNCTION("""COMPUTED_VALUE"""),39997.645833333336)</f>
        <v>39997.64583</v>
      </c>
      <c r="B1109" s="9">
        <f>IFERROR(__xludf.DUMMYFUNCTION("""COMPUTED_VALUE"""),223.15)</f>
        <v>223.15</v>
      </c>
      <c r="C1109" s="9">
        <f>IFERROR(__xludf.DUMMYFUNCTION("""COMPUTED_VALUE"""),227.0)</f>
        <v>227</v>
      </c>
      <c r="D1109" s="9">
        <f>IFERROR(__xludf.DUMMYFUNCTION("""COMPUTED_VALUE"""),218.46)</f>
        <v>218.46</v>
      </c>
      <c r="E1109" s="9">
        <f>IFERROR(__xludf.DUMMYFUNCTION("""COMPUTED_VALUE"""),225.64)</f>
        <v>225.64</v>
      </c>
      <c r="F1109" s="9">
        <f>IFERROR(__xludf.DUMMYFUNCTION("""COMPUTED_VALUE"""),1111481.0)</f>
        <v>1111481</v>
      </c>
      <c r="H1109" s="27">
        <f>IFERROR(__xludf.DUMMYFUNCTION("""COMPUTED_VALUE"""),39997.645833333336)</f>
        <v>39997.64583</v>
      </c>
      <c r="I1109" s="25">
        <f>IFERROR(__xludf.DUMMYFUNCTION("""COMPUTED_VALUE"""),192.5)</f>
        <v>192.5</v>
      </c>
      <c r="J1109" s="25">
        <f>IFERROR(__xludf.DUMMYFUNCTION("""COMPUTED_VALUE"""),196.2)</f>
        <v>196.2</v>
      </c>
      <c r="K1109" s="25">
        <f>IFERROR(__xludf.DUMMYFUNCTION("""COMPUTED_VALUE"""),192.5)</f>
        <v>192.5</v>
      </c>
      <c r="L1109" s="25">
        <f>IFERROR(__xludf.DUMMYFUNCTION("""COMPUTED_VALUE"""),195.48)</f>
        <v>195.48</v>
      </c>
      <c r="M1109" s="25">
        <f>IFERROR(__xludf.DUMMYFUNCTION("""COMPUTED_VALUE"""),1459922.0)</f>
        <v>1459922</v>
      </c>
    </row>
    <row r="1110">
      <c r="A1110" s="26">
        <f>IFERROR(__xludf.DUMMYFUNCTION("""COMPUTED_VALUE"""),40000.645833333336)</f>
        <v>40000.64583</v>
      </c>
      <c r="B1110" s="9">
        <f>IFERROR(__xludf.DUMMYFUNCTION("""COMPUTED_VALUE"""),226.25)</f>
        <v>226.25</v>
      </c>
      <c r="C1110" s="9">
        <f>IFERROR(__xludf.DUMMYFUNCTION("""COMPUTED_VALUE"""),227.43)</f>
        <v>227.43</v>
      </c>
      <c r="D1110" s="9">
        <f>IFERROR(__xludf.DUMMYFUNCTION("""COMPUTED_VALUE"""),218.79)</f>
        <v>218.79</v>
      </c>
      <c r="E1110" s="9">
        <f>IFERROR(__xludf.DUMMYFUNCTION("""COMPUTED_VALUE"""),220.15)</f>
        <v>220.15</v>
      </c>
      <c r="F1110" s="9">
        <f>IFERROR(__xludf.DUMMYFUNCTION("""COMPUTED_VALUE"""),1693586.0)</f>
        <v>1693586</v>
      </c>
      <c r="H1110" s="27">
        <f>IFERROR(__xludf.DUMMYFUNCTION("""COMPUTED_VALUE"""),40000.645833333336)</f>
        <v>40000.64583</v>
      </c>
      <c r="I1110" s="25">
        <f>IFERROR(__xludf.DUMMYFUNCTION("""COMPUTED_VALUE"""),198.5)</f>
        <v>198.5</v>
      </c>
      <c r="J1110" s="25">
        <f>IFERROR(__xludf.DUMMYFUNCTION("""COMPUTED_VALUE"""),199.23)</f>
        <v>199.23</v>
      </c>
      <c r="K1110" s="25">
        <f>IFERROR(__xludf.DUMMYFUNCTION("""COMPUTED_VALUE"""),189.18)</f>
        <v>189.18</v>
      </c>
      <c r="L1110" s="25">
        <f>IFERROR(__xludf.DUMMYFUNCTION("""COMPUTED_VALUE"""),190.35)</f>
        <v>190.35</v>
      </c>
      <c r="M1110" s="25">
        <f>IFERROR(__xludf.DUMMYFUNCTION("""COMPUTED_VALUE"""),2244458.0)</f>
        <v>2244458</v>
      </c>
    </row>
    <row r="1111">
      <c r="A1111" s="26">
        <f>IFERROR(__xludf.DUMMYFUNCTION("""COMPUTED_VALUE"""),40001.645833333336)</f>
        <v>40001.64583</v>
      </c>
      <c r="B1111" s="9">
        <f>IFERROR(__xludf.DUMMYFUNCTION("""COMPUTED_VALUE"""),224.63)</f>
        <v>224.63</v>
      </c>
      <c r="C1111" s="9">
        <f>IFERROR(__xludf.DUMMYFUNCTION("""COMPUTED_VALUE"""),224.63)</f>
        <v>224.63</v>
      </c>
      <c r="D1111" s="9">
        <f>IFERROR(__xludf.DUMMYFUNCTION("""COMPUTED_VALUE"""),215.63)</f>
        <v>215.63</v>
      </c>
      <c r="E1111" s="9">
        <f>IFERROR(__xludf.DUMMYFUNCTION("""COMPUTED_VALUE"""),217.24)</f>
        <v>217.24</v>
      </c>
      <c r="F1111" s="9">
        <f>IFERROR(__xludf.DUMMYFUNCTION("""COMPUTED_VALUE"""),1585745.0)</f>
        <v>1585745</v>
      </c>
      <c r="H1111" s="27">
        <f>IFERROR(__xludf.DUMMYFUNCTION("""COMPUTED_VALUE"""),40001.645833333336)</f>
        <v>40001.64583</v>
      </c>
      <c r="I1111" s="25">
        <f>IFERROR(__xludf.DUMMYFUNCTION("""COMPUTED_VALUE"""),192.0)</f>
        <v>192</v>
      </c>
      <c r="J1111" s="25">
        <f>IFERROR(__xludf.DUMMYFUNCTION("""COMPUTED_VALUE"""),196.63)</f>
        <v>196.63</v>
      </c>
      <c r="K1111" s="25">
        <f>IFERROR(__xludf.DUMMYFUNCTION("""COMPUTED_VALUE"""),190.0)</f>
        <v>190</v>
      </c>
      <c r="L1111" s="25">
        <f>IFERROR(__xludf.DUMMYFUNCTION("""COMPUTED_VALUE"""),194.58)</f>
        <v>194.58</v>
      </c>
      <c r="M1111" s="25">
        <f>IFERROR(__xludf.DUMMYFUNCTION("""COMPUTED_VALUE"""),1902284.0)</f>
        <v>1902284</v>
      </c>
    </row>
    <row r="1112">
      <c r="A1112" s="26">
        <f>IFERROR(__xludf.DUMMYFUNCTION("""COMPUTED_VALUE"""),40002.645833333336)</f>
        <v>40002.64583</v>
      </c>
      <c r="B1112" s="9">
        <f>IFERROR(__xludf.DUMMYFUNCTION("""COMPUTED_VALUE"""),216.13)</f>
        <v>216.13</v>
      </c>
      <c r="C1112" s="9">
        <f>IFERROR(__xludf.DUMMYFUNCTION("""COMPUTED_VALUE"""),217.25)</f>
        <v>217.25</v>
      </c>
      <c r="D1112" s="9">
        <f>IFERROR(__xludf.DUMMYFUNCTION("""COMPUTED_VALUE"""),211.25)</f>
        <v>211.25</v>
      </c>
      <c r="E1112" s="9">
        <f>IFERROR(__xludf.DUMMYFUNCTION("""COMPUTED_VALUE"""),213.3)</f>
        <v>213.3</v>
      </c>
      <c r="F1112" s="9">
        <f>IFERROR(__xludf.DUMMYFUNCTION("""COMPUTED_VALUE"""),1128074.0)</f>
        <v>1128074</v>
      </c>
      <c r="H1112" s="27">
        <f>IFERROR(__xludf.DUMMYFUNCTION("""COMPUTED_VALUE"""),40002.645833333336)</f>
        <v>40002.64583</v>
      </c>
      <c r="I1112" s="25">
        <f>IFERROR(__xludf.DUMMYFUNCTION("""COMPUTED_VALUE"""),194.35)</f>
        <v>194.35</v>
      </c>
      <c r="J1112" s="25">
        <f>IFERROR(__xludf.DUMMYFUNCTION("""COMPUTED_VALUE"""),194.45)</f>
        <v>194.45</v>
      </c>
      <c r="K1112" s="25">
        <f>IFERROR(__xludf.DUMMYFUNCTION("""COMPUTED_VALUE"""),184.13)</f>
        <v>184.13</v>
      </c>
      <c r="L1112" s="25">
        <f>IFERROR(__xludf.DUMMYFUNCTION("""COMPUTED_VALUE"""),190.58)</f>
        <v>190.58</v>
      </c>
      <c r="M1112" s="25">
        <f>IFERROR(__xludf.DUMMYFUNCTION("""COMPUTED_VALUE"""),3347383.0)</f>
        <v>3347383</v>
      </c>
    </row>
    <row r="1113">
      <c r="A1113" s="26">
        <f>IFERROR(__xludf.DUMMYFUNCTION("""COMPUTED_VALUE"""),40003.645833333336)</f>
        <v>40003.64583</v>
      </c>
      <c r="B1113" s="9">
        <f>IFERROR(__xludf.DUMMYFUNCTION("""COMPUTED_VALUE"""),213.75)</f>
        <v>213.75</v>
      </c>
      <c r="C1113" s="9">
        <f>IFERROR(__xludf.DUMMYFUNCTION("""COMPUTED_VALUE"""),213.75)</f>
        <v>213.75</v>
      </c>
      <c r="D1113" s="9">
        <f>IFERROR(__xludf.DUMMYFUNCTION("""COMPUTED_VALUE"""),208.75)</f>
        <v>208.75</v>
      </c>
      <c r="E1113" s="9">
        <f>IFERROR(__xludf.DUMMYFUNCTION("""COMPUTED_VALUE"""),209.69)</f>
        <v>209.69</v>
      </c>
      <c r="F1113" s="9">
        <f>IFERROR(__xludf.DUMMYFUNCTION("""COMPUTED_VALUE"""),1365224.0)</f>
        <v>1365224</v>
      </c>
      <c r="H1113" s="27">
        <f>IFERROR(__xludf.DUMMYFUNCTION("""COMPUTED_VALUE"""),40003.645833333336)</f>
        <v>40003.64583</v>
      </c>
      <c r="I1113" s="25">
        <f>IFERROR(__xludf.DUMMYFUNCTION("""COMPUTED_VALUE"""),191.05)</f>
        <v>191.05</v>
      </c>
      <c r="J1113" s="25">
        <f>IFERROR(__xludf.DUMMYFUNCTION("""COMPUTED_VALUE"""),195.55)</f>
        <v>195.55</v>
      </c>
      <c r="K1113" s="25">
        <f>IFERROR(__xludf.DUMMYFUNCTION("""COMPUTED_VALUE"""),185.5)</f>
        <v>185.5</v>
      </c>
      <c r="L1113" s="25">
        <f>IFERROR(__xludf.DUMMYFUNCTION("""COMPUTED_VALUE"""),194.08)</f>
        <v>194.08</v>
      </c>
      <c r="M1113" s="25">
        <f>IFERROR(__xludf.DUMMYFUNCTION("""COMPUTED_VALUE"""),1982404.0)</f>
        <v>1982404</v>
      </c>
    </row>
    <row r="1114">
      <c r="A1114" s="26">
        <f>IFERROR(__xludf.DUMMYFUNCTION("""COMPUTED_VALUE"""),40004.645833333336)</f>
        <v>40004.64583</v>
      </c>
      <c r="B1114" s="9">
        <f>IFERROR(__xludf.DUMMYFUNCTION("""COMPUTED_VALUE"""),212.5)</f>
        <v>212.5</v>
      </c>
      <c r="C1114" s="9">
        <f>IFERROR(__xludf.DUMMYFUNCTION("""COMPUTED_VALUE"""),221.23)</f>
        <v>221.23</v>
      </c>
      <c r="D1114" s="9">
        <f>IFERROR(__xludf.DUMMYFUNCTION("""COMPUTED_VALUE"""),208.13)</f>
        <v>208.13</v>
      </c>
      <c r="E1114" s="9">
        <f>IFERROR(__xludf.DUMMYFUNCTION("""COMPUTED_VALUE"""),215.14)</f>
        <v>215.14</v>
      </c>
      <c r="F1114" s="9">
        <f>IFERROR(__xludf.DUMMYFUNCTION("""COMPUTED_VALUE"""),3025675.0)</f>
        <v>3025675</v>
      </c>
      <c r="H1114" s="27">
        <f>IFERROR(__xludf.DUMMYFUNCTION("""COMPUTED_VALUE"""),40004.645833333336)</f>
        <v>40004.64583</v>
      </c>
      <c r="I1114" s="25">
        <f>IFERROR(__xludf.DUMMYFUNCTION("""COMPUTED_VALUE"""),195.5)</f>
        <v>195.5</v>
      </c>
      <c r="J1114" s="25">
        <f>IFERROR(__xludf.DUMMYFUNCTION("""COMPUTED_VALUE"""),200.73)</f>
        <v>200.73</v>
      </c>
      <c r="K1114" s="25">
        <f>IFERROR(__xludf.DUMMYFUNCTION("""COMPUTED_VALUE"""),195.0)</f>
        <v>195</v>
      </c>
      <c r="L1114" s="25">
        <f>IFERROR(__xludf.DUMMYFUNCTION("""COMPUTED_VALUE"""),197.58)</f>
        <v>197.58</v>
      </c>
      <c r="M1114" s="25">
        <f>IFERROR(__xludf.DUMMYFUNCTION("""COMPUTED_VALUE"""),3734374.0)</f>
        <v>3734374</v>
      </c>
    </row>
    <row r="1115">
      <c r="A1115" s="26">
        <f>IFERROR(__xludf.DUMMYFUNCTION("""COMPUTED_VALUE"""),40007.645833333336)</f>
        <v>40007.64583</v>
      </c>
      <c r="B1115" s="9">
        <f>IFERROR(__xludf.DUMMYFUNCTION("""COMPUTED_VALUE"""),214.1)</f>
        <v>214.1</v>
      </c>
      <c r="C1115" s="9">
        <f>IFERROR(__xludf.DUMMYFUNCTION("""COMPUTED_VALUE"""),221.86)</f>
        <v>221.86</v>
      </c>
      <c r="D1115" s="9">
        <f>IFERROR(__xludf.DUMMYFUNCTION("""COMPUTED_VALUE"""),212.64)</f>
        <v>212.64</v>
      </c>
      <c r="E1115" s="9">
        <f>IFERROR(__xludf.DUMMYFUNCTION("""COMPUTED_VALUE"""),221.26)</f>
        <v>221.26</v>
      </c>
      <c r="F1115" s="9">
        <f>IFERROR(__xludf.DUMMYFUNCTION("""COMPUTED_VALUE"""),1031125.0)</f>
        <v>1031125</v>
      </c>
      <c r="H1115" s="27">
        <f>IFERROR(__xludf.DUMMYFUNCTION("""COMPUTED_VALUE"""),40007.645833333336)</f>
        <v>40007.64583</v>
      </c>
      <c r="I1115" s="25">
        <f>IFERROR(__xludf.DUMMYFUNCTION("""COMPUTED_VALUE"""),195.0)</f>
        <v>195</v>
      </c>
      <c r="J1115" s="25">
        <f>IFERROR(__xludf.DUMMYFUNCTION("""COMPUTED_VALUE"""),200.5)</f>
        <v>200.5</v>
      </c>
      <c r="K1115" s="25">
        <f>IFERROR(__xludf.DUMMYFUNCTION("""COMPUTED_VALUE"""),194.13)</f>
        <v>194.13</v>
      </c>
      <c r="L1115" s="25">
        <f>IFERROR(__xludf.DUMMYFUNCTION("""COMPUTED_VALUE"""),198.75)</f>
        <v>198.75</v>
      </c>
      <c r="M1115" s="25">
        <f>IFERROR(__xludf.DUMMYFUNCTION("""COMPUTED_VALUE"""),2559916.0)</f>
        <v>2559916</v>
      </c>
    </row>
    <row r="1116">
      <c r="A1116" s="26">
        <f>IFERROR(__xludf.DUMMYFUNCTION("""COMPUTED_VALUE"""),40008.645833333336)</f>
        <v>40008.64583</v>
      </c>
      <c r="B1116" s="9">
        <f>IFERROR(__xludf.DUMMYFUNCTION("""COMPUTED_VALUE"""),221.24)</f>
        <v>221.24</v>
      </c>
      <c r="C1116" s="9">
        <f>IFERROR(__xludf.DUMMYFUNCTION("""COMPUTED_VALUE"""),227.49)</f>
        <v>227.49</v>
      </c>
      <c r="D1116" s="9">
        <f>IFERROR(__xludf.DUMMYFUNCTION("""COMPUTED_VALUE"""),218.89)</f>
        <v>218.89</v>
      </c>
      <c r="E1116" s="9">
        <f>IFERROR(__xludf.DUMMYFUNCTION("""COMPUTED_VALUE"""),226.48)</f>
        <v>226.48</v>
      </c>
      <c r="F1116" s="9">
        <f>IFERROR(__xludf.DUMMYFUNCTION("""COMPUTED_VALUE"""),1455859.0)</f>
        <v>1455859</v>
      </c>
      <c r="H1116" s="27">
        <f>IFERROR(__xludf.DUMMYFUNCTION("""COMPUTED_VALUE"""),40008.645833333336)</f>
        <v>40008.64583</v>
      </c>
      <c r="I1116" s="25">
        <f>IFERROR(__xludf.DUMMYFUNCTION("""COMPUTED_VALUE"""),202.5)</f>
        <v>202.5</v>
      </c>
      <c r="J1116" s="25">
        <f>IFERROR(__xludf.DUMMYFUNCTION("""COMPUTED_VALUE"""),205.55)</f>
        <v>205.55</v>
      </c>
      <c r="K1116" s="25">
        <f>IFERROR(__xludf.DUMMYFUNCTION("""COMPUTED_VALUE"""),200.2)</f>
        <v>200.2</v>
      </c>
      <c r="L1116" s="25">
        <f>IFERROR(__xludf.DUMMYFUNCTION("""COMPUTED_VALUE"""),203.48)</f>
        <v>203.48</v>
      </c>
      <c r="M1116" s="25">
        <f>IFERROR(__xludf.DUMMYFUNCTION("""COMPUTED_VALUE"""),2232068.0)</f>
        <v>2232068</v>
      </c>
    </row>
    <row r="1117">
      <c r="A1117" s="26">
        <f>IFERROR(__xludf.DUMMYFUNCTION("""COMPUTED_VALUE"""),40009.645833333336)</f>
        <v>40009.64583</v>
      </c>
      <c r="B1117" s="9">
        <f>IFERROR(__xludf.DUMMYFUNCTION("""COMPUTED_VALUE"""),225.21)</f>
        <v>225.21</v>
      </c>
      <c r="C1117" s="9">
        <f>IFERROR(__xludf.DUMMYFUNCTION("""COMPUTED_VALUE"""),227.93)</f>
        <v>227.93</v>
      </c>
      <c r="D1117" s="9">
        <f>IFERROR(__xludf.DUMMYFUNCTION("""COMPUTED_VALUE"""),219.38)</f>
        <v>219.38</v>
      </c>
      <c r="E1117" s="9">
        <f>IFERROR(__xludf.DUMMYFUNCTION("""COMPUTED_VALUE"""),223.96)</f>
        <v>223.96</v>
      </c>
      <c r="F1117" s="9">
        <f>IFERROR(__xludf.DUMMYFUNCTION("""COMPUTED_VALUE"""),1946854.0)</f>
        <v>1946854</v>
      </c>
      <c r="H1117" s="27">
        <f>IFERROR(__xludf.DUMMYFUNCTION("""COMPUTED_VALUE"""),40009.645833333336)</f>
        <v>40009.64583</v>
      </c>
      <c r="I1117" s="25">
        <f>IFERROR(__xludf.DUMMYFUNCTION("""COMPUTED_VALUE"""),205.45)</f>
        <v>205.45</v>
      </c>
      <c r="J1117" s="25">
        <f>IFERROR(__xludf.DUMMYFUNCTION("""COMPUTED_VALUE"""),213.65)</f>
        <v>213.65</v>
      </c>
      <c r="K1117" s="25">
        <f>IFERROR(__xludf.DUMMYFUNCTION("""COMPUTED_VALUE"""),205.0)</f>
        <v>205</v>
      </c>
      <c r="L1117" s="25">
        <f>IFERROR(__xludf.DUMMYFUNCTION("""COMPUTED_VALUE"""),211.58)</f>
        <v>211.58</v>
      </c>
      <c r="M1117" s="25">
        <f>IFERROR(__xludf.DUMMYFUNCTION("""COMPUTED_VALUE"""),2235047.0)</f>
        <v>2235047</v>
      </c>
    </row>
    <row r="1118">
      <c r="A1118" s="26">
        <f>IFERROR(__xludf.DUMMYFUNCTION("""COMPUTED_VALUE"""),40010.645833333336)</f>
        <v>40010.64583</v>
      </c>
      <c r="B1118" s="9">
        <f>IFERROR(__xludf.DUMMYFUNCTION("""COMPUTED_VALUE"""),225.0)</f>
        <v>225</v>
      </c>
      <c r="C1118" s="9">
        <f>IFERROR(__xludf.DUMMYFUNCTION("""COMPUTED_VALUE"""),227.2)</f>
        <v>227.2</v>
      </c>
      <c r="D1118" s="9">
        <f>IFERROR(__xludf.DUMMYFUNCTION("""COMPUTED_VALUE"""),220.86)</f>
        <v>220.86</v>
      </c>
      <c r="E1118" s="9">
        <f>IFERROR(__xludf.DUMMYFUNCTION("""COMPUTED_VALUE"""),224.39)</f>
        <v>224.39</v>
      </c>
      <c r="F1118" s="9">
        <f>IFERROR(__xludf.DUMMYFUNCTION("""COMPUTED_VALUE"""),1174159.0)</f>
        <v>1174159</v>
      </c>
      <c r="H1118" s="27">
        <f>IFERROR(__xludf.DUMMYFUNCTION("""COMPUTED_VALUE"""),40010.645833333336)</f>
        <v>40010.64583</v>
      </c>
      <c r="I1118" s="25">
        <f>IFERROR(__xludf.DUMMYFUNCTION("""COMPUTED_VALUE"""),214.0)</f>
        <v>214</v>
      </c>
      <c r="J1118" s="25">
        <f>IFERROR(__xludf.DUMMYFUNCTION("""COMPUTED_VALUE"""),217.4)</f>
        <v>217.4</v>
      </c>
      <c r="K1118" s="25">
        <f>IFERROR(__xludf.DUMMYFUNCTION("""COMPUTED_VALUE"""),206.6)</f>
        <v>206.6</v>
      </c>
      <c r="L1118" s="25">
        <f>IFERROR(__xludf.DUMMYFUNCTION("""COMPUTED_VALUE"""),209.9)</f>
        <v>209.9</v>
      </c>
      <c r="M1118" s="25">
        <f>IFERROR(__xludf.DUMMYFUNCTION("""COMPUTED_VALUE"""),3798438.0)</f>
        <v>3798438</v>
      </c>
    </row>
    <row r="1119">
      <c r="A1119" s="26">
        <f>IFERROR(__xludf.DUMMYFUNCTION("""COMPUTED_VALUE"""),40011.645833333336)</f>
        <v>40011.64583</v>
      </c>
      <c r="B1119" s="9">
        <f>IFERROR(__xludf.DUMMYFUNCTION("""COMPUTED_VALUE"""),225.28)</f>
        <v>225.28</v>
      </c>
      <c r="C1119" s="9">
        <f>IFERROR(__xludf.DUMMYFUNCTION("""COMPUTED_VALUE"""),234.25)</f>
        <v>234.25</v>
      </c>
      <c r="D1119" s="9">
        <f>IFERROR(__xludf.DUMMYFUNCTION("""COMPUTED_VALUE"""),225.25)</f>
        <v>225.25</v>
      </c>
      <c r="E1119" s="9">
        <f>IFERROR(__xludf.DUMMYFUNCTION("""COMPUTED_VALUE"""),233.29)</f>
        <v>233.29</v>
      </c>
      <c r="F1119" s="9">
        <f>IFERROR(__xludf.DUMMYFUNCTION("""COMPUTED_VALUE"""),1571441.0)</f>
        <v>1571441</v>
      </c>
      <c r="H1119" s="27">
        <f>IFERROR(__xludf.DUMMYFUNCTION("""COMPUTED_VALUE"""),40011.645833333336)</f>
        <v>40011.64583</v>
      </c>
      <c r="I1119" s="25">
        <f>IFERROR(__xludf.DUMMYFUNCTION("""COMPUTED_VALUE"""),210.7)</f>
        <v>210.7</v>
      </c>
      <c r="J1119" s="25">
        <f>IFERROR(__xludf.DUMMYFUNCTION("""COMPUTED_VALUE"""),222.88)</f>
        <v>222.88</v>
      </c>
      <c r="K1119" s="25">
        <f>IFERROR(__xludf.DUMMYFUNCTION("""COMPUTED_VALUE"""),210.5)</f>
        <v>210.5</v>
      </c>
      <c r="L1119" s="25">
        <f>IFERROR(__xludf.DUMMYFUNCTION("""COMPUTED_VALUE"""),217.05)</f>
        <v>217.05</v>
      </c>
      <c r="M1119" s="25">
        <f>IFERROR(__xludf.DUMMYFUNCTION("""COMPUTED_VALUE"""),4547478.0)</f>
        <v>4547478</v>
      </c>
    </row>
    <row r="1120">
      <c r="A1120" s="26">
        <f>IFERROR(__xludf.DUMMYFUNCTION("""COMPUTED_VALUE"""),40014.645833333336)</f>
        <v>40014.64583</v>
      </c>
      <c r="B1120" s="9">
        <f>IFERROR(__xludf.DUMMYFUNCTION("""COMPUTED_VALUE"""),233.76)</f>
        <v>233.76</v>
      </c>
      <c r="C1120" s="9">
        <f>IFERROR(__xludf.DUMMYFUNCTION("""COMPUTED_VALUE"""),249.25)</f>
        <v>249.25</v>
      </c>
      <c r="D1120" s="9">
        <f>IFERROR(__xludf.DUMMYFUNCTION("""COMPUTED_VALUE"""),233.76)</f>
        <v>233.76</v>
      </c>
      <c r="E1120" s="9">
        <f>IFERROR(__xludf.DUMMYFUNCTION("""COMPUTED_VALUE"""),246.43)</f>
        <v>246.43</v>
      </c>
      <c r="F1120" s="9">
        <f>IFERROR(__xludf.DUMMYFUNCTION("""COMPUTED_VALUE"""),2509467.0)</f>
        <v>2509467</v>
      </c>
      <c r="H1120" s="27">
        <f>IFERROR(__xludf.DUMMYFUNCTION("""COMPUTED_VALUE"""),40014.645833333336)</f>
        <v>40014.64583</v>
      </c>
      <c r="I1120" s="25">
        <f>IFERROR(__xludf.DUMMYFUNCTION("""COMPUTED_VALUE"""),222.5)</f>
        <v>222.5</v>
      </c>
      <c r="J1120" s="25">
        <f>IFERROR(__xludf.DUMMYFUNCTION("""COMPUTED_VALUE"""),257.45)</f>
        <v>257.45</v>
      </c>
      <c r="K1120" s="25">
        <f>IFERROR(__xludf.DUMMYFUNCTION("""COMPUTED_VALUE"""),222.5)</f>
        <v>222.5</v>
      </c>
      <c r="L1120" s="25">
        <f>IFERROR(__xludf.DUMMYFUNCTION("""COMPUTED_VALUE"""),250.28)</f>
        <v>250.28</v>
      </c>
      <c r="M1120" s="25">
        <f>IFERROR(__xludf.DUMMYFUNCTION("""COMPUTED_VALUE"""),1.7269768E7)</f>
        <v>17269768</v>
      </c>
    </row>
    <row r="1121">
      <c r="A1121" s="26">
        <f>IFERROR(__xludf.DUMMYFUNCTION("""COMPUTED_VALUE"""),40015.645833333336)</f>
        <v>40015.64583</v>
      </c>
      <c r="B1121" s="9">
        <f>IFERROR(__xludf.DUMMYFUNCTION("""COMPUTED_VALUE"""),245.61)</f>
        <v>245.61</v>
      </c>
      <c r="C1121" s="9">
        <f>IFERROR(__xludf.DUMMYFUNCTION("""COMPUTED_VALUE"""),246.25)</f>
        <v>246.25</v>
      </c>
      <c r="D1121" s="9">
        <f>IFERROR(__xludf.DUMMYFUNCTION("""COMPUTED_VALUE"""),240.69)</f>
        <v>240.69</v>
      </c>
      <c r="E1121" s="9">
        <f>IFERROR(__xludf.DUMMYFUNCTION("""COMPUTED_VALUE"""),242.89)</f>
        <v>242.89</v>
      </c>
      <c r="F1121" s="9">
        <f>IFERROR(__xludf.DUMMYFUNCTION("""COMPUTED_VALUE"""),1815567.0)</f>
        <v>1815567</v>
      </c>
      <c r="H1121" s="27">
        <f>IFERROR(__xludf.DUMMYFUNCTION("""COMPUTED_VALUE"""),40015.645833333336)</f>
        <v>40015.64583</v>
      </c>
      <c r="I1121" s="25">
        <f>IFERROR(__xludf.DUMMYFUNCTION("""COMPUTED_VALUE"""),251.5)</f>
        <v>251.5</v>
      </c>
      <c r="J1121" s="25">
        <f>IFERROR(__xludf.DUMMYFUNCTION("""COMPUTED_VALUE"""),256.58)</f>
        <v>256.58</v>
      </c>
      <c r="K1121" s="25">
        <f>IFERROR(__xludf.DUMMYFUNCTION("""COMPUTED_VALUE"""),237.03)</f>
        <v>237.03</v>
      </c>
      <c r="L1121" s="25">
        <f>IFERROR(__xludf.DUMMYFUNCTION("""COMPUTED_VALUE"""),238.8)</f>
        <v>238.8</v>
      </c>
      <c r="M1121" s="25">
        <f>IFERROR(__xludf.DUMMYFUNCTION("""COMPUTED_VALUE"""),6502910.0)</f>
        <v>6502910</v>
      </c>
    </row>
    <row r="1122">
      <c r="A1122" s="26">
        <f>IFERROR(__xludf.DUMMYFUNCTION("""COMPUTED_VALUE"""),40016.645833333336)</f>
        <v>40016.64583</v>
      </c>
      <c r="B1122" s="9">
        <f>IFERROR(__xludf.DUMMYFUNCTION("""COMPUTED_VALUE"""),242.89)</f>
        <v>242.89</v>
      </c>
      <c r="C1122" s="9">
        <f>IFERROR(__xludf.DUMMYFUNCTION("""COMPUTED_VALUE"""),246.85)</f>
        <v>246.85</v>
      </c>
      <c r="D1122" s="9">
        <f>IFERROR(__xludf.DUMMYFUNCTION("""COMPUTED_VALUE"""),236.58)</f>
        <v>236.58</v>
      </c>
      <c r="E1122" s="9">
        <f>IFERROR(__xludf.DUMMYFUNCTION("""COMPUTED_VALUE"""),239.98)</f>
        <v>239.98</v>
      </c>
      <c r="F1122" s="9">
        <f>IFERROR(__xludf.DUMMYFUNCTION("""COMPUTED_VALUE"""),1914283.0)</f>
        <v>1914283</v>
      </c>
      <c r="H1122" s="27">
        <f>IFERROR(__xludf.DUMMYFUNCTION("""COMPUTED_VALUE"""),40016.645833333336)</f>
        <v>40016.64583</v>
      </c>
      <c r="I1122" s="25">
        <f>IFERROR(__xludf.DUMMYFUNCTION("""COMPUTED_VALUE"""),241.85)</f>
        <v>241.85</v>
      </c>
      <c r="J1122" s="25">
        <f>IFERROR(__xludf.DUMMYFUNCTION("""COMPUTED_VALUE"""),242.5)</f>
        <v>242.5</v>
      </c>
      <c r="K1122" s="25">
        <f>IFERROR(__xludf.DUMMYFUNCTION("""COMPUTED_VALUE"""),226.15)</f>
        <v>226.15</v>
      </c>
      <c r="L1122" s="25">
        <f>IFERROR(__xludf.DUMMYFUNCTION("""COMPUTED_VALUE"""),233.15)</f>
        <v>233.15</v>
      </c>
      <c r="M1122" s="25">
        <f>IFERROR(__xludf.DUMMYFUNCTION("""COMPUTED_VALUE"""),5337345.0)</f>
        <v>5337345</v>
      </c>
    </row>
    <row r="1123">
      <c r="A1123" s="26">
        <f>IFERROR(__xludf.DUMMYFUNCTION("""COMPUTED_VALUE"""),40017.645833333336)</f>
        <v>40017.64583</v>
      </c>
      <c r="B1123" s="9">
        <f>IFERROR(__xludf.DUMMYFUNCTION("""COMPUTED_VALUE"""),240.0)</f>
        <v>240</v>
      </c>
      <c r="C1123" s="9">
        <f>IFERROR(__xludf.DUMMYFUNCTION("""COMPUTED_VALUE"""),247.32)</f>
        <v>247.32</v>
      </c>
      <c r="D1123" s="9">
        <f>IFERROR(__xludf.DUMMYFUNCTION("""COMPUTED_VALUE"""),240.0)</f>
        <v>240</v>
      </c>
      <c r="E1123" s="9">
        <f>IFERROR(__xludf.DUMMYFUNCTION("""COMPUTED_VALUE"""),244.84)</f>
        <v>244.84</v>
      </c>
      <c r="F1123" s="9">
        <f>IFERROR(__xludf.DUMMYFUNCTION("""COMPUTED_VALUE"""),2161061.0)</f>
        <v>2161061</v>
      </c>
      <c r="H1123" s="27">
        <f>IFERROR(__xludf.DUMMYFUNCTION("""COMPUTED_VALUE"""),40017.645833333336)</f>
        <v>40017.64583</v>
      </c>
      <c r="I1123" s="25">
        <f>IFERROR(__xludf.DUMMYFUNCTION("""COMPUTED_VALUE"""),235.5)</f>
        <v>235.5</v>
      </c>
      <c r="J1123" s="25">
        <f>IFERROR(__xludf.DUMMYFUNCTION("""COMPUTED_VALUE"""),241.45)</f>
        <v>241.45</v>
      </c>
      <c r="K1123" s="25">
        <f>IFERROR(__xludf.DUMMYFUNCTION("""COMPUTED_VALUE"""),235.0)</f>
        <v>235</v>
      </c>
      <c r="L1123" s="25">
        <f>IFERROR(__xludf.DUMMYFUNCTION("""COMPUTED_VALUE"""),237.83)</f>
        <v>237.83</v>
      </c>
      <c r="M1123" s="25">
        <f>IFERROR(__xludf.DUMMYFUNCTION("""COMPUTED_VALUE"""),3831339.0)</f>
        <v>3831339</v>
      </c>
    </row>
    <row r="1124">
      <c r="A1124" s="26">
        <f>IFERROR(__xludf.DUMMYFUNCTION("""COMPUTED_VALUE"""),40018.645833333336)</f>
        <v>40018.64583</v>
      </c>
      <c r="B1124" s="9">
        <f>IFERROR(__xludf.DUMMYFUNCTION("""COMPUTED_VALUE"""),245.01)</f>
        <v>245.01</v>
      </c>
      <c r="C1124" s="9">
        <f>IFERROR(__xludf.DUMMYFUNCTION("""COMPUTED_VALUE"""),252.13)</f>
        <v>252.13</v>
      </c>
      <c r="D1124" s="9">
        <f>IFERROR(__xludf.DUMMYFUNCTION("""COMPUTED_VALUE"""),245.01)</f>
        <v>245.01</v>
      </c>
      <c r="E1124" s="9">
        <f>IFERROR(__xludf.DUMMYFUNCTION("""COMPUTED_VALUE"""),250.46)</f>
        <v>250.46</v>
      </c>
      <c r="F1124" s="9">
        <f>IFERROR(__xludf.DUMMYFUNCTION("""COMPUTED_VALUE"""),1755151.0)</f>
        <v>1755151</v>
      </c>
      <c r="H1124" s="27">
        <f>IFERROR(__xludf.DUMMYFUNCTION("""COMPUTED_VALUE"""),40018.645833333336)</f>
        <v>40018.64583</v>
      </c>
      <c r="I1124" s="25">
        <f>IFERROR(__xludf.DUMMYFUNCTION("""COMPUTED_VALUE"""),245.0)</f>
        <v>245</v>
      </c>
      <c r="J1124" s="25">
        <f>IFERROR(__xludf.DUMMYFUNCTION("""COMPUTED_VALUE"""),245.0)</f>
        <v>245</v>
      </c>
      <c r="K1124" s="25">
        <f>IFERROR(__xludf.DUMMYFUNCTION("""COMPUTED_VALUE"""),238.0)</f>
        <v>238</v>
      </c>
      <c r="L1124" s="25">
        <f>IFERROR(__xludf.DUMMYFUNCTION("""COMPUTED_VALUE"""),241.0)</f>
        <v>241</v>
      </c>
      <c r="M1124" s="25">
        <f>IFERROR(__xludf.DUMMYFUNCTION("""COMPUTED_VALUE"""),0.0)</f>
        <v>0</v>
      </c>
    </row>
    <row r="1125">
      <c r="A1125" s="26">
        <f>IFERROR(__xludf.DUMMYFUNCTION("""COMPUTED_VALUE"""),40021.645833333336)</f>
        <v>40021.64583</v>
      </c>
      <c r="B1125" s="9">
        <f>IFERROR(__xludf.DUMMYFUNCTION("""COMPUTED_VALUE"""),250.0)</f>
        <v>250</v>
      </c>
      <c r="C1125" s="9">
        <f>IFERROR(__xludf.DUMMYFUNCTION("""COMPUTED_VALUE"""),255.61)</f>
        <v>255.61</v>
      </c>
      <c r="D1125" s="9">
        <f>IFERROR(__xludf.DUMMYFUNCTION("""COMPUTED_VALUE"""),249.41)</f>
        <v>249.41</v>
      </c>
      <c r="E1125" s="9">
        <f>IFERROR(__xludf.DUMMYFUNCTION("""COMPUTED_VALUE"""),253.49)</f>
        <v>253.49</v>
      </c>
      <c r="F1125" s="9">
        <f>IFERROR(__xludf.DUMMYFUNCTION("""COMPUTED_VALUE"""),1305415.0)</f>
        <v>1305415</v>
      </c>
      <c r="H1125" s="27">
        <f>IFERROR(__xludf.DUMMYFUNCTION("""COMPUTED_VALUE"""),40021.645833333336)</f>
        <v>40021.64583</v>
      </c>
      <c r="I1125" s="25">
        <f>IFERROR(__xludf.DUMMYFUNCTION("""COMPUTED_VALUE"""),241.0)</f>
        <v>241</v>
      </c>
      <c r="J1125" s="25">
        <f>IFERROR(__xludf.DUMMYFUNCTION("""COMPUTED_VALUE"""),244.48)</f>
        <v>244.48</v>
      </c>
      <c r="K1125" s="25">
        <f>IFERROR(__xludf.DUMMYFUNCTION("""COMPUTED_VALUE"""),238.55)</f>
        <v>238.55</v>
      </c>
      <c r="L1125" s="25">
        <f>IFERROR(__xludf.DUMMYFUNCTION("""COMPUTED_VALUE"""),240.15)</f>
        <v>240.15</v>
      </c>
      <c r="M1125" s="25">
        <f>IFERROR(__xludf.DUMMYFUNCTION("""COMPUTED_VALUE"""),2326169.0)</f>
        <v>2326169</v>
      </c>
    </row>
    <row r="1126">
      <c r="A1126" s="26">
        <f>IFERROR(__xludf.DUMMYFUNCTION("""COMPUTED_VALUE"""),40022.645833333336)</f>
        <v>40022.64583</v>
      </c>
      <c r="B1126" s="9">
        <f>IFERROR(__xludf.DUMMYFUNCTION("""COMPUTED_VALUE"""),251.88)</f>
        <v>251.88</v>
      </c>
      <c r="C1126" s="9">
        <f>IFERROR(__xludf.DUMMYFUNCTION("""COMPUTED_VALUE"""),254.82)</f>
        <v>254.82</v>
      </c>
      <c r="D1126" s="9">
        <f>IFERROR(__xludf.DUMMYFUNCTION("""COMPUTED_VALUE"""),245.88)</f>
        <v>245.88</v>
      </c>
      <c r="E1126" s="9">
        <f>IFERROR(__xludf.DUMMYFUNCTION("""COMPUTED_VALUE"""),249.63)</f>
        <v>249.63</v>
      </c>
      <c r="F1126" s="9">
        <f>IFERROR(__xludf.DUMMYFUNCTION("""COMPUTED_VALUE"""),1762641.0)</f>
        <v>1762641</v>
      </c>
      <c r="H1126" s="27">
        <f>IFERROR(__xludf.DUMMYFUNCTION("""COMPUTED_VALUE"""),40022.645833333336)</f>
        <v>40022.64583</v>
      </c>
      <c r="I1126" s="25">
        <f>IFERROR(__xludf.DUMMYFUNCTION("""COMPUTED_VALUE"""),242.18)</f>
        <v>242.18</v>
      </c>
      <c r="J1126" s="25">
        <f>IFERROR(__xludf.DUMMYFUNCTION("""COMPUTED_VALUE"""),242.48)</f>
        <v>242.48</v>
      </c>
      <c r="K1126" s="25">
        <f>IFERROR(__xludf.DUMMYFUNCTION("""COMPUTED_VALUE"""),235.65)</f>
        <v>235.65</v>
      </c>
      <c r="L1126" s="25">
        <f>IFERROR(__xludf.DUMMYFUNCTION("""COMPUTED_VALUE"""),240.33)</f>
        <v>240.33</v>
      </c>
      <c r="M1126" s="25">
        <f>IFERROR(__xludf.DUMMYFUNCTION("""COMPUTED_VALUE"""),3167492.0)</f>
        <v>3167492</v>
      </c>
    </row>
    <row r="1127">
      <c r="A1127" s="26">
        <f>IFERROR(__xludf.DUMMYFUNCTION("""COMPUTED_VALUE"""),40023.645833333336)</f>
        <v>40023.64583</v>
      </c>
      <c r="B1127" s="9">
        <f>IFERROR(__xludf.DUMMYFUNCTION("""COMPUTED_VALUE"""),245.04)</f>
        <v>245.04</v>
      </c>
      <c r="C1127" s="9">
        <f>IFERROR(__xludf.DUMMYFUNCTION("""COMPUTED_VALUE"""),249.74)</f>
        <v>249.74</v>
      </c>
      <c r="D1127" s="9">
        <f>IFERROR(__xludf.DUMMYFUNCTION("""COMPUTED_VALUE"""),243.03)</f>
        <v>243.03</v>
      </c>
      <c r="E1127" s="9">
        <f>IFERROR(__xludf.DUMMYFUNCTION("""COMPUTED_VALUE"""),248.09)</f>
        <v>248.09</v>
      </c>
      <c r="F1127" s="9">
        <f>IFERROR(__xludf.DUMMYFUNCTION("""COMPUTED_VALUE"""),1740951.0)</f>
        <v>1740951</v>
      </c>
      <c r="H1127" s="27">
        <f>IFERROR(__xludf.DUMMYFUNCTION("""COMPUTED_VALUE"""),40023.645833333336)</f>
        <v>40023.64583</v>
      </c>
      <c r="I1127" s="25">
        <f>IFERROR(__xludf.DUMMYFUNCTION("""COMPUTED_VALUE"""),240.0)</f>
        <v>240</v>
      </c>
      <c r="J1127" s="25">
        <f>IFERROR(__xludf.DUMMYFUNCTION("""COMPUTED_VALUE"""),252.35)</f>
        <v>252.35</v>
      </c>
      <c r="K1127" s="25">
        <f>IFERROR(__xludf.DUMMYFUNCTION("""COMPUTED_VALUE"""),237.5)</f>
        <v>237.5</v>
      </c>
      <c r="L1127" s="25">
        <f>IFERROR(__xludf.DUMMYFUNCTION("""COMPUTED_VALUE"""),249.9)</f>
        <v>249.9</v>
      </c>
      <c r="M1127" s="25">
        <f>IFERROR(__xludf.DUMMYFUNCTION("""COMPUTED_VALUE"""),5536075.0)</f>
        <v>5536075</v>
      </c>
    </row>
    <row r="1128">
      <c r="A1128" s="26">
        <f>IFERROR(__xludf.DUMMYFUNCTION("""COMPUTED_VALUE"""),40024.645833333336)</f>
        <v>40024.64583</v>
      </c>
      <c r="B1128" s="9">
        <f>IFERROR(__xludf.DUMMYFUNCTION("""COMPUTED_VALUE"""),248.28)</f>
        <v>248.28</v>
      </c>
      <c r="C1128" s="9">
        <f>IFERROR(__xludf.DUMMYFUNCTION("""COMPUTED_VALUE"""),252.75)</f>
        <v>252.75</v>
      </c>
      <c r="D1128" s="9">
        <f>IFERROR(__xludf.DUMMYFUNCTION("""COMPUTED_VALUE"""),248.28)</f>
        <v>248.28</v>
      </c>
      <c r="E1128" s="9">
        <f>IFERROR(__xludf.DUMMYFUNCTION("""COMPUTED_VALUE"""),251.74)</f>
        <v>251.74</v>
      </c>
      <c r="F1128" s="9">
        <f>IFERROR(__xludf.DUMMYFUNCTION("""COMPUTED_VALUE"""),2785187.0)</f>
        <v>2785187</v>
      </c>
      <c r="H1128" s="27">
        <f>IFERROR(__xludf.DUMMYFUNCTION("""COMPUTED_VALUE"""),40024.645833333336)</f>
        <v>40024.64583</v>
      </c>
      <c r="I1128" s="25">
        <f>IFERROR(__xludf.DUMMYFUNCTION("""COMPUTED_VALUE"""),252.63)</f>
        <v>252.63</v>
      </c>
      <c r="J1128" s="25">
        <f>IFERROR(__xludf.DUMMYFUNCTION("""COMPUTED_VALUE"""),272.5)</f>
        <v>272.5</v>
      </c>
      <c r="K1128" s="25">
        <f>IFERROR(__xludf.DUMMYFUNCTION("""COMPUTED_VALUE"""),245.13)</f>
        <v>245.13</v>
      </c>
      <c r="L1128" s="25">
        <f>IFERROR(__xludf.DUMMYFUNCTION("""COMPUTED_VALUE"""),266.55)</f>
        <v>266.55</v>
      </c>
      <c r="M1128" s="25">
        <f>IFERROR(__xludf.DUMMYFUNCTION("""COMPUTED_VALUE"""),7836241.0)</f>
        <v>7836241</v>
      </c>
    </row>
    <row r="1129">
      <c r="A1129" s="26">
        <f>IFERROR(__xludf.DUMMYFUNCTION("""COMPUTED_VALUE"""),40025.645833333336)</f>
        <v>40025.64583</v>
      </c>
      <c r="B1129" s="9">
        <f>IFERROR(__xludf.DUMMYFUNCTION("""COMPUTED_VALUE"""),253.99)</f>
        <v>253.99</v>
      </c>
      <c r="C1129" s="9">
        <f>IFERROR(__xludf.DUMMYFUNCTION("""COMPUTED_VALUE"""),259.88)</f>
        <v>259.88</v>
      </c>
      <c r="D1129" s="9">
        <f>IFERROR(__xludf.DUMMYFUNCTION("""COMPUTED_VALUE"""),253.34)</f>
        <v>253.34</v>
      </c>
      <c r="E1129" s="9">
        <f>IFERROR(__xludf.DUMMYFUNCTION("""COMPUTED_VALUE"""),258.04)</f>
        <v>258.04</v>
      </c>
      <c r="F1129" s="9">
        <f>IFERROR(__xludf.DUMMYFUNCTION("""COMPUTED_VALUE"""),2072870.0)</f>
        <v>2072870</v>
      </c>
      <c r="H1129" s="27">
        <f>IFERROR(__xludf.DUMMYFUNCTION("""COMPUTED_VALUE"""),40025.645833333336)</f>
        <v>40025.64583</v>
      </c>
      <c r="I1129" s="25">
        <f>IFERROR(__xludf.DUMMYFUNCTION("""COMPUTED_VALUE"""),269.5)</f>
        <v>269.5</v>
      </c>
      <c r="J1129" s="25">
        <f>IFERROR(__xludf.DUMMYFUNCTION("""COMPUTED_VALUE"""),270.0)</f>
        <v>270</v>
      </c>
      <c r="K1129" s="25">
        <f>IFERROR(__xludf.DUMMYFUNCTION("""COMPUTED_VALUE"""),260.7)</f>
        <v>260.7</v>
      </c>
      <c r="L1129" s="25">
        <f>IFERROR(__xludf.DUMMYFUNCTION("""COMPUTED_VALUE"""),262.98)</f>
        <v>262.98</v>
      </c>
      <c r="M1129" s="25">
        <f>IFERROR(__xludf.DUMMYFUNCTION("""COMPUTED_VALUE"""),2817483.0)</f>
        <v>2817483</v>
      </c>
    </row>
    <row r="1130">
      <c r="A1130" s="26">
        <f>IFERROR(__xludf.DUMMYFUNCTION("""COMPUTED_VALUE"""),40028.645833333336)</f>
        <v>40028.64583</v>
      </c>
      <c r="B1130" s="9">
        <f>IFERROR(__xludf.DUMMYFUNCTION("""COMPUTED_VALUE"""),258.0)</f>
        <v>258</v>
      </c>
      <c r="C1130" s="9">
        <f>IFERROR(__xludf.DUMMYFUNCTION("""COMPUTED_VALUE"""),261.68)</f>
        <v>261.68</v>
      </c>
      <c r="D1130" s="9">
        <f>IFERROR(__xludf.DUMMYFUNCTION("""COMPUTED_VALUE"""),256.02)</f>
        <v>256.02</v>
      </c>
      <c r="E1130" s="9">
        <f>IFERROR(__xludf.DUMMYFUNCTION("""COMPUTED_VALUE"""),259.56)</f>
        <v>259.56</v>
      </c>
      <c r="F1130" s="9">
        <f>IFERROR(__xludf.DUMMYFUNCTION("""COMPUTED_VALUE"""),1830103.0)</f>
        <v>1830103</v>
      </c>
      <c r="H1130" s="27">
        <f>IFERROR(__xludf.DUMMYFUNCTION("""COMPUTED_VALUE"""),40028.645833333336)</f>
        <v>40028.64583</v>
      </c>
      <c r="I1130" s="25">
        <f>IFERROR(__xludf.DUMMYFUNCTION("""COMPUTED_VALUE"""),265.0)</f>
        <v>265</v>
      </c>
      <c r="J1130" s="25">
        <f>IFERROR(__xludf.DUMMYFUNCTION("""COMPUTED_VALUE"""),267.42)</f>
        <v>267.42</v>
      </c>
      <c r="K1130" s="25">
        <f>IFERROR(__xludf.DUMMYFUNCTION("""COMPUTED_VALUE"""),260.55)</f>
        <v>260.55</v>
      </c>
      <c r="L1130" s="25">
        <f>IFERROR(__xludf.DUMMYFUNCTION("""COMPUTED_VALUE"""),265.83)</f>
        <v>265.83</v>
      </c>
      <c r="M1130" s="25">
        <f>IFERROR(__xludf.DUMMYFUNCTION("""COMPUTED_VALUE"""),1760274.0)</f>
        <v>1760274</v>
      </c>
    </row>
    <row r="1131">
      <c r="A1131" s="26">
        <f>IFERROR(__xludf.DUMMYFUNCTION("""COMPUTED_VALUE"""),40029.645833333336)</f>
        <v>40029.64583</v>
      </c>
      <c r="B1131" s="9">
        <f>IFERROR(__xludf.DUMMYFUNCTION("""COMPUTED_VALUE"""),260.0)</f>
        <v>260</v>
      </c>
      <c r="C1131" s="9">
        <f>IFERROR(__xludf.DUMMYFUNCTION("""COMPUTED_VALUE"""),260.93)</f>
        <v>260.93</v>
      </c>
      <c r="D1131" s="9">
        <f>IFERROR(__xludf.DUMMYFUNCTION("""COMPUTED_VALUE"""),252.63)</f>
        <v>252.63</v>
      </c>
      <c r="E1131" s="9">
        <f>IFERROR(__xludf.DUMMYFUNCTION("""COMPUTED_VALUE"""),255.47)</f>
        <v>255.47</v>
      </c>
      <c r="F1131" s="9">
        <f>IFERROR(__xludf.DUMMYFUNCTION("""COMPUTED_VALUE"""),1198107.0)</f>
        <v>1198107</v>
      </c>
      <c r="H1131" s="27">
        <f>IFERROR(__xludf.DUMMYFUNCTION("""COMPUTED_VALUE"""),40029.645833333336)</f>
        <v>40029.64583</v>
      </c>
      <c r="I1131" s="25">
        <f>IFERROR(__xludf.DUMMYFUNCTION("""COMPUTED_VALUE"""),260.25)</f>
        <v>260.25</v>
      </c>
      <c r="J1131" s="25">
        <f>IFERROR(__xludf.DUMMYFUNCTION("""COMPUTED_VALUE"""),270.6)</f>
        <v>270.6</v>
      </c>
      <c r="K1131" s="25">
        <f>IFERROR(__xludf.DUMMYFUNCTION("""COMPUTED_VALUE"""),260.25)</f>
        <v>260.25</v>
      </c>
      <c r="L1131" s="25">
        <f>IFERROR(__xludf.DUMMYFUNCTION("""COMPUTED_VALUE"""),265.08)</f>
        <v>265.08</v>
      </c>
      <c r="M1131" s="25">
        <f>IFERROR(__xludf.DUMMYFUNCTION("""COMPUTED_VALUE"""),2740646.0)</f>
        <v>2740646</v>
      </c>
    </row>
    <row r="1132">
      <c r="A1132" s="26">
        <f>IFERROR(__xludf.DUMMYFUNCTION("""COMPUTED_VALUE"""),40030.645833333336)</f>
        <v>40030.64583</v>
      </c>
      <c r="B1132" s="9">
        <f>IFERROR(__xludf.DUMMYFUNCTION("""COMPUTED_VALUE"""),257.46)</f>
        <v>257.46</v>
      </c>
      <c r="C1132" s="9">
        <f>IFERROR(__xludf.DUMMYFUNCTION("""COMPUTED_VALUE"""),263.38)</f>
        <v>263.38</v>
      </c>
      <c r="D1132" s="9">
        <f>IFERROR(__xludf.DUMMYFUNCTION("""COMPUTED_VALUE"""),257.46)</f>
        <v>257.46</v>
      </c>
      <c r="E1132" s="9">
        <f>IFERROR(__xludf.DUMMYFUNCTION("""COMPUTED_VALUE"""),262.33)</f>
        <v>262.33</v>
      </c>
      <c r="F1132" s="9">
        <f>IFERROR(__xludf.DUMMYFUNCTION("""COMPUTED_VALUE"""),1293391.0)</f>
        <v>1293391</v>
      </c>
      <c r="H1132" s="27">
        <f>IFERROR(__xludf.DUMMYFUNCTION("""COMPUTED_VALUE"""),40030.645833333336)</f>
        <v>40030.64583</v>
      </c>
      <c r="I1132" s="25">
        <f>IFERROR(__xludf.DUMMYFUNCTION("""COMPUTED_VALUE"""),264.75)</f>
        <v>264.75</v>
      </c>
      <c r="J1132" s="25">
        <f>IFERROR(__xludf.DUMMYFUNCTION("""COMPUTED_VALUE"""),268.48)</f>
        <v>268.48</v>
      </c>
      <c r="K1132" s="25">
        <f>IFERROR(__xludf.DUMMYFUNCTION("""COMPUTED_VALUE"""),253.78)</f>
        <v>253.78</v>
      </c>
      <c r="L1132" s="25">
        <f>IFERROR(__xludf.DUMMYFUNCTION("""COMPUTED_VALUE"""),264.5)</f>
        <v>264.5</v>
      </c>
      <c r="M1132" s="25">
        <f>IFERROR(__xludf.DUMMYFUNCTION("""COMPUTED_VALUE"""),3212005.0)</f>
        <v>3212005</v>
      </c>
    </row>
    <row r="1133">
      <c r="A1133" s="26">
        <f>IFERROR(__xludf.DUMMYFUNCTION("""COMPUTED_VALUE"""),40031.645833333336)</f>
        <v>40031.64583</v>
      </c>
      <c r="B1133" s="9">
        <f>IFERROR(__xludf.DUMMYFUNCTION("""COMPUTED_VALUE"""),262.5)</f>
        <v>262.5</v>
      </c>
      <c r="C1133" s="9">
        <f>IFERROR(__xludf.DUMMYFUNCTION("""COMPUTED_VALUE"""),262.5)</f>
        <v>262.5</v>
      </c>
      <c r="D1133" s="9">
        <f>IFERROR(__xludf.DUMMYFUNCTION("""COMPUTED_VALUE"""),255.01)</f>
        <v>255.01</v>
      </c>
      <c r="E1133" s="9">
        <f>IFERROR(__xludf.DUMMYFUNCTION("""COMPUTED_VALUE"""),257.3)</f>
        <v>257.3</v>
      </c>
      <c r="F1133" s="9">
        <f>IFERROR(__xludf.DUMMYFUNCTION("""COMPUTED_VALUE"""),854106.0)</f>
        <v>854106</v>
      </c>
      <c r="H1133" s="27">
        <f>IFERROR(__xludf.DUMMYFUNCTION("""COMPUTED_VALUE"""),40031.645833333336)</f>
        <v>40031.64583</v>
      </c>
      <c r="I1133" s="25">
        <f>IFERROR(__xludf.DUMMYFUNCTION("""COMPUTED_VALUE"""),264.5)</f>
        <v>264.5</v>
      </c>
      <c r="J1133" s="25">
        <f>IFERROR(__xludf.DUMMYFUNCTION("""COMPUTED_VALUE"""),267.2)</f>
        <v>267.2</v>
      </c>
      <c r="K1133" s="25">
        <f>IFERROR(__xludf.DUMMYFUNCTION("""COMPUTED_VALUE"""),257.1)</f>
        <v>257.1</v>
      </c>
      <c r="L1133" s="25">
        <f>IFERROR(__xludf.DUMMYFUNCTION("""COMPUTED_VALUE"""),258.7)</f>
        <v>258.7</v>
      </c>
      <c r="M1133" s="25">
        <f>IFERROR(__xludf.DUMMYFUNCTION("""COMPUTED_VALUE"""),2089374.0)</f>
        <v>2089374</v>
      </c>
    </row>
    <row r="1134">
      <c r="A1134" s="26">
        <f>IFERROR(__xludf.DUMMYFUNCTION("""COMPUTED_VALUE"""),40032.645833333336)</f>
        <v>40032.64583</v>
      </c>
      <c r="B1134" s="9">
        <f>IFERROR(__xludf.DUMMYFUNCTION("""COMPUTED_VALUE"""),257.25)</f>
        <v>257.25</v>
      </c>
      <c r="C1134" s="9">
        <f>IFERROR(__xludf.DUMMYFUNCTION("""COMPUTED_VALUE"""),257.25)</f>
        <v>257.25</v>
      </c>
      <c r="D1134" s="9">
        <f>IFERROR(__xludf.DUMMYFUNCTION("""COMPUTED_VALUE"""),253.13)</f>
        <v>253.13</v>
      </c>
      <c r="E1134" s="9">
        <f>IFERROR(__xludf.DUMMYFUNCTION("""COMPUTED_VALUE"""),254.96)</f>
        <v>254.96</v>
      </c>
      <c r="F1134" s="9">
        <f>IFERROR(__xludf.DUMMYFUNCTION("""COMPUTED_VALUE"""),1231325.0)</f>
        <v>1231325</v>
      </c>
      <c r="H1134" s="27">
        <f>IFERROR(__xludf.DUMMYFUNCTION("""COMPUTED_VALUE"""),40032.645833333336)</f>
        <v>40032.64583</v>
      </c>
      <c r="I1134" s="25">
        <f>IFERROR(__xludf.DUMMYFUNCTION("""COMPUTED_VALUE"""),258.3)</f>
        <v>258.3</v>
      </c>
      <c r="J1134" s="25">
        <f>IFERROR(__xludf.DUMMYFUNCTION("""COMPUTED_VALUE"""),260.98)</f>
        <v>260.98</v>
      </c>
      <c r="K1134" s="25">
        <f>IFERROR(__xludf.DUMMYFUNCTION("""COMPUTED_VALUE"""),253.05)</f>
        <v>253.05</v>
      </c>
      <c r="L1134" s="25">
        <f>IFERROR(__xludf.DUMMYFUNCTION("""COMPUTED_VALUE"""),254.55)</f>
        <v>254.55</v>
      </c>
      <c r="M1134" s="25">
        <f>IFERROR(__xludf.DUMMYFUNCTION("""COMPUTED_VALUE"""),2276333.0)</f>
        <v>2276333</v>
      </c>
    </row>
    <row r="1135">
      <c r="A1135" s="26">
        <f>IFERROR(__xludf.DUMMYFUNCTION("""COMPUTED_VALUE"""),40035.645833333336)</f>
        <v>40035.64583</v>
      </c>
      <c r="B1135" s="9">
        <f>IFERROR(__xludf.DUMMYFUNCTION("""COMPUTED_VALUE"""),256.25)</f>
        <v>256.25</v>
      </c>
      <c r="C1135" s="9">
        <f>IFERROR(__xludf.DUMMYFUNCTION("""COMPUTED_VALUE"""),264.38)</f>
        <v>264.38</v>
      </c>
      <c r="D1135" s="9">
        <f>IFERROR(__xludf.DUMMYFUNCTION("""COMPUTED_VALUE"""),256.25)</f>
        <v>256.25</v>
      </c>
      <c r="E1135" s="9">
        <f>IFERROR(__xludf.DUMMYFUNCTION("""COMPUTED_VALUE"""),260.96)</f>
        <v>260.96</v>
      </c>
      <c r="F1135" s="9">
        <f>IFERROR(__xludf.DUMMYFUNCTION("""COMPUTED_VALUE"""),1551510.0)</f>
        <v>1551510</v>
      </c>
      <c r="H1135" s="27">
        <f>IFERROR(__xludf.DUMMYFUNCTION("""COMPUTED_VALUE"""),40035.645833333336)</f>
        <v>40035.64583</v>
      </c>
      <c r="I1135" s="25">
        <f>IFERROR(__xludf.DUMMYFUNCTION("""COMPUTED_VALUE"""),257.58)</f>
        <v>257.58</v>
      </c>
      <c r="J1135" s="25">
        <f>IFERROR(__xludf.DUMMYFUNCTION("""COMPUTED_VALUE"""),275.88)</f>
        <v>275.88</v>
      </c>
      <c r="K1135" s="25">
        <f>IFERROR(__xludf.DUMMYFUNCTION("""COMPUTED_VALUE"""),257.0)</f>
        <v>257</v>
      </c>
      <c r="L1135" s="25">
        <f>IFERROR(__xludf.DUMMYFUNCTION("""COMPUTED_VALUE"""),269.52)</f>
        <v>269.52</v>
      </c>
      <c r="M1135" s="25">
        <f>IFERROR(__xludf.DUMMYFUNCTION("""COMPUTED_VALUE"""),5311988.0)</f>
        <v>5311988</v>
      </c>
    </row>
    <row r="1136">
      <c r="A1136" s="26">
        <f>IFERROR(__xludf.DUMMYFUNCTION("""COMPUTED_VALUE"""),40036.645833333336)</f>
        <v>40036.64583</v>
      </c>
      <c r="B1136" s="9">
        <f>IFERROR(__xludf.DUMMYFUNCTION("""COMPUTED_VALUE"""),259.88)</f>
        <v>259.88</v>
      </c>
      <c r="C1136" s="9">
        <f>IFERROR(__xludf.DUMMYFUNCTION("""COMPUTED_VALUE"""),263.75)</f>
        <v>263.75</v>
      </c>
      <c r="D1136" s="9">
        <f>IFERROR(__xludf.DUMMYFUNCTION("""COMPUTED_VALUE"""),257.43)</f>
        <v>257.43</v>
      </c>
      <c r="E1136" s="9">
        <f>IFERROR(__xludf.DUMMYFUNCTION("""COMPUTED_VALUE"""),260.59)</f>
        <v>260.59</v>
      </c>
      <c r="F1136" s="9">
        <f>IFERROR(__xludf.DUMMYFUNCTION("""COMPUTED_VALUE"""),1150907.0)</f>
        <v>1150907</v>
      </c>
      <c r="H1136" s="27">
        <f>IFERROR(__xludf.DUMMYFUNCTION("""COMPUTED_VALUE"""),40036.645833333336)</f>
        <v>40036.64583</v>
      </c>
      <c r="I1136" s="25">
        <f>IFERROR(__xludf.DUMMYFUNCTION("""COMPUTED_VALUE"""),268.75)</f>
        <v>268.75</v>
      </c>
      <c r="J1136" s="25">
        <f>IFERROR(__xludf.DUMMYFUNCTION("""COMPUTED_VALUE"""),279.0)</f>
        <v>279</v>
      </c>
      <c r="K1136" s="25">
        <f>IFERROR(__xludf.DUMMYFUNCTION("""COMPUTED_VALUE"""),267.05)</f>
        <v>267.05</v>
      </c>
      <c r="L1136" s="25">
        <f>IFERROR(__xludf.DUMMYFUNCTION("""COMPUTED_VALUE"""),270.95)</f>
        <v>270.95</v>
      </c>
      <c r="M1136" s="25">
        <f>IFERROR(__xludf.DUMMYFUNCTION("""COMPUTED_VALUE"""),4421740.0)</f>
        <v>4421740</v>
      </c>
    </row>
    <row r="1137">
      <c r="A1137" s="26">
        <f>IFERROR(__xludf.DUMMYFUNCTION("""COMPUTED_VALUE"""),40037.645833333336)</f>
        <v>40037.64583</v>
      </c>
      <c r="B1137" s="9">
        <f>IFERROR(__xludf.DUMMYFUNCTION("""COMPUTED_VALUE"""),258.5)</f>
        <v>258.5</v>
      </c>
      <c r="C1137" s="9">
        <f>IFERROR(__xludf.DUMMYFUNCTION("""COMPUTED_VALUE"""),258.75)</f>
        <v>258.75</v>
      </c>
      <c r="D1137" s="9">
        <f>IFERROR(__xludf.DUMMYFUNCTION("""COMPUTED_VALUE"""),249.5)</f>
        <v>249.5</v>
      </c>
      <c r="E1137" s="9">
        <f>IFERROR(__xludf.DUMMYFUNCTION("""COMPUTED_VALUE"""),255.35)</f>
        <v>255.35</v>
      </c>
      <c r="F1137" s="9">
        <f>IFERROR(__xludf.DUMMYFUNCTION("""COMPUTED_VALUE"""),914275.0)</f>
        <v>914275</v>
      </c>
      <c r="H1137" s="27">
        <f>IFERROR(__xludf.DUMMYFUNCTION("""COMPUTED_VALUE"""),40037.645833333336)</f>
        <v>40037.64583</v>
      </c>
      <c r="I1137" s="25">
        <f>IFERROR(__xludf.DUMMYFUNCTION("""COMPUTED_VALUE"""),267.5)</f>
        <v>267.5</v>
      </c>
      <c r="J1137" s="25">
        <f>IFERROR(__xludf.DUMMYFUNCTION("""COMPUTED_VALUE"""),268.0)</f>
        <v>268</v>
      </c>
      <c r="K1137" s="25">
        <f>IFERROR(__xludf.DUMMYFUNCTION("""COMPUTED_VALUE"""),255.5)</f>
        <v>255.5</v>
      </c>
      <c r="L1137" s="25">
        <f>IFERROR(__xludf.DUMMYFUNCTION("""COMPUTED_VALUE"""),259.83)</f>
        <v>259.83</v>
      </c>
      <c r="M1137" s="25">
        <f>IFERROR(__xludf.DUMMYFUNCTION("""COMPUTED_VALUE"""),5663268.0)</f>
        <v>5663268</v>
      </c>
    </row>
    <row r="1138">
      <c r="A1138" s="26">
        <f>IFERROR(__xludf.DUMMYFUNCTION("""COMPUTED_VALUE"""),40038.645833333336)</f>
        <v>40038.64583</v>
      </c>
      <c r="B1138" s="9">
        <f>IFERROR(__xludf.DUMMYFUNCTION("""COMPUTED_VALUE"""),256.39)</f>
        <v>256.39</v>
      </c>
      <c r="C1138" s="9">
        <f>IFERROR(__xludf.DUMMYFUNCTION("""COMPUTED_VALUE"""),260.46)</f>
        <v>260.46</v>
      </c>
      <c r="D1138" s="9">
        <f>IFERROR(__xludf.DUMMYFUNCTION("""COMPUTED_VALUE"""),254.58)</f>
        <v>254.58</v>
      </c>
      <c r="E1138" s="9">
        <f>IFERROR(__xludf.DUMMYFUNCTION("""COMPUTED_VALUE"""),257.98)</f>
        <v>257.98</v>
      </c>
      <c r="F1138" s="9">
        <f>IFERROR(__xludf.DUMMYFUNCTION("""COMPUTED_VALUE"""),1432465.0)</f>
        <v>1432465</v>
      </c>
      <c r="H1138" s="27">
        <f>IFERROR(__xludf.DUMMYFUNCTION("""COMPUTED_VALUE"""),40038.645833333336)</f>
        <v>40038.64583</v>
      </c>
      <c r="I1138" s="25">
        <f>IFERROR(__xludf.DUMMYFUNCTION("""COMPUTED_VALUE"""),267.2)</f>
        <v>267.2</v>
      </c>
      <c r="J1138" s="25">
        <f>IFERROR(__xludf.DUMMYFUNCTION("""COMPUTED_VALUE"""),267.2)</f>
        <v>267.2</v>
      </c>
      <c r="K1138" s="25">
        <f>IFERROR(__xludf.DUMMYFUNCTION("""COMPUTED_VALUE"""),259.8)</f>
        <v>259.8</v>
      </c>
      <c r="L1138" s="25">
        <f>IFERROR(__xludf.DUMMYFUNCTION("""COMPUTED_VALUE"""),263.38)</f>
        <v>263.38</v>
      </c>
      <c r="M1138" s="25">
        <f>IFERROR(__xludf.DUMMYFUNCTION("""COMPUTED_VALUE"""),5016964.0)</f>
        <v>5016964</v>
      </c>
    </row>
    <row r="1139">
      <c r="A1139" s="26">
        <f>IFERROR(__xludf.DUMMYFUNCTION("""COMPUTED_VALUE"""),40039.645833333336)</f>
        <v>40039.64583</v>
      </c>
      <c r="B1139" s="9">
        <f>IFERROR(__xludf.DUMMYFUNCTION("""COMPUTED_VALUE"""),258.13)</f>
        <v>258.13</v>
      </c>
      <c r="C1139" s="9">
        <f>IFERROR(__xludf.DUMMYFUNCTION("""COMPUTED_VALUE"""),258.13)</f>
        <v>258.13</v>
      </c>
      <c r="D1139" s="9">
        <f>IFERROR(__xludf.DUMMYFUNCTION("""COMPUTED_VALUE"""),253.25)</f>
        <v>253.25</v>
      </c>
      <c r="E1139" s="9">
        <f>IFERROR(__xludf.DUMMYFUNCTION("""COMPUTED_VALUE"""),255.29)</f>
        <v>255.29</v>
      </c>
      <c r="F1139" s="9">
        <f>IFERROR(__xludf.DUMMYFUNCTION("""COMPUTED_VALUE"""),613261.0)</f>
        <v>613261</v>
      </c>
      <c r="H1139" s="27">
        <f>IFERROR(__xludf.DUMMYFUNCTION("""COMPUTED_VALUE"""),40039.645833333336)</f>
        <v>40039.64583</v>
      </c>
      <c r="I1139" s="25">
        <f>IFERROR(__xludf.DUMMYFUNCTION("""COMPUTED_VALUE"""),265.0)</f>
        <v>265</v>
      </c>
      <c r="J1139" s="25">
        <f>IFERROR(__xludf.DUMMYFUNCTION("""COMPUTED_VALUE"""),265.0)</f>
        <v>265</v>
      </c>
      <c r="K1139" s="25">
        <f>IFERROR(__xludf.DUMMYFUNCTION("""COMPUTED_VALUE"""),259.0)</f>
        <v>259</v>
      </c>
      <c r="L1139" s="25">
        <f>IFERROR(__xludf.DUMMYFUNCTION("""COMPUTED_VALUE"""),260.75)</f>
        <v>260.75</v>
      </c>
      <c r="M1139" s="25">
        <f>IFERROR(__xludf.DUMMYFUNCTION("""COMPUTED_VALUE"""),2575907.0)</f>
        <v>2575907</v>
      </c>
    </row>
    <row r="1140">
      <c r="A1140" s="26">
        <f>IFERROR(__xludf.DUMMYFUNCTION("""COMPUTED_VALUE"""),40042.645833333336)</f>
        <v>40042.64583</v>
      </c>
      <c r="B1140" s="9">
        <f>IFERROR(__xludf.DUMMYFUNCTION("""COMPUTED_VALUE"""),253.13)</f>
        <v>253.13</v>
      </c>
      <c r="C1140" s="9">
        <f>IFERROR(__xludf.DUMMYFUNCTION("""COMPUTED_VALUE"""),253.13)</f>
        <v>253.13</v>
      </c>
      <c r="D1140" s="9">
        <f>IFERROR(__xludf.DUMMYFUNCTION("""COMPUTED_VALUE"""),246.41)</f>
        <v>246.41</v>
      </c>
      <c r="E1140" s="9">
        <f>IFERROR(__xludf.DUMMYFUNCTION("""COMPUTED_VALUE"""),247.81)</f>
        <v>247.81</v>
      </c>
      <c r="F1140" s="9">
        <f>IFERROR(__xludf.DUMMYFUNCTION("""COMPUTED_VALUE"""),1349613.0)</f>
        <v>1349613</v>
      </c>
      <c r="H1140" s="27">
        <f>IFERROR(__xludf.DUMMYFUNCTION("""COMPUTED_VALUE"""),40042.645833333336)</f>
        <v>40042.64583</v>
      </c>
      <c r="I1140" s="25">
        <f>IFERROR(__xludf.DUMMYFUNCTION("""COMPUTED_VALUE"""),258.4)</f>
        <v>258.4</v>
      </c>
      <c r="J1140" s="25">
        <f>IFERROR(__xludf.DUMMYFUNCTION("""COMPUTED_VALUE"""),258.75)</f>
        <v>258.75</v>
      </c>
      <c r="K1140" s="25">
        <f>IFERROR(__xludf.DUMMYFUNCTION("""COMPUTED_VALUE"""),252.63)</f>
        <v>252.63</v>
      </c>
      <c r="L1140" s="25">
        <f>IFERROR(__xludf.DUMMYFUNCTION("""COMPUTED_VALUE"""),255.08)</f>
        <v>255.08</v>
      </c>
      <c r="M1140" s="25">
        <f>IFERROR(__xludf.DUMMYFUNCTION("""COMPUTED_VALUE"""),2981410.0)</f>
        <v>2981410</v>
      </c>
    </row>
    <row r="1141">
      <c r="A1141" s="26">
        <f>IFERROR(__xludf.DUMMYFUNCTION("""COMPUTED_VALUE"""),40043.645833333336)</f>
        <v>40043.64583</v>
      </c>
      <c r="B1141" s="9">
        <f>IFERROR(__xludf.DUMMYFUNCTION("""COMPUTED_VALUE"""),246.25)</f>
        <v>246.25</v>
      </c>
      <c r="C1141" s="9">
        <f>IFERROR(__xludf.DUMMYFUNCTION("""COMPUTED_VALUE"""),249.63)</f>
        <v>249.63</v>
      </c>
      <c r="D1141" s="9">
        <f>IFERROR(__xludf.DUMMYFUNCTION("""COMPUTED_VALUE"""),244.38)</f>
        <v>244.38</v>
      </c>
      <c r="E1141" s="9">
        <f>IFERROR(__xludf.DUMMYFUNCTION("""COMPUTED_VALUE"""),246.67)</f>
        <v>246.67</v>
      </c>
      <c r="F1141" s="9">
        <f>IFERROR(__xludf.DUMMYFUNCTION("""COMPUTED_VALUE"""),1359883.0)</f>
        <v>1359883</v>
      </c>
      <c r="H1141" s="27">
        <f>IFERROR(__xludf.DUMMYFUNCTION("""COMPUTED_VALUE"""),40043.645833333336)</f>
        <v>40043.64583</v>
      </c>
      <c r="I1141" s="25">
        <f>IFERROR(__xludf.DUMMYFUNCTION("""COMPUTED_VALUE"""),252.5)</f>
        <v>252.5</v>
      </c>
      <c r="J1141" s="25">
        <f>IFERROR(__xludf.DUMMYFUNCTION("""COMPUTED_VALUE"""),257.42)</f>
        <v>257.42</v>
      </c>
      <c r="K1141" s="25">
        <f>IFERROR(__xludf.DUMMYFUNCTION("""COMPUTED_VALUE"""),249.75)</f>
        <v>249.75</v>
      </c>
      <c r="L1141" s="25">
        <f>IFERROR(__xludf.DUMMYFUNCTION("""COMPUTED_VALUE"""),254.43)</f>
        <v>254.43</v>
      </c>
      <c r="M1141" s="25">
        <f>IFERROR(__xludf.DUMMYFUNCTION("""COMPUTED_VALUE"""),4074922.0)</f>
        <v>4074922</v>
      </c>
    </row>
    <row r="1142">
      <c r="A1142" s="26">
        <f>IFERROR(__xludf.DUMMYFUNCTION("""COMPUTED_VALUE"""),40044.645833333336)</f>
        <v>40044.64583</v>
      </c>
      <c r="B1142" s="9">
        <f>IFERROR(__xludf.DUMMYFUNCTION("""COMPUTED_VALUE"""),248.13)</f>
        <v>248.13</v>
      </c>
      <c r="C1142" s="9">
        <f>IFERROR(__xludf.DUMMYFUNCTION("""COMPUTED_VALUE"""),248.13)</f>
        <v>248.13</v>
      </c>
      <c r="D1142" s="9">
        <f>IFERROR(__xludf.DUMMYFUNCTION("""COMPUTED_VALUE"""),241.88)</f>
        <v>241.88</v>
      </c>
      <c r="E1142" s="9">
        <f>IFERROR(__xludf.DUMMYFUNCTION("""COMPUTED_VALUE"""),243.94)</f>
        <v>243.94</v>
      </c>
      <c r="F1142" s="9">
        <f>IFERROR(__xludf.DUMMYFUNCTION("""COMPUTED_VALUE"""),951149.0)</f>
        <v>951149</v>
      </c>
      <c r="H1142" s="27">
        <f>IFERROR(__xludf.DUMMYFUNCTION("""COMPUTED_VALUE"""),40044.645833333336)</f>
        <v>40044.64583</v>
      </c>
      <c r="I1142" s="25">
        <f>IFERROR(__xludf.DUMMYFUNCTION("""COMPUTED_VALUE"""),256.4)</f>
        <v>256.4</v>
      </c>
      <c r="J1142" s="25">
        <f>IFERROR(__xludf.DUMMYFUNCTION("""COMPUTED_VALUE"""),257.35)</f>
        <v>257.35</v>
      </c>
      <c r="K1142" s="25">
        <f>IFERROR(__xludf.DUMMYFUNCTION("""COMPUTED_VALUE"""),247.0)</f>
        <v>247</v>
      </c>
      <c r="L1142" s="25">
        <f>IFERROR(__xludf.DUMMYFUNCTION("""COMPUTED_VALUE"""),249.03)</f>
        <v>249.03</v>
      </c>
      <c r="M1142" s="25">
        <f>IFERROR(__xludf.DUMMYFUNCTION("""COMPUTED_VALUE"""),2801685.0)</f>
        <v>2801685</v>
      </c>
    </row>
    <row r="1143">
      <c r="A1143" s="26">
        <f>IFERROR(__xludf.DUMMYFUNCTION("""COMPUTED_VALUE"""),40045.645833333336)</f>
        <v>40045.64583</v>
      </c>
      <c r="B1143" s="9">
        <f>IFERROR(__xludf.DUMMYFUNCTION("""COMPUTED_VALUE"""),246.38)</f>
        <v>246.38</v>
      </c>
      <c r="C1143" s="9">
        <f>IFERROR(__xludf.DUMMYFUNCTION("""COMPUTED_VALUE"""),249.58)</f>
        <v>249.58</v>
      </c>
      <c r="D1143" s="9">
        <f>IFERROR(__xludf.DUMMYFUNCTION("""COMPUTED_VALUE"""),245.0)</f>
        <v>245</v>
      </c>
      <c r="E1143" s="9">
        <f>IFERROR(__xludf.DUMMYFUNCTION("""COMPUTED_VALUE"""),248.81)</f>
        <v>248.81</v>
      </c>
      <c r="F1143" s="9">
        <f>IFERROR(__xludf.DUMMYFUNCTION("""COMPUTED_VALUE"""),587072.0)</f>
        <v>587072</v>
      </c>
      <c r="H1143" s="27">
        <f>IFERROR(__xludf.DUMMYFUNCTION("""COMPUTED_VALUE"""),40045.645833333336)</f>
        <v>40045.64583</v>
      </c>
      <c r="I1143" s="25">
        <f>IFERROR(__xludf.DUMMYFUNCTION("""COMPUTED_VALUE"""),252.45)</f>
        <v>252.45</v>
      </c>
      <c r="J1143" s="25">
        <f>IFERROR(__xludf.DUMMYFUNCTION("""COMPUTED_VALUE"""),254.2)</f>
        <v>254.2</v>
      </c>
      <c r="K1143" s="25">
        <f>IFERROR(__xludf.DUMMYFUNCTION("""COMPUTED_VALUE"""),249.05)</f>
        <v>249.05</v>
      </c>
      <c r="L1143" s="25">
        <f>IFERROR(__xludf.DUMMYFUNCTION("""COMPUTED_VALUE"""),250.5)</f>
        <v>250.5</v>
      </c>
      <c r="M1143" s="25">
        <f>IFERROR(__xludf.DUMMYFUNCTION("""COMPUTED_VALUE"""),1830480.0)</f>
        <v>1830480</v>
      </c>
    </row>
    <row r="1144">
      <c r="A1144" s="26">
        <f>IFERROR(__xludf.DUMMYFUNCTION("""COMPUTED_VALUE"""),40046.645833333336)</f>
        <v>40046.64583</v>
      </c>
      <c r="B1144" s="9">
        <f>IFERROR(__xludf.DUMMYFUNCTION("""COMPUTED_VALUE"""),249.38)</f>
        <v>249.38</v>
      </c>
      <c r="C1144" s="9">
        <f>IFERROR(__xludf.DUMMYFUNCTION("""COMPUTED_VALUE"""),255.63)</f>
        <v>255.63</v>
      </c>
      <c r="D1144" s="9">
        <f>IFERROR(__xludf.DUMMYFUNCTION("""COMPUTED_VALUE"""),246.25)</f>
        <v>246.25</v>
      </c>
      <c r="E1144" s="9">
        <f>IFERROR(__xludf.DUMMYFUNCTION("""COMPUTED_VALUE"""),254.14)</f>
        <v>254.14</v>
      </c>
      <c r="F1144" s="9">
        <f>IFERROR(__xludf.DUMMYFUNCTION("""COMPUTED_VALUE"""),1229653.0)</f>
        <v>1229653</v>
      </c>
      <c r="H1144" s="27">
        <f>IFERROR(__xludf.DUMMYFUNCTION("""COMPUTED_VALUE"""),40046.645833333336)</f>
        <v>40046.64583</v>
      </c>
      <c r="I1144" s="25">
        <f>IFERROR(__xludf.DUMMYFUNCTION("""COMPUTED_VALUE"""),251.0)</f>
        <v>251</v>
      </c>
      <c r="J1144" s="25">
        <f>IFERROR(__xludf.DUMMYFUNCTION("""COMPUTED_VALUE"""),256.25)</f>
        <v>256.25</v>
      </c>
      <c r="K1144" s="25">
        <f>IFERROR(__xludf.DUMMYFUNCTION("""COMPUTED_VALUE"""),247.5)</f>
        <v>247.5</v>
      </c>
      <c r="L1144" s="25">
        <f>IFERROR(__xludf.DUMMYFUNCTION("""COMPUTED_VALUE"""),254.63)</f>
        <v>254.63</v>
      </c>
      <c r="M1144" s="25">
        <f>IFERROR(__xludf.DUMMYFUNCTION("""COMPUTED_VALUE"""),3464511.0)</f>
        <v>3464511</v>
      </c>
    </row>
    <row r="1145">
      <c r="A1145" s="26">
        <f>IFERROR(__xludf.DUMMYFUNCTION("""COMPUTED_VALUE"""),40049.645833333336)</f>
        <v>40049.64583</v>
      </c>
      <c r="B1145" s="9">
        <f>IFERROR(__xludf.DUMMYFUNCTION("""COMPUTED_VALUE"""),257.49)</f>
        <v>257.49</v>
      </c>
      <c r="C1145" s="9">
        <f>IFERROR(__xludf.DUMMYFUNCTION("""COMPUTED_VALUE"""),260.55)</f>
        <v>260.55</v>
      </c>
      <c r="D1145" s="9">
        <f>IFERROR(__xludf.DUMMYFUNCTION("""COMPUTED_VALUE"""),256.33)</f>
        <v>256.33</v>
      </c>
      <c r="E1145" s="9">
        <f>IFERROR(__xludf.DUMMYFUNCTION("""COMPUTED_VALUE"""),259.49)</f>
        <v>259.49</v>
      </c>
      <c r="F1145" s="9">
        <f>IFERROR(__xludf.DUMMYFUNCTION("""COMPUTED_VALUE"""),739876.0)</f>
        <v>739876</v>
      </c>
      <c r="H1145" s="27">
        <f>IFERROR(__xludf.DUMMYFUNCTION("""COMPUTED_VALUE"""),40049.645833333336)</f>
        <v>40049.64583</v>
      </c>
      <c r="I1145" s="25">
        <f>IFERROR(__xludf.DUMMYFUNCTION("""COMPUTED_VALUE"""),257.98)</f>
        <v>257.98</v>
      </c>
      <c r="J1145" s="25">
        <f>IFERROR(__xludf.DUMMYFUNCTION("""COMPUTED_VALUE"""),262.92)</f>
        <v>262.92</v>
      </c>
      <c r="K1145" s="25">
        <f>IFERROR(__xludf.DUMMYFUNCTION("""COMPUTED_VALUE"""),256.77)</f>
        <v>256.77</v>
      </c>
      <c r="L1145" s="25">
        <f>IFERROR(__xludf.DUMMYFUNCTION("""COMPUTED_VALUE"""),260.77)</f>
        <v>260.77</v>
      </c>
      <c r="M1145" s="25">
        <f>IFERROR(__xludf.DUMMYFUNCTION("""COMPUTED_VALUE"""),2103602.0)</f>
        <v>2103602</v>
      </c>
    </row>
    <row r="1146">
      <c r="A1146" s="26">
        <f>IFERROR(__xludf.DUMMYFUNCTION("""COMPUTED_VALUE"""),40050.645833333336)</f>
        <v>40050.64583</v>
      </c>
      <c r="B1146" s="9">
        <f>IFERROR(__xludf.DUMMYFUNCTION("""COMPUTED_VALUE"""),256.41)</f>
        <v>256.41</v>
      </c>
      <c r="C1146" s="9">
        <f>IFERROR(__xludf.DUMMYFUNCTION("""COMPUTED_VALUE"""),263.12)</f>
        <v>263.12</v>
      </c>
      <c r="D1146" s="9">
        <f>IFERROR(__xludf.DUMMYFUNCTION("""COMPUTED_VALUE"""),254.38)</f>
        <v>254.38</v>
      </c>
      <c r="E1146" s="9">
        <f>IFERROR(__xludf.DUMMYFUNCTION("""COMPUTED_VALUE"""),261.88)</f>
        <v>261.88</v>
      </c>
      <c r="F1146" s="9">
        <f>IFERROR(__xludf.DUMMYFUNCTION("""COMPUTED_VALUE"""),1018529.0)</f>
        <v>1018529</v>
      </c>
      <c r="H1146" s="27">
        <f>IFERROR(__xludf.DUMMYFUNCTION("""COMPUTED_VALUE"""),40050.645833333336)</f>
        <v>40050.64583</v>
      </c>
      <c r="I1146" s="25">
        <f>IFERROR(__xludf.DUMMYFUNCTION("""COMPUTED_VALUE"""),259.0)</f>
        <v>259</v>
      </c>
      <c r="J1146" s="25">
        <f>IFERROR(__xludf.DUMMYFUNCTION("""COMPUTED_VALUE"""),265.5)</f>
        <v>265.5</v>
      </c>
      <c r="K1146" s="25">
        <f>IFERROR(__xludf.DUMMYFUNCTION("""COMPUTED_VALUE"""),257.05)</f>
        <v>257.05</v>
      </c>
      <c r="L1146" s="25">
        <f>IFERROR(__xludf.DUMMYFUNCTION("""COMPUTED_VALUE"""),264.15)</f>
        <v>264.15</v>
      </c>
      <c r="M1146" s="25">
        <f>IFERROR(__xludf.DUMMYFUNCTION("""COMPUTED_VALUE"""),2764649.0)</f>
        <v>2764649</v>
      </c>
    </row>
    <row r="1147">
      <c r="A1147" s="26">
        <f>IFERROR(__xludf.DUMMYFUNCTION("""COMPUTED_VALUE"""),40051.645833333336)</f>
        <v>40051.64583</v>
      </c>
      <c r="B1147" s="9">
        <f>IFERROR(__xludf.DUMMYFUNCTION("""COMPUTED_VALUE"""),263.13)</f>
        <v>263.13</v>
      </c>
      <c r="C1147" s="9">
        <f>IFERROR(__xludf.DUMMYFUNCTION("""COMPUTED_VALUE"""),273.5)</f>
        <v>273.5</v>
      </c>
      <c r="D1147" s="9">
        <f>IFERROR(__xludf.DUMMYFUNCTION("""COMPUTED_VALUE"""),263.13)</f>
        <v>263.13</v>
      </c>
      <c r="E1147" s="9">
        <f>IFERROR(__xludf.DUMMYFUNCTION("""COMPUTED_VALUE"""),272.46)</f>
        <v>272.46</v>
      </c>
      <c r="F1147" s="9">
        <f>IFERROR(__xludf.DUMMYFUNCTION("""COMPUTED_VALUE"""),1787897.0)</f>
        <v>1787897</v>
      </c>
      <c r="H1147" s="27">
        <f>IFERROR(__xludf.DUMMYFUNCTION("""COMPUTED_VALUE"""),40051.645833333336)</f>
        <v>40051.64583</v>
      </c>
      <c r="I1147" s="25">
        <f>IFERROR(__xludf.DUMMYFUNCTION("""COMPUTED_VALUE"""),263.35)</f>
        <v>263.35</v>
      </c>
      <c r="J1147" s="25">
        <f>IFERROR(__xludf.DUMMYFUNCTION("""COMPUTED_VALUE"""),277.5)</f>
        <v>277.5</v>
      </c>
      <c r="K1147" s="25">
        <f>IFERROR(__xludf.DUMMYFUNCTION("""COMPUTED_VALUE"""),263.27)</f>
        <v>263.27</v>
      </c>
      <c r="L1147" s="25">
        <f>IFERROR(__xludf.DUMMYFUNCTION("""COMPUTED_VALUE"""),274.25)</f>
        <v>274.25</v>
      </c>
      <c r="M1147" s="25">
        <f>IFERROR(__xludf.DUMMYFUNCTION("""COMPUTED_VALUE"""),4426312.0)</f>
        <v>4426312</v>
      </c>
    </row>
    <row r="1148">
      <c r="A1148" s="26">
        <f>IFERROR(__xludf.DUMMYFUNCTION("""COMPUTED_VALUE"""),40052.645833333336)</f>
        <v>40052.64583</v>
      </c>
      <c r="B1148" s="9">
        <f>IFERROR(__xludf.DUMMYFUNCTION("""COMPUTED_VALUE"""),272.46)</f>
        <v>272.46</v>
      </c>
      <c r="C1148" s="9">
        <f>IFERROR(__xludf.DUMMYFUNCTION("""COMPUTED_VALUE"""),275.5)</f>
        <v>275.5</v>
      </c>
      <c r="D1148" s="9">
        <f>IFERROR(__xludf.DUMMYFUNCTION("""COMPUTED_VALUE"""),270.08)</f>
        <v>270.08</v>
      </c>
      <c r="E1148" s="9">
        <f>IFERROR(__xludf.DUMMYFUNCTION("""COMPUTED_VALUE"""),273.98)</f>
        <v>273.98</v>
      </c>
      <c r="F1148" s="9">
        <f>IFERROR(__xludf.DUMMYFUNCTION("""COMPUTED_VALUE"""),1640473.0)</f>
        <v>1640473</v>
      </c>
      <c r="H1148" s="27">
        <f>IFERROR(__xludf.DUMMYFUNCTION("""COMPUTED_VALUE"""),40052.645833333336)</f>
        <v>40052.64583</v>
      </c>
      <c r="I1148" s="25">
        <f>IFERROR(__xludf.DUMMYFUNCTION("""COMPUTED_VALUE"""),275.0)</f>
        <v>275</v>
      </c>
      <c r="J1148" s="25">
        <f>IFERROR(__xludf.DUMMYFUNCTION("""COMPUTED_VALUE"""),283.0)</f>
        <v>283</v>
      </c>
      <c r="K1148" s="25">
        <f>IFERROR(__xludf.DUMMYFUNCTION("""COMPUTED_VALUE"""),270.5)</f>
        <v>270.5</v>
      </c>
      <c r="L1148" s="25">
        <f>IFERROR(__xludf.DUMMYFUNCTION("""COMPUTED_VALUE"""),273.88)</f>
        <v>273.88</v>
      </c>
      <c r="M1148" s="25">
        <f>IFERROR(__xludf.DUMMYFUNCTION("""COMPUTED_VALUE"""),5115464.0)</f>
        <v>5115464</v>
      </c>
    </row>
    <row r="1149">
      <c r="A1149" s="26">
        <f>IFERROR(__xludf.DUMMYFUNCTION("""COMPUTED_VALUE"""),40053.645833333336)</f>
        <v>40053.64583</v>
      </c>
      <c r="B1149" s="9">
        <f>IFERROR(__xludf.DUMMYFUNCTION("""COMPUTED_VALUE"""),272.63)</f>
        <v>272.63</v>
      </c>
      <c r="C1149" s="9">
        <f>IFERROR(__xludf.DUMMYFUNCTION("""COMPUTED_VALUE"""),274.88)</f>
        <v>274.88</v>
      </c>
      <c r="D1149" s="9">
        <f>IFERROR(__xludf.DUMMYFUNCTION("""COMPUTED_VALUE"""),267.65)</f>
        <v>267.65</v>
      </c>
      <c r="E1149" s="9">
        <f>IFERROR(__xludf.DUMMYFUNCTION("""COMPUTED_VALUE"""),273.83)</f>
        <v>273.83</v>
      </c>
      <c r="F1149" s="9">
        <f>IFERROR(__xludf.DUMMYFUNCTION("""COMPUTED_VALUE"""),911586.0)</f>
        <v>911586</v>
      </c>
      <c r="H1149" s="27">
        <f>IFERROR(__xludf.DUMMYFUNCTION("""COMPUTED_VALUE"""),40053.645833333336)</f>
        <v>40053.64583</v>
      </c>
      <c r="I1149" s="25">
        <f>IFERROR(__xludf.DUMMYFUNCTION("""COMPUTED_VALUE"""),272.88)</f>
        <v>272.88</v>
      </c>
      <c r="J1149" s="25">
        <f>IFERROR(__xludf.DUMMYFUNCTION("""COMPUTED_VALUE"""),275.0)</f>
        <v>275</v>
      </c>
      <c r="K1149" s="25">
        <f>IFERROR(__xludf.DUMMYFUNCTION("""COMPUTED_VALUE"""),265.55)</f>
        <v>265.55</v>
      </c>
      <c r="L1149" s="25">
        <f>IFERROR(__xludf.DUMMYFUNCTION("""COMPUTED_VALUE"""),270.4)</f>
        <v>270.4</v>
      </c>
      <c r="M1149" s="25">
        <f>IFERROR(__xludf.DUMMYFUNCTION("""COMPUTED_VALUE"""),2281568.0)</f>
        <v>2281568</v>
      </c>
    </row>
    <row r="1150">
      <c r="A1150" s="26">
        <f>IFERROR(__xludf.DUMMYFUNCTION("""COMPUTED_VALUE"""),40056.645833333336)</f>
        <v>40056.64583</v>
      </c>
      <c r="B1150" s="9">
        <f>IFERROR(__xludf.DUMMYFUNCTION("""COMPUTED_VALUE"""),270.7)</f>
        <v>270.7</v>
      </c>
      <c r="C1150" s="9">
        <f>IFERROR(__xludf.DUMMYFUNCTION("""COMPUTED_VALUE"""),270.7)</f>
        <v>270.7</v>
      </c>
      <c r="D1150" s="9">
        <f>IFERROR(__xludf.DUMMYFUNCTION("""COMPUTED_VALUE"""),265.28)</f>
        <v>265.28</v>
      </c>
      <c r="E1150" s="9">
        <f>IFERROR(__xludf.DUMMYFUNCTION("""COMPUTED_VALUE"""),266.39)</f>
        <v>266.39</v>
      </c>
      <c r="F1150" s="9">
        <f>IFERROR(__xludf.DUMMYFUNCTION("""COMPUTED_VALUE"""),1348579.0)</f>
        <v>1348579</v>
      </c>
      <c r="H1150" s="27">
        <f>IFERROR(__xludf.DUMMYFUNCTION("""COMPUTED_VALUE"""),40056.645833333336)</f>
        <v>40056.64583</v>
      </c>
      <c r="I1150" s="25">
        <f>IFERROR(__xludf.DUMMYFUNCTION("""COMPUTED_VALUE"""),265.5)</f>
        <v>265.5</v>
      </c>
      <c r="J1150" s="25">
        <f>IFERROR(__xludf.DUMMYFUNCTION("""COMPUTED_VALUE"""),266.9)</f>
        <v>266.9</v>
      </c>
      <c r="K1150" s="25">
        <f>IFERROR(__xludf.DUMMYFUNCTION("""COMPUTED_VALUE"""),260.65)</f>
        <v>260.65</v>
      </c>
      <c r="L1150" s="25">
        <f>IFERROR(__xludf.DUMMYFUNCTION("""COMPUTED_VALUE"""),263.52)</f>
        <v>263.52</v>
      </c>
      <c r="M1150" s="25">
        <f>IFERROR(__xludf.DUMMYFUNCTION("""COMPUTED_VALUE"""),3585176.0)</f>
        <v>3585176</v>
      </c>
    </row>
    <row r="1151">
      <c r="A1151" s="26">
        <f>IFERROR(__xludf.DUMMYFUNCTION("""COMPUTED_VALUE"""),40057.645833333336)</f>
        <v>40057.64583</v>
      </c>
      <c r="B1151" s="9">
        <f>IFERROR(__xludf.DUMMYFUNCTION("""COMPUTED_VALUE"""),267.49)</f>
        <v>267.49</v>
      </c>
      <c r="C1151" s="9">
        <f>IFERROR(__xludf.DUMMYFUNCTION("""COMPUTED_VALUE"""),273.75)</f>
        <v>273.75</v>
      </c>
      <c r="D1151" s="9">
        <f>IFERROR(__xludf.DUMMYFUNCTION("""COMPUTED_VALUE"""),265.33)</f>
        <v>265.33</v>
      </c>
      <c r="E1151" s="9">
        <f>IFERROR(__xludf.DUMMYFUNCTION("""COMPUTED_VALUE"""),268.11)</f>
        <v>268.11</v>
      </c>
      <c r="F1151" s="9">
        <f>IFERROR(__xludf.DUMMYFUNCTION("""COMPUTED_VALUE"""),1430765.0)</f>
        <v>1430765</v>
      </c>
      <c r="H1151" s="27">
        <f>IFERROR(__xludf.DUMMYFUNCTION("""COMPUTED_VALUE"""),40057.645833333336)</f>
        <v>40057.64583</v>
      </c>
      <c r="I1151" s="25">
        <f>IFERROR(__xludf.DUMMYFUNCTION("""COMPUTED_VALUE"""),267.5)</f>
        <v>267.5</v>
      </c>
      <c r="J1151" s="25">
        <f>IFERROR(__xludf.DUMMYFUNCTION("""COMPUTED_VALUE"""),268.17)</f>
        <v>268.17</v>
      </c>
      <c r="K1151" s="25">
        <f>IFERROR(__xludf.DUMMYFUNCTION("""COMPUTED_VALUE"""),259.55)</f>
        <v>259.55</v>
      </c>
      <c r="L1151" s="25">
        <f>IFERROR(__xludf.DUMMYFUNCTION("""COMPUTED_VALUE"""),263.45)</f>
        <v>263.45</v>
      </c>
      <c r="M1151" s="25">
        <f>IFERROR(__xludf.DUMMYFUNCTION("""COMPUTED_VALUE"""),4931097.0)</f>
        <v>4931097</v>
      </c>
    </row>
    <row r="1152">
      <c r="A1152" s="26">
        <f>IFERROR(__xludf.DUMMYFUNCTION("""COMPUTED_VALUE"""),40058.645833333336)</f>
        <v>40058.64583</v>
      </c>
      <c r="B1152" s="9">
        <f>IFERROR(__xludf.DUMMYFUNCTION("""COMPUTED_VALUE"""),267.5)</f>
        <v>267.5</v>
      </c>
      <c r="C1152" s="9">
        <f>IFERROR(__xludf.DUMMYFUNCTION("""COMPUTED_VALUE"""),272.5)</f>
        <v>272.5</v>
      </c>
      <c r="D1152" s="9">
        <f>IFERROR(__xludf.DUMMYFUNCTION("""COMPUTED_VALUE"""),265.0)</f>
        <v>265</v>
      </c>
      <c r="E1152" s="9">
        <f>IFERROR(__xludf.DUMMYFUNCTION("""COMPUTED_VALUE"""),270.61)</f>
        <v>270.61</v>
      </c>
      <c r="F1152" s="9">
        <f>IFERROR(__xludf.DUMMYFUNCTION("""COMPUTED_VALUE"""),980991.0)</f>
        <v>980991</v>
      </c>
      <c r="H1152" s="27">
        <f>IFERROR(__xludf.DUMMYFUNCTION("""COMPUTED_VALUE"""),40058.645833333336)</f>
        <v>40058.64583</v>
      </c>
      <c r="I1152" s="25">
        <f>IFERROR(__xludf.DUMMYFUNCTION("""COMPUTED_VALUE"""),260.5)</f>
        <v>260.5</v>
      </c>
      <c r="J1152" s="25">
        <f>IFERROR(__xludf.DUMMYFUNCTION("""COMPUTED_VALUE"""),271.45)</f>
        <v>271.45</v>
      </c>
      <c r="K1152" s="25">
        <f>IFERROR(__xludf.DUMMYFUNCTION("""COMPUTED_VALUE"""),260.5)</f>
        <v>260.5</v>
      </c>
      <c r="L1152" s="25">
        <f>IFERROR(__xludf.DUMMYFUNCTION("""COMPUTED_VALUE"""),267.3)</f>
        <v>267.3</v>
      </c>
      <c r="M1152" s="25">
        <f>IFERROR(__xludf.DUMMYFUNCTION("""COMPUTED_VALUE"""),4080709.0)</f>
        <v>4080709</v>
      </c>
    </row>
    <row r="1153">
      <c r="A1153" s="26">
        <f>IFERROR(__xludf.DUMMYFUNCTION("""COMPUTED_VALUE"""),40059.645833333336)</f>
        <v>40059.64583</v>
      </c>
      <c r="B1153" s="9">
        <f>IFERROR(__xludf.DUMMYFUNCTION("""COMPUTED_VALUE"""),271.38)</f>
        <v>271.38</v>
      </c>
      <c r="C1153" s="9">
        <f>IFERROR(__xludf.DUMMYFUNCTION("""COMPUTED_VALUE"""),275.5)</f>
        <v>275.5</v>
      </c>
      <c r="D1153" s="9">
        <f>IFERROR(__xludf.DUMMYFUNCTION("""COMPUTED_VALUE"""),266.99)</f>
        <v>266.99</v>
      </c>
      <c r="E1153" s="9">
        <f>IFERROR(__xludf.DUMMYFUNCTION("""COMPUTED_VALUE"""),273.4)</f>
        <v>273.4</v>
      </c>
      <c r="F1153" s="9">
        <f>IFERROR(__xludf.DUMMYFUNCTION("""COMPUTED_VALUE"""),1705466.0)</f>
        <v>1705466</v>
      </c>
      <c r="H1153" s="27">
        <f>IFERROR(__xludf.DUMMYFUNCTION("""COMPUTED_VALUE"""),40059.645833333336)</f>
        <v>40059.64583</v>
      </c>
      <c r="I1153" s="25">
        <f>IFERROR(__xludf.DUMMYFUNCTION("""COMPUTED_VALUE"""),269.95)</f>
        <v>269.95</v>
      </c>
      <c r="J1153" s="25">
        <f>IFERROR(__xludf.DUMMYFUNCTION("""COMPUTED_VALUE"""),272.2)</f>
        <v>272.2</v>
      </c>
      <c r="K1153" s="25">
        <f>IFERROR(__xludf.DUMMYFUNCTION("""COMPUTED_VALUE"""),265.23)</f>
        <v>265.23</v>
      </c>
      <c r="L1153" s="25">
        <f>IFERROR(__xludf.DUMMYFUNCTION("""COMPUTED_VALUE"""),266.83)</f>
        <v>266.83</v>
      </c>
      <c r="M1153" s="25">
        <f>IFERROR(__xludf.DUMMYFUNCTION("""COMPUTED_VALUE"""),3898372.0)</f>
        <v>3898372</v>
      </c>
    </row>
    <row r="1154">
      <c r="A1154" s="26">
        <f>IFERROR(__xludf.DUMMYFUNCTION("""COMPUTED_VALUE"""),40060.645833333336)</f>
        <v>40060.64583</v>
      </c>
      <c r="B1154" s="9">
        <f>IFERROR(__xludf.DUMMYFUNCTION("""COMPUTED_VALUE"""),272.49)</f>
        <v>272.49</v>
      </c>
      <c r="C1154" s="9">
        <f>IFERROR(__xludf.DUMMYFUNCTION("""COMPUTED_VALUE"""),277.0)</f>
        <v>277</v>
      </c>
      <c r="D1154" s="9">
        <f>IFERROR(__xludf.DUMMYFUNCTION("""COMPUTED_VALUE"""),270.14)</f>
        <v>270.14</v>
      </c>
      <c r="E1154" s="9">
        <f>IFERROR(__xludf.DUMMYFUNCTION("""COMPUTED_VALUE"""),275.13)</f>
        <v>275.13</v>
      </c>
      <c r="F1154" s="9">
        <f>IFERROR(__xludf.DUMMYFUNCTION("""COMPUTED_VALUE"""),1126865.0)</f>
        <v>1126865</v>
      </c>
      <c r="H1154" s="27">
        <f>IFERROR(__xludf.DUMMYFUNCTION("""COMPUTED_VALUE"""),40060.645833333336)</f>
        <v>40060.64583</v>
      </c>
      <c r="I1154" s="25">
        <f>IFERROR(__xludf.DUMMYFUNCTION("""COMPUTED_VALUE"""),270.0)</f>
        <v>270</v>
      </c>
      <c r="J1154" s="25">
        <f>IFERROR(__xludf.DUMMYFUNCTION("""COMPUTED_VALUE"""),272.0)</f>
        <v>272</v>
      </c>
      <c r="K1154" s="25">
        <f>IFERROR(__xludf.DUMMYFUNCTION("""COMPUTED_VALUE"""),263.6)</f>
        <v>263.6</v>
      </c>
      <c r="L1154" s="25">
        <f>IFERROR(__xludf.DUMMYFUNCTION("""COMPUTED_VALUE"""),265.95)</f>
        <v>265.95</v>
      </c>
      <c r="M1154" s="25">
        <f>IFERROR(__xludf.DUMMYFUNCTION("""COMPUTED_VALUE"""),3131723.0)</f>
        <v>3131723</v>
      </c>
    </row>
    <row r="1155">
      <c r="A1155" s="26">
        <f>IFERROR(__xludf.DUMMYFUNCTION("""COMPUTED_VALUE"""),40063.645833333336)</f>
        <v>40063.64583</v>
      </c>
      <c r="B1155" s="9">
        <f>IFERROR(__xludf.DUMMYFUNCTION("""COMPUTED_VALUE"""),276.88)</f>
        <v>276.88</v>
      </c>
      <c r="C1155" s="9">
        <f>IFERROR(__xludf.DUMMYFUNCTION("""COMPUTED_VALUE"""),278.75)</f>
        <v>278.75</v>
      </c>
      <c r="D1155" s="9">
        <f>IFERROR(__xludf.DUMMYFUNCTION("""COMPUTED_VALUE"""),274.52)</f>
        <v>274.52</v>
      </c>
      <c r="E1155" s="9">
        <f>IFERROR(__xludf.DUMMYFUNCTION("""COMPUTED_VALUE"""),278.02)</f>
        <v>278.02</v>
      </c>
      <c r="F1155" s="9">
        <f>IFERROR(__xludf.DUMMYFUNCTION("""COMPUTED_VALUE"""),1016675.0)</f>
        <v>1016675</v>
      </c>
      <c r="H1155" s="27">
        <f>IFERROR(__xludf.DUMMYFUNCTION("""COMPUTED_VALUE"""),40063.645833333336)</f>
        <v>40063.64583</v>
      </c>
      <c r="I1155" s="25">
        <f>IFERROR(__xludf.DUMMYFUNCTION("""COMPUTED_VALUE"""),267.9)</f>
        <v>267.9</v>
      </c>
      <c r="J1155" s="25">
        <f>IFERROR(__xludf.DUMMYFUNCTION("""COMPUTED_VALUE"""),276.77)</f>
        <v>276.77</v>
      </c>
      <c r="K1155" s="25">
        <f>IFERROR(__xludf.DUMMYFUNCTION("""COMPUTED_VALUE"""),266.8)</f>
        <v>266.8</v>
      </c>
      <c r="L1155" s="25">
        <f>IFERROR(__xludf.DUMMYFUNCTION("""COMPUTED_VALUE"""),275.48)</f>
        <v>275.48</v>
      </c>
      <c r="M1155" s="25">
        <f>IFERROR(__xludf.DUMMYFUNCTION("""COMPUTED_VALUE"""),2962860.0)</f>
        <v>2962860</v>
      </c>
    </row>
    <row r="1156">
      <c r="A1156" s="26">
        <f>IFERROR(__xludf.DUMMYFUNCTION("""COMPUTED_VALUE"""),40064.645833333336)</f>
        <v>40064.64583</v>
      </c>
      <c r="B1156" s="9">
        <f>IFERROR(__xludf.DUMMYFUNCTION("""COMPUTED_VALUE"""),278.51)</f>
        <v>278.51</v>
      </c>
      <c r="C1156" s="9">
        <f>IFERROR(__xludf.DUMMYFUNCTION("""COMPUTED_VALUE"""),279.88)</f>
        <v>279.88</v>
      </c>
      <c r="D1156" s="9">
        <f>IFERROR(__xludf.DUMMYFUNCTION("""COMPUTED_VALUE"""),274.67)</f>
        <v>274.67</v>
      </c>
      <c r="E1156" s="9">
        <f>IFERROR(__xludf.DUMMYFUNCTION("""COMPUTED_VALUE"""),275.48)</f>
        <v>275.48</v>
      </c>
      <c r="F1156" s="9">
        <f>IFERROR(__xludf.DUMMYFUNCTION("""COMPUTED_VALUE"""),988641.0)</f>
        <v>988641</v>
      </c>
      <c r="H1156" s="27">
        <f>IFERROR(__xludf.DUMMYFUNCTION("""COMPUTED_VALUE"""),40064.645833333336)</f>
        <v>40064.64583</v>
      </c>
      <c r="I1156" s="25">
        <f>IFERROR(__xludf.DUMMYFUNCTION("""COMPUTED_VALUE"""),275.95)</f>
        <v>275.95</v>
      </c>
      <c r="J1156" s="25">
        <f>IFERROR(__xludf.DUMMYFUNCTION("""COMPUTED_VALUE"""),285.25)</f>
        <v>285.25</v>
      </c>
      <c r="K1156" s="25">
        <f>IFERROR(__xludf.DUMMYFUNCTION("""COMPUTED_VALUE"""),274.83)</f>
        <v>274.83</v>
      </c>
      <c r="L1156" s="25">
        <f>IFERROR(__xludf.DUMMYFUNCTION("""COMPUTED_VALUE"""),277.33)</f>
        <v>277.33</v>
      </c>
      <c r="M1156" s="25">
        <f>IFERROR(__xludf.DUMMYFUNCTION("""COMPUTED_VALUE"""),4946021.0)</f>
        <v>4946021</v>
      </c>
    </row>
    <row r="1157">
      <c r="A1157" s="26">
        <f>IFERROR(__xludf.DUMMYFUNCTION("""COMPUTED_VALUE"""),40065.645833333336)</f>
        <v>40065.64583</v>
      </c>
      <c r="B1157" s="9">
        <f>IFERROR(__xludf.DUMMYFUNCTION("""COMPUTED_VALUE"""),275.64)</f>
        <v>275.64</v>
      </c>
      <c r="C1157" s="9">
        <f>IFERROR(__xludf.DUMMYFUNCTION("""COMPUTED_VALUE"""),277.31)</f>
        <v>277.31</v>
      </c>
      <c r="D1157" s="9">
        <f>IFERROR(__xludf.DUMMYFUNCTION("""COMPUTED_VALUE"""),272.13)</f>
        <v>272.13</v>
      </c>
      <c r="E1157" s="9">
        <f>IFERROR(__xludf.DUMMYFUNCTION("""COMPUTED_VALUE"""),273.71)</f>
        <v>273.71</v>
      </c>
      <c r="F1157" s="9">
        <f>IFERROR(__xludf.DUMMYFUNCTION("""COMPUTED_VALUE"""),944575.0)</f>
        <v>944575</v>
      </c>
      <c r="H1157" s="27">
        <f>IFERROR(__xludf.DUMMYFUNCTION("""COMPUTED_VALUE"""),40065.645833333336)</f>
        <v>40065.64583</v>
      </c>
      <c r="I1157" s="25">
        <f>IFERROR(__xludf.DUMMYFUNCTION("""COMPUTED_VALUE"""),278.0)</f>
        <v>278</v>
      </c>
      <c r="J1157" s="25">
        <f>IFERROR(__xludf.DUMMYFUNCTION("""COMPUTED_VALUE"""),282.4)</f>
        <v>282.4</v>
      </c>
      <c r="K1157" s="25">
        <f>IFERROR(__xludf.DUMMYFUNCTION("""COMPUTED_VALUE"""),271.58)</f>
        <v>271.58</v>
      </c>
      <c r="L1157" s="25">
        <f>IFERROR(__xludf.DUMMYFUNCTION("""COMPUTED_VALUE"""),280.23)</f>
        <v>280.23</v>
      </c>
      <c r="M1157" s="25">
        <f>IFERROR(__xludf.DUMMYFUNCTION("""COMPUTED_VALUE"""),3766093.0)</f>
        <v>3766093</v>
      </c>
    </row>
    <row r="1158">
      <c r="A1158" s="26">
        <f>IFERROR(__xludf.DUMMYFUNCTION("""COMPUTED_VALUE"""),40066.645833333336)</f>
        <v>40066.64583</v>
      </c>
      <c r="B1158" s="9">
        <f>IFERROR(__xludf.DUMMYFUNCTION("""COMPUTED_VALUE"""),276.75)</f>
        <v>276.75</v>
      </c>
      <c r="C1158" s="9">
        <f>IFERROR(__xludf.DUMMYFUNCTION("""COMPUTED_VALUE"""),281.24)</f>
        <v>281.24</v>
      </c>
      <c r="D1158" s="9">
        <f>IFERROR(__xludf.DUMMYFUNCTION("""COMPUTED_VALUE"""),276.75)</f>
        <v>276.75</v>
      </c>
      <c r="E1158" s="9">
        <f>IFERROR(__xludf.DUMMYFUNCTION("""COMPUTED_VALUE"""),280.04)</f>
        <v>280.04</v>
      </c>
      <c r="F1158" s="9">
        <f>IFERROR(__xludf.DUMMYFUNCTION("""COMPUTED_VALUE"""),1103118.0)</f>
        <v>1103118</v>
      </c>
      <c r="H1158" s="27">
        <f>IFERROR(__xludf.DUMMYFUNCTION("""COMPUTED_VALUE"""),40066.645833333336)</f>
        <v>40066.64583</v>
      </c>
      <c r="I1158" s="25">
        <f>IFERROR(__xludf.DUMMYFUNCTION("""COMPUTED_VALUE"""),282.0)</f>
        <v>282</v>
      </c>
      <c r="J1158" s="25">
        <f>IFERROR(__xludf.DUMMYFUNCTION("""COMPUTED_VALUE"""),284.5)</f>
        <v>284.5</v>
      </c>
      <c r="K1158" s="25">
        <f>IFERROR(__xludf.DUMMYFUNCTION("""COMPUTED_VALUE"""),276.02)</f>
        <v>276.02</v>
      </c>
      <c r="L1158" s="25">
        <f>IFERROR(__xludf.DUMMYFUNCTION("""COMPUTED_VALUE"""),278.27)</f>
        <v>278.27</v>
      </c>
      <c r="M1158" s="25">
        <f>IFERROR(__xludf.DUMMYFUNCTION("""COMPUTED_VALUE"""),2449457.0)</f>
        <v>2449457</v>
      </c>
    </row>
    <row r="1159">
      <c r="A1159" s="26">
        <f>IFERROR(__xludf.DUMMYFUNCTION("""COMPUTED_VALUE"""),40067.645833333336)</f>
        <v>40067.64583</v>
      </c>
      <c r="B1159" s="9">
        <f>IFERROR(__xludf.DUMMYFUNCTION("""COMPUTED_VALUE"""),275.98)</f>
        <v>275.98</v>
      </c>
      <c r="C1159" s="9">
        <f>IFERROR(__xludf.DUMMYFUNCTION("""COMPUTED_VALUE"""),284.36)</f>
        <v>284.36</v>
      </c>
      <c r="D1159" s="9">
        <f>IFERROR(__xludf.DUMMYFUNCTION("""COMPUTED_VALUE"""),275.98)</f>
        <v>275.98</v>
      </c>
      <c r="E1159" s="9">
        <f>IFERROR(__xludf.DUMMYFUNCTION("""COMPUTED_VALUE"""),283.43)</f>
        <v>283.43</v>
      </c>
      <c r="F1159" s="9">
        <f>IFERROR(__xludf.DUMMYFUNCTION("""COMPUTED_VALUE"""),1199265.0)</f>
        <v>1199265</v>
      </c>
      <c r="H1159" s="27">
        <f>IFERROR(__xludf.DUMMYFUNCTION("""COMPUTED_VALUE"""),40067.645833333336)</f>
        <v>40067.64583</v>
      </c>
      <c r="I1159" s="25">
        <f>IFERROR(__xludf.DUMMYFUNCTION("""COMPUTED_VALUE"""),280.5)</f>
        <v>280.5</v>
      </c>
      <c r="J1159" s="25">
        <f>IFERROR(__xludf.DUMMYFUNCTION("""COMPUTED_VALUE"""),284.5)</f>
        <v>284.5</v>
      </c>
      <c r="K1159" s="25">
        <f>IFERROR(__xludf.DUMMYFUNCTION("""COMPUTED_VALUE"""),277.75)</f>
        <v>277.75</v>
      </c>
      <c r="L1159" s="25">
        <f>IFERROR(__xludf.DUMMYFUNCTION("""COMPUTED_VALUE"""),280.17)</f>
        <v>280.17</v>
      </c>
      <c r="M1159" s="25">
        <f>IFERROR(__xludf.DUMMYFUNCTION("""COMPUTED_VALUE"""),4565148.0)</f>
        <v>4565148</v>
      </c>
    </row>
    <row r="1160">
      <c r="A1160" s="26">
        <f>IFERROR(__xludf.DUMMYFUNCTION("""COMPUTED_VALUE"""),40070.645833333336)</f>
        <v>40070.64583</v>
      </c>
      <c r="B1160" s="9">
        <f>IFERROR(__xludf.DUMMYFUNCTION("""COMPUTED_VALUE"""),278.48)</f>
        <v>278.48</v>
      </c>
      <c r="C1160" s="9">
        <f>IFERROR(__xludf.DUMMYFUNCTION("""COMPUTED_VALUE"""),282.97)</f>
        <v>282.97</v>
      </c>
      <c r="D1160" s="9">
        <f>IFERROR(__xludf.DUMMYFUNCTION("""COMPUTED_VALUE"""),278.48)</f>
        <v>278.48</v>
      </c>
      <c r="E1160" s="9">
        <f>IFERROR(__xludf.DUMMYFUNCTION("""COMPUTED_VALUE"""),281.27)</f>
        <v>281.27</v>
      </c>
      <c r="F1160" s="9">
        <f>IFERROR(__xludf.DUMMYFUNCTION("""COMPUTED_VALUE"""),788059.0)</f>
        <v>788059</v>
      </c>
      <c r="H1160" s="27">
        <f>IFERROR(__xludf.DUMMYFUNCTION("""COMPUTED_VALUE"""),40070.645833333336)</f>
        <v>40070.64583</v>
      </c>
      <c r="I1160" s="25">
        <f>IFERROR(__xludf.DUMMYFUNCTION("""COMPUTED_VALUE"""),266.83)</f>
        <v>266.83</v>
      </c>
      <c r="J1160" s="25">
        <f>IFERROR(__xludf.DUMMYFUNCTION("""COMPUTED_VALUE"""),281.95)</f>
        <v>281.95</v>
      </c>
      <c r="K1160" s="25">
        <f>IFERROR(__xludf.DUMMYFUNCTION("""COMPUTED_VALUE"""),266.83)</f>
        <v>266.83</v>
      </c>
      <c r="L1160" s="25">
        <f>IFERROR(__xludf.DUMMYFUNCTION("""COMPUTED_VALUE"""),279.55)</f>
        <v>279.55</v>
      </c>
      <c r="M1160" s="25">
        <f>IFERROR(__xludf.DUMMYFUNCTION("""COMPUTED_VALUE"""),1600486.0)</f>
        <v>1600486</v>
      </c>
    </row>
    <row r="1161">
      <c r="A1161" s="26">
        <f>IFERROR(__xludf.DUMMYFUNCTION("""COMPUTED_VALUE"""),40071.645833333336)</f>
        <v>40071.64583</v>
      </c>
      <c r="B1161" s="9">
        <f>IFERROR(__xludf.DUMMYFUNCTION("""COMPUTED_VALUE"""),280.74)</f>
        <v>280.74</v>
      </c>
      <c r="C1161" s="9">
        <f>IFERROR(__xludf.DUMMYFUNCTION("""COMPUTED_VALUE"""),284.38)</f>
        <v>284.38</v>
      </c>
      <c r="D1161" s="9">
        <f>IFERROR(__xludf.DUMMYFUNCTION("""COMPUTED_VALUE"""),280.0)</f>
        <v>280</v>
      </c>
      <c r="E1161" s="9">
        <f>IFERROR(__xludf.DUMMYFUNCTION("""COMPUTED_VALUE"""),283.82)</f>
        <v>283.82</v>
      </c>
      <c r="F1161" s="9">
        <f>IFERROR(__xludf.DUMMYFUNCTION("""COMPUTED_VALUE"""),803527.0)</f>
        <v>803527</v>
      </c>
      <c r="H1161" s="27">
        <f>IFERROR(__xludf.DUMMYFUNCTION("""COMPUTED_VALUE"""),40071.645833333336)</f>
        <v>40071.64583</v>
      </c>
      <c r="I1161" s="25">
        <f>IFERROR(__xludf.DUMMYFUNCTION("""COMPUTED_VALUE"""),282.0)</f>
        <v>282</v>
      </c>
      <c r="J1161" s="25">
        <f>IFERROR(__xludf.DUMMYFUNCTION("""COMPUTED_VALUE"""),287.85)</f>
        <v>287.85</v>
      </c>
      <c r="K1161" s="25">
        <f>IFERROR(__xludf.DUMMYFUNCTION("""COMPUTED_VALUE"""),281.0)</f>
        <v>281</v>
      </c>
      <c r="L1161" s="25">
        <f>IFERROR(__xludf.DUMMYFUNCTION("""COMPUTED_VALUE"""),285.95)</f>
        <v>285.95</v>
      </c>
      <c r="M1161" s="25">
        <f>IFERROR(__xludf.DUMMYFUNCTION("""COMPUTED_VALUE"""),2154093.0)</f>
        <v>2154093</v>
      </c>
    </row>
    <row r="1162">
      <c r="A1162" s="26">
        <f>IFERROR(__xludf.DUMMYFUNCTION("""COMPUTED_VALUE"""),40072.645833333336)</f>
        <v>40072.64583</v>
      </c>
      <c r="B1162" s="9">
        <f>IFERROR(__xludf.DUMMYFUNCTION("""COMPUTED_VALUE"""),284.98)</f>
        <v>284.98</v>
      </c>
      <c r="C1162" s="9">
        <f>IFERROR(__xludf.DUMMYFUNCTION("""COMPUTED_VALUE"""),290.63)</f>
        <v>290.63</v>
      </c>
      <c r="D1162" s="9">
        <f>IFERROR(__xludf.DUMMYFUNCTION("""COMPUTED_VALUE"""),284.02)</f>
        <v>284.02</v>
      </c>
      <c r="E1162" s="9">
        <f>IFERROR(__xludf.DUMMYFUNCTION("""COMPUTED_VALUE"""),290.01)</f>
        <v>290.01</v>
      </c>
      <c r="F1162" s="9">
        <f>IFERROR(__xludf.DUMMYFUNCTION("""COMPUTED_VALUE"""),1260744.0)</f>
        <v>1260744</v>
      </c>
      <c r="H1162" s="27">
        <f>IFERROR(__xludf.DUMMYFUNCTION("""COMPUTED_VALUE"""),40072.645833333336)</f>
        <v>40072.64583</v>
      </c>
      <c r="I1162" s="25">
        <f>IFERROR(__xludf.DUMMYFUNCTION("""COMPUTED_VALUE"""),289.5)</f>
        <v>289.5</v>
      </c>
      <c r="J1162" s="25">
        <f>IFERROR(__xludf.DUMMYFUNCTION("""COMPUTED_VALUE"""),289.98)</f>
        <v>289.98</v>
      </c>
      <c r="K1162" s="25">
        <f>IFERROR(__xludf.DUMMYFUNCTION("""COMPUTED_VALUE"""),282.6)</f>
        <v>282.6</v>
      </c>
      <c r="L1162" s="25">
        <f>IFERROR(__xludf.DUMMYFUNCTION("""COMPUTED_VALUE"""),285.25)</f>
        <v>285.25</v>
      </c>
      <c r="M1162" s="25">
        <f>IFERROR(__xludf.DUMMYFUNCTION("""COMPUTED_VALUE"""),2908261.0)</f>
        <v>2908261</v>
      </c>
    </row>
    <row r="1163">
      <c r="A1163" s="26">
        <f>IFERROR(__xludf.DUMMYFUNCTION("""COMPUTED_VALUE"""),40073.645833333336)</f>
        <v>40073.64583</v>
      </c>
      <c r="B1163" s="9">
        <f>IFERROR(__xludf.DUMMYFUNCTION("""COMPUTED_VALUE"""),291.25)</f>
        <v>291.25</v>
      </c>
      <c r="C1163" s="9">
        <f>IFERROR(__xludf.DUMMYFUNCTION("""COMPUTED_VALUE"""),296.23)</f>
        <v>296.23</v>
      </c>
      <c r="D1163" s="9">
        <f>IFERROR(__xludf.DUMMYFUNCTION("""COMPUTED_VALUE"""),290.0)</f>
        <v>290</v>
      </c>
      <c r="E1163" s="9">
        <f>IFERROR(__xludf.DUMMYFUNCTION("""COMPUTED_VALUE"""),295.24)</f>
        <v>295.24</v>
      </c>
      <c r="F1163" s="9">
        <f>IFERROR(__xludf.DUMMYFUNCTION("""COMPUTED_VALUE"""),1282666.0)</f>
        <v>1282666</v>
      </c>
      <c r="H1163" s="27">
        <f>IFERROR(__xludf.DUMMYFUNCTION("""COMPUTED_VALUE"""),40073.645833333336)</f>
        <v>40073.64583</v>
      </c>
      <c r="I1163" s="25">
        <f>IFERROR(__xludf.DUMMYFUNCTION("""COMPUTED_VALUE"""),287.5)</f>
        <v>287.5</v>
      </c>
      <c r="J1163" s="25">
        <f>IFERROR(__xludf.DUMMYFUNCTION("""COMPUTED_VALUE"""),294.0)</f>
        <v>294</v>
      </c>
      <c r="K1163" s="25">
        <f>IFERROR(__xludf.DUMMYFUNCTION("""COMPUTED_VALUE"""),286.5)</f>
        <v>286.5</v>
      </c>
      <c r="L1163" s="25">
        <f>IFERROR(__xludf.DUMMYFUNCTION("""COMPUTED_VALUE"""),291.48)</f>
        <v>291.48</v>
      </c>
      <c r="M1163" s="25">
        <f>IFERROR(__xludf.DUMMYFUNCTION("""COMPUTED_VALUE"""),2641610.0)</f>
        <v>2641610</v>
      </c>
    </row>
    <row r="1164">
      <c r="A1164" s="26">
        <f>IFERROR(__xludf.DUMMYFUNCTION("""COMPUTED_VALUE"""),40074.645833333336)</f>
        <v>40074.64583</v>
      </c>
      <c r="B1164" s="9">
        <f>IFERROR(__xludf.DUMMYFUNCTION("""COMPUTED_VALUE"""),293.95)</f>
        <v>293.95</v>
      </c>
      <c r="C1164" s="9">
        <f>IFERROR(__xludf.DUMMYFUNCTION("""COMPUTED_VALUE"""),298.5)</f>
        <v>298.5</v>
      </c>
      <c r="D1164" s="9">
        <f>IFERROR(__xludf.DUMMYFUNCTION("""COMPUTED_VALUE"""),292.69)</f>
        <v>292.69</v>
      </c>
      <c r="E1164" s="9">
        <f>IFERROR(__xludf.DUMMYFUNCTION("""COMPUTED_VALUE"""),295.53)</f>
        <v>295.53</v>
      </c>
      <c r="F1164" s="9">
        <f>IFERROR(__xludf.DUMMYFUNCTION("""COMPUTED_VALUE"""),746889.0)</f>
        <v>746889</v>
      </c>
      <c r="H1164" s="27">
        <f>IFERROR(__xludf.DUMMYFUNCTION("""COMPUTED_VALUE"""),40074.645833333336)</f>
        <v>40074.64583</v>
      </c>
      <c r="I1164" s="25">
        <f>IFERROR(__xludf.DUMMYFUNCTION("""COMPUTED_VALUE"""),292.5)</f>
        <v>292.5</v>
      </c>
      <c r="J1164" s="25">
        <f>IFERROR(__xludf.DUMMYFUNCTION("""COMPUTED_VALUE"""),295.0)</f>
        <v>295</v>
      </c>
      <c r="K1164" s="25">
        <f>IFERROR(__xludf.DUMMYFUNCTION("""COMPUTED_VALUE"""),289.5)</f>
        <v>289.5</v>
      </c>
      <c r="L1164" s="25">
        <f>IFERROR(__xludf.DUMMYFUNCTION("""COMPUTED_VALUE"""),292.0)</f>
        <v>292</v>
      </c>
      <c r="M1164" s="25">
        <f>IFERROR(__xludf.DUMMYFUNCTION("""COMPUTED_VALUE"""),1962674.0)</f>
        <v>1962674</v>
      </c>
    </row>
    <row r="1165">
      <c r="A1165" s="26">
        <f>IFERROR(__xludf.DUMMYFUNCTION("""COMPUTED_VALUE"""),40078.645833333336)</f>
        <v>40078.64583</v>
      </c>
      <c r="B1165" s="9">
        <f>IFERROR(__xludf.DUMMYFUNCTION("""COMPUTED_VALUE"""),294.91)</f>
        <v>294.91</v>
      </c>
      <c r="C1165" s="9">
        <f>IFERROR(__xludf.DUMMYFUNCTION("""COMPUTED_VALUE"""),302.63)</f>
        <v>302.63</v>
      </c>
      <c r="D1165" s="9">
        <f>IFERROR(__xludf.DUMMYFUNCTION("""COMPUTED_VALUE"""),293.76)</f>
        <v>293.76</v>
      </c>
      <c r="E1165" s="9">
        <f>IFERROR(__xludf.DUMMYFUNCTION("""COMPUTED_VALUE"""),301.27)</f>
        <v>301.27</v>
      </c>
      <c r="F1165" s="9">
        <f>IFERROR(__xludf.DUMMYFUNCTION("""COMPUTED_VALUE"""),1659109.0)</f>
        <v>1659109</v>
      </c>
      <c r="H1165" s="27">
        <f>IFERROR(__xludf.DUMMYFUNCTION("""COMPUTED_VALUE"""),40078.645833333336)</f>
        <v>40078.64583</v>
      </c>
      <c r="I1165" s="25">
        <f>IFERROR(__xludf.DUMMYFUNCTION("""COMPUTED_VALUE"""),294.98)</f>
        <v>294.98</v>
      </c>
      <c r="J1165" s="25">
        <f>IFERROR(__xludf.DUMMYFUNCTION("""COMPUTED_VALUE"""),303.0)</f>
        <v>303</v>
      </c>
      <c r="K1165" s="25">
        <f>IFERROR(__xludf.DUMMYFUNCTION("""COMPUTED_VALUE"""),291.13)</f>
        <v>291.13</v>
      </c>
      <c r="L1165" s="25">
        <f>IFERROR(__xludf.DUMMYFUNCTION("""COMPUTED_VALUE"""),301.33)</f>
        <v>301.33</v>
      </c>
      <c r="M1165" s="25">
        <f>IFERROR(__xludf.DUMMYFUNCTION("""COMPUTED_VALUE"""),1881640.0)</f>
        <v>1881640</v>
      </c>
    </row>
    <row r="1166">
      <c r="A1166" s="26">
        <f>IFERROR(__xludf.DUMMYFUNCTION("""COMPUTED_VALUE"""),40079.645833333336)</f>
        <v>40079.64583</v>
      </c>
      <c r="B1166" s="9">
        <f>IFERROR(__xludf.DUMMYFUNCTION("""COMPUTED_VALUE"""),300.0)</f>
        <v>300</v>
      </c>
      <c r="C1166" s="9">
        <f>IFERROR(__xludf.DUMMYFUNCTION("""COMPUTED_VALUE"""),300.48)</f>
        <v>300.48</v>
      </c>
      <c r="D1166" s="9">
        <f>IFERROR(__xludf.DUMMYFUNCTION("""COMPUTED_VALUE"""),294.76)</f>
        <v>294.76</v>
      </c>
      <c r="E1166" s="9">
        <f>IFERROR(__xludf.DUMMYFUNCTION("""COMPUTED_VALUE"""),295.87)</f>
        <v>295.87</v>
      </c>
      <c r="F1166" s="9">
        <f>IFERROR(__xludf.DUMMYFUNCTION("""COMPUTED_VALUE"""),1366667.0)</f>
        <v>1366667</v>
      </c>
      <c r="H1166" s="27">
        <f>IFERROR(__xludf.DUMMYFUNCTION("""COMPUTED_VALUE"""),40079.645833333336)</f>
        <v>40079.64583</v>
      </c>
      <c r="I1166" s="25">
        <f>IFERROR(__xludf.DUMMYFUNCTION("""COMPUTED_VALUE"""),304.0)</f>
        <v>304</v>
      </c>
      <c r="J1166" s="25">
        <f>IFERROR(__xludf.DUMMYFUNCTION("""COMPUTED_VALUE"""),305.83)</f>
        <v>305.83</v>
      </c>
      <c r="K1166" s="25">
        <f>IFERROR(__xludf.DUMMYFUNCTION("""COMPUTED_VALUE"""),293.63)</f>
        <v>293.63</v>
      </c>
      <c r="L1166" s="25">
        <f>IFERROR(__xludf.DUMMYFUNCTION("""COMPUTED_VALUE"""),295.45)</f>
        <v>295.45</v>
      </c>
      <c r="M1166" s="25">
        <f>IFERROR(__xludf.DUMMYFUNCTION("""COMPUTED_VALUE"""),2261205.0)</f>
        <v>2261205</v>
      </c>
    </row>
    <row r="1167">
      <c r="A1167" s="26">
        <f>IFERROR(__xludf.DUMMYFUNCTION("""COMPUTED_VALUE"""),40080.645833333336)</f>
        <v>40080.64583</v>
      </c>
      <c r="B1167" s="9">
        <f>IFERROR(__xludf.DUMMYFUNCTION("""COMPUTED_VALUE"""),292.5)</f>
        <v>292.5</v>
      </c>
      <c r="C1167" s="9">
        <f>IFERROR(__xludf.DUMMYFUNCTION("""COMPUTED_VALUE"""),292.5)</f>
        <v>292.5</v>
      </c>
      <c r="D1167" s="9">
        <f>IFERROR(__xludf.DUMMYFUNCTION("""COMPUTED_VALUE"""),282.49)</f>
        <v>282.49</v>
      </c>
      <c r="E1167" s="9">
        <f>IFERROR(__xludf.DUMMYFUNCTION("""COMPUTED_VALUE"""),285.56)</f>
        <v>285.56</v>
      </c>
      <c r="F1167" s="9">
        <f>IFERROR(__xludf.DUMMYFUNCTION("""COMPUTED_VALUE"""),5521211.0)</f>
        <v>5521211</v>
      </c>
      <c r="H1167" s="27">
        <f>IFERROR(__xludf.DUMMYFUNCTION("""COMPUTED_VALUE"""),40080.645833333336)</f>
        <v>40080.64583</v>
      </c>
      <c r="I1167" s="25">
        <f>IFERROR(__xludf.DUMMYFUNCTION("""COMPUTED_VALUE"""),294.0)</f>
        <v>294</v>
      </c>
      <c r="J1167" s="25">
        <f>IFERROR(__xludf.DUMMYFUNCTION("""COMPUTED_VALUE"""),304.65)</f>
        <v>304.65</v>
      </c>
      <c r="K1167" s="25">
        <f>IFERROR(__xludf.DUMMYFUNCTION("""COMPUTED_VALUE"""),291.0)</f>
        <v>291</v>
      </c>
      <c r="L1167" s="25">
        <f>IFERROR(__xludf.DUMMYFUNCTION("""COMPUTED_VALUE"""),301.27)</f>
        <v>301.27</v>
      </c>
      <c r="M1167" s="25">
        <f>IFERROR(__xludf.DUMMYFUNCTION("""COMPUTED_VALUE"""),3401674.0)</f>
        <v>3401674</v>
      </c>
    </row>
    <row r="1168">
      <c r="A1168" s="26">
        <f>IFERROR(__xludf.DUMMYFUNCTION("""COMPUTED_VALUE"""),40081.645833333336)</f>
        <v>40081.64583</v>
      </c>
      <c r="B1168" s="9">
        <f>IFERROR(__xludf.DUMMYFUNCTION("""COMPUTED_VALUE"""),286.24)</f>
        <v>286.24</v>
      </c>
      <c r="C1168" s="9">
        <f>IFERROR(__xludf.DUMMYFUNCTION("""COMPUTED_VALUE"""),286.54)</f>
        <v>286.54</v>
      </c>
      <c r="D1168" s="9">
        <f>IFERROR(__xludf.DUMMYFUNCTION("""COMPUTED_VALUE"""),279.14)</f>
        <v>279.14</v>
      </c>
      <c r="E1168" s="9">
        <f>IFERROR(__xludf.DUMMYFUNCTION("""COMPUTED_VALUE"""),280.06)</f>
        <v>280.06</v>
      </c>
      <c r="F1168" s="9">
        <f>IFERROR(__xludf.DUMMYFUNCTION("""COMPUTED_VALUE"""),2650032.0)</f>
        <v>2650032</v>
      </c>
      <c r="H1168" s="27">
        <f>IFERROR(__xludf.DUMMYFUNCTION("""COMPUTED_VALUE"""),40081.645833333336)</f>
        <v>40081.64583</v>
      </c>
      <c r="I1168" s="25">
        <f>IFERROR(__xludf.DUMMYFUNCTION("""COMPUTED_VALUE"""),277.5)</f>
        <v>277.5</v>
      </c>
      <c r="J1168" s="25">
        <f>IFERROR(__xludf.DUMMYFUNCTION("""COMPUTED_VALUE"""),299.0)</f>
        <v>299</v>
      </c>
      <c r="K1168" s="25">
        <f>IFERROR(__xludf.DUMMYFUNCTION("""COMPUTED_VALUE"""),277.5)</f>
        <v>277.5</v>
      </c>
      <c r="L1168" s="25">
        <f>IFERROR(__xludf.DUMMYFUNCTION("""COMPUTED_VALUE"""),293.7)</f>
        <v>293.7</v>
      </c>
      <c r="M1168" s="25">
        <f>IFERROR(__xludf.DUMMYFUNCTION("""COMPUTED_VALUE"""),1534103.0)</f>
        <v>1534103</v>
      </c>
    </row>
    <row r="1169">
      <c r="A1169" s="26">
        <f>IFERROR(__xludf.DUMMYFUNCTION("""COMPUTED_VALUE"""),40085.645833333336)</f>
        <v>40085.64583</v>
      </c>
      <c r="B1169" s="9">
        <f>IFERROR(__xludf.DUMMYFUNCTION("""COMPUTED_VALUE"""),284.89)</f>
        <v>284.89</v>
      </c>
      <c r="C1169" s="9">
        <f>IFERROR(__xludf.DUMMYFUNCTION("""COMPUTED_VALUE"""),287.5)</f>
        <v>287.5</v>
      </c>
      <c r="D1169" s="9">
        <f>IFERROR(__xludf.DUMMYFUNCTION("""COMPUTED_VALUE"""),284.15)</f>
        <v>284.15</v>
      </c>
      <c r="E1169" s="9">
        <f>IFERROR(__xludf.DUMMYFUNCTION("""COMPUTED_VALUE"""),286.92)</f>
        <v>286.92</v>
      </c>
      <c r="F1169" s="9">
        <f>IFERROR(__xludf.DUMMYFUNCTION("""COMPUTED_VALUE"""),847853.0)</f>
        <v>847853</v>
      </c>
      <c r="H1169" s="27">
        <f>IFERROR(__xludf.DUMMYFUNCTION("""COMPUTED_VALUE"""),40085.645833333336)</f>
        <v>40085.64583</v>
      </c>
      <c r="I1169" s="25">
        <f>IFERROR(__xludf.DUMMYFUNCTION("""COMPUTED_VALUE"""),297.48)</f>
        <v>297.48</v>
      </c>
      <c r="J1169" s="25">
        <f>IFERROR(__xludf.DUMMYFUNCTION("""COMPUTED_VALUE"""),307.23)</f>
        <v>307.23</v>
      </c>
      <c r="K1169" s="25">
        <f>IFERROR(__xludf.DUMMYFUNCTION("""COMPUTED_VALUE"""),295.5)</f>
        <v>295.5</v>
      </c>
      <c r="L1169" s="25">
        <f>IFERROR(__xludf.DUMMYFUNCTION("""COMPUTED_VALUE"""),305.2)</f>
        <v>305.2</v>
      </c>
      <c r="M1169" s="25">
        <f>IFERROR(__xludf.DUMMYFUNCTION("""COMPUTED_VALUE"""),3573062.0)</f>
        <v>3573062</v>
      </c>
    </row>
    <row r="1170">
      <c r="A1170" s="26">
        <f>IFERROR(__xludf.DUMMYFUNCTION("""COMPUTED_VALUE"""),40086.645833333336)</f>
        <v>40086.64583</v>
      </c>
      <c r="B1170" s="9">
        <f>IFERROR(__xludf.DUMMYFUNCTION("""COMPUTED_VALUE"""),283.0)</f>
        <v>283</v>
      </c>
      <c r="C1170" s="9">
        <f>IFERROR(__xludf.DUMMYFUNCTION("""COMPUTED_VALUE"""),290.63)</f>
        <v>290.63</v>
      </c>
      <c r="D1170" s="9">
        <f>IFERROR(__xludf.DUMMYFUNCTION("""COMPUTED_VALUE"""),283.0)</f>
        <v>283</v>
      </c>
      <c r="E1170" s="9">
        <f>IFERROR(__xludf.DUMMYFUNCTION("""COMPUTED_VALUE"""),288.3)</f>
        <v>288.3</v>
      </c>
      <c r="F1170" s="9">
        <f>IFERROR(__xludf.DUMMYFUNCTION("""COMPUTED_VALUE"""),1005372.0)</f>
        <v>1005372</v>
      </c>
      <c r="H1170" s="27">
        <f>IFERROR(__xludf.DUMMYFUNCTION("""COMPUTED_VALUE"""),40086.645833333336)</f>
        <v>40086.64583</v>
      </c>
      <c r="I1170" s="25">
        <f>IFERROR(__xludf.DUMMYFUNCTION("""COMPUTED_VALUE"""),307.48)</f>
        <v>307.48</v>
      </c>
      <c r="J1170" s="25">
        <f>IFERROR(__xludf.DUMMYFUNCTION("""COMPUTED_VALUE"""),311.4)</f>
        <v>311.4</v>
      </c>
      <c r="K1170" s="25">
        <f>IFERROR(__xludf.DUMMYFUNCTION("""COMPUTED_VALUE"""),306.1)</f>
        <v>306.1</v>
      </c>
      <c r="L1170" s="25">
        <f>IFERROR(__xludf.DUMMYFUNCTION("""COMPUTED_VALUE"""),310.5)</f>
        <v>310.5</v>
      </c>
      <c r="M1170" s="25">
        <f>IFERROR(__xludf.DUMMYFUNCTION("""COMPUTED_VALUE"""),2186712.0)</f>
        <v>2186712</v>
      </c>
    </row>
    <row r="1171">
      <c r="A1171" s="26">
        <f>IFERROR(__xludf.DUMMYFUNCTION("""COMPUTED_VALUE"""),40087.645833333336)</f>
        <v>40087.64583</v>
      </c>
      <c r="B1171" s="9">
        <f>IFERROR(__xludf.DUMMYFUNCTION("""COMPUTED_VALUE"""),291.25)</f>
        <v>291.25</v>
      </c>
      <c r="C1171" s="9">
        <f>IFERROR(__xludf.DUMMYFUNCTION("""COMPUTED_VALUE"""),293.75)</f>
        <v>293.75</v>
      </c>
      <c r="D1171" s="9">
        <f>IFERROR(__xludf.DUMMYFUNCTION("""COMPUTED_VALUE"""),286.04)</f>
        <v>286.04</v>
      </c>
      <c r="E1171" s="9">
        <f>IFERROR(__xludf.DUMMYFUNCTION("""COMPUTED_VALUE"""),292.09)</f>
        <v>292.09</v>
      </c>
      <c r="F1171" s="9">
        <f>IFERROR(__xludf.DUMMYFUNCTION("""COMPUTED_VALUE"""),1880814.0)</f>
        <v>1880814</v>
      </c>
      <c r="H1171" s="27">
        <f>IFERROR(__xludf.DUMMYFUNCTION("""COMPUTED_VALUE"""),40087.645833333336)</f>
        <v>40087.64583</v>
      </c>
      <c r="I1171" s="25">
        <f>IFERROR(__xludf.DUMMYFUNCTION("""COMPUTED_VALUE"""),309.0)</f>
        <v>309</v>
      </c>
      <c r="J1171" s="25">
        <f>IFERROR(__xludf.DUMMYFUNCTION("""COMPUTED_VALUE"""),324.95)</f>
        <v>324.95</v>
      </c>
      <c r="K1171" s="25">
        <f>IFERROR(__xludf.DUMMYFUNCTION("""COMPUTED_VALUE"""),307.52)</f>
        <v>307.52</v>
      </c>
      <c r="L1171" s="25">
        <f>IFERROR(__xludf.DUMMYFUNCTION("""COMPUTED_VALUE"""),314.92)</f>
        <v>314.92</v>
      </c>
      <c r="M1171" s="25">
        <f>IFERROR(__xludf.DUMMYFUNCTION("""COMPUTED_VALUE"""),2843472.0)</f>
        <v>2843472</v>
      </c>
    </row>
    <row r="1172">
      <c r="A1172" s="26">
        <f>IFERROR(__xludf.DUMMYFUNCTION("""COMPUTED_VALUE"""),40091.645833333336)</f>
        <v>40091.64583</v>
      </c>
      <c r="B1172" s="9">
        <f>IFERROR(__xludf.DUMMYFUNCTION("""COMPUTED_VALUE"""),289.38)</f>
        <v>289.38</v>
      </c>
      <c r="C1172" s="9">
        <f>IFERROR(__xludf.DUMMYFUNCTION("""COMPUTED_VALUE"""),291.88)</f>
        <v>291.88</v>
      </c>
      <c r="D1172" s="9">
        <f>IFERROR(__xludf.DUMMYFUNCTION("""COMPUTED_VALUE"""),286.39)</f>
        <v>286.39</v>
      </c>
      <c r="E1172" s="9">
        <f>IFERROR(__xludf.DUMMYFUNCTION("""COMPUTED_VALUE"""),290.39)</f>
        <v>290.39</v>
      </c>
      <c r="F1172" s="9">
        <f>IFERROR(__xludf.DUMMYFUNCTION("""COMPUTED_VALUE"""),877926.0)</f>
        <v>877926</v>
      </c>
      <c r="H1172" s="27">
        <f>IFERROR(__xludf.DUMMYFUNCTION("""COMPUTED_VALUE"""),40091.645833333336)</f>
        <v>40091.64583</v>
      </c>
      <c r="I1172" s="25">
        <f>IFERROR(__xludf.DUMMYFUNCTION("""COMPUTED_VALUE"""),309.35)</f>
        <v>309.35</v>
      </c>
      <c r="J1172" s="25">
        <f>IFERROR(__xludf.DUMMYFUNCTION("""COMPUTED_VALUE"""),319.5)</f>
        <v>319.5</v>
      </c>
      <c r="K1172" s="25">
        <f>IFERROR(__xludf.DUMMYFUNCTION("""COMPUTED_VALUE"""),305.5)</f>
        <v>305.5</v>
      </c>
      <c r="L1172" s="25">
        <f>IFERROR(__xludf.DUMMYFUNCTION("""COMPUTED_VALUE"""),307.65)</f>
        <v>307.65</v>
      </c>
      <c r="M1172" s="25">
        <f>IFERROR(__xludf.DUMMYFUNCTION("""COMPUTED_VALUE"""),3129798.0)</f>
        <v>3129798</v>
      </c>
    </row>
    <row r="1173">
      <c r="A1173" s="26">
        <f>IFERROR(__xludf.DUMMYFUNCTION("""COMPUTED_VALUE"""),40092.645833333336)</f>
        <v>40092.64583</v>
      </c>
      <c r="B1173" s="9">
        <f>IFERROR(__xludf.DUMMYFUNCTION("""COMPUTED_VALUE"""),292.49)</f>
        <v>292.49</v>
      </c>
      <c r="C1173" s="9">
        <f>IFERROR(__xludf.DUMMYFUNCTION("""COMPUTED_VALUE"""),294.08)</f>
        <v>294.08</v>
      </c>
      <c r="D1173" s="9">
        <f>IFERROR(__xludf.DUMMYFUNCTION("""COMPUTED_VALUE"""),285.16)</f>
        <v>285.16</v>
      </c>
      <c r="E1173" s="9">
        <f>IFERROR(__xludf.DUMMYFUNCTION("""COMPUTED_VALUE"""),289.04)</f>
        <v>289.04</v>
      </c>
      <c r="F1173" s="9">
        <f>IFERROR(__xludf.DUMMYFUNCTION("""COMPUTED_VALUE"""),1305673.0)</f>
        <v>1305673</v>
      </c>
      <c r="H1173" s="27">
        <f>IFERROR(__xludf.DUMMYFUNCTION("""COMPUTED_VALUE"""),40092.645833333336)</f>
        <v>40092.64583</v>
      </c>
      <c r="I1173" s="25">
        <f>IFERROR(__xludf.DUMMYFUNCTION("""COMPUTED_VALUE"""),312.48)</f>
        <v>312.48</v>
      </c>
      <c r="J1173" s="25">
        <f>IFERROR(__xludf.DUMMYFUNCTION("""COMPUTED_VALUE"""),314.2)</f>
        <v>314.2</v>
      </c>
      <c r="K1173" s="25">
        <f>IFERROR(__xludf.DUMMYFUNCTION("""COMPUTED_VALUE"""),302.5)</f>
        <v>302.5</v>
      </c>
      <c r="L1173" s="25">
        <f>IFERROR(__xludf.DUMMYFUNCTION("""COMPUTED_VALUE"""),307.1)</f>
        <v>307.1</v>
      </c>
      <c r="M1173" s="25">
        <f>IFERROR(__xludf.DUMMYFUNCTION("""COMPUTED_VALUE"""),3724027.0)</f>
        <v>3724027</v>
      </c>
    </row>
    <row r="1174">
      <c r="A1174" s="26">
        <f>IFERROR(__xludf.DUMMYFUNCTION("""COMPUTED_VALUE"""),40093.645833333336)</f>
        <v>40093.64583</v>
      </c>
      <c r="B1174" s="9">
        <f>IFERROR(__xludf.DUMMYFUNCTION("""COMPUTED_VALUE"""),289.38)</f>
        <v>289.38</v>
      </c>
      <c r="C1174" s="9">
        <f>IFERROR(__xludf.DUMMYFUNCTION("""COMPUTED_VALUE"""),291.01)</f>
        <v>291.01</v>
      </c>
      <c r="D1174" s="9">
        <f>IFERROR(__xludf.DUMMYFUNCTION("""COMPUTED_VALUE"""),278.38)</f>
        <v>278.38</v>
      </c>
      <c r="E1174" s="9">
        <f>IFERROR(__xludf.DUMMYFUNCTION("""COMPUTED_VALUE"""),281.59)</f>
        <v>281.59</v>
      </c>
      <c r="F1174" s="9">
        <f>IFERROR(__xludf.DUMMYFUNCTION("""COMPUTED_VALUE"""),1979646.0)</f>
        <v>1979646</v>
      </c>
      <c r="H1174" s="27">
        <f>IFERROR(__xludf.DUMMYFUNCTION("""COMPUTED_VALUE"""),40093.645833333336)</f>
        <v>40093.64583</v>
      </c>
      <c r="I1174" s="25">
        <f>IFERROR(__xludf.DUMMYFUNCTION("""COMPUTED_VALUE"""),309.45)</f>
        <v>309.45</v>
      </c>
      <c r="J1174" s="25">
        <f>IFERROR(__xludf.DUMMYFUNCTION("""COMPUTED_VALUE"""),309.45)</f>
        <v>309.45</v>
      </c>
      <c r="K1174" s="25">
        <f>IFERROR(__xludf.DUMMYFUNCTION("""COMPUTED_VALUE"""),294.33)</f>
        <v>294.33</v>
      </c>
      <c r="L1174" s="25">
        <f>IFERROR(__xludf.DUMMYFUNCTION("""COMPUTED_VALUE"""),295.85)</f>
        <v>295.85</v>
      </c>
      <c r="M1174" s="25">
        <f>IFERROR(__xludf.DUMMYFUNCTION("""COMPUTED_VALUE"""),5037986.0)</f>
        <v>5037986</v>
      </c>
    </row>
    <row r="1175">
      <c r="A1175" s="26">
        <f>IFERROR(__xludf.DUMMYFUNCTION("""COMPUTED_VALUE"""),40094.645833333336)</f>
        <v>40094.64583</v>
      </c>
      <c r="B1175" s="9">
        <f>IFERROR(__xludf.DUMMYFUNCTION("""COMPUTED_VALUE"""),282.75)</f>
        <v>282.75</v>
      </c>
      <c r="C1175" s="9">
        <f>IFERROR(__xludf.DUMMYFUNCTION("""COMPUTED_VALUE"""),283.12)</f>
        <v>283.12</v>
      </c>
      <c r="D1175" s="9">
        <f>IFERROR(__xludf.DUMMYFUNCTION("""COMPUTED_VALUE"""),273.66)</f>
        <v>273.66</v>
      </c>
      <c r="E1175" s="9">
        <f>IFERROR(__xludf.DUMMYFUNCTION("""COMPUTED_VALUE"""),276.35)</f>
        <v>276.35</v>
      </c>
      <c r="F1175" s="9">
        <f>IFERROR(__xludf.DUMMYFUNCTION("""COMPUTED_VALUE"""),2259258.0)</f>
        <v>2259258</v>
      </c>
      <c r="H1175" s="27">
        <f>IFERROR(__xludf.DUMMYFUNCTION("""COMPUTED_VALUE"""),40094.645833333336)</f>
        <v>40094.64583</v>
      </c>
      <c r="I1175" s="25">
        <f>IFERROR(__xludf.DUMMYFUNCTION("""COMPUTED_VALUE"""),297.5)</f>
        <v>297.5</v>
      </c>
      <c r="J1175" s="25">
        <f>IFERROR(__xludf.DUMMYFUNCTION("""COMPUTED_VALUE"""),299.38)</f>
        <v>299.38</v>
      </c>
      <c r="K1175" s="25">
        <f>IFERROR(__xludf.DUMMYFUNCTION("""COMPUTED_VALUE"""),284.25)</f>
        <v>284.25</v>
      </c>
      <c r="L1175" s="25">
        <f>IFERROR(__xludf.DUMMYFUNCTION("""COMPUTED_VALUE"""),285.7)</f>
        <v>285.7</v>
      </c>
      <c r="M1175" s="25">
        <f>IFERROR(__xludf.DUMMYFUNCTION("""COMPUTED_VALUE"""),5081086.0)</f>
        <v>5081086</v>
      </c>
    </row>
    <row r="1176">
      <c r="A1176" s="26">
        <f>IFERROR(__xludf.DUMMYFUNCTION("""COMPUTED_VALUE"""),40095.645833333336)</f>
        <v>40095.64583</v>
      </c>
      <c r="B1176" s="9">
        <f>IFERROR(__xludf.DUMMYFUNCTION("""COMPUTED_VALUE"""),278.75)</f>
        <v>278.75</v>
      </c>
      <c r="C1176" s="9">
        <f>IFERROR(__xludf.DUMMYFUNCTION("""COMPUTED_VALUE"""),284.6)</f>
        <v>284.6</v>
      </c>
      <c r="D1176" s="9">
        <f>IFERROR(__xludf.DUMMYFUNCTION("""COMPUTED_VALUE"""),270.83)</f>
        <v>270.83</v>
      </c>
      <c r="E1176" s="9">
        <f>IFERROR(__xludf.DUMMYFUNCTION("""COMPUTED_VALUE"""),272.2)</f>
        <v>272.2</v>
      </c>
      <c r="F1176" s="9">
        <f>IFERROR(__xludf.DUMMYFUNCTION("""COMPUTED_VALUE"""),3237951.0)</f>
        <v>3237951</v>
      </c>
      <c r="H1176" s="27">
        <f>IFERROR(__xludf.DUMMYFUNCTION("""COMPUTED_VALUE"""),40095.645833333336)</f>
        <v>40095.64583</v>
      </c>
      <c r="I1176" s="25">
        <f>IFERROR(__xludf.DUMMYFUNCTION("""COMPUTED_VALUE"""),287.52)</f>
        <v>287.52</v>
      </c>
      <c r="J1176" s="25">
        <f>IFERROR(__xludf.DUMMYFUNCTION("""COMPUTED_VALUE"""),295.2)</f>
        <v>295.2</v>
      </c>
      <c r="K1176" s="25">
        <f>IFERROR(__xludf.DUMMYFUNCTION("""COMPUTED_VALUE"""),278.33)</f>
        <v>278.33</v>
      </c>
      <c r="L1176" s="25">
        <f>IFERROR(__xludf.DUMMYFUNCTION("""COMPUTED_VALUE"""),280.88)</f>
        <v>280.88</v>
      </c>
      <c r="M1176" s="25">
        <f>IFERROR(__xludf.DUMMYFUNCTION("""COMPUTED_VALUE"""),5016239.0)</f>
        <v>5016239</v>
      </c>
    </row>
    <row r="1177">
      <c r="A1177" s="26">
        <f>IFERROR(__xludf.DUMMYFUNCTION("""COMPUTED_VALUE"""),40098.645833333336)</f>
        <v>40098.64583</v>
      </c>
      <c r="B1177" s="9">
        <f>IFERROR(__xludf.DUMMYFUNCTION("""COMPUTED_VALUE"""),273.75)</f>
        <v>273.75</v>
      </c>
      <c r="C1177" s="9">
        <f>IFERROR(__xludf.DUMMYFUNCTION("""COMPUTED_VALUE"""),280.63)</f>
        <v>280.63</v>
      </c>
      <c r="D1177" s="9">
        <f>IFERROR(__xludf.DUMMYFUNCTION("""COMPUTED_VALUE"""),273.5)</f>
        <v>273.5</v>
      </c>
      <c r="E1177" s="9">
        <f>IFERROR(__xludf.DUMMYFUNCTION("""COMPUTED_VALUE"""),279.93)</f>
        <v>279.93</v>
      </c>
      <c r="F1177" s="9">
        <f>IFERROR(__xludf.DUMMYFUNCTION("""COMPUTED_VALUE"""),1143337.0)</f>
        <v>1143337</v>
      </c>
      <c r="H1177" s="27">
        <f>IFERROR(__xludf.DUMMYFUNCTION("""COMPUTED_VALUE"""),40098.645833333336)</f>
        <v>40098.64583</v>
      </c>
      <c r="I1177" s="25">
        <f>IFERROR(__xludf.DUMMYFUNCTION("""COMPUTED_VALUE"""),283.5)</f>
        <v>283.5</v>
      </c>
      <c r="J1177" s="25">
        <f>IFERROR(__xludf.DUMMYFUNCTION("""COMPUTED_VALUE"""),292.13)</f>
        <v>292.13</v>
      </c>
      <c r="K1177" s="25">
        <f>IFERROR(__xludf.DUMMYFUNCTION("""COMPUTED_VALUE"""),281.77)</f>
        <v>281.77</v>
      </c>
      <c r="L1177" s="25">
        <f>IFERROR(__xludf.DUMMYFUNCTION("""COMPUTED_VALUE"""),289.92)</f>
        <v>289.92</v>
      </c>
      <c r="M1177" s="25">
        <f>IFERROR(__xludf.DUMMYFUNCTION("""COMPUTED_VALUE"""),2587110.0)</f>
        <v>2587110</v>
      </c>
    </row>
    <row r="1178">
      <c r="A1178" s="26">
        <f>IFERROR(__xludf.DUMMYFUNCTION("""COMPUTED_VALUE"""),40100.645833333336)</f>
        <v>40100.64583</v>
      </c>
      <c r="B1178" s="9">
        <f>IFERROR(__xludf.DUMMYFUNCTION("""COMPUTED_VALUE"""),286.0)</f>
        <v>286</v>
      </c>
      <c r="C1178" s="9">
        <f>IFERROR(__xludf.DUMMYFUNCTION("""COMPUTED_VALUE"""),286.0)</f>
        <v>286</v>
      </c>
      <c r="D1178" s="9">
        <f>IFERROR(__xludf.DUMMYFUNCTION("""COMPUTED_VALUE"""),276.38)</f>
        <v>276.38</v>
      </c>
      <c r="E1178" s="9">
        <f>IFERROR(__xludf.DUMMYFUNCTION("""COMPUTED_VALUE"""),281.98)</f>
        <v>281.98</v>
      </c>
      <c r="F1178" s="9">
        <f>IFERROR(__xludf.DUMMYFUNCTION("""COMPUTED_VALUE"""),1020475.0)</f>
        <v>1020475</v>
      </c>
      <c r="H1178" s="27">
        <f>IFERROR(__xludf.DUMMYFUNCTION("""COMPUTED_VALUE"""),40100.645833333336)</f>
        <v>40100.64583</v>
      </c>
      <c r="I1178" s="25">
        <f>IFERROR(__xludf.DUMMYFUNCTION("""COMPUTED_VALUE"""),292.48)</f>
        <v>292.48</v>
      </c>
      <c r="J1178" s="25">
        <f>IFERROR(__xludf.DUMMYFUNCTION("""COMPUTED_VALUE"""),299.0)</f>
        <v>299</v>
      </c>
      <c r="K1178" s="25">
        <f>IFERROR(__xludf.DUMMYFUNCTION("""COMPUTED_VALUE"""),290.35)</f>
        <v>290.35</v>
      </c>
      <c r="L1178" s="25">
        <f>IFERROR(__xludf.DUMMYFUNCTION("""COMPUTED_VALUE"""),296.48)</f>
        <v>296.48</v>
      </c>
      <c r="M1178" s="25">
        <f>IFERROR(__xludf.DUMMYFUNCTION("""COMPUTED_VALUE"""),1989790.0)</f>
        <v>1989790</v>
      </c>
    </row>
    <row r="1179">
      <c r="A1179" s="26">
        <f>IFERROR(__xludf.DUMMYFUNCTION("""COMPUTED_VALUE"""),40101.645833333336)</f>
        <v>40101.64583</v>
      </c>
      <c r="B1179" s="9">
        <f>IFERROR(__xludf.DUMMYFUNCTION("""COMPUTED_VALUE"""),283.13)</f>
        <v>283.13</v>
      </c>
      <c r="C1179" s="9">
        <f>IFERROR(__xludf.DUMMYFUNCTION("""COMPUTED_VALUE"""),283.96)</f>
        <v>283.96</v>
      </c>
      <c r="D1179" s="9">
        <f>IFERROR(__xludf.DUMMYFUNCTION("""COMPUTED_VALUE"""),273.25)</f>
        <v>273.25</v>
      </c>
      <c r="E1179" s="9">
        <f>IFERROR(__xludf.DUMMYFUNCTION("""COMPUTED_VALUE"""),277.18)</f>
        <v>277.18</v>
      </c>
      <c r="F1179" s="9">
        <f>IFERROR(__xludf.DUMMYFUNCTION("""COMPUTED_VALUE"""),900591.0)</f>
        <v>900591</v>
      </c>
      <c r="H1179" s="27">
        <f>IFERROR(__xludf.DUMMYFUNCTION("""COMPUTED_VALUE"""),40101.645833333336)</f>
        <v>40101.64583</v>
      </c>
      <c r="I1179" s="25">
        <f>IFERROR(__xludf.DUMMYFUNCTION("""COMPUTED_VALUE"""),297.0)</f>
        <v>297</v>
      </c>
      <c r="J1179" s="25">
        <f>IFERROR(__xludf.DUMMYFUNCTION("""COMPUTED_VALUE"""),298.95)</f>
        <v>298.95</v>
      </c>
      <c r="K1179" s="25">
        <f>IFERROR(__xludf.DUMMYFUNCTION("""COMPUTED_VALUE"""),287.5)</f>
        <v>287.5</v>
      </c>
      <c r="L1179" s="25">
        <f>IFERROR(__xludf.DUMMYFUNCTION("""COMPUTED_VALUE"""),290.9)</f>
        <v>290.9</v>
      </c>
      <c r="M1179" s="25">
        <f>IFERROR(__xludf.DUMMYFUNCTION("""COMPUTED_VALUE"""),2116190.0)</f>
        <v>2116190</v>
      </c>
    </row>
    <row r="1180">
      <c r="A1180" s="26">
        <f>IFERROR(__xludf.DUMMYFUNCTION("""COMPUTED_VALUE"""),40102.645833333336)</f>
        <v>40102.64583</v>
      </c>
      <c r="B1180" s="9">
        <f>IFERROR(__xludf.DUMMYFUNCTION("""COMPUTED_VALUE"""),277.25)</f>
        <v>277.25</v>
      </c>
      <c r="C1180" s="9">
        <f>IFERROR(__xludf.DUMMYFUNCTION("""COMPUTED_VALUE"""),279.95)</f>
        <v>279.95</v>
      </c>
      <c r="D1180" s="9">
        <f>IFERROR(__xludf.DUMMYFUNCTION("""COMPUTED_VALUE"""),273.13)</f>
        <v>273.13</v>
      </c>
      <c r="E1180" s="9">
        <f>IFERROR(__xludf.DUMMYFUNCTION("""COMPUTED_VALUE"""),273.74)</f>
        <v>273.74</v>
      </c>
      <c r="F1180" s="9">
        <f>IFERROR(__xludf.DUMMYFUNCTION("""COMPUTED_VALUE"""),1039249.0)</f>
        <v>1039249</v>
      </c>
      <c r="H1180" s="27">
        <f>IFERROR(__xludf.DUMMYFUNCTION("""COMPUTED_VALUE"""),40102.645833333336)</f>
        <v>40102.64583</v>
      </c>
      <c r="I1180" s="25">
        <f>IFERROR(__xludf.DUMMYFUNCTION("""COMPUTED_VALUE"""),283.0)</f>
        <v>283</v>
      </c>
      <c r="J1180" s="25">
        <f>IFERROR(__xludf.DUMMYFUNCTION("""COMPUTED_VALUE"""),302.2)</f>
        <v>302.2</v>
      </c>
      <c r="K1180" s="25">
        <f>IFERROR(__xludf.DUMMYFUNCTION("""COMPUTED_VALUE"""),283.0)</f>
        <v>283</v>
      </c>
      <c r="L1180" s="25">
        <f>IFERROR(__xludf.DUMMYFUNCTION("""COMPUTED_VALUE"""),299.15)</f>
        <v>299.15</v>
      </c>
      <c r="M1180" s="25">
        <f>IFERROR(__xludf.DUMMYFUNCTION("""COMPUTED_VALUE"""),3594971.0)</f>
        <v>3594971</v>
      </c>
    </row>
    <row r="1181">
      <c r="A1181" s="26">
        <f>IFERROR(__xludf.DUMMYFUNCTION("""COMPUTED_VALUE"""),40106.645833333336)</f>
        <v>40106.64583</v>
      </c>
      <c r="B1181" s="9">
        <f>IFERROR(__xludf.DUMMYFUNCTION("""COMPUTED_VALUE"""),274.88)</f>
        <v>274.88</v>
      </c>
      <c r="C1181" s="9">
        <f>IFERROR(__xludf.DUMMYFUNCTION("""COMPUTED_VALUE"""),277.88)</f>
        <v>277.88</v>
      </c>
      <c r="D1181" s="9">
        <f>IFERROR(__xludf.DUMMYFUNCTION("""COMPUTED_VALUE"""),271.27)</f>
        <v>271.27</v>
      </c>
      <c r="E1181" s="9">
        <f>IFERROR(__xludf.DUMMYFUNCTION("""COMPUTED_VALUE"""),273.54)</f>
        <v>273.54</v>
      </c>
      <c r="F1181" s="9">
        <f>IFERROR(__xludf.DUMMYFUNCTION("""COMPUTED_VALUE"""),1573984.0)</f>
        <v>1573984</v>
      </c>
      <c r="H1181" s="27">
        <f>IFERROR(__xludf.DUMMYFUNCTION("""COMPUTED_VALUE"""),40106.645833333336)</f>
        <v>40106.64583</v>
      </c>
      <c r="I1181" s="25">
        <f>IFERROR(__xludf.DUMMYFUNCTION("""COMPUTED_VALUE"""),307.0)</f>
        <v>307</v>
      </c>
      <c r="J1181" s="25">
        <f>IFERROR(__xludf.DUMMYFUNCTION("""COMPUTED_VALUE"""),312.9)</f>
        <v>312.9</v>
      </c>
      <c r="K1181" s="25">
        <f>IFERROR(__xludf.DUMMYFUNCTION("""COMPUTED_VALUE"""),306.02)</f>
        <v>306.02</v>
      </c>
      <c r="L1181" s="25">
        <f>IFERROR(__xludf.DUMMYFUNCTION("""COMPUTED_VALUE"""),310.52)</f>
        <v>310.52</v>
      </c>
      <c r="M1181" s="25">
        <f>IFERROR(__xludf.DUMMYFUNCTION("""COMPUTED_VALUE"""),3920292.0)</f>
        <v>3920292</v>
      </c>
    </row>
    <row r="1182">
      <c r="A1182" s="26">
        <f>IFERROR(__xludf.DUMMYFUNCTION("""COMPUTED_VALUE"""),40107.645833333336)</f>
        <v>40107.64583</v>
      </c>
      <c r="B1182" s="9">
        <f>IFERROR(__xludf.DUMMYFUNCTION("""COMPUTED_VALUE"""),275.6)</f>
        <v>275.6</v>
      </c>
      <c r="C1182" s="9">
        <f>IFERROR(__xludf.DUMMYFUNCTION("""COMPUTED_VALUE"""),279.88)</f>
        <v>279.88</v>
      </c>
      <c r="D1182" s="9">
        <f>IFERROR(__xludf.DUMMYFUNCTION("""COMPUTED_VALUE"""),272.5)</f>
        <v>272.5</v>
      </c>
      <c r="E1182" s="9">
        <f>IFERROR(__xludf.DUMMYFUNCTION("""COMPUTED_VALUE"""),277.08)</f>
        <v>277.08</v>
      </c>
      <c r="F1182" s="9">
        <f>IFERROR(__xludf.DUMMYFUNCTION("""COMPUTED_VALUE"""),1612418.0)</f>
        <v>1612418</v>
      </c>
      <c r="H1182" s="27">
        <f>IFERROR(__xludf.DUMMYFUNCTION("""COMPUTED_VALUE"""),40107.645833333336)</f>
        <v>40107.64583</v>
      </c>
      <c r="I1182" s="25">
        <f>IFERROR(__xludf.DUMMYFUNCTION("""COMPUTED_VALUE"""),310.0)</f>
        <v>310</v>
      </c>
      <c r="J1182" s="25">
        <f>IFERROR(__xludf.DUMMYFUNCTION("""COMPUTED_VALUE"""),319.7)</f>
        <v>319.7</v>
      </c>
      <c r="K1182" s="25">
        <f>IFERROR(__xludf.DUMMYFUNCTION("""COMPUTED_VALUE"""),309.0)</f>
        <v>309</v>
      </c>
      <c r="L1182" s="25">
        <f>IFERROR(__xludf.DUMMYFUNCTION("""COMPUTED_VALUE"""),316.4)</f>
        <v>316.4</v>
      </c>
      <c r="M1182" s="25">
        <f>IFERROR(__xludf.DUMMYFUNCTION("""COMPUTED_VALUE"""),2865819.0)</f>
        <v>2865819</v>
      </c>
    </row>
    <row r="1183">
      <c r="A1183" s="26">
        <f>IFERROR(__xludf.DUMMYFUNCTION("""COMPUTED_VALUE"""),40108.645833333336)</f>
        <v>40108.64583</v>
      </c>
      <c r="B1183" s="9">
        <f>IFERROR(__xludf.DUMMYFUNCTION("""COMPUTED_VALUE"""),275.0)</f>
        <v>275</v>
      </c>
      <c r="C1183" s="9">
        <f>IFERROR(__xludf.DUMMYFUNCTION("""COMPUTED_VALUE"""),281.25)</f>
        <v>281.25</v>
      </c>
      <c r="D1183" s="9">
        <f>IFERROR(__xludf.DUMMYFUNCTION("""COMPUTED_VALUE"""),273.9)</f>
        <v>273.9</v>
      </c>
      <c r="E1183" s="9">
        <f>IFERROR(__xludf.DUMMYFUNCTION("""COMPUTED_VALUE"""),276.64)</f>
        <v>276.64</v>
      </c>
      <c r="F1183" s="9">
        <f>IFERROR(__xludf.DUMMYFUNCTION("""COMPUTED_VALUE"""),1889645.0)</f>
        <v>1889645</v>
      </c>
      <c r="H1183" s="27">
        <f>IFERROR(__xludf.DUMMYFUNCTION("""COMPUTED_VALUE"""),40108.645833333336)</f>
        <v>40108.64583</v>
      </c>
      <c r="I1183" s="25">
        <f>IFERROR(__xludf.DUMMYFUNCTION("""COMPUTED_VALUE"""),316.0)</f>
        <v>316</v>
      </c>
      <c r="J1183" s="25">
        <f>IFERROR(__xludf.DUMMYFUNCTION("""COMPUTED_VALUE"""),321.98)</f>
        <v>321.98</v>
      </c>
      <c r="K1183" s="25">
        <f>IFERROR(__xludf.DUMMYFUNCTION("""COMPUTED_VALUE"""),307.67)</f>
        <v>307.67</v>
      </c>
      <c r="L1183" s="25">
        <f>IFERROR(__xludf.DUMMYFUNCTION("""COMPUTED_VALUE"""),312.92)</f>
        <v>312.92</v>
      </c>
      <c r="M1183" s="25">
        <f>IFERROR(__xludf.DUMMYFUNCTION("""COMPUTED_VALUE"""),2146462.0)</f>
        <v>2146462</v>
      </c>
    </row>
    <row r="1184">
      <c r="A1184" s="26">
        <f>IFERROR(__xludf.DUMMYFUNCTION("""COMPUTED_VALUE"""),40109.645833333336)</f>
        <v>40109.64583</v>
      </c>
      <c r="B1184" s="9">
        <f>IFERROR(__xludf.DUMMYFUNCTION("""COMPUTED_VALUE"""),278.75)</f>
        <v>278.75</v>
      </c>
      <c r="C1184" s="9">
        <f>IFERROR(__xludf.DUMMYFUNCTION("""COMPUTED_VALUE"""),284.38)</f>
        <v>284.38</v>
      </c>
      <c r="D1184" s="9">
        <f>IFERROR(__xludf.DUMMYFUNCTION("""COMPUTED_VALUE"""),276.52)</f>
        <v>276.52</v>
      </c>
      <c r="E1184" s="9">
        <f>IFERROR(__xludf.DUMMYFUNCTION("""COMPUTED_VALUE"""),282.5)</f>
        <v>282.5</v>
      </c>
      <c r="F1184" s="9">
        <f>IFERROR(__xludf.DUMMYFUNCTION("""COMPUTED_VALUE"""),1566527.0)</f>
        <v>1566527</v>
      </c>
      <c r="H1184" s="27">
        <f>IFERROR(__xludf.DUMMYFUNCTION("""COMPUTED_VALUE"""),40109.645833333336)</f>
        <v>40109.64583</v>
      </c>
      <c r="I1184" s="25">
        <f>IFERROR(__xludf.DUMMYFUNCTION("""COMPUTED_VALUE"""),315.05)</f>
        <v>315.05</v>
      </c>
      <c r="J1184" s="25">
        <f>IFERROR(__xludf.DUMMYFUNCTION("""COMPUTED_VALUE"""),322.95)</f>
        <v>322.95</v>
      </c>
      <c r="K1184" s="25">
        <f>IFERROR(__xludf.DUMMYFUNCTION("""COMPUTED_VALUE"""),314.8)</f>
        <v>314.8</v>
      </c>
      <c r="L1184" s="25">
        <f>IFERROR(__xludf.DUMMYFUNCTION("""COMPUTED_VALUE"""),319.9)</f>
        <v>319.9</v>
      </c>
      <c r="M1184" s="25">
        <f>IFERROR(__xludf.DUMMYFUNCTION("""COMPUTED_VALUE"""),3747230.0)</f>
        <v>3747230</v>
      </c>
    </row>
    <row r="1185">
      <c r="A1185" s="26">
        <f>IFERROR(__xludf.DUMMYFUNCTION("""COMPUTED_VALUE"""),40112.645833333336)</f>
        <v>40112.64583</v>
      </c>
      <c r="B1185" s="9">
        <f>IFERROR(__xludf.DUMMYFUNCTION("""COMPUTED_VALUE"""),283.18)</f>
        <v>283.18</v>
      </c>
      <c r="C1185" s="9">
        <f>IFERROR(__xludf.DUMMYFUNCTION("""COMPUTED_VALUE"""),287.43)</f>
        <v>287.43</v>
      </c>
      <c r="D1185" s="9">
        <f>IFERROR(__xludf.DUMMYFUNCTION("""COMPUTED_VALUE"""),278.75)</f>
        <v>278.75</v>
      </c>
      <c r="E1185" s="9">
        <f>IFERROR(__xludf.DUMMYFUNCTION("""COMPUTED_VALUE"""),284.24)</f>
        <v>284.24</v>
      </c>
      <c r="F1185" s="9">
        <f>IFERROR(__xludf.DUMMYFUNCTION("""COMPUTED_VALUE"""),1253722.0)</f>
        <v>1253722</v>
      </c>
      <c r="H1185" s="27">
        <f>IFERROR(__xludf.DUMMYFUNCTION("""COMPUTED_VALUE"""),40112.645833333336)</f>
        <v>40112.64583</v>
      </c>
      <c r="I1185" s="25">
        <f>IFERROR(__xludf.DUMMYFUNCTION("""COMPUTED_VALUE"""),321.5)</f>
        <v>321.5</v>
      </c>
      <c r="J1185" s="25">
        <f>IFERROR(__xludf.DUMMYFUNCTION("""COMPUTED_VALUE"""),328.83)</f>
        <v>328.83</v>
      </c>
      <c r="K1185" s="25">
        <f>IFERROR(__xludf.DUMMYFUNCTION("""COMPUTED_VALUE"""),317.5)</f>
        <v>317.5</v>
      </c>
      <c r="L1185" s="25">
        <f>IFERROR(__xludf.DUMMYFUNCTION("""COMPUTED_VALUE"""),322.27)</f>
        <v>322.27</v>
      </c>
      <c r="M1185" s="25">
        <f>IFERROR(__xludf.DUMMYFUNCTION("""COMPUTED_VALUE"""),2035873.0)</f>
        <v>2035873</v>
      </c>
    </row>
    <row r="1186">
      <c r="A1186" s="26">
        <f>IFERROR(__xludf.DUMMYFUNCTION("""COMPUTED_VALUE"""),40113.645833333336)</f>
        <v>40113.64583</v>
      </c>
      <c r="B1186" s="9">
        <f>IFERROR(__xludf.DUMMYFUNCTION("""COMPUTED_VALUE"""),283.13)</f>
        <v>283.13</v>
      </c>
      <c r="C1186" s="9">
        <f>IFERROR(__xludf.DUMMYFUNCTION("""COMPUTED_VALUE"""),287.49)</f>
        <v>287.49</v>
      </c>
      <c r="D1186" s="9">
        <f>IFERROR(__xludf.DUMMYFUNCTION("""COMPUTED_VALUE"""),276.96)</f>
        <v>276.96</v>
      </c>
      <c r="E1186" s="9">
        <f>IFERROR(__xludf.DUMMYFUNCTION("""COMPUTED_VALUE"""),280.33)</f>
        <v>280.33</v>
      </c>
      <c r="F1186" s="9">
        <f>IFERROR(__xludf.DUMMYFUNCTION("""COMPUTED_VALUE"""),1792157.0)</f>
        <v>1792157</v>
      </c>
      <c r="H1186" s="27">
        <f>IFERROR(__xludf.DUMMYFUNCTION("""COMPUTED_VALUE"""),40113.645833333336)</f>
        <v>40113.64583</v>
      </c>
      <c r="I1186" s="25">
        <f>IFERROR(__xludf.DUMMYFUNCTION("""COMPUTED_VALUE"""),328.95)</f>
        <v>328.95</v>
      </c>
      <c r="J1186" s="25">
        <f>IFERROR(__xludf.DUMMYFUNCTION("""COMPUTED_VALUE"""),328.95)</f>
        <v>328.95</v>
      </c>
      <c r="K1186" s="25">
        <f>IFERROR(__xludf.DUMMYFUNCTION("""COMPUTED_VALUE"""),317.27)</f>
        <v>317.27</v>
      </c>
      <c r="L1186" s="25">
        <f>IFERROR(__xludf.DUMMYFUNCTION("""COMPUTED_VALUE"""),321.38)</f>
        <v>321.38</v>
      </c>
      <c r="M1186" s="25">
        <f>IFERROR(__xludf.DUMMYFUNCTION("""COMPUTED_VALUE"""),1970440.0)</f>
        <v>1970440</v>
      </c>
    </row>
    <row r="1187">
      <c r="A1187" s="26">
        <f>IFERROR(__xludf.DUMMYFUNCTION("""COMPUTED_VALUE"""),40114.645833333336)</f>
        <v>40114.64583</v>
      </c>
      <c r="B1187" s="9">
        <f>IFERROR(__xludf.DUMMYFUNCTION("""COMPUTED_VALUE"""),280.08)</f>
        <v>280.08</v>
      </c>
      <c r="C1187" s="9">
        <f>IFERROR(__xludf.DUMMYFUNCTION("""COMPUTED_VALUE"""),283.5)</f>
        <v>283.5</v>
      </c>
      <c r="D1187" s="9">
        <f>IFERROR(__xludf.DUMMYFUNCTION("""COMPUTED_VALUE"""),277.54)</f>
        <v>277.54</v>
      </c>
      <c r="E1187" s="9">
        <f>IFERROR(__xludf.DUMMYFUNCTION("""COMPUTED_VALUE"""),282.09)</f>
        <v>282.09</v>
      </c>
      <c r="F1187" s="9">
        <f>IFERROR(__xludf.DUMMYFUNCTION("""COMPUTED_VALUE"""),1532847.0)</f>
        <v>1532847</v>
      </c>
      <c r="H1187" s="27">
        <f>IFERROR(__xludf.DUMMYFUNCTION("""COMPUTED_VALUE"""),40114.645833333336)</f>
        <v>40114.64583</v>
      </c>
      <c r="I1187" s="25">
        <f>IFERROR(__xludf.DUMMYFUNCTION("""COMPUTED_VALUE"""),321.2)</f>
        <v>321.2</v>
      </c>
      <c r="J1187" s="25">
        <f>IFERROR(__xludf.DUMMYFUNCTION("""COMPUTED_VALUE"""),324.45)</f>
        <v>324.45</v>
      </c>
      <c r="K1187" s="25">
        <f>IFERROR(__xludf.DUMMYFUNCTION("""COMPUTED_VALUE"""),317.5)</f>
        <v>317.5</v>
      </c>
      <c r="L1187" s="25">
        <f>IFERROR(__xludf.DUMMYFUNCTION("""COMPUTED_VALUE"""),321.42)</f>
        <v>321.42</v>
      </c>
      <c r="M1187" s="25">
        <f>IFERROR(__xludf.DUMMYFUNCTION("""COMPUTED_VALUE"""),1791157.0)</f>
        <v>1791157</v>
      </c>
    </row>
    <row r="1188">
      <c r="A1188" s="26">
        <f>IFERROR(__xludf.DUMMYFUNCTION("""COMPUTED_VALUE"""),40115.645833333336)</f>
        <v>40115.64583</v>
      </c>
      <c r="B1188" s="9">
        <f>IFERROR(__xludf.DUMMYFUNCTION("""COMPUTED_VALUE"""),281.13)</f>
        <v>281.13</v>
      </c>
      <c r="C1188" s="9">
        <f>IFERROR(__xludf.DUMMYFUNCTION("""COMPUTED_VALUE"""),281.13)</f>
        <v>281.13</v>
      </c>
      <c r="D1188" s="9">
        <f>IFERROR(__xludf.DUMMYFUNCTION("""COMPUTED_VALUE"""),274.4)</f>
        <v>274.4</v>
      </c>
      <c r="E1188" s="9">
        <f>IFERROR(__xludf.DUMMYFUNCTION("""COMPUTED_VALUE"""),276.04)</f>
        <v>276.04</v>
      </c>
      <c r="F1188" s="9">
        <f>IFERROR(__xludf.DUMMYFUNCTION("""COMPUTED_VALUE"""),1907586.0)</f>
        <v>1907586</v>
      </c>
      <c r="H1188" s="27">
        <f>IFERROR(__xludf.DUMMYFUNCTION("""COMPUTED_VALUE"""),40115.645833333336)</f>
        <v>40115.64583</v>
      </c>
      <c r="I1188" s="25">
        <f>IFERROR(__xludf.DUMMYFUNCTION("""COMPUTED_VALUE"""),318.0)</f>
        <v>318</v>
      </c>
      <c r="J1188" s="25">
        <f>IFERROR(__xludf.DUMMYFUNCTION("""COMPUTED_VALUE"""),322.75)</f>
        <v>322.75</v>
      </c>
      <c r="K1188" s="25">
        <f>IFERROR(__xludf.DUMMYFUNCTION("""COMPUTED_VALUE"""),315.6)</f>
        <v>315.6</v>
      </c>
      <c r="L1188" s="25">
        <f>IFERROR(__xludf.DUMMYFUNCTION("""COMPUTED_VALUE"""),317.02)</f>
        <v>317.02</v>
      </c>
      <c r="M1188" s="25">
        <f>IFERROR(__xludf.DUMMYFUNCTION("""COMPUTED_VALUE"""),2441356.0)</f>
        <v>2441356</v>
      </c>
    </row>
    <row r="1189">
      <c r="A1189" s="26">
        <f>IFERROR(__xludf.DUMMYFUNCTION("""COMPUTED_VALUE"""),40116.645833333336)</f>
        <v>40116.64583</v>
      </c>
      <c r="B1189" s="9">
        <f>IFERROR(__xludf.DUMMYFUNCTION("""COMPUTED_VALUE"""),278.5)</f>
        <v>278.5</v>
      </c>
      <c r="C1189" s="9">
        <f>IFERROR(__xludf.DUMMYFUNCTION("""COMPUTED_VALUE"""),281.13)</f>
        <v>281.13</v>
      </c>
      <c r="D1189" s="9">
        <f>IFERROR(__xludf.DUMMYFUNCTION("""COMPUTED_VALUE"""),267.77)</f>
        <v>267.77</v>
      </c>
      <c r="E1189" s="9">
        <f>IFERROR(__xludf.DUMMYFUNCTION("""COMPUTED_VALUE"""),275.77)</f>
        <v>275.77</v>
      </c>
      <c r="F1189" s="9">
        <f>IFERROR(__xludf.DUMMYFUNCTION("""COMPUTED_VALUE"""),1785341.0)</f>
        <v>1785341</v>
      </c>
      <c r="H1189" s="27">
        <f>IFERROR(__xludf.DUMMYFUNCTION("""COMPUTED_VALUE"""),40116.645833333336)</f>
        <v>40116.64583</v>
      </c>
      <c r="I1189" s="25">
        <f>IFERROR(__xludf.DUMMYFUNCTION("""COMPUTED_VALUE"""),321.0)</f>
        <v>321</v>
      </c>
      <c r="J1189" s="25">
        <f>IFERROR(__xludf.DUMMYFUNCTION("""COMPUTED_VALUE"""),324.38)</f>
        <v>324.38</v>
      </c>
      <c r="K1189" s="25">
        <f>IFERROR(__xludf.DUMMYFUNCTION("""COMPUTED_VALUE"""),310.0)</f>
        <v>310</v>
      </c>
      <c r="L1189" s="25">
        <f>IFERROR(__xludf.DUMMYFUNCTION("""COMPUTED_VALUE"""),314.15)</f>
        <v>314.15</v>
      </c>
      <c r="M1189" s="25">
        <f>IFERROR(__xludf.DUMMYFUNCTION("""COMPUTED_VALUE"""),1438062.0)</f>
        <v>1438062</v>
      </c>
    </row>
    <row r="1190">
      <c r="A1190" s="26">
        <f>IFERROR(__xludf.DUMMYFUNCTION("""COMPUTED_VALUE"""),40120.645833333336)</f>
        <v>40120.64583</v>
      </c>
      <c r="B1190" s="9">
        <f>IFERROR(__xludf.DUMMYFUNCTION("""COMPUTED_VALUE"""),275.38)</f>
        <v>275.38</v>
      </c>
      <c r="C1190" s="9">
        <f>IFERROR(__xludf.DUMMYFUNCTION("""COMPUTED_VALUE"""),280.91)</f>
        <v>280.91</v>
      </c>
      <c r="D1190" s="9">
        <f>IFERROR(__xludf.DUMMYFUNCTION("""COMPUTED_VALUE"""),266.26)</f>
        <v>266.26</v>
      </c>
      <c r="E1190" s="9">
        <f>IFERROR(__xludf.DUMMYFUNCTION("""COMPUTED_VALUE"""),267.88)</f>
        <v>267.88</v>
      </c>
      <c r="F1190" s="9">
        <f>IFERROR(__xludf.DUMMYFUNCTION("""COMPUTED_VALUE"""),1505283.0)</f>
        <v>1505283</v>
      </c>
      <c r="H1190" s="27">
        <f>IFERROR(__xludf.DUMMYFUNCTION("""COMPUTED_VALUE"""),40120.645833333336)</f>
        <v>40120.64583</v>
      </c>
      <c r="I1190" s="25">
        <f>IFERROR(__xludf.DUMMYFUNCTION("""COMPUTED_VALUE"""),318.0)</f>
        <v>318</v>
      </c>
      <c r="J1190" s="25">
        <f>IFERROR(__xludf.DUMMYFUNCTION("""COMPUTED_VALUE"""),318.0)</f>
        <v>318</v>
      </c>
      <c r="K1190" s="25">
        <f>IFERROR(__xludf.DUMMYFUNCTION("""COMPUTED_VALUE"""),300.5)</f>
        <v>300.5</v>
      </c>
      <c r="L1190" s="25">
        <f>IFERROR(__xludf.DUMMYFUNCTION("""COMPUTED_VALUE"""),303.02)</f>
        <v>303.02</v>
      </c>
      <c r="M1190" s="25">
        <f>IFERROR(__xludf.DUMMYFUNCTION("""COMPUTED_VALUE"""),1384144.0)</f>
        <v>1384144</v>
      </c>
    </row>
    <row r="1191">
      <c r="A1191" s="26">
        <f>IFERROR(__xludf.DUMMYFUNCTION("""COMPUTED_VALUE"""),40121.645833333336)</f>
        <v>40121.64583</v>
      </c>
      <c r="B1191" s="9">
        <f>IFERROR(__xludf.DUMMYFUNCTION("""COMPUTED_VALUE"""),269.88)</f>
        <v>269.88</v>
      </c>
      <c r="C1191" s="9">
        <f>IFERROR(__xludf.DUMMYFUNCTION("""COMPUTED_VALUE"""),282.5)</f>
        <v>282.5</v>
      </c>
      <c r="D1191" s="9">
        <f>IFERROR(__xludf.DUMMYFUNCTION("""COMPUTED_VALUE"""),269.88)</f>
        <v>269.88</v>
      </c>
      <c r="E1191" s="9">
        <f>IFERROR(__xludf.DUMMYFUNCTION("""COMPUTED_VALUE"""),279.64)</f>
        <v>279.64</v>
      </c>
      <c r="F1191" s="9">
        <f>IFERROR(__xludf.DUMMYFUNCTION("""COMPUTED_VALUE"""),1596411.0)</f>
        <v>1596411</v>
      </c>
      <c r="H1191" s="27">
        <f>IFERROR(__xludf.DUMMYFUNCTION("""COMPUTED_VALUE"""),40121.645833333336)</f>
        <v>40121.64583</v>
      </c>
      <c r="I1191" s="25">
        <f>IFERROR(__xludf.DUMMYFUNCTION("""COMPUTED_VALUE"""),305.55)</f>
        <v>305.55</v>
      </c>
      <c r="J1191" s="25">
        <f>IFERROR(__xludf.DUMMYFUNCTION("""COMPUTED_VALUE"""),314.0)</f>
        <v>314</v>
      </c>
      <c r="K1191" s="25">
        <f>IFERROR(__xludf.DUMMYFUNCTION("""COMPUTED_VALUE"""),305.0)</f>
        <v>305</v>
      </c>
      <c r="L1191" s="25">
        <f>IFERROR(__xludf.DUMMYFUNCTION("""COMPUTED_VALUE"""),312.85)</f>
        <v>312.85</v>
      </c>
      <c r="M1191" s="25">
        <f>IFERROR(__xludf.DUMMYFUNCTION("""COMPUTED_VALUE"""),2277899.0)</f>
        <v>2277899</v>
      </c>
    </row>
    <row r="1192">
      <c r="A1192" s="26">
        <f>IFERROR(__xludf.DUMMYFUNCTION("""COMPUTED_VALUE"""),40122.645833333336)</f>
        <v>40122.64583</v>
      </c>
      <c r="B1192" s="9">
        <f>IFERROR(__xludf.DUMMYFUNCTION("""COMPUTED_VALUE"""),278.27)</f>
        <v>278.27</v>
      </c>
      <c r="C1192" s="9">
        <f>IFERROR(__xludf.DUMMYFUNCTION("""COMPUTED_VALUE"""),280.28)</f>
        <v>280.28</v>
      </c>
      <c r="D1192" s="9">
        <f>IFERROR(__xludf.DUMMYFUNCTION("""COMPUTED_VALUE"""),270.61)</f>
        <v>270.61</v>
      </c>
      <c r="E1192" s="9">
        <f>IFERROR(__xludf.DUMMYFUNCTION("""COMPUTED_VALUE"""),277.71)</f>
        <v>277.71</v>
      </c>
      <c r="F1192" s="9">
        <f>IFERROR(__xludf.DUMMYFUNCTION("""COMPUTED_VALUE"""),1127050.0)</f>
        <v>1127050</v>
      </c>
      <c r="H1192" s="27">
        <f>IFERROR(__xludf.DUMMYFUNCTION("""COMPUTED_VALUE"""),40122.645833333336)</f>
        <v>40122.64583</v>
      </c>
      <c r="I1192" s="25">
        <f>IFERROR(__xludf.DUMMYFUNCTION("""COMPUTED_VALUE"""),315.0)</f>
        <v>315</v>
      </c>
      <c r="J1192" s="25">
        <f>IFERROR(__xludf.DUMMYFUNCTION("""COMPUTED_VALUE"""),315.0)</f>
        <v>315</v>
      </c>
      <c r="K1192" s="25">
        <f>IFERROR(__xludf.DUMMYFUNCTION("""COMPUTED_VALUE"""),302.8)</f>
        <v>302.8</v>
      </c>
      <c r="L1192" s="25">
        <f>IFERROR(__xludf.DUMMYFUNCTION("""COMPUTED_VALUE"""),312.25)</f>
        <v>312.25</v>
      </c>
      <c r="M1192" s="25">
        <f>IFERROR(__xludf.DUMMYFUNCTION("""COMPUTED_VALUE"""),1365651.0)</f>
        <v>1365651</v>
      </c>
    </row>
    <row r="1193">
      <c r="A1193" s="26">
        <f>IFERROR(__xludf.DUMMYFUNCTION("""COMPUTED_VALUE"""),40123.645833333336)</f>
        <v>40123.64583</v>
      </c>
      <c r="B1193" s="9">
        <f>IFERROR(__xludf.DUMMYFUNCTION("""COMPUTED_VALUE"""),280.05)</f>
        <v>280.05</v>
      </c>
      <c r="C1193" s="9">
        <f>IFERROR(__xludf.DUMMYFUNCTION("""COMPUTED_VALUE"""),281.25)</f>
        <v>281.25</v>
      </c>
      <c r="D1193" s="9">
        <f>IFERROR(__xludf.DUMMYFUNCTION("""COMPUTED_VALUE"""),274.07)</f>
        <v>274.07</v>
      </c>
      <c r="E1193" s="9">
        <f>IFERROR(__xludf.DUMMYFUNCTION("""COMPUTED_VALUE"""),277.33)</f>
        <v>277.33</v>
      </c>
      <c r="F1193" s="9">
        <f>IFERROR(__xludf.DUMMYFUNCTION("""COMPUTED_VALUE"""),825166.0)</f>
        <v>825166</v>
      </c>
      <c r="H1193" s="27">
        <f>IFERROR(__xludf.DUMMYFUNCTION("""COMPUTED_VALUE"""),40123.645833333336)</f>
        <v>40123.64583</v>
      </c>
      <c r="I1193" s="25">
        <f>IFERROR(__xludf.DUMMYFUNCTION("""COMPUTED_VALUE"""),310.0)</f>
        <v>310</v>
      </c>
      <c r="J1193" s="25">
        <f>IFERROR(__xludf.DUMMYFUNCTION("""COMPUTED_VALUE"""),317.48)</f>
        <v>317.48</v>
      </c>
      <c r="K1193" s="25">
        <f>IFERROR(__xludf.DUMMYFUNCTION("""COMPUTED_VALUE"""),306.83)</f>
        <v>306.83</v>
      </c>
      <c r="L1193" s="25">
        <f>IFERROR(__xludf.DUMMYFUNCTION("""COMPUTED_VALUE"""),311.08)</f>
        <v>311.08</v>
      </c>
      <c r="M1193" s="25">
        <f>IFERROR(__xludf.DUMMYFUNCTION("""COMPUTED_VALUE"""),2089742.0)</f>
        <v>2089742</v>
      </c>
    </row>
    <row r="1194">
      <c r="A1194" s="26">
        <f>IFERROR(__xludf.DUMMYFUNCTION("""COMPUTED_VALUE"""),40126.645833333336)</f>
        <v>40126.64583</v>
      </c>
      <c r="B1194" s="9">
        <f>IFERROR(__xludf.DUMMYFUNCTION("""COMPUTED_VALUE"""),278.75)</f>
        <v>278.75</v>
      </c>
      <c r="C1194" s="9">
        <f>IFERROR(__xludf.DUMMYFUNCTION("""COMPUTED_VALUE"""),280.0)</f>
        <v>280</v>
      </c>
      <c r="D1194" s="9">
        <f>IFERROR(__xludf.DUMMYFUNCTION("""COMPUTED_VALUE"""),275.0)</f>
        <v>275</v>
      </c>
      <c r="E1194" s="9">
        <f>IFERROR(__xludf.DUMMYFUNCTION("""COMPUTED_VALUE"""),279.01)</f>
        <v>279.01</v>
      </c>
      <c r="F1194" s="9">
        <f>IFERROR(__xludf.DUMMYFUNCTION("""COMPUTED_VALUE"""),635839.0)</f>
        <v>635839</v>
      </c>
      <c r="H1194" s="27">
        <f>IFERROR(__xludf.DUMMYFUNCTION("""COMPUTED_VALUE"""),40126.645833333336)</f>
        <v>40126.64583</v>
      </c>
      <c r="I1194" s="25">
        <f>IFERROR(__xludf.DUMMYFUNCTION("""COMPUTED_VALUE"""),312.5)</f>
        <v>312.5</v>
      </c>
      <c r="J1194" s="25">
        <f>IFERROR(__xludf.DUMMYFUNCTION("""COMPUTED_VALUE"""),314.0)</f>
        <v>314</v>
      </c>
      <c r="K1194" s="25">
        <f>IFERROR(__xludf.DUMMYFUNCTION("""COMPUTED_VALUE"""),307.5)</f>
        <v>307.5</v>
      </c>
      <c r="L1194" s="25">
        <f>IFERROR(__xludf.DUMMYFUNCTION("""COMPUTED_VALUE"""),311.38)</f>
        <v>311.38</v>
      </c>
      <c r="M1194" s="25">
        <f>IFERROR(__xludf.DUMMYFUNCTION("""COMPUTED_VALUE"""),1716043.0)</f>
        <v>1716043</v>
      </c>
    </row>
    <row r="1195">
      <c r="A1195" s="26">
        <f>IFERROR(__xludf.DUMMYFUNCTION("""COMPUTED_VALUE"""),40127.645833333336)</f>
        <v>40127.64583</v>
      </c>
      <c r="B1195" s="9">
        <f>IFERROR(__xludf.DUMMYFUNCTION("""COMPUTED_VALUE"""),283.25)</f>
        <v>283.25</v>
      </c>
      <c r="C1195" s="9">
        <f>IFERROR(__xludf.DUMMYFUNCTION("""COMPUTED_VALUE"""),283.73)</f>
        <v>283.73</v>
      </c>
      <c r="D1195" s="9">
        <f>IFERROR(__xludf.DUMMYFUNCTION("""COMPUTED_VALUE"""),275.08)</f>
        <v>275.08</v>
      </c>
      <c r="E1195" s="9">
        <f>IFERROR(__xludf.DUMMYFUNCTION("""COMPUTED_VALUE"""),277.24)</f>
        <v>277.24</v>
      </c>
      <c r="F1195" s="9">
        <f>IFERROR(__xludf.DUMMYFUNCTION("""COMPUTED_VALUE"""),765985.0)</f>
        <v>765985</v>
      </c>
      <c r="H1195" s="27">
        <f>IFERROR(__xludf.DUMMYFUNCTION("""COMPUTED_VALUE"""),40127.645833333336)</f>
        <v>40127.64583</v>
      </c>
      <c r="I1195" s="25">
        <f>IFERROR(__xludf.DUMMYFUNCTION("""COMPUTED_VALUE"""),313.0)</f>
        <v>313</v>
      </c>
      <c r="J1195" s="25">
        <f>IFERROR(__xludf.DUMMYFUNCTION("""COMPUTED_VALUE"""),314.5)</f>
        <v>314.5</v>
      </c>
      <c r="K1195" s="25">
        <f>IFERROR(__xludf.DUMMYFUNCTION("""COMPUTED_VALUE"""),310.0)</f>
        <v>310</v>
      </c>
      <c r="L1195" s="25">
        <f>IFERROR(__xludf.DUMMYFUNCTION("""COMPUTED_VALUE"""),313.33)</f>
        <v>313.33</v>
      </c>
      <c r="M1195" s="25">
        <f>IFERROR(__xludf.DUMMYFUNCTION("""COMPUTED_VALUE"""),2305203.0)</f>
        <v>2305203</v>
      </c>
    </row>
    <row r="1196">
      <c r="A1196" s="26">
        <f>IFERROR(__xludf.DUMMYFUNCTION("""COMPUTED_VALUE"""),40128.645833333336)</f>
        <v>40128.64583</v>
      </c>
      <c r="B1196" s="9">
        <f>IFERROR(__xludf.DUMMYFUNCTION("""COMPUTED_VALUE"""),276.5)</f>
        <v>276.5</v>
      </c>
      <c r="C1196" s="9">
        <f>IFERROR(__xludf.DUMMYFUNCTION("""COMPUTED_VALUE"""),289.38)</f>
        <v>289.38</v>
      </c>
      <c r="D1196" s="9">
        <f>IFERROR(__xludf.DUMMYFUNCTION("""COMPUTED_VALUE"""),276.25)</f>
        <v>276.25</v>
      </c>
      <c r="E1196" s="9">
        <f>IFERROR(__xludf.DUMMYFUNCTION("""COMPUTED_VALUE"""),288.34)</f>
        <v>288.34</v>
      </c>
      <c r="F1196" s="9">
        <f>IFERROR(__xludf.DUMMYFUNCTION("""COMPUTED_VALUE"""),1184337.0)</f>
        <v>1184337</v>
      </c>
      <c r="H1196" s="27">
        <f>IFERROR(__xludf.DUMMYFUNCTION("""COMPUTED_VALUE"""),40128.645833333336)</f>
        <v>40128.64583</v>
      </c>
      <c r="I1196" s="25">
        <f>IFERROR(__xludf.DUMMYFUNCTION("""COMPUTED_VALUE"""),313.52)</f>
        <v>313.52</v>
      </c>
      <c r="J1196" s="25">
        <f>IFERROR(__xludf.DUMMYFUNCTION("""COMPUTED_VALUE"""),323.5)</f>
        <v>323.5</v>
      </c>
      <c r="K1196" s="25">
        <f>IFERROR(__xludf.DUMMYFUNCTION("""COMPUTED_VALUE"""),309.25)</f>
        <v>309.25</v>
      </c>
      <c r="L1196" s="25">
        <f>IFERROR(__xludf.DUMMYFUNCTION("""COMPUTED_VALUE"""),322.63)</f>
        <v>322.63</v>
      </c>
      <c r="M1196" s="25">
        <f>IFERROR(__xludf.DUMMYFUNCTION("""COMPUTED_VALUE"""),2024706.0)</f>
        <v>2024706</v>
      </c>
    </row>
    <row r="1197">
      <c r="A1197" s="26">
        <f>IFERROR(__xludf.DUMMYFUNCTION("""COMPUTED_VALUE"""),40129.645833333336)</f>
        <v>40129.64583</v>
      </c>
      <c r="B1197" s="9">
        <f>IFERROR(__xludf.DUMMYFUNCTION("""COMPUTED_VALUE"""),285.84)</f>
        <v>285.84</v>
      </c>
      <c r="C1197" s="9">
        <f>IFERROR(__xludf.DUMMYFUNCTION("""COMPUTED_VALUE"""),293.63)</f>
        <v>293.63</v>
      </c>
      <c r="D1197" s="9">
        <f>IFERROR(__xludf.DUMMYFUNCTION("""COMPUTED_VALUE"""),285.84)</f>
        <v>285.84</v>
      </c>
      <c r="E1197" s="9">
        <f>IFERROR(__xludf.DUMMYFUNCTION("""COMPUTED_VALUE"""),290.8)</f>
        <v>290.8</v>
      </c>
      <c r="F1197" s="9">
        <f>IFERROR(__xludf.DUMMYFUNCTION("""COMPUTED_VALUE"""),1000152.0)</f>
        <v>1000152</v>
      </c>
      <c r="H1197" s="27">
        <f>IFERROR(__xludf.DUMMYFUNCTION("""COMPUTED_VALUE"""),40129.645833333336)</f>
        <v>40129.64583</v>
      </c>
      <c r="I1197" s="25">
        <f>IFERROR(__xludf.DUMMYFUNCTION("""COMPUTED_VALUE"""),322.5)</f>
        <v>322.5</v>
      </c>
      <c r="J1197" s="25">
        <f>IFERROR(__xludf.DUMMYFUNCTION("""COMPUTED_VALUE"""),330.75)</f>
        <v>330.75</v>
      </c>
      <c r="K1197" s="25">
        <f>IFERROR(__xludf.DUMMYFUNCTION("""COMPUTED_VALUE"""),321.77)</f>
        <v>321.77</v>
      </c>
      <c r="L1197" s="25">
        <f>IFERROR(__xludf.DUMMYFUNCTION("""COMPUTED_VALUE"""),327.67)</f>
        <v>327.67</v>
      </c>
      <c r="M1197" s="25">
        <f>IFERROR(__xludf.DUMMYFUNCTION("""COMPUTED_VALUE"""),2363883.0)</f>
        <v>2363883</v>
      </c>
    </row>
    <row r="1198">
      <c r="A1198" s="26">
        <f>IFERROR(__xludf.DUMMYFUNCTION("""COMPUTED_VALUE"""),40130.645833333336)</f>
        <v>40130.64583</v>
      </c>
      <c r="B1198" s="9">
        <f>IFERROR(__xludf.DUMMYFUNCTION("""COMPUTED_VALUE"""),291.61)</f>
        <v>291.61</v>
      </c>
      <c r="C1198" s="9">
        <f>IFERROR(__xludf.DUMMYFUNCTION("""COMPUTED_VALUE"""),296.81)</f>
        <v>296.81</v>
      </c>
      <c r="D1198" s="9">
        <f>IFERROR(__xludf.DUMMYFUNCTION("""COMPUTED_VALUE"""),289.08)</f>
        <v>289.08</v>
      </c>
      <c r="E1198" s="9">
        <f>IFERROR(__xludf.DUMMYFUNCTION("""COMPUTED_VALUE"""),294.96)</f>
        <v>294.96</v>
      </c>
      <c r="F1198" s="9">
        <f>IFERROR(__xludf.DUMMYFUNCTION("""COMPUTED_VALUE"""),906402.0)</f>
        <v>906402</v>
      </c>
      <c r="H1198" s="27">
        <f>IFERROR(__xludf.DUMMYFUNCTION("""COMPUTED_VALUE"""),40130.645833333336)</f>
        <v>40130.64583</v>
      </c>
      <c r="I1198" s="25">
        <f>IFERROR(__xludf.DUMMYFUNCTION("""COMPUTED_VALUE"""),327.48)</f>
        <v>327.48</v>
      </c>
      <c r="J1198" s="25">
        <f>IFERROR(__xludf.DUMMYFUNCTION("""COMPUTED_VALUE"""),337.45)</f>
        <v>337.45</v>
      </c>
      <c r="K1198" s="25">
        <f>IFERROR(__xludf.DUMMYFUNCTION("""COMPUTED_VALUE"""),323.77)</f>
        <v>323.77</v>
      </c>
      <c r="L1198" s="25">
        <f>IFERROR(__xludf.DUMMYFUNCTION("""COMPUTED_VALUE"""),335.08)</f>
        <v>335.08</v>
      </c>
      <c r="M1198" s="25">
        <f>IFERROR(__xludf.DUMMYFUNCTION("""COMPUTED_VALUE"""),2298948.0)</f>
        <v>2298948</v>
      </c>
    </row>
    <row r="1199">
      <c r="A1199" s="26">
        <f>IFERROR(__xludf.DUMMYFUNCTION("""COMPUTED_VALUE"""),40133.645833333336)</f>
        <v>40133.64583</v>
      </c>
      <c r="B1199" s="9">
        <f>IFERROR(__xludf.DUMMYFUNCTION("""COMPUTED_VALUE"""),295.93)</f>
        <v>295.93</v>
      </c>
      <c r="C1199" s="9">
        <f>IFERROR(__xludf.DUMMYFUNCTION("""COMPUTED_VALUE"""),296.84)</f>
        <v>296.84</v>
      </c>
      <c r="D1199" s="9">
        <f>IFERROR(__xludf.DUMMYFUNCTION("""COMPUTED_VALUE"""),291.91)</f>
        <v>291.91</v>
      </c>
      <c r="E1199" s="9">
        <f>IFERROR(__xludf.DUMMYFUNCTION("""COMPUTED_VALUE"""),293.99)</f>
        <v>293.99</v>
      </c>
      <c r="F1199" s="9">
        <f>IFERROR(__xludf.DUMMYFUNCTION("""COMPUTED_VALUE"""),637386.0)</f>
        <v>637386</v>
      </c>
      <c r="H1199" s="27">
        <f>IFERROR(__xludf.DUMMYFUNCTION("""COMPUTED_VALUE"""),40133.645833333336)</f>
        <v>40133.64583</v>
      </c>
      <c r="I1199" s="25">
        <f>IFERROR(__xludf.DUMMYFUNCTION("""COMPUTED_VALUE"""),335.0)</f>
        <v>335</v>
      </c>
      <c r="J1199" s="25">
        <f>IFERROR(__xludf.DUMMYFUNCTION("""COMPUTED_VALUE"""),338.5)</f>
        <v>338.5</v>
      </c>
      <c r="K1199" s="25">
        <f>IFERROR(__xludf.DUMMYFUNCTION("""COMPUTED_VALUE"""),330.0)</f>
        <v>330</v>
      </c>
      <c r="L1199" s="25">
        <f>IFERROR(__xludf.DUMMYFUNCTION("""COMPUTED_VALUE"""),332.88)</f>
        <v>332.88</v>
      </c>
      <c r="M1199" s="25">
        <f>IFERROR(__xludf.DUMMYFUNCTION("""COMPUTED_VALUE"""),1761904.0)</f>
        <v>1761904</v>
      </c>
    </row>
    <row r="1200">
      <c r="A1200" s="26">
        <f>IFERROR(__xludf.DUMMYFUNCTION("""COMPUTED_VALUE"""),40134.645833333336)</f>
        <v>40134.64583</v>
      </c>
      <c r="B1200" s="9">
        <f>IFERROR(__xludf.DUMMYFUNCTION("""COMPUTED_VALUE"""),294.51)</f>
        <v>294.51</v>
      </c>
      <c r="C1200" s="9">
        <f>IFERROR(__xludf.DUMMYFUNCTION("""COMPUTED_VALUE"""),300.6)</f>
        <v>300.6</v>
      </c>
      <c r="D1200" s="9">
        <f>IFERROR(__xludf.DUMMYFUNCTION("""COMPUTED_VALUE"""),294.51)</f>
        <v>294.51</v>
      </c>
      <c r="E1200" s="9">
        <f>IFERROR(__xludf.DUMMYFUNCTION("""COMPUTED_VALUE"""),299.79)</f>
        <v>299.79</v>
      </c>
      <c r="F1200" s="9">
        <f>IFERROR(__xludf.DUMMYFUNCTION("""COMPUTED_VALUE"""),1018493.0)</f>
        <v>1018493</v>
      </c>
      <c r="H1200" s="27">
        <f>IFERROR(__xludf.DUMMYFUNCTION("""COMPUTED_VALUE"""),40134.645833333336)</f>
        <v>40134.64583</v>
      </c>
      <c r="I1200" s="25">
        <f>IFERROR(__xludf.DUMMYFUNCTION("""COMPUTED_VALUE"""),334.0)</f>
        <v>334</v>
      </c>
      <c r="J1200" s="25">
        <f>IFERROR(__xludf.DUMMYFUNCTION("""COMPUTED_VALUE"""),346.45)</f>
        <v>346.45</v>
      </c>
      <c r="K1200" s="25">
        <f>IFERROR(__xludf.DUMMYFUNCTION("""COMPUTED_VALUE"""),329.65)</f>
        <v>329.65</v>
      </c>
      <c r="L1200" s="25">
        <f>IFERROR(__xludf.DUMMYFUNCTION("""COMPUTED_VALUE"""),345.23)</f>
        <v>345.23</v>
      </c>
      <c r="M1200" s="25">
        <f>IFERROR(__xludf.DUMMYFUNCTION("""COMPUTED_VALUE"""),2672165.0)</f>
        <v>2672165</v>
      </c>
    </row>
    <row r="1201">
      <c r="A1201" s="26">
        <f>IFERROR(__xludf.DUMMYFUNCTION("""COMPUTED_VALUE"""),40135.645833333336)</f>
        <v>40135.64583</v>
      </c>
      <c r="B1201" s="9">
        <f>IFERROR(__xludf.DUMMYFUNCTION("""COMPUTED_VALUE"""),299.96)</f>
        <v>299.96</v>
      </c>
      <c r="C1201" s="9">
        <f>IFERROR(__xludf.DUMMYFUNCTION("""COMPUTED_VALUE"""),305.43)</f>
        <v>305.43</v>
      </c>
      <c r="D1201" s="9">
        <f>IFERROR(__xludf.DUMMYFUNCTION("""COMPUTED_VALUE"""),299.91)</f>
        <v>299.91</v>
      </c>
      <c r="E1201" s="9">
        <f>IFERROR(__xludf.DUMMYFUNCTION("""COMPUTED_VALUE"""),304.16)</f>
        <v>304.16</v>
      </c>
      <c r="F1201" s="9">
        <f>IFERROR(__xludf.DUMMYFUNCTION("""COMPUTED_VALUE"""),1102088.0)</f>
        <v>1102088</v>
      </c>
      <c r="H1201" s="27">
        <f>IFERROR(__xludf.DUMMYFUNCTION("""COMPUTED_VALUE"""),40135.645833333336)</f>
        <v>40135.64583</v>
      </c>
      <c r="I1201" s="25">
        <f>IFERROR(__xludf.DUMMYFUNCTION("""COMPUTED_VALUE"""),345.5)</f>
        <v>345.5</v>
      </c>
      <c r="J1201" s="25">
        <f>IFERROR(__xludf.DUMMYFUNCTION("""COMPUTED_VALUE"""),352.85)</f>
        <v>352.85</v>
      </c>
      <c r="K1201" s="25">
        <f>IFERROR(__xludf.DUMMYFUNCTION("""COMPUTED_VALUE"""),341.75)</f>
        <v>341.75</v>
      </c>
      <c r="L1201" s="25">
        <f>IFERROR(__xludf.DUMMYFUNCTION("""COMPUTED_VALUE"""),343.45)</f>
        <v>343.45</v>
      </c>
      <c r="M1201" s="25">
        <f>IFERROR(__xludf.DUMMYFUNCTION("""COMPUTED_VALUE"""),2791457.0)</f>
        <v>2791457</v>
      </c>
    </row>
    <row r="1202">
      <c r="A1202" s="26">
        <f>IFERROR(__xludf.DUMMYFUNCTION("""COMPUTED_VALUE"""),40136.645833333336)</f>
        <v>40136.64583</v>
      </c>
      <c r="B1202" s="9">
        <f>IFERROR(__xludf.DUMMYFUNCTION("""COMPUTED_VALUE"""),295.98)</f>
        <v>295.98</v>
      </c>
      <c r="C1202" s="9">
        <f>IFERROR(__xludf.DUMMYFUNCTION("""COMPUTED_VALUE"""),302.5)</f>
        <v>302.5</v>
      </c>
      <c r="D1202" s="9">
        <f>IFERROR(__xludf.DUMMYFUNCTION("""COMPUTED_VALUE"""),295.98)</f>
        <v>295.98</v>
      </c>
      <c r="E1202" s="9">
        <f>IFERROR(__xludf.DUMMYFUNCTION("""COMPUTED_VALUE"""),301.24)</f>
        <v>301.24</v>
      </c>
      <c r="F1202" s="9">
        <f>IFERROR(__xludf.DUMMYFUNCTION("""COMPUTED_VALUE"""),812327.0)</f>
        <v>812327</v>
      </c>
      <c r="H1202" s="27">
        <f>IFERROR(__xludf.DUMMYFUNCTION("""COMPUTED_VALUE"""),40136.645833333336)</f>
        <v>40136.64583</v>
      </c>
      <c r="I1202" s="25">
        <f>IFERROR(__xludf.DUMMYFUNCTION("""COMPUTED_VALUE"""),344.95)</f>
        <v>344.95</v>
      </c>
      <c r="J1202" s="25">
        <f>IFERROR(__xludf.DUMMYFUNCTION("""COMPUTED_VALUE"""),346.2)</f>
        <v>346.2</v>
      </c>
      <c r="K1202" s="25">
        <f>IFERROR(__xludf.DUMMYFUNCTION("""COMPUTED_VALUE"""),334.75)</f>
        <v>334.75</v>
      </c>
      <c r="L1202" s="25">
        <f>IFERROR(__xludf.DUMMYFUNCTION("""COMPUTED_VALUE"""),339.95)</f>
        <v>339.95</v>
      </c>
      <c r="M1202" s="25">
        <f>IFERROR(__xludf.DUMMYFUNCTION("""COMPUTED_VALUE"""),1732332.0)</f>
        <v>1732332</v>
      </c>
    </row>
    <row r="1203">
      <c r="A1203" s="26">
        <f>IFERROR(__xludf.DUMMYFUNCTION("""COMPUTED_VALUE"""),40137.645833333336)</f>
        <v>40137.64583</v>
      </c>
      <c r="B1203" s="9">
        <f>IFERROR(__xludf.DUMMYFUNCTION("""COMPUTED_VALUE"""),300.14)</f>
        <v>300.14</v>
      </c>
      <c r="C1203" s="9">
        <f>IFERROR(__xludf.DUMMYFUNCTION("""COMPUTED_VALUE"""),306.13)</f>
        <v>306.13</v>
      </c>
      <c r="D1203" s="9">
        <f>IFERROR(__xludf.DUMMYFUNCTION("""COMPUTED_VALUE"""),297.5)</f>
        <v>297.5</v>
      </c>
      <c r="E1203" s="9">
        <f>IFERROR(__xludf.DUMMYFUNCTION("""COMPUTED_VALUE"""),303.34)</f>
        <v>303.34</v>
      </c>
      <c r="F1203" s="9">
        <f>IFERROR(__xludf.DUMMYFUNCTION("""COMPUTED_VALUE"""),769552.0)</f>
        <v>769552</v>
      </c>
      <c r="H1203" s="27">
        <f>IFERROR(__xludf.DUMMYFUNCTION("""COMPUTED_VALUE"""),40137.645833333336)</f>
        <v>40137.64583</v>
      </c>
      <c r="I1203" s="25">
        <f>IFERROR(__xludf.DUMMYFUNCTION("""COMPUTED_VALUE"""),339.0)</f>
        <v>339</v>
      </c>
      <c r="J1203" s="25">
        <f>IFERROR(__xludf.DUMMYFUNCTION("""COMPUTED_VALUE"""),348.0)</f>
        <v>348</v>
      </c>
      <c r="K1203" s="25">
        <f>IFERROR(__xludf.DUMMYFUNCTION("""COMPUTED_VALUE"""),335.05)</f>
        <v>335.05</v>
      </c>
      <c r="L1203" s="25">
        <f>IFERROR(__xludf.DUMMYFUNCTION("""COMPUTED_VALUE"""),346.58)</f>
        <v>346.58</v>
      </c>
      <c r="M1203" s="25">
        <f>IFERROR(__xludf.DUMMYFUNCTION("""COMPUTED_VALUE"""),1400387.0)</f>
        <v>1400387</v>
      </c>
    </row>
    <row r="1204">
      <c r="A1204" s="26">
        <f>IFERROR(__xludf.DUMMYFUNCTION("""COMPUTED_VALUE"""),40140.645833333336)</f>
        <v>40140.64583</v>
      </c>
      <c r="B1204" s="9">
        <f>IFERROR(__xludf.DUMMYFUNCTION("""COMPUTED_VALUE"""),302.61)</f>
        <v>302.61</v>
      </c>
      <c r="C1204" s="9">
        <f>IFERROR(__xludf.DUMMYFUNCTION("""COMPUTED_VALUE"""),302.61)</f>
        <v>302.61</v>
      </c>
      <c r="D1204" s="9">
        <f>IFERROR(__xludf.DUMMYFUNCTION("""COMPUTED_VALUE"""),298.88)</f>
        <v>298.88</v>
      </c>
      <c r="E1204" s="9">
        <f>IFERROR(__xludf.DUMMYFUNCTION("""COMPUTED_VALUE"""),300.87)</f>
        <v>300.87</v>
      </c>
      <c r="F1204" s="9">
        <f>IFERROR(__xludf.DUMMYFUNCTION("""COMPUTED_VALUE"""),581876.0)</f>
        <v>581876</v>
      </c>
      <c r="H1204" s="27">
        <f>IFERROR(__xludf.DUMMYFUNCTION("""COMPUTED_VALUE"""),40140.645833333336)</f>
        <v>40140.64583</v>
      </c>
      <c r="I1204" s="25">
        <f>IFERROR(__xludf.DUMMYFUNCTION("""COMPUTED_VALUE"""),347.5)</f>
        <v>347.5</v>
      </c>
      <c r="J1204" s="25">
        <f>IFERROR(__xludf.DUMMYFUNCTION("""COMPUTED_VALUE"""),350.0)</f>
        <v>350</v>
      </c>
      <c r="K1204" s="25">
        <f>IFERROR(__xludf.DUMMYFUNCTION("""COMPUTED_VALUE"""),343.0)</f>
        <v>343</v>
      </c>
      <c r="L1204" s="25">
        <f>IFERROR(__xludf.DUMMYFUNCTION("""COMPUTED_VALUE"""),347.05)</f>
        <v>347.05</v>
      </c>
      <c r="M1204" s="25">
        <f>IFERROR(__xludf.DUMMYFUNCTION("""COMPUTED_VALUE"""),1271737.0)</f>
        <v>1271737</v>
      </c>
    </row>
    <row r="1205">
      <c r="A1205" s="26">
        <f>IFERROR(__xludf.DUMMYFUNCTION("""COMPUTED_VALUE"""),40141.645833333336)</f>
        <v>40141.64583</v>
      </c>
      <c r="B1205" s="9">
        <f>IFERROR(__xludf.DUMMYFUNCTION("""COMPUTED_VALUE"""),301.59)</f>
        <v>301.59</v>
      </c>
      <c r="C1205" s="9">
        <f>IFERROR(__xludf.DUMMYFUNCTION("""COMPUTED_VALUE"""),305.86)</f>
        <v>305.86</v>
      </c>
      <c r="D1205" s="9">
        <f>IFERROR(__xludf.DUMMYFUNCTION("""COMPUTED_VALUE"""),298.78)</f>
        <v>298.78</v>
      </c>
      <c r="E1205" s="9">
        <f>IFERROR(__xludf.DUMMYFUNCTION("""COMPUTED_VALUE"""),304.34)</f>
        <v>304.34</v>
      </c>
      <c r="F1205" s="9">
        <f>IFERROR(__xludf.DUMMYFUNCTION("""COMPUTED_VALUE"""),915738.0)</f>
        <v>915738</v>
      </c>
      <c r="H1205" s="27">
        <f>IFERROR(__xludf.DUMMYFUNCTION("""COMPUTED_VALUE"""),40141.645833333336)</f>
        <v>40141.64583</v>
      </c>
      <c r="I1205" s="25">
        <f>IFERROR(__xludf.DUMMYFUNCTION("""COMPUTED_VALUE"""),352.0)</f>
        <v>352</v>
      </c>
      <c r="J1205" s="25">
        <f>IFERROR(__xludf.DUMMYFUNCTION("""COMPUTED_VALUE"""),352.0)</f>
        <v>352</v>
      </c>
      <c r="K1205" s="25">
        <f>IFERROR(__xludf.DUMMYFUNCTION("""COMPUTED_VALUE"""),341.0)</f>
        <v>341</v>
      </c>
      <c r="L1205" s="25">
        <f>IFERROR(__xludf.DUMMYFUNCTION("""COMPUTED_VALUE"""),349.53)</f>
        <v>349.53</v>
      </c>
      <c r="M1205" s="25">
        <f>IFERROR(__xludf.DUMMYFUNCTION("""COMPUTED_VALUE"""),1360936.0)</f>
        <v>1360936</v>
      </c>
    </row>
    <row r="1206">
      <c r="A1206" s="26">
        <f>IFERROR(__xludf.DUMMYFUNCTION("""COMPUTED_VALUE"""),40142.645833333336)</f>
        <v>40142.64583</v>
      </c>
      <c r="B1206" s="9">
        <f>IFERROR(__xludf.DUMMYFUNCTION("""COMPUTED_VALUE"""),304.5)</f>
        <v>304.5</v>
      </c>
      <c r="C1206" s="9">
        <f>IFERROR(__xludf.DUMMYFUNCTION("""COMPUTED_VALUE"""),307.13)</f>
        <v>307.13</v>
      </c>
      <c r="D1206" s="9">
        <f>IFERROR(__xludf.DUMMYFUNCTION("""COMPUTED_VALUE"""),302.02)</f>
        <v>302.02</v>
      </c>
      <c r="E1206" s="9">
        <f>IFERROR(__xludf.DUMMYFUNCTION("""COMPUTED_VALUE"""),304.82)</f>
        <v>304.82</v>
      </c>
      <c r="F1206" s="9">
        <f>IFERROR(__xludf.DUMMYFUNCTION("""COMPUTED_VALUE"""),628247.0)</f>
        <v>628247</v>
      </c>
      <c r="H1206" s="27">
        <f>IFERROR(__xludf.DUMMYFUNCTION("""COMPUTED_VALUE"""),40142.645833333336)</f>
        <v>40142.64583</v>
      </c>
      <c r="I1206" s="25">
        <f>IFERROR(__xludf.DUMMYFUNCTION("""COMPUTED_VALUE"""),349.53)</f>
        <v>349.53</v>
      </c>
      <c r="J1206" s="25">
        <f>IFERROR(__xludf.DUMMYFUNCTION("""COMPUTED_VALUE"""),355.83)</f>
        <v>355.83</v>
      </c>
      <c r="K1206" s="25">
        <f>IFERROR(__xludf.DUMMYFUNCTION("""COMPUTED_VALUE"""),346.0)</f>
        <v>346</v>
      </c>
      <c r="L1206" s="25">
        <f>IFERROR(__xludf.DUMMYFUNCTION("""COMPUTED_VALUE"""),351.4)</f>
        <v>351.4</v>
      </c>
      <c r="M1206" s="25">
        <f>IFERROR(__xludf.DUMMYFUNCTION("""COMPUTED_VALUE"""),1946627.0)</f>
        <v>1946627</v>
      </c>
    </row>
    <row r="1207">
      <c r="A1207" s="26">
        <f>IFERROR(__xludf.DUMMYFUNCTION("""COMPUTED_VALUE"""),40143.645833333336)</f>
        <v>40143.64583</v>
      </c>
      <c r="B1207" s="9">
        <f>IFERROR(__xludf.DUMMYFUNCTION("""COMPUTED_VALUE"""),305.63)</f>
        <v>305.63</v>
      </c>
      <c r="C1207" s="9">
        <f>IFERROR(__xludf.DUMMYFUNCTION("""COMPUTED_VALUE"""),305.68)</f>
        <v>305.68</v>
      </c>
      <c r="D1207" s="9">
        <f>IFERROR(__xludf.DUMMYFUNCTION("""COMPUTED_VALUE"""),295.88)</f>
        <v>295.88</v>
      </c>
      <c r="E1207" s="9">
        <f>IFERROR(__xludf.DUMMYFUNCTION("""COMPUTED_VALUE"""),299.18)</f>
        <v>299.18</v>
      </c>
      <c r="F1207" s="9">
        <f>IFERROR(__xludf.DUMMYFUNCTION("""COMPUTED_VALUE"""),955480.0)</f>
        <v>955480</v>
      </c>
      <c r="H1207" s="27">
        <f>IFERROR(__xludf.DUMMYFUNCTION("""COMPUTED_VALUE"""),40143.645833333336)</f>
        <v>40143.64583</v>
      </c>
      <c r="I1207" s="25">
        <f>IFERROR(__xludf.DUMMYFUNCTION("""COMPUTED_VALUE"""),352.48)</f>
        <v>352.48</v>
      </c>
      <c r="J1207" s="25">
        <f>IFERROR(__xludf.DUMMYFUNCTION("""COMPUTED_VALUE"""),353.67)</f>
        <v>353.67</v>
      </c>
      <c r="K1207" s="25">
        <f>IFERROR(__xludf.DUMMYFUNCTION("""COMPUTED_VALUE"""),342.5)</f>
        <v>342.5</v>
      </c>
      <c r="L1207" s="25">
        <f>IFERROR(__xludf.DUMMYFUNCTION("""COMPUTED_VALUE"""),343.95)</f>
        <v>343.95</v>
      </c>
      <c r="M1207" s="25">
        <f>IFERROR(__xludf.DUMMYFUNCTION("""COMPUTED_VALUE"""),2204559.0)</f>
        <v>2204559</v>
      </c>
    </row>
    <row r="1208">
      <c r="A1208" s="26">
        <f>IFERROR(__xludf.DUMMYFUNCTION("""COMPUTED_VALUE"""),40144.645833333336)</f>
        <v>40144.64583</v>
      </c>
      <c r="B1208" s="9">
        <f>IFERROR(__xludf.DUMMYFUNCTION("""COMPUTED_VALUE"""),294.5)</f>
        <v>294.5</v>
      </c>
      <c r="C1208" s="9">
        <f>IFERROR(__xludf.DUMMYFUNCTION("""COMPUTED_VALUE"""),299.38)</f>
        <v>299.38</v>
      </c>
      <c r="D1208" s="9">
        <f>IFERROR(__xludf.DUMMYFUNCTION("""COMPUTED_VALUE"""),288.39)</f>
        <v>288.39</v>
      </c>
      <c r="E1208" s="9">
        <f>IFERROR(__xludf.DUMMYFUNCTION("""COMPUTED_VALUE"""),290.98)</f>
        <v>290.98</v>
      </c>
      <c r="F1208" s="9">
        <f>IFERROR(__xludf.DUMMYFUNCTION("""COMPUTED_VALUE"""),1021161.0)</f>
        <v>1021161</v>
      </c>
      <c r="H1208" s="27">
        <f>IFERROR(__xludf.DUMMYFUNCTION("""COMPUTED_VALUE"""),40144.645833333336)</f>
        <v>40144.64583</v>
      </c>
      <c r="I1208" s="25">
        <f>IFERROR(__xludf.DUMMYFUNCTION("""COMPUTED_VALUE"""),338.28)</f>
        <v>338.28</v>
      </c>
      <c r="J1208" s="25">
        <f>IFERROR(__xludf.DUMMYFUNCTION("""COMPUTED_VALUE"""),343.2)</f>
        <v>343.2</v>
      </c>
      <c r="K1208" s="25">
        <f>IFERROR(__xludf.DUMMYFUNCTION("""COMPUTED_VALUE"""),327.5)</f>
        <v>327.5</v>
      </c>
      <c r="L1208" s="25">
        <f>IFERROR(__xludf.DUMMYFUNCTION("""COMPUTED_VALUE"""),335.23)</f>
        <v>335.23</v>
      </c>
      <c r="M1208" s="25">
        <f>IFERROR(__xludf.DUMMYFUNCTION("""COMPUTED_VALUE"""),1884529.0)</f>
        <v>1884529</v>
      </c>
    </row>
    <row r="1209">
      <c r="A1209" s="26">
        <f>IFERROR(__xludf.DUMMYFUNCTION("""COMPUTED_VALUE"""),40147.645833333336)</f>
        <v>40147.64583</v>
      </c>
      <c r="B1209" s="9">
        <f>IFERROR(__xludf.DUMMYFUNCTION("""COMPUTED_VALUE"""),294.08)</f>
        <v>294.08</v>
      </c>
      <c r="C1209" s="9">
        <f>IFERROR(__xludf.DUMMYFUNCTION("""COMPUTED_VALUE"""),299.11)</f>
        <v>299.11</v>
      </c>
      <c r="D1209" s="9">
        <f>IFERROR(__xludf.DUMMYFUNCTION("""COMPUTED_VALUE"""),293.78)</f>
        <v>293.78</v>
      </c>
      <c r="E1209" s="9">
        <f>IFERROR(__xludf.DUMMYFUNCTION("""COMPUTED_VALUE"""),297.42)</f>
        <v>297.42</v>
      </c>
      <c r="F1209" s="9">
        <f>IFERROR(__xludf.DUMMYFUNCTION("""COMPUTED_VALUE"""),876127.0)</f>
        <v>876127</v>
      </c>
      <c r="H1209" s="27">
        <f>IFERROR(__xludf.DUMMYFUNCTION("""COMPUTED_VALUE"""),40147.645833333336)</f>
        <v>40147.64583</v>
      </c>
      <c r="I1209" s="25">
        <f>IFERROR(__xludf.DUMMYFUNCTION("""COMPUTED_VALUE"""),337.0)</f>
        <v>337</v>
      </c>
      <c r="J1209" s="25">
        <f>IFERROR(__xludf.DUMMYFUNCTION("""COMPUTED_VALUE"""),346.48)</f>
        <v>346.48</v>
      </c>
      <c r="K1209" s="25">
        <f>IFERROR(__xludf.DUMMYFUNCTION("""COMPUTED_VALUE"""),337.0)</f>
        <v>337</v>
      </c>
      <c r="L1209" s="25">
        <f>IFERROR(__xludf.DUMMYFUNCTION("""COMPUTED_VALUE"""),344.2)</f>
        <v>344.2</v>
      </c>
      <c r="M1209" s="25">
        <f>IFERROR(__xludf.DUMMYFUNCTION("""COMPUTED_VALUE"""),1941444.0)</f>
        <v>1941444</v>
      </c>
    </row>
    <row r="1210">
      <c r="A1210" s="26">
        <f>IFERROR(__xludf.DUMMYFUNCTION("""COMPUTED_VALUE"""),40148.645833333336)</f>
        <v>40148.64583</v>
      </c>
      <c r="B1210" s="9">
        <f>IFERROR(__xludf.DUMMYFUNCTION("""COMPUTED_VALUE"""),303.38)</f>
        <v>303.38</v>
      </c>
      <c r="C1210" s="9">
        <f>IFERROR(__xludf.DUMMYFUNCTION("""COMPUTED_VALUE"""),303.38)</f>
        <v>303.38</v>
      </c>
      <c r="D1210" s="9">
        <f>IFERROR(__xludf.DUMMYFUNCTION("""COMPUTED_VALUE"""),294.38)</f>
        <v>294.38</v>
      </c>
      <c r="E1210" s="9">
        <f>IFERROR(__xludf.DUMMYFUNCTION("""COMPUTED_VALUE"""),299.47)</f>
        <v>299.47</v>
      </c>
      <c r="F1210" s="9">
        <f>IFERROR(__xludf.DUMMYFUNCTION("""COMPUTED_VALUE"""),813885.0)</f>
        <v>813885</v>
      </c>
      <c r="H1210" s="27">
        <f>IFERROR(__xludf.DUMMYFUNCTION("""COMPUTED_VALUE"""),40148.645833333336)</f>
        <v>40148.64583</v>
      </c>
      <c r="I1210" s="25">
        <f>IFERROR(__xludf.DUMMYFUNCTION("""COMPUTED_VALUE"""),351.7)</f>
        <v>351.7</v>
      </c>
      <c r="J1210" s="25">
        <f>IFERROR(__xludf.DUMMYFUNCTION("""COMPUTED_VALUE"""),351.7)</f>
        <v>351.7</v>
      </c>
      <c r="K1210" s="25">
        <f>IFERROR(__xludf.DUMMYFUNCTION("""COMPUTED_VALUE"""),340.13)</f>
        <v>340.13</v>
      </c>
      <c r="L1210" s="25">
        <f>IFERROR(__xludf.DUMMYFUNCTION("""COMPUTED_VALUE"""),342.88)</f>
        <v>342.88</v>
      </c>
      <c r="M1210" s="25">
        <f>IFERROR(__xludf.DUMMYFUNCTION("""COMPUTED_VALUE"""),1614982.0)</f>
        <v>1614982</v>
      </c>
    </row>
    <row r="1211">
      <c r="A1211" s="26">
        <f>IFERROR(__xludf.DUMMYFUNCTION("""COMPUTED_VALUE"""),40149.645833333336)</f>
        <v>40149.64583</v>
      </c>
      <c r="B1211" s="9">
        <f>IFERROR(__xludf.DUMMYFUNCTION("""COMPUTED_VALUE"""),300.61)</f>
        <v>300.61</v>
      </c>
      <c r="C1211" s="9">
        <f>IFERROR(__xludf.DUMMYFUNCTION("""COMPUTED_VALUE"""),301.0)</f>
        <v>301</v>
      </c>
      <c r="D1211" s="9">
        <f>IFERROR(__xludf.DUMMYFUNCTION("""COMPUTED_VALUE"""),294.75)</f>
        <v>294.75</v>
      </c>
      <c r="E1211" s="9">
        <f>IFERROR(__xludf.DUMMYFUNCTION("""COMPUTED_VALUE"""),299.43)</f>
        <v>299.43</v>
      </c>
      <c r="F1211" s="9">
        <f>IFERROR(__xludf.DUMMYFUNCTION("""COMPUTED_VALUE"""),926253.0)</f>
        <v>926253</v>
      </c>
      <c r="H1211" s="27">
        <f>IFERROR(__xludf.DUMMYFUNCTION("""COMPUTED_VALUE"""),40149.645833333336)</f>
        <v>40149.64583</v>
      </c>
      <c r="I1211" s="25">
        <f>IFERROR(__xludf.DUMMYFUNCTION("""COMPUTED_VALUE"""),347.48)</f>
        <v>347.48</v>
      </c>
      <c r="J1211" s="25">
        <f>IFERROR(__xludf.DUMMYFUNCTION("""COMPUTED_VALUE"""),347.48)</f>
        <v>347.48</v>
      </c>
      <c r="K1211" s="25">
        <f>IFERROR(__xludf.DUMMYFUNCTION("""COMPUTED_VALUE"""),338.53)</f>
        <v>338.53</v>
      </c>
      <c r="L1211" s="25">
        <f>IFERROR(__xludf.DUMMYFUNCTION("""COMPUTED_VALUE"""),342.15)</f>
        <v>342.15</v>
      </c>
      <c r="M1211" s="25">
        <f>IFERROR(__xludf.DUMMYFUNCTION("""COMPUTED_VALUE"""),1080977.0)</f>
        <v>1080977</v>
      </c>
    </row>
    <row r="1212">
      <c r="A1212" s="26">
        <f>IFERROR(__xludf.DUMMYFUNCTION("""COMPUTED_VALUE"""),40150.645833333336)</f>
        <v>40150.64583</v>
      </c>
      <c r="B1212" s="9">
        <f>IFERROR(__xludf.DUMMYFUNCTION("""COMPUTED_VALUE"""),300.25)</f>
        <v>300.25</v>
      </c>
      <c r="C1212" s="9">
        <f>IFERROR(__xludf.DUMMYFUNCTION("""COMPUTED_VALUE"""),302.38)</f>
        <v>302.38</v>
      </c>
      <c r="D1212" s="9">
        <f>IFERROR(__xludf.DUMMYFUNCTION("""COMPUTED_VALUE"""),295.51)</f>
        <v>295.51</v>
      </c>
      <c r="E1212" s="9">
        <f>IFERROR(__xludf.DUMMYFUNCTION("""COMPUTED_VALUE"""),297.12)</f>
        <v>297.12</v>
      </c>
      <c r="F1212" s="9">
        <f>IFERROR(__xludf.DUMMYFUNCTION("""COMPUTED_VALUE"""),918060.0)</f>
        <v>918060</v>
      </c>
      <c r="H1212" s="27">
        <f>IFERROR(__xludf.DUMMYFUNCTION("""COMPUTED_VALUE"""),40150.645833333336)</f>
        <v>40150.64583</v>
      </c>
      <c r="I1212" s="25">
        <f>IFERROR(__xludf.DUMMYFUNCTION("""COMPUTED_VALUE"""),343.88)</f>
        <v>343.88</v>
      </c>
      <c r="J1212" s="25">
        <f>IFERROR(__xludf.DUMMYFUNCTION("""COMPUTED_VALUE"""),347.95)</f>
        <v>347.95</v>
      </c>
      <c r="K1212" s="25">
        <f>IFERROR(__xludf.DUMMYFUNCTION("""COMPUTED_VALUE"""),339.63)</f>
        <v>339.63</v>
      </c>
      <c r="L1212" s="25">
        <f>IFERROR(__xludf.DUMMYFUNCTION("""COMPUTED_VALUE"""),345.03)</f>
        <v>345.03</v>
      </c>
      <c r="M1212" s="25">
        <f>IFERROR(__xludf.DUMMYFUNCTION("""COMPUTED_VALUE"""),1489353.0)</f>
        <v>1489353</v>
      </c>
    </row>
    <row r="1213">
      <c r="A1213" s="26">
        <f>IFERROR(__xludf.DUMMYFUNCTION("""COMPUTED_VALUE"""),40151.645833333336)</f>
        <v>40151.64583</v>
      </c>
      <c r="B1213" s="9">
        <f>IFERROR(__xludf.DUMMYFUNCTION("""COMPUTED_VALUE"""),297.75)</f>
        <v>297.75</v>
      </c>
      <c r="C1213" s="9">
        <f>IFERROR(__xludf.DUMMYFUNCTION("""COMPUTED_VALUE"""),302.94)</f>
        <v>302.94</v>
      </c>
      <c r="D1213" s="9">
        <f>IFERROR(__xludf.DUMMYFUNCTION("""COMPUTED_VALUE"""),296.28)</f>
        <v>296.28</v>
      </c>
      <c r="E1213" s="9">
        <f>IFERROR(__xludf.DUMMYFUNCTION("""COMPUTED_VALUE"""),297.95)</f>
        <v>297.95</v>
      </c>
      <c r="F1213" s="9">
        <f>IFERROR(__xludf.DUMMYFUNCTION("""COMPUTED_VALUE"""),964840.0)</f>
        <v>964840</v>
      </c>
      <c r="H1213" s="27">
        <f>IFERROR(__xludf.DUMMYFUNCTION("""COMPUTED_VALUE"""),40151.645833333336)</f>
        <v>40151.64583</v>
      </c>
      <c r="I1213" s="25">
        <f>IFERROR(__xludf.DUMMYFUNCTION("""COMPUTED_VALUE"""),340.5)</f>
        <v>340.5</v>
      </c>
      <c r="J1213" s="25">
        <f>IFERROR(__xludf.DUMMYFUNCTION("""COMPUTED_VALUE"""),350.5)</f>
        <v>350.5</v>
      </c>
      <c r="K1213" s="25">
        <f>IFERROR(__xludf.DUMMYFUNCTION("""COMPUTED_VALUE"""),340.5)</f>
        <v>340.5</v>
      </c>
      <c r="L1213" s="25">
        <f>IFERROR(__xludf.DUMMYFUNCTION("""COMPUTED_VALUE"""),347.6)</f>
        <v>347.6</v>
      </c>
      <c r="M1213" s="25">
        <f>IFERROR(__xludf.DUMMYFUNCTION("""COMPUTED_VALUE"""),1966704.0)</f>
        <v>1966704</v>
      </c>
    </row>
    <row r="1214">
      <c r="A1214" s="26">
        <f>IFERROR(__xludf.DUMMYFUNCTION("""COMPUTED_VALUE"""),40154.645833333336)</f>
        <v>40154.64583</v>
      </c>
      <c r="B1214" s="9">
        <f>IFERROR(__xludf.DUMMYFUNCTION("""COMPUTED_VALUE"""),299.36)</f>
        <v>299.36</v>
      </c>
      <c r="C1214" s="9">
        <f>IFERROR(__xludf.DUMMYFUNCTION("""COMPUTED_VALUE"""),303.31)</f>
        <v>303.31</v>
      </c>
      <c r="D1214" s="9">
        <f>IFERROR(__xludf.DUMMYFUNCTION("""COMPUTED_VALUE"""),296.88)</f>
        <v>296.88</v>
      </c>
      <c r="E1214" s="9">
        <f>IFERROR(__xludf.DUMMYFUNCTION("""COMPUTED_VALUE"""),298.83)</f>
        <v>298.83</v>
      </c>
      <c r="F1214" s="9">
        <f>IFERROR(__xludf.DUMMYFUNCTION("""COMPUTED_VALUE"""),861237.0)</f>
        <v>861237</v>
      </c>
      <c r="H1214" s="27">
        <f>IFERROR(__xludf.DUMMYFUNCTION("""COMPUTED_VALUE"""),40154.645833333336)</f>
        <v>40154.64583</v>
      </c>
      <c r="I1214" s="25">
        <f>IFERROR(__xludf.DUMMYFUNCTION("""COMPUTED_VALUE"""),349.0)</f>
        <v>349</v>
      </c>
      <c r="J1214" s="25">
        <f>IFERROR(__xludf.DUMMYFUNCTION("""COMPUTED_VALUE"""),352.95)</f>
        <v>352.95</v>
      </c>
      <c r="K1214" s="25">
        <f>IFERROR(__xludf.DUMMYFUNCTION("""COMPUTED_VALUE"""),347.5)</f>
        <v>347.5</v>
      </c>
      <c r="L1214" s="25">
        <f>IFERROR(__xludf.DUMMYFUNCTION("""COMPUTED_VALUE"""),349.7)</f>
        <v>349.7</v>
      </c>
      <c r="M1214" s="25">
        <f>IFERROR(__xludf.DUMMYFUNCTION("""COMPUTED_VALUE"""),1103826.0)</f>
        <v>1103826</v>
      </c>
    </row>
    <row r="1215">
      <c r="A1215" s="26">
        <f>IFERROR(__xludf.DUMMYFUNCTION("""COMPUTED_VALUE"""),40155.645833333336)</f>
        <v>40155.64583</v>
      </c>
      <c r="B1215" s="9">
        <f>IFERROR(__xludf.DUMMYFUNCTION("""COMPUTED_VALUE"""),299.96)</f>
        <v>299.96</v>
      </c>
      <c r="C1215" s="9">
        <f>IFERROR(__xludf.DUMMYFUNCTION("""COMPUTED_VALUE"""),306.38)</f>
        <v>306.38</v>
      </c>
      <c r="D1215" s="9">
        <f>IFERROR(__xludf.DUMMYFUNCTION("""COMPUTED_VALUE"""),297.52)</f>
        <v>297.52</v>
      </c>
      <c r="E1215" s="9">
        <f>IFERROR(__xludf.DUMMYFUNCTION("""COMPUTED_VALUE"""),305.81)</f>
        <v>305.81</v>
      </c>
      <c r="F1215" s="9">
        <f>IFERROR(__xludf.DUMMYFUNCTION("""COMPUTED_VALUE"""),1076474.0)</f>
        <v>1076474</v>
      </c>
      <c r="H1215" s="27">
        <f>IFERROR(__xludf.DUMMYFUNCTION("""COMPUTED_VALUE"""),40155.645833333336)</f>
        <v>40155.64583</v>
      </c>
      <c r="I1215" s="25">
        <f>IFERROR(__xludf.DUMMYFUNCTION("""COMPUTED_VALUE"""),349.92)</f>
        <v>349.92</v>
      </c>
      <c r="J1215" s="25">
        <f>IFERROR(__xludf.DUMMYFUNCTION("""COMPUTED_VALUE"""),350.42)</f>
        <v>350.42</v>
      </c>
      <c r="K1215" s="25">
        <f>IFERROR(__xludf.DUMMYFUNCTION("""COMPUTED_VALUE"""),345.13)</f>
        <v>345.13</v>
      </c>
      <c r="L1215" s="25">
        <f>IFERROR(__xludf.DUMMYFUNCTION("""COMPUTED_VALUE"""),349.15)</f>
        <v>349.15</v>
      </c>
      <c r="M1215" s="25">
        <f>IFERROR(__xludf.DUMMYFUNCTION("""COMPUTED_VALUE"""),2113086.0)</f>
        <v>2113086</v>
      </c>
    </row>
    <row r="1216">
      <c r="A1216" s="26">
        <f>IFERROR(__xludf.DUMMYFUNCTION("""COMPUTED_VALUE"""),40156.645833333336)</f>
        <v>40156.64583</v>
      </c>
      <c r="B1216" s="9">
        <f>IFERROR(__xludf.DUMMYFUNCTION("""COMPUTED_VALUE"""),303.75)</f>
        <v>303.75</v>
      </c>
      <c r="C1216" s="9">
        <f>IFERROR(__xludf.DUMMYFUNCTION("""COMPUTED_VALUE"""),307.75)</f>
        <v>307.75</v>
      </c>
      <c r="D1216" s="9">
        <f>IFERROR(__xludf.DUMMYFUNCTION("""COMPUTED_VALUE"""),302.77)</f>
        <v>302.77</v>
      </c>
      <c r="E1216" s="9">
        <f>IFERROR(__xludf.DUMMYFUNCTION("""COMPUTED_VALUE"""),307.07)</f>
        <v>307.07</v>
      </c>
      <c r="F1216" s="9">
        <f>IFERROR(__xludf.DUMMYFUNCTION("""COMPUTED_VALUE"""),958758.0)</f>
        <v>958758</v>
      </c>
      <c r="H1216" s="27">
        <f>IFERROR(__xludf.DUMMYFUNCTION("""COMPUTED_VALUE"""),40156.645833333336)</f>
        <v>40156.64583</v>
      </c>
      <c r="I1216" s="25">
        <f>IFERROR(__xludf.DUMMYFUNCTION("""COMPUTED_VALUE"""),349.0)</f>
        <v>349</v>
      </c>
      <c r="J1216" s="25">
        <f>IFERROR(__xludf.DUMMYFUNCTION("""COMPUTED_VALUE"""),355.45)</f>
        <v>355.45</v>
      </c>
      <c r="K1216" s="25">
        <f>IFERROR(__xludf.DUMMYFUNCTION("""COMPUTED_VALUE"""),346.6)</f>
        <v>346.6</v>
      </c>
      <c r="L1216" s="25">
        <f>IFERROR(__xludf.DUMMYFUNCTION("""COMPUTED_VALUE"""),353.35)</f>
        <v>353.35</v>
      </c>
      <c r="M1216" s="25">
        <f>IFERROR(__xludf.DUMMYFUNCTION("""COMPUTED_VALUE"""),2354424.0)</f>
        <v>2354424</v>
      </c>
    </row>
    <row r="1217">
      <c r="A1217" s="26">
        <f>IFERROR(__xludf.DUMMYFUNCTION("""COMPUTED_VALUE"""),40157.645833333336)</f>
        <v>40157.64583</v>
      </c>
      <c r="B1217" s="9">
        <f>IFERROR(__xludf.DUMMYFUNCTION("""COMPUTED_VALUE"""),308.06)</f>
        <v>308.06</v>
      </c>
      <c r="C1217" s="9">
        <f>IFERROR(__xludf.DUMMYFUNCTION("""COMPUTED_VALUE"""),308.06)</f>
        <v>308.06</v>
      </c>
      <c r="D1217" s="9">
        <f>IFERROR(__xludf.DUMMYFUNCTION("""COMPUTED_VALUE"""),303.76)</f>
        <v>303.76</v>
      </c>
      <c r="E1217" s="9">
        <f>IFERROR(__xludf.DUMMYFUNCTION("""COMPUTED_VALUE"""),306.62)</f>
        <v>306.62</v>
      </c>
      <c r="F1217" s="9">
        <f>IFERROR(__xludf.DUMMYFUNCTION("""COMPUTED_VALUE"""),564681.0)</f>
        <v>564681</v>
      </c>
      <c r="H1217" s="27">
        <f>IFERROR(__xludf.DUMMYFUNCTION("""COMPUTED_VALUE"""),40157.645833333336)</f>
        <v>40157.64583</v>
      </c>
      <c r="I1217" s="25">
        <f>IFERROR(__xludf.DUMMYFUNCTION("""COMPUTED_VALUE"""),352.5)</f>
        <v>352.5</v>
      </c>
      <c r="J1217" s="25">
        <f>IFERROR(__xludf.DUMMYFUNCTION("""COMPUTED_VALUE"""),355.0)</f>
        <v>355</v>
      </c>
      <c r="K1217" s="25">
        <f>IFERROR(__xludf.DUMMYFUNCTION("""COMPUTED_VALUE"""),350.98)</f>
        <v>350.98</v>
      </c>
      <c r="L1217" s="25">
        <f>IFERROR(__xludf.DUMMYFUNCTION("""COMPUTED_VALUE"""),352.83)</f>
        <v>352.83</v>
      </c>
      <c r="M1217" s="25">
        <f>IFERROR(__xludf.DUMMYFUNCTION("""COMPUTED_VALUE"""),829742.0)</f>
        <v>829742</v>
      </c>
    </row>
    <row r="1218">
      <c r="A1218" s="26">
        <f>IFERROR(__xludf.DUMMYFUNCTION("""COMPUTED_VALUE"""),40158.645833333336)</f>
        <v>40158.64583</v>
      </c>
      <c r="B1218" s="9">
        <f>IFERROR(__xludf.DUMMYFUNCTION("""COMPUTED_VALUE"""),308.13)</f>
        <v>308.13</v>
      </c>
      <c r="C1218" s="9">
        <f>IFERROR(__xludf.DUMMYFUNCTION("""COMPUTED_VALUE"""),311.08)</f>
        <v>311.08</v>
      </c>
      <c r="D1218" s="9">
        <f>IFERROR(__xludf.DUMMYFUNCTION("""COMPUTED_VALUE"""),306.44)</f>
        <v>306.44</v>
      </c>
      <c r="E1218" s="9">
        <f>IFERROR(__xludf.DUMMYFUNCTION("""COMPUTED_VALUE"""),307.59)</f>
        <v>307.59</v>
      </c>
      <c r="F1218" s="9">
        <f>IFERROR(__xludf.DUMMYFUNCTION("""COMPUTED_VALUE"""),855054.0)</f>
        <v>855054</v>
      </c>
      <c r="H1218" s="27">
        <f>IFERROR(__xludf.DUMMYFUNCTION("""COMPUTED_VALUE"""),40158.645833333336)</f>
        <v>40158.64583</v>
      </c>
      <c r="I1218" s="25">
        <f>IFERROR(__xludf.DUMMYFUNCTION("""COMPUTED_VALUE"""),353.58)</f>
        <v>353.58</v>
      </c>
      <c r="J1218" s="25">
        <f>IFERROR(__xludf.DUMMYFUNCTION("""COMPUTED_VALUE"""),357.2)</f>
        <v>357.2</v>
      </c>
      <c r="K1218" s="25">
        <f>IFERROR(__xludf.DUMMYFUNCTION("""COMPUTED_VALUE"""),350.0)</f>
        <v>350</v>
      </c>
      <c r="L1218" s="25">
        <f>IFERROR(__xludf.DUMMYFUNCTION("""COMPUTED_VALUE"""),353.05)</f>
        <v>353.05</v>
      </c>
      <c r="M1218" s="25">
        <f>IFERROR(__xludf.DUMMYFUNCTION("""COMPUTED_VALUE"""),1344156.0)</f>
        <v>1344156</v>
      </c>
    </row>
    <row r="1219">
      <c r="A1219" s="26">
        <f>IFERROR(__xludf.DUMMYFUNCTION("""COMPUTED_VALUE"""),40161.645833333336)</f>
        <v>40161.64583</v>
      </c>
      <c r="B1219" s="9">
        <f>IFERROR(__xludf.DUMMYFUNCTION("""COMPUTED_VALUE"""),306.88)</f>
        <v>306.88</v>
      </c>
      <c r="C1219" s="9">
        <f>IFERROR(__xludf.DUMMYFUNCTION("""COMPUTED_VALUE"""),314.75)</f>
        <v>314.75</v>
      </c>
      <c r="D1219" s="9">
        <f>IFERROR(__xludf.DUMMYFUNCTION("""COMPUTED_VALUE"""),306.26)</f>
        <v>306.26</v>
      </c>
      <c r="E1219" s="9">
        <f>IFERROR(__xludf.DUMMYFUNCTION("""COMPUTED_VALUE"""),312.34)</f>
        <v>312.34</v>
      </c>
      <c r="F1219" s="9">
        <f>IFERROR(__xludf.DUMMYFUNCTION("""COMPUTED_VALUE"""),1148722.0)</f>
        <v>1148722</v>
      </c>
      <c r="H1219" s="27">
        <f>IFERROR(__xludf.DUMMYFUNCTION("""COMPUTED_VALUE"""),40161.645833333336)</f>
        <v>40161.64583</v>
      </c>
      <c r="I1219" s="25">
        <f>IFERROR(__xludf.DUMMYFUNCTION("""COMPUTED_VALUE"""),350.5)</f>
        <v>350.5</v>
      </c>
      <c r="J1219" s="25">
        <f>IFERROR(__xludf.DUMMYFUNCTION("""COMPUTED_VALUE"""),355.98)</f>
        <v>355.98</v>
      </c>
      <c r="K1219" s="25">
        <f>IFERROR(__xludf.DUMMYFUNCTION("""COMPUTED_VALUE"""),350.42)</f>
        <v>350.42</v>
      </c>
      <c r="L1219" s="25">
        <f>IFERROR(__xludf.DUMMYFUNCTION("""COMPUTED_VALUE"""),352.55)</f>
        <v>352.55</v>
      </c>
      <c r="M1219" s="25">
        <f>IFERROR(__xludf.DUMMYFUNCTION("""COMPUTED_VALUE"""),1504421.0)</f>
        <v>1504421</v>
      </c>
    </row>
    <row r="1220">
      <c r="A1220" s="26">
        <f>IFERROR(__xludf.DUMMYFUNCTION("""COMPUTED_VALUE"""),40162.645833333336)</f>
        <v>40162.64583</v>
      </c>
      <c r="B1220" s="9">
        <f>IFERROR(__xludf.DUMMYFUNCTION("""COMPUTED_VALUE"""),311.25)</f>
        <v>311.25</v>
      </c>
      <c r="C1220" s="9">
        <f>IFERROR(__xludf.DUMMYFUNCTION("""COMPUTED_VALUE"""),314.38)</f>
        <v>314.38</v>
      </c>
      <c r="D1220" s="9">
        <f>IFERROR(__xludf.DUMMYFUNCTION("""COMPUTED_VALUE"""),310.65)</f>
        <v>310.65</v>
      </c>
      <c r="E1220" s="9">
        <f>IFERROR(__xludf.DUMMYFUNCTION("""COMPUTED_VALUE"""),313.26)</f>
        <v>313.26</v>
      </c>
      <c r="F1220" s="9">
        <f>IFERROR(__xludf.DUMMYFUNCTION("""COMPUTED_VALUE"""),1093356.0)</f>
        <v>1093356</v>
      </c>
      <c r="H1220" s="27">
        <f>IFERROR(__xludf.DUMMYFUNCTION("""COMPUTED_VALUE"""),40162.645833333336)</f>
        <v>40162.64583</v>
      </c>
      <c r="I1220" s="25">
        <f>IFERROR(__xludf.DUMMYFUNCTION("""COMPUTED_VALUE"""),354.0)</f>
        <v>354</v>
      </c>
      <c r="J1220" s="25">
        <f>IFERROR(__xludf.DUMMYFUNCTION("""COMPUTED_VALUE"""),356.0)</f>
        <v>356</v>
      </c>
      <c r="K1220" s="25">
        <f>IFERROR(__xludf.DUMMYFUNCTION("""COMPUTED_VALUE"""),348.6)</f>
        <v>348.6</v>
      </c>
      <c r="L1220" s="25">
        <f>IFERROR(__xludf.DUMMYFUNCTION("""COMPUTED_VALUE"""),350.48)</f>
        <v>350.48</v>
      </c>
      <c r="M1220" s="25">
        <f>IFERROR(__xludf.DUMMYFUNCTION("""COMPUTED_VALUE"""),1043576.0)</f>
        <v>1043576</v>
      </c>
    </row>
    <row r="1221">
      <c r="A1221" s="26">
        <f>IFERROR(__xludf.DUMMYFUNCTION("""COMPUTED_VALUE"""),40163.645833333336)</f>
        <v>40163.64583</v>
      </c>
      <c r="B1221" s="9">
        <f>IFERROR(__xludf.DUMMYFUNCTION("""COMPUTED_VALUE"""),313.25)</f>
        <v>313.25</v>
      </c>
      <c r="C1221" s="9">
        <f>IFERROR(__xludf.DUMMYFUNCTION("""COMPUTED_VALUE"""),319.5)</f>
        <v>319.5</v>
      </c>
      <c r="D1221" s="9">
        <f>IFERROR(__xludf.DUMMYFUNCTION("""COMPUTED_VALUE"""),310.83)</f>
        <v>310.83</v>
      </c>
      <c r="E1221" s="9">
        <f>IFERROR(__xludf.DUMMYFUNCTION("""COMPUTED_VALUE"""),318.11)</f>
        <v>318.11</v>
      </c>
      <c r="F1221" s="9">
        <f>IFERROR(__xludf.DUMMYFUNCTION("""COMPUTED_VALUE"""),1145384.0)</f>
        <v>1145384</v>
      </c>
      <c r="H1221" s="27">
        <f>IFERROR(__xludf.DUMMYFUNCTION("""COMPUTED_VALUE"""),40163.645833333336)</f>
        <v>40163.64583</v>
      </c>
      <c r="I1221" s="25">
        <f>IFERROR(__xludf.DUMMYFUNCTION("""COMPUTED_VALUE"""),350.85)</f>
        <v>350.85</v>
      </c>
      <c r="J1221" s="25">
        <f>IFERROR(__xludf.DUMMYFUNCTION("""COMPUTED_VALUE"""),358.88)</f>
        <v>358.88</v>
      </c>
      <c r="K1221" s="25">
        <f>IFERROR(__xludf.DUMMYFUNCTION("""COMPUTED_VALUE"""),347.5)</f>
        <v>347.5</v>
      </c>
      <c r="L1221" s="25">
        <f>IFERROR(__xludf.DUMMYFUNCTION("""COMPUTED_VALUE"""),356.58)</f>
        <v>356.58</v>
      </c>
      <c r="M1221" s="25">
        <f>IFERROR(__xludf.DUMMYFUNCTION("""COMPUTED_VALUE"""),1782689.0)</f>
        <v>1782689</v>
      </c>
    </row>
    <row r="1222">
      <c r="A1222" s="26">
        <f>IFERROR(__xludf.DUMMYFUNCTION("""COMPUTED_VALUE"""),40164.645833333336)</f>
        <v>40164.64583</v>
      </c>
      <c r="B1222" s="9">
        <f>IFERROR(__xludf.DUMMYFUNCTION("""COMPUTED_VALUE"""),318.13)</f>
        <v>318.13</v>
      </c>
      <c r="C1222" s="9">
        <f>IFERROR(__xludf.DUMMYFUNCTION("""COMPUTED_VALUE"""),321.49)</f>
        <v>321.49</v>
      </c>
      <c r="D1222" s="9">
        <f>IFERROR(__xludf.DUMMYFUNCTION("""COMPUTED_VALUE"""),316.9)</f>
        <v>316.9</v>
      </c>
      <c r="E1222" s="9">
        <f>IFERROR(__xludf.DUMMYFUNCTION("""COMPUTED_VALUE"""),319.88)</f>
        <v>319.88</v>
      </c>
      <c r="F1222" s="9">
        <f>IFERROR(__xludf.DUMMYFUNCTION("""COMPUTED_VALUE"""),1075386.0)</f>
        <v>1075386</v>
      </c>
      <c r="H1222" s="27">
        <f>IFERROR(__xludf.DUMMYFUNCTION("""COMPUTED_VALUE"""),40164.645833333336)</f>
        <v>40164.64583</v>
      </c>
      <c r="I1222" s="25">
        <f>IFERROR(__xludf.DUMMYFUNCTION("""COMPUTED_VALUE"""),359.0)</f>
        <v>359</v>
      </c>
      <c r="J1222" s="25">
        <f>IFERROR(__xludf.DUMMYFUNCTION("""COMPUTED_VALUE"""),364.0)</f>
        <v>364</v>
      </c>
      <c r="K1222" s="25">
        <f>IFERROR(__xludf.DUMMYFUNCTION("""COMPUTED_VALUE"""),357.5)</f>
        <v>357.5</v>
      </c>
      <c r="L1222" s="25">
        <f>IFERROR(__xludf.DUMMYFUNCTION("""COMPUTED_VALUE"""),361.38)</f>
        <v>361.38</v>
      </c>
      <c r="M1222" s="25">
        <f>IFERROR(__xludf.DUMMYFUNCTION("""COMPUTED_VALUE"""),1891151.0)</f>
        <v>1891151</v>
      </c>
    </row>
    <row r="1223">
      <c r="A1223" s="26">
        <f>IFERROR(__xludf.DUMMYFUNCTION("""COMPUTED_VALUE"""),40165.645833333336)</f>
        <v>40165.64583</v>
      </c>
      <c r="B1223" s="9">
        <f>IFERROR(__xludf.DUMMYFUNCTION("""COMPUTED_VALUE"""),320.5)</f>
        <v>320.5</v>
      </c>
      <c r="C1223" s="9">
        <f>IFERROR(__xludf.DUMMYFUNCTION("""COMPUTED_VALUE"""),320.5)</f>
        <v>320.5</v>
      </c>
      <c r="D1223" s="9">
        <f>IFERROR(__xludf.DUMMYFUNCTION("""COMPUTED_VALUE"""),313.63)</f>
        <v>313.63</v>
      </c>
      <c r="E1223" s="9">
        <f>IFERROR(__xludf.DUMMYFUNCTION("""COMPUTED_VALUE"""),315.74)</f>
        <v>315.74</v>
      </c>
      <c r="F1223" s="9">
        <f>IFERROR(__xludf.DUMMYFUNCTION("""COMPUTED_VALUE"""),1397597.0)</f>
        <v>1397597</v>
      </c>
      <c r="H1223" s="27">
        <f>IFERROR(__xludf.DUMMYFUNCTION("""COMPUTED_VALUE"""),40165.645833333336)</f>
        <v>40165.64583</v>
      </c>
      <c r="I1223" s="25">
        <f>IFERROR(__xludf.DUMMYFUNCTION("""COMPUTED_VALUE"""),361.38)</f>
        <v>361.38</v>
      </c>
      <c r="J1223" s="25">
        <f>IFERROR(__xludf.DUMMYFUNCTION("""COMPUTED_VALUE"""),365.75)</f>
        <v>365.75</v>
      </c>
      <c r="K1223" s="25">
        <f>IFERROR(__xludf.DUMMYFUNCTION("""COMPUTED_VALUE"""),359.78)</f>
        <v>359.78</v>
      </c>
      <c r="L1223" s="25">
        <f>IFERROR(__xludf.DUMMYFUNCTION("""COMPUTED_VALUE"""),363.75)</f>
        <v>363.75</v>
      </c>
      <c r="M1223" s="25">
        <f>IFERROR(__xludf.DUMMYFUNCTION("""COMPUTED_VALUE"""),1397645.0)</f>
        <v>1397645</v>
      </c>
    </row>
    <row r="1224">
      <c r="A1224" s="26">
        <f>IFERROR(__xludf.DUMMYFUNCTION("""COMPUTED_VALUE"""),40168.645833333336)</f>
        <v>40168.64583</v>
      </c>
      <c r="B1224" s="9">
        <f>IFERROR(__xludf.DUMMYFUNCTION("""COMPUTED_VALUE"""),310.36)</f>
        <v>310.36</v>
      </c>
      <c r="C1224" s="9">
        <f>IFERROR(__xludf.DUMMYFUNCTION("""COMPUTED_VALUE"""),318.1)</f>
        <v>318.1</v>
      </c>
      <c r="D1224" s="9">
        <f>IFERROR(__xludf.DUMMYFUNCTION("""COMPUTED_VALUE"""),309.59)</f>
        <v>309.59</v>
      </c>
      <c r="E1224" s="9">
        <f>IFERROR(__xludf.DUMMYFUNCTION("""COMPUTED_VALUE"""),313.76)</f>
        <v>313.76</v>
      </c>
      <c r="F1224" s="9">
        <f>IFERROR(__xludf.DUMMYFUNCTION("""COMPUTED_VALUE"""),1095751.0)</f>
        <v>1095751</v>
      </c>
      <c r="H1224" s="27">
        <f>IFERROR(__xludf.DUMMYFUNCTION("""COMPUTED_VALUE"""),40168.645833333336)</f>
        <v>40168.64583</v>
      </c>
      <c r="I1224" s="25">
        <f>IFERROR(__xludf.DUMMYFUNCTION("""COMPUTED_VALUE"""),365.05)</f>
        <v>365.05</v>
      </c>
      <c r="J1224" s="25">
        <f>IFERROR(__xludf.DUMMYFUNCTION("""COMPUTED_VALUE"""),374.5)</f>
        <v>374.5</v>
      </c>
      <c r="K1224" s="25">
        <f>IFERROR(__xludf.DUMMYFUNCTION("""COMPUTED_VALUE"""),363.25)</f>
        <v>363.25</v>
      </c>
      <c r="L1224" s="25">
        <f>IFERROR(__xludf.DUMMYFUNCTION("""COMPUTED_VALUE"""),367.03)</f>
        <v>367.03</v>
      </c>
      <c r="M1224" s="25">
        <f>IFERROR(__xludf.DUMMYFUNCTION("""COMPUTED_VALUE"""),4663497.0)</f>
        <v>4663497</v>
      </c>
    </row>
    <row r="1225">
      <c r="A1225" s="26">
        <f>IFERROR(__xludf.DUMMYFUNCTION("""COMPUTED_VALUE"""),40169.645833333336)</f>
        <v>40169.64583</v>
      </c>
      <c r="B1225" s="9">
        <f>IFERROR(__xludf.DUMMYFUNCTION("""COMPUTED_VALUE"""),314.99)</f>
        <v>314.99</v>
      </c>
      <c r="C1225" s="9">
        <f>IFERROR(__xludf.DUMMYFUNCTION("""COMPUTED_VALUE"""),316.26)</f>
        <v>316.26</v>
      </c>
      <c r="D1225" s="9">
        <f>IFERROR(__xludf.DUMMYFUNCTION("""COMPUTED_VALUE"""),312.1)</f>
        <v>312.1</v>
      </c>
      <c r="E1225" s="9">
        <f>IFERROR(__xludf.DUMMYFUNCTION("""COMPUTED_VALUE"""),312.8)</f>
        <v>312.8</v>
      </c>
      <c r="F1225" s="9">
        <f>IFERROR(__xludf.DUMMYFUNCTION("""COMPUTED_VALUE"""),720271.0)</f>
        <v>720271</v>
      </c>
      <c r="H1225" s="27">
        <f>IFERROR(__xludf.DUMMYFUNCTION("""COMPUTED_VALUE"""),40169.645833333336)</f>
        <v>40169.64583</v>
      </c>
      <c r="I1225" s="25">
        <f>IFERROR(__xludf.DUMMYFUNCTION("""COMPUTED_VALUE"""),370.0)</f>
        <v>370</v>
      </c>
      <c r="J1225" s="25">
        <f>IFERROR(__xludf.DUMMYFUNCTION("""COMPUTED_VALUE"""),371.25)</f>
        <v>371.25</v>
      </c>
      <c r="K1225" s="25">
        <f>IFERROR(__xludf.DUMMYFUNCTION("""COMPUTED_VALUE"""),359.6)</f>
        <v>359.6</v>
      </c>
      <c r="L1225" s="25">
        <f>IFERROR(__xludf.DUMMYFUNCTION("""COMPUTED_VALUE"""),362.03)</f>
        <v>362.03</v>
      </c>
      <c r="M1225" s="25">
        <f>IFERROR(__xludf.DUMMYFUNCTION("""COMPUTED_VALUE"""),1594571.0)</f>
        <v>1594571</v>
      </c>
    </row>
    <row r="1226">
      <c r="A1226" s="26">
        <f>IFERROR(__xludf.DUMMYFUNCTION("""COMPUTED_VALUE"""),40170.645833333336)</f>
        <v>40170.64583</v>
      </c>
      <c r="B1226" s="9">
        <f>IFERROR(__xludf.DUMMYFUNCTION("""COMPUTED_VALUE"""),313.88)</f>
        <v>313.88</v>
      </c>
      <c r="C1226" s="9">
        <f>IFERROR(__xludf.DUMMYFUNCTION("""COMPUTED_VALUE"""),324.38)</f>
        <v>324.38</v>
      </c>
      <c r="D1226" s="9">
        <f>IFERROR(__xludf.DUMMYFUNCTION("""COMPUTED_VALUE"""),313.88)</f>
        <v>313.88</v>
      </c>
      <c r="E1226" s="9">
        <f>IFERROR(__xludf.DUMMYFUNCTION("""COMPUTED_VALUE"""),322.97)</f>
        <v>322.97</v>
      </c>
      <c r="F1226" s="9">
        <f>IFERROR(__xludf.DUMMYFUNCTION("""COMPUTED_VALUE"""),1338582.0)</f>
        <v>1338582</v>
      </c>
      <c r="H1226" s="27">
        <f>IFERROR(__xludf.DUMMYFUNCTION("""COMPUTED_VALUE"""),40170.645833333336)</f>
        <v>40170.64583</v>
      </c>
      <c r="I1226" s="25">
        <f>IFERROR(__xludf.DUMMYFUNCTION("""COMPUTED_VALUE"""),364.23)</f>
        <v>364.23</v>
      </c>
      <c r="J1226" s="25">
        <f>IFERROR(__xludf.DUMMYFUNCTION("""COMPUTED_VALUE"""),374.75)</f>
        <v>374.75</v>
      </c>
      <c r="K1226" s="25">
        <f>IFERROR(__xludf.DUMMYFUNCTION("""COMPUTED_VALUE"""),362.78)</f>
        <v>362.78</v>
      </c>
      <c r="L1226" s="25">
        <f>IFERROR(__xludf.DUMMYFUNCTION("""COMPUTED_VALUE"""),373.28)</f>
        <v>373.28</v>
      </c>
      <c r="M1226" s="25">
        <f>IFERROR(__xludf.DUMMYFUNCTION("""COMPUTED_VALUE"""),2235343.0)</f>
        <v>2235343</v>
      </c>
    </row>
    <row r="1227">
      <c r="A1227" s="26">
        <f>IFERROR(__xludf.DUMMYFUNCTION("""COMPUTED_VALUE"""),40171.645833333336)</f>
        <v>40171.64583</v>
      </c>
      <c r="B1227" s="9">
        <f>IFERROR(__xludf.DUMMYFUNCTION("""COMPUTED_VALUE"""),324.24)</f>
        <v>324.24</v>
      </c>
      <c r="C1227" s="9">
        <f>IFERROR(__xludf.DUMMYFUNCTION("""COMPUTED_VALUE"""),325.0)</f>
        <v>325</v>
      </c>
      <c r="D1227" s="9">
        <f>IFERROR(__xludf.DUMMYFUNCTION("""COMPUTED_VALUE"""),320.02)</f>
        <v>320.02</v>
      </c>
      <c r="E1227" s="9">
        <f>IFERROR(__xludf.DUMMYFUNCTION("""COMPUTED_VALUE"""),323.98)</f>
        <v>323.98</v>
      </c>
      <c r="F1227" s="9">
        <f>IFERROR(__xludf.DUMMYFUNCTION("""COMPUTED_VALUE"""),697893.0)</f>
        <v>697893</v>
      </c>
      <c r="H1227" s="27">
        <f>IFERROR(__xludf.DUMMYFUNCTION("""COMPUTED_VALUE"""),40171.645833333336)</f>
        <v>40171.64583</v>
      </c>
      <c r="I1227" s="25">
        <f>IFERROR(__xludf.DUMMYFUNCTION("""COMPUTED_VALUE"""),375.0)</f>
        <v>375</v>
      </c>
      <c r="J1227" s="25">
        <f>IFERROR(__xludf.DUMMYFUNCTION("""COMPUTED_VALUE"""),378.5)</f>
        <v>378.5</v>
      </c>
      <c r="K1227" s="25">
        <f>IFERROR(__xludf.DUMMYFUNCTION("""COMPUTED_VALUE"""),370.53)</f>
        <v>370.53</v>
      </c>
      <c r="L1227" s="25">
        <f>IFERROR(__xludf.DUMMYFUNCTION("""COMPUTED_VALUE"""),374.65)</f>
        <v>374.65</v>
      </c>
      <c r="M1227" s="25">
        <f>IFERROR(__xludf.DUMMYFUNCTION("""COMPUTED_VALUE"""),1528843.0)</f>
        <v>1528843</v>
      </c>
    </row>
    <row r="1228">
      <c r="A1228" s="26">
        <f>IFERROR(__xludf.DUMMYFUNCTION("""COMPUTED_VALUE"""),40176.645833333336)</f>
        <v>40176.64583</v>
      </c>
      <c r="B1228" s="9">
        <f>IFERROR(__xludf.DUMMYFUNCTION("""COMPUTED_VALUE"""),324.39)</f>
        <v>324.39</v>
      </c>
      <c r="C1228" s="9">
        <f>IFERROR(__xludf.DUMMYFUNCTION("""COMPUTED_VALUE"""),325.24)</f>
        <v>325.24</v>
      </c>
      <c r="D1228" s="9">
        <f>IFERROR(__xludf.DUMMYFUNCTION("""COMPUTED_VALUE"""),320.41)</f>
        <v>320.41</v>
      </c>
      <c r="E1228" s="9">
        <f>IFERROR(__xludf.DUMMYFUNCTION("""COMPUTED_VALUE"""),322.14)</f>
        <v>322.14</v>
      </c>
      <c r="F1228" s="9">
        <f>IFERROR(__xludf.DUMMYFUNCTION("""COMPUTED_VALUE"""),785243.0)</f>
        <v>785243</v>
      </c>
      <c r="H1228" s="27">
        <f>IFERROR(__xludf.DUMMYFUNCTION("""COMPUTED_VALUE"""),40176.645833333336)</f>
        <v>40176.64583</v>
      </c>
      <c r="I1228" s="25">
        <f>IFERROR(__xludf.DUMMYFUNCTION("""COMPUTED_VALUE"""),375.0)</f>
        <v>375</v>
      </c>
      <c r="J1228" s="25">
        <f>IFERROR(__xludf.DUMMYFUNCTION("""COMPUTED_VALUE"""),375.9)</f>
        <v>375.9</v>
      </c>
      <c r="K1228" s="25">
        <f>IFERROR(__xludf.DUMMYFUNCTION("""COMPUTED_VALUE"""),368.33)</f>
        <v>368.33</v>
      </c>
      <c r="L1228" s="25">
        <f>IFERROR(__xludf.DUMMYFUNCTION("""COMPUTED_VALUE"""),370.7)</f>
        <v>370.7</v>
      </c>
      <c r="M1228" s="25">
        <f>IFERROR(__xludf.DUMMYFUNCTION("""COMPUTED_VALUE"""),1128139.0)</f>
        <v>1128139</v>
      </c>
    </row>
    <row r="1229">
      <c r="A1229" s="26">
        <f>IFERROR(__xludf.DUMMYFUNCTION("""COMPUTED_VALUE"""),40177.645833333336)</f>
        <v>40177.64583</v>
      </c>
      <c r="B1229" s="9">
        <f>IFERROR(__xludf.DUMMYFUNCTION("""COMPUTED_VALUE"""),320.89)</f>
        <v>320.89</v>
      </c>
      <c r="C1229" s="9">
        <f>IFERROR(__xludf.DUMMYFUNCTION("""COMPUTED_VALUE"""),326.25)</f>
        <v>326.25</v>
      </c>
      <c r="D1229" s="9">
        <f>IFERROR(__xludf.DUMMYFUNCTION("""COMPUTED_VALUE"""),320.46)</f>
        <v>320.46</v>
      </c>
      <c r="E1229" s="9">
        <f>IFERROR(__xludf.DUMMYFUNCTION("""COMPUTED_VALUE"""),322.5)</f>
        <v>322.5</v>
      </c>
      <c r="F1229" s="9">
        <f>IFERROR(__xludf.DUMMYFUNCTION("""COMPUTED_VALUE"""),621300.0)</f>
        <v>621300</v>
      </c>
      <c r="H1229" s="27">
        <f>IFERROR(__xludf.DUMMYFUNCTION("""COMPUTED_VALUE"""),40177.645833333336)</f>
        <v>40177.64583</v>
      </c>
      <c r="I1229" s="25">
        <f>IFERROR(__xludf.DUMMYFUNCTION("""COMPUTED_VALUE"""),371.0)</f>
        <v>371</v>
      </c>
      <c r="J1229" s="25">
        <f>IFERROR(__xludf.DUMMYFUNCTION("""COMPUTED_VALUE"""),374.38)</f>
        <v>374.38</v>
      </c>
      <c r="K1229" s="25">
        <f>IFERROR(__xludf.DUMMYFUNCTION("""COMPUTED_VALUE"""),357.63)</f>
        <v>357.63</v>
      </c>
      <c r="L1229" s="25">
        <f>IFERROR(__xludf.DUMMYFUNCTION("""COMPUTED_VALUE"""),371.38)</f>
        <v>371.38</v>
      </c>
      <c r="M1229" s="25">
        <f>IFERROR(__xludf.DUMMYFUNCTION("""COMPUTED_VALUE"""),736055.0)</f>
        <v>736055</v>
      </c>
    </row>
    <row r="1230">
      <c r="A1230" s="26">
        <f>IFERROR(__xludf.DUMMYFUNCTION("""COMPUTED_VALUE"""),40178.645833333336)</f>
        <v>40178.64583</v>
      </c>
      <c r="B1230" s="9">
        <f>IFERROR(__xludf.DUMMYFUNCTION("""COMPUTED_VALUE"""),323.13)</f>
        <v>323.13</v>
      </c>
      <c r="C1230" s="9">
        <f>IFERROR(__xludf.DUMMYFUNCTION("""COMPUTED_VALUE"""),326.75)</f>
        <v>326.75</v>
      </c>
      <c r="D1230" s="9">
        <f>IFERROR(__xludf.DUMMYFUNCTION("""COMPUTED_VALUE"""),323.13)</f>
        <v>323.13</v>
      </c>
      <c r="E1230" s="9">
        <f>IFERROR(__xludf.DUMMYFUNCTION("""COMPUTED_VALUE"""),325.14)</f>
        <v>325.14</v>
      </c>
      <c r="F1230" s="9">
        <f>IFERROR(__xludf.DUMMYFUNCTION("""COMPUTED_VALUE"""),1156906.0)</f>
        <v>1156906</v>
      </c>
      <c r="H1230" s="27">
        <f>IFERROR(__xludf.DUMMYFUNCTION("""COMPUTED_VALUE"""),40178.645833333336)</f>
        <v>40178.64583</v>
      </c>
      <c r="I1230" s="25">
        <f>IFERROR(__xludf.DUMMYFUNCTION("""COMPUTED_VALUE"""),373.13)</f>
        <v>373.13</v>
      </c>
      <c r="J1230" s="25">
        <f>IFERROR(__xludf.DUMMYFUNCTION("""COMPUTED_VALUE"""),377.5)</f>
        <v>377.5</v>
      </c>
      <c r="K1230" s="25">
        <f>IFERROR(__xludf.DUMMYFUNCTION("""COMPUTED_VALUE"""),371.9)</f>
        <v>371.9</v>
      </c>
      <c r="L1230" s="25">
        <f>IFERROR(__xludf.DUMMYFUNCTION("""COMPUTED_VALUE"""),375.13)</f>
        <v>375.13</v>
      </c>
      <c r="M1230" s="25">
        <f>IFERROR(__xludf.DUMMYFUNCTION("""COMPUTED_VALUE"""),1426731.0)</f>
        <v>1426731</v>
      </c>
    </row>
    <row r="1231">
      <c r="A1231" s="26">
        <f>IFERROR(__xludf.DUMMYFUNCTION("""COMPUTED_VALUE"""),40182.645833333336)</f>
        <v>40182.64583</v>
      </c>
      <c r="B1231" s="9">
        <f>IFERROR(__xludf.DUMMYFUNCTION("""COMPUTED_VALUE"""),326.25)</f>
        <v>326.25</v>
      </c>
      <c r="C1231" s="9">
        <f>IFERROR(__xludf.DUMMYFUNCTION("""COMPUTED_VALUE"""),328.75)</f>
        <v>328.75</v>
      </c>
      <c r="D1231" s="9">
        <f>IFERROR(__xludf.DUMMYFUNCTION("""COMPUTED_VALUE"""),324.41)</f>
        <v>324.41</v>
      </c>
      <c r="E1231" s="9">
        <f>IFERROR(__xludf.DUMMYFUNCTION("""COMPUTED_VALUE"""),326.58)</f>
        <v>326.58</v>
      </c>
      <c r="F1231" s="9">
        <f>IFERROR(__xludf.DUMMYFUNCTION("""COMPUTED_VALUE"""),508658.0)</f>
        <v>508658</v>
      </c>
      <c r="H1231" s="27">
        <f>IFERROR(__xludf.DUMMYFUNCTION("""COMPUTED_VALUE"""),40182.645833333336)</f>
        <v>40182.64583</v>
      </c>
      <c r="I1231" s="25">
        <f>IFERROR(__xludf.DUMMYFUNCTION("""COMPUTED_VALUE"""),377.4)</f>
        <v>377.4</v>
      </c>
      <c r="J1231" s="25">
        <f>IFERROR(__xludf.DUMMYFUNCTION("""COMPUTED_VALUE"""),379.45)</f>
        <v>379.45</v>
      </c>
      <c r="K1231" s="25">
        <f>IFERROR(__xludf.DUMMYFUNCTION("""COMPUTED_VALUE"""),374.53)</f>
        <v>374.53</v>
      </c>
      <c r="L1231" s="25">
        <f>IFERROR(__xludf.DUMMYFUNCTION("""COMPUTED_VALUE"""),375.83)</f>
        <v>375.83</v>
      </c>
      <c r="M1231" s="25">
        <f>IFERROR(__xludf.DUMMYFUNCTION("""COMPUTED_VALUE"""),981841.0)</f>
        <v>981841</v>
      </c>
    </row>
    <row r="1232">
      <c r="A1232" s="26">
        <f>IFERROR(__xludf.DUMMYFUNCTION("""COMPUTED_VALUE"""),40183.645833333336)</f>
        <v>40183.64583</v>
      </c>
      <c r="B1232" s="9">
        <f>IFERROR(__xludf.DUMMYFUNCTION("""COMPUTED_VALUE"""),327.5)</f>
        <v>327.5</v>
      </c>
      <c r="C1232" s="9">
        <f>IFERROR(__xludf.DUMMYFUNCTION("""COMPUTED_VALUE"""),328.84)</f>
        <v>328.84</v>
      </c>
      <c r="D1232" s="9">
        <f>IFERROR(__xludf.DUMMYFUNCTION("""COMPUTED_VALUE"""),325.01)</f>
        <v>325.01</v>
      </c>
      <c r="E1232" s="9">
        <f>IFERROR(__xludf.DUMMYFUNCTION("""COMPUTED_VALUE"""),327.67)</f>
        <v>327.67</v>
      </c>
      <c r="F1232" s="9">
        <f>IFERROR(__xludf.DUMMYFUNCTION("""COMPUTED_VALUE"""),861941.0)</f>
        <v>861941</v>
      </c>
      <c r="H1232" s="27">
        <f>IFERROR(__xludf.DUMMYFUNCTION("""COMPUTED_VALUE"""),40183.645833333336)</f>
        <v>40183.64583</v>
      </c>
      <c r="I1232" s="25">
        <f>IFERROR(__xludf.DUMMYFUNCTION("""COMPUTED_VALUE"""),377.5)</f>
        <v>377.5</v>
      </c>
      <c r="J1232" s="25">
        <f>IFERROR(__xludf.DUMMYFUNCTION("""COMPUTED_VALUE"""),379.78)</f>
        <v>379.78</v>
      </c>
      <c r="K1232" s="25">
        <f>IFERROR(__xludf.DUMMYFUNCTION("""COMPUTED_VALUE"""),373.28)</f>
        <v>373.28</v>
      </c>
      <c r="L1232" s="25">
        <f>IFERROR(__xludf.DUMMYFUNCTION("""COMPUTED_VALUE"""),375.92)</f>
        <v>375.92</v>
      </c>
      <c r="M1232" s="25">
        <f>IFERROR(__xludf.DUMMYFUNCTION("""COMPUTED_VALUE"""),1007244.0)</f>
        <v>1007244</v>
      </c>
    </row>
    <row r="1233">
      <c r="A1233" s="26">
        <f>IFERROR(__xludf.DUMMYFUNCTION("""COMPUTED_VALUE"""),40184.645833333336)</f>
        <v>40184.64583</v>
      </c>
      <c r="B1233" s="9">
        <f>IFERROR(__xludf.DUMMYFUNCTION("""COMPUTED_VALUE"""),335.38)</f>
        <v>335.38</v>
      </c>
      <c r="C1233" s="9">
        <f>IFERROR(__xludf.DUMMYFUNCTION("""COMPUTED_VALUE"""),335.38)</f>
        <v>335.38</v>
      </c>
      <c r="D1233" s="9">
        <f>IFERROR(__xludf.DUMMYFUNCTION("""COMPUTED_VALUE"""),321.89)</f>
        <v>321.89</v>
      </c>
      <c r="E1233" s="9">
        <f>IFERROR(__xludf.DUMMYFUNCTION("""COMPUTED_VALUE"""),322.89)</f>
        <v>322.89</v>
      </c>
      <c r="F1233" s="9">
        <f>IFERROR(__xludf.DUMMYFUNCTION("""COMPUTED_VALUE"""),852161.0)</f>
        <v>852161</v>
      </c>
      <c r="H1233" s="27">
        <f>IFERROR(__xludf.DUMMYFUNCTION("""COMPUTED_VALUE"""),40184.645833333336)</f>
        <v>40184.64583</v>
      </c>
      <c r="I1233" s="25">
        <f>IFERROR(__xludf.DUMMYFUNCTION("""COMPUTED_VALUE"""),375.92)</f>
        <v>375.92</v>
      </c>
      <c r="J1233" s="25">
        <f>IFERROR(__xludf.DUMMYFUNCTION("""COMPUTED_VALUE"""),376.1)</f>
        <v>376.1</v>
      </c>
      <c r="K1233" s="25">
        <f>IFERROR(__xludf.DUMMYFUNCTION("""COMPUTED_VALUE"""),366.5)</f>
        <v>366.5</v>
      </c>
      <c r="L1233" s="25">
        <f>IFERROR(__xludf.DUMMYFUNCTION("""COMPUTED_VALUE"""),367.42)</f>
        <v>367.42</v>
      </c>
      <c r="M1233" s="25">
        <f>IFERROR(__xludf.DUMMYFUNCTION("""COMPUTED_VALUE"""),1674588.0)</f>
        <v>1674588</v>
      </c>
    </row>
    <row r="1234">
      <c r="A1234" s="26">
        <f>IFERROR(__xludf.DUMMYFUNCTION("""COMPUTED_VALUE"""),40185.645833333336)</f>
        <v>40185.64583</v>
      </c>
      <c r="B1234" s="9">
        <f>IFERROR(__xludf.DUMMYFUNCTION("""COMPUTED_VALUE"""),323.33)</f>
        <v>323.33</v>
      </c>
      <c r="C1234" s="9">
        <f>IFERROR(__xludf.DUMMYFUNCTION("""COMPUTED_VALUE"""),323.33)</f>
        <v>323.33</v>
      </c>
      <c r="D1234" s="9">
        <f>IFERROR(__xludf.DUMMYFUNCTION("""COMPUTED_VALUE"""),314.77)</f>
        <v>314.77</v>
      </c>
      <c r="E1234" s="9">
        <f>IFERROR(__xludf.DUMMYFUNCTION("""COMPUTED_VALUE"""),315.63)</f>
        <v>315.63</v>
      </c>
      <c r="F1234" s="9">
        <f>IFERROR(__xludf.DUMMYFUNCTION("""COMPUTED_VALUE"""),1361575.0)</f>
        <v>1361575</v>
      </c>
      <c r="H1234" s="27">
        <f>IFERROR(__xludf.DUMMYFUNCTION("""COMPUTED_VALUE"""),40185.645833333336)</f>
        <v>40185.64583</v>
      </c>
      <c r="I1234" s="25">
        <f>IFERROR(__xludf.DUMMYFUNCTION("""COMPUTED_VALUE"""),367.75)</f>
        <v>367.75</v>
      </c>
      <c r="J1234" s="25">
        <f>IFERROR(__xludf.DUMMYFUNCTION("""COMPUTED_VALUE"""),369.7)</f>
        <v>369.7</v>
      </c>
      <c r="K1234" s="25">
        <f>IFERROR(__xludf.DUMMYFUNCTION("""COMPUTED_VALUE"""),355.5)</f>
        <v>355.5</v>
      </c>
      <c r="L1234" s="25">
        <f>IFERROR(__xludf.DUMMYFUNCTION("""COMPUTED_VALUE"""),357.2)</f>
        <v>357.2</v>
      </c>
      <c r="M1234" s="25">
        <f>IFERROR(__xludf.DUMMYFUNCTION("""COMPUTED_VALUE"""),3237446.0)</f>
        <v>3237446</v>
      </c>
    </row>
    <row r="1235">
      <c r="A1235" s="26">
        <f>IFERROR(__xludf.DUMMYFUNCTION("""COMPUTED_VALUE"""),40186.645833333336)</f>
        <v>40186.64583</v>
      </c>
      <c r="B1235" s="9">
        <f>IFERROR(__xludf.DUMMYFUNCTION("""COMPUTED_VALUE"""),314.88)</f>
        <v>314.88</v>
      </c>
      <c r="C1235" s="9">
        <f>IFERROR(__xludf.DUMMYFUNCTION("""COMPUTED_VALUE"""),315.41)</f>
        <v>315.41</v>
      </c>
      <c r="D1235" s="9">
        <f>IFERROR(__xludf.DUMMYFUNCTION("""COMPUTED_VALUE"""),307.25)</f>
        <v>307.25</v>
      </c>
      <c r="E1235" s="9">
        <f>IFERROR(__xludf.DUMMYFUNCTION("""COMPUTED_VALUE"""),308.02)</f>
        <v>308.02</v>
      </c>
      <c r="F1235" s="9">
        <f>IFERROR(__xludf.DUMMYFUNCTION("""COMPUTED_VALUE"""),1581164.0)</f>
        <v>1581164</v>
      </c>
      <c r="H1235" s="27">
        <f>IFERROR(__xludf.DUMMYFUNCTION("""COMPUTED_VALUE"""),40186.645833333336)</f>
        <v>40186.64583</v>
      </c>
      <c r="I1235" s="25">
        <f>IFERROR(__xludf.DUMMYFUNCTION("""COMPUTED_VALUE"""),358.0)</f>
        <v>358</v>
      </c>
      <c r="J1235" s="25">
        <f>IFERROR(__xludf.DUMMYFUNCTION("""COMPUTED_VALUE"""),359.25)</f>
        <v>359.25</v>
      </c>
      <c r="K1235" s="25">
        <f>IFERROR(__xludf.DUMMYFUNCTION("""COMPUTED_VALUE"""),348.25)</f>
        <v>348.25</v>
      </c>
      <c r="L1235" s="25">
        <f>IFERROR(__xludf.DUMMYFUNCTION("""COMPUTED_VALUE"""),349.9)</f>
        <v>349.9</v>
      </c>
      <c r="M1235" s="25">
        <f>IFERROR(__xludf.DUMMYFUNCTION("""COMPUTED_VALUE"""),3024089.0)</f>
        <v>3024089</v>
      </c>
    </row>
    <row r="1236">
      <c r="A1236" s="26">
        <f>IFERROR(__xludf.DUMMYFUNCTION("""COMPUTED_VALUE"""),40189.645833333336)</f>
        <v>40189.64583</v>
      </c>
      <c r="B1236" s="9">
        <f>IFERROR(__xludf.DUMMYFUNCTION("""COMPUTED_VALUE"""),309.39)</f>
        <v>309.39</v>
      </c>
      <c r="C1236" s="9">
        <f>IFERROR(__xludf.DUMMYFUNCTION("""COMPUTED_VALUE"""),313.09)</f>
        <v>313.09</v>
      </c>
      <c r="D1236" s="9">
        <f>IFERROR(__xludf.DUMMYFUNCTION("""COMPUTED_VALUE"""),309.25)</f>
        <v>309.25</v>
      </c>
      <c r="E1236" s="9">
        <f>IFERROR(__xludf.DUMMYFUNCTION("""COMPUTED_VALUE"""),311.21)</f>
        <v>311.21</v>
      </c>
      <c r="F1236" s="9">
        <f>IFERROR(__xludf.DUMMYFUNCTION("""COMPUTED_VALUE"""),981207.0)</f>
        <v>981207</v>
      </c>
      <c r="H1236" s="27">
        <f>IFERROR(__xludf.DUMMYFUNCTION("""COMPUTED_VALUE"""),40189.645833333336)</f>
        <v>40189.64583</v>
      </c>
      <c r="I1236" s="25">
        <f>IFERROR(__xludf.DUMMYFUNCTION("""COMPUTED_VALUE"""),352.0)</f>
        <v>352</v>
      </c>
      <c r="J1236" s="25">
        <f>IFERROR(__xludf.DUMMYFUNCTION("""COMPUTED_VALUE"""),360.05)</f>
        <v>360.05</v>
      </c>
      <c r="K1236" s="25">
        <f>IFERROR(__xludf.DUMMYFUNCTION("""COMPUTED_VALUE"""),350.2)</f>
        <v>350.2</v>
      </c>
      <c r="L1236" s="25">
        <f>IFERROR(__xludf.DUMMYFUNCTION("""COMPUTED_VALUE"""),357.1)</f>
        <v>357.1</v>
      </c>
      <c r="M1236" s="25">
        <f>IFERROR(__xludf.DUMMYFUNCTION("""COMPUTED_VALUE"""),2159204.0)</f>
        <v>2159204</v>
      </c>
    </row>
    <row r="1237">
      <c r="A1237" s="26">
        <f>IFERROR(__xludf.DUMMYFUNCTION("""COMPUTED_VALUE"""),40190.645833333336)</f>
        <v>40190.64583</v>
      </c>
      <c r="B1237" s="9">
        <f>IFERROR(__xludf.DUMMYFUNCTION("""COMPUTED_VALUE"""),312.5)</f>
        <v>312.5</v>
      </c>
      <c r="C1237" s="9">
        <f>IFERROR(__xludf.DUMMYFUNCTION("""COMPUTED_VALUE"""),324.25)</f>
        <v>324.25</v>
      </c>
      <c r="D1237" s="9">
        <f>IFERROR(__xludf.DUMMYFUNCTION("""COMPUTED_VALUE"""),312.5)</f>
        <v>312.5</v>
      </c>
      <c r="E1237" s="9">
        <f>IFERROR(__xludf.DUMMYFUNCTION("""COMPUTED_VALUE"""),323.37)</f>
        <v>323.37</v>
      </c>
      <c r="F1237" s="9">
        <f>IFERROR(__xludf.DUMMYFUNCTION("""COMPUTED_VALUE"""),3107460.0)</f>
        <v>3107460</v>
      </c>
      <c r="H1237" s="27">
        <f>IFERROR(__xludf.DUMMYFUNCTION("""COMPUTED_VALUE"""),40190.645833333336)</f>
        <v>40190.64583</v>
      </c>
      <c r="I1237" s="25">
        <f>IFERROR(__xludf.DUMMYFUNCTION("""COMPUTED_VALUE"""),366.0)</f>
        <v>366</v>
      </c>
      <c r="J1237" s="25">
        <f>IFERROR(__xludf.DUMMYFUNCTION("""COMPUTED_VALUE"""),377.0)</f>
        <v>377</v>
      </c>
      <c r="K1237" s="25">
        <f>IFERROR(__xludf.DUMMYFUNCTION("""COMPUTED_VALUE"""),363.5)</f>
        <v>363.5</v>
      </c>
      <c r="L1237" s="25">
        <f>IFERROR(__xludf.DUMMYFUNCTION("""COMPUTED_VALUE"""),375.03)</f>
        <v>375.03</v>
      </c>
      <c r="M1237" s="25">
        <f>IFERROR(__xludf.DUMMYFUNCTION("""COMPUTED_VALUE"""),4513845.0)</f>
        <v>4513845</v>
      </c>
    </row>
    <row r="1238">
      <c r="A1238" s="26">
        <f>IFERROR(__xludf.DUMMYFUNCTION("""COMPUTED_VALUE"""),40191.645833333336)</f>
        <v>40191.64583</v>
      </c>
      <c r="B1238" s="9">
        <f>IFERROR(__xludf.DUMMYFUNCTION("""COMPUTED_VALUE"""),309.61)</f>
        <v>309.61</v>
      </c>
      <c r="C1238" s="9">
        <f>IFERROR(__xludf.DUMMYFUNCTION("""COMPUTED_VALUE"""),336.88)</f>
        <v>336.88</v>
      </c>
      <c r="D1238" s="9">
        <f>IFERROR(__xludf.DUMMYFUNCTION("""COMPUTED_VALUE"""),309.61)</f>
        <v>309.61</v>
      </c>
      <c r="E1238" s="9">
        <f>IFERROR(__xludf.DUMMYFUNCTION("""COMPUTED_VALUE"""),335.44)</f>
        <v>335.44</v>
      </c>
      <c r="F1238" s="9">
        <f>IFERROR(__xludf.DUMMYFUNCTION("""COMPUTED_VALUE"""),2463005.0)</f>
        <v>2463005</v>
      </c>
      <c r="H1238" s="27">
        <f>IFERROR(__xludf.DUMMYFUNCTION("""COMPUTED_VALUE"""),40191.645833333336)</f>
        <v>40191.64583</v>
      </c>
      <c r="I1238" s="25">
        <f>IFERROR(__xludf.DUMMYFUNCTION("""COMPUTED_VALUE"""),372.5)</f>
        <v>372.5</v>
      </c>
      <c r="J1238" s="25">
        <f>IFERROR(__xludf.DUMMYFUNCTION("""COMPUTED_VALUE"""),398.2)</f>
        <v>398.2</v>
      </c>
      <c r="K1238" s="25">
        <f>IFERROR(__xludf.DUMMYFUNCTION("""COMPUTED_VALUE"""),372.33)</f>
        <v>372.33</v>
      </c>
      <c r="L1238" s="25">
        <f>IFERROR(__xludf.DUMMYFUNCTION("""COMPUTED_VALUE"""),394.28)</f>
        <v>394.28</v>
      </c>
      <c r="M1238" s="25">
        <f>IFERROR(__xludf.DUMMYFUNCTION("""COMPUTED_VALUE"""),5455136.0)</f>
        <v>5455136</v>
      </c>
    </row>
    <row r="1239">
      <c r="A1239" s="26">
        <f>IFERROR(__xludf.DUMMYFUNCTION("""COMPUTED_VALUE"""),40192.645833333336)</f>
        <v>40192.64583</v>
      </c>
      <c r="B1239" s="9">
        <f>IFERROR(__xludf.DUMMYFUNCTION("""COMPUTED_VALUE"""),334.88)</f>
        <v>334.88</v>
      </c>
      <c r="C1239" s="9">
        <f>IFERROR(__xludf.DUMMYFUNCTION("""COMPUTED_VALUE"""),337.86)</f>
        <v>337.86</v>
      </c>
      <c r="D1239" s="9">
        <f>IFERROR(__xludf.DUMMYFUNCTION("""COMPUTED_VALUE"""),331.28)</f>
        <v>331.28</v>
      </c>
      <c r="E1239" s="9">
        <f>IFERROR(__xludf.DUMMYFUNCTION("""COMPUTED_VALUE"""),336.22)</f>
        <v>336.22</v>
      </c>
      <c r="F1239" s="9">
        <f>IFERROR(__xludf.DUMMYFUNCTION("""COMPUTED_VALUE"""),1051738.0)</f>
        <v>1051738</v>
      </c>
      <c r="H1239" s="27">
        <f>IFERROR(__xludf.DUMMYFUNCTION("""COMPUTED_VALUE"""),40192.645833333336)</f>
        <v>40192.64583</v>
      </c>
      <c r="I1239" s="25">
        <f>IFERROR(__xludf.DUMMYFUNCTION("""COMPUTED_VALUE"""),399.23)</f>
        <v>399.23</v>
      </c>
      <c r="J1239" s="25">
        <f>IFERROR(__xludf.DUMMYFUNCTION("""COMPUTED_VALUE"""),399.23)</f>
        <v>399.23</v>
      </c>
      <c r="K1239" s="25">
        <f>IFERROR(__xludf.DUMMYFUNCTION("""COMPUTED_VALUE"""),384.67)</f>
        <v>384.67</v>
      </c>
      <c r="L1239" s="25">
        <f>IFERROR(__xludf.DUMMYFUNCTION("""COMPUTED_VALUE"""),389.92)</f>
        <v>389.92</v>
      </c>
      <c r="M1239" s="25">
        <f>IFERROR(__xludf.DUMMYFUNCTION("""COMPUTED_VALUE"""),5163807.0)</f>
        <v>5163807</v>
      </c>
    </row>
    <row r="1240">
      <c r="A1240" s="26">
        <f>IFERROR(__xludf.DUMMYFUNCTION("""COMPUTED_VALUE"""),40193.645833333336)</f>
        <v>40193.64583</v>
      </c>
      <c r="B1240" s="9">
        <f>IFERROR(__xludf.DUMMYFUNCTION("""COMPUTED_VALUE"""),336.22)</f>
        <v>336.22</v>
      </c>
      <c r="C1240" s="9">
        <f>IFERROR(__xludf.DUMMYFUNCTION("""COMPUTED_VALUE"""),336.56)</f>
        <v>336.56</v>
      </c>
      <c r="D1240" s="9">
        <f>IFERROR(__xludf.DUMMYFUNCTION("""COMPUTED_VALUE"""),331.77)</f>
        <v>331.77</v>
      </c>
      <c r="E1240" s="9">
        <f>IFERROR(__xludf.DUMMYFUNCTION("""COMPUTED_VALUE"""),334.48)</f>
        <v>334.48</v>
      </c>
      <c r="F1240" s="9">
        <f>IFERROR(__xludf.DUMMYFUNCTION("""COMPUTED_VALUE"""),631188.0)</f>
        <v>631188</v>
      </c>
      <c r="H1240" s="27">
        <f>IFERROR(__xludf.DUMMYFUNCTION("""COMPUTED_VALUE"""),40193.645833333336)</f>
        <v>40193.64583</v>
      </c>
      <c r="I1240" s="25">
        <f>IFERROR(__xludf.DUMMYFUNCTION("""COMPUTED_VALUE"""),398.0)</f>
        <v>398</v>
      </c>
      <c r="J1240" s="25">
        <f>IFERROR(__xludf.DUMMYFUNCTION("""COMPUTED_VALUE"""),399.8)</f>
        <v>399.8</v>
      </c>
      <c r="K1240" s="25">
        <f>IFERROR(__xludf.DUMMYFUNCTION("""COMPUTED_VALUE"""),386.13)</f>
        <v>386.13</v>
      </c>
      <c r="L1240" s="25">
        <f>IFERROR(__xludf.DUMMYFUNCTION("""COMPUTED_VALUE"""),395.7)</f>
        <v>395.7</v>
      </c>
      <c r="M1240" s="25">
        <f>IFERROR(__xludf.DUMMYFUNCTION("""COMPUTED_VALUE"""),3972504.0)</f>
        <v>3972504</v>
      </c>
    </row>
    <row r="1241">
      <c r="A1241" s="26">
        <f>IFERROR(__xludf.DUMMYFUNCTION("""COMPUTED_VALUE"""),40196.645833333336)</f>
        <v>40196.64583</v>
      </c>
      <c r="B1241" s="9">
        <f>IFERROR(__xludf.DUMMYFUNCTION("""COMPUTED_VALUE"""),332.88)</f>
        <v>332.88</v>
      </c>
      <c r="C1241" s="9">
        <f>IFERROR(__xludf.DUMMYFUNCTION("""COMPUTED_VALUE"""),336.25)</f>
        <v>336.25</v>
      </c>
      <c r="D1241" s="9">
        <f>IFERROR(__xludf.DUMMYFUNCTION("""COMPUTED_VALUE"""),332.0)</f>
        <v>332</v>
      </c>
      <c r="E1241" s="9">
        <f>IFERROR(__xludf.DUMMYFUNCTION("""COMPUTED_VALUE"""),335.83)</f>
        <v>335.83</v>
      </c>
      <c r="F1241" s="9">
        <f>IFERROR(__xludf.DUMMYFUNCTION("""COMPUTED_VALUE"""),767511.0)</f>
        <v>767511</v>
      </c>
      <c r="H1241" s="27">
        <f>IFERROR(__xludf.DUMMYFUNCTION("""COMPUTED_VALUE"""),40196.645833333336)</f>
        <v>40196.64583</v>
      </c>
      <c r="I1241" s="25">
        <f>IFERROR(__xludf.DUMMYFUNCTION("""COMPUTED_VALUE"""),400.0)</f>
        <v>400</v>
      </c>
      <c r="J1241" s="25">
        <f>IFERROR(__xludf.DUMMYFUNCTION("""COMPUTED_VALUE"""),414.5)</f>
        <v>414.5</v>
      </c>
      <c r="K1241" s="25">
        <f>IFERROR(__xludf.DUMMYFUNCTION("""COMPUTED_VALUE"""),396.5)</f>
        <v>396.5</v>
      </c>
      <c r="L1241" s="25">
        <f>IFERROR(__xludf.DUMMYFUNCTION("""COMPUTED_VALUE"""),401.1)</f>
        <v>401.1</v>
      </c>
      <c r="M1241" s="25">
        <f>IFERROR(__xludf.DUMMYFUNCTION("""COMPUTED_VALUE"""),3630542.0)</f>
        <v>3630542</v>
      </c>
    </row>
    <row r="1242">
      <c r="A1242" s="26">
        <f>IFERROR(__xludf.DUMMYFUNCTION("""COMPUTED_VALUE"""),40197.645833333336)</f>
        <v>40197.64583</v>
      </c>
      <c r="B1242" s="9">
        <f>IFERROR(__xludf.DUMMYFUNCTION("""COMPUTED_VALUE"""),335.0)</f>
        <v>335</v>
      </c>
      <c r="C1242" s="9">
        <f>IFERROR(__xludf.DUMMYFUNCTION("""COMPUTED_VALUE"""),336.0)</f>
        <v>336</v>
      </c>
      <c r="D1242" s="9">
        <f>IFERROR(__xludf.DUMMYFUNCTION("""COMPUTED_VALUE"""),328.51)</f>
        <v>328.51</v>
      </c>
      <c r="E1242" s="9">
        <f>IFERROR(__xludf.DUMMYFUNCTION("""COMPUTED_VALUE"""),329.49)</f>
        <v>329.49</v>
      </c>
      <c r="F1242" s="9">
        <f>IFERROR(__xludf.DUMMYFUNCTION("""COMPUTED_VALUE"""),729689.0)</f>
        <v>729689</v>
      </c>
      <c r="H1242" s="27">
        <f>IFERROR(__xludf.DUMMYFUNCTION("""COMPUTED_VALUE"""),40197.645833333336)</f>
        <v>40197.64583</v>
      </c>
      <c r="I1242" s="25">
        <f>IFERROR(__xludf.DUMMYFUNCTION("""COMPUTED_VALUE"""),401.1)</f>
        <v>401.1</v>
      </c>
      <c r="J1242" s="25">
        <f>IFERROR(__xludf.DUMMYFUNCTION("""COMPUTED_VALUE"""),401.1)</f>
        <v>401.1</v>
      </c>
      <c r="K1242" s="25">
        <f>IFERROR(__xludf.DUMMYFUNCTION("""COMPUTED_VALUE"""),389.33)</f>
        <v>389.33</v>
      </c>
      <c r="L1242" s="25">
        <f>IFERROR(__xludf.DUMMYFUNCTION("""COMPUTED_VALUE"""),390.35)</f>
        <v>390.35</v>
      </c>
      <c r="M1242" s="25">
        <f>IFERROR(__xludf.DUMMYFUNCTION("""COMPUTED_VALUE"""),2577425.0)</f>
        <v>2577425</v>
      </c>
    </row>
    <row r="1243">
      <c r="A1243" s="26">
        <f>IFERROR(__xludf.DUMMYFUNCTION("""COMPUTED_VALUE"""),40198.645833333336)</f>
        <v>40198.64583</v>
      </c>
      <c r="B1243" s="9">
        <f>IFERROR(__xludf.DUMMYFUNCTION("""COMPUTED_VALUE"""),331.08)</f>
        <v>331.08</v>
      </c>
      <c r="C1243" s="9">
        <f>IFERROR(__xludf.DUMMYFUNCTION("""COMPUTED_VALUE"""),334.15)</f>
        <v>334.15</v>
      </c>
      <c r="D1243" s="9">
        <f>IFERROR(__xludf.DUMMYFUNCTION("""COMPUTED_VALUE"""),329.75)</f>
        <v>329.75</v>
      </c>
      <c r="E1243" s="9">
        <f>IFERROR(__xludf.DUMMYFUNCTION("""COMPUTED_VALUE"""),332.21)</f>
        <v>332.21</v>
      </c>
      <c r="F1243" s="9">
        <f>IFERROR(__xludf.DUMMYFUNCTION("""COMPUTED_VALUE"""),761499.0)</f>
        <v>761499</v>
      </c>
      <c r="H1243" s="27">
        <f>IFERROR(__xludf.DUMMYFUNCTION("""COMPUTED_VALUE"""),40198.645833333336)</f>
        <v>40198.64583</v>
      </c>
      <c r="I1243" s="25">
        <f>IFERROR(__xludf.DUMMYFUNCTION("""COMPUTED_VALUE"""),396.1)</f>
        <v>396.1</v>
      </c>
      <c r="J1243" s="25">
        <f>IFERROR(__xludf.DUMMYFUNCTION("""COMPUTED_VALUE"""),396.1)</f>
        <v>396.1</v>
      </c>
      <c r="K1243" s="25">
        <f>IFERROR(__xludf.DUMMYFUNCTION("""COMPUTED_VALUE"""),385.45)</f>
        <v>385.45</v>
      </c>
      <c r="L1243" s="25">
        <f>IFERROR(__xludf.DUMMYFUNCTION("""COMPUTED_VALUE"""),389.7)</f>
        <v>389.7</v>
      </c>
      <c r="M1243" s="25">
        <f>IFERROR(__xludf.DUMMYFUNCTION("""COMPUTED_VALUE"""),2173527.0)</f>
        <v>2173527</v>
      </c>
    </row>
    <row r="1244">
      <c r="A1244" s="26">
        <f>IFERROR(__xludf.DUMMYFUNCTION("""COMPUTED_VALUE"""),40199.645833333336)</f>
        <v>40199.64583</v>
      </c>
      <c r="B1244" s="9">
        <f>IFERROR(__xludf.DUMMYFUNCTION("""COMPUTED_VALUE"""),330.38)</f>
        <v>330.38</v>
      </c>
      <c r="C1244" s="9">
        <f>IFERROR(__xludf.DUMMYFUNCTION("""COMPUTED_VALUE"""),333.09)</f>
        <v>333.09</v>
      </c>
      <c r="D1244" s="9">
        <f>IFERROR(__xludf.DUMMYFUNCTION("""COMPUTED_VALUE"""),325.0)</f>
        <v>325</v>
      </c>
      <c r="E1244" s="9">
        <f>IFERROR(__xludf.DUMMYFUNCTION("""COMPUTED_VALUE"""),328.15)</f>
        <v>328.15</v>
      </c>
      <c r="F1244" s="9">
        <f>IFERROR(__xludf.DUMMYFUNCTION("""COMPUTED_VALUE"""),835349.0)</f>
        <v>835349</v>
      </c>
      <c r="H1244" s="27">
        <f>IFERROR(__xludf.DUMMYFUNCTION("""COMPUTED_VALUE"""),40199.645833333336)</f>
        <v>40199.64583</v>
      </c>
      <c r="I1244" s="25">
        <f>IFERROR(__xludf.DUMMYFUNCTION("""COMPUTED_VALUE"""),386.13)</f>
        <v>386.13</v>
      </c>
      <c r="J1244" s="25">
        <f>IFERROR(__xludf.DUMMYFUNCTION("""COMPUTED_VALUE"""),395.98)</f>
        <v>395.98</v>
      </c>
      <c r="K1244" s="25">
        <f>IFERROR(__xludf.DUMMYFUNCTION("""COMPUTED_VALUE"""),383.95)</f>
        <v>383.95</v>
      </c>
      <c r="L1244" s="25">
        <f>IFERROR(__xludf.DUMMYFUNCTION("""COMPUTED_VALUE"""),385.33)</f>
        <v>385.33</v>
      </c>
      <c r="M1244" s="25">
        <f>IFERROR(__xludf.DUMMYFUNCTION("""COMPUTED_VALUE"""),2544752.0)</f>
        <v>2544752</v>
      </c>
    </row>
    <row r="1245">
      <c r="A1245" s="26">
        <f>IFERROR(__xludf.DUMMYFUNCTION("""COMPUTED_VALUE"""),40200.645833333336)</f>
        <v>40200.64583</v>
      </c>
      <c r="B1245" s="9">
        <f>IFERROR(__xludf.DUMMYFUNCTION("""COMPUTED_VALUE"""),325.0)</f>
        <v>325</v>
      </c>
      <c r="C1245" s="9">
        <f>IFERROR(__xludf.DUMMYFUNCTION("""COMPUTED_VALUE"""),326.25)</f>
        <v>326.25</v>
      </c>
      <c r="D1245" s="9">
        <f>IFERROR(__xludf.DUMMYFUNCTION("""COMPUTED_VALUE"""),319.0)</f>
        <v>319</v>
      </c>
      <c r="E1245" s="9">
        <f>IFERROR(__xludf.DUMMYFUNCTION("""COMPUTED_VALUE"""),321.95)</f>
        <v>321.95</v>
      </c>
      <c r="F1245" s="9">
        <f>IFERROR(__xludf.DUMMYFUNCTION("""COMPUTED_VALUE"""),1685812.0)</f>
        <v>1685812</v>
      </c>
      <c r="H1245" s="27">
        <f>IFERROR(__xludf.DUMMYFUNCTION("""COMPUTED_VALUE"""),40200.645833333336)</f>
        <v>40200.64583</v>
      </c>
      <c r="I1245" s="25">
        <f>IFERROR(__xludf.DUMMYFUNCTION("""COMPUTED_VALUE"""),380.5)</f>
        <v>380.5</v>
      </c>
      <c r="J1245" s="25">
        <f>IFERROR(__xludf.DUMMYFUNCTION("""COMPUTED_VALUE"""),382.5)</f>
        <v>382.5</v>
      </c>
      <c r="K1245" s="25">
        <f>IFERROR(__xludf.DUMMYFUNCTION("""COMPUTED_VALUE"""),372.35)</f>
        <v>372.35</v>
      </c>
      <c r="L1245" s="25">
        <f>IFERROR(__xludf.DUMMYFUNCTION("""COMPUTED_VALUE"""),378.92)</f>
        <v>378.92</v>
      </c>
      <c r="M1245" s="25">
        <f>IFERROR(__xludf.DUMMYFUNCTION("""COMPUTED_VALUE"""),3787495.0)</f>
        <v>3787495</v>
      </c>
    </row>
    <row r="1246">
      <c r="A1246" s="26">
        <f>IFERROR(__xludf.DUMMYFUNCTION("""COMPUTED_VALUE"""),40203.645833333336)</f>
        <v>40203.64583</v>
      </c>
      <c r="B1246" s="9">
        <f>IFERROR(__xludf.DUMMYFUNCTION("""COMPUTED_VALUE"""),318.75)</f>
        <v>318.75</v>
      </c>
      <c r="C1246" s="9">
        <f>IFERROR(__xludf.DUMMYFUNCTION("""COMPUTED_VALUE"""),321.24)</f>
        <v>321.24</v>
      </c>
      <c r="D1246" s="9">
        <f>IFERROR(__xludf.DUMMYFUNCTION("""COMPUTED_VALUE"""),314.75)</f>
        <v>314.75</v>
      </c>
      <c r="E1246" s="9">
        <f>IFERROR(__xludf.DUMMYFUNCTION("""COMPUTED_VALUE"""),317.79)</f>
        <v>317.79</v>
      </c>
      <c r="F1246" s="9">
        <f>IFERROR(__xludf.DUMMYFUNCTION("""COMPUTED_VALUE"""),812339.0)</f>
        <v>812339</v>
      </c>
      <c r="H1246" s="27">
        <f>IFERROR(__xludf.DUMMYFUNCTION("""COMPUTED_VALUE"""),40203.645833333336)</f>
        <v>40203.64583</v>
      </c>
      <c r="I1246" s="25">
        <f>IFERROR(__xludf.DUMMYFUNCTION("""COMPUTED_VALUE"""),378.75)</f>
        <v>378.75</v>
      </c>
      <c r="J1246" s="25">
        <f>IFERROR(__xludf.DUMMYFUNCTION("""COMPUTED_VALUE"""),382.75)</f>
        <v>382.75</v>
      </c>
      <c r="K1246" s="25">
        <f>IFERROR(__xludf.DUMMYFUNCTION("""COMPUTED_VALUE"""),370.58)</f>
        <v>370.58</v>
      </c>
      <c r="L1246" s="25">
        <f>IFERROR(__xludf.DUMMYFUNCTION("""COMPUTED_VALUE"""),378.1)</f>
        <v>378.1</v>
      </c>
      <c r="M1246" s="25">
        <f>IFERROR(__xludf.DUMMYFUNCTION("""COMPUTED_VALUE"""),1504143.0)</f>
        <v>1504143</v>
      </c>
    </row>
    <row r="1247">
      <c r="A1247" s="26">
        <f>IFERROR(__xludf.DUMMYFUNCTION("""COMPUTED_VALUE"""),40205.645833333336)</f>
        <v>40205.64583</v>
      </c>
      <c r="B1247" s="9">
        <f>IFERROR(__xludf.DUMMYFUNCTION("""COMPUTED_VALUE"""),316.5)</f>
        <v>316.5</v>
      </c>
      <c r="C1247" s="9">
        <f>IFERROR(__xludf.DUMMYFUNCTION("""COMPUTED_VALUE"""),316.73)</f>
        <v>316.73</v>
      </c>
      <c r="D1247" s="9">
        <f>IFERROR(__xludf.DUMMYFUNCTION("""COMPUTED_VALUE"""),310.64)</f>
        <v>310.64</v>
      </c>
      <c r="E1247" s="9">
        <f>IFERROR(__xludf.DUMMYFUNCTION("""COMPUTED_VALUE"""),312.78)</f>
        <v>312.78</v>
      </c>
      <c r="F1247" s="9">
        <f>IFERROR(__xludf.DUMMYFUNCTION("""COMPUTED_VALUE"""),1230107.0)</f>
        <v>1230107</v>
      </c>
      <c r="H1247" s="27">
        <f>IFERROR(__xludf.DUMMYFUNCTION("""COMPUTED_VALUE"""),40205.645833333336)</f>
        <v>40205.64583</v>
      </c>
      <c r="I1247" s="25">
        <f>IFERROR(__xludf.DUMMYFUNCTION("""COMPUTED_VALUE"""),375.0)</f>
        <v>375</v>
      </c>
      <c r="J1247" s="25">
        <f>IFERROR(__xludf.DUMMYFUNCTION("""COMPUTED_VALUE"""),379.85)</f>
        <v>379.85</v>
      </c>
      <c r="K1247" s="25">
        <f>IFERROR(__xludf.DUMMYFUNCTION("""COMPUTED_VALUE"""),370.08)</f>
        <v>370.08</v>
      </c>
      <c r="L1247" s="25">
        <f>IFERROR(__xludf.DUMMYFUNCTION("""COMPUTED_VALUE"""),371.65)</f>
        <v>371.65</v>
      </c>
      <c r="M1247" s="25">
        <f>IFERROR(__xludf.DUMMYFUNCTION("""COMPUTED_VALUE"""),2422199.0)</f>
        <v>2422199</v>
      </c>
    </row>
    <row r="1248">
      <c r="A1248" s="26">
        <f>IFERROR(__xludf.DUMMYFUNCTION("""COMPUTED_VALUE"""),40206.645833333336)</f>
        <v>40206.64583</v>
      </c>
      <c r="B1248" s="9">
        <f>IFERROR(__xludf.DUMMYFUNCTION("""COMPUTED_VALUE"""),314.13)</f>
        <v>314.13</v>
      </c>
      <c r="C1248" s="9">
        <f>IFERROR(__xludf.DUMMYFUNCTION("""COMPUTED_VALUE"""),319.36)</f>
        <v>319.36</v>
      </c>
      <c r="D1248" s="9">
        <f>IFERROR(__xludf.DUMMYFUNCTION("""COMPUTED_VALUE"""),309.94)</f>
        <v>309.94</v>
      </c>
      <c r="E1248" s="9">
        <f>IFERROR(__xludf.DUMMYFUNCTION("""COMPUTED_VALUE"""),311.47)</f>
        <v>311.47</v>
      </c>
      <c r="F1248" s="9">
        <f>IFERROR(__xludf.DUMMYFUNCTION("""COMPUTED_VALUE"""),1591609.0)</f>
        <v>1591609</v>
      </c>
      <c r="H1248" s="27">
        <f>IFERROR(__xludf.DUMMYFUNCTION("""COMPUTED_VALUE"""),40206.645833333336)</f>
        <v>40206.64583</v>
      </c>
      <c r="I1248" s="25">
        <f>IFERROR(__xludf.DUMMYFUNCTION("""COMPUTED_VALUE"""),374.75)</f>
        <v>374.75</v>
      </c>
      <c r="J1248" s="25">
        <f>IFERROR(__xludf.DUMMYFUNCTION("""COMPUTED_VALUE"""),378.98)</f>
        <v>378.98</v>
      </c>
      <c r="K1248" s="25">
        <f>IFERROR(__xludf.DUMMYFUNCTION("""COMPUTED_VALUE"""),363.85)</f>
        <v>363.85</v>
      </c>
      <c r="L1248" s="25">
        <f>IFERROR(__xludf.DUMMYFUNCTION("""COMPUTED_VALUE"""),370.88)</f>
        <v>370.88</v>
      </c>
      <c r="M1248" s="25">
        <f>IFERROR(__xludf.DUMMYFUNCTION("""COMPUTED_VALUE"""),3268598.0)</f>
        <v>3268598</v>
      </c>
    </row>
    <row r="1249">
      <c r="A1249" s="26">
        <f>IFERROR(__xludf.DUMMYFUNCTION("""COMPUTED_VALUE"""),40207.645833333336)</f>
        <v>40207.64583</v>
      </c>
      <c r="B1249" s="9">
        <f>IFERROR(__xludf.DUMMYFUNCTION("""COMPUTED_VALUE"""),306.55)</f>
        <v>306.55</v>
      </c>
      <c r="C1249" s="9">
        <f>IFERROR(__xludf.DUMMYFUNCTION("""COMPUTED_VALUE"""),312.5)</f>
        <v>312.5</v>
      </c>
      <c r="D1249" s="9">
        <f>IFERROR(__xludf.DUMMYFUNCTION("""COMPUTED_VALUE"""),300.6)</f>
        <v>300.6</v>
      </c>
      <c r="E1249" s="9">
        <f>IFERROR(__xludf.DUMMYFUNCTION("""COMPUTED_VALUE"""),309.44)</f>
        <v>309.44</v>
      </c>
      <c r="F1249" s="9">
        <f>IFERROR(__xludf.DUMMYFUNCTION("""COMPUTED_VALUE"""),1876535.0)</f>
        <v>1876535</v>
      </c>
      <c r="H1249" s="27">
        <f>IFERROR(__xludf.DUMMYFUNCTION("""COMPUTED_VALUE"""),40207.645833333336)</f>
        <v>40207.64583</v>
      </c>
      <c r="I1249" s="25">
        <f>IFERROR(__xludf.DUMMYFUNCTION("""COMPUTED_VALUE"""),367.0)</f>
        <v>367</v>
      </c>
      <c r="J1249" s="25">
        <f>IFERROR(__xludf.DUMMYFUNCTION("""COMPUTED_VALUE"""),369.9)</f>
        <v>369.9</v>
      </c>
      <c r="K1249" s="25">
        <f>IFERROR(__xludf.DUMMYFUNCTION("""COMPUTED_VALUE"""),356.08)</f>
        <v>356.08</v>
      </c>
      <c r="L1249" s="25">
        <f>IFERROR(__xludf.DUMMYFUNCTION("""COMPUTED_VALUE"""),368.1)</f>
        <v>368.1</v>
      </c>
      <c r="M1249" s="25">
        <f>IFERROR(__xludf.DUMMYFUNCTION("""COMPUTED_VALUE"""),2736663.0)</f>
        <v>2736663</v>
      </c>
    </row>
    <row r="1250">
      <c r="A1250" s="26">
        <f>IFERROR(__xludf.DUMMYFUNCTION("""COMPUTED_VALUE"""),40210.645833333336)</f>
        <v>40210.64583</v>
      </c>
      <c r="B1250" s="9">
        <f>IFERROR(__xludf.DUMMYFUNCTION("""COMPUTED_VALUE"""),305.88)</f>
        <v>305.88</v>
      </c>
      <c r="C1250" s="9">
        <f>IFERROR(__xludf.DUMMYFUNCTION("""COMPUTED_VALUE"""),316.25)</f>
        <v>316.25</v>
      </c>
      <c r="D1250" s="9">
        <f>IFERROR(__xludf.DUMMYFUNCTION("""COMPUTED_VALUE"""),298.76)</f>
        <v>298.76</v>
      </c>
      <c r="E1250" s="9">
        <f>IFERROR(__xludf.DUMMYFUNCTION("""COMPUTED_VALUE"""),306.41)</f>
        <v>306.41</v>
      </c>
      <c r="F1250" s="9">
        <f>IFERROR(__xludf.DUMMYFUNCTION("""COMPUTED_VALUE"""),1538598.0)</f>
        <v>1538598</v>
      </c>
      <c r="H1250" s="27">
        <f>IFERROR(__xludf.DUMMYFUNCTION("""COMPUTED_VALUE"""),40210.645833333336)</f>
        <v>40210.64583</v>
      </c>
      <c r="I1250" s="25">
        <f>IFERROR(__xludf.DUMMYFUNCTION("""COMPUTED_VALUE"""),367.17)</f>
        <v>367.17</v>
      </c>
      <c r="J1250" s="25">
        <f>IFERROR(__xludf.DUMMYFUNCTION("""COMPUTED_VALUE"""),381.4)</f>
        <v>381.4</v>
      </c>
      <c r="K1250" s="25">
        <f>IFERROR(__xludf.DUMMYFUNCTION("""COMPUTED_VALUE"""),360.0)</f>
        <v>360</v>
      </c>
      <c r="L1250" s="25">
        <f>IFERROR(__xludf.DUMMYFUNCTION("""COMPUTED_VALUE"""),373.08)</f>
        <v>373.08</v>
      </c>
      <c r="M1250" s="25">
        <f>IFERROR(__xludf.DUMMYFUNCTION("""COMPUTED_VALUE"""),1689006.0)</f>
        <v>1689006</v>
      </c>
    </row>
    <row r="1251">
      <c r="A1251" s="26">
        <f>IFERROR(__xludf.DUMMYFUNCTION("""COMPUTED_VALUE"""),40211.645833333336)</f>
        <v>40211.64583</v>
      </c>
      <c r="B1251" s="9">
        <f>IFERROR(__xludf.DUMMYFUNCTION("""COMPUTED_VALUE"""),312.63)</f>
        <v>312.63</v>
      </c>
      <c r="C1251" s="9">
        <f>IFERROR(__xludf.DUMMYFUNCTION("""COMPUTED_VALUE"""),312.63)</f>
        <v>312.63</v>
      </c>
      <c r="D1251" s="9">
        <f>IFERROR(__xludf.DUMMYFUNCTION("""COMPUTED_VALUE"""),302.71)</f>
        <v>302.71</v>
      </c>
      <c r="E1251" s="9">
        <f>IFERROR(__xludf.DUMMYFUNCTION("""COMPUTED_VALUE"""),304.99)</f>
        <v>304.99</v>
      </c>
      <c r="F1251" s="9">
        <f>IFERROR(__xludf.DUMMYFUNCTION("""COMPUTED_VALUE"""),1236173.0)</f>
        <v>1236173</v>
      </c>
      <c r="H1251" s="27">
        <f>IFERROR(__xludf.DUMMYFUNCTION("""COMPUTED_VALUE"""),40211.645833333336)</f>
        <v>40211.64583</v>
      </c>
      <c r="I1251" s="25">
        <f>IFERROR(__xludf.DUMMYFUNCTION("""COMPUTED_VALUE"""),377.5)</f>
        <v>377.5</v>
      </c>
      <c r="J1251" s="25">
        <f>IFERROR(__xludf.DUMMYFUNCTION("""COMPUTED_VALUE"""),381.33)</f>
        <v>381.33</v>
      </c>
      <c r="K1251" s="25">
        <f>IFERROR(__xludf.DUMMYFUNCTION("""COMPUTED_VALUE"""),367.5)</f>
        <v>367.5</v>
      </c>
      <c r="L1251" s="25">
        <f>IFERROR(__xludf.DUMMYFUNCTION("""COMPUTED_VALUE"""),369.2)</f>
        <v>369.2</v>
      </c>
      <c r="M1251" s="25">
        <f>IFERROR(__xludf.DUMMYFUNCTION("""COMPUTED_VALUE"""),2369594.0)</f>
        <v>2369594</v>
      </c>
    </row>
    <row r="1252">
      <c r="A1252" s="26">
        <f>IFERROR(__xludf.DUMMYFUNCTION("""COMPUTED_VALUE"""),40212.645833333336)</f>
        <v>40212.64583</v>
      </c>
      <c r="B1252" s="9">
        <f>IFERROR(__xludf.DUMMYFUNCTION("""COMPUTED_VALUE"""),306.25)</f>
        <v>306.25</v>
      </c>
      <c r="C1252" s="9">
        <f>IFERROR(__xludf.DUMMYFUNCTION("""COMPUTED_VALUE"""),312.5)</f>
        <v>312.5</v>
      </c>
      <c r="D1252" s="9">
        <f>IFERROR(__xludf.DUMMYFUNCTION("""COMPUTED_VALUE"""),306.25)</f>
        <v>306.25</v>
      </c>
      <c r="E1252" s="9">
        <f>IFERROR(__xludf.DUMMYFUNCTION("""COMPUTED_VALUE"""),309.15)</f>
        <v>309.15</v>
      </c>
      <c r="F1252" s="9">
        <f>IFERROR(__xludf.DUMMYFUNCTION("""COMPUTED_VALUE"""),800701.0)</f>
        <v>800701</v>
      </c>
      <c r="H1252" s="27">
        <f>IFERROR(__xludf.DUMMYFUNCTION("""COMPUTED_VALUE"""),40212.645833333336)</f>
        <v>40212.64583</v>
      </c>
      <c r="I1252" s="25">
        <f>IFERROR(__xludf.DUMMYFUNCTION("""COMPUTED_VALUE"""),372.0)</f>
        <v>372</v>
      </c>
      <c r="J1252" s="25">
        <f>IFERROR(__xludf.DUMMYFUNCTION("""COMPUTED_VALUE"""),378.45)</f>
        <v>378.45</v>
      </c>
      <c r="K1252" s="25">
        <f>IFERROR(__xludf.DUMMYFUNCTION("""COMPUTED_VALUE"""),367.75)</f>
        <v>367.75</v>
      </c>
      <c r="L1252" s="25">
        <f>IFERROR(__xludf.DUMMYFUNCTION("""COMPUTED_VALUE"""),376.48)</f>
        <v>376.48</v>
      </c>
      <c r="M1252" s="25">
        <f>IFERROR(__xludf.DUMMYFUNCTION("""COMPUTED_VALUE"""),1488838.0)</f>
        <v>1488838</v>
      </c>
    </row>
    <row r="1253">
      <c r="A1253" s="26">
        <f>IFERROR(__xludf.DUMMYFUNCTION("""COMPUTED_VALUE"""),40213.645833333336)</f>
        <v>40213.64583</v>
      </c>
      <c r="B1253" s="9">
        <f>IFERROR(__xludf.DUMMYFUNCTION("""COMPUTED_VALUE"""),308.13)</f>
        <v>308.13</v>
      </c>
      <c r="C1253" s="9">
        <f>IFERROR(__xludf.DUMMYFUNCTION("""COMPUTED_VALUE"""),308.75)</f>
        <v>308.75</v>
      </c>
      <c r="D1253" s="9">
        <f>IFERROR(__xludf.DUMMYFUNCTION("""COMPUTED_VALUE"""),301.56)</f>
        <v>301.56</v>
      </c>
      <c r="E1253" s="9">
        <f>IFERROR(__xludf.DUMMYFUNCTION("""COMPUTED_VALUE"""),303.63)</f>
        <v>303.63</v>
      </c>
      <c r="F1253" s="9">
        <f>IFERROR(__xludf.DUMMYFUNCTION("""COMPUTED_VALUE"""),772051.0)</f>
        <v>772051</v>
      </c>
      <c r="H1253" s="27">
        <f>IFERROR(__xludf.DUMMYFUNCTION("""COMPUTED_VALUE"""),40213.645833333336)</f>
        <v>40213.64583</v>
      </c>
      <c r="I1253" s="25">
        <f>IFERROR(__xludf.DUMMYFUNCTION("""COMPUTED_VALUE"""),376.48)</f>
        <v>376.48</v>
      </c>
      <c r="J1253" s="25">
        <f>IFERROR(__xludf.DUMMYFUNCTION("""COMPUTED_VALUE"""),376.95)</f>
        <v>376.95</v>
      </c>
      <c r="K1253" s="25">
        <f>IFERROR(__xludf.DUMMYFUNCTION("""COMPUTED_VALUE"""),366.25)</f>
        <v>366.25</v>
      </c>
      <c r="L1253" s="25">
        <f>IFERROR(__xludf.DUMMYFUNCTION("""COMPUTED_VALUE"""),369.35)</f>
        <v>369.35</v>
      </c>
      <c r="M1253" s="25">
        <f>IFERROR(__xludf.DUMMYFUNCTION("""COMPUTED_VALUE"""),1358306.0)</f>
        <v>1358306</v>
      </c>
    </row>
    <row r="1254">
      <c r="A1254" s="26">
        <f>IFERROR(__xludf.DUMMYFUNCTION("""COMPUTED_VALUE"""),40214.645833333336)</f>
        <v>40214.64583</v>
      </c>
      <c r="B1254" s="9">
        <f>IFERROR(__xludf.DUMMYFUNCTION("""COMPUTED_VALUE"""),298.8)</f>
        <v>298.8</v>
      </c>
      <c r="C1254" s="9">
        <f>IFERROR(__xludf.DUMMYFUNCTION("""COMPUTED_VALUE"""),299.81)</f>
        <v>299.81</v>
      </c>
      <c r="D1254" s="9">
        <f>IFERROR(__xludf.DUMMYFUNCTION("""COMPUTED_VALUE"""),291.13)</f>
        <v>291.13</v>
      </c>
      <c r="E1254" s="9">
        <f>IFERROR(__xludf.DUMMYFUNCTION("""COMPUTED_VALUE"""),294.09)</f>
        <v>294.09</v>
      </c>
      <c r="F1254" s="9">
        <f>IFERROR(__xludf.DUMMYFUNCTION("""COMPUTED_VALUE"""),1693109.0)</f>
        <v>1693109</v>
      </c>
      <c r="H1254" s="27">
        <f>IFERROR(__xludf.DUMMYFUNCTION("""COMPUTED_VALUE"""),40214.645833333336)</f>
        <v>40214.64583</v>
      </c>
      <c r="I1254" s="25">
        <f>IFERROR(__xludf.DUMMYFUNCTION("""COMPUTED_VALUE"""),367.5)</f>
        <v>367.5</v>
      </c>
      <c r="J1254" s="25">
        <f>IFERROR(__xludf.DUMMYFUNCTION("""COMPUTED_VALUE"""),367.5)</f>
        <v>367.5</v>
      </c>
      <c r="K1254" s="25">
        <f>IFERROR(__xludf.DUMMYFUNCTION("""COMPUTED_VALUE"""),358.3)</f>
        <v>358.3</v>
      </c>
      <c r="L1254" s="25">
        <f>IFERROR(__xludf.DUMMYFUNCTION("""COMPUTED_VALUE"""),361.75)</f>
        <v>361.75</v>
      </c>
      <c r="M1254" s="25">
        <f>IFERROR(__xludf.DUMMYFUNCTION("""COMPUTED_VALUE"""),2303559.0)</f>
        <v>2303559</v>
      </c>
    </row>
    <row r="1255">
      <c r="A1255" s="26">
        <f>IFERROR(__xludf.DUMMYFUNCTION("""COMPUTED_VALUE"""),40217.645833333336)</f>
        <v>40217.64583</v>
      </c>
      <c r="B1255" s="9">
        <f>IFERROR(__xludf.DUMMYFUNCTION("""COMPUTED_VALUE"""),296.86)</f>
        <v>296.86</v>
      </c>
      <c r="C1255" s="9">
        <f>IFERROR(__xludf.DUMMYFUNCTION("""COMPUTED_VALUE"""),305.25)</f>
        <v>305.25</v>
      </c>
      <c r="D1255" s="9">
        <f>IFERROR(__xludf.DUMMYFUNCTION("""COMPUTED_VALUE"""),293.06)</f>
        <v>293.06</v>
      </c>
      <c r="E1255" s="9">
        <f>IFERROR(__xludf.DUMMYFUNCTION("""COMPUTED_VALUE"""),300.45)</f>
        <v>300.45</v>
      </c>
      <c r="F1255" s="9">
        <f>IFERROR(__xludf.DUMMYFUNCTION("""COMPUTED_VALUE"""),1156560.0)</f>
        <v>1156560</v>
      </c>
      <c r="H1255" s="27">
        <f>IFERROR(__xludf.DUMMYFUNCTION("""COMPUTED_VALUE"""),40217.645833333336)</f>
        <v>40217.64583</v>
      </c>
      <c r="I1255" s="25">
        <f>IFERROR(__xludf.DUMMYFUNCTION("""COMPUTED_VALUE"""),364.5)</f>
        <v>364.5</v>
      </c>
      <c r="J1255" s="25">
        <f>IFERROR(__xludf.DUMMYFUNCTION("""COMPUTED_VALUE"""),367.38)</f>
        <v>367.38</v>
      </c>
      <c r="K1255" s="25">
        <f>IFERROR(__xludf.DUMMYFUNCTION("""COMPUTED_VALUE"""),354.08)</f>
        <v>354.08</v>
      </c>
      <c r="L1255" s="25">
        <f>IFERROR(__xludf.DUMMYFUNCTION("""COMPUTED_VALUE"""),362.08)</f>
        <v>362.08</v>
      </c>
      <c r="M1255" s="25">
        <f>IFERROR(__xludf.DUMMYFUNCTION("""COMPUTED_VALUE"""),2085172.0)</f>
        <v>2085172</v>
      </c>
    </row>
    <row r="1256">
      <c r="A1256" s="26">
        <f>IFERROR(__xludf.DUMMYFUNCTION("""COMPUTED_VALUE"""),40218.645833333336)</f>
        <v>40218.64583</v>
      </c>
      <c r="B1256" s="9">
        <f>IFERROR(__xludf.DUMMYFUNCTION("""COMPUTED_VALUE"""),300.5)</f>
        <v>300.5</v>
      </c>
      <c r="C1256" s="9">
        <f>IFERROR(__xludf.DUMMYFUNCTION("""COMPUTED_VALUE"""),310.25)</f>
        <v>310.25</v>
      </c>
      <c r="D1256" s="9">
        <f>IFERROR(__xludf.DUMMYFUNCTION("""COMPUTED_VALUE"""),299.28)</f>
        <v>299.28</v>
      </c>
      <c r="E1256" s="9">
        <f>IFERROR(__xludf.DUMMYFUNCTION("""COMPUTED_VALUE"""),309.23)</f>
        <v>309.23</v>
      </c>
      <c r="F1256" s="9">
        <f>IFERROR(__xludf.DUMMYFUNCTION("""COMPUTED_VALUE"""),1298424.0)</f>
        <v>1298424</v>
      </c>
      <c r="H1256" s="27">
        <f>IFERROR(__xludf.DUMMYFUNCTION("""COMPUTED_VALUE"""),40218.645833333336)</f>
        <v>40218.64583</v>
      </c>
      <c r="I1256" s="25">
        <f>IFERROR(__xludf.DUMMYFUNCTION("""COMPUTED_VALUE"""),362.5)</f>
        <v>362.5</v>
      </c>
      <c r="J1256" s="25">
        <f>IFERROR(__xludf.DUMMYFUNCTION("""COMPUTED_VALUE"""),370.98)</f>
        <v>370.98</v>
      </c>
      <c r="K1256" s="25">
        <f>IFERROR(__xludf.DUMMYFUNCTION("""COMPUTED_VALUE"""),360.53)</f>
        <v>360.53</v>
      </c>
      <c r="L1256" s="25">
        <f>IFERROR(__xludf.DUMMYFUNCTION("""COMPUTED_VALUE"""),367.58)</f>
        <v>367.58</v>
      </c>
      <c r="M1256" s="25">
        <f>IFERROR(__xludf.DUMMYFUNCTION("""COMPUTED_VALUE"""),1502947.0)</f>
        <v>1502947</v>
      </c>
    </row>
    <row r="1257">
      <c r="A1257" s="26">
        <f>IFERROR(__xludf.DUMMYFUNCTION("""COMPUTED_VALUE"""),40219.645833333336)</f>
        <v>40219.64583</v>
      </c>
      <c r="B1257" s="9">
        <f>IFERROR(__xludf.DUMMYFUNCTION("""COMPUTED_VALUE"""),311.38)</f>
        <v>311.38</v>
      </c>
      <c r="C1257" s="9">
        <f>IFERROR(__xludf.DUMMYFUNCTION("""COMPUTED_VALUE"""),312.02)</f>
        <v>312.02</v>
      </c>
      <c r="D1257" s="9">
        <f>IFERROR(__xludf.DUMMYFUNCTION("""COMPUTED_VALUE"""),306.0)</f>
        <v>306</v>
      </c>
      <c r="E1257" s="9">
        <f>IFERROR(__xludf.DUMMYFUNCTION("""COMPUTED_VALUE"""),308.37)</f>
        <v>308.37</v>
      </c>
      <c r="F1257" s="9">
        <f>IFERROR(__xludf.DUMMYFUNCTION("""COMPUTED_VALUE"""),898498.0)</f>
        <v>898498</v>
      </c>
      <c r="H1257" s="27">
        <f>IFERROR(__xludf.DUMMYFUNCTION("""COMPUTED_VALUE"""),40219.645833333336)</f>
        <v>40219.64583</v>
      </c>
      <c r="I1257" s="25">
        <f>IFERROR(__xludf.DUMMYFUNCTION("""COMPUTED_VALUE"""),369.95)</f>
        <v>369.95</v>
      </c>
      <c r="J1257" s="25">
        <f>IFERROR(__xludf.DUMMYFUNCTION("""COMPUTED_VALUE"""),371.85)</f>
        <v>371.85</v>
      </c>
      <c r="K1257" s="25">
        <f>IFERROR(__xludf.DUMMYFUNCTION("""COMPUTED_VALUE"""),364.05)</f>
        <v>364.05</v>
      </c>
      <c r="L1257" s="25">
        <f>IFERROR(__xludf.DUMMYFUNCTION("""COMPUTED_VALUE"""),366.15)</f>
        <v>366.15</v>
      </c>
      <c r="M1257" s="25">
        <f>IFERROR(__xludf.DUMMYFUNCTION("""COMPUTED_VALUE"""),1168687.0)</f>
        <v>1168687</v>
      </c>
    </row>
    <row r="1258">
      <c r="A1258" s="26">
        <f>IFERROR(__xludf.DUMMYFUNCTION("""COMPUTED_VALUE"""),40220.645833333336)</f>
        <v>40220.64583</v>
      </c>
      <c r="B1258" s="9">
        <f>IFERROR(__xludf.DUMMYFUNCTION("""COMPUTED_VALUE"""),309.13)</f>
        <v>309.13</v>
      </c>
      <c r="C1258" s="9">
        <f>IFERROR(__xludf.DUMMYFUNCTION("""COMPUTED_VALUE"""),314.77)</f>
        <v>314.77</v>
      </c>
      <c r="D1258" s="9">
        <f>IFERROR(__xludf.DUMMYFUNCTION("""COMPUTED_VALUE"""),308.75)</f>
        <v>308.75</v>
      </c>
      <c r="E1258" s="9">
        <f>IFERROR(__xludf.DUMMYFUNCTION("""COMPUTED_VALUE"""),312.31)</f>
        <v>312.31</v>
      </c>
      <c r="F1258" s="9">
        <f>IFERROR(__xludf.DUMMYFUNCTION("""COMPUTED_VALUE"""),806736.0)</f>
        <v>806736</v>
      </c>
      <c r="H1258" s="27">
        <f>IFERROR(__xludf.DUMMYFUNCTION("""COMPUTED_VALUE"""),40220.645833333336)</f>
        <v>40220.64583</v>
      </c>
      <c r="I1258" s="25">
        <f>IFERROR(__xludf.DUMMYFUNCTION("""COMPUTED_VALUE"""),368.98)</f>
        <v>368.98</v>
      </c>
      <c r="J1258" s="25">
        <f>IFERROR(__xludf.DUMMYFUNCTION("""COMPUTED_VALUE"""),373.98)</f>
        <v>373.98</v>
      </c>
      <c r="K1258" s="25">
        <f>IFERROR(__xludf.DUMMYFUNCTION("""COMPUTED_VALUE"""),367.5)</f>
        <v>367.5</v>
      </c>
      <c r="L1258" s="25">
        <f>IFERROR(__xludf.DUMMYFUNCTION("""COMPUTED_VALUE"""),371.35)</f>
        <v>371.35</v>
      </c>
      <c r="M1258" s="25">
        <f>IFERROR(__xludf.DUMMYFUNCTION("""COMPUTED_VALUE"""),1206578.0)</f>
        <v>1206578</v>
      </c>
    </row>
    <row r="1259">
      <c r="A1259" s="26">
        <f>IFERROR(__xludf.DUMMYFUNCTION("""COMPUTED_VALUE"""),40224.645833333336)</f>
        <v>40224.64583</v>
      </c>
      <c r="B1259" s="9">
        <f>IFERROR(__xludf.DUMMYFUNCTION("""COMPUTED_VALUE"""),313.38)</f>
        <v>313.38</v>
      </c>
      <c r="C1259" s="9">
        <f>IFERROR(__xludf.DUMMYFUNCTION("""COMPUTED_VALUE"""),317.8)</f>
        <v>317.8</v>
      </c>
      <c r="D1259" s="9">
        <f>IFERROR(__xludf.DUMMYFUNCTION("""COMPUTED_VALUE"""),309.36)</f>
        <v>309.36</v>
      </c>
      <c r="E1259" s="9">
        <f>IFERROR(__xludf.DUMMYFUNCTION("""COMPUTED_VALUE"""),312.33)</f>
        <v>312.33</v>
      </c>
      <c r="F1259" s="9">
        <f>IFERROR(__xludf.DUMMYFUNCTION("""COMPUTED_VALUE"""),1118766.0)</f>
        <v>1118766</v>
      </c>
      <c r="H1259" s="27">
        <f>IFERROR(__xludf.DUMMYFUNCTION("""COMPUTED_VALUE"""),40224.645833333336)</f>
        <v>40224.64583</v>
      </c>
      <c r="I1259" s="25">
        <f>IFERROR(__xludf.DUMMYFUNCTION("""COMPUTED_VALUE"""),375.0)</f>
        <v>375</v>
      </c>
      <c r="J1259" s="25">
        <f>IFERROR(__xludf.DUMMYFUNCTION("""COMPUTED_VALUE"""),375.0)</f>
        <v>375</v>
      </c>
      <c r="K1259" s="25">
        <f>IFERROR(__xludf.DUMMYFUNCTION("""COMPUTED_VALUE"""),369.28)</f>
        <v>369.28</v>
      </c>
      <c r="L1259" s="25">
        <f>IFERROR(__xludf.DUMMYFUNCTION("""COMPUTED_VALUE"""),373.08)</f>
        <v>373.08</v>
      </c>
      <c r="M1259" s="25">
        <f>IFERROR(__xludf.DUMMYFUNCTION("""COMPUTED_VALUE"""),978241.0)</f>
        <v>978241</v>
      </c>
    </row>
    <row r="1260">
      <c r="A1260" s="26">
        <f>IFERROR(__xludf.DUMMYFUNCTION("""COMPUTED_VALUE"""),40225.645833333336)</f>
        <v>40225.64583</v>
      </c>
      <c r="B1260" s="9">
        <f>IFERROR(__xludf.DUMMYFUNCTION("""COMPUTED_VALUE"""),312.5)</f>
        <v>312.5</v>
      </c>
      <c r="C1260" s="9">
        <f>IFERROR(__xludf.DUMMYFUNCTION("""COMPUTED_VALUE"""),318.88)</f>
        <v>318.88</v>
      </c>
      <c r="D1260" s="9">
        <f>IFERROR(__xludf.DUMMYFUNCTION("""COMPUTED_VALUE"""),311.03)</f>
        <v>311.03</v>
      </c>
      <c r="E1260" s="9">
        <f>IFERROR(__xludf.DUMMYFUNCTION("""COMPUTED_VALUE"""),317.68)</f>
        <v>317.68</v>
      </c>
      <c r="F1260" s="9">
        <f>IFERROR(__xludf.DUMMYFUNCTION("""COMPUTED_VALUE"""),552262.0)</f>
        <v>552262</v>
      </c>
      <c r="H1260" s="27">
        <f>IFERROR(__xludf.DUMMYFUNCTION("""COMPUTED_VALUE"""),40225.645833333336)</f>
        <v>40225.64583</v>
      </c>
      <c r="I1260" s="25">
        <f>IFERROR(__xludf.DUMMYFUNCTION("""COMPUTED_VALUE"""),373.63)</f>
        <v>373.63</v>
      </c>
      <c r="J1260" s="25">
        <f>IFERROR(__xludf.DUMMYFUNCTION("""COMPUTED_VALUE"""),382.48)</f>
        <v>382.48</v>
      </c>
      <c r="K1260" s="25">
        <f>IFERROR(__xludf.DUMMYFUNCTION("""COMPUTED_VALUE"""),371.1)</f>
        <v>371.1</v>
      </c>
      <c r="L1260" s="25">
        <f>IFERROR(__xludf.DUMMYFUNCTION("""COMPUTED_VALUE"""),379.08)</f>
        <v>379.08</v>
      </c>
      <c r="M1260" s="25">
        <f>IFERROR(__xludf.DUMMYFUNCTION("""COMPUTED_VALUE"""),830245.0)</f>
        <v>830245</v>
      </c>
    </row>
    <row r="1261">
      <c r="A1261" s="26">
        <f>IFERROR(__xludf.DUMMYFUNCTION("""COMPUTED_VALUE"""),40226.645833333336)</f>
        <v>40226.64583</v>
      </c>
      <c r="B1261" s="9">
        <f>IFERROR(__xludf.DUMMYFUNCTION("""COMPUTED_VALUE"""),318.77)</f>
        <v>318.77</v>
      </c>
      <c r="C1261" s="9">
        <f>IFERROR(__xludf.DUMMYFUNCTION("""COMPUTED_VALUE"""),320.8)</f>
        <v>320.8</v>
      </c>
      <c r="D1261" s="9">
        <f>IFERROR(__xludf.DUMMYFUNCTION("""COMPUTED_VALUE"""),314.2)</f>
        <v>314.2</v>
      </c>
      <c r="E1261" s="9">
        <f>IFERROR(__xludf.DUMMYFUNCTION("""COMPUTED_VALUE"""),314.83)</f>
        <v>314.83</v>
      </c>
      <c r="F1261" s="9">
        <f>IFERROR(__xludf.DUMMYFUNCTION("""COMPUTED_VALUE"""),998898.0)</f>
        <v>998898</v>
      </c>
      <c r="H1261" s="27">
        <f>IFERROR(__xludf.DUMMYFUNCTION("""COMPUTED_VALUE"""),40226.645833333336)</f>
        <v>40226.64583</v>
      </c>
      <c r="I1261" s="25">
        <f>IFERROR(__xludf.DUMMYFUNCTION("""COMPUTED_VALUE"""),382.45)</f>
        <v>382.45</v>
      </c>
      <c r="J1261" s="25">
        <f>IFERROR(__xludf.DUMMYFUNCTION("""COMPUTED_VALUE"""),383.98)</f>
        <v>383.98</v>
      </c>
      <c r="K1261" s="25">
        <f>IFERROR(__xludf.DUMMYFUNCTION("""COMPUTED_VALUE"""),376.28)</f>
        <v>376.28</v>
      </c>
      <c r="L1261" s="25">
        <f>IFERROR(__xludf.DUMMYFUNCTION("""COMPUTED_VALUE"""),379.33)</f>
        <v>379.33</v>
      </c>
      <c r="M1261" s="25">
        <f>IFERROR(__xludf.DUMMYFUNCTION("""COMPUTED_VALUE"""),1264145.0)</f>
        <v>1264145</v>
      </c>
    </row>
    <row r="1262">
      <c r="A1262" s="26">
        <f>IFERROR(__xludf.DUMMYFUNCTION("""COMPUTED_VALUE"""),40227.645833333336)</f>
        <v>40227.64583</v>
      </c>
      <c r="B1262" s="9">
        <f>IFERROR(__xludf.DUMMYFUNCTION("""COMPUTED_VALUE"""),315.38)</f>
        <v>315.38</v>
      </c>
      <c r="C1262" s="9">
        <f>IFERROR(__xludf.DUMMYFUNCTION("""COMPUTED_VALUE"""),318.38)</f>
        <v>318.38</v>
      </c>
      <c r="D1262" s="9">
        <f>IFERROR(__xludf.DUMMYFUNCTION("""COMPUTED_VALUE"""),314.0)</f>
        <v>314</v>
      </c>
      <c r="E1262" s="9">
        <f>IFERROR(__xludf.DUMMYFUNCTION("""COMPUTED_VALUE"""),316.71)</f>
        <v>316.71</v>
      </c>
      <c r="F1262" s="9">
        <f>IFERROR(__xludf.DUMMYFUNCTION("""COMPUTED_VALUE"""),465212.0)</f>
        <v>465212</v>
      </c>
      <c r="H1262" s="27">
        <f>IFERROR(__xludf.DUMMYFUNCTION("""COMPUTED_VALUE"""),40227.645833333336)</f>
        <v>40227.64583</v>
      </c>
      <c r="I1262" s="25">
        <f>IFERROR(__xludf.DUMMYFUNCTION("""COMPUTED_VALUE"""),380.0)</f>
        <v>380</v>
      </c>
      <c r="J1262" s="25">
        <f>IFERROR(__xludf.DUMMYFUNCTION("""COMPUTED_VALUE"""),383.48)</f>
        <v>383.48</v>
      </c>
      <c r="K1262" s="25">
        <f>IFERROR(__xludf.DUMMYFUNCTION("""COMPUTED_VALUE"""),377.75)</f>
        <v>377.75</v>
      </c>
      <c r="L1262" s="25">
        <f>IFERROR(__xludf.DUMMYFUNCTION("""COMPUTED_VALUE"""),379.4)</f>
        <v>379.4</v>
      </c>
      <c r="M1262" s="25">
        <f>IFERROR(__xludf.DUMMYFUNCTION("""COMPUTED_VALUE"""),907403.0)</f>
        <v>907403</v>
      </c>
    </row>
    <row r="1263">
      <c r="A1263" s="26">
        <f>IFERROR(__xludf.DUMMYFUNCTION("""COMPUTED_VALUE"""),40228.645833333336)</f>
        <v>40228.64583</v>
      </c>
      <c r="B1263" s="9">
        <f>IFERROR(__xludf.DUMMYFUNCTION("""COMPUTED_VALUE"""),315.61)</f>
        <v>315.61</v>
      </c>
      <c r="C1263" s="9">
        <f>IFERROR(__xludf.DUMMYFUNCTION("""COMPUTED_VALUE"""),318.06)</f>
        <v>318.06</v>
      </c>
      <c r="D1263" s="9">
        <f>IFERROR(__xludf.DUMMYFUNCTION("""COMPUTED_VALUE"""),313.14)</f>
        <v>313.14</v>
      </c>
      <c r="E1263" s="9">
        <f>IFERROR(__xludf.DUMMYFUNCTION("""COMPUTED_VALUE"""),316.55)</f>
        <v>316.55</v>
      </c>
      <c r="F1263" s="9">
        <f>IFERROR(__xludf.DUMMYFUNCTION("""COMPUTED_VALUE"""),749874.0)</f>
        <v>749874</v>
      </c>
      <c r="H1263" s="27">
        <f>IFERROR(__xludf.DUMMYFUNCTION("""COMPUTED_VALUE"""),40228.645833333336)</f>
        <v>40228.64583</v>
      </c>
      <c r="I1263" s="25">
        <f>IFERROR(__xludf.DUMMYFUNCTION("""COMPUTED_VALUE"""),377.45)</f>
        <v>377.45</v>
      </c>
      <c r="J1263" s="25">
        <f>IFERROR(__xludf.DUMMYFUNCTION("""COMPUTED_VALUE"""),379.75)</f>
        <v>379.75</v>
      </c>
      <c r="K1263" s="25">
        <f>IFERROR(__xludf.DUMMYFUNCTION("""COMPUTED_VALUE"""),372.9)</f>
        <v>372.9</v>
      </c>
      <c r="L1263" s="25">
        <f>IFERROR(__xludf.DUMMYFUNCTION("""COMPUTED_VALUE"""),375.28)</f>
        <v>375.28</v>
      </c>
      <c r="M1263" s="25">
        <f>IFERROR(__xludf.DUMMYFUNCTION("""COMPUTED_VALUE"""),1107940.0)</f>
        <v>1107940</v>
      </c>
    </row>
    <row r="1264">
      <c r="A1264" s="26">
        <f>IFERROR(__xludf.DUMMYFUNCTION("""COMPUTED_VALUE"""),40231.645833333336)</f>
        <v>40231.64583</v>
      </c>
      <c r="B1264" s="9">
        <f>IFERROR(__xludf.DUMMYFUNCTION("""COMPUTED_VALUE"""),319.39)</f>
        <v>319.39</v>
      </c>
      <c r="C1264" s="9">
        <f>IFERROR(__xludf.DUMMYFUNCTION("""COMPUTED_VALUE"""),323.96)</f>
        <v>323.96</v>
      </c>
      <c r="D1264" s="9">
        <f>IFERROR(__xludf.DUMMYFUNCTION("""COMPUTED_VALUE"""),319.39)</f>
        <v>319.39</v>
      </c>
      <c r="E1264" s="9">
        <f>IFERROR(__xludf.DUMMYFUNCTION("""COMPUTED_VALUE"""),321.04)</f>
        <v>321.04</v>
      </c>
      <c r="F1264" s="9">
        <f>IFERROR(__xludf.DUMMYFUNCTION("""COMPUTED_VALUE"""),731925.0)</f>
        <v>731925</v>
      </c>
      <c r="H1264" s="27">
        <f>IFERROR(__xludf.DUMMYFUNCTION("""COMPUTED_VALUE"""),40231.645833333336)</f>
        <v>40231.64583</v>
      </c>
      <c r="I1264" s="25">
        <f>IFERROR(__xludf.DUMMYFUNCTION("""COMPUTED_VALUE"""),378.5)</f>
        <v>378.5</v>
      </c>
      <c r="J1264" s="25">
        <f>IFERROR(__xludf.DUMMYFUNCTION("""COMPUTED_VALUE"""),381.85)</f>
        <v>381.85</v>
      </c>
      <c r="K1264" s="25">
        <f>IFERROR(__xludf.DUMMYFUNCTION("""COMPUTED_VALUE"""),376.9)</f>
        <v>376.9</v>
      </c>
      <c r="L1264" s="25">
        <f>IFERROR(__xludf.DUMMYFUNCTION("""COMPUTED_VALUE"""),378.63)</f>
        <v>378.63</v>
      </c>
      <c r="M1264" s="25">
        <f>IFERROR(__xludf.DUMMYFUNCTION("""COMPUTED_VALUE"""),1071730.0)</f>
        <v>1071730</v>
      </c>
    </row>
    <row r="1265">
      <c r="A1265" s="26">
        <f>IFERROR(__xludf.DUMMYFUNCTION("""COMPUTED_VALUE"""),40232.645833333336)</f>
        <v>40232.64583</v>
      </c>
      <c r="B1265" s="9">
        <f>IFERROR(__xludf.DUMMYFUNCTION("""COMPUTED_VALUE"""),319.76)</f>
        <v>319.76</v>
      </c>
      <c r="C1265" s="9">
        <f>IFERROR(__xludf.DUMMYFUNCTION("""COMPUTED_VALUE"""),323.63)</f>
        <v>323.63</v>
      </c>
      <c r="D1265" s="9">
        <f>IFERROR(__xludf.DUMMYFUNCTION("""COMPUTED_VALUE"""),319.38)</f>
        <v>319.38</v>
      </c>
      <c r="E1265" s="9">
        <f>IFERROR(__xludf.DUMMYFUNCTION("""COMPUTED_VALUE"""),322.66)</f>
        <v>322.66</v>
      </c>
      <c r="F1265" s="9">
        <f>IFERROR(__xludf.DUMMYFUNCTION("""COMPUTED_VALUE"""),473254.0)</f>
        <v>473254</v>
      </c>
      <c r="H1265" s="27">
        <f>IFERROR(__xludf.DUMMYFUNCTION("""COMPUTED_VALUE"""),40232.645833333336)</f>
        <v>40232.64583</v>
      </c>
      <c r="I1265" s="25">
        <f>IFERROR(__xludf.DUMMYFUNCTION("""COMPUTED_VALUE"""),379.5)</f>
        <v>379.5</v>
      </c>
      <c r="J1265" s="25">
        <f>IFERROR(__xludf.DUMMYFUNCTION("""COMPUTED_VALUE"""),382.5)</f>
        <v>382.5</v>
      </c>
      <c r="K1265" s="25">
        <f>IFERROR(__xludf.DUMMYFUNCTION("""COMPUTED_VALUE"""),375.63)</f>
        <v>375.63</v>
      </c>
      <c r="L1265" s="25">
        <f>IFERROR(__xludf.DUMMYFUNCTION("""COMPUTED_VALUE"""),381.05)</f>
        <v>381.05</v>
      </c>
      <c r="M1265" s="25">
        <f>IFERROR(__xludf.DUMMYFUNCTION("""COMPUTED_VALUE"""),926526.0)</f>
        <v>926526</v>
      </c>
    </row>
    <row r="1266">
      <c r="A1266" s="26">
        <f>IFERROR(__xludf.DUMMYFUNCTION("""COMPUTED_VALUE"""),40233.645833333336)</f>
        <v>40233.64583</v>
      </c>
      <c r="B1266" s="9">
        <f>IFERROR(__xludf.DUMMYFUNCTION("""COMPUTED_VALUE"""),321.0)</f>
        <v>321</v>
      </c>
      <c r="C1266" s="9">
        <f>IFERROR(__xludf.DUMMYFUNCTION("""COMPUTED_VALUE"""),324.79)</f>
        <v>324.79</v>
      </c>
      <c r="D1266" s="9">
        <f>IFERROR(__xludf.DUMMYFUNCTION("""COMPUTED_VALUE"""),318.88)</f>
        <v>318.88</v>
      </c>
      <c r="E1266" s="9">
        <f>IFERROR(__xludf.DUMMYFUNCTION("""COMPUTED_VALUE"""),322.04)</f>
        <v>322.04</v>
      </c>
      <c r="F1266" s="9">
        <f>IFERROR(__xludf.DUMMYFUNCTION("""COMPUTED_VALUE"""),678377.0)</f>
        <v>678377</v>
      </c>
      <c r="H1266" s="27">
        <f>IFERROR(__xludf.DUMMYFUNCTION("""COMPUTED_VALUE"""),40233.645833333336)</f>
        <v>40233.64583</v>
      </c>
      <c r="I1266" s="25">
        <f>IFERROR(__xludf.DUMMYFUNCTION("""COMPUTED_VALUE"""),378.0)</f>
        <v>378</v>
      </c>
      <c r="J1266" s="25">
        <f>IFERROR(__xludf.DUMMYFUNCTION("""COMPUTED_VALUE"""),385.35)</f>
        <v>385.35</v>
      </c>
      <c r="K1266" s="25">
        <f>IFERROR(__xludf.DUMMYFUNCTION("""COMPUTED_VALUE"""),376.05)</f>
        <v>376.05</v>
      </c>
      <c r="L1266" s="25">
        <f>IFERROR(__xludf.DUMMYFUNCTION("""COMPUTED_VALUE"""),382.67)</f>
        <v>382.67</v>
      </c>
      <c r="M1266" s="25">
        <f>IFERROR(__xludf.DUMMYFUNCTION("""COMPUTED_VALUE"""),2038029.0)</f>
        <v>2038029</v>
      </c>
    </row>
    <row r="1267">
      <c r="A1267" s="26">
        <f>IFERROR(__xludf.DUMMYFUNCTION("""COMPUTED_VALUE"""),40234.645833333336)</f>
        <v>40234.64583</v>
      </c>
      <c r="B1267" s="9">
        <f>IFERROR(__xludf.DUMMYFUNCTION("""COMPUTED_VALUE"""),321.33)</f>
        <v>321.33</v>
      </c>
      <c r="C1267" s="9">
        <f>IFERROR(__xludf.DUMMYFUNCTION("""COMPUTED_VALUE"""),328.71)</f>
        <v>328.71</v>
      </c>
      <c r="D1267" s="9">
        <f>IFERROR(__xludf.DUMMYFUNCTION("""COMPUTED_VALUE"""),321.33)</f>
        <v>321.33</v>
      </c>
      <c r="E1267" s="9">
        <f>IFERROR(__xludf.DUMMYFUNCTION("""COMPUTED_VALUE"""),327.17)</f>
        <v>327.17</v>
      </c>
      <c r="F1267" s="9">
        <f>IFERROR(__xludf.DUMMYFUNCTION("""COMPUTED_VALUE"""),1091196.0)</f>
        <v>1091196</v>
      </c>
      <c r="H1267" s="27">
        <f>IFERROR(__xludf.DUMMYFUNCTION("""COMPUTED_VALUE"""),40234.645833333336)</f>
        <v>40234.64583</v>
      </c>
      <c r="I1267" s="25">
        <f>IFERROR(__xludf.DUMMYFUNCTION("""COMPUTED_VALUE"""),384.9)</f>
        <v>384.9</v>
      </c>
      <c r="J1267" s="25">
        <f>IFERROR(__xludf.DUMMYFUNCTION("""COMPUTED_VALUE"""),384.9)</f>
        <v>384.9</v>
      </c>
      <c r="K1267" s="25">
        <f>IFERROR(__xludf.DUMMYFUNCTION("""COMPUTED_VALUE"""),380.63)</f>
        <v>380.63</v>
      </c>
      <c r="L1267" s="25">
        <f>IFERROR(__xludf.DUMMYFUNCTION("""COMPUTED_VALUE"""),383.13)</f>
        <v>383.13</v>
      </c>
      <c r="M1267" s="25">
        <f>IFERROR(__xludf.DUMMYFUNCTION("""COMPUTED_VALUE"""),1336492.0)</f>
        <v>1336492</v>
      </c>
    </row>
    <row r="1268">
      <c r="A1268" s="26">
        <f>IFERROR(__xludf.DUMMYFUNCTION("""COMPUTED_VALUE"""),40235.645833333336)</f>
        <v>40235.64583</v>
      </c>
      <c r="B1268" s="9">
        <f>IFERROR(__xludf.DUMMYFUNCTION("""COMPUTED_VALUE"""),327.38)</f>
        <v>327.38</v>
      </c>
      <c r="C1268" s="9">
        <f>IFERROR(__xludf.DUMMYFUNCTION("""COMPUTED_VALUE"""),328.75)</f>
        <v>328.75</v>
      </c>
      <c r="D1268" s="9">
        <f>IFERROR(__xludf.DUMMYFUNCTION("""COMPUTED_VALUE"""),322.76)</f>
        <v>322.76</v>
      </c>
      <c r="E1268" s="9">
        <f>IFERROR(__xludf.DUMMYFUNCTION("""COMPUTED_VALUE"""),325.24)</f>
        <v>325.24</v>
      </c>
      <c r="F1268" s="9">
        <f>IFERROR(__xludf.DUMMYFUNCTION("""COMPUTED_VALUE"""),1318296.0)</f>
        <v>1318296</v>
      </c>
      <c r="H1268" s="27">
        <f>IFERROR(__xludf.DUMMYFUNCTION("""COMPUTED_VALUE"""),40235.645833333336)</f>
        <v>40235.64583</v>
      </c>
      <c r="I1268" s="25">
        <f>IFERROR(__xludf.DUMMYFUNCTION("""COMPUTED_VALUE"""),383.55)</f>
        <v>383.55</v>
      </c>
      <c r="J1268" s="25">
        <f>IFERROR(__xludf.DUMMYFUNCTION("""COMPUTED_VALUE"""),389.28)</f>
        <v>389.28</v>
      </c>
      <c r="K1268" s="25">
        <f>IFERROR(__xludf.DUMMYFUNCTION("""COMPUTED_VALUE"""),373.08)</f>
        <v>373.08</v>
      </c>
      <c r="L1268" s="25">
        <f>IFERROR(__xludf.DUMMYFUNCTION("""COMPUTED_VALUE"""),380.9)</f>
        <v>380.9</v>
      </c>
      <c r="M1268" s="25">
        <f>IFERROR(__xludf.DUMMYFUNCTION("""COMPUTED_VALUE"""),1507967.0)</f>
        <v>1507967</v>
      </c>
    </row>
    <row r="1269">
      <c r="A1269" s="26">
        <f>IFERROR(__xludf.DUMMYFUNCTION("""COMPUTED_VALUE"""),40239.645833333336)</f>
        <v>40239.64583</v>
      </c>
      <c r="B1269" s="9">
        <f>IFERROR(__xludf.DUMMYFUNCTION("""COMPUTED_VALUE"""),328.94)</f>
        <v>328.94</v>
      </c>
      <c r="C1269" s="9">
        <f>IFERROR(__xludf.DUMMYFUNCTION("""COMPUTED_VALUE"""),331.34)</f>
        <v>331.34</v>
      </c>
      <c r="D1269" s="9">
        <f>IFERROR(__xludf.DUMMYFUNCTION("""COMPUTED_VALUE"""),327.83)</f>
        <v>327.83</v>
      </c>
      <c r="E1269" s="9">
        <f>IFERROR(__xludf.DUMMYFUNCTION("""COMPUTED_VALUE"""),330.13)</f>
        <v>330.13</v>
      </c>
      <c r="F1269" s="9">
        <f>IFERROR(__xludf.DUMMYFUNCTION("""COMPUTED_VALUE"""),1066832.0)</f>
        <v>1066832</v>
      </c>
      <c r="H1269" s="27">
        <f>IFERROR(__xludf.DUMMYFUNCTION("""COMPUTED_VALUE"""),40239.645833333336)</f>
        <v>40239.64583</v>
      </c>
      <c r="I1269" s="25">
        <f>IFERROR(__xludf.DUMMYFUNCTION("""COMPUTED_VALUE"""),381.0)</f>
        <v>381</v>
      </c>
      <c r="J1269" s="25">
        <f>IFERROR(__xludf.DUMMYFUNCTION("""COMPUTED_VALUE"""),384.5)</f>
        <v>384.5</v>
      </c>
      <c r="K1269" s="25">
        <f>IFERROR(__xludf.DUMMYFUNCTION("""COMPUTED_VALUE"""),377.5)</f>
        <v>377.5</v>
      </c>
      <c r="L1269" s="25">
        <f>IFERROR(__xludf.DUMMYFUNCTION("""COMPUTED_VALUE"""),381.6)</f>
        <v>381.6</v>
      </c>
      <c r="M1269" s="25">
        <f>IFERROR(__xludf.DUMMYFUNCTION("""COMPUTED_VALUE"""),2026676.0)</f>
        <v>2026676</v>
      </c>
    </row>
    <row r="1270">
      <c r="A1270" s="26">
        <f>IFERROR(__xludf.DUMMYFUNCTION("""COMPUTED_VALUE"""),40240.645833333336)</f>
        <v>40240.64583</v>
      </c>
      <c r="B1270" s="9">
        <f>IFERROR(__xludf.DUMMYFUNCTION("""COMPUTED_VALUE"""),331.39)</f>
        <v>331.39</v>
      </c>
      <c r="C1270" s="9">
        <f>IFERROR(__xludf.DUMMYFUNCTION("""COMPUTED_VALUE"""),334.56)</f>
        <v>334.56</v>
      </c>
      <c r="D1270" s="9">
        <f>IFERROR(__xludf.DUMMYFUNCTION("""COMPUTED_VALUE"""),329.08)</f>
        <v>329.08</v>
      </c>
      <c r="E1270" s="9">
        <f>IFERROR(__xludf.DUMMYFUNCTION("""COMPUTED_VALUE"""),333.28)</f>
        <v>333.28</v>
      </c>
      <c r="F1270" s="9">
        <f>IFERROR(__xludf.DUMMYFUNCTION("""COMPUTED_VALUE"""),738122.0)</f>
        <v>738122</v>
      </c>
      <c r="H1270" s="27">
        <f>IFERROR(__xludf.DUMMYFUNCTION("""COMPUTED_VALUE"""),40240.645833333336)</f>
        <v>40240.64583</v>
      </c>
      <c r="I1270" s="25">
        <f>IFERROR(__xludf.DUMMYFUNCTION("""COMPUTED_VALUE"""),384.5)</f>
        <v>384.5</v>
      </c>
      <c r="J1270" s="25">
        <f>IFERROR(__xludf.DUMMYFUNCTION("""COMPUTED_VALUE"""),387.0)</f>
        <v>387</v>
      </c>
      <c r="K1270" s="25">
        <f>IFERROR(__xludf.DUMMYFUNCTION("""COMPUTED_VALUE"""),382.08)</f>
        <v>382.08</v>
      </c>
      <c r="L1270" s="25">
        <f>IFERROR(__xludf.DUMMYFUNCTION("""COMPUTED_VALUE"""),384.38)</f>
        <v>384.38</v>
      </c>
      <c r="M1270" s="25">
        <f>IFERROR(__xludf.DUMMYFUNCTION("""COMPUTED_VALUE"""),1377371.0)</f>
        <v>1377371</v>
      </c>
    </row>
    <row r="1271">
      <c r="A1271" s="26">
        <f>IFERROR(__xludf.DUMMYFUNCTION("""COMPUTED_VALUE"""),40241.645833333336)</f>
        <v>40241.64583</v>
      </c>
      <c r="B1271" s="9">
        <f>IFERROR(__xludf.DUMMYFUNCTION("""COMPUTED_VALUE"""),332.75)</f>
        <v>332.75</v>
      </c>
      <c r="C1271" s="9">
        <f>IFERROR(__xludf.DUMMYFUNCTION("""COMPUTED_VALUE"""),333.0)</f>
        <v>333</v>
      </c>
      <c r="D1271" s="9">
        <f>IFERROR(__xludf.DUMMYFUNCTION("""COMPUTED_VALUE"""),325.5)</f>
        <v>325.5</v>
      </c>
      <c r="E1271" s="9">
        <f>IFERROR(__xludf.DUMMYFUNCTION("""COMPUTED_VALUE"""),327.98)</f>
        <v>327.98</v>
      </c>
      <c r="F1271" s="9">
        <f>IFERROR(__xludf.DUMMYFUNCTION("""COMPUTED_VALUE"""),844405.0)</f>
        <v>844405</v>
      </c>
      <c r="H1271" s="27">
        <f>IFERROR(__xludf.DUMMYFUNCTION("""COMPUTED_VALUE"""),40241.645833333336)</f>
        <v>40241.64583</v>
      </c>
      <c r="I1271" s="25">
        <f>IFERROR(__xludf.DUMMYFUNCTION("""COMPUTED_VALUE"""),384.0)</f>
        <v>384</v>
      </c>
      <c r="J1271" s="25">
        <f>IFERROR(__xludf.DUMMYFUNCTION("""COMPUTED_VALUE"""),385.0)</f>
        <v>385</v>
      </c>
      <c r="K1271" s="25">
        <f>IFERROR(__xludf.DUMMYFUNCTION("""COMPUTED_VALUE"""),378.5)</f>
        <v>378.5</v>
      </c>
      <c r="L1271" s="25">
        <f>IFERROR(__xludf.DUMMYFUNCTION("""COMPUTED_VALUE"""),381.95)</f>
        <v>381.95</v>
      </c>
      <c r="M1271" s="25">
        <f>IFERROR(__xludf.DUMMYFUNCTION("""COMPUTED_VALUE"""),1026803.0)</f>
        <v>1026803</v>
      </c>
    </row>
    <row r="1272">
      <c r="A1272" s="26">
        <f>IFERROR(__xludf.DUMMYFUNCTION("""COMPUTED_VALUE"""),40242.645833333336)</f>
        <v>40242.64583</v>
      </c>
      <c r="B1272" s="9">
        <f>IFERROR(__xludf.DUMMYFUNCTION("""COMPUTED_VALUE"""),329.24)</f>
        <v>329.24</v>
      </c>
      <c r="C1272" s="9">
        <f>IFERROR(__xludf.DUMMYFUNCTION("""COMPUTED_VALUE"""),330.0)</f>
        <v>330</v>
      </c>
      <c r="D1272" s="9">
        <f>IFERROR(__xludf.DUMMYFUNCTION("""COMPUTED_VALUE"""),326.63)</f>
        <v>326.63</v>
      </c>
      <c r="E1272" s="9">
        <f>IFERROR(__xludf.DUMMYFUNCTION("""COMPUTED_VALUE"""),329.46)</f>
        <v>329.46</v>
      </c>
      <c r="F1272" s="9">
        <f>IFERROR(__xludf.DUMMYFUNCTION("""COMPUTED_VALUE"""),623101.0)</f>
        <v>623101</v>
      </c>
      <c r="H1272" s="27">
        <f>IFERROR(__xludf.DUMMYFUNCTION("""COMPUTED_VALUE"""),40242.645833333336)</f>
        <v>40242.64583</v>
      </c>
      <c r="I1272" s="25">
        <f>IFERROR(__xludf.DUMMYFUNCTION("""COMPUTED_VALUE"""),382.5)</f>
        <v>382.5</v>
      </c>
      <c r="J1272" s="25">
        <f>IFERROR(__xludf.DUMMYFUNCTION("""COMPUTED_VALUE"""),383.48)</f>
        <v>383.48</v>
      </c>
      <c r="K1272" s="25">
        <f>IFERROR(__xludf.DUMMYFUNCTION("""COMPUTED_VALUE"""),380.08)</f>
        <v>380.08</v>
      </c>
      <c r="L1272" s="25">
        <f>IFERROR(__xludf.DUMMYFUNCTION("""COMPUTED_VALUE"""),381.3)</f>
        <v>381.3</v>
      </c>
      <c r="M1272" s="25">
        <f>IFERROR(__xludf.DUMMYFUNCTION("""COMPUTED_VALUE"""),643656.0)</f>
        <v>643656</v>
      </c>
    </row>
    <row r="1273">
      <c r="A1273" s="26">
        <f>IFERROR(__xludf.DUMMYFUNCTION("""COMPUTED_VALUE"""),40245.645833333336)</f>
        <v>40245.64583</v>
      </c>
      <c r="B1273" s="9">
        <f>IFERROR(__xludf.DUMMYFUNCTION("""COMPUTED_VALUE"""),331.63)</f>
        <v>331.63</v>
      </c>
      <c r="C1273" s="9">
        <f>IFERROR(__xludf.DUMMYFUNCTION("""COMPUTED_VALUE"""),334.92)</f>
        <v>334.92</v>
      </c>
      <c r="D1273" s="9">
        <f>IFERROR(__xludf.DUMMYFUNCTION("""COMPUTED_VALUE"""),329.76)</f>
        <v>329.76</v>
      </c>
      <c r="E1273" s="9">
        <f>IFERROR(__xludf.DUMMYFUNCTION("""COMPUTED_VALUE"""),332.44)</f>
        <v>332.44</v>
      </c>
      <c r="F1273" s="9">
        <f>IFERROR(__xludf.DUMMYFUNCTION("""COMPUTED_VALUE"""),1083124.0)</f>
        <v>1083124</v>
      </c>
      <c r="H1273" s="27">
        <f>IFERROR(__xludf.DUMMYFUNCTION("""COMPUTED_VALUE"""),40245.645833333336)</f>
        <v>40245.64583</v>
      </c>
      <c r="I1273" s="25">
        <f>IFERROR(__xludf.DUMMYFUNCTION("""COMPUTED_VALUE"""),383.8)</f>
        <v>383.8</v>
      </c>
      <c r="J1273" s="25">
        <f>IFERROR(__xludf.DUMMYFUNCTION("""COMPUTED_VALUE"""),385.0)</f>
        <v>385</v>
      </c>
      <c r="K1273" s="25">
        <f>IFERROR(__xludf.DUMMYFUNCTION("""COMPUTED_VALUE"""),380.15)</f>
        <v>380.15</v>
      </c>
      <c r="L1273" s="25">
        <f>IFERROR(__xludf.DUMMYFUNCTION("""COMPUTED_VALUE"""),381.35)</f>
        <v>381.35</v>
      </c>
      <c r="M1273" s="25">
        <f>IFERROR(__xludf.DUMMYFUNCTION("""COMPUTED_VALUE"""),1507870.0)</f>
        <v>1507870</v>
      </c>
    </row>
    <row r="1274">
      <c r="A1274" s="26">
        <f>IFERROR(__xludf.DUMMYFUNCTION("""COMPUTED_VALUE"""),40246.645833333336)</f>
        <v>40246.64583</v>
      </c>
      <c r="B1274" s="9">
        <f>IFERROR(__xludf.DUMMYFUNCTION("""COMPUTED_VALUE"""),331.26)</f>
        <v>331.26</v>
      </c>
      <c r="C1274" s="9">
        <f>IFERROR(__xludf.DUMMYFUNCTION("""COMPUTED_VALUE"""),337.69)</f>
        <v>337.69</v>
      </c>
      <c r="D1274" s="9">
        <f>IFERROR(__xludf.DUMMYFUNCTION("""COMPUTED_VALUE"""),327.23)</f>
        <v>327.23</v>
      </c>
      <c r="E1274" s="9">
        <f>IFERROR(__xludf.DUMMYFUNCTION("""COMPUTED_VALUE"""),335.49)</f>
        <v>335.49</v>
      </c>
      <c r="F1274" s="9">
        <f>IFERROR(__xludf.DUMMYFUNCTION("""COMPUTED_VALUE"""),994844.0)</f>
        <v>994844</v>
      </c>
      <c r="H1274" s="27">
        <f>IFERROR(__xludf.DUMMYFUNCTION("""COMPUTED_VALUE"""),40246.645833333336)</f>
        <v>40246.64583</v>
      </c>
      <c r="I1274" s="25">
        <f>IFERROR(__xludf.DUMMYFUNCTION("""COMPUTED_VALUE"""),381.5)</f>
        <v>381.5</v>
      </c>
      <c r="J1274" s="25">
        <f>IFERROR(__xludf.DUMMYFUNCTION("""COMPUTED_VALUE"""),389.25)</f>
        <v>389.25</v>
      </c>
      <c r="K1274" s="25">
        <f>IFERROR(__xludf.DUMMYFUNCTION("""COMPUTED_VALUE"""),381.5)</f>
        <v>381.5</v>
      </c>
      <c r="L1274" s="25">
        <f>IFERROR(__xludf.DUMMYFUNCTION("""COMPUTED_VALUE"""),384.35)</f>
        <v>384.35</v>
      </c>
      <c r="M1274" s="25">
        <f>IFERROR(__xludf.DUMMYFUNCTION("""COMPUTED_VALUE"""),1728866.0)</f>
        <v>1728866</v>
      </c>
    </row>
    <row r="1275">
      <c r="A1275" s="26">
        <f>IFERROR(__xludf.DUMMYFUNCTION("""COMPUTED_VALUE"""),40247.645833333336)</f>
        <v>40247.64583</v>
      </c>
      <c r="B1275" s="9">
        <f>IFERROR(__xludf.DUMMYFUNCTION("""COMPUTED_VALUE"""),334.36)</f>
        <v>334.36</v>
      </c>
      <c r="C1275" s="9">
        <f>IFERROR(__xludf.DUMMYFUNCTION("""COMPUTED_VALUE"""),336.43)</f>
        <v>336.43</v>
      </c>
      <c r="D1275" s="9">
        <f>IFERROR(__xludf.DUMMYFUNCTION("""COMPUTED_VALUE"""),331.25)</f>
        <v>331.25</v>
      </c>
      <c r="E1275" s="9">
        <f>IFERROR(__xludf.DUMMYFUNCTION("""COMPUTED_VALUE"""),332.41)</f>
        <v>332.41</v>
      </c>
      <c r="F1275" s="9">
        <f>IFERROR(__xludf.DUMMYFUNCTION("""COMPUTED_VALUE"""),916369.0)</f>
        <v>916369</v>
      </c>
      <c r="H1275" s="27">
        <f>IFERROR(__xludf.DUMMYFUNCTION("""COMPUTED_VALUE"""),40247.645833333336)</f>
        <v>40247.64583</v>
      </c>
      <c r="I1275" s="25">
        <f>IFERROR(__xludf.DUMMYFUNCTION("""COMPUTED_VALUE"""),381.85)</f>
        <v>381.85</v>
      </c>
      <c r="J1275" s="25">
        <f>IFERROR(__xludf.DUMMYFUNCTION("""COMPUTED_VALUE"""),392.23)</f>
        <v>392.23</v>
      </c>
      <c r="K1275" s="25">
        <f>IFERROR(__xludf.DUMMYFUNCTION("""COMPUTED_VALUE"""),380.0)</f>
        <v>380</v>
      </c>
      <c r="L1275" s="25">
        <f>IFERROR(__xludf.DUMMYFUNCTION("""COMPUTED_VALUE"""),390.03)</f>
        <v>390.03</v>
      </c>
      <c r="M1275" s="25">
        <f>IFERROR(__xludf.DUMMYFUNCTION("""COMPUTED_VALUE"""),2293937.0)</f>
        <v>2293937</v>
      </c>
    </row>
    <row r="1276">
      <c r="A1276" s="26">
        <f>IFERROR(__xludf.DUMMYFUNCTION("""COMPUTED_VALUE"""),40248.645833333336)</f>
        <v>40248.64583</v>
      </c>
      <c r="B1276" s="9">
        <f>IFERROR(__xludf.DUMMYFUNCTION("""COMPUTED_VALUE"""),333.13)</f>
        <v>333.13</v>
      </c>
      <c r="C1276" s="9">
        <f>IFERROR(__xludf.DUMMYFUNCTION("""COMPUTED_VALUE"""),336.88)</f>
        <v>336.88</v>
      </c>
      <c r="D1276" s="9">
        <f>IFERROR(__xludf.DUMMYFUNCTION("""COMPUTED_VALUE"""),331.25)</f>
        <v>331.25</v>
      </c>
      <c r="E1276" s="9">
        <f>IFERROR(__xludf.DUMMYFUNCTION("""COMPUTED_VALUE"""),335.37)</f>
        <v>335.37</v>
      </c>
      <c r="F1276" s="9">
        <f>IFERROR(__xludf.DUMMYFUNCTION("""COMPUTED_VALUE"""),537303.0)</f>
        <v>537303</v>
      </c>
      <c r="H1276" s="27">
        <f>IFERROR(__xludf.DUMMYFUNCTION("""COMPUTED_VALUE"""),40248.645833333336)</f>
        <v>40248.64583</v>
      </c>
      <c r="I1276" s="25">
        <f>IFERROR(__xludf.DUMMYFUNCTION("""COMPUTED_VALUE"""),390.03)</f>
        <v>390.03</v>
      </c>
      <c r="J1276" s="25">
        <f>IFERROR(__xludf.DUMMYFUNCTION("""COMPUTED_VALUE"""),397.45)</f>
        <v>397.45</v>
      </c>
      <c r="K1276" s="25">
        <f>IFERROR(__xludf.DUMMYFUNCTION("""COMPUTED_VALUE"""),385.98)</f>
        <v>385.98</v>
      </c>
      <c r="L1276" s="25">
        <f>IFERROR(__xludf.DUMMYFUNCTION("""COMPUTED_VALUE"""),395.8)</f>
        <v>395.8</v>
      </c>
      <c r="M1276" s="25">
        <f>IFERROR(__xludf.DUMMYFUNCTION("""COMPUTED_VALUE"""),1607015.0)</f>
        <v>1607015</v>
      </c>
    </row>
    <row r="1277">
      <c r="A1277" s="26">
        <f>IFERROR(__xludf.DUMMYFUNCTION("""COMPUTED_VALUE"""),40249.645833333336)</f>
        <v>40249.64583</v>
      </c>
      <c r="B1277" s="9">
        <f>IFERROR(__xludf.DUMMYFUNCTION("""COMPUTED_VALUE"""),337.49)</f>
        <v>337.49</v>
      </c>
      <c r="C1277" s="9">
        <f>IFERROR(__xludf.DUMMYFUNCTION("""COMPUTED_VALUE"""),338.0)</f>
        <v>338</v>
      </c>
      <c r="D1277" s="9">
        <f>IFERROR(__xludf.DUMMYFUNCTION("""COMPUTED_VALUE"""),332.04)</f>
        <v>332.04</v>
      </c>
      <c r="E1277" s="9">
        <f>IFERROR(__xludf.DUMMYFUNCTION("""COMPUTED_VALUE"""),334.16)</f>
        <v>334.16</v>
      </c>
      <c r="F1277" s="9">
        <f>IFERROR(__xludf.DUMMYFUNCTION("""COMPUTED_VALUE"""),397115.0)</f>
        <v>397115</v>
      </c>
      <c r="H1277" s="27">
        <f>IFERROR(__xludf.DUMMYFUNCTION("""COMPUTED_VALUE"""),40249.645833333336)</f>
        <v>40249.64583</v>
      </c>
      <c r="I1277" s="25">
        <f>IFERROR(__xludf.DUMMYFUNCTION("""COMPUTED_VALUE"""),400.0)</f>
        <v>400</v>
      </c>
      <c r="J1277" s="25">
        <f>IFERROR(__xludf.DUMMYFUNCTION("""COMPUTED_VALUE"""),400.0)</f>
        <v>400</v>
      </c>
      <c r="K1277" s="25">
        <f>IFERROR(__xludf.DUMMYFUNCTION("""COMPUTED_VALUE"""),396.0)</f>
        <v>396</v>
      </c>
      <c r="L1277" s="25">
        <f>IFERROR(__xludf.DUMMYFUNCTION("""COMPUTED_VALUE"""),398.48)</f>
        <v>398.48</v>
      </c>
      <c r="M1277" s="25">
        <f>IFERROR(__xludf.DUMMYFUNCTION("""COMPUTED_VALUE"""),1255488.0)</f>
        <v>1255488</v>
      </c>
    </row>
    <row r="1278">
      <c r="A1278" s="26">
        <f>IFERROR(__xludf.DUMMYFUNCTION("""COMPUTED_VALUE"""),40252.645833333336)</f>
        <v>40252.64583</v>
      </c>
      <c r="B1278" s="9">
        <f>IFERROR(__xludf.DUMMYFUNCTION("""COMPUTED_VALUE"""),331.8)</f>
        <v>331.8</v>
      </c>
      <c r="C1278" s="9">
        <f>IFERROR(__xludf.DUMMYFUNCTION("""COMPUTED_VALUE"""),339.06)</f>
        <v>339.06</v>
      </c>
      <c r="D1278" s="9">
        <f>IFERROR(__xludf.DUMMYFUNCTION("""COMPUTED_VALUE"""),329.5)</f>
        <v>329.5</v>
      </c>
      <c r="E1278" s="9">
        <f>IFERROR(__xludf.DUMMYFUNCTION("""COMPUTED_VALUE"""),337.66)</f>
        <v>337.66</v>
      </c>
      <c r="F1278" s="9">
        <f>IFERROR(__xludf.DUMMYFUNCTION("""COMPUTED_VALUE"""),1322857.0)</f>
        <v>1322857</v>
      </c>
      <c r="H1278" s="27">
        <f>IFERROR(__xludf.DUMMYFUNCTION("""COMPUTED_VALUE"""),40252.645833333336)</f>
        <v>40252.64583</v>
      </c>
      <c r="I1278" s="25">
        <f>IFERROR(__xludf.DUMMYFUNCTION("""COMPUTED_VALUE"""),398.48)</f>
        <v>398.48</v>
      </c>
      <c r="J1278" s="25">
        <f>IFERROR(__xludf.DUMMYFUNCTION("""COMPUTED_VALUE"""),410.0)</f>
        <v>410</v>
      </c>
      <c r="K1278" s="25">
        <f>IFERROR(__xludf.DUMMYFUNCTION("""COMPUTED_VALUE"""),395.58)</f>
        <v>395.58</v>
      </c>
      <c r="L1278" s="25">
        <f>IFERROR(__xludf.DUMMYFUNCTION("""COMPUTED_VALUE"""),409.0)</f>
        <v>409</v>
      </c>
      <c r="M1278" s="25">
        <f>IFERROR(__xludf.DUMMYFUNCTION("""COMPUTED_VALUE"""),3027217.0)</f>
        <v>3027217</v>
      </c>
    </row>
    <row r="1279">
      <c r="A1279" s="26">
        <f>IFERROR(__xludf.DUMMYFUNCTION("""COMPUTED_VALUE"""),40253.645833333336)</f>
        <v>40253.64583</v>
      </c>
      <c r="B1279" s="9">
        <f>IFERROR(__xludf.DUMMYFUNCTION("""COMPUTED_VALUE"""),337.5)</f>
        <v>337.5</v>
      </c>
      <c r="C1279" s="9">
        <f>IFERROR(__xludf.DUMMYFUNCTION("""COMPUTED_VALUE"""),343.12)</f>
        <v>343.12</v>
      </c>
      <c r="D1279" s="9">
        <f>IFERROR(__xludf.DUMMYFUNCTION("""COMPUTED_VALUE"""),335.29)</f>
        <v>335.29</v>
      </c>
      <c r="E1279" s="9">
        <f>IFERROR(__xludf.DUMMYFUNCTION("""COMPUTED_VALUE"""),341.54)</f>
        <v>341.54</v>
      </c>
      <c r="F1279" s="9">
        <f>IFERROR(__xludf.DUMMYFUNCTION("""COMPUTED_VALUE"""),735168.0)</f>
        <v>735168</v>
      </c>
      <c r="H1279" s="27">
        <f>IFERROR(__xludf.DUMMYFUNCTION("""COMPUTED_VALUE"""),40253.645833333336)</f>
        <v>40253.64583</v>
      </c>
      <c r="I1279" s="25">
        <f>IFERROR(__xludf.DUMMYFUNCTION("""COMPUTED_VALUE"""),410.75)</f>
        <v>410.75</v>
      </c>
      <c r="J1279" s="25">
        <f>IFERROR(__xludf.DUMMYFUNCTION("""COMPUTED_VALUE"""),415.98)</f>
        <v>415.98</v>
      </c>
      <c r="K1279" s="25">
        <f>IFERROR(__xludf.DUMMYFUNCTION("""COMPUTED_VALUE"""),407.9)</f>
        <v>407.9</v>
      </c>
      <c r="L1279" s="25">
        <f>IFERROR(__xludf.DUMMYFUNCTION("""COMPUTED_VALUE"""),414.5)</f>
        <v>414.5</v>
      </c>
      <c r="M1279" s="25">
        <f>IFERROR(__xludf.DUMMYFUNCTION("""COMPUTED_VALUE"""),1544428.0)</f>
        <v>1544428</v>
      </c>
    </row>
    <row r="1280">
      <c r="A1280" s="26">
        <f>IFERROR(__xludf.DUMMYFUNCTION("""COMPUTED_VALUE"""),40254.645833333336)</f>
        <v>40254.64583</v>
      </c>
      <c r="B1280" s="9">
        <f>IFERROR(__xludf.DUMMYFUNCTION("""COMPUTED_VALUE"""),341.88)</f>
        <v>341.88</v>
      </c>
      <c r="C1280" s="9">
        <f>IFERROR(__xludf.DUMMYFUNCTION("""COMPUTED_VALUE"""),344.21)</f>
        <v>344.21</v>
      </c>
      <c r="D1280" s="9">
        <f>IFERROR(__xludf.DUMMYFUNCTION("""COMPUTED_VALUE"""),339.13)</f>
        <v>339.13</v>
      </c>
      <c r="E1280" s="9">
        <f>IFERROR(__xludf.DUMMYFUNCTION("""COMPUTED_VALUE"""),342.29)</f>
        <v>342.29</v>
      </c>
      <c r="F1280" s="9">
        <f>IFERROR(__xludf.DUMMYFUNCTION("""COMPUTED_VALUE"""),794000.0)</f>
        <v>794000</v>
      </c>
      <c r="H1280" s="27">
        <f>IFERROR(__xludf.DUMMYFUNCTION("""COMPUTED_VALUE"""),40254.645833333336)</f>
        <v>40254.64583</v>
      </c>
      <c r="I1280" s="25">
        <f>IFERROR(__xludf.DUMMYFUNCTION("""COMPUTED_VALUE"""),417.0)</f>
        <v>417</v>
      </c>
      <c r="J1280" s="25">
        <f>IFERROR(__xludf.DUMMYFUNCTION("""COMPUTED_VALUE"""),422.95)</f>
        <v>422.95</v>
      </c>
      <c r="K1280" s="25">
        <f>IFERROR(__xludf.DUMMYFUNCTION("""COMPUTED_VALUE"""),415.0)</f>
        <v>415</v>
      </c>
      <c r="L1280" s="25">
        <f>IFERROR(__xludf.DUMMYFUNCTION("""COMPUTED_VALUE"""),420.35)</f>
        <v>420.35</v>
      </c>
      <c r="M1280" s="25">
        <f>IFERROR(__xludf.DUMMYFUNCTION("""COMPUTED_VALUE"""),2087397.0)</f>
        <v>2087397</v>
      </c>
    </row>
    <row r="1281">
      <c r="A1281" s="26">
        <f>IFERROR(__xludf.DUMMYFUNCTION("""COMPUTED_VALUE"""),40255.645833333336)</f>
        <v>40255.64583</v>
      </c>
      <c r="B1281" s="9">
        <f>IFERROR(__xludf.DUMMYFUNCTION("""COMPUTED_VALUE"""),342.5)</f>
        <v>342.5</v>
      </c>
      <c r="C1281" s="9">
        <f>IFERROR(__xludf.DUMMYFUNCTION("""COMPUTED_VALUE"""),349.24)</f>
        <v>349.24</v>
      </c>
      <c r="D1281" s="9">
        <f>IFERROR(__xludf.DUMMYFUNCTION("""COMPUTED_VALUE"""),342.5)</f>
        <v>342.5</v>
      </c>
      <c r="E1281" s="9">
        <f>IFERROR(__xludf.DUMMYFUNCTION("""COMPUTED_VALUE"""),348.45)</f>
        <v>348.45</v>
      </c>
      <c r="F1281" s="9">
        <f>IFERROR(__xludf.DUMMYFUNCTION("""COMPUTED_VALUE"""),1115381.0)</f>
        <v>1115381</v>
      </c>
      <c r="H1281" s="27">
        <f>IFERROR(__xludf.DUMMYFUNCTION("""COMPUTED_VALUE"""),40255.645833333336)</f>
        <v>40255.64583</v>
      </c>
      <c r="I1281" s="25">
        <f>IFERROR(__xludf.DUMMYFUNCTION("""COMPUTED_VALUE"""),422.5)</f>
        <v>422.5</v>
      </c>
      <c r="J1281" s="25">
        <f>IFERROR(__xludf.DUMMYFUNCTION("""COMPUTED_VALUE"""),422.5)</f>
        <v>422.5</v>
      </c>
      <c r="K1281" s="25">
        <f>IFERROR(__xludf.DUMMYFUNCTION("""COMPUTED_VALUE"""),410.25)</f>
        <v>410.25</v>
      </c>
      <c r="L1281" s="25">
        <f>IFERROR(__xludf.DUMMYFUNCTION("""COMPUTED_VALUE"""),412.92)</f>
        <v>412.92</v>
      </c>
      <c r="M1281" s="25">
        <f>IFERROR(__xludf.DUMMYFUNCTION("""COMPUTED_VALUE"""),1862277.0)</f>
        <v>1862277</v>
      </c>
    </row>
    <row r="1282">
      <c r="A1282" s="26">
        <f>IFERROR(__xludf.DUMMYFUNCTION("""COMPUTED_VALUE"""),40256.645833333336)</f>
        <v>40256.64583</v>
      </c>
      <c r="B1282" s="9">
        <f>IFERROR(__xludf.DUMMYFUNCTION("""COMPUTED_VALUE"""),347.51)</f>
        <v>347.51</v>
      </c>
      <c r="C1282" s="9">
        <f>IFERROR(__xludf.DUMMYFUNCTION("""COMPUTED_VALUE"""),349.38)</f>
        <v>349.38</v>
      </c>
      <c r="D1282" s="9">
        <f>IFERROR(__xludf.DUMMYFUNCTION("""COMPUTED_VALUE"""),345.01)</f>
        <v>345.01</v>
      </c>
      <c r="E1282" s="9">
        <f>IFERROR(__xludf.DUMMYFUNCTION("""COMPUTED_VALUE"""),346.54)</f>
        <v>346.54</v>
      </c>
      <c r="F1282" s="9">
        <f>IFERROR(__xludf.DUMMYFUNCTION("""COMPUTED_VALUE"""),1572818.0)</f>
        <v>1572818</v>
      </c>
      <c r="H1282" s="27">
        <f>IFERROR(__xludf.DUMMYFUNCTION("""COMPUTED_VALUE"""),40256.645833333336)</f>
        <v>40256.64583</v>
      </c>
      <c r="I1282" s="25">
        <f>IFERROR(__xludf.DUMMYFUNCTION("""COMPUTED_VALUE"""),402.63)</f>
        <v>402.63</v>
      </c>
      <c r="J1282" s="25">
        <f>IFERROR(__xludf.DUMMYFUNCTION("""COMPUTED_VALUE"""),417.23)</f>
        <v>417.23</v>
      </c>
      <c r="K1282" s="25">
        <f>IFERROR(__xludf.DUMMYFUNCTION("""COMPUTED_VALUE"""),402.63)</f>
        <v>402.63</v>
      </c>
      <c r="L1282" s="25">
        <f>IFERROR(__xludf.DUMMYFUNCTION("""COMPUTED_VALUE"""),410.45)</f>
        <v>410.45</v>
      </c>
      <c r="M1282" s="25">
        <f>IFERROR(__xludf.DUMMYFUNCTION("""COMPUTED_VALUE"""),2358312.0)</f>
        <v>2358312</v>
      </c>
    </row>
    <row r="1283">
      <c r="A1283" s="26">
        <f>IFERROR(__xludf.DUMMYFUNCTION("""COMPUTED_VALUE"""),40259.645833333336)</f>
        <v>40259.64583</v>
      </c>
      <c r="B1283" s="9">
        <f>IFERROR(__xludf.DUMMYFUNCTION("""COMPUTED_VALUE"""),344.01)</f>
        <v>344.01</v>
      </c>
      <c r="C1283" s="9">
        <f>IFERROR(__xludf.DUMMYFUNCTION("""COMPUTED_VALUE"""),347.13)</f>
        <v>347.13</v>
      </c>
      <c r="D1283" s="9">
        <f>IFERROR(__xludf.DUMMYFUNCTION("""COMPUTED_VALUE"""),342.86)</f>
        <v>342.86</v>
      </c>
      <c r="E1283" s="9">
        <f>IFERROR(__xludf.DUMMYFUNCTION("""COMPUTED_VALUE"""),344.68)</f>
        <v>344.68</v>
      </c>
      <c r="F1283" s="9">
        <f>IFERROR(__xludf.DUMMYFUNCTION("""COMPUTED_VALUE"""),513566.0)</f>
        <v>513566</v>
      </c>
      <c r="H1283" s="27">
        <f>IFERROR(__xludf.DUMMYFUNCTION("""COMPUTED_VALUE"""),40259.645833333336)</f>
        <v>40259.64583</v>
      </c>
      <c r="I1283" s="25">
        <f>IFERROR(__xludf.DUMMYFUNCTION("""COMPUTED_VALUE"""),407.45)</f>
        <v>407.45</v>
      </c>
      <c r="J1283" s="25">
        <f>IFERROR(__xludf.DUMMYFUNCTION("""COMPUTED_VALUE"""),416.9)</f>
        <v>416.9</v>
      </c>
      <c r="K1283" s="25">
        <f>IFERROR(__xludf.DUMMYFUNCTION("""COMPUTED_VALUE"""),403.08)</f>
        <v>403.08</v>
      </c>
      <c r="L1283" s="25">
        <f>IFERROR(__xludf.DUMMYFUNCTION("""COMPUTED_VALUE"""),413.8)</f>
        <v>413.8</v>
      </c>
      <c r="M1283" s="25">
        <f>IFERROR(__xludf.DUMMYFUNCTION("""COMPUTED_VALUE"""),1655055.0)</f>
        <v>1655055</v>
      </c>
    </row>
    <row r="1284">
      <c r="A1284" s="26">
        <f>IFERROR(__xludf.DUMMYFUNCTION("""COMPUTED_VALUE"""),40260.645833333336)</f>
        <v>40260.64583</v>
      </c>
      <c r="B1284" s="9">
        <f>IFERROR(__xludf.DUMMYFUNCTION("""COMPUTED_VALUE"""),346.26)</f>
        <v>346.26</v>
      </c>
      <c r="C1284" s="9">
        <f>IFERROR(__xludf.DUMMYFUNCTION("""COMPUTED_VALUE"""),349.88)</f>
        <v>349.88</v>
      </c>
      <c r="D1284" s="9">
        <f>IFERROR(__xludf.DUMMYFUNCTION("""COMPUTED_VALUE"""),345.52)</f>
        <v>345.52</v>
      </c>
      <c r="E1284" s="9">
        <f>IFERROR(__xludf.DUMMYFUNCTION("""COMPUTED_VALUE"""),346.94)</f>
        <v>346.94</v>
      </c>
      <c r="F1284" s="9">
        <f>IFERROR(__xludf.DUMMYFUNCTION("""COMPUTED_VALUE"""),599070.0)</f>
        <v>599070</v>
      </c>
      <c r="H1284" s="27">
        <f>IFERROR(__xludf.DUMMYFUNCTION("""COMPUTED_VALUE"""),40260.645833333336)</f>
        <v>40260.64583</v>
      </c>
      <c r="I1284" s="25">
        <f>IFERROR(__xludf.DUMMYFUNCTION("""COMPUTED_VALUE"""),415.0)</f>
        <v>415</v>
      </c>
      <c r="J1284" s="25">
        <f>IFERROR(__xludf.DUMMYFUNCTION("""COMPUTED_VALUE"""),416.5)</f>
        <v>416.5</v>
      </c>
      <c r="K1284" s="25">
        <f>IFERROR(__xludf.DUMMYFUNCTION("""COMPUTED_VALUE"""),411.05)</f>
        <v>411.05</v>
      </c>
      <c r="L1284" s="25">
        <f>IFERROR(__xludf.DUMMYFUNCTION("""COMPUTED_VALUE"""),414.33)</f>
        <v>414.33</v>
      </c>
      <c r="M1284" s="25">
        <f>IFERROR(__xludf.DUMMYFUNCTION("""COMPUTED_VALUE"""),847482.0)</f>
        <v>847482</v>
      </c>
    </row>
    <row r="1285">
      <c r="A1285" s="26">
        <f>IFERROR(__xludf.DUMMYFUNCTION("""COMPUTED_VALUE"""),40262.645833333336)</f>
        <v>40262.64583</v>
      </c>
      <c r="B1285" s="9">
        <f>IFERROR(__xludf.DUMMYFUNCTION("""COMPUTED_VALUE"""),346.38)</f>
        <v>346.38</v>
      </c>
      <c r="C1285" s="9">
        <f>IFERROR(__xludf.DUMMYFUNCTION("""COMPUTED_VALUE"""),358.75)</f>
        <v>358.75</v>
      </c>
      <c r="D1285" s="9">
        <f>IFERROR(__xludf.DUMMYFUNCTION("""COMPUTED_VALUE"""),343.86)</f>
        <v>343.86</v>
      </c>
      <c r="E1285" s="9">
        <f>IFERROR(__xludf.DUMMYFUNCTION("""COMPUTED_VALUE"""),351.74)</f>
        <v>351.74</v>
      </c>
      <c r="F1285" s="9">
        <f>IFERROR(__xludf.DUMMYFUNCTION("""COMPUTED_VALUE"""),1900941.0)</f>
        <v>1900941</v>
      </c>
      <c r="H1285" s="27">
        <f>IFERROR(__xludf.DUMMYFUNCTION("""COMPUTED_VALUE"""),40262.645833333336)</f>
        <v>40262.64583</v>
      </c>
      <c r="I1285" s="25">
        <f>IFERROR(__xludf.DUMMYFUNCTION("""COMPUTED_VALUE"""),412.05)</f>
        <v>412.05</v>
      </c>
      <c r="J1285" s="25">
        <f>IFERROR(__xludf.DUMMYFUNCTION("""COMPUTED_VALUE"""),418.4)</f>
        <v>418.4</v>
      </c>
      <c r="K1285" s="25">
        <f>IFERROR(__xludf.DUMMYFUNCTION("""COMPUTED_VALUE"""),409.0)</f>
        <v>409</v>
      </c>
      <c r="L1285" s="25">
        <f>IFERROR(__xludf.DUMMYFUNCTION("""COMPUTED_VALUE"""),414.9)</f>
        <v>414.9</v>
      </c>
      <c r="M1285" s="25">
        <f>IFERROR(__xludf.DUMMYFUNCTION("""COMPUTED_VALUE"""),2758791.0)</f>
        <v>2758791</v>
      </c>
    </row>
    <row r="1286">
      <c r="A1286" s="26">
        <f>IFERROR(__xludf.DUMMYFUNCTION("""COMPUTED_VALUE"""),40263.645833333336)</f>
        <v>40263.64583</v>
      </c>
      <c r="B1286" s="9">
        <f>IFERROR(__xludf.DUMMYFUNCTION("""COMPUTED_VALUE"""),352.0)</f>
        <v>352</v>
      </c>
      <c r="C1286" s="9">
        <f>IFERROR(__xludf.DUMMYFUNCTION("""COMPUTED_VALUE"""),353.13)</f>
        <v>353.13</v>
      </c>
      <c r="D1286" s="9">
        <f>IFERROR(__xludf.DUMMYFUNCTION("""COMPUTED_VALUE"""),345.38)</f>
        <v>345.38</v>
      </c>
      <c r="E1286" s="9">
        <f>IFERROR(__xludf.DUMMYFUNCTION("""COMPUTED_VALUE"""),346.86)</f>
        <v>346.86</v>
      </c>
      <c r="F1286" s="9">
        <f>IFERROR(__xludf.DUMMYFUNCTION("""COMPUTED_VALUE"""),1138210.0)</f>
        <v>1138210</v>
      </c>
      <c r="H1286" s="27">
        <f>IFERROR(__xludf.DUMMYFUNCTION("""COMPUTED_VALUE"""),40263.645833333336)</f>
        <v>40263.64583</v>
      </c>
      <c r="I1286" s="25">
        <f>IFERROR(__xludf.DUMMYFUNCTION("""COMPUTED_VALUE"""),415.0)</f>
        <v>415</v>
      </c>
      <c r="J1286" s="25">
        <f>IFERROR(__xludf.DUMMYFUNCTION("""COMPUTED_VALUE"""),418.0)</f>
        <v>418</v>
      </c>
      <c r="K1286" s="25">
        <f>IFERROR(__xludf.DUMMYFUNCTION("""COMPUTED_VALUE"""),411.15)</f>
        <v>411.15</v>
      </c>
      <c r="L1286" s="25">
        <f>IFERROR(__xludf.DUMMYFUNCTION("""COMPUTED_VALUE"""),412.53)</f>
        <v>412.53</v>
      </c>
      <c r="M1286" s="25">
        <f>IFERROR(__xludf.DUMMYFUNCTION("""COMPUTED_VALUE"""),998903.0)</f>
        <v>998903</v>
      </c>
    </row>
    <row r="1287">
      <c r="A1287" s="26">
        <f>IFERROR(__xludf.DUMMYFUNCTION("""COMPUTED_VALUE"""),40266.645833333336)</f>
        <v>40266.64583</v>
      </c>
      <c r="B1287" s="9">
        <f>IFERROR(__xludf.DUMMYFUNCTION("""COMPUTED_VALUE"""),344.75)</f>
        <v>344.75</v>
      </c>
      <c r="C1287" s="9">
        <f>IFERROR(__xludf.DUMMYFUNCTION("""COMPUTED_VALUE"""),346.25)</f>
        <v>346.25</v>
      </c>
      <c r="D1287" s="9">
        <f>IFERROR(__xludf.DUMMYFUNCTION("""COMPUTED_VALUE"""),337.53)</f>
        <v>337.53</v>
      </c>
      <c r="E1287" s="9">
        <f>IFERROR(__xludf.DUMMYFUNCTION("""COMPUTED_VALUE"""),339.58)</f>
        <v>339.58</v>
      </c>
      <c r="F1287" s="9">
        <f>IFERROR(__xludf.DUMMYFUNCTION("""COMPUTED_VALUE"""),1747713.0)</f>
        <v>1747713</v>
      </c>
      <c r="H1287" s="27">
        <f>IFERROR(__xludf.DUMMYFUNCTION("""COMPUTED_VALUE"""),40266.645833333336)</f>
        <v>40266.64583</v>
      </c>
      <c r="I1287" s="25">
        <f>IFERROR(__xludf.DUMMYFUNCTION("""COMPUTED_VALUE"""),412.0)</f>
        <v>412</v>
      </c>
      <c r="J1287" s="25">
        <f>IFERROR(__xludf.DUMMYFUNCTION("""COMPUTED_VALUE"""),414.65)</f>
        <v>414.65</v>
      </c>
      <c r="K1287" s="25">
        <f>IFERROR(__xludf.DUMMYFUNCTION("""COMPUTED_VALUE"""),404.28)</f>
        <v>404.28</v>
      </c>
      <c r="L1287" s="25">
        <f>IFERROR(__xludf.DUMMYFUNCTION("""COMPUTED_VALUE"""),405.98)</f>
        <v>405.98</v>
      </c>
      <c r="M1287" s="25">
        <f>IFERROR(__xludf.DUMMYFUNCTION("""COMPUTED_VALUE"""),1721633.0)</f>
        <v>1721633</v>
      </c>
    </row>
    <row r="1288">
      <c r="A1288" s="26">
        <f>IFERROR(__xludf.DUMMYFUNCTION("""COMPUTED_VALUE"""),40267.645833333336)</f>
        <v>40267.64583</v>
      </c>
      <c r="B1288" s="9">
        <f>IFERROR(__xludf.DUMMYFUNCTION("""COMPUTED_VALUE"""),339.38)</f>
        <v>339.38</v>
      </c>
      <c r="C1288" s="9">
        <f>IFERROR(__xludf.DUMMYFUNCTION("""COMPUTED_VALUE"""),339.38)</f>
        <v>339.38</v>
      </c>
      <c r="D1288" s="9">
        <f>IFERROR(__xludf.DUMMYFUNCTION("""COMPUTED_VALUE"""),328.83)</f>
        <v>328.83</v>
      </c>
      <c r="E1288" s="9">
        <f>IFERROR(__xludf.DUMMYFUNCTION("""COMPUTED_VALUE"""),330.51)</f>
        <v>330.51</v>
      </c>
      <c r="F1288" s="9">
        <f>IFERROR(__xludf.DUMMYFUNCTION("""COMPUTED_VALUE"""),1331242.0)</f>
        <v>1331242</v>
      </c>
      <c r="H1288" s="27">
        <f>IFERROR(__xludf.DUMMYFUNCTION("""COMPUTED_VALUE"""),40267.645833333336)</f>
        <v>40267.64583</v>
      </c>
      <c r="I1288" s="25">
        <f>IFERROR(__xludf.DUMMYFUNCTION("""COMPUTED_VALUE"""),404.3)</f>
        <v>404.3</v>
      </c>
      <c r="J1288" s="25">
        <f>IFERROR(__xludf.DUMMYFUNCTION("""COMPUTED_VALUE"""),408.05)</f>
        <v>408.05</v>
      </c>
      <c r="K1288" s="25">
        <f>IFERROR(__xludf.DUMMYFUNCTION("""COMPUTED_VALUE"""),398.58)</f>
        <v>398.58</v>
      </c>
      <c r="L1288" s="25">
        <f>IFERROR(__xludf.DUMMYFUNCTION("""COMPUTED_VALUE"""),400.0)</f>
        <v>400</v>
      </c>
      <c r="M1288" s="25">
        <f>IFERROR(__xludf.DUMMYFUNCTION("""COMPUTED_VALUE"""),1548580.0)</f>
        <v>1548580</v>
      </c>
    </row>
    <row r="1289">
      <c r="A1289" s="26">
        <f>IFERROR(__xludf.DUMMYFUNCTION("""COMPUTED_VALUE"""),40268.645833333336)</f>
        <v>40268.64583</v>
      </c>
      <c r="B1289" s="9">
        <f>IFERROR(__xludf.DUMMYFUNCTION("""COMPUTED_VALUE"""),331.74)</f>
        <v>331.74</v>
      </c>
      <c r="C1289" s="9">
        <f>IFERROR(__xludf.DUMMYFUNCTION("""COMPUTED_VALUE"""),334.59)</f>
        <v>334.59</v>
      </c>
      <c r="D1289" s="9">
        <f>IFERROR(__xludf.DUMMYFUNCTION("""COMPUTED_VALUE"""),325.83)</f>
        <v>325.83</v>
      </c>
      <c r="E1289" s="9">
        <f>IFERROR(__xludf.DUMMYFUNCTION("""COMPUTED_VALUE"""),326.99)</f>
        <v>326.99</v>
      </c>
      <c r="F1289" s="9">
        <f>IFERROR(__xludf.DUMMYFUNCTION("""COMPUTED_VALUE"""),1633763.0)</f>
        <v>1633763</v>
      </c>
      <c r="H1289" s="27">
        <f>IFERROR(__xludf.DUMMYFUNCTION("""COMPUTED_VALUE"""),40268.645833333336)</f>
        <v>40268.64583</v>
      </c>
      <c r="I1289" s="25">
        <f>IFERROR(__xludf.DUMMYFUNCTION("""COMPUTED_VALUE"""),400.0)</f>
        <v>400</v>
      </c>
      <c r="J1289" s="25">
        <f>IFERROR(__xludf.DUMMYFUNCTION("""COMPUTED_VALUE"""),403.63)</f>
        <v>403.63</v>
      </c>
      <c r="K1289" s="25">
        <f>IFERROR(__xludf.DUMMYFUNCTION("""COMPUTED_VALUE"""),388.65)</f>
        <v>388.65</v>
      </c>
      <c r="L1289" s="25">
        <f>IFERROR(__xludf.DUMMYFUNCTION("""COMPUTED_VALUE"""),390.33)</f>
        <v>390.33</v>
      </c>
      <c r="M1289" s="25">
        <f>IFERROR(__xludf.DUMMYFUNCTION("""COMPUTED_VALUE"""),3541523.0)</f>
        <v>3541523</v>
      </c>
    </row>
    <row r="1290">
      <c r="A1290" s="26">
        <f>IFERROR(__xludf.DUMMYFUNCTION("""COMPUTED_VALUE"""),40269.645833333336)</f>
        <v>40269.64583</v>
      </c>
      <c r="B1290" s="9">
        <f>IFERROR(__xludf.DUMMYFUNCTION("""COMPUTED_VALUE"""),327.52)</f>
        <v>327.52</v>
      </c>
      <c r="C1290" s="9">
        <f>IFERROR(__xludf.DUMMYFUNCTION("""COMPUTED_VALUE"""),334.75)</f>
        <v>334.75</v>
      </c>
      <c r="D1290" s="9">
        <f>IFERROR(__xludf.DUMMYFUNCTION("""COMPUTED_VALUE"""),327.5)</f>
        <v>327.5</v>
      </c>
      <c r="E1290" s="9">
        <f>IFERROR(__xludf.DUMMYFUNCTION("""COMPUTED_VALUE"""),333.81)</f>
        <v>333.81</v>
      </c>
      <c r="F1290" s="9">
        <f>IFERROR(__xludf.DUMMYFUNCTION("""COMPUTED_VALUE"""),1023375.0)</f>
        <v>1023375</v>
      </c>
      <c r="H1290" s="27">
        <f>IFERROR(__xludf.DUMMYFUNCTION("""COMPUTED_VALUE"""),40269.645833333336)</f>
        <v>40269.64583</v>
      </c>
      <c r="I1290" s="25">
        <f>IFERROR(__xludf.DUMMYFUNCTION("""COMPUTED_VALUE"""),393.17)</f>
        <v>393.17</v>
      </c>
      <c r="J1290" s="25">
        <f>IFERROR(__xludf.DUMMYFUNCTION("""COMPUTED_VALUE"""),404.9)</f>
        <v>404.9</v>
      </c>
      <c r="K1290" s="25">
        <f>IFERROR(__xludf.DUMMYFUNCTION("""COMPUTED_VALUE"""),391.05)</f>
        <v>391.05</v>
      </c>
      <c r="L1290" s="25">
        <f>IFERROR(__xludf.DUMMYFUNCTION("""COMPUTED_VALUE"""),403.9)</f>
        <v>403.9</v>
      </c>
      <c r="M1290" s="25">
        <f>IFERROR(__xludf.DUMMYFUNCTION("""COMPUTED_VALUE"""),2890716.0)</f>
        <v>2890716</v>
      </c>
    </row>
    <row r="1291">
      <c r="A1291" s="26">
        <f>IFERROR(__xludf.DUMMYFUNCTION("""COMPUTED_VALUE"""),40273.645833333336)</f>
        <v>40273.64583</v>
      </c>
      <c r="B1291" s="9">
        <f>IFERROR(__xludf.DUMMYFUNCTION("""COMPUTED_VALUE"""),334.88)</f>
        <v>334.88</v>
      </c>
      <c r="C1291" s="9">
        <f>IFERROR(__xludf.DUMMYFUNCTION("""COMPUTED_VALUE"""),336.25)</f>
        <v>336.25</v>
      </c>
      <c r="D1291" s="9">
        <f>IFERROR(__xludf.DUMMYFUNCTION("""COMPUTED_VALUE"""),329.75)</f>
        <v>329.75</v>
      </c>
      <c r="E1291" s="9">
        <f>IFERROR(__xludf.DUMMYFUNCTION("""COMPUTED_VALUE"""),334.74)</f>
        <v>334.74</v>
      </c>
      <c r="F1291" s="9">
        <f>IFERROR(__xludf.DUMMYFUNCTION("""COMPUTED_VALUE"""),914827.0)</f>
        <v>914827</v>
      </c>
      <c r="H1291" s="27">
        <f>IFERROR(__xludf.DUMMYFUNCTION("""COMPUTED_VALUE"""),40273.645833333336)</f>
        <v>40273.64583</v>
      </c>
      <c r="I1291" s="25">
        <f>IFERROR(__xludf.DUMMYFUNCTION("""COMPUTED_VALUE"""),408.5)</f>
        <v>408.5</v>
      </c>
      <c r="J1291" s="25">
        <f>IFERROR(__xludf.DUMMYFUNCTION("""COMPUTED_VALUE"""),408.5)</f>
        <v>408.5</v>
      </c>
      <c r="K1291" s="25">
        <f>IFERROR(__xludf.DUMMYFUNCTION("""COMPUTED_VALUE"""),399.63)</f>
        <v>399.63</v>
      </c>
      <c r="L1291" s="25">
        <f>IFERROR(__xludf.DUMMYFUNCTION("""COMPUTED_VALUE"""),401.67)</f>
        <v>401.67</v>
      </c>
      <c r="M1291" s="25">
        <f>IFERROR(__xludf.DUMMYFUNCTION("""COMPUTED_VALUE"""),1500918.0)</f>
        <v>1500918</v>
      </c>
    </row>
    <row r="1292">
      <c r="A1292" s="26">
        <f>IFERROR(__xludf.DUMMYFUNCTION("""COMPUTED_VALUE"""),40274.645833333336)</f>
        <v>40274.64583</v>
      </c>
      <c r="B1292" s="9">
        <f>IFERROR(__xludf.DUMMYFUNCTION("""COMPUTED_VALUE"""),335.25)</f>
        <v>335.25</v>
      </c>
      <c r="C1292" s="9">
        <f>IFERROR(__xludf.DUMMYFUNCTION("""COMPUTED_VALUE"""),335.63)</f>
        <v>335.63</v>
      </c>
      <c r="D1292" s="9">
        <f>IFERROR(__xludf.DUMMYFUNCTION("""COMPUTED_VALUE"""),330.66)</f>
        <v>330.66</v>
      </c>
      <c r="E1292" s="9">
        <f>IFERROR(__xludf.DUMMYFUNCTION("""COMPUTED_VALUE"""),331.41)</f>
        <v>331.41</v>
      </c>
      <c r="F1292" s="9">
        <f>IFERROR(__xludf.DUMMYFUNCTION("""COMPUTED_VALUE"""),668601.0)</f>
        <v>668601</v>
      </c>
      <c r="H1292" s="27">
        <f>IFERROR(__xludf.DUMMYFUNCTION("""COMPUTED_VALUE"""),40274.645833333336)</f>
        <v>40274.64583</v>
      </c>
      <c r="I1292" s="25">
        <f>IFERROR(__xludf.DUMMYFUNCTION("""COMPUTED_VALUE"""),404.45)</f>
        <v>404.45</v>
      </c>
      <c r="J1292" s="25">
        <f>IFERROR(__xludf.DUMMYFUNCTION("""COMPUTED_VALUE"""),404.45)</f>
        <v>404.45</v>
      </c>
      <c r="K1292" s="25">
        <f>IFERROR(__xludf.DUMMYFUNCTION("""COMPUTED_VALUE"""),396.08)</f>
        <v>396.08</v>
      </c>
      <c r="L1292" s="25">
        <f>IFERROR(__xludf.DUMMYFUNCTION("""COMPUTED_VALUE"""),398.03)</f>
        <v>398.03</v>
      </c>
      <c r="M1292" s="25">
        <f>IFERROR(__xludf.DUMMYFUNCTION("""COMPUTED_VALUE"""),1851183.0)</f>
        <v>1851183</v>
      </c>
    </row>
    <row r="1293">
      <c r="A1293" s="26">
        <f>IFERROR(__xludf.DUMMYFUNCTION("""COMPUTED_VALUE"""),40275.645833333336)</f>
        <v>40275.64583</v>
      </c>
      <c r="B1293" s="9">
        <f>IFERROR(__xludf.DUMMYFUNCTION("""COMPUTED_VALUE"""),331.94)</f>
        <v>331.94</v>
      </c>
      <c r="C1293" s="9">
        <f>IFERROR(__xludf.DUMMYFUNCTION("""COMPUTED_VALUE"""),334.35)</f>
        <v>334.35</v>
      </c>
      <c r="D1293" s="9">
        <f>IFERROR(__xludf.DUMMYFUNCTION("""COMPUTED_VALUE"""),327.18)</f>
        <v>327.18</v>
      </c>
      <c r="E1293" s="9">
        <f>IFERROR(__xludf.DUMMYFUNCTION("""COMPUTED_VALUE"""),330.47)</f>
        <v>330.47</v>
      </c>
      <c r="F1293" s="9">
        <f>IFERROR(__xludf.DUMMYFUNCTION("""COMPUTED_VALUE"""),1047610.0)</f>
        <v>1047610</v>
      </c>
      <c r="H1293" s="27">
        <f>IFERROR(__xludf.DUMMYFUNCTION("""COMPUTED_VALUE"""),40275.645833333336)</f>
        <v>40275.64583</v>
      </c>
      <c r="I1293" s="25">
        <f>IFERROR(__xludf.DUMMYFUNCTION("""COMPUTED_VALUE"""),395.0)</f>
        <v>395</v>
      </c>
      <c r="J1293" s="25">
        <f>IFERROR(__xludf.DUMMYFUNCTION("""COMPUTED_VALUE"""),404.5)</f>
        <v>404.5</v>
      </c>
      <c r="K1293" s="25">
        <f>IFERROR(__xludf.DUMMYFUNCTION("""COMPUTED_VALUE"""),390.58)</f>
        <v>390.58</v>
      </c>
      <c r="L1293" s="25">
        <f>IFERROR(__xludf.DUMMYFUNCTION("""COMPUTED_VALUE"""),399.03)</f>
        <v>399.03</v>
      </c>
      <c r="M1293" s="25">
        <f>IFERROR(__xludf.DUMMYFUNCTION("""COMPUTED_VALUE"""),1512279.0)</f>
        <v>1512279</v>
      </c>
    </row>
    <row r="1294">
      <c r="A1294" s="26">
        <f>IFERROR(__xludf.DUMMYFUNCTION("""COMPUTED_VALUE"""),40276.645833333336)</f>
        <v>40276.64583</v>
      </c>
      <c r="B1294" s="9">
        <f>IFERROR(__xludf.DUMMYFUNCTION("""COMPUTED_VALUE"""),330.0)</f>
        <v>330</v>
      </c>
      <c r="C1294" s="9">
        <f>IFERROR(__xludf.DUMMYFUNCTION("""COMPUTED_VALUE"""),334.74)</f>
        <v>334.74</v>
      </c>
      <c r="D1294" s="9">
        <f>IFERROR(__xludf.DUMMYFUNCTION("""COMPUTED_VALUE"""),328.75)</f>
        <v>328.75</v>
      </c>
      <c r="E1294" s="9">
        <f>IFERROR(__xludf.DUMMYFUNCTION("""COMPUTED_VALUE"""),332.97)</f>
        <v>332.97</v>
      </c>
      <c r="F1294" s="9">
        <f>IFERROR(__xludf.DUMMYFUNCTION("""COMPUTED_VALUE"""),903498.0)</f>
        <v>903498</v>
      </c>
      <c r="H1294" s="27">
        <f>IFERROR(__xludf.DUMMYFUNCTION("""COMPUTED_VALUE"""),40276.645833333336)</f>
        <v>40276.64583</v>
      </c>
      <c r="I1294" s="25">
        <f>IFERROR(__xludf.DUMMYFUNCTION("""COMPUTED_VALUE"""),398.0)</f>
        <v>398</v>
      </c>
      <c r="J1294" s="25">
        <f>IFERROR(__xludf.DUMMYFUNCTION("""COMPUTED_VALUE"""),403.75)</f>
        <v>403.75</v>
      </c>
      <c r="K1294" s="25">
        <f>IFERROR(__xludf.DUMMYFUNCTION("""COMPUTED_VALUE"""),395.0)</f>
        <v>395</v>
      </c>
      <c r="L1294" s="25">
        <f>IFERROR(__xludf.DUMMYFUNCTION("""COMPUTED_VALUE"""),399.73)</f>
        <v>399.73</v>
      </c>
      <c r="M1294" s="25">
        <f>IFERROR(__xludf.DUMMYFUNCTION("""COMPUTED_VALUE"""),2247219.0)</f>
        <v>2247219</v>
      </c>
    </row>
    <row r="1295">
      <c r="A1295" s="26">
        <f>IFERROR(__xludf.DUMMYFUNCTION("""COMPUTED_VALUE"""),40277.645833333336)</f>
        <v>40277.64583</v>
      </c>
      <c r="B1295" s="9">
        <f>IFERROR(__xludf.DUMMYFUNCTION("""COMPUTED_VALUE"""),333.75)</f>
        <v>333.75</v>
      </c>
      <c r="C1295" s="9">
        <f>IFERROR(__xludf.DUMMYFUNCTION("""COMPUTED_VALUE"""),337.21)</f>
        <v>337.21</v>
      </c>
      <c r="D1295" s="9">
        <f>IFERROR(__xludf.DUMMYFUNCTION("""COMPUTED_VALUE"""),333.13)</f>
        <v>333.13</v>
      </c>
      <c r="E1295" s="9">
        <f>IFERROR(__xludf.DUMMYFUNCTION("""COMPUTED_VALUE"""),334.53)</f>
        <v>334.53</v>
      </c>
      <c r="F1295" s="9">
        <f>IFERROR(__xludf.DUMMYFUNCTION("""COMPUTED_VALUE"""),1032539.0)</f>
        <v>1032539</v>
      </c>
      <c r="H1295" s="27">
        <f>IFERROR(__xludf.DUMMYFUNCTION("""COMPUTED_VALUE"""),40277.645833333336)</f>
        <v>40277.64583</v>
      </c>
      <c r="I1295" s="25">
        <f>IFERROR(__xludf.DUMMYFUNCTION("""COMPUTED_VALUE"""),401.0)</f>
        <v>401</v>
      </c>
      <c r="J1295" s="25">
        <f>IFERROR(__xludf.DUMMYFUNCTION("""COMPUTED_VALUE"""),403.95)</f>
        <v>403.95</v>
      </c>
      <c r="K1295" s="25">
        <f>IFERROR(__xludf.DUMMYFUNCTION("""COMPUTED_VALUE"""),394.13)</f>
        <v>394.13</v>
      </c>
      <c r="L1295" s="25">
        <f>IFERROR(__xludf.DUMMYFUNCTION("""COMPUTED_VALUE"""),395.8)</f>
        <v>395.8</v>
      </c>
      <c r="M1295" s="25">
        <f>IFERROR(__xludf.DUMMYFUNCTION("""COMPUTED_VALUE"""),1509006.0)</f>
        <v>1509006</v>
      </c>
    </row>
    <row r="1296">
      <c r="A1296" s="26">
        <f>IFERROR(__xludf.DUMMYFUNCTION("""COMPUTED_VALUE"""),40280.645833333336)</f>
        <v>40280.64583</v>
      </c>
      <c r="B1296" s="9">
        <f>IFERROR(__xludf.DUMMYFUNCTION("""COMPUTED_VALUE"""),335.74)</f>
        <v>335.74</v>
      </c>
      <c r="C1296" s="9">
        <f>IFERROR(__xludf.DUMMYFUNCTION("""COMPUTED_VALUE"""),337.25)</f>
        <v>337.25</v>
      </c>
      <c r="D1296" s="9">
        <f>IFERROR(__xludf.DUMMYFUNCTION("""COMPUTED_VALUE"""),331.51)</f>
        <v>331.51</v>
      </c>
      <c r="E1296" s="9">
        <f>IFERROR(__xludf.DUMMYFUNCTION("""COMPUTED_VALUE"""),335.39)</f>
        <v>335.39</v>
      </c>
      <c r="F1296" s="9">
        <f>IFERROR(__xludf.DUMMYFUNCTION("""COMPUTED_VALUE"""),1040706.0)</f>
        <v>1040706</v>
      </c>
      <c r="H1296" s="27">
        <f>IFERROR(__xludf.DUMMYFUNCTION("""COMPUTED_VALUE"""),40280.645833333336)</f>
        <v>40280.64583</v>
      </c>
      <c r="I1296" s="25">
        <f>IFERROR(__xludf.DUMMYFUNCTION("""COMPUTED_VALUE"""),395.5)</f>
        <v>395.5</v>
      </c>
      <c r="J1296" s="25">
        <f>IFERROR(__xludf.DUMMYFUNCTION("""COMPUTED_VALUE"""),400.0)</f>
        <v>400</v>
      </c>
      <c r="K1296" s="25">
        <f>IFERROR(__xludf.DUMMYFUNCTION("""COMPUTED_VALUE"""),395.05)</f>
        <v>395.05</v>
      </c>
      <c r="L1296" s="25">
        <f>IFERROR(__xludf.DUMMYFUNCTION("""COMPUTED_VALUE"""),399.05)</f>
        <v>399.05</v>
      </c>
      <c r="M1296" s="25">
        <f>IFERROR(__xludf.DUMMYFUNCTION("""COMPUTED_VALUE"""),1434941.0)</f>
        <v>1434941</v>
      </c>
    </row>
    <row r="1297">
      <c r="A1297" s="26">
        <f>IFERROR(__xludf.DUMMYFUNCTION("""COMPUTED_VALUE"""),40281.645833333336)</f>
        <v>40281.64583</v>
      </c>
      <c r="B1297" s="9">
        <f>IFERROR(__xludf.DUMMYFUNCTION("""COMPUTED_VALUE"""),336.25)</f>
        <v>336.25</v>
      </c>
      <c r="C1297" s="9">
        <f>IFERROR(__xludf.DUMMYFUNCTION("""COMPUTED_VALUE"""),349.23)</f>
        <v>349.23</v>
      </c>
      <c r="D1297" s="9">
        <f>IFERROR(__xludf.DUMMYFUNCTION("""COMPUTED_VALUE"""),329.38)</f>
        <v>329.38</v>
      </c>
      <c r="E1297" s="9">
        <f>IFERROR(__xludf.DUMMYFUNCTION("""COMPUTED_VALUE"""),347.74)</f>
        <v>347.74</v>
      </c>
      <c r="F1297" s="9">
        <f>IFERROR(__xludf.DUMMYFUNCTION("""COMPUTED_VALUE"""),7204425.0)</f>
        <v>7204425</v>
      </c>
      <c r="H1297" s="27">
        <f>IFERROR(__xludf.DUMMYFUNCTION("""COMPUTED_VALUE"""),40281.645833333336)</f>
        <v>40281.64583</v>
      </c>
      <c r="I1297" s="25">
        <f>IFERROR(__xludf.DUMMYFUNCTION("""COMPUTED_VALUE"""),400.0)</f>
        <v>400</v>
      </c>
      <c r="J1297" s="25">
        <f>IFERROR(__xludf.DUMMYFUNCTION("""COMPUTED_VALUE"""),411.9)</f>
        <v>411.9</v>
      </c>
      <c r="K1297" s="25">
        <f>IFERROR(__xludf.DUMMYFUNCTION("""COMPUTED_VALUE"""),393.63)</f>
        <v>393.63</v>
      </c>
      <c r="L1297" s="25">
        <f>IFERROR(__xludf.DUMMYFUNCTION("""COMPUTED_VALUE"""),410.42)</f>
        <v>410.42</v>
      </c>
      <c r="M1297" s="25">
        <f>IFERROR(__xludf.DUMMYFUNCTION("""COMPUTED_VALUE"""),4202458.0)</f>
        <v>4202458</v>
      </c>
    </row>
    <row r="1298">
      <c r="A1298" s="26">
        <f>IFERROR(__xludf.DUMMYFUNCTION("""COMPUTED_VALUE"""),40283.645833333336)</f>
        <v>40283.64583</v>
      </c>
      <c r="B1298" s="9">
        <f>IFERROR(__xludf.DUMMYFUNCTION("""COMPUTED_VALUE"""),348.5)</f>
        <v>348.5</v>
      </c>
      <c r="C1298" s="9">
        <f>IFERROR(__xludf.DUMMYFUNCTION("""COMPUTED_VALUE"""),353.09)</f>
        <v>353.09</v>
      </c>
      <c r="D1298" s="9">
        <f>IFERROR(__xludf.DUMMYFUNCTION("""COMPUTED_VALUE"""),344.91)</f>
        <v>344.91</v>
      </c>
      <c r="E1298" s="9">
        <f>IFERROR(__xludf.DUMMYFUNCTION("""COMPUTED_VALUE"""),350.2)</f>
        <v>350.2</v>
      </c>
      <c r="F1298" s="9">
        <f>IFERROR(__xludf.DUMMYFUNCTION("""COMPUTED_VALUE"""),2799391.0)</f>
        <v>2799391</v>
      </c>
      <c r="H1298" s="27">
        <f>IFERROR(__xludf.DUMMYFUNCTION("""COMPUTED_VALUE"""),40283.645833333336)</f>
        <v>40283.64583</v>
      </c>
      <c r="I1298" s="25">
        <f>IFERROR(__xludf.DUMMYFUNCTION("""COMPUTED_VALUE"""),411.0)</f>
        <v>411</v>
      </c>
      <c r="J1298" s="25">
        <f>IFERROR(__xludf.DUMMYFUNCTION("""COMPUTED_VALUE"""),417.45)</f>
        <v>417.45</v>
      </c>
      <c r="K1298" s="25">
        <f>IFERROR(__xludf.DUMMYFUNCTION("""COMPUTED_VALUE"""),409.53)</f>
        <v>409.53</v>
      </c>
      <c r="L1298" s="25">
        <f>IFERROR(__xludf.DUMMYFUNCTION("""COMPUTED_VALUE"""),410.85)</f>
        <v>410.85</v>
      </c>
      <c r="M1298" s="25">
        <f>IFERROR(__xludf.DUMMYFUNCTION("""COMPUTED_VALUE"""),2145476.0)</f>
        <v>2145476</v>
      </c>
    </row>
    <row r="1299">
      <c r="A1299" s="26">
        <f>IFERROR(__xludf.DUMMYFUNCTION("""COMPUTED_VALUE"""),40284.645833333336)</f>
        <v>40284.64583</v>
      </c>
      <c r="B1299" s="9">
        <f>IFERROR(__xludf.DUMMYFUNCTION("""COMPUTED_VALUE"""),349.01)</f>
        <v>349.01</v>
      </c>
      <c r="C1299" s="9">
        <f>IFERROR(__xludf.DUMMYFUNCTION("""COMPUTED_VALUE"""),351.13)</f>
        <v>351.13</v>
      </c>
      <c r="D1299" s="9">
        <f>IFERROR(__xludf.DUMMYFUNCTION("""COMPUTED_VALUE"""),346.38)</f>
        <v>346.38</v>
      </c>
      <c r="E1299" s="9">
        <f>IFERROR(__xludf.DUMMYFUNCTION("""COMPUTED_VALUE"""),348.58)</f>
        <v>348.58</v>
      </c>
      <c r="F1299" s="9">
        <f>IFERROR(__xludf.DUMMYFUNCTION("""COMPUTED_VALUE"""),780543.0)</f>
        <v>780543</v>
      </c>
      <c r="H1299" s="27">
        <f>IFERROR(__xludf.DUMMYFUNCTION("""COMPUTED_VALUE"""),40284.645833333336)</f>
        <v>40284.64583</v>
      </c>
      <c r="I1299" s="25">
        <f>IFERROR(__xludf.DUMMYFUNCTION("""COMPUTED_VALUE"""),409.5)</f>
        <v>409.5</v>
      </c>
      <c r="J1299" s="25">
        <f>IFERROR(__xludf.DUMMYFUNCTION("""COMPUTED_VALUE"""),414.0)</f>
        <v>414</v>
      </c>
      <c r="K1299" s="25">
        <f>IFERROR(__xludf.DUMMYFUNCTION("""COMPUTED_VALUE"""),405.92)</f>
        <v>405.92</v>
      </c>
      <c r="L1299" s="25">
        <f>IFERROR(__xludf.DUMMYFUNCTION("""COMPUTED_VALUE"""),407.55)</f>
        <v>407.55</v>
      </c>
      <c r="M1299" s="25">
        <f>IFERROR(__xludf.DUMMYFUNCTION("""COMPUTED_VALUE"""),1905479.0)</f>
        <v>1905479</v>
      </c>
    </row>
    <row r="1300">
      <c r="A1300" s="26">
        <f>IFERROR(__xludf.DUMMYFUNCTION("""COMPUTED_VALUE"""),40287.645833333336)</f>
        <v>40287.64583</v>
      </c>
      <c r="B1300" s="9">
        <f>IFERROR(__xludf.DUMMYFUNCTION("""COMPUTED_VALUE"""),346.83)</f>
        <v>346.83</v>
      </c>
      <c r="C1300" s="9">
        <f>IFERROR(__xludf.DUMMYFUNCTION("""COMPUTED_VALUE"""),346.83)</f>
        <v>346.83</v>
      </c>
      <c r="D1300" s="9">
        <f>IFERROR(__xludf.DUMMYFUNCTION("""COMPUTED_VALUE"""),342.0)</f>
        <v>342</v>
      </c>
      <c r="E1300" s="9">
        <f>IFERROR(__xludf.DUMMYFUNCTION("""COMPUTED_VALUE"""),343.99)</f>
        <v>343.99</v>
      </c>
      <c r="F1300" s="9">
        <f>IFERROR(__xludf.DUMMYFUNCTION("""COMPUTED_VALUE"""),1094362.0)</f>
        <v>1094362</v>
      </c>
      <c r="H1300" s="27">
        <f>IFERROR(__xludf.DUMMYFUNCTION("""COMPUTED_VALUE"""),40287.645833333336)</f>
        <v>40287.64583</v>
      </c>
      <c r="I1300" s="25">
        <f>IFERROR(__xludf.DUMMYFUNCTION("""COMPUTED_VALUE"""),405.0)</f>
        <v>405</v>
      </c>
      <c r="J1300" s="25">
        <f>IFERROR(__xludf.DUMMYFUNCTION("""COMPUTED_VALUE"""),412.5)</f>
        <v>412.5</v>
      </c>
      <c r="K1300" s="25">
        <f>IFERROR(__xludf.DUMMYFUNCTION("""COMPUTED_VALUE"""),400.38)</f>
        <v>400.38</v>
      </c>
      <c r="L1300" s="25">
        <f>IFERROR(__xludf.DUMMYFUNCTION("""COMPUTED_VALUE"""),405.98)</f>
        <v>405.98</v>
      </c>
      <c r="M1300" s="25">
        <f>IFERROR(__xludf.DUMMYFUNCTION("""COMPUTED_VALUE"""),3473852.0)</f>
        <v>3473852</v>
      </c>
    </row>
    <row r="1301">
      <c r="A1301" s="26">
        <f>IFERROR(__xludf.DUMMYFUNCTION("""COMPUTED_VALUE"""),40288.645833333336)</f>
        <v>40288.64583</v>
      </c>
      <c r="B1301" s="9">
        <f>IFERROR(__xludf.DUMMYFUNCTION("""COMPUTED_VALUE"""),345.69)</f>
        <v>345.69</v>
      </c>
      <c r="C1301" s="9">
        <f>IFERROR(__xludf.DUMMYFUNCTION("""COMPUTED_VALUE"""),348.74)</f>
        <v>348.74</v>
      </c>
      <c r="D1301" s="9">
        <f>IFERROR(__xludf.DUMMYFUNCTION("""COMPUTED_VALUE"""),340.0)</f>
        <v>340</v>
      </c>
      <c r="E1301" s="9">
        <f>IFERROR(__xludf.DUMMYFUNCTION("""COMPUTED_VALUE"""),340.91)</f>
        <v>340.91</v>
      </c>
      <c r="F1301" s="9">
        <f>IFERROR(__xludf.DUMMYFUNCTION("""COMPUTED_VALUE"""),1192766.0)</f>
        <v>1192766</v>
      </c>
      <c r="H1301" s="27">
        <f>IFERROR(__xludf.DUMMYFUNCTION("""COMPUTED_VALUE"""),40288.645833333336)</f>
        <v>40288.64583</v>
      </c>
      <c r="I1301" s="25">
        <f>IFERROR(__xludf.DUMMYFUNCTION("""COMPUTED_VALUE"""),412.5)</f>
        <v>412.5</v>
      </c>
      <c r="J1301" s="25">
        <f>IFERROR(__xludf.DUMMYFUNCTION("""COMPUTED_VALUE"""),416.33)</f>
        <v>416.33</v>
      </c>
      <c r="K1301" s="25">
        <f>IFERROR(__xludf.DUMMYFUNCTION("""COMPUTED_VALUE"""),393.5)</f>
        <v>393.5</v>
      </c>
      <c r="L1301" s="25">
        <f>IFERROR(__xludf.DUMMYFUNCTION("""COMPUTED_VALUE"""),394.75)</f>
        <v>394.75</v>
      </c>
      <c r="M1301" s="25">
        <f>IFERROR(__xludf.DUMMYFUNCTION("""COMPUTED_VALUE"""),6008493.0)</f>
        <v>6008493</v>
      </c>
    </row>
    <row r="1302">
      <c r="A1302" s="26">
        <f>IFERROR(__xludf.DUMMYFUNCTION("""COMPUTED_VALUE"""),40289.645833333336)</f>
        <v>40289.64583</v>
      </c>
      <c r="B1302" s="9">
        <f>IFERROR(__xludf.DUMMYFUNCTION("""COMPUTED_VALUE"""),342.88)</f>
        <v>342.88</v>
      </c>
      <c r="C1302" s="9">
        <f>IFERROR(__xludf.DUMMYFUNCTION("""COMPUTED_VALUE"""),343.72)</f>
        <v>343.72</v>
      </c>
      <c r="D1302" s="9">
        <f>IFERROR(__xludf.DUMMYFUNCTION("""COMPUTED_VALUE"""),337.54)</f>
        <v>337.54</v>
      </c>
      <c r="E1302" s="9">
        <f>IFERROR(__xludf.DUMMYFUNCTION("""COMPUTED_VALUE"""),339.06)</f>
        <v>339.06</v>
      </c>
      <c r="F1302" s="9">
        <f>IFERROR(__xludf.DUMMYFUNCTION("""COMPUTED_VALUE"""),812036.0)</f>
        <v>812036</v>
      </c>
      <c r="H1302" s="27">
        <f>IFERROR(__xludf.DUMMYFUNCTION("""COMPUTED_VALUE"""),40289.645833333336)</f>
        <v>40289.64583</v>
      </c>
      <c r="I1302" s="25">
        <f>IFERROR(__xludf.DUMMYFUNCTION("""COMPUTED_VALUE"""),397.5)</f>
        <v>397.5</v>
      </c>
      <c r="J1302" s="25">
        <f>IFERROR(__xludf.DUMMYFUNCTION("""COMPUTED_VALUE"""),399.5)</f>
        <v>399.5</v>
      </c>
      <c r="K1302" s="25">
        <f>IFERROR(__xludf.DUMMYFUNCTION("""COMPUTED_VALUE"""),390.13)</f>
        <v>390.13</v>
      </c>
      <c r="L1302" s="25">
        <f>IFERROR(__xludf.DUMMYFUNCTION("""COMPUTED_VALUE"""),392.5)</f>
        <v>392.5</v>
      </c>
      <c r="M1302" s="25">
        <f>IFERROR(__xludf.DUMMYFUNCTION("""COMPUTED_VALUE"""),3553745.0)</f>
        <v>3553745</v>
      </c>
    </row>
    <row r="1303">
      <c r="A1303" s="26">
        <f>IFERROR(__xludf.DUMMYFUNCTION("""COMPUTED_VALUE"""),40290.645833333336)</f>
        <v>40290.64583</v>
      </c>
      <c r="B1303" s="9">
        <f>IFERROR(__xludf.DUMMYFUNCTION("""COMPUTED_VALUE"""),338.5)</f>
        <v>338.5</v>
      </c>
      <c r="C1303" s="9">
        <f>IFERROR(__xludf.DUMMYFUNCTION("""COMPUTED_VALUE"""),345.36)</f>
        <v>345.36</v>
      </c>
      <c r="D1303" s="9">
        <f>IFERROR(__xludf.DUMMYFUNCTION("""COMPUTED_VALUE"""),336.63)</f>
        <v>336.63</v>
      </c>
      <c r="E1303" s="9">
        <f>IFERROR(__xludf.DUMMYFUNCTION("""COMPUTED_VALUE"""),339.8)</f>
        <v>339.8</v>
      </c>
      <c r="F1303" s="9">
        <f>IFERROR(__xludf.DUMMYFUNCTION("""COMPUTED_VALUE"""),872268.0)</f>
        <v>872268</v>
      </c>
      <c r="H1303" s="27">
        <f>IFERROR(__xludf.DUMMYFUNCTION("""COMPUTED_VALUE"""),40290.645833333336)</f>
        <v>40290.64583</v>
      </c>
      <c r="I1303" s="25">
        <f>IFERROR(__xludf.DUMMYFUNCTION("""COMPUTED_VALUE"""),394.55)</f>
        <v>394.55</v>
      </c>
      <c r="J1303" s="25">
        <f>IFERROR(__xludf.DUMMYFUNCTION("""COMPUTED_VALUE"""),396.83)</f>
        <v>396.83</v>
      </c>
      <c r="K1303" s="25">
        <f>IFERROR(__xludf.DUMMYFUNCTION("""COMPUTED_VALUE"""),390.5)</f>
        <v>390.5</v>
      </c>
      <c r="L1303" s="25">
        <f>IFERROR(__xludf.DUMMYFUNCTION("""COMPUTED_VALUE"""),392.98)</f>
        <v>392.98</v>
      </c>
      <c r="M1303" s="25">
        <f>IFERROR(__xludf.DUMMYFUNCTION("""COMPUTED_VALUE"""),2375558.0)</f>
        <v>2375558</v>
      </c>
    </row>
    <row r="1304">
      <c r="A1304" s="26">
        <f>IFERROR(__xludf.DUMMYFUNCTION("""COMPUTED_VALUE"""),40291.645833333336)</f>
        <v>40291.64583</v>
      </c>
      <c r="B1304" s="9">
        <f>IFERROR(__xludf.DUMMYFUNCTION("""COMPUTED_VALUE"""),341.88)</f>
        <v>341.88</v>
      </c>
      <c r="C1304" s="9">
        <f>IFERROR(__xludf.DUMMYFUNCTION("""COMPUTED_VALUE"""),344.21)</f>
        <v>344.21</v>
      </c>
      <c r="D1304" s="9">
        <f>IFERROR(__xludf.DUMMYFUNCTION("""COMPUTED_VALUE"""),339.61)</f>
        <v>339.61</v>
      </c>
      <c r="E1304" s="9">
        <f>IFERROR(__xludf.DUMMYFUNCTION("""COMPUTED_VALUE"""),340.87)</f>
        <v>340.87</v>
      </c>
      <c r="F1304" s="9">
        <f>IFERROR(__xludf.DUMMYFUNCTION("""COMPUTED_VALUE"""),736042.0)</f>
        <v>736042</v>
      </c>
      <c r="H1304" s="27">
        <f>IFERROR(__xludf.DUMMYFUNCTION("""COMPUTED_VALUE"""),40291.645833333336)</f>
        <v>40291.64583</v>
      </c>
      <c r="I1304" s="25">
        <f>IFERROR(__xludf.DUMMYFUNCTION("""COMPUTED_VALUE"""),394.03)</f>
        <v>394.03</v>
      </c>
      <c r="J1304" s="25">
        <f>IFERROR(__xludf.DUMMYFUNCTION("""COMPUTED_VALUE"""),396.0)</f>
        <v>396</v>
      </c>
      <c r="K1304" s="25">
        <f>IFERROR(__xludf.DUMMYFUNCTION("""COMPUTED_VALUE"""),388.75)</f>
        <v>388.75</v>
      </c>
      <c r="L1304" s="25">
        <f>IFERROR(__xludf.DUMMYFUNCTION("""COMPUTED_VALUE"""),390.1)</f>
        <v>390.1</v>
      </c>
      <c r="M1304" s="25">
        <f>IFERROR(__xludf.DUMMYFUNCTION("""COMPUTED_VALUE"""),2153034.0)</f>
        <v>2153034</v>
      </c>
    </row>
    <row r="1305">
      <c r="A1305" s="26">
        <f>IFERROR(__xludf.DUMMYFUNCTION("""COMPUTED_VALUE"""),40294.645833333336)</f>
        <v>40294.64583</v>
      </c>
      <c r="B1305" s="9">
        <f>IFERROR(__xludf.DUMMYFUNCTION("""COMPUTED_VALUE"""),341.26)</f>
        <v>341.26</v>
      </c>
      <c r="C1305" s="9">
        <f>IFERROR(__xludf.DUMMYFUNCTION("""COMPUTED_VALUE"""),344.25)</f>
        <v>344.25</v>
      </c>
      <c r="D1305" s="9">
        <f>IFERROR(__xludf.DUMMYFUNCTION("""COMPUTED_VALUE"""),340.63)</f>
        <v>340.63</v>
      </c>
      <c r="E1305" s="9">
        <f>IFERROR(__xludf.DUMMYFUNCTION("""COMPUTED_VALUE"""),342.37)</f>
        <v>342.37</v>
      </c>
      <c r="F1305" s="9">
        <f>IFERROR(__xludf.DUMMYFUNCTION("""COMPUTED_VALUE"""),556786.0)</f>
        <v>556786</v>
      </c>
      <c r="H1305" s="27">
        <f>IFERROR(__xludf.DUMMYFUNCTION("""COMPUTED_VALUE"""),40294.645833333336)</f>
        <v>40294.64583</v>
      </c>
      <c r="I1305" s="25">
        <f>IFERROR(__xludf.DUMMYFUNCTION("""COMPUTED_VALUE"""),393.0)</f>
        <v>393</v>
      </c>
      <c r="J1305" s="25">
        <f>IFERROR(__xludf.DUMMYFUNCTION("""COMPUTED_VALUE"""),395.5)</f>
        <v>395.5</v>
      </c>
      <c r="K1305" s="25">
        <f>IFERROR(__xludf.DUMMYFUNCTION("""COMPUTED_VALUE"""),390.1)</f>
        <v>390.1</v>
      </c>
      <c r="L1305" s="25">
        <f>IFERROR(__xludf.DUMMYFUNCTION("""COMPUTED_VALUE"""),392.55)</f>
        <v>392.55</v>
      </c>
      <c r="M1305" s="25">
        <f>IFERROR(__xludf.DUMMYFUNCTION("""COMPUTED_VALUE"""),1256274.0)</f>
        <v>1256274</v>
      </c>
    </row>
    <row r="1306">
      <c r="A1306" s="26">
        <f>IFERROR(__xludf.DUMMYFUNCTION("""COMPUTED_VALUE"""),40295.645833333336)</f>
        <v>40295.64583</v>
      </c>
      <c r="B1306" s="9">
        <f>IFERROR(__xludf.DUMMYFUNCTION("""COMPUTED_VALUE"""),341.14)</f>
        <v>341.14</v>
      </c>
      <c r="C1306" s="9">
        <f>IFERROR(__xludf.DUMMYFUNCTION("""COMPUTED_VALUE"""),342.8)</f>
        <v>342.8</v>
      </c>
      <c r="D1306" s="9">
        <f>IFERROR(__xludf.DUMMYFUNCTION("""COMPUTED_VALUE"""),340.8)</f>
        <v>340.8</v>
      </c>
      <c r="E1306" s="9">
        <f>IFERROR(__xludf.DUMMYFUNCTION("""COMPUTED_VALUE"""),342.18)</f>
        <v>342.18</v>
      </c>
      <c r="F1306" s="9">
        <f>IFERROR(__xludf.DUMMYFUNCTION("""COMPUTED_VALUE"""),410032.0)</f>
        <v>410032</v>
      </c>
      <c r="H1306" s="27">
        <f>IFERROR(__xludf.DUMMYFUNCTION("""COMPUTED_VALUE"""),40295.645833333336)</f>
        <v>40295.64583</v>
      </c>
      <c r="I1306" s="25">
        <f>IFERROR(__xludf.DUMMYFUNCTION("""COMPUTED_VALUE"""),392.98)</f>
        <v>392.98</v>
      </c>
      <c r="J1306" s="25">
        <f>IFERROR(__xludf.DUMMYFUNCTION("""COMPUTED_VALUE"""),394.95)</f>
        <v>394.95</v>
      </c>
      <c r="K1306" s="25">
        <f>IFERROR(__xludf.DUMMYFUNCTION("""COMPUTED_VALUE"""),390.53)</f>
        <v>390.53</v>
      </c>
      <c r="L1306" s="25">
        <f>IFERROR(__xludf.DUMMYFUNCTION("""COMPUTED_VALUE"""),393.65)</f>
        <v>393.65</v>
      </c>
      <c r="M1306" s="25">
        <f>IFERROR(__xludf.DUMMYFUNCTION("""COMPUTED_VALUE"""),1310617.0)</f>
        <v>1310617</v>
      </c>
    </row>
    <row r="1307">
      <c r="A1307" s="26">
        <f>IFERROR(__xludf.DUMMYFUNCTION("""COMPUTED_VALUE"""),40296.645833333336)</f>
        <v>40296.64583</v>
      </c>
      <c r="B1307" s="9">
        <f>IFERROR(__xludf.DUMMYFUNCTION("""COMPUTED_VALUE"""),338.76)</f>
        <v>338.76</v>
      </c>
      <c r="C1307" s="9">
        <f>IFERROR(__xludf.DUMMYFUNCTION("""COMPUTED_VALUE"""),341.49)</f>
        <v>341.49</v>
      </c>
      <c r="D1307" s="9">
        <f>IFERROR(__xludf.DUMMYFUNCTION("""COMPUTED_VALUE"""),336.39)</f>
        <v>336.39</v>
      </c>
      <c r="E1307" s="9">
        <f>IFERROR(__xludf.DUMMYFUNCTION("""COMPUTED_VALUE"""),337.44)</f>
        <v>337.44</v>
      </c>
      <c r="F1307" s="9">
        <f>IFERROR(__xludf.DUMMYFUNCTION("""COMPUTED_VALUE"""),693062.0)</f>
        <v>693062</v>
      </c>
      <c r="H1307" s="27">
        <f>IFERROR(__xludf.DUMMYFUNCTION("""COMPUTED_VALUE"""),40296.645833333336)</f>
        <v>40296.64583</v>
      </c>
      <c r="I1307" s="25">
        <f>IFERROR(__xludf.DUMMYFUNCTION("""COMPUTED_VALUE"""),390.0)</f>
        <v>390</v>
      </c>
      <c r="J1307" s="25">
        <f>IFERROR(__xludf.DUMMYFUNCTION("""COMPUTED_VALUE"""),391.98)</f>
        <v>391.98</v>
      </c>
      <c r="K1307" s="25">
        <f>IFERROR(__xludf.DUMMYFUNCTION("""COMPUTED_VALUE"""),382.5)</f>
        <v>382.5</v>
      </c>
      <c r="L1307" s="25">
        <f>IFERROR(__xludf.DUMMYFUNCTION("""COMPUTED_VALUE"""),385.15)</f>
        <v>385.15</v>
      </c>
      <c r="M1307" s="25">
        <f>IFERROR(__xludf.DUMMYFUNCTION("""COMPUTED_VALUE"""),1200191.0)</f>
        <v>1200191</v>
      </c>
    </row>
    <row r="1308">
      <c r="A1308" s="26">
        <f>IFERROR(__xludf.DUMMYFUNCTION("""COMPUTED_VALUE"""),40297.645833333336)</f>
        <v>40297.64583</v>
      </c>
      <c r="B1308" s="9">
        <f>IFERROR(__xludf.DUMMYFUNCTION("""COMPUTED_VALUE"""),337.38)</f>
        <v>337.38</v>
      </c>
      <c r="C1308" s="9">
        <f>IFERROR(__xludf.DUMMYFUNCTION("""COMPUTED_VALUE"""),341.61)</f>
        <v>341.61</v>
      </c>
      <c r="D1308" s="9">
        <f>IFERROR(__xludf.DUMMYFUNCTION("""COMPUTED_VALUE"""),334.38)</f>
        <v>334.38</v>
      </c>
      <c r="E1308" s="9">
        <f>IFERROR(__xludf.DUMMYFUNCTION("""COMPUTED_VALUE"""),338.64)</f>
        <v>338.64</v>
      </c>
      <c r="F1308" s="9">
        <f>IFERROR(__xludf.DUMMYFUNCTION("""COMPUTED_VALUE"""),1414995.0)</f>
        <v>1414995</v>
      </c>
      <c r="H1308" s="27">
        <f>IFERROR(__xludf.DUMMYFUNCTION("""COMPUTED_VALUE"""),40297.645833333336)</f>
        <v>40297.64583</v>
      </c>
      <c r="I1308" s="25">
        <f>IFERROR(__xludf.DUMMYFUNCTION("""COMPUTED_VALUE"""),387.55)</f>
        <v>387.55</v>
      </c>
      <c r="J1308" s="25">
        <f>IFERROR(__xludf.DUMMYFUNCTION("""COMPUTED_VALUE"""),387.63)</f>
        <v>387.63</v>
      </c>
      <c r="K1308" s="25">
        <f>IFERROR(__xludf.DUMMYFUNCTION("""COMPUTED_VALUE"""),377.8)</f>
        <v>377.8</v>
      </c>
      <c r="L1308" s="25">
        <f>IFERROR(__xludf.DUMMYFUNCTION("""COMPUTED_VALUE"""),379.88)</f>
        <v>379.88</v>
      </c>
      <c r="M1308" s="25">
        <f>IFERROR(__xludf.DUMMYFUNCTION("""COMPUTED_VALUE"""),2311482.0)</f>
        <v>2311482</v>
      </c>
    </row>
    <row r="1309">
      <c r="A1309" s="26">
        <f>IFERROR(__xludf.DUMMYFUNCTION("""COMPUTED_VALUE"""),40298.645833333336)</f>
        <v>40298.64583</v>
      </c>
      <c r="B1309" s="9">
        <f>IFERROR(__xludf.DUMMYFUNCTION("""COMPUTED_VALUE"""),339.0)</f>
        <v>339</v>
      </c>
      <c r="C1309" s="9">
        <f>IFERROR(__xludf.DUMMYFUNCTION("""COMPUTED_VALUE"""),344.85)</f>
        <v>344.85</v>
      </c>
      <c r="D1309" s="9">
        <f>IFERROR(__xludf.DUMMYFUNCTION("""COMPUTED_VALUE"""),334.64)</f>
        <v>334.64</v>
      </c>
      <c r="E1309" s="9">
        <f>IFERROR(__xludf.DUMMYFUNCTION("""COMPUTED_VALUE"""),342.27)</f>
        <v>342.27</v>
      </c>
      <c r="F1309" s="9">
        <f>IFERROR(__xludf.DUMMYFUNCTION("""COMPUTED_VALUE"""),1008378.0)</f>
        <v>1008378</v>
      </c>
      <c r="H1309" s="27">
        <f>IFERROR(__xludf.DUMMYFUNCTION("""COMPUTED_VALUE"""),40298.645833333336)</f>
        <v>40298.64583</v>
      </c>
      <c r="I1309" s="25">
        <f>IFERROR(__xludf.DUMMYFUNCTION("""COMPUTED_VALUE"""),382.5)</f>
        <v>382.5</v>
      </c>
      <c r="J1309" s="25">
        <f>IFERROR(__xludf.DUMMYFUNCTION("""COMPUTED_VALUE"""),386.4)</f>
        <v>386.4</v>
      </c>
      <c r="K1309" s="25">
        <f>IFERROR(__xludf.DUMMYFUNCTION("""COMPUTED_VALUE"""),381.28)</f>
        <v>381.28</v>
      </c>
      <c r="L1309" s="25">
        <f>IFERROR(__xludf.DUMMYFUNCTION("""COMPUTED_VALUE"""),382.7)</f>
        <v>382.7</v>
      </c>
      <c r="M1309" s="25">
        <f>IFERROR(__xludf.DUMMYFUNCTION("""COMPUTED_VALUE"""),1845112.0)</f>
        <v>1845112</v>
      </c>
    </row>
    <row r="1310">
      <c r="A1310" s="26">
        <f>IFERROR(__xludf.DUMMYFUNCTION("""COMPUTED_VALUE"""),40301.645833333336)</f>
        <v>40301.64583</v>
      </c>
      <c r="B1310" s="9">
        <f>IFERROR(__xludf.DUMMYFUNCTION("""COMPUTED_VALUE"""),338.5)</f>
        <v>338.5</v>
      </c>
      <c r="C1310" s="9">
        <f>IFERROR(__xludf.DUMMYFUNCTION("""COMPUTED_VALUE"""),339.37)</f>
        <v>339.37</v>
      </c>
      <c r="D1310" s="9">
        <f>IFERROR(__xludf.DUMMYFUNCTION("""COMPUTED_VALUE"""),335.25)</f>
        <v>335.25</v>
      </c>
      <c r="E1310" s="9">
        <f>IFERROR(__xludf.DUMMYFUNCTION("""COMPUTED_VALUE"""),336.86)</f>
        <v>336.86</v>
      </c>
      <c r="F1310" s="9">
        <f>IFERROR(__xludf.DUMMYFUNCTION("""COMPUTED_VALUE"""),676119.0)</f>
        <v>676119</v>
      </c>
      <c r="H1310" s="27">
        <f>IFERROR(__xludf.DUMMYFUNCTION("""COMPUTED_VALUE"""),40301.645833333336)</f>
        <v>40301.64583</v>
      </c>
      <c r="I1310" s="25">
        <f>IFERROR(__xludf.DUMMYFUNCTION("""COMPUTED_VALUE"""),380.63)</f>
        <v>380.63</v>
      </c>
      <c r="J1310" s="25">
        <f>IFERROR(__xludf.DUMMYFUNCTION("""COMPUTED_VALUE"""),385.7)</f>
        <v>385.7</v>
      </c>
      <c r="K1310" s="25">
        <f>IFERROR(__xludf.DUMMYFUNCTION("""COMPUTED_VALUE"""),377.05)</f>
        <v>377.05</v>
      </c>
      <c r="L1310" s="25">
        <f>IFERROR(__xludf.DUMMYFUNCTION("""COMPUTED_VALUE"""),383.4)</f>
        <v>383.4</v>
      </c>
      <c r="M1310" s="25">
        <f>IFERROR(__xludf.DUMMYFUNCTION("""COMPUTED_VALUE"""),1208280.0)</f>
        <v>1208280</v>
      </c>
    </row>
    <row r="1311">
      <c r="A1311" s="26">
        <f>IFERROR(__xludf.DUMMYFUNCTION("""COMPUTED_VALUE"""),40302.645833333336)</f>
        <v>40302.64583</v>
      </c>
      <c r="B1311" s="9">
        <f>IFERROR(__xludf.DUMMYFUNCTION("""COMPUTED_VALUE"""),338.13)</f>
        <v>338.13</v>
      </c>
      <c r="C1311" s="9">
        <f>IFERROR(__xludf.DUMMYFUNCTION("""COMPUTED_VALUE"""),338.25)</f>
        <v>338.25</v>
      </c>
      <c r="D1311" s="9">
        <f>IFERROR(__xludf.DUMMYFUNCTION("""COMPUTED_VALUE"""),331.94)</f>
        <v>331.94</v>
      </c>
      <c r="E1311" s="9">
        <f>IFERROR(__xludf.DUMMYFUNCTION("""COMPUTED_VALUE"""),333.27)</f>
        <v>333.27</v>
      </c>
      <c r="F1311" s="9">
        <f>IFERROR(__xludf.DUMMYFUNCTION("""COMPUTED_VALUE"""),822026.0)</f>
        <v>822026</v>
      </c>
      <c r="H1311" s="27">
        <f>IFERROR(__xludf.DUMMYFUNCTION("""COMPUTED_VALUE"""),40302.645833333336)</f>
        <v>40302.64583</v>
      </c>
      <c r="I1311" s="25">
        <f>IFERROR(__xludf.DUMMYFUNCTION("""COMPUTED_VALUE"""),387.42)</f>
        <v>387.42</v>
      </c>
      <c r="J1311" s="25">
        <f>IFERROR(__xludf.DUMMYFUNCTION("""COMPUTED_VALUE"""),387.42)</f>
        <v>387.42</v>
      </c>
      <c r="K1311" s="25">
        <f>IFERROR(__xludf.DUMMYFUNCTION("""COMPUTED_VALUE"""),378.4)</f>
        <v>378.4</v>
      </c>
      <c r="L1311" s="25">
        <f>IFERROR(__xludf.DUMMYFUNCTION("""COMPUTED_VALUE"""),380.5)</f>
        <v>380.5</v>
      </c>
      <c r="M1311" s="25">
        <f>IFERROR(__xludf.DUMMYFUNCTION("""COMPUTED_VALUE"""),1448014.0)</f>
        <v>1448014</v>
      </c>
    </row>
    <row r="1312">
      <c r="A1312" s="26">
        <f>IFERROR(__xludf.DUMMYFUNCTION("""COMPUTED_VALUE"""),40303.645833333336)</f>
        <v>40303.64583</v>
      </c>
      <c r="B1312" s="9">
        <f>IFERROR(__xludf.DUMMYFUNCTION("""COMPUTED_VALUE"""),331.18)</f>
        <v>331.18</v>
      </c>
      <c r="C1312" s="9">
        <f>IFERROR(__xludf.DUMMYFUNCTION("""COMPUTED_VALUE"""),338.5)</f>
        <v>338.5</v>
      </c>
      <c r="D1312" s="9">
        <f>IFERROR(__xludf.DUMMYFUNCTION("""COMPUTED_VALUE"""),326.25)</f>
        <v>326.25</v>
      </c>
      <c r="E1312" s="9">
        <f>IFERROR(__xludf.DUMMYFUNCTION("""COMPUTED_VALUE"""),336.63)</f>
        <v>336.63</v>
      </c>
      <c r="F1312" s="9">
        <f>IFERROR(__xludf.DUMMYFUNCTION("""COMPUTED_VALUE"""),1515260.0)</f>
        <v>1515260</v>
      </c>
      <c r="H1312" s="27">
        <f>IFERROR(__xludf.DUMMYFUNCTION("""COMPUTED_VALUE"""),40303.645833333336)</f>
        <v>40303.64583</v>
      </c>
      <c r="I1312" s="25">
        <f>IFERROR(__xludf.DUMMYFUNCTION("""COMPUTED_VALUE"""),375.0)</f>
        <v>375</v>
      </c>
      <c r="J1312" s="25">
        <f>IFERROR(__xludf.DUMMYFUNCTION("""COMPUTED_VALUE"""),384.0)</f>
        <v>384</v>
      </c>
      <c r="K1312" s="25">
        <f>IFERROR(__xludf.DUMMYFUNCTION("""COMPUTED_VALUE"""),370.08)</f>
        <v>370.08</v>
      </c>
      <c r="L1312" s="25">
        <f>IFERROR(__xludf.DUMMYFUNCTION("""COMPUTED_VALUE"""),382.88)</f>
        <v>382.88</v>
      </c>
      <c r="M1312" s="25">
        <f>IFERROR(__xludf.DUMMYFUNCTION("""COMPUTED_VALUE"""),2185615.0)</f>
        <v>2185615</v>
      </c>
    </row>
    <row r="1313">
      <c r="A1313" s="26">
        <f>IFERROR(__xludf.DUMMYFUNCTION("""COMPUTED_VALUE"""),40304.645833333336)</f>
        <v>40304.64583</v>
      </c>
      <c r="B1313" s="9">
        <f>IFERROR(__xludf.DUMMYFUNCTION("""COMPUTED_VALUE"""),336.29)</f>
        <v>336.29</v>
      </c>
      <c r="C1313" s="9">
        <f>IFERROR(__xludf.DUMMYFUNCTION("""COMPUTED_VALUE"""),336.29)</f>
        <v>336.29</v>
      </c>
      <c r="D1313" s="9">
        <f>IFERROR(__xludf.DUMMYFUNCTION("""COMPUTED_VALUE"""),330.69)</f>
        <v>330.69</v>
      </c>
      <c r="E1313" s="9">
        <f>IFERROR(__xludf.DUMMYFUNCTION("""COMPUTED_VALUE"""),332.27)</f>
        <v>332.27</v>
      </c>
      <c r="F1313" s="9">
        <f>IFERROR(__xludf.DUMMYFUNCTION("""COMPUTED_VALUE"""),976045.0)</f>
        <v>976045</v>
      </c>
      <c r="H1313" s="27">
        <f>IFERROR(__xludf.DUMMYFUNCTION("""COMPUTED_VALUE"""),40304.645833333336)</f>
        <v>40304.64583</v>
      </c>
      <c r="I1313" s="25">
        <f>IFERROR(__xludf.DUMMYFUNCTION("""COMPUTED_VALUE"""),383.98)</f>
        <v>383.98</v>
      </c>
      <c r="J1313" s="25">
        <f>IFERROR(__xludf.DUMMYFUNCTION("""COMPUTED_VALUE"""),385.45)</f>
        <v>385.45</v>
      </c>
      <c r="K1313" s="25">
        <f>IFERROR(__xludf.DUMMYFUNCTION("""COMPUTED_VALUE"""),379.6)</f>
        <v>379.6</v>
      </c>
      <c r="L1313" s="25">
        <f>IFERROR(__xludf.DUMMYFUNCTION("""COMPUTED_VALUE"""),383.55)</f>
        <v>383.55</v>
      </c>
      <c r="M1313" s="25">
        <f>IFERROR(__xludf.DUMMYFUNCTION("""COMPUTED_VALUE"""),1290436.0)</f>
        <v>1290436</v>
      </c>
    </row>
    <row r="1314">
      <c r="A1314" s="26">
        <f>IFERROR(__xludf.DUMMYFUNCTION("""COMPUTED_VALUE"""),40305.645833333336)</f>
        <v>40305.64583</v>
      </c>
      <c r="B1314" s="9">
        <f>IFERROR(__xludf.DUMMYFUNCTION("""COMPUTED_VALUE"""),329.76)</f>
        <v>329.76</v>
      </c>
      <c r="C1314" s="9">
        <f>IFERROR(__xludf.DUMMYFUNCTION("""COMPUTED_VALUE"""),330.67)</f>
        <v>330.67</v>
      </c>
      <c r="D1314" s="9">
        <f>IFERROR(__xludf.DUMMYFUNCTION("""COMPUTED_VALUE"""),325.88)</f>
        <v>325.88</v>
      </c>
      <c r="E1314" s="9">
        <f>IFERROR(__xludf.DUMMYFUNCTION("""COMPUTED_VALUE"""),327.11)</f>
        <v>327.11</v>
      </c>
      <c r="F1314" s="9">
        <f>IFERROR(__xludf.DUMMYFUNCTION("""COMPUTED_VALUE"""),1123049.0)</f>
        <v>1123049</v>
      </c>
      <c r="H1314" s="27">
        <f>IFERROR(__xludf.DUMMYFUNCTION("""COMPUTED_VALUE"""),40305.645833333336)</f>
        <v>40305.64583</v>
      </c>
      <c r="I1314" s="25">
        <f>IFERROR(__xludf.DUMMYFUNCTION("""COMPUTED_VALUE"""),378.5)</f>
        <v>378.5</v>
      </c>
      <c r="J1314" s="25">
        <f>IFERROR(__xludf.DUMMYFUNCTION("""COMPUTED_VALUE"""),381.3)</f>
        <v>381.3</v>
      </c>
      <c r="K1314" s="25">
        <f>IFERROR(__xludf.DUMMYFUNCTION("""COMPUTED_VALUE"""),367.5)</f>
        <v>367.5</v>
      </c>
      <c r="L1314" s="25">
        <f>IFERROR(__xludf.DUMMYFUNCTION("""COMPUTED_VALUE"""),370.7)</f>
        <v>370.7</v>
      </c>
      <c r="M1314" s="25">
        <f>IFERROR(__xludf.DUMMYFUNCTION("""COMPUTED_VALUE"""),2133576.0)</f>
        <v>2133576</v>
      </c>
    </row>
    <row r="1315">
      <c r="A1315" s="26">
        <f>IFERROR(__xludf.DUMMYFUNCTION("""COMPUTED_VALUE"""),40308.645833333336)</f>
        <v>40308.64583</v>
      </c>
      <c r="B1315" s="9">
        <f>IFERROR(__xludf.DUMMYFUNCTION("""COMPUTED_VALUE"""),327.5)</f>
        <v>327.5</v>
      </c>
      <c r="C1315" s="9">
        <f>IFERROR(__xludf.DUMMYFUNCTION("""COMPUTED_VALUE"""),335.48)</f>
        <v>335.48</v>
      </c>
      <c r="D1315" s="9">
        <f>IFERROR(__xludf.DUMMYFUNCTION("""COMPUTED_VALUE"""),327.5)</f>
        <v>327.5</v>
      </c>
      <c r="E1315" s="9">
        <f>IFERROR(__xludf.DUMMYFUNCTION("""COMPUTED_VALUE"""),334.46)</f>
        <v>334.46</v>
      </c>
      <c r="F1315" s="9">
        <f>IFERROR(__xludf.DUMMYFUNCTION("""COMPUTED_VALUE"""),704426.0)</f>
        <v>704426</v>
      </c>
      <c r="H1315" s="27">
        <f>IFERROR(__xludf.DUMMYFUNCTION("""COMPUTED_VALUE"""),40308.645833333336)</f>
        <v>40308.64583</v>
      </c>
      <c r="I1315" s="25">
        <f>IFERROR(__xludf.DUMMYFUNCTION("""COMPUTED_VALUE"""),380.0)</f>
        <v>380</v>
      </c>
      <c r="J1315" s="25">
        <f>IFERROR(__xludf.DUMMYFUNCTION("""COMPUTED_VALUE"""),421.5)</f>
        <v>421.5</v>
      </c>
      <c r="K1315" s="25">
        <f>IFERROR(__xludf.DUMMYFUNCTION("""COMPUTED_VALUE"""),372.5)</f>
        <v>372.5</v>
      </c>
      <c r="L1315" s="25">
        <f>IFERROR(__xludf.DUMMYFUNCTION("""COMPUTED_VALUE"""),385.13)</f>
        <v>385.13</v>
      </c>
      <c r="M1315" s="25">
        <f>IFERROR(__xludf.DUMMYFUNCTION("""COMPUTED_VALUE"""),1163907.0)</f>
        <v>1163907</v>
      </c>
    </row>
    <row r="1316">
      <c r="A1316" s="26">
        <f>IFERROR(__xludf.DUMMYFUNCTION("""COMPUTED_VALUE"""),40309.645833333336)</f>
        <v>40309.64583</v>
      </c>
      <c r="B1316" s="9">
        <f>IFERROR(__xludf.DUMMYFUNCTION("""COMPUTED_VALUE"""),333.73)</f>
        <v>333.73</v>
      </c>
      <c r="C1316" s="9">
        <f>IFERROR(__xludf.DUMMYFUNCTION("""COMPUTED_VALUE"""),334.31)</f>
        <v>334.31</v>
      </c>
      <c r="D1316" s="9">
        <f>IFERROR(__xludf.DUMMYFUNCTION("""COMPUTED_VALUE"""),329.5)</f>
        <v>329.5</v>
      </c>
      <c r="E1316" s="9">
        <f>IFERROR(__xludf.DUMMYFUNCTION("""COMPUTED_VALUE"""),332.59)</f>
        <v>332.59</v>
      </c>
      <c r="F1316" s="9">
        <f>IFERROR(__xludf.DUMMYFUNCTION("""COMPUTED_VALUE"""),725353.0)</f>
        <v>725353</v>
      </c>
      <c r="H1316" s="27">
        <f>IFERROR(__xludf.DUMMYFUNCTION("""COMPUTED_VALUE"""),40309.645833333336)</f>
        <v>40309.64583</v>
      </c>
      <c r="I1316" s="25">
        <f>IFERROR(__xludf.DUMMYFUNCTION("""COMPUTED_VALUE"""),387.5)</f>
        <v>387.5</v>
      </c>
      <c r="J1316" s="25">
        <f>IFERROR(__xludf.DUMMYFUNCTION("""COMPUTED_VALUE"""),389.5)</f>
        <v>389.5</v>
      </c>
      <c r="K1316" s="25">
        <f>IFERROR(__xludf.DUMMYFUNCTION("""COMPUTED_VALUE"""),376.95)</f>
        <v>376.95</v>
      </c>
      <c r="L1316" s="25">
        <f>IFERROR(__xludf.DUMMYFUNCTION("""COMPUTED_VALUE"""),378.15)</f>
        <v>378.15</v>
      </c>
      <c r="M1316" s="25">
        <f>IFERROR(__xludf.DUMMYFUNCTION("""COMPUTED_VALUE"""),675644.0)</f>
        <v>675644</v>
      </c>
    </row>
    <row r="1317">
      <c r="A1317" s="26">
        <f>IFERROR(__xludf.DUMMYFUNCTION("""COMPUTED_VALUE"""),40310.645833333336)</f>
        <v>40310.64583</v>
      </c>
      <c r="B1317" s="9">
        <f>IFERROR(__xludf.DUMMYFUNCTION("""COMPUTED_VALUE"""),332.0)</f>
        <v>332</v>
      </c>
      <c r="C1317" s="9">
        <f>IFERROR(__xludf.DUMMYFUNCTION("""COMPUTED_VALUE"""),337.36)</f>
        <v>337.36</v>
      </c>
      <c r="D1317" s="9">
        <f>IFERROR(__xludf.DUMMYFUNCTION("""COMPUTED_VALUE"""),331.53)</f>
        <v>331.53</v>
      </c>
      <c r="E1317" s="9">
        <f>IFERROR(__xludf.DUMMYFUNCTION("""COMPUTED_VALUE"""),335.21)</f>
        <v>335.21</v>
      </c>
      <c r="F1317" s="9">
        <f>IFERROR(__xludf.DUMMYFUNCTION("""COMPUTED_VALUE"""),1148147.0)</f>
        <v>1148147</v>
      </c>
      <c r="H1317" s="27">
        <f>IFERROR(__xludf.DUMMYFUNCTION("""COMPUTED_VALUE"""),40310.645833333336)</f>
        <v>40310.64583</v>
      </c>
      <c r="I1317" s="25">
        <f>IFERROR(__xludf.DUMMYFUNCTION("""COMPUTED_VALUE"""),378.5)</f>
        <v>378.5</v>
      </c>
      <c r="J1317" s="25">
        <f>IFERROR(__xludf.DUMMYFUNCTION("""COMPUTED_VALUE"""),383.98)</f>
        <v>383.98</v>
      </c>
      <c r="K1317" s="25">
        <f>IFERROR(__xludf.DUMMYFUNCTION("""COMPUTED_VALUE"""),375.55)</f>
        <v>375.55</v>
      </c>
      <c r="L1317" s="25">
        <f>IFERROR(__xludf.DUMMYFUNCTION("""COMPUTED_VALUE"""),379.73)</f>
        <v>379.73</v>
      </c>
      <c r="M1317" s="25">
        <f>IFERROR(__xludf.DUMMYFUNCTION("""COMPUTED_VALUE"""),1370038.0)</f>
        <v>1370038</v>
      </c>
    </row>
    <row r="1318">
      <c r="A1318" s="26">
        <f>IFERROR(__xludf.DUMMYFUNCTION("""COMPUTED_VALUE"""),40311.645833333336)</f>
        <v>40311.64583</v>
      </c>
      <c r="B1318" s="9">
        <f>IFERROR(__xludf.DUMMYFUNCTION("""COMPUTED_VALUE"""),335.5)</f>
        <v>335.5</v>
      </c>
      <c r="C1318" s="9">
        <f>IFERROR(__xludf.DUMMYFUNCTION("""COMPUTED_VALUE"""),340.38)</f>
        <v>340.38</v>
      </c>
      <c r="D1318" s="9">
        <f>IFERROR(__xludf.DUMMYFUNCTION("""COMPUTED_VALUE"""),332.66)</f>
        <v>332.66</v>
      </c>
      <c r="E1318" s="9">
        <f>IFERROR(__xludf.DUMMYFUNCTION("""COMPUTED_VALUE"""),338.27)</f>
        <v>338.27</v>
      </c>
      <c r="F1318" s="9">
        <f>IFERROR(__xludf.DUMMYFUNCTION("""COMPUTED_VALUE"""),615485.0)</f>
        <v>615485</v>
      </c>
      <c r="H1318" s="27">
        <f>IFERROR(__xludf.DUMMYFUNCTION("""COMPUTED_VALUE"""),40311.645833333336)</f>
        <v>40311.64583</v>
      </c>
      <c r="I1318" s="25">
        <f>IFERROR(__xludf.DUMMYFUNCTION("""COMPUTED_VALUE"""),382.55)</f>
        <v>382.55</v>
      </c>
      <c r="J1318" s="25">
        <f>IFERROR(__xludf.DUMMYFUNCTION("""COMPUTED_VALUE"""),386.6)</f>
        <v>386.6</v>
      </c>
      <c r="K1318" s="25">
        <f>IFERROR(__xludf.DUMMYFUNCTION("""COMPUTED_VALUE"""),380.73)</f>
        <v>380.73</v>
      </c>
      <c r="L1318" s="25">
        <f>IFERROR(__xludf.DUMMYFUNCTION("""COMPUTED_VALUE"""),382.8)</f>
        <v>382.8</v>
      </c>
      <c r="M1318" s="25">
        <f>IFERROR(__xludf.DUMMYFUNCTION("""COMPUTED_VALUE"""),660726.0)</f>
        <v>660726</v>
      </c>
    </row>
    <row r="1319">
      <c r="A1319" s="26">
        <f>IFERROR(__xludf.DUMMYFUNCTION("""COMPUTED_VALUE"""),40312.645833333336)</f>
        <v>40312.64583</v>
      </c>
      <c r="B1319" s="9">
        <f>IFERROR(__xludf.DUMMYFUNCTION("""COMPUTED_VALUE"""),338.75)</f>
        <v>338.75</v>
      </c>
      <c r="C1319" s="9">
        <f>IFERROR(__xludf.DUMMYFUNCTION("""COMPUTED_VALUE"""),340.88)</f>
        <v>340.88</v>
      </c>
      <c r="D1319" s="9">
        <f>IFERROR(__xludf.DUMMYFUNCTION("""COMPUTED_VALUE"""),328.75)</f>
        <v>328.75</v>
      </c>
      <c r="E1319" s="9">
        <f>IFERROR(__xludf.DUMMYFUNCTION("""COMPUTED_VALUE"""),331.49)</f>
        <v>331.49</v>
      </c>
      <c r="F1319" s="9">
        <f>IFERROR(__xludf.DUMMYFUNCTION("""COMPUTED_VALUE"""),853062.0)</f>
        <v>853062</v>
      </c>
      <c r="H1319" s="27">
        <f>IFERROR(__xludf.DUMMYFUNCTION("""COMPUTED_VALUE"""),40312.645833333336)</f>
        <v>40312.64583</v>
      </c>
      <c r="I1319" s="25">
        <f>IFERROR(__xludf.DUMMYFUNCTION("""COMPUTED_VALUE"""),383.0)</f>
        <v>383</v>
      </c>
      <c r="J1319" s="25">
        <f>IFERROR(__xludf.DUMMYFUNCTION("""COMPUTED_VALUE"""),388.5)</f>
        <v>388.5</v>
      </c>
      <c r="K1319" s="25">
        <f>IFERROR(__xludf.DUMMYFUNCTION("""COMPUTED_VALUE"""),377.5)</f>
        <v>377.5</v>
      </c>
      <c r="L1319" s="25">
        <f>IFERROR(__xludf.DUMMYFUNCTION("""COMPUTED_VALUE"""),381.92)</f>
        <v>381.92</v>
      </c>
      <c r="M1319" s="25">
        <f>IFERROR(__xludf.DUMMYFUNCTION("""COMPUTED_VALUE"""),1013498.0)</f>
        <v>1013498</v>
      </c>
    </row>
    <row r="1320">
      <c r="A1320" s="26">
        <f>IFERROR(__xludf.DUMMYFUNCTION("""COMPUTED_VALUE"""),40315.645833333336)</f>
        <v>40315.64583</v>
      </c>
      <c r="B1320" s="9">
        <f>IFERROR(__xludf.DUMMYFUNCTION("""COMPUTED_VALUE"""),329.38)</f>
        <v>329.38</v>
      </c>
      <c r="C1320" s="9">
        <f>IFERROR(__xludf.DUMMYFUNCTION("""COMPUTED_VALUE"""),331.01)</f>
        <v>331.01</v>
      </c>
      <c r="D1320" s="9">
        <f>IFERROR(__xludf.DUMMYFUNCTION("""COMPUTED_VALUE"""),322.01)</f>
        <v>322.01</v>
      </c>
      <c r="E1320" s="9">
        <f>IFERROR(__xludf.DUMMYFUNCTION("""COMPUTED_VALUE"""),327.04)</f>
        <v>327.04</v>
      </c>
      <c r="F1320" s="9">
        <f>IFERROR(__xludf.DUMMYFUNCTION("""COMPUTED_VALUE"""),1021353.0)</f>
        <v>1021353</v>
      </c>
      <c r="H1320" s="27">
        <f>IFERROR(__xludf.DUMMYFUNCTION("""COMPUTED_VALUE"""),40315.645833333336)</f>
        <v>40315.64583</v>
      </c>
      <c r="I1320" s="25">
        <f>IFERROR(__xludf.DUMMYFUNCTION("""COMPUTED_VALUE"""),387.48)</f>
        <v>387.48</v>
      </c>
      <c r="J1320" s="25">
        <f>IFERROR(__xludf.DUMMYFUNCTION("""COMPUTED_VALUE"""),387.48)</f>
        <v>387.48</v>
      </c>
      <c r="K1320" s="25">
        <f>IFERROR(__xludf.DUMMYFUNCTION("""COMPUTED_VALUE"""),367.05)</f>
        <v>367.05</v>
      </c>
      <c r="L1320" s="25">
        <f>IFERROR(__xludf.DUMMYFUNCTION("""COMPUTED_VALUE"""),372.88)</f>
        <v>372.88</v>
      </c>
      <c r="M1320" s="25">
        <f>IFERROR(__xludf.DUMMYFUNCTION("""COMPUTED_VALUE"""),1861025.0)</f>
        <v>1861025</v>
      </c>
    </row>
    <row r="1321">
      <c r="A1321" s="26">
        <f>IFERROR(__xludf.DUMMYFUNCTION("""COMPUTED_VALUE"""),40316.645833333336)</f>
        <v>40316.64583</v>
      </c>
      <c r="B1321" s="9">
        <f>IFERROR(__xludf.DUMMYFUNCTION("""COMPUTED_VALUE"""),332.5)</f>
        <v>332.5</v>
      </c>
      <c r="C1321" s="9">
        <f>IFERROR(__xludf.DUMMYFUNCTION("""COMPUTED_VALUE"""),332.5)</f>
        <v>332.5</v>
      </c>
      <c r="D1321" s="9">
        <f>IFERROR(__xludf.DUMMYFUNCTION("""COMPUTED_VALUE"""),322.76)</f>
        <v>322.76</v>
      </c>
      <c r="E1321" s="9">
        <f>IFERROR(__xludf.DUMMYFUNCTION("""COMPUTED_VALUE"""),328.65)</f>
        <v>328.65</v>
      </c>
      <c r="F1321" s="9">
        <f>IFERROR(__xludf.DUMMYFUNCTION("""COMPUTED_VALUE"""),893075.0)</f>
        <v>893075</v>
      </c>
      <c r="H1321" s="27">
        <f>IFERROR(__xludf.DUMMYFUNCTION("""COMPUTED_VALUE"""),40316.645833333336)</f>
        <v>40316.64583</v>
      </c>
      <c r="I1321" s="25">
        <f>IFERROR(__xludf.DUMMYFUNCTION("""COMPUTED_VALUE"""),373.0)</f>
        <v>373</v>
      </c>
      <c r="J1321" s="25">
        <f>IFERROR(__xludf.DUMMYFUNCTION("""COMPUTED_VALUE"""),373.0)</f>
        <v>373</v>
      </c>
      <c r="K1321" s="25">
        <f>IFERROR(__xludf.DUMMYFUNCTION("""COMPUTED_VALUE"""),363.15)</f>
        <v>363.15</v>
      </c>
      <c r="L1321" s="25">
        <f>IFERROR(__xludf.DUMMYFUNCTION("""COMPUTED_VALUE"""),367.55)</f>
        <v>367.55</v>
      </c>
      <c r="M1321" s="25">
        <f>IFERROR(__xludf.DUMMYFUNCTION("""COMPUTED_VALUE"""),1599590.0)</f>
        <v>1599590</v>
      </c>
    </row>
    <row r="1322">
      <c r="A1322" s="26">
        <f>IFERROR(__xludf.DUMMYFUNCTION("""COMPUTED_VALUE"""),40317.645833333336)</f>
        <v>40317.64583</v>
      </c>
      <c r="B1322" s="9">
        <f>IFERROR(__xludf.DUMMYFUNCTION("""COMPUTED_VALUE"""),328.25)</f>
        <v>328.25</v>
      </c>
      <c r="C1322" s="9">
        <f>IFERROR(__xludf.DUMMYFUNCTION("""COMPUTED_VALUE"""),331.54)</f>
        <v>331.54</v>
      </c>
      <c r="D1322" s="9">
        <f>IFERROR(__xludf.DUMMYFUNCTION("""COMPUTED_VALUE"""),324.18)</f>
        <v>324.18</v>
      </c>
      <c r="E1322" s="9">
        <f>IFERROR(__xludf.DUMMYFUNCTION("""COMPUTED_VALUE"""),325.36)</f>
        <v>325.36</v>
      </c>
      <c r="F1322" s="9">
        <f>IFERROR(__xludf.DUMMYFUNCTION("""COMPUTED_VALUE"""),1492405.0)</f>
        <v>1492405</v>
      </c>
      <c r="H1322" s="27">
        <f>IFERROR(__xludf.DUMMYFUNCTION("""COMPUTED_VALUE"""),40317.645833333336)</f>
        <v>40317.64583</v>
      </c>
      <c r="I1322" s="25">
        <f>IFERROR(__xludf.DUMMYFUNCTION("""COMPUTED_VALUE"""),365.0)</f>
        <v>365</v>
      </c>
      <c r="J1322" s="25">
        <f>IFERROR(__xludf.DUMMYFUNCTION("""COMPUTED_VALUE"""),366.5)</f>
        <v>366.5</v>
      </c>
      <c r="K1322" s="25">
        <f>IFERROR(__xludf.DUMMYFUNCTION("""COMPUTED_VALUE"""),358.15)</f>
        <v>358.15</v>
      </c>
      <c r="L1322" s="25">
        <f>IFERROR(__xludf.DUMMYFUNCTION("""COMPUTED_VALUE"""),360.75)</f>
        <v>360.75</v>
      </c>
      <c r="M1322" s="25">
        <f>IFERROR(__xludf.DUMMYFUNCTION("""COMPUTED_VALUE"""),1964633.0)</f>
        <v>1964633</v>
      </c>
    </row>
    <row r="1323">
      <c r="A1323" s="26">
        <f>IFERROR(__xludf.DUMMYFUNCTION("""COMPUTED_VALUE"""),40318.645833333336)</f>
        <v>40318.64583</v>
      </c>
      <c r="B1323" s="9">
        <f>IFERROR(__xludf.DUMMYFUNCTION("""COMPUTED_VALUE"""),326.5)</f>
        <v>326.5</v>
      </c>
      <c r="C1323" s="9">
        <f>IFERROR(__xludf.DUMMYFUNCTION("""COMPUTED_VALUE"""),329.32)</f>
        <v>329.32</v>
      </c>
      <c r="D1323" s="9">
        <f>IFERROR(__xludf.DUMMYFUNCTION("""COMPUTED_VALUE"""),323.31)</f>
        <v>323.31</v>
      </c>
      <c r="E1323" s="9">
        <f>IFERROR(__xludf.DUMMYFUNCTION("""COMPUTED_VALUE"""),325.09)</f>
        <v>325.09</v>
      </c>
      <c r="F1323" s="9">
        <f>IFERROR(__xludf.DUMMYFUNCTION("""COMPUTED_VALUE"""),813609.0)</f>
        <v>813609</v>
      </c>
      <c r="H1323" s="27">
        <f>IFERROR(__xludf.DUMMYFUNCTION("""COMPUTED_VALUE"""),40318.645833333336)</f>
        <v>40318.64583</v>
      </c>
      <c r="I1323" s="25">
        <f>IFERROR(__xludf.DUMMYFUNCTION("""COMPUTED_VALUE"""),364.5)</f>
        <v>364.5</v>
      </c>
      <c r="J1323" s="25">
        <f>IFERROR(__xludf.DUMMYFUNCTION("""COMPUTED_VALUE"""),366.15)</f>
        <v>366.15</v>
      </c>
      <c r="K1323" s="25">
        <f>IFERROR(__xludf.DUMMYFUNCTION("""COMPUTED_VALUE"""),358.08)</f>
        <v>358.08</v>
      </c>
      <c r="L1323" s="25">
        <f>IFERROR(__xludf.DUMMYFUNCTION("""COMPUTED_VALUE"""),365.0)</f>
        <v>365</v>
      </c>
      <c r="M1323" s="25">
        <f>IFERROR(__xludf.DUMMYFUNCTION("""COMPUTED_VALUE"""),1199046.0)</f>
        <v>1199046</v>
      </c>
    </row>
    <row r="1324">
      <c r="A1324" s="26">
        <f>IFERROR(__xludf.DUMMYFUNCTION("""COMPUTED_VALUE"""),40319.645833333336)</f>
        <v>40319.64583</v>
      </c>
      <c r="B1324" s="9">
        <f>IFERROR(__xludf.DUMMYFUNCTION("""COMPUTED_VALUE"""),321.0)</f>
        <v>321</v>
      </c>
      <c r="C1324" s="9">
        <f>IFERROR(__xludf.DUMMYFUNCTION("""COMPUTED_VALUE"""),326.0)</f>
        <v>326</v>
      </c>
      <c r="D1324" s="9">
        <f>IFERROR(__xludf.DUMMYFUNCTION("""COMPUTED_VALUE"""),319.79)</f>
        <v>319.79</v>
      </c>
      <c r="E1324" s="9">
        <f>IFERROR(__xludf.DUMMYFUNCTION("""COMPUTED_VALUE"""),322.72)</f>
        <v>322.72</v>
      </c>
      <c r="F1324" s="9">
        <f>IFERROR(__xludf.DUMMYFUNCTION("""COMPUTED_VALUE"""),890900.0)</f>
        <v>890900</v>
      </c>
      <c r="H1324" s="27">
        <f>IFERROR(__xludf.DUMMYFUNCTION("""COMPUTED_VALUE"""),40319.645833333336)</f>
        <v>40319.64583</v>
      </c>
      <c r="I1324" s="25">
        <f>IFERROR(__xludf.DUMMYFUNCTION("""COMPUTED_VALUE"""),355.0)</f>
        <v>355</v>
      </c>
      <c r="J1324" s="25">
        <f>IFERROR(__xludf.DUMMYFUNCTION("""COMPUTED_VALUE"""),362.95)</f>
        <v>362.95</v>
      </c>
      <c r="K1324" s="25">
        <f>IFERROR(__xludf.DUMMYFUNCTION("""COMPUTED_VALUE"""),342.63)</f>
        <v>342.63</v>
      </c>
      <c r="L1324" s="25">
        <f>IFERROR(__xludf.DUMMYFUNCTION("""COMPUTED_VALUE"""),359.35)</f>
        <v>359.35</v>
      </c>
      <c r="M1324" s="25">
        <f>IFERROR(__xludf.DUMMYFUNCTION("""COMPUTED_VALUE"""),1337546.0)</f>
        <v>1337546</v>
      </c>
    </row>
    <row r="1325">
      <c r="A1325" s="26">
        <f>IFERROR(__xludf.DUMMYFUNCTION("""COMPUTED_VALUE"""),40322.645833333336)</f>
        <v>40322.64583</v>
      </c>
      <c r="B1325" s="9">
        <f>IFERROR(__xludf.DUMMYFUNCTION("""COMPUTED_VALUE"""),326.38)</f>
        <v>326.38</v>
      </c>
      <c r="C1325" s="9">
        <f>IFERROR(__xludf.DUMMYFUNCTION("""COMPUTED_VALUE"""),328.75)</f>
        <v>328.75</v>
      </c>
      <c r="D1325" s="9">
        <f>IFERROR(__xludf.DUMMYFUNCTION("""COMPUTED_VALUE"""),322.41)</f>
        <v>322.41</v>
      </c>
      <c r="E1325" s="9">
        <f>IFERROR(__xludf.DUMMYFUNCTION("""COMPUTED_VALUE"""),325.05)</f>
        <v>325.05</v>
      </c>
      <c r="F1325" s="9">
        <f>IFERROR(__xludf.DUMMYFUNCTION("""COMPUTED_VALUE"""),898263.0)</f>
        <v>898263</v>
      </c>
      <c r="H1325" s="27">
        <f>IFERROR(__xludf.DUMMYFUNCTION("""COMPUTED_VALUE"""),40322.645833333336)</f>
        <v>40322.64583</v>
      </c>
      <c r="I1325" s="25">
        <f>IFERROR(__xludf.DUMMYFUNCTION("""COMPUTED_VALUE"""),362.5)</f>
        <v>362.5</v>
      </c>
      <c r="J1325" s="25">
        <f>IFERROR(__xludf.DUMMYFUNCTION("""COMPUTED_VALUE"""),365.0)</f>
        <v>365</v>
      </c>
      <c r="K1325" s="25">
        <f>IFERROR(__xludf.DUMMYFUNCTION("""COMPUTED_VALUE"""),356.35)</f>
        <v>356.35</v>
      </c>
      <c r="L1325" s="25">
        <f>IFERROR(__xludf.DUMMYFUNCTION("""COMPUTED_VALUE"""),358.8)</f>
        <v>358.8</v>
      </c>
      <c r="M1325" s="25">
        <f>IFERROR(__xludf.DUMMYFUNCTION("""COMPUTED_VALUE"""),1442714.0)</f>
        <v>1442714</v>
      </c>
    </row>
    <row r="1326">
      <c r="A1326" s="26">
        <f>IFERROR(__xludf.DUMMYFUNCTION("""COMPUTED_VALUE"""),40323.645833333336)</f>
        <v>40323.64583</v>
      </c>
      <c r="B1326" s="9">
        <f>IFERROR(__xludf.DUMMYFUNCTION("""COMPUTED_VALUE"""),323.36)</f>
        <v>323.36</v>
      </c>
      <c r="C1326" s="9">
        <f>IFERROR(__xludf.DUMMYFUNCTION("""COMPUTED_VALUE"""),323.36)</f>
        <v>323.36</v>
      </c>
      <c r="D1326" s="9">
        <f>IFERROR(__xludf.DUMMYFUNCTION("""COMPUTED_VALUE"""),313.76)</f>
        <v>313.76</v>
      </c>
      <c r="E1326" s="9">
        <f>IFERROR(__xludf.DUMMYFUNCTION("""COMPUTED_VALUE"""),316.68)</f>
        <v>316.68</v>
      </c>
      <c r="F1326" s="9">
        <f>IFERROR(__xludf.DUMMYFUNCTION("""COMPUTED_VALUE"""),1104766.0)</f>
        <v>1104766</v>
      </c>
      <c r="H1326" s="27">
        <f>IFERROR(__xludf.DUMMYFUNCTION("""COMPUTED_VALUE"""),40323.645833333336)</f>
        <v>40323.64583</v>
      </c>
      <c r="I1326" s="25">
        <f>IFERROR(__xludf.DUMMYFUNCTION("""COMPUTED_VALUE"""),354.0)</f>
        <v>354</v>
      </c>
      <c r="J1326" s="25">
        <f>IFERROR(__xludf.DUMMYFUNCTION("""COMPUTED_VALUE"""),357.0)</f>
        <v>357</v>
      </c>
      <c r="K1326" s="25">
        <f>IFERROR(__xludf.DUMMYFUNCTION("""COMPUTED_VALUE"""),345.78)</f>
        <v>345.78</v>
      </c>
      <c r="L1326" s="25">
        <f>IFERROR(__xludf.DUMMYFUNCTION("""COMPUTED_VALUE"""),349.78)</f>
        <v>349.78</v>
      </c>
      <c r="M1326" s="25">
        <f>IFERROR(__xludf.DUMMYFUNCTION("""COMPUTED_VALUE"""),1148683.0)</f>
        <v>1148683</v>
      </c>
    </row>
    <row r="1327">
      <c r="A1327" s="26">
        <f>IFERROR(__xludf.DUMMYFUNCTION("""COMPUTED_VALUE"""),40324.645833333336)</f>
        <v>40324.64583</v>
      </c>
      <c r="B1327" s="9">
        <f>IFERROR(__xludf.DUMMYFUNCTION("""COMPUTED_VALUE"""),320.63)</f>
        <v>320.63</v>
      </c>
      <c r="C1327" s="9">
        <f>IFERROR(__xludf.DUMMYFUNCTION("""COMPUTED_VALUE"""),329.99)</f>
        <v>329.99</v>
      </c>
      <c r="D1327" s="9">
        <f>IFERROR(__xludf.DUMMYFUNCTION("""COMPUTED_VALUE"""),319.53)</f>
        <v>319.53</v>
      </c>
      <c r="E1327" s="9">
        <f>IFERROR(__xludf.DUMMYFUNCTION("""COMPUTED_VALUE"""),327.63)</f>
        <v>327.63</v>
      </c>
      <c r="F1327" s="9">
        <f>IFERROR(__xludf.DUMMYFUNCTION("""COMPUTED_VALUE"""),983607.0)</f>
        <v>983607</v>
      </c>
      <c r="H1327" s="27">
        <f>IFERROR(__xludf.DUMMYFUNCTION("""COMPUTED_VALUE"""),40324.645833333336)</f>
        <v>40324.64583</v>
      </c>
      <c r="I1327" s="25">
        <f>IFERROR(__xludf.DUMMYFUNCTION("""COMPUTED_VALUE"""),354.0)</f>
        <v>354</v>
      </c>
      <c r="J1327" s="25">
        <f>IFERROR(__xludf.DUMMYFUNCTION("""COMPUTED_VALUE"""),372.4)</f>
        <v>372.4</v>
      </c>
      <c r="K1327" s="25">
        <f>IFERROR(__xludf.DUMMYFUNCTION("""COMPUTED_VALUE"""),352.05)</f>
        <v>352.05</v>
      </c>
      <c r="L1327" s="25">
        <f>IFERROR(__xludf.DUMMYFUNCTION("""COMPUTED_VALUE"""),369.0)</f>
        <v>369</v>
      </c>
      <c r="M1327" s="25">
        <f>IFERROR(__xludf.DUMMYFUNCTION("""COMPUTED_VALUE"""),1844732.0)</f>
        <v>1844732</v>
      </c>
    </row>
    <row r="1328">
      <c r="A1328" s="26">
        <f>IFERROR(__xludf.DUMMYFUNCTION("""COMPUTED_VALUE"""),40325.645833333336)</f>
        <v>40325.64583</v>
      </c>
      <c r="B1328" s="9">
        <f>IFERROR(__xludf.DUMMYFUNCTION("""COMPUTED_VALUE"""),328.48)</f>
        <v>328.48</v>
      </c>
      <c r="C1328" s="9">
        <f>IFERROR(__xludf.DUMMYFUNCTION("""COMPUTED_VALUE"""),333.0)</f>
        <v>333</v>
      </c>
      <c r="D1328" s="9">
        <f>IFERROR(__xludf.DUMMYFUNCTION("""COMPUTED_VALUE"""),324.39)</f>
        <v>324.39</v>
      </c>
      <c r="E1328" s="9">
        <f>IFERROR(__xludf.DUMMYFUNCTION("""COMPUTED_VALUE"""),330.42)</f>
        <v>330.42</v>
      </c>
      <c r="F1328" s="9">
        <f>IFERROR(__xludf.DUMMYFUNCTION("""COMPUTED_VALUE"""),1414087.0)</f>
        <v>1414087</v>
      </c>
      <c r="H1328" s="27">
        <f>IFERROR(__xludf.DUMMYFUNCTION("""COMPUTED_VALUE"""),40325.645833333336)</f>
        <v>40325.64583</v>
      </c>
      <c r="I1328" s="25">
        <f>IFERROR(__xludf.DUMMYFUNCTION("""COMPUTED_VALUE"""),367.5)</f>
        <v>367.5</v>
      </c>
      <c r="J1328" s="25">
        <f>IFERROR(__xludf.DUMMYFUNCTION("""COMPUTED_VALUE"""),374.98)</f>
        <v>374.98</v>
      </c>
      <c r="K1328" s="25">
        <f>IFERROR(__xludf.DUMMYFUNCTION("""COMPUTED_VALUE"""),363.6)</f>
        <v>363.6</v>
      </c>
      <c r="L1328" s="25">
        <f>IFERROR(__xludf.DUMMYFUNCTION("""COMPUTED_VALUE"""),370.92)</f>
        <v>370.92</v>
      </c>
      <c r="M1328" s="25">
        <f>IFERROR(__xludf.DUMMYFUNCTION("""COMPUTED_VALUE"""),3441936.0)</f>
        <v>3441936</v>
      </c>
    </row>
    <row r="1329">
      <c r="A1329" s="26">
        <f>IFERROR(__xludf.DUMMYFUNCTION("""COMPUTED_VALUE"""),40326.645833333336)</f>
        <v>40326.64583</v>
      </c>
      <c r="B1329" s="9">
        <f>IFERROR(__xludf.DUMMYFUNCTION("""COMPUTED_VALUE"""),333.76)</f>
        <v>333.76</v>
      </c>
      <c r="C1329" s="9">
        <f>IFERROR(__xludf.DUMMYFUNCTION("""COMPUTED_VALUE"""),335.55)</f>
        <v>335.55</v>
      </c>
      <c r="D1329" s="9">
        <f>IFERROR(__xludf.DUMMYFUNCTION("""COMPUTED_VALUE"""),329.66)</f>
        <v>329.66</v>
      </c>
      <c r="E1329" s="9">
        <f>IFERROR(__xludf.DUMMYFUNCTION("""COMPUTED_VALUE"""),334.68)</f>
        <v>334.68</v>
      </c>
      <c r="F1329" s="9">
        <f>IFERROR(__xludf.DUMMYFUNCTION("""COMPUTED_VALUE"""),849249.0)</f>
        <v>849249</v>
      </c>
      <c r="H1329" s="27">
        <f>IFERROR(__xludf.DUMMYFUNCTION("""COMPUTED_VALUE"""),40326.645833333336)</f>
        <v>40326.64583</v>
      </c>
      <c r="I1329" s="25">
        <f>IFERROR(__xludf.DUMMYFUNCTION("""COMPUTED_VALUE"""),374.9)</f>
        <v>374.9</v>
      </c>
      <c r="J1329" s="25">
        <f>IFERROR(__xludf.DUMMYFUNCTION("""COMPUTED_VALUE"""),376.75)</f>
        <v>376.75</v>
      </c>
      <c r="K1329" s="25">
        <f>IFERROR(__xludf.DUMMYFUNCTION("""COMPUTED_VALUE"""),367.75)</f>
        <v>367.75</v>
      </c>
      <c r="L1329" s="25">
        <f>IFERROR(__xludf.DUMMYFUNCTION("""COMPUTED_VALUE"""),375.4)</f>
        <v>375.4</v>
      </c>
      <c r="M1329" s="25">
        <f>IFERROR(__xludf.DUMMYFUNCTION("""COMPUTED_VALUE"""),1239687.0)</f>
        <v>1239687</v>
      </c>
    </row>
    <row r="1330">
      <c r="A1330" s="26">
        <f>IFERROR(__xludf.DUMMYFUNCTION("""COMPUTED_VALUE"""),40329.645833333336)</f>
        <v>40329.64583</v>
      </c>
      <c r="B1330" s="9">
        <f>IFERROR(__xludf.DUMMYFUNCTION("""COMPUTED_VALUE"""),341.88)</f>
        <v>341.88</v>
      </c>
      <c r="C1330" s="9">
        <f>IFERROR(__xludf.DUMMYFUNCTION("""COMPUTED_VALUE"""),341.88)</f>
        <v>341.88</v>
      </c>
      <c r="D1330" s="9">
        <f>IFERROR(__xludf.DUMMYFUNCTION("""COMPUTED_VALUE"""),328.07)</f>
        <v>328.07</v>
      </c>
      <c r="E1330" s="9">
        <f>IFERROR(__xludf.DUMMYFUNCTION("""COMPUTED_VALUE"""),332.25)</f>
        <v>332.25</v>
      </c>
      <c r="F1330" s="9">
        <f>IFERROR(__xludf.DUMMYFUNCTION("""COMPUTED_VALUE"""),877594.0)</f>
        <v>877594</v>
      </c>
      <c r="H1330" s="27">
        <f>IFERROR(__xludf.DUMMYFUNCTION("""COMPUTED_VALUE"""),40329.645833333336)</f>
        <v>40329.64583</v>
      </c>
      <c r="I1330" s="25">
        <f>IFERROR(__xludf.DUMMYFUNCTION("""COMPUTED_VALUE"""),374.25)</f>
        <v>374.25</v>
      </c>
      <c r="J1330" s="25">
        <f>IFERROR(__xludf.DUMMYFUNCTION("""COMPUTED_VALUE"""),376.45)</f>
        <v>376.45</v>
      </c>
      <c r="K1330" s="25">
        <f>IFERROR(__xludf.DUMMYFUNCTION("""COMPUTED_VALUE"""),369.0)</f>
        <v>369</v>
      </c>
      <c r="L1330" s="25">
        <f>IFERROR(__xludf.DUMMYFUNCTION("""COMPUTED_VALUE"""),371.53)</f>
        <v>371.53</v>
      </c>
      <c r="M1330" s="25">
        <f>IFERROR(__xludf.DUMMYFUNCTION("""COMPUTED_VALUE"""),1663830.0)</f>
        <v>1663830</v>
      </c>
    </row>
    <row r="1331">
      <c r="A1331" s="26">
        <f>IFERROR(__xludf.DUMMYFUNCTION("""COMPUTED_VALUE"""),40330.645833333336)</f>
        <v>40330.64583</v>
      </c>
      <c r="B1331" s="9">
        <f>IFERROR(__xludf.DUMMYFUNCTION("""COMPUTED_VALUE"""),331.88)</f>
        <v>331.88</v>
      </c>
      <c r="C1331" s="9">
        <f>IFERROR(__xludf.DUMMYFUNCTION("""COMPUTED_VALUE"""),332.19)</f>
        <v>332.19</v>
      </c>
      <c r="D1331" s="9">
        <f>IFERROR(__xludf.DUMMYFUNCTION("""COMPUTED_VALUE"""),327.2)</f>
        <v>327.2</v>
      </c>
      <c r="E1331" s="9">
        <f>IFERROR(__xludf.DUMMYFUNCTION("""COMPUTED_VALUE"""),328.04)</f>
        <v>328.04</v>
      </c>
      <c r="F1331" s="9">
        <f>IFERROR(__xludf.DUMMYFUNCTION("""COMPUTED_VALUE"""),722861.0)</f>
        <v>722861</v>
      </c>
      <c r="H1331" s="27">
        <f>IFERROR(__xludf.DUMMYFUNCTION("""COMPUTED_VALUE"""),40330.645833333336)</f>
        <v>40330.64583</v>
      </c>
      <c r="I1331" s="25">
        <f>IFERROR(__xludf.DUMMYFUNCTION("""COMPUTED_VALUE"""),371.53)</f>
        <v>371.53</v>
      </c>
      <c r="J1331" s="25">
        <f>IFERROR(__xludf.DUMMYFUNCTION("""COMPUTED_VALUE"""),375.98)</f>
        <v>375.98</v>
      </c>
      <c r="K1331" s="25">
        <f>IFERROR(__xludf.DUMMYFUNCTION("""COMPUTED_VALUE"""),367.35)</f>
        <v>367.35</v>
      </c>
      <c r="L1331" s="25">
        <f>IFERROR(__xludf.DUMMYFUNCTION("""COMPUTED_VALUE"""),369.6)</f>
        <v>369.6</v>
      </c>
      <c r="M1331" s="25">
        <f>IFERROR(__xludf.DUMMYFUNCTION("""COMPUTED_VALUE"""),1568456.0)</f>
        <v>1568456</v>
      </c>
    </row>
    <row r="1332">
      <c r="A1332" s="26">
        <f>IFERROR(__xludf.DUMMYFUNCTION("""COMPUTED_VALUE"""),40331.645833333336)</f>
        <v>40331.64583</v>
      </c>
      <c r="B1332" s="9">
        <f>IFERROR(__xludf.DUMMYFUNCTION("""COMPUTED_VALUE"""),329.38)</f>
        <v>329.38</v>
      </c>
      <c r="C1332" s="9">
        <f>IFERROR(__xludf.DUMMYFUNCTION("""COMPUTED_VALUE"""),331.49)</f>
        <v>331.49</v>
      </c>
      <c r="D1332" s="9">
        <f>IFERROR(__xludf.DUMMYFUNCTION("""COMPUTED_VALUE"""),328.01)</f>
        <v>328.01</v>
      </c>
      <c r="E1332" s="9">
        <f>IFERROR(__xludf.DUMMYFUNCTION("""COMPUTED_VALUE"""),330.03)</f>
        <v>330.03</v>
      </c>
      <c r="F1332" s="9">
        <f>IFERROR(__xludf.DUMMYFUNCTION("""COMPUTED_VALUE"""),819643.0)</f>
        <v>819643</v>
      </c>
      <c r="H1332" s="27">
        <f>IFERROR(__xludf.DUMMYFUNCTION("""COMPUTED_VALUE"""),40331.645833333336)</f>
        <v>40331.64583</v>
      </c>
      <c r="I1332" s="25">
        <f>IFERROR(__xludf.DUMMYFUNCTION("""COMPUTED_VALUE"""),368.9)</f>
        <v>368.9</v>
      </c>
      <c r="J1332" s="25">
        <f>IFERROR(__xludf.DUMMYFUNCTION("""COMPUTED_VALUE"""),379.75)</f>
        <v>379.75</v>
      </c>
      <c r="K1332" s="25">
        <f>IFERROR(__xludf.DUMMYFUNCTION("""COMPUTED_VALUE"""),368.15)</f>
        <v>368.15</v>
      </c>
      <c r="L1332" s="25">
        <f>IFERROR(__xludf.DUMMYFUNCTION("""COMPUTED_VALUE"""),377.13)</f>
        <v>377.13</v>
      </c>
      <c r="M1332" s="25">
        <f>IFERROR(__xludf.DUMMYFUNCTION("""COMPUTED_VALUE"""),1384665.0)</f>
        <v>1384665</v>
      </c>
    </row>
    <row r="1333">
      <c r="A1333" s="26">
        <f>IFERROR(__xludf.DUMMYFUNCTION("""COMPUTED_VALUE"""),40332.645833333336)</f>
        <v>40332.64583</v>
      </c>
      <c r="B1333" s="9">
        <f>IFERROR(__xludf.DUMMYFUNCTION("""COMPUTED_VALUE"""),332.5)</f>
        <v>332.5</v>
      </c>
      <c r="C1333" s="9">
        <f>IFERROR(__xludf.DUMMYFUNCTION("""COMPUTED_VALUE"""),338.23)</f>
        <v>338.23</v>
      </c>
      <c r="D1333" s="9">
        <f>IFERROR(__xludf.DUMMYFUNCTION("""COMPUTED_VALUE"""),332.5)</f>
        <v>332.5</v>
      </c>
      <c r="E1333" s="9">
        <f>IFERROR(__xludf.DUMMYFUNCTION("""COMPUTED_VALUE"""),337.25)</f>
        <v>337.25</v>
      </c>
      <c r="F1333" s="9">
        <f>IFERROR(__xludf.DUMMYFUNCTION("""COMPUTED_VALUE"""),689637.0)</f>
        <v>689637</v>
      </c>
      <c r="H1333" s="27">
        <f>IFERROR(__xludf.DUMMYFUNCTION("""COMPUTED_VALUE"""),40332.645833333336)</f>
        <v>40332.64583</v>
      </c>
      <c r="I1333" s="25">
        <f>IFERROR(__xludf.DUMMYFUNCTION("""COMPUTED_VALUE"""),380.0)</f>
        <v>380</v>
      </c>
      <c r="J1333" s="25">
        <f>IFERROR(__xludf.DUMMYFUNCTION("""COMPUTED_VALUE"""),384.5)</f>
        <v>384.5</v>
      </c>
      <c r="K1333" s="25">
        <f>IFERROR(__xludf.DUMMYFUNCTION("""COMPUTED_VALUE"""),372.55)</f>
        <v>372.55</v>
      </c>
      <c r="L1333" s="25">
        <f>IFERROR(__xludf.DUMMYFUNCTION("""COMPUTED_VALUE"""),382.73)</f>
        <v>382.73</v>
      </c>
      <c r="M1333" s="25">
        <f>IFERROR(__xludf.DUMMYFUNCTION("""COMPUTED_VALUE"""),842217.0)</f>
        <v>842217</v>
      </c>
    </row>
    <row r="1334">
      <c r="A1334" s="26">
        <f>IFERROR(__xludf.DUMMYFUNCTION("""COMPUTED_VALUE"""),40333.645833333336)</f>
        <v>40333.64583</v>
      </c>
      <c r="B1334" s="9">
        <f>IFERROR(__xludf.DUMMYFUNCTION("""COMPUTED_VALUE"""),337.25)</f>
        <v>337.25</v>
      </c>
      <c r="C1334" s="9">
        <f>IFERROR(__xludf.DUMMYFUNCTION("""COMPUTED_VALUE"""),342.25)</f>
        <v>342.25</v>
      </c>
      <c r="D1334" s="9">
        <f>IFERROR(__xludf.DUMMYFUNCTION("""COMPUTED_VALUE"""),335.31)</f>
        <v>335.31</v>
      </c>
      <c r="E1334" s="9">
        <f>IFERROR(__xludf.DUMMYFUNCTION("""COMPUTED_VALUE"""),341.12)</f>
        <v>341.12</v>
      </c>
      <c r="F1334" s="9">
        <f>IFERROR(__xludf.DUMMYFUNCTION("""COMPUTED_VALUE"""),618800.0)</f>
        <v>618800</v>
      </c>
      <c r="H1334" s="27">
        <f>IFERROR(__xludf.DUMMYFUNCTION("""COMPUTED_VALUE"""),40333.645833333336)</f>
        <v>40333.64583</v>
      </c>
      <c r="I1334" s="25">
        <f>IFERROR(__xludf.DUMMYFUNCTION("""COMPUTED_VALUE"""),382.73)</f>
        <v>382.73</v>
      </c>
      <c r="J1334" s="25">
        <f>IFERROR(__xludf.DUMMYFUNCTION("""COMPUTED_VALUE"""),384.85)</f>
        <v>384.85</v>
      </c>
      <c r="K1334" s="25">
        <f>IFERROR(__xludf.DUMMYFUNCTION("""COMPUTED_VALUE"""),377.6)</f>
        <v>377.6</v>
      </c>
      <c r="L1334" s="25">
        <f>IFERROR(__xludf.DUMMYFUNCTION("""COMPUTED_VALUE"""),382.67)</f>
        <v>382.67</v>
      </c>
      <c r="M1334" s="25">
        <f>IFERROR(__xludf.DUMMYFUNCTION("""COMPUTED_VALUE"""),684105.0)</f>
        <v>684105</v>
      </c>
    </row>
    <row r="1335">
      <c r="A1335" s="26">
        <f>IFERROR(__xludf.DUMMYFUNCTION("""COMPUTED_VALUE"""),40336.645833333336)</f>
        <v>40336.64583</v>
      </c>
      <c r="B1335" s="9">
        <f>IFERROR(__xludf.DUMMYFUNCTION("""COMPUTED_VALUE"""),338.75)</f>
        <v>338.75</v>
      </c>
      <c r="C1335" s="9">
        <f>IFERROR(__xludf.DUMMYFUNCTION("""COMPUTED_VALUE"""),338.75)</f>
        <v>338.75</v>
      </c>
      <c r="D1335" s="9">
        <f>IFERROR(__xludf.DUMMYFUNCTION("""COMPUTED_VALUE"""),331.25)</f>
        <v>331.25</v>
      </c>
      <c r="E1335" s="9">
        <f>IFERROR(__xludf.DUMMYFUNCTION("""COMPUTED_VALUE"""),333.96)</f>
        <v>333.96</v>
      </c>
      <c r="F1335" s="9">
        <f>IFERROR(__xludf.DUMMYFUNCTION("""COMPUTED_VALUE"""),972744.0)</f>
        <v>972744</v>
      </c>
      <c r="H1335" s="27">
        <f>IFERROR(__xludf.DUMMYFUNCTION("""COMPUTED_VALUE"""),40336.645833333336)</f>
        <v>40336.64583</v>
      </c>
      <c r="I1335" s="25">
        <f>IFERROR(__xludf.DUMMYFUNCTION("""COMPUTED_VALUE"""),374.95)</f>
        <v>374.95</v>
      </c>
      <c r="J1335" s="25">
        <f>IFERROR(__xludf.DUMMYFUNCTION("""COMPUTED_VALUE"""),378.9)</f>
        <v>378.9</v>
      </c>
      <c r="K1335" s="25">
        <f>IFERROR(__xludf.DUMMYFUNCTION("""COMPUTED_VALUE"""),368.0)</f>
        <v>368</v>
      </c>
      <c r="L1335" s="25">
        <f>IFERROR(__xludf.DUMMYFUNCTION("""COMPUTED_VALUE"""),376.63)</f>
        <v>376.63</v>
      </c>
      <c r="M1335" s="25">
        <f>IFERROR(__xludf.DUMMYFUNCTION("""COMPUTED_VALUE"""),867461.0)</f>
        <v>867461</v>
      </c>
    </row>
    <row r="1336">
      <c r="A1336" s="26">
        <f>IFERROR(__xludf.DUMMYFUNCTION("""COMPUTED_VALUE"""),40337.645833333336)</f>
        <v>40337.64583</v>
      </c>
      <c r="B1336" s="9">
        <f>IFERROR(__xludf.DUMMYFUNCTION("""COMPUTED_VALUE"""),333.96)</f>
        <v>333.96</v>
      </c>
      <c r="C1336" s="9">
        <f>IFERROR(__xludf.DUMMYFUNCTION("""COMPUTED_VALUE"""),336.13)</f>
        <v>336.13</v>
      </c>
      <c r="D1336" s="9">
        <f>IFERROR(__xludf.DUMMYFUNCTION("""COMPUTED_VALUE"""),330.98)</f>
        <v>330.98</v>
      </c>
      <c r="E1336" s="9">
        <f>IFERROR(__xludf.DUMMYFUNCTION("""COMPUTED_VALUE"""),331.81)</f>
        <v>331.81</v>
      </c>
      <c r="F1336" s="9">
        <f>IFERROR(__xludf.DUMMYFUNCTION("""COMPUTED_VALUE"""),831393.0)</f>
        <v>831393</v>
      </c>
      <c r="H1336" s="27">
        <f>IFERROR(__xludf.DUMMYFUNCTION("""COMPUTED_VALUE"""),40337.645833333336)</f>
        <v>40337.64583</v>
      </c>
      <c r="I1336" s="25">
        <f>IFERROR(__xludf.DUMMYFUNCTION("""COMPUTED_VALUE"""),377.0)</f>
        <v>377</v>
      </c>
      <c r="J1336" s="25">
        <f>IFERROR(__xludf.DUMMYFUNCTION("""COMPUTED_VALUE"""),381.0)</f>
        <v>381</v>
      </c>
      <c r="K1336" s="25">
        <f>IFERROR(__xludf.DUMMYFUNCTION("""COMPUTED_VALUE"""),373.5)</f>
        <v>373.5</v>
      </c>
      <c r="L1336" s="25">
        <f>IFERROR(__xludf.DUMMYFUNCTION("""COMPUTED_VALUE"""),375.1)</f>
        <v>375.1</v>
      </c>
      <c r="M1336" s="25">
        <f>IFERROR(__xludf.DUMMYFUNCTION("""COMPUTED_VALUE"""),1121111.0)</f>
        <v>1121111</v>
      </c>
    </row>
    <row r="1337">
      <c r="A1337" s="26">
        <f>IFERROR(__xludf.DUMMYFUNCTION("""COMPUTED_VALUE"""),40338.645833333336)</f>
        <v>40338.64583</v>
      </c>
      <c r="B1337" s="9">
        <f>IFERROR(__xludf.DUMMYFUNCTION("""COMPUTED_VALUE"""),333.5)</f>
        <v>333.5</v>
      </c>
      <c r="C1337" s="9">
        <f>IFERROR(__xludf.DUMMYFUNCTION("""COMPUTED_VALUE"""),333.5)</f>
        <v>333.5</v>
      </c>
      <c r="D1337" s="9">
        <f>IFERROR(__xludf.DUMMYFUNCTION("""COMPUTED_VALUE"""),327.06)</f>
        <v>327.06</v>
      </c>
      <c r="E1337" s="9">
        <f>IFERROR(__xludf.DUMMYFUNCTION("""COMPUTED_VALUE"""),328.12)</f>
        <v>328.12</v>
      </c>
      <c r="F1337" s="9">
        <f>IFERROR(__xludf.DUMMYFUNCTION("""COMPUTED_VALUE"""),678390.0)</f>
        <v>678390</v>
      </c>
      <c r="H1337" s="27">
        <f>IFERROR(__xludf.DUMMYFUNCTION("""COMPUTED_VALUE"""),40338.645833333336)</f>
        <v>40338.64583</v>
      </c>
      <c r="I1337" s="25">
        <f>IFERROR(__xludf.DUMMYFUNCTION("""COMPUTED_VALUE"""),376.0)</f>
        <v>376</v>
      </c>
      <c r="J1337" s="25">
        <f>IFERROR(__xludf.DUMMYFUNCTION("""COMPUTED_VALUE"""),379.28)</f>
        <v>379.28</v>
      </c>
      <c r="K1337" s="25">
        <f>IFERROR(__xludf.DUMMYFUNCTION("""COMPUTED_VALUE"""),365.5)</f>
        <v>365.5</v>
      </c>
      <c r="L1337" s="25">
        <f>IFERROR(__xludf.DUMMYFUNCTION("""COMPUTED_VALUE"""),366.53)</f>
        <v>366.53</v>
      </c>
      <c r="M1337" s="25">
        <f>IFERROR(__xludf.DUMMYFUNCTION("""COMPUTED_VALUE"""),2433700.0)</f>
        <v>2433700</v>
      </c>
    </row>
    <row r="1338">
      <c r="A1338" s="26">
        <f>IFERROR(__xludf.DUMMYFUNCTION("""COMPUTED_VALUE"""),40339.645833333336)</f>
        <v>40339.64583</v>
      </c>
      <c r="B1338" s="9">
        <f>IFERROR(__xludf.DUMMYFUNCTION("""COMPUTED_VALUE"""),328.15)</f>
        <v>328.15</v>
      </c>
      <c r="C1338" s="9">
        <f>IFERROR(__xludf.DUMMYFUNCTION("""COMPUTED_VALUE"""),331.75)</f>
        <v>331.75</v>
      </c>
      <c r="D1338" s="9">
        <f>IFERROR(__xludf.DUMMYFUNCTION("""COMPUTED_VALUE"""),327.57)</f>
        <v>327.57</v>
      </c>
      <c r="E1338" s="9">
        <f>IFERROR(__xludf.DUMMYFUNCTION("""COMPUTED_VALUE"""),330.69)</f>
        <v>330.69</v>
      </c>
      <c r="F1338" s="9">
        <f>IFERROR(__xludf.DUMMYFUNCTION("""COMPUTED_VALUE"""),648431.0)</f>
        <v>648431</v>
      </c>
      <c r="H1338" s="27">
        <f>IFERROR(__xludf.DUMMYFUNCTION("""COMPUTED_VALUE"""),40339.645833333336)</f>
        <v>40339.64583</v>
      </c>
      <c r="I1338" s="25">
        <f>IFERROR(__xludf.DUMMYFUNCTION("""COMPUTED_VALUE"""),365.0)</f>
        <v>365</v>
      </c>
      <c r="J1338" s="25">
        <f>IFERROR(__xludf.DUMMYFUNCTION("""COMPUTED_VALUE"""),376.5)</f>
        <v>376.5</v>
      </c>
      <c r="K1338" s="25">
        <f>IFERROR(__xludf.DUMMYFUNCTION("""COMPUTED_VALUE"""),365.0)</f>
        <v>365</v>
      </c>
      <c r="L1338" s="25">
        <f>IFERROR(__xludf.DUMMYFUNCTION("""COMPUTED_VALUE"""),375.25)</f>
        <v>375.25</v>
      </c>
      <c r="M1338" s="25">
        <f>IFERROR(__xludf.DUMMYFUNCTION("""COMPUTED_VALUE"""),898018.0)</f>
        <v>898018</v>
      </c>
    </row>
    <row r="1339">
      <c r="A1339" s="26">
        <f>IFERROR(__xludf.DUMMYFUNCTION("""COMPUTED_VALUE"""),40340.645833333336)</f>
        <v>40340.64583</v>
      </c>
      <c r="B1339" s="9">
        <f>IFERROR(__xludf.DUMMYFUNCTION("""COMPUTED_VALUE"""),333.11)</f>
        <v>333.11</v>
      </c>
      <c r="C1339" s="9">
        <f>IFERROR(__xludf.DUMMYFUNCTION("""COMPUTED_VALUE"""),336.36)</f>
        <v>336.36</v>
      </c>
      <c r="D1339" s="9">
        <f>IFERROR(__xludf.DUMMYFUNCTION("""COMPUTED_VALUE"""),327.63)</f>
        <v>327.63</v>
      </c>
      <c r="E1339" s="9">
        <f>IFERROR(__xludf.DUMMYFUNCTION("""COMPUTED_VALUE"""),328.84)</f>
        <v>328.84</v>
      </c>
      <c r="F1339" s="9">
        <f>IFERROR(__xludf.DUMMYFUNCTION("""COMPUTED_VALUE"""),1239108.0)</f>
        <v>1239108</v>
      </c>
      <c r="H1339" s="27">
        <f>IFERROR(__xludf.DUMMYFUNCTION("""COMPUTED_VALUE"""),40340.645833333336)</f>
        <v>40340.64583</v>
      </c>
      <c r="I1339" s="25">
        <f>IFERROR(__xludf.DUMMYFUNCTION("""COMPUTED_VALUE"""),380.9)</f>
        <v>380.9</v>
      </c>
      <c r="J1339" s="25">
        <f>IFERROR(__xludf.DUMMYFUNCTION("""COMPUTED_VALUE"""),381.65)</f>
        <v>381.65</v>
      </c>
      <c r="K1339" s="25">
        <f>IFERROR(__xludf.DUMMYFUNCTION("""COMPUTED_VALUE"""),375.5)</f>
        <v>375.5</v>
      </c>
      <c r="L1339" s="25">
        <f>IFERROR(__xludf.DUMMYFUNCTION("""COMPUTED_VALUE"""),379.55)</f>
        <v>379.55</v>
      </c>
      <c r="M1339" s="25">
        <f>IFERROR(__xludf.DUMMYFUNCTION("""COMPUTED_VALUE"""),1618512.0)</f>
        <v>1618512</v>
      </c>
    </row>
    <row r="1340">
      <c r="A1340" s="26">
        <f>IFERROR(__xludf.DUMMYFUNCTION("""COMPUTED_VALUE"""),40343.645833333336)</f>
        <v>40343.64583</v>
      </c>
      <c r="B1340" s="9">
        <f>IFERROR(__xludf.DUMMYFUNCTION("""COMPUTED_VALUE"""),331.26)</f>
        <v>331.26</v>
      </c>
      <c r="C1340" s="9">
        <f>IFERROR(__xludf.DUMMYFUNCTION("""COMPUTED_VALUE"""),344.86)</f>
        <v>344.86</v>
      </c>
      <c r="D1340" s="9">
        <f>IFERROR(__xludf.DUMMYFUNCTION("""COMPUTED_VALUE"""),331.26)</f>
        <v>331.26</v>
      </c>
      <c r="E1340" s="9">
        <f>IFERROR(__xludf.DUMMYFUNCTION("""COMPUTED_VALUE"""),343.3)</f>
        <v>343.3</v>
      </c>
      <c r="F1340" s="9">
        <f>IFERROR(__xludf.DUMMYFUNCTION("""COMPUTED_VALUE"""),1216106.0)</f>
        <v>1216106</v>
      </c>
      <c r="H1340" s="27">
        <f>IFERROR(__xludf.DUMMYFUNCTION("""COMPUTED_VALUE"""),40343.645833333336)</f>
        <v>40343.64583</v>
      </c>
      <c r="I1340" s="25">
        <f>IFERROR(__xludf.DUMMYFUNCTION("""COMPUTED_VALUE"""),381.67)</f>
        <v>381.67</v>
      </c>
      <c r="J1340" s="25">
        <f>IFERROR(__xludf.DUMMYFUNCTION("""COMPUTED_VALUE"""),393.55)</f>
        <v>393.55</v>
      </c>
      <c r="K1340" s="25">
        <f>IFERROR(__xludf.DUMMYFUNCTION("""COMPUTED_VALUE"""),379.0)</f>
        <v>379</v>
      </c>
      <c r="L1340" s="25">
        <f>IFERROR(__xludf.DUMMYFUNCTION("""COMPUTED_VALUE"""),390.5)</f>
        <v>390.5</v>
      </c>
      <c r="M1340" s="25">
        <f>IFERROR(__xludf.DUMMYFUNCTION("""COMPUTED_VALUE"""),1775246.0)</f>
        <v>1775246</v>
      </c>
    </row>
    <row r="1341">
      <c r="A1341" s="26">
        <f>IFERROR(__xludf.DUMMYFUNCTION("""COMPUTED_VALUE"""),40344.645833333336)</f>
        <v>40344.64583</v>
      </c>
      <c r="B1341" s="9">
        <f>IFERROR(__xludf.DUMMYFUNCTION("""COMPUTED_VALUE"""),343.31)</f>
        <v>343.31</v>
      </c>
      <c r="C1341" s="9">
        <f>IFERROR(__xludf.DUMMYFUNCTION("""COMPUTED_VALUE"""),347.5)</f>
        <v>347.5</v>
      </c>
      <c r="D1341" s="9">
        <f>IFERROR(__xludf.DUMMYFUNCTION("""COMPUTED_VALUE"""),340.26)</f>
        <v>340.26</v>
      </c>
      <c r="E1341" s="9">
        <f>IFERROR(__xludf.DUMMYFUNCTION("""COMPUTED_VALUE"""),341.84)</f>
        <v>341.84</v>
      </c>
      <c r="F1341" s="9">
        <f>IFERROR(__xludf.DUMMYFUNCTION("""COMPUTED_VALUE"""),993289.0)</f>
        <v>993289</v>
      </c>
      <c r="H1341" s="27">
        <f>IFERROR(__xludf.DUMMYFUNCTION("""COMPUTED_VALUE"""),40344.645833333336)</f>
        <v>40344.64583</v>
      </c>
      <c r="I1341" s="25">
        <f>IFERROR(__xludf.DUMMYFUNCTION("""COMPUTED_VALUE"""),378.33)</f>
        <v>378.33</v>
      </c>
      <c r="J1341" s="25">
        <f>IFERROR(__xludf.DUMMYFUNCTION("""COMPUTED_VALUE"""),388.85)</f>
        <v>388.85</v>
      </c>
      <c r="K1341" s="25">
        <f>IFERROR(__xludf.DUMMYFUNCTION("""COMPUTED_VALUE"""),378.33)</f>
        <v>378.33</v>
      </c>
      <c r="L1341" s="25">
        <f>IFERROR(__xludf.DUMMYFUNCTION("""COMPUTED_VALUE"""),383.05)</f>
        <v>383.05</v>
      </c>
      <c r="M1341" s="25">
        <f>IFERROR(__xludf.DUMMYFUNCTION("""COMPUTED_VALUE"""),1321488.0)</f>
        <v>1321488</v>
      </c>
    </row>
    <row r="1342">
      <c r="A1342" s="26">
        <f>IFERROR(__xludf.DUMMYFUNCTION("""COMPUTED_VALUE"""),40345.645833333336)</f>
        <v>40345.64583</v>
      </c>
      <c r="B1342" s="9">
        <f>IFERROR(__xludf.DUMMYFUNCTION("""COMPUTED_VALUE"""),344.36)</f>
        <v>344.36</v>
      </c>
      <c r="C1342" s="9">
        <f>IFERROR(__xludf.DUMMYFUNCTION("""COMPUTED_VALUE"""),347.44)</f>
        <v>347.44</v>
      </c>
      <c r="D1342" s="9">
        <f>IFERROR(__xludf.DUMMYFUNCTION("""COMPUTED_VALUE"""),342.75)</f>
        <v>342.75</v>
      </c>
      <c r="E1342" s="9">
        <f>IFERROR(__xludf.DUMMYFUNCTION("""COMPUTED_VALUE"""),346.18)</f>
        <v>346.18</v>
      </c>
      <c r="F1342" s="9">
        <f>IFERROR(__xludf.DUMMYFUNCTION("""COMPUTED_VALUE"""),715008.0)</f>
        <v>715008</v>
      </c>
      <c r="H1342" s="27">
        <f>IFERROR(__xludf.DUMMYFUNCTION("""COMPUTED_VALUE"""),40345.645833333336)</f>
        <v>40345.64583</v>
      </c>
      <c r="I1342" s="25">
        <f>IFERROR(__xludf.DUMMYFUNCTION("""COMPUTED_VALUE"""),388.55)</f>
        <v>388.55</v>
      </c>
      <c r="J1342" s="25">
        <f>IFERROR(__xludf.DUMMYFUNCTION("""COMPUTED_VALUE"""),389.98)</f>
        <v>389.98</v>
      </c>
      <c r="K1342" s="25">
        <f>IFERROR(__xludf.DUMMYFUNCTION("""COMPUTED_VALUE"""),383.65)</f>
        <v>383.65</v>
      </c>
      <c r="L1342" s="25">
        <f>IFERROR(__xludf.DUMMYFUNCTION("""COMPUTED_VALUE"""),387.4)</f>
        <v>387.4</v>
      </c>
      <c r="M1342" s="25">
        <f>IFERROR(__xludf.DUMMYFUNCTION("""COMPUTED_VALUE"""),1164408.0)</f>
        <v>1164408</v>
      </c>
    </row>
    <row r="1343">
      <c r="A1343" s="26">
        <f>IFERROR(__xludf.DUMMYFUNCTION("""COMPUTED_VALUE"""),40346.645833333336)</f>
        <v>40346.64583</v>
      </c>
      <c r="B1343" s="9">
        <f>IFERROR(__xludf.DUMMYFUNCTION("""COMPUTED_VALUE"""),347.0)</f>
        <v>347</v>
      </c>
      <c r="C1343" s="9">
        <f>IFERROR(__xludf.DUMMYFUNCTION("""COMPUTED_VALUE"""),347.98)</f>
        <v>347.98</v>
      </c>
      <c r="D1343" s="9">
        <f>IFERROR(__xludf.DUMMYFUNCTION("""COMPUTED_VALUE"""),342.0)</f>
        <v>342</v>
      </c>
      <c r="E1343" s="9">
        <f>IFERROR(__xludf.DUMMYFUNCTION("""COMPUTED_VALUE"""),345.61)</f>
        <v>345.61</v>
      </c>
      <c r="F1343" s="9">
        <f>IFERROR(__xludf.DUMMYFUNCTION("""COMPUTED_VALUE"""),704905.0)</f>
        <v>704905</v>
      </c>
      <c r="H1343" s="27">
        <f>IFERROR(__xludf.DUMMYFUNCTION("""COMPUTED_VALUE"""),40346.645833333336)</f>
        <v>40346.64583</v>
      </c>
      <c r="I1343" s="25">
        <f>IFERROR(__xludf.DUMMYFUNCTION("""COMPUTED_VALUE"""),388.5)</f>
        <v>388.5</v>
      </c>
      <c r="J1343" s="25">
        <f>IFERROR(__xludf.DUMMYFUNCTION("""COMPUTED_VALUE"""),392.4)</f>
        <v>392.4</v>
      </c>
      <c r="K1343" s="25">
        <f>IFERROR(__xludf.DUMMYFUNCTION("""COMPUTED_VALUE"""),381.85)</f>
        <v>381.85</v>
      </c>
      <c r="L1343" s="25">
        <f>IFERROR(__xludf.DUMMYFUNCTION("""COMPUTED_VALUE"""),387.65)</f>
        <v>387.65</v>
      </c>
      <c r="M1343" s="25">
        <f>IFERROR(__xludf.DUMMYFUNCTION("""COMPUTED_VALUE"""),764460.0)</f>
        <v>764460</v>
      </c>
    </row>
    <row r="1344">
      <c r="A1344" s="26">
        <f>IFERROR(__xludf.DUMMYFUNCTION("""COMPUTED_VALUE"""),40347.645833333336)</f>
        <v>40347.64583</v>
      </c>
      <c r="B1344" s="9">
        <f>IFERROR(__xludf.DUMMYFUNCTION("""COMPUTED_VALUE"""),338.48)</f>
        <v>338.48</v>
      </c>
      <c r="C1344" s="9">
        <f>IFERROR(__xludf.DUMMYFUNCTION("""COMPUTED_VALUE"""),351.88)</f>
        <v>351.88</v>
      </c>
      <c r="D1344" s="9">
        <f>IFERROR(__xludf.DUMMYFUNCTION("""COMPUTED_VALUE"""),338.48)</f>
        <v>338.48</v>
      </c>
      <c r="E1344" s="9">
        <f>IFERROR(__xludf.DUMMYFUNCTION("""COMPUTED_VALUE"""),348.28)</f>
        <v>348.28</v>
      </c>
      <c r="F1344" s="9">
        <f>IFERROR(__xludf.DUMMYFUNCTION("""COMPUTED_VALUE"""),1044529.0)</f>
        <v>1044529</v>
      </c>
      <c r="H1344" s="27">
        <f>IFERROR(__xludf.DUMMYFUNCTION("""COMPUTED_VALUE"""),40347.645833333336)</f>
        <v>40347.64583</v>
      </c>
      <c r="I1344" s="25">
        <f>IFERROR(__xludf.DUMMYFUNCTION("""COMPUTED_VALUE"""),387.65)</f>
        <v>387.65</v>
      </c>
      <c r="J1344" s="25">
        <f>IFERROR(__xludf.DUMMYFUNCTION("""COMPUTED_VALUE"""),394.45)</f>
        <v>394.45</v>
      </c>
      <c r="K1344" s="25">
        <f>IFERROR(__xludf.DUMMYFUNCTION("""COMPUTED_VALUE"""),386.13)</f>
        <v>386.13</v>
      </c>
      <c r="L1344" s="25">
        <f>IFERROR(__xludf.DUMMYFUNCTION("""COMPUTED_VALUE"""),391.6)</f>
        <v>391.6</v>
      </c>
      <c r="M1344" s="25">
        <f>IFERROR(__xludf.DUMMYFUNCTION("""COMPUTED_VALUE"""),1112836.0)</f>
        <v>1112836</v>
      </c>
    </row>
    <row r="1345">
      <c r="A1345" s="26">
        <f>IFERROR(__xludf.DUMMYFUNCTION("""COMPUTED_VALUE"""),40350.645833333336)</f>
        <v>40350.64583</v>
      </c>
      <c r="B1345" s="9">
        <f>IFERROR(__xludf.DUMMYFUNCTION("""COMPUTED_VALUE"""),349.93)</f>
        <v>349.93</v>
      </c>
      <c r="C1345" s="9">
        <f>IFERROR(__xludf.DUMMYFUNCTION("""COMPUTED_VALUE"""),352.35)</f>
        <v>352.35</v>
      </c>
      <c r="D1345" s="9">
        <f>IFERROR(__xludf.DUMMYFUNCTION("""COMPUTED_VALUE"""),348.91)</f>
        <v>348.91</v>
      </c>
      <c r="E1345" s="9">
        <f>IFERROR(__xludf.DUMMYFUNCTION("""COMPUTED_VALUE"""),350.1)</f>
        <v>350.1</v>
      </c>
      <c r="F1345" s="9">
        <f>IFERROR(__xludf.DUMMYFUNCTION("""COMPUTED_VALUE"""),895594.0)</f>
        <v>895594</v>
      </c>
      <c r="H1345" s="27">
        <f>IFERROR(__xludf.DUMMYFUNCTION("""COMPUTED_VALUE"""),40350.645833333336)</f>
        <v>40350.64583</v>
      </c>
      <c r="I1345" s="25">
        <f>IFERROR(__xludf.DUMMYFUNCTION("""COMPUTED_VALUE"""),396.45)</f>
        <v>396.45</v>
      </c>
      <c r="J1345" s="25">
        <f>IFERROR(__xludf.DUMMYFUNCTION("""COMPUTED_VALUE"""),397.0)</f>
        <v>397</v>
      </c>
      <c r="K1345" s="25">
        <f>IFERROR(__xludf.DUMMYFUNCTION("""COMPUTED_VALUE"""),392.3)</f>
        <v>392.3</v>
      </c>
      <c r="L1345" s="25">
        <f>IFERROR(__xludf.DUMMYFUNCTION("""COMPUTED_VALUE"""),393.85)</f>
        <v>393.85</v>
      </c>
      <c r="M1345" s="25">
        <f>IFERROR(__xludf.DUMMYFUNCTION("""COMPUTED_VALUE"""),953714.0)</f>
        <v>953714</v>
      </c>
    </row>
    <row r="1346">
      <c r="A1346" s="26">
        <f>IFERROR(__xludf.DUMMYFUNCTION("""COMPUTED_VALUE"""),40351.645833333336)</f>
        <v>40351.64583</v>
      </c>
      <c r="B1346" s="9">
        <f>IFERROR(__xludf.DUMMYFUNCTION("""COMPUTED_VALUE"""),348.75)</f>
        <v>348.75</v>
      </c>
      <c r="C1346" s="9">
        <f>IFERROR(__xludf.DUMMYFUNCTION("""COMPUTED_VALUE"""),349.92)</f>
        <v>349.92</v>
      </c>
      <c r="D1346" s="9">
        <f>IFERROR(__xludf.DUMMYFUNCTION("""COMPUTED_VALUE"""),345.0)</f>
        <v>345</v>
      </c>
      <c r="E1346" s="9">
        <f>IFERROR(__xludf.DUMMYFUNCTION("""COMPUTED_VALUE"""),345.89)</f>
        <v>345.89</v>
      </c>
      <c r="F1346" s="9">
        <f>IFERROR(__xludf.DUMMYFUNCTION("""COMPUTED_VALUE"""),595461.0)</f>
        <v>595461</v>
      </c>
      <c r="H1346" s="27">
        <f>IFERROR(__xludf.DUMMYFUNCTION("""COMPUTED_VALUE"""),40351.645833333336)</f>
        <v>40351.64583</v>
      </c>
      <c r="I1346" s="25">
        <f>IFERROR(__xludf.DUMMYFUNCTION("""COMPUTED_VALUE"""),392.5)</f>
        <v>392.5</v>
      </c>
      <c r="J1346" s="25">
        <f>IFERROR(__xludf.DUMMYFUNCTION("""COMPUTED_VALUE"""),393.25)</f>
        <v>393.25</v>
      </c>
      <c r="K1346" s="25">
        <f>IFERROR(__xludf.DUMMYFUNCTION("""COMPUTED_VALUE"""),386.65)</f>
        <v>386.65</v>
      </c>
      <c r="L1346" s="25">
        <f>IFERROR(__xludf.DUMMYFUNCTION("""COMPUTED_VALUE"""),389.33)</f>
        <v>389.33</v>
      </c>
      <c r="M1346" s="25">
        <f>IFERROR(__xludf.DUMMYFUNCTION("""COMPUTED_VALUE"""),734162.0)</f>
        <v>734162</v>
      </c>
    </row>
    <row r="1347">
      <c r="A1347" s="26">
        <f>IFERROR(__xludf.DUMMYFUNCTION("""COMPUTED_VALUE"""),40352.645833333336)</f>
        <v>40352.64583</v>
      </c>
      <c r="B1347" s="9">
        <f>IFERROR(__xludf.DUMMYFUNCTION("""COMPUTED_VALUE"""),343.39)</f>
        <v>343.39</v>
      </c>
      <c r="C1347" s="9">
        <f>IFERROR(__xludf.DUMMYFUNCTION("""COMPUTED_VALUE"""),350.62)</f>
        <v>350.62</v>
      </c>
      <c r="D1347" s="9">
        <f>IFERROR(__xludf.DUMMYFUNCTION("""COMPUTED_VALUE"""),339.73)</f>
        <v>339.73</v>
      </c>
      <c r="E1347" s="9">
        <f>IFERROR(__xludf.DUMMYFUNCTION("""COMPUTED_VALUE"""),349.72)</f>
        <v>349.72</v>
      </c>
      <c r="F1347" s="9">
        <f>IFERROR(__xludf.DUMMYFUNCTION("""COMPUTED_VALUE"""),618511.0)</f>
        <v>618511</v>
      </c>
      <c r="H1347" s="27">
        <f>IFERROR(__xludf.DUMMYFUNCTION("""COMPUTED_VALUE"""),40352.645833333336)</f>
        <v>40352.64583</v>
      </c>
      <c r="I1347" s="25">
        <f>IFERROR(__xludf.DUMMYFUNCTION("""COMPUTED_VALUE"""),385.0)</f>
        <v>385</v>
      </c>
      <c r="J1347" s="25">
        <f>IFERROR(__xludf.DUMMYFUNCTION("""COMPUTED_VALUE"""),394.48)</f>
        <v>394.48</v>
      </c>
      <c r="K1347" s="25">
        <f>IFERROR(__xludf.DUMMYFUNCTION("""COMPUTED_VALUE"""),384.92)</f>
        <v>384.92</v>
      </c>
      <c r="L1347" s="25">
        <f>IFERROR(__xludf.DUMMYFUNCTION("""COMPUTED_VALUE"""),393.15)</f>
        <v>393.15</v>
      </c>
      <c r="M1347" s="25">
        <f>IFERROR(__xludf.DUMMYFUNCTION("""COMPUTED_VALUE"""),1479762.0)</f>
        <v>1479762</v>
      </c>
    </row>
    <row r="1348">
      <c r="A1348" s="26">
        <f>IFERROR(__xludf.DUMMYFUNCTION("""COMPUTED_VALUE"""),40353.645833333336)</f>
        <v>40353.64583</v>
      </c>
      <c r="B1348" s="9">
        <f>IFERROR(__xludf.DUMMYFUNCTION("""COMPUTED_VALUE"""),351.8)</f>
        <v>351.8</v>
      </c>
      <c r="C1348" s="9">
        <f>IFERROR(__xludf.DUMMYFUNCTION("""COMPUTED_VALUE"""),354.21)</f>
        <v>354.21</v>
      </c>
      <c r="D1348" s="9">
        <f>IFERROR(__xludf.DUMMYFUNCTION("""COMPUTED_VALUE"""),347.88)</f>
        <v>347.88</v>
      </c>
      <c r="E1348" s="9">
        <f>IFERROR(__xludf.DUMMYFUNCTION("""COMPUTED_VALUE"""),352.84)</f>
        <v>352.84</v>
      </c>
      <c r="F1348" s="9">
        <f>IFERROR(__xludf.DUMMYFUNCTION("""COMPUTED_VALUE"""),1539513.0)</f>
        <v>1539513</v>
      </c>
      <c r="H1348" s="27">
        <f>IFERROR(__xludf.DUMMYFUNCTION("""COMPUTED_VALUE"""),40353.645833333336)</f>
        <v>40353.64583</v>
      </c>
      <c r="I1348" s="25">
        <f>IFERROR(__xludf.DUMMYFUNCTION("""COMPUTED_VALUE"""),393.15)</f>
        <v>393.15</v>
      </c>
      <c r="J1348" s="25">
        <f>IFERROR(__xludf.DUMMYFUNCTION("""COMPUTED_VALUE"""),394.25)</f>
        <v>394.25</v>
      </c>
      <c r="K1348" s="25">
        <f>IFERROR(__xludf.DUMMYFUNCTION("""COMPUTED_VALUE"""),383.85)</f>
        <v>383.85</v>
      </c>
      <c r="L1348" s="25">
        <f>IFERROR(__xludf.DUMMYFUNCTION("""COMPUTED_VALUE"""),386.73)</f>
        <v>386.73</v>
      </c>
      <c r="M1348" s="25">
        <f>IFERROR(__xludf.DUMMYFUNCTION("""COMPUTED_VALUE"""),1888755.0)</f>
        <v>1888755</v>
      </c>
    </row>
    <row r="1349">
      <c r="A1349" s="26">
        <f>IFERROR(__xludf.DUMMYFUNCTION("""COMPUTED_VALUE"""),40354.645833333336)</f>
        <v>40354.64583</v>
      </c>
      <c r="B1349" s="9">
        <f>IFERROR(__xludf.DUMMYFUNCTION("""COMPUTED_VALUE"""),351.25)</f>
        <v>351.25</v>
      </c>
      <c r="C1349" s="9">
        <f>IFERROR(__xludf.DUMMYFUNCTION("""COMPUTED_VALUE"""),351.49)</f>
        <v>351.49</v>
      </c>
      <c r="D1349" s="9">
        <f>IFERROR(__xludf.DUMMYFUNCTION("""COMPUTED_VALUE"""),346.38)</f>
        <v>346.38</v>
      </c>
      <c r="E1349" s="9">
        <f>IFERROR(__xludf.DUMMYFUNCTION("""COMPUTED_VALUE"""),347.21)</f>
        <v>347.21</v>
      </c>
      <c r="F1349" s="9">
        <f>IFERROR(__xludf.DUMMYFUNCTION("""COMPUTED_VALUE"""),418208.0)</f>
        <v>418208</v>
      </c>
      <c r="H1349" s="27">
        <f>IFERROR(__xludf.DUMMYFUNCTION("""COMPUTED_VALUE"""),40354.645833333336)</f>
        <v>40354.64583</v>
      </c>
      <c r="I1349" s="25">
        <f>IFERROR(__xludf.DUMMYFUNCTION("""COMPUTED_VALUE"""),387.9)</f>
        <v>387.9</v>
      </c>
      <c r="J1349" s="25">
        <f>IFERROR(__xludf.DUMMYFUNCTION("""COMPUTED_VALUE"""),387.9)</f>
        <v>387.9</v>
      </c>
      <c r="K1349" s="25">
        <f>IFERROR(__xludf.DUMMYFUNCTION("""COMPUTED_VALUE"""),378.05)</f>
        <v>378.05</v>
      </c>
      <c r="L1349" s="25">
        <f>IFERROR(__xludf.DUMMYFUNCTION("""COMPUTED_VALUE"""),379.25)</f>
        <v>379.25</v>
      </c>
      <c r="M1349" s="25">
        <f>IFERROR(__xludf.DUMMYFUNCTION("""COMPUTED_VALUE"""),1018661.0)</f>
        <v>1018661</v>
      </c>
    </row>
    <row r="1350">
      <c r="A1350" s="26">
        <f>IFERROR(__xludf.DUMMYFUNCTION("""COMPUTED_VALUE"""),40357.645833333336)</f>
        <v>40357.64583</v>
      </c>
      <c r="B1350" s="9">
        <f>IFERROR(__xludf.DUMMYFUNCTION("""COMPUTED_VALUE"""),346.25)</f>
        <v>346.25</v>
      </c>
      <c r="C1350" s="9">
        <f>IFERROR(__xludf.DUMMYFUNCTION("""COMPUTED_VALUE"""),352.13)</f>
        <v>352.13</v>
      </c>
      <c r="D1350" s="9">
        <f>IFERROR(__xludf.DUMMYFUNCTION("""COMPUTED_VALUE"""),346.25)</f>
        <v>346.25</v>
      </c>
      <c r="E1350" s="9">
        <f>IFERROR(__xludf.DUMMYFUNCTION("""COMPUTED_VALUE"""),351.13)</f>
        <v>351.13</v>
      </c>
      <c r="F1350" s="9">
        <f>IFERROR(__xludf.DUMMYFUNCTION("""COMPUTED_VALUE"""),479271.0)</f>
        <v>479271</v>
      </c>
      <c r="H1350" s="27">
        <f>IFERROR(__xludf.DUMMYFUNCTION("""COMPUTED_VALUE"""),40357.645833333336)</f>
        <v>40357.64583</v>
      </c>
      <c r="I1350" s="25">
        <f>IFERROR(__xludf.DUMMYFUNCTION("""COMPUTED_VALUE"""),379.23)</f>
        <v>379.23</v>
      </c>
      <c r="J1350" s="25">
        <f>IFERROR(__xludf.DUMMYFUNCTION("""COMPUTED_VALUE"""),383.58)</f>
        <v>383.58</v>
      </c>
      <c r="K1350" s="25">
        <f>IFERROR(__xludf.DUMMYFUNCTION("""COMPUTED_VALUE"""),378.8)</f>
        <v>378.8</v>
      </c>
      <c r="L1350" s="25">
        <f>IFERROR(__xludf.DUMMYFUNCTION("""COMPUTED_VALUE"""),382.38)</f>
        <v>382.38</v>
      </c>
      <c r="M1350" s="25">
        <f>IFERROR(__xludf.DUMMYFUNCTION("""COMPUTED_VALUE"""),576562.0)</f>
        <v>576562</v>
      </c>
    </row>
    <row r="1351">
      <c r="A1351" s="26">
        <f>IFERROR(__xludf.DUMMYFUNCTION("""COMPUTED_VALUE"""),40358.645833333336)</f>
        <v>40358.64583</v>
      </c>
      <c r="B1351" s="9">
        <f>IFERROR(__xludf.DUMMYFUNCTION("""COMPUTED_VALUE"""),349.13)</f>
        <v>349.13</v>
      </c>
      <c r="C1351" s="9">
        <f>IFERROR(__xludf.DUMMYFUNCTION("""COMPUTED_VALUE"""),351.7)</f>
        <v>351.7</v>
      </c>
      <c r="D1351" s="9">
        <f>IFERROR(__xludf.DUMMYFUNCTION("""COMPUTED_VALUE"""),345.89)</f>
        <v>345.89</v>
      </c>
      <c r="E1351" s="9">
        <f>IFERROR(__xludf.DUMMYFUNCTION("""COMPUTED_VALUE"""),349.19)</f>
        <v>349.19</v>
      </c>
      <c r="F1351" s="9">
        <f>IFERROR(__xludf.DUMMYFUNCTION("""COMPUTED_VALUE"""),471634.0)</f>
        <v>471634</v>
      </c>
      <c r="H1351" s="27">
        <f>IFERROR(__xludf.DUMMYFUNCTION("""COMPUTED_VALUE"""),40358.645833333336)</f>
        <v>40358.64583</v>
      </c>
      <c r="I1351" s="25">
        <f>IFERROR(__xludf.DUMMYFUNCTION("""COMPUTED_VALUE"""),382.5)</f>
        <v>382.5</v>
      </c>
      <c r="J1351" s="25">
        <f>IFERROR(__xludf.DUMMYFUNCTION("""COMPUTED_VALUE"""),382.5)</f>
        <v>382.5</v>
      </c>
      <c r="K1351" s="25">
        <f>IFERROR(__xludf.DUMMYFUNCTION("""COMPUTED_VALUE"""),374.5)</f>
        <v>374.5</v>
      </c>
      <c r="L1351" s="25">
        <f>IFERROR(__xludf.DUMMYFUNCTION("""COMPUTED_VALUE"""),376.9)</f>
        <v>376.9</v>
      </c>
      <c r="M1351" s="25">
        <f>IFERROR(__xludf.DUMMYFUNCTION("""COMPUTED_VALUE"""),1307331.0)</f>
        <v>1307331</v>
      </c>
    </row>
    <row r="1352">
      <c r="A1352" s="26">
        <f>IFERROR(__xludf.DUMMYFUNCTION("""COMPUTED_VALUE"""),40359.645833333336)</f>
        <v>40359.64583</v>
      </c>
      <c r="B1352" s="9">
        <f>IFERROR(__xludf.DUMMYFUNCTION("""COMPUTED_VALUE"""),347.25)</f>
        <v>347.25</v>
      </c>
      <c r="C1352" s="9">
        <f>IFERROR(__xludf.DUMMYFUNCTION("""COMPUTED_VALUE"""),351.08)</f>
        <v>351.08</v>
      </c>
      <c r="D1352" s="9">
        <f>IFERROR(__xludf.DUMMYFUNCTION("""COMPUTED_VALUE"""),341.5)</f>
        <v>341.5</v>
      </c>
      <c r="E1352" s="9">
        <f>IFERROR(__xludf.DUMMYFUNCTION("""COMPUTED_VALUE"""),348.88)</f>
        <v>348.88</v>
      </c>
      <c r="F1352" s="9">
        <f>IFERROR(__xludf.DUMMYFUNCTION("""COMPUTED_VALUE"""),1181247.0)</f>
        <v>1181247</v>
      </c>
      <c r="H1352" s="27">
        <f>IFERROR(__xludf.DUMMYFUNCTION("""COMPUTED_VALUE"""),40359.645833333336)</f>
        <v>40359.64583</v>
      </c>
      <c r="I1352" s="25">
        <f>IFERROR(__xludf.DUMMYFUNCTION("""COMPUTED_VALUE"""),377.5)</f>
        <v>377.5</v>
      </c>
      <c r="J1352" s="25">
        <f>IFERROR(__xludf.DUMMYFUNCTION("""COMPUTED_VALUE"""),379.95)</f>
        <v>379.95</v>
      </c>
      <c r="K1352" s="25">
        <f>IFERROR(__xludf.DUMMYFUNCTION("""COMPUTED_VALUE"""),370.63)</f>
        <v>370.63</v>
      </c>
      <c r="L1352" s="25">
        <f>IFERROR(__xludf.DUMMYFUNCTION("""COMPUTED_VALUE"""),375.5)</f>
        <v>375.5</v>
      </c>
      <c r="M1352" s="25">
        <f>IFERROR(__xludf.DUMMYFUNCTION("""COMPUTED_VALUE"""),1658258.0)</f>
        <v>1658258</v>
      </c>
    </row>
    <row r="1353">
      <c r="A1353" s="26">
        <f>IFERROR(__xludf.DUMMYFUNCTION("""COMPUTED_VALUE"""),40360.645833333336)</f>
        <v>40360.64583</v>
      </c>
      <c r="B1353" s="9">
        <f>IFERROR(__xludf.DUMMYFUNCTION("""COMPUTED_VALUE"""),348.88)</f>
        <v>348.88</v>
      </c>
      <c r="C1353" s="9">
        <f>IFERROR(__xludf.DUMMYFUNCTION("""COMPUTED_VALUE"""),348.88)</f>
        <v>348.88</v>
      </c>
      <c r="D1353" s="9">
        <f>IFERROR(__xludf.DUMMYFUNCTION("""COMPUTED_VALUE"""),343.88)</f>
        <v>343.88</v>
      </c>
      <c r="E1353" s="9">
        <f>IFERROR(__xludf.DUMMYFUNCTION("""COMPUTED_VALUE"""),345.88)</f>
        <v>345.88</v>
      </c>
      <c r="F1353" s="9">
        <f>IFERROR(__xludf.DUMMYFUNCTION("""COMPUTED_VALUE"""),730906.0)</f>
        <v>730906</v>
      </c>
      <c r="H1353" s="27">
        <f>IFERROR(__xludf.DUMMYFUNCTION("""COMPUTED_VALUE"""),40360.645833333336)</f>
        <v>40360.64583</v>
      </c>
      <c r="I1353" s="25">
        <f>IFERROR(__xludf.DUMMYFUNCTION("""COMPUTED_VALUE"""),375.0)</f>
        <v>375</v>
      </c>
      <c r="J1353" s="25">
        <f>IFERROR(__xludf.DUMMYFUNCTION("""COMPUTED_VALUE"""),375.0)</f>
        <v>375</v>
      </c>
      <c r="K1353" s="25">
        <f>IFERROR(__xludf.DUMMYFUNCTION("""COMPUTED_VALUE"""),362.88)</f>
        <v>362.88</v>
      </c>
      <c r="L1353" s="25">
        <f>IFERROR(__xludf.DUMMYFUNCTION("""COMPUTED_VALUE"""),366.0)</f>
        <v>366</v>
      </c>
      <c r="M1353" s="25">
        <f>IFERROR(__xludf.DUMMYFUNCTION("""COMPUTED_VALUE"""),1703872.0)</f>
        <v>1703872</v>
      </c>
    </row>
    <row r="1354">
      <c r="A1354" s="26">
        <f>IFERROR(__xludf.DUMMYFUNCTION("""COMPUTED_VALUE"""),40361.645833333336)</f>
        <v>40361.64583</v>
      </c>
      <c r="B1354" s="9">
        <f>IFERROR(__xludf.DUMMYFUNCTION("""COMPUTED_VALUE"""),346.87)</f>
        <v>346.87</v>
      </c>
      <c r="C1354" s="9">
        <f>IFERROR(__xludf.DUMMYFUNCTION("""COMPUTED_VALUE"""),346.87)</f>
        <v>346.87</v>
      </c>
      <c r="D1354" s="9">
        <f>IFERROR(__xludf.DUMMYFUNCTION("""COMPUTED_VALUE"""),339.5)</f>
        <v>339.5</v>
      </c>
      <c r="E1354" s="9">
        <f>IFERROR(__xludf.DUMMYFUNCTION("""COMPUTED_VALUE"""),340.94)</f>
        <v>340.94</v>
      </c>
      <c r="F1354" s="9">
        <f>IFERROR(__xludf.DUMMYFUNCTION("""COMPUTED_VALUE"""),1396180.0)</f>
        <v>1396180</v>
      </c>
      <c r="H1354" s="27">
        <f>IFERROR(__xludf.DUMMYFUNCTION("""COMPUTED_VALUE"""),40361.645833333336)</f>
        <v>40361.64583</v>
      </c>
      <c r="I1354" s="25">
        <f>IFERROR(__xludf.DUMMYFUNCTION("""COMPUTED_VALUE"""),367.4)</f>
        <v>367.4</v>
      </c>
      <c r="J1354" s="25">
        <f>IFERROR(__xludf.DUMMYFUNCTION("""COMPUTED_VALUE"""),373.0)</f>
        <v>373</v>
      </c>
      <c r="K1354" s="25">
        <f>IFERROR(__xludf.DUMMYFUNCTION("""COMPUTED_VALUE"""),365.42)</f>
        <v>365.42</v>
      </c>
      <c r="L1354" s="25">
        <f>IFERROR(__xludf.DUMMYFUNCTION("""COMPUTED_VALUE"""),371.9)</f>
        <v>371.9</v>
      </c>
      <c r="M1354" s="25">
        <f>IFERROR(__xludf.DUMMYFUNCTION("""COMPUTED_VALUE"""),1471775.0)</f>
        <v>1471775</v>
      </c>
    </row>
    <row r="1355">
      <c r="A1355" s="26">
        <f>IFERROR(__xludf.DUMMYFUNCTION("""COMPUTED_VALUE"""),40364.645833333336)</f>
        <v>40364.64583</v>
      </c>
      <c r="B1355" s="9">
        <f>IFERROR(__xludf.DUMMYFUNCTION("""COMPUTED_VALUE"""),341.25)</f>
        <v>341.25</v>
      </c>
      <c r="C1355" s="9">
        <f>IFERROR(__xludf.DUMMYFUNCTION("""COMPUTED_VALUE"""),344.0)</f>
        <v>344</v>
      </c>
      <c r="D1355" s="9">
        <f>IFERROR(__xludf.DUMMYFUNCTION("""COMPUTED_VALUE"""),340.0)</f>
        <v>340</v>
      </c>
      <c r="E1355" s="9">
        <f>IFERROR(__xludf.DUMMYFUNCTION("""COMPUTED_VALUE"""),342.93)</f>
        <v>342.93</v>
      </c>
      <c r="F1355" s="9">
        <f>IFERROR(__xludf.DUMMYFUNCTION("""COMPUTED_VALUE"""),452090.0)</f>
        <v>452090</v>
      </c>
      <c r="H1355" s="27">
        <f>IFERROR(__xludf.DUMMYFUNCTION("""COMPUTED_VALUE"""),40364.645833333336)</f>
        <v>40364.64583</v>
      </c>
      <c r="I1355" s="25">
        <f>IFERROR(__xludf.DUMMYFUNCTION("""COMPUTED_VALUE"""),374.4)</f>
        <v>374.4</v>
      </c>
      <c r="J1355" s="25">
        <f>IFERROR(__xludf.DUMMYFUNCTION("""COMPUTED_VALUE"""),374.45)</f>
        <v>374.45</v>
      </c>
      <c r="K1355" s="25">
        <f>IFERROR(__xludf.DUMMYFUNCTION("""COMPUTED_VALUE"""),368.55)</f>
        <v>368.55</v>
      </c>
      <c r="L1355" s="25">
        <f>IFERROR(__xludf.DUMMYFUNCTION("""COMPUTED_VALUE"""),369.5)</f>
        <v>369.5</v>
      </c>
      <c r="M1355" s="25">
        <f>IFERROR(__xludf.DUMMYFUNCTION("""COMPUTED_VALUE"""),1082798.0)</f>
        <v>1082798</v>
      </c>
    </row>
    <row r="1356">
      <c r="A1356" s="26">
        <f>IFERROR(__xludf.DUMMYFUNCTION("""COMPUTED_VALUE"""),40365.645833333336)</f>
        <v>40365.64583</v>
      </c>
      <c r="B1356" s="9">
        <f>IFERROR(__xludf.DUMMYFUNCTION("""COMPUTED_VALUE"""),342.88)</f>
        <v>342.88</v>
      </c>
      <c r="C1356" s="9">
        <f>IFERROR(__xludf.DUMMYFUNCTION("""COMPUTED_VALUE"""),349.88)</f>
        <v>349.88</v>
      </c>
      <c r="D1356" s="9">
        <f>IFERROR(__xludf.DUMMYFUNCTION("""COMPUTED_VALUE"""),342.88)</f>
        <v>342.88</v>
      </c>
      <c r="E1356" s="9">
        <f>IFERROR(__xludf.DUMMYFUNCTION("""COMPUTED_VALUE"""),348.14)</f>
        <v>348.14</v>
      </c>
      <c r="F1356" s="9">
        <f>IFERROR(__xludf.DUMMYFUNCTION("""COMPUTED_VALUE"""),734075.0)</f>
        <v>734075</v>
      </c>
      <c r="H1356" s="27">
        <f>IFERROR(__xludf.DUMMYFUNCTION("""COMPUTED_VALUE"""),40365.645833333336)</f>
        <v>40365.64583</v>
      </c>
      <c r="I1356" s="25">
        <f>IFERROR(__xludf.DUMMYFUNCTION("""COMPUTED_VALUE"""),368.25)</f>
        <v>368.25</v>
      </c>
      <c r="J1356" s="25">
        <f>IFERROR(__xludf.DUMMYFUNCTION("""COMPUTED_VALUE"""),380.95)</f>
        <v>380.95</v>
      </c>
      <c r="K1356" s="25">
        <f>IFERROR(__xludf.DUMMYFUNCTION("""COMPUTED_VALUE"""),367.92)</f>
        <v>367.92</v>
      </c>
      <c r="L1356" s="25">
        <f>IFERROR(__xludf.DUMMYFUNCTION("""COMPUTED_VALUE"""),379.58)</f>
        <v>379.58</v>
      </c>
      <c r="M1356" s="25">
        <f>IFERROR(__xludf.DUMMYFUNCTION("""COMPUTED_VALUE"""),1380452.0)</f>
        <v>1380452</v>
      </c>
    </row>
    <row r="1357">
      <c r="A1357" s="26">
        <f>IFERROR(__xludf.DUMMYFUNCTION("""COMPUTED_VALUE"""),40366.645833333336)</f>
        <v>40366.64583</v>
      </c>
      <c r="B1357" s="9">
        <f>IFERROR(__xludf.DUMMYFUNCTION("""COMPUTED_VALUE"""),349.95)</f>
        <v>349.95</v>
      </c>
      <c r="C1357" s="9">
        <f>IFERROR(__xludf.DUMMYFUNCTION("""COMPUTED_VALUE"""),349.95)</f>
        <v>349.95</v>
      </c>
      <c r="D1357" s="9">
        <f>IFERROR(__xludf.DUMMYFUNCTION("""COMPUTED_VALUE"""),345.65)</f>
        <v>345.65</v>
      </c>
      <c r="E1357" s="9">
        <f>IFERROR(__xludf.DUMMYFUNCTION("""COMPUTED_VALUE"""),347.72)</f>
        <v>347.72</v>
      </c>
      <c r="F1357" s="9">
        <f>IFERROR(__xludf.DUMMYFUNCTION("""COMPUTED_VALUE"""),740424.0)</f>
        <v>740424</v>
      </c>
      <c r="H1357" s="27">
        <f>IFERROR(__xludf.DUMMYFUNCTION("""COMPUTED_VALUE"""),40366.645833333336)</f>
        <v>40366.64583</v>
      </c>
      <c r="I1357" s="25">
        <f>IFERROR(__xludf.DUMMYFUNCTION("""COMPUTED_VALUE"""),380.7)</f>
        <v>380.7</v>
      </c>
      <c r="J1357" s="25">
        <f>IFERROR(__xludf.DUMMYFUNCTION("""COMPUTED_VALUE"""),383.7)</f>
        <v>383.7</v>
      </c>
      <c r="K1357" s="25">
        <f>IFERROR(__xludf.DUMMYFUNCTION("""COMPUTED_VALUE"""),374.48)</f>
        <v>374.48</v>
      </c>
      <c r="L1357" s="25">
        <f>IFERROR(__xludf.DUMMYFUNCTION("""COMPUTED_VALUE"""),382.3)</f>
        <v>382.3</v>
      </c>
      <c r="M1357" s="25">
        <f>IFERROR(__xludf.DUMMYFUNCTION("""COMPUTED_VALUE"""),1076467.0)</f>
        <v>1076467</v>
      </c>
    </row>
    <row r="1358">
      <c r="A1358" s="26">
        <f>IFERROR(__xludf.DUMMYFUNCTION("""COMPUTED_VALUE"""),40367.645833333336)</f>
        <v>40367.64583</v>
      </c>
      <c r="B1358" s="9">
        <f>IFERROR(__xludf.DUMMYFUNCTION("""COMPUTED_VALUE"""),350.75)</f>
        <v>350.75</v>
      </c>
      <c r="C1358" s="9">
        <f>IFERROR(__xludf.DUMMYFUNCTION("""COMPUTED_VALUE"""),355.8)</f>
        <v>355.8</v>
      </c>
      <c r="D1358" s="9">
        <f>IFERROR(__xludf.DUMMYFUNCTION("""COMPUTED_VALUE"""),350.01)</f>
        <v>350.01</v>
      </c>
      <c r="E1358" s="9">
        <f>IFERROR(__xludf.DUMMYFUNCTION("""COMPUTED_VALUE"""),353.56)</f>
        <v>353.56</v>
      </c>
      <c r="F1358" s="9">
        <f>IFERROR(__xludf.DUMMYFUNCTION("""COMPUTED_VALUE"""),784774.0)</f>
        <v>784774</v>
      </c>
      <c r="H1358" s="27">
        <f>IFERROR(__xludf.DUMMYFUNCTION("""COMPUTED_VALUE"""),40367.645833333336)</f>
        <v>40367.64583</v>
      </c>
      <c r="I1358" s="25">
        <f>IFERROR(__xludf.DUMMYFUNCTION("""COMPUTED_VALUE"""),386.0)</f>
        <v>386</v>
      </c>
      <c r="J1358" s="25">
        <f>IFERROR(__xludf.DUMMYFUNCTION("""COMPUTED_VALUE"""),389.5)</f>
        <v>389.5</v>
      </c>
      <c r="K1358" s="25">
        <f>IFERROR(__xludf.DUMMYFUNCTION("""COMPUTED_VALUE"""),384.83)</f>
        <v>384.83</v>
      </c>
      <c r="L1358" s="25">
        <f>IFERROR(__xludf.DUMMYFUNCTION("""COMPUTED_VALUE"""),388.4)</f>
        <v>388.4</v>
      </c>
      <c r="M1358" s="25">
        <f>IFERROR(__xludf.DUMMYFUNCTION("""COMPUTED_VALUE"""),1093782.0)</f>
        <v>1093782</v>
      </c>
    </row>
    <row r="1359">
      <c r="A1359" s="26">
        <f>IFERROR(__xludf.DUMMYFUNCTION("""COMPUTED_VALUE"""),40368.645833333336)</f>
        <v>40368.64583</v>
      </c>
      <c r="B1359" s="9">
        <f>IFERROR(__xludf.DUMMYFUNCTION("""COMPUTED_VALUE"""),354.76)</f>
        <v>354.76</v>
      </c>
      <c r="C1359" s="9">
        <f>IFERROR(__xludf.DUMMYFUNCTION("""COMPUTED_VALUE"""),360.06)</f>
        <v>360.06</v>
      </c>
      <c r="D1359" s="9">
        <f>IFERROR(__xludf.DUMMYFUNCTION("""COMPUTED_VALUE"""),354.76)</f>
        <v>354.76</v>
      </c>
      <c r="E1359" s="9">
        <f>IFERROR(__xludf.DUMMYFUNCTION("""COMPUTED_VALUE"""),359.23)</f>
        <v>359.23</v>
      </c>
      <c r="F1359" s="9">
        <f>IFERROR(__xludf.DUMMYFUNCTION("""COMPUTED_VALUE"""),982389.0)</f>
        <v>982389</v>
      </c>
      <c r="H1359" s="27">
        <f>IFERROR(__xludf.DUMMYFUNCTION("""COMPUTED_VALUE"""),40368.645833333336)</f>
        <v>40368.64583</v>
      </c>
      <c r="I1359" s="25">
        <f>IFERROR(__xludf.DUMMYFUNCTION("""COMPUTED_VALUE"""),390.0)</f>
        <v>390</v>
      </c>
      <c r="J1359" s="25">
        <f>IFERROR(__xludf.DUMMYFUNCTION("""COMPUTED_VALUE"""),392.0)</f>
        <v>392</v>
      </c>
      <c r="K1359" s="25">
        <f>IFERROR(__xludf.DUMMYFUNCTION("""COMPUTED_VALUE"""),385.38)</f>
        <v>385.38</v>
      </c>
      <c r="L1359" s="25">
        <f>IFERROR(__xludf.DUMMYFUNCTION("""COMPUTED_VALUE"""),387.23)</f>
        <v>387.23</v>
      </c>
      <c r="M1359" s="25">
        <f>IFERROR(__xludf.DUMMYFUNCTION("""COMPUTED_VALUE"""),918333.0)</f>
        <v>918333</v>
      </c>
    </row>
    <row r="1360">
      <c r="A1360" s="26">
        <f>IFERROR(__xludf.DUMMYFUNCTION("""COMPUTED_VALUE"""),40371.645833333336)</f>
        <v>40371.64583</v>
      </c>
      <c r="B1360" s="9">
        <f>IFERROR(__xludf.DUMMYFUNCTION("""COMPUTED_VALUE"""),356.26)</f>
        <v>356.26</v>
      </c>
      <c r="C1360" s="9">
        <f>IFERROR(__xludf.DUMMYFUNCTION("""COMPUTED_VALUE"""),363.75)</f>
        <v>363.75</v>
      </c>
      <c r="D1360" s="9">
        <f>IFERROR(__xludf.DUMMYFUNCTION("""COMPUTED_VALUE"""),356.25)</f>
        <v>356.25</v>
      </c>
      <c r="E1360" s="9">
        <f>IFERROR(__xludf.DUMMYFUNCTION("""COMPUTED_VALUE"""),361.99)</f>
        <v>361.99</v>
      </c>
      <c r="F1360" s="9">
        <f>IFERROR(__xludf.DUMMYFUNCTION("""COMPUTED_VALUE"""),1074655.0)</f>
        <v>1074655</v>
      </c>
      <c r="H1360" s="27">
        <f>IFERROR(__xludf.DUMMYFUNCTION("""COMPUTED_VALUE"""),40371.645833333336)</f>
        <v>40371.64583</v>
      </c>
      <c r="I1360" s="25">
        <f>IFERROR(__xludf.DUMMYFUNCTION("""COMPUTED_VALUE"""),389.9)</f>
        <v>389.9</v>
      </c>
      <c r="J1360" s="25">
        <f>IFERROR(__xludf.DUMMYFUNCTION("""COMPUTED_VALUE"""),397.0)</f>
        <v>397</v>
      </c>
      <c r="K1360" s="25">
        <f>IFERROR(__xludf.DUMMYFUNCTION("""COMPUTED_VALUE"""),389.9)</f>
        <v>389.9</v>
      </c>
      <c r="L1360" s="25">
        <f>IFERROR(__xludf.DUMMYFUNCTION("""COMPUTED_VALUE"""),395.85)</f>
        <v>395.85</v>
      </c>
      <c r="M1360" s="25">
        <f>IFERROR(__xludf.DUMMYFUNCTION("""COMPUTED_VALUE"""),1362888.0)</f>
        <v>1362888</v>
      </c>
    </row>
    <row r="1361">
      <c r="A1361" s="26">
        <f>IFERROR(__xludf.DUMMYFUNCTION("""COMPUTED_VALUE"""),40372.645833333336)</f>
        <v>40372.64583</v>
      </c>
      <c r="B1361" s="9">
        <f>IFERROR(__xludf.DUMMYFUNCTION("""COMPUTED_VALUE"""),358.75)</f>
        <v>358.75</v>
      </c>
      <c r="C1361" s="9">
        <f>IFERROR(__xludf.DUMMYFUNCTION("""COMPUTED_VALUE"""),359.38)</f>
        <v>359.38</v>
      </c>
      <c r="D1361" s="9">
        <f>IFERROR(__xludf.DUMMYFUNCTION("""COMPUTED_VALUE"""),347.63)</f>
        <v>347.63</v>
      </c>
      <c r="E1361" s="9">
        <f>IFERROR(__xludf.DUMMYFUNCTION("""COMPUTED_VALUE"""),349.59)</f>
        <v>349.59</v>
      </c>
      <c r="F1361" s="9">
        <f>IFERROR(__xludf.DUMMYFUNCTION("""COMPUTED_VALUE"""),3187798.0)</f>
        <v>3187798</v>
      </c>
      <c r="H1361" s="27">
        <f>IFERROR(__xludf.DUMMYFUNCTION("""COMPUTED_VALUE"""),40372.645833333336)</f>
        <v>40372.64583</v>
      </c>
      <c r="I1361" s="25">
        <f>IFERROR(__xludf.DUMMYFUNCTION("""COMPUTED_VALUE"""),396.0)</f>
        <v>396</v>
      </c>
      <c r="J1361" s="25">
        <f>IFERROR(__xludf.DUMMYFUNCTION("""COMPUTED_VALUE"""),396.0)</f>
        <v>396</v>
      </c>
      <c r="K1361" s="25">
        <f>IFERROR(__xludf.DUMMYFUNCTION("""COMPUTED_VALUE"""),384.78)</f>
        <v>384.78</v>
      </c>
      <c r="L1361" s="25">
        <f>IFERROR(__xludf.DUMMYFUNCTION("""COMPUTED_VALUE"""),387.33)</f>
        <v>387.33</v>
      </c>
      <c r="M1361" s="25">
        <f>IFERROR(__xludf.DUMMYFUNCTION("""COMPUTED_VALUE"""),2772943.0)</f>
        <v>2772943</v>
      </c>
    </row>
    <row r="1362">
      <c r="A1362" s="26">
        <f>IFERROR(__xludf.DUMMYFUNCTION("""COMPUTED_VALUE"""),40373.645833333336)</f>
        <v>40373.64583</v>
      </c>
      <c r="B1362" s="9">
        <f>IFERROR(__xludf.DUMMYFUNCTION("""COMPUTED_VALUE"""),348.74)</f>
        <v>348.74</v>
      </c>
      <c r="C1362" s="9">
        <f>IFERROR(__xludf.DUMMYFUNCTION("""COMPUTED_VALUE"""),351.13)</f>
        <v>351.13</v>
      </c>
      <c r="D1362" s="9">
        <f>IFERROR(__xludf.DUMMYFUNCTION("""COMPUTED_VALUE"""),342.13)</f>
        <v>342.13</v>
      </c>
      <c r="E1362" s="9">
        <f>IFERROR(__xludf.DUMMYFUNCTION("""COMPUTED_VALUE"""),342.86)</f>
        <v>342.86</v>
      </c>
      <c r="F1362" s="9">
        <f>IFERROR(__xludf.DUMMYFUNCTION("""COMPUTED_VALUE"""),1774241.0)</f>
        <v>1774241</v>
      </c>
      <c r="H1362" s="27">
        <f>IFERROR(__xludf.DUMMYFUNCTION("""COMPUTED_VALUE"""),40373.645833333336)</f>
        <v>40373.64583</v>
      </c>
      <c r="I1362" s="25">
        <f>IFERROR(__xludf.DUMMYFUNCTION("""COMPUTED_VALUE"""),389.0)</f>
        <v>389</v>
      </c>
      <c r="J1362" s="25">
        <f>IFERROR(__xludf.DUMMYFUNCTION("""COMPUTED_VALUE"""),392.35)</f>
        <v>392.35</v>
      </c>
      <c r="K1362" s="25">
        <f>IFERROR(__xludf.DUMMYFUNCTION("""COMPUTED_VALUE"""),385.13)</f>
        <v>385.13</v>
      </c>
      <c r="L1362" s="25">
        <f>IFERROR(__xludf.DUMMYFUNCTION("""COMPUTED_VALUE"""),387.33)</f>
        <v>387.33</v>
      </c>
      <c r="M1362" s="25">
        <f>IFERROR(__xludf.DUMMYFUNCTION("""COMPUTED_VALUE"""),1416921.0)</f>
        <v>1416921</v>
      </c>
    </row>
    <row r="1363">
      <c r="A1363" s="26">
        <f>IFERROR(__xludf.DUMMYFUNCTION("""COMPUTED_VALUE"""),40374.645833333336)</f>
        <v>40374.64583</v>
      </c>
      <c r="B1363" s="9">
        <f>IFERROR(__xludf.DUMMYFUNCTION("""COMPUTED_VALUE"""),343.62)</f>
        <v>343.62</v>
      </c>
      <c r="C1363" s="9">
        <f>IFERROR(__xludf.DUMMYFUNCTION("""COMPUTED_VALUE"""),347.0)</f>
        <v>347</v>
      </c>
      <c r="D1363" s="9">
        <f>IFERROR(__xludf.DUMMYFUNCTION("""COMPUTED_VALUE"""),342.5)</f>
        <v>342.5</v>
      </c>
      <c r="E1363" s="9">
        <f>IFERROR(__xludf.DUMMYFUNCTION("""COMPUTED_VALUE"""),344.95)</f>
        <v>344.95</v>
      </c>
      <c r="F1363" s="9">
        <f>IFERROR(__xludf.DUMMYFUNCTION("""COMPUTED_VALUE"""),1041017.0)</f>
        <v>1041017</v>
      </c>
      <c r="H1363" s="27">
        <f>IFERROR(__xludf.DUMMYFUNCTION("""COMPUTED_VALUE"""),40374.645833333336)</f>
        <v>40374.64583</v>
      </c>
      <c r="I1363" s="25">
        <f>IFERROR(__xludf.DUMMYFUNCTION("""COMPUTED_VALUE"""),385.5)</f>
        <v>385.5</v>
      </c>
      <c r="J1363" s="25">
        <f>IFERROR(__xludf.DUMMYFUNCTION("""COMPUTED_VALUE"""),392.45)</f>
        <v>392.45</v>
      </c>
      <c r="K1363" s="25">
        <f>IFERROR(__xludf.DUMMYFUNCTION("""COMPUTED_VALUE"""),382.63)</f>
        <v>382.63</v>
      </c>
      <c r="L1363" s="25">
        <f>IFERROR(__xludf.DUMMYFUNCTION("""COMPUTED_VALUE"""),391.05)</f>
        <v>391.05</v>
      </c>
      <c r="M1363" s="25">
        <f>IFERROR(__xludf.DUMMYFUNCTION("""COMPUTED_VALUE"""),1897768.0)</f>
        <v>1897768</v>
      </c>
    </row>
    <row r="1364">
      <c r="A1364" s="26">
        <f>IFERROR(__xludf.DUMMYFUNCTION("""COMPUTED_VALUE"""),40375.645833333336)</f>
        <v>40375.64583</v>
      </c>
      <c r="B1364" s="9">
        <f>IFERROR(__xludf.DUMMYFUNCTION("""COMPUTED_VALUE"""),344.38)</f>
        <v>344.38</v>
      </c>
      <c r="C1364" s="9">
        <f>IFERROR(__xludf.DUMMYFUNCTION("""COMPUTED_VALUE"""),348.88)</f>
        <v>348.88</v>
      </c>
      <c r="D1364" s="9">
        <f>IFERROR(__xludf.DUMMYFUNCTION("""COMPUTED_VALUE"""),343.88)</f>
        <v>343.88</v>
      </c>
      <c r="E1364" s="9">
        <f>IFERROR(__xludf.DUMMYFUNCTION("""COMPUTED_VALUE"""),347.13)</f>
        <v>347.13</v>
      </c>
      <c r="F1364" s="9">
        <f>IFERROR(__xludf.DUMMYFUNCTION("""COMPUTED_VALUE"""),1025695.0)</f>
        <v>1025695</v>
      </c>
      <c r="H1364" s="27">
        <f>IFERROR(__xludf.DUMMYFUNCTION("""COMPUTED_VALUE"""),40375.645833333336)</f>
        <v>40375.64583</v>
      </c>
      <c r="I1364" s="25">
        <f>IFERROR(__xludf.DUMMYFUNCTION("""COMPUTED_VALUE"""),397.5)</f>
        <v>397.5</v>
      </c>
      <c r="J1364" s="25">
        <f>IFERROR(__xludf.DUMMYFUNCTION("""COMPUTED_VALUE"""),419.25)</f>
        <v>419.25</v>
      </c>
      <c r="K1364" s="25">
        <f>IFERROR(__xludf.DUMMYFUNCTION("""COMPUTED_VALUE"""),397.5)</f>
        <v>397.5</v>
      </c>
      <c r="L1364" s="25">
        <f>IFERROR(__xludf.DUMMYFUNCTION("""COMPUTED_VALUE"""),416.83)</f>
        <v>416.83</v>
      </c>
      <c r="M1364" s="25">
        <f>IFERROR(__xludf.DUMMYFUNCTION("""COMPUTED_VALUE"""),9567726.0)</f>
        <v>9567726</v>
      </c>
    </row>
    <row r="1365">
      <c r="A1365" s="26">
        <f>IFERROR(__xludf.DUMMYFUNCTION("""COMPUTED_VALUE"""),40378.645833333336)</f>
        <v>40378.64583</v>
      </c>
      <c r="B1365" s="9">
        <f>IFERROR(__xludf.DUMMYFUNCTION("""COMPUTED_VALUE"""),343.63)</f>
        <v>343.63</v>
      </c>
      <c r="C1365" s="9">
        <f>IFERROR(__xludf.DUMMYFUNCTION("""COMPUTED_VALUE"""),349.1)</f>
        <v>349.1</v>
      </c>
      <c r="D1365" s="9">
        <f>IFERROR(__xludf.DUMMYFUNCTION("""COMPUTED_VALUE"""),341.97)</f>
        <v>341.97</v>
      </c>
      <c r="E1365" s="9">
        <f>IFERROR(__xludf.DUMMYFUNCTION("""COMPUTED_VALUE"""),346.31)</f>
        <v>346.31</v>
      </c>
      <c r="F1365" s="9">
        <f>IFERROR(__xludf.DUMMYFUNCTION("""COMPUTED_VALUE"""),880890.0)</f>
        <v>880890</v>
      </c>
      <c r="H1365" s="27">
        <f>IFERROR(__xludf.DUMMYFUNCTION("""COMPUTED_VALUE"""),40378.645833333336)</f>
        <v>40378.64583</v>
      </c>
      <c r="I1365" s="25">
        <f>IFERROR(__xludf.DUMMYFUNCTION("""COMPUTED_VALUE"""),415.73)</f>
        <v>415.73</v>
      </c>
      <c r="J1365" s="25">
        <f>IFERROR(__xludf.DUMMYFUNCTION("""COMPUTED_VALUE"""),417.35)</f>
        <v>417.35</v>
      </c>
      <c r="K1365" s="25">
        <f>IFERROR(__xludf.DUMMYFUNCTION("""COMPUTED_VALUE"""),411.63)</f>
        <v>411.63</v>
      </c>
      <c r="L1365" s="25">
        <f>IFERROR(__xludf.DUMMYFUNCTION("""COMPUTED_VALUE"""),413.35)</f>
        <v>413.35</v>
      </c>
      <c r="M1365" s="25">
        <f>IFERROR(__xludf.DUMMYFUNCTION("""COMPUTED_VALUE"""),1513962.0)</f>
        <v>1513962</v>
      </c>
    </row>
    <row r="1366">
      <c r="A1366" s="26">
        <f>IFERROR(__xludf.DUMMYFUNCTION("""COMPUTED_VALUE"""),40379.645833333336)</f>
        <v>40379.64583</v>
      </c>
      <c r="B1366" s="9">
        <f>IFERROR(__xludf.DUMMYFUNCTION("""COMPUTED_VALUE"""),346.31)</f>
        <v>346.31</v>
      </c>
      <c r="C1366" s="9">
        <f>IFERROR(__xludf.DUMMYFUNCTION("""COMPUTED_VALUE"""),347.81)</f>
        <v>347.81</v>
      </c>
      <c r="D1366" s="9">
        <f>IFERROR(__xludf.DUMMYFUNCTION("""COMPUTED_VALUE"""),344.19)</f>
        <v>344.19</v>
      </c>
      <c r="E1366" s="9">
        <f>IFERROR(__xludf.DUMMYFUNCTION("""COMPUTED_VALUE"""),344.96)</f>
        <v>344.96</v>
      </c>
      <c r="F1366" s="9">
        <f>IFERROR(__xludf.DUMMYFUNCTION("""COMPUTED_VALUE"""),631842.0)</f>
        <v>631842</v>
      </c>
      <c r="H1366" s="27">
        <f>IFERROR(__xludf.DUMMYFUNCTION("""COMPUTED_VALUE"""),40379.645833333336)</f>
        <v>40379.64583</v>
      </c>
      <c r="I1366" s="25">
        <f>IFERROR(__xludf.DUMMYFUNCTION("""COMPUTED_VALUE"""),413.35)</f>
        <v>413.35</v>
      </c>
      <c r="J1366" s="25">
        <f>IFERROR(__xludf.DUMMYFUNCTION("""COMPUTED_VALUE"""),417.28)</f>
        <v>417.28</v>
      </c>
      <c r="K1366" s="25">
        <f>IFERROR(__xludf.DUMMYFUNCTION("""COMPUTED_VALUE"""),412.5)</f>
        <v>412.5</v>
      </c>
      <c r="L1366" s="25">
        <f>IFERROR(__xludf.DUMMYFUNCTION("""COMPUTED_VALUE"""),413.63)</f>
        <v>413.63</v>
      </c>
      <c r="M1366" s="25">
        <f>IFERROR(__xludf.DUMMYFUNCTION("""COMPUTED_VALUE"""),1171031.0)</f>
        <v>1171031</v>
      </c>
    </row>
    <row r="1367">
      <c r="A1367" s="26">
        <f>IFERROR(__xludf.DUMMYFUNCTION("""COMPUTED_VALUE"""),40380.645833333336)</f>
        <v>40380.64583</v>
      </c>
      <c r="B1367" s="9">
        <f>IFERROR(__xludf.DUMMYFUNCTION("""COMPUTED_VALUE"""),345.91)</f>
        <v>345.91</v>
      </c>
      <c r="C1367" s="9">
        <f>IFERROR(__xludf.DUMMYFUNCTION("""COMPUTED_VALUE"""),347.38)</f>
        <v>347.38</v>
      </c>
      <c r="D1367" s="9">
        <f>IFERROR(__xludf.DUMMYFUNCTION("""COMPUTED_VALUE"""),345.0)</f>
        <v>345</v>
      </c>
      <c r="E1367" s="9">
        <f>IFERROR(__xludf.DUMMYFUNCTION("""COMPUTED_VALUE"""),346.46)</f>
        <v>346.46</v>
      </c>
      <c r="F1367" s="9">
        <f>IFERROR(__xludf.DUMMYFUNCTION("""COMPUTED_VALUE"""),329310.0)</f>
        <v>329310</v>
      </c>
      <c r="H1367" s="27">
        <f>IFERROR(__xludf.DUMMYFUNCTION("""COMPUTED_VALUE"""),40380.645833333336)</f>
        <v>40380.64583</v>
      </c>
      <c r="I1367" s="25">
        <f>IFERROR(__xludf.DUMMYFUNCTION("""COMPUTED_VALUE"""),416.0)</f>
        <v>416</v>
      </c>
      <c r="J1367" s="25">
        <f>IFERROR(__xludf.DUMMYFUNCTION("""COMPUTED_VALUE"""),422.4)</f>
        <v>422.4</v>
      </c>
      <c r="K1367" s="25">
        <f>IFERROR(__xludf.DUMMYFUNCTION("""COMPUTED_VALUE"""),414.8)</f>
        <v>414.8</v>
      </c>
      <c r="L1367" s="25">
        <f>IFERROR(__xludf.DUMMYFUNCTION("""COMPUTED_VALUE"""),421.5)</f>
        <v>421.5</v>
      </c>
      <c r="M1367" s="25">
        <f>IFERROR(__xludf.DUMMYFUNCTION("""COMPUTED_VALUE"""),1471860.0)</f>
        <v>1471860</v>
      </c>
    </row>
    <row r="1368">
      <c r="A1368" s="26">
        <f>IFERROR(__xludf.DUMMYFUNCTION("""COMPUTED_VALUE"""),40381.645833333336)</f>
        <v>40381.64583</v>
      </c>
      <c r="B1368" s="9">
        <f>IFERROR(__xludf.DUMMYFUNCTION("""COMPUTED_VALUE"""),345.59)</f>
        <v>345.59</v>
      </c>
      <c r="C1368" s="9">
        <f>IFERROR(__xludf.DUMMYFUNCTION("""COMPUTED_VALUE"""),345.59)</f>
        <v>345.59</v>
      </c>
      <c r="D1368" s="9">
        <f>IFERROR(__xludf.DUMMYFUNCTION("""COMPUTED_VALUE"""),340.88)</f>
        <v>340.88</v>
      </c>
      <c r="E1368" s="9">
        <f>IFERROR(__xludf.DUMMYFUNCTION("""COMPUTED_VALUE"""),344.31)</f>
        <v>344.31</v>
      </c>
      <c r="F1368" s="9">
        <f>IFERROR(__xludf.DUMMYFUNCTION("""COMPUTED_VALUE"""),1028369.0)</f>
        <v>1028369</v>
      </c>
      <c r="H1368" s="27">
        <f>IFERROR(__xludf.DUMMYFUNCTION("""COMPUTED_VALUE"""),40381.645833333336)</f>
        <v>40381.64583</v>
      </c>
      <c r="I1368" s="25">
        <f>IFERROR(__xludf.DUMMYFUNCTION("""COMPUTED_VALUE"""),421.5)</f>
        <v>421.5</v>
      </c>
      <c r="J1368" s="25">
        <f>IFERROR(__xludf.DUMMYFUNCTION("""COMPUTED_VALUE"""),423.0)</f>
        <v>423</v>
      </c>
      <c r="K1368" s="25">
        <f>IFERROR(__xludf.DUMMYFUNCTION("""COMPUTED_VALUE"""),416.25)</f>
        <v>416.25</v>
      </c>
      <c r="L1368" s="25">
        <f>IFERROR(__xludf.DUMMYFUNCTION("""COMPUTED_VALUE"""),421.85)</f>
        <v>421.85</v>
      </c>
      <c r="M1368" s="25">
        <f>IFERROR(__xludf.DUMMYFUNCTION("""COMPUTED_VALUE"""),681441.0)</f>
        <v>681441</v>
      </c>
    </row>
    <row r="1369">
      <c r="A1369" s="26">
        <f>IFERROR(__xludf.DUMMYFUNCTION("""COMPUTED_VALUE"""),40382.645833333336)</f>
        <v>40382.64583</v>
      </c>
      <c r="B1369" s="9">
        <f>IFERROR(__xludf.DUMMYFUNCTION("""COMPUTED_VALUE"""),348.38)</f>
        <v>348.38</v>
      </c>
      <c r="C1369" s="9">
        <f>IFERROR(__xludf.DUMMYFUNCTION("""COMPUTED_VALUE"""),358.76)</f>
        <v>358.76</v>
      </c>
      <c r="D1369" s="9">
        <f>IFERROR(__xludf.DUMMYFUNCTION("""COMPUTED_VALUE"""),345.63)</f>
        <v>345.63</v>
      </c>
      <c r="E1369" s="9">
        <f>IFERROR(__xludf.DUMMYFUNCTION("""COMPUTED_VALUE"""),348.31)</f>
        <v>348.31</v>
      </c>
      <c r="F1369" s="9">
        <f>IFERROR(__xludf.DUMMYFUNCTION("""COMPUTED_VALUE"""),665387.0)</f>
        <v>665387</v>
      </c>
      <c r="H1369" s="27">
        <f>IFERROR(__xludf.DUMMYFUNCTION("""COMPUTED_VALUE"""),40382.645833333336)</f>
        <v>40382.64583</v>
      </c>
      <c r="I1369" s="25">
        <f>IFERROR(__xludf.DUMMYFUNCTION("""COMPUTED_VALUE"""),425.0)</f>
        <v>425</v>
      </c>
      <c r="J1369" s="25">
        <f>IFERROR(__xludf.DUMMYFUNCTION("""COMPUTED_VALUE"""),425.0)</f>
        <v>425</v>
      </c>
      <c r="K1369" s="25">
        <f>IFERROR(__xludf.DUMMYFUNCTION("""COMPUTED_VALUE"""),417.55)</f>
        <v>417.55</v>
      </c>
      <c r="L1369" s="25">
        <f>IFERROR(__xludf.DUMMYFUNCTION("""COMPUTED_VALUE"""),419.65)</f>
        <v>419.65</v>
      </c>
      <c r="M1369" s="25">
        <f>IFERROR(__xludf.DUMMYFUNCTION("""COMPUTED_VALUE"""),947236.0)</f>
        <v>947236</v>
      </c>
    </row>
    <row r="1370">
      <c r="A1370" s="26">
        <f>IFERROR(__xludf.DUMMYFUNCTION("""COMPUTED_VALUE"""),40385.645833333336)</f>
        <v>40385.64583</v>
      </c>
      <c r="B1370" s="9">
        <f>IFERROR(__xludf.DUMMYFUNCTION("""COMPUTED_VALUE"""),348.75)</f>
        <v>348.75</v>
      </c>
      <c r="C1370" s="9">
        <f>IFERROR(__xludf.DUMMYFUNCTION("""COMPUTED_VALUE"""),351.25)</f>
        <v>351.25</v>
      </c>
      <c r="D1370" s="9">
        <f>IFERROR(__xludf.DUMMYFUNCTION("""COMPUTED_VALUE"""),348.75)</f>
        <v>348.75</v>
      </c>
      <c r="E1370" s="9">
        <f>IFERROR(__xludf.DUMMYFUNCTION("""COMPUTED_VALUE"""),350.56)</f>
        <v>350.56</v>
      </c>
      <c r="F1370" s="9">
        <f>IFERROR(__xludf.DUMMYFUNCTION("""COMPUTED_VALUE"""),558852.0)</f>
        <v>558852</v>
      </c>
      <c r="H1370" s="27">
        <f>IFERROR(__xludf.DUMMYFUNCTION("""COMPUTED_VALUE"""),40385.645833333336)</f>
        <v>40385.64583</v>
      </c>
      <c r="I1370" s="25">
        <f>IFERROR(__xludf.DUMMYFUNCTION("""COMPUTED_VALUE"""),421.2)</f>
        <v>421.2</v>
      </c>
      <c r="J1370" s="25">
        <f>IFERROR(__xludf.DUMMYFUNCTION("""COMPUTED_VALUE"""),425.8)</f>
        <v>425.8</v>
      </c>
      <c r="K1370" s="25">
        <f>IFERROR(__xludf.DUMMYFUNCTION("""COMPUTED_VALUE"""),420.2)</f>
        <v>420.2</v>
      </c>
      <c r="L1370" s="25">
        <f>IFERROR(__xludf.DUMMYFUNCTION("""COMPUTED_VALUE"""),424.63)</f>
        <v>424.63</v>
      </c>
      <c r="M1370" s="25">
        <f>IFERROR(__xludf.DUMMYFUNCTION("""COMPUTED_VALUE"""),1383245.0)</f>
        <v>1383245</v>
      </c>
    </row>
    <row r="1371">
      <c r="A1371" s="26">
        <f>IFERROR(__xludf.DUMMYFUNCTION("""COMPUTED_VALUE"""),40386.645833333336)</f>
        <v>40386.64583</v>
      </c>
      <c r="B1371" s="9">
        <f>IFERROR(__xludf.DUMMYFUNCTION("""COMPUTED_VALUE"""),350.38)</f>
        <v>350.38</v>
      </c>
      <c r="C1371" s="9">
        <f>IFERROR(__xludf.DUMMYFUNCTION("""COMPUTED_VALUE"""),354.25)</f>
        <v>354.25</v>
      </c>
      <c r="D1371" s="9">
        <f>IFERROR(__xludf.DUMMYFUNCTION("""COMPUTED_VALUE"""),350.38)</f>
        <v>350.38</v>
      </c>
      <c r="E1371" s="9">
        <f>IFERROR(__xludf.DUMMYFUNCTION("""COMPUTED_VALUE"""),353.6)</f>
        <v>353.6</v>
      </c>
      <c r="F1371" s="9">
        <f>IFERROR(__xludf.DUMMYFUNCTION("""COMPUTED_VALUE"""),636745.0)</f>
        <v>636745</v>
      </c>
      <c r="H1371" s="27">
        <f>IFERROR(__xludf.DUMMYFUNCTION("""COMPUTED_VALUE"""),40386.645833333336)</f>
        <v>40386.64583</v>
      </c>
      <c r="I1371" s="25">
        <f>IFERROR(__xludf.DUMMYFUNCTION("""COMPUTED_VALUE"""),427.5)</f>
        <v>427.5</v>
      </c>
      <c r="J1371" s="25">
        <f>IFERROR(__xludf.DUMMYFUNCTION("""COMPUTED_VALUE"""),429.9)</f>
        <v>429.9</v>
      </c>
      <c r="K1371" s="25">
        <f>IFERROR(__xludf.DUMMYFUNCTION("""COMPUTED_VALUE"""),423.1)</f>
        <v>423.1</v>
      </c>
      <c r="L1371" s="25">
        <f>IFERROR(__xludf.DUMMYFUNCTION("""COMPUTED_VALUE"""),424.58)</f>
        <v>424.58</v>
      </c>
      <c r="M1371" s="25">
        <f>IFERROR(__xludf.DUMMYFUNCTION("""COMPUTED_VALUE"""),1053301.0)</f>
        <v>1053301</v>
      </c>
    </row>
    <row r="1372">
      <c r="A1372" s="26">
        <f>IFERROR(__xludf.DUMMYFUNCTION("""COMPUTED_VALUE"""),40387.645833333336)</f>
        <v>40387.64583</v>
      </c>
      <c r="B1372" s="9">
        <f>IFERROR(__xludf.DUMMYFUNCTION("""COMPUTED_VALUE"""),353.63)</f>
        <v>353.63</v>
      </c>
      <c r="C1372" s="9">
        <f>IFERROR(__xludf.DUMMYFUNCTION("""COMPUTED_VALUE"""),354.81)</f>
        <v>354.81</v>
      </c>
      <c r="D1372" s="9">
        <f>IFERROR(__xludf.DUMMYFUNCTION("""COMPUTED_VALUE"""),351.5)</f>
        <v>351.5</v>
      </c>
      <c r="E1372" s="9">
        <f>IFERROR(__xludf.DUMMYFUNCTION("""COMPUTED_VALUE"""),354.01)</f>
        <v>354.01</v>
      </c>
      <c r="F1372" s="9">
        <f>IFERROR(__xludf.DUMMYFUNCTION("""COMPUTED_VALUE"""),465646.0)</f>
        <v>465646</v>
      </c>
      <c r="H1372" s="27">
        <f>IFERROR(__xludf.DUMMYFUNCTION("""COMPUTED_VALUE"""),40387.645833333336)</f>
        <v>40387.64583</v>
      </c>
      <c r="I1372" s="25">
        <f>IFERROR(__xludf.DUMMYFUNCTION("""COMPUTED_VALUE"""),425.5)</f>
        <v>425.5</v>
      </c>
      <c r="J1372" s="25">
        <f>IFERROR(__xludf.DUMMYFUNCTION("""COMPUTED_VALUE"""),428.98)</f>
        <v>428.98</v>
      </c>
      <c r="K1372" s="25">
        <f>IFERROR(__xludf.DUMMYFUNCTION("""COMPUTED_VALUE"""),423.5)</f>
        <v>423.5</v>
      </c>
      <c r="L1372" s="25">
        <f>IFERROR(__xludf.DUMMYFUNCTION("""COMPUTED_VALUE"""),427.23)</f>
        <v>427.23</v>
      </c>
      <c r="M1372" s="25">
        <f>IFERROR(__xludf.DUMMYFUNCTION("""COMPUTED_VALUE"""),2179614.0)</f>
        <v>2179614</v>
      </c>
    </row>
    <row r="1373">
      <c r="A1373" s="26">
        <f>IFERROR(__xludf.DUMMYFUNCTION("""COMPUTED_VALUE"""),40388.645833333336)</f>
        <v>40388.64583</v>
      </c>
      <c r="B1373" s="9">
        <f>IFERROR(__xludf.DUMMYFUNCTION("""COMPUTED_VALUE"""),353.1)</f>
        <v>353.1</v>
      </c>
      <c r="C1373" s="9">
        <f>IFERROR(__xludf.DUMMYFUNCTION("""COMPUTED_VALUE"""),355.0)</f>
        <v>355</v>
      </c>
      <c r="D1373" s="9">
        <f>IFERROR(__xludf.DUMMYFUNCTION("""COMPUTED_VALUE"""),351.36)</f>
        <v>351.36</v>
      </c>
      <c r="E1373" s="9">
        <f>IFERROR(__xludf.DUMMYFUNCTION("""COMPUTED_VALUE"""),354.14)</f>
        <v>354.14</v>
      </c>
      <c r="F1373" s="9">
        <f>IFERROR(__xludf.DUMMYFUNCTION("""COMPUTED_VALUE"""),451626.0)</f>
        <v>451626</v>
      </c>
      <c r="H1373" s="27">
        <f>IFERROR(__xludf.DUMMYFUNCTION("""COMPUTED_VALUE"""),40388.645833333336)</f>
        <v>40388.64583</v>
      </c>
      <c r="I1373" s="25">
        <f>IFERROR(__xludf.DUMMYFUNCTION("""COMPUTED_VALUE"""),427.5)</f>
        <v>427.5</v>
      </c>
      <c r="J1373" s="25">
        <f>IFERROR(__xludf.DUMMYFUNCTION("""COMPUTED_VALUE"""),427.5)</f>
        <v>427.5</v>
      </c>
      <c r="K1373" s="25">
        <f>IFERROR(__xludf.DUMMYFUNCTION("""COMPUTED_VALUE"""),424.5)</f>
        <v>424.5</v>
      </c>
      <c r="L1373" s="25">
        <f>IFERROR(__xludf.DUMMYFUNCTION("""COMPUTED_VALUE"""),425.0)</f>
        <v>425</v>
      </c>
      <c r="M1373" s="25">
        <f>IFERROR(__xludf.DUMMYFUNCTION("""COMPUTED_VALUE"""),2665952.0)</f>
        <v>2665952</v>
      </c>
    </row>
    <row r="1374">
      <c r="A1374" s="26">
        <f>IFERROR(__xludf.DUMMYFUNCTION("""COMPUTED_VALUE"""),40389.645833333336)</f>
        <v>40389.64583</v>
      </c>
      <c r="B1374" s="9">
        <f>IFERROR(__xludf.DUMMYFUNCTION("""COMPUTED_VALUE"""),351.88)</f>
        <v>351.88</v>
      </c>
      <c r="C1374" s="9">
        <f>IFERROR(__xludf.DUMMYFUNCTION("""COMPUTED_VALUE"""),353.91)</f>
        <v>353.91</v>
      </c>
      <c r="D1374" s="9">
        <f>IFERROR(__xludf.DUMMYFUNCTION("""COMPUTED_VALUE"""),345.0)</f>
        <v>345</v>
      </c>
      <c r="E1374" s="9">
        <f>IFERROR(__xludf.DUMMYFUNCTION("""COMPUTED_VALUE"""),348.55)</f>
        <v>348.55</v>
      </c>
      <c r="F1374" s="9">
        <f>IFERROR(__xludf.DUMMYFUNCTION("""COMPUTED_VALUE"""),559084.0)</f>
        <v>559084</v>
      </c>
      <c r="H1374" s="27">
        <f>IFERROR(__xludf.DUMMYFUNCTION("""COMPUTED_VALUE"""),40389.645833333336)</f>
        <v>40389.64583</v>
      </c>
      <c r="I1374" s="25">
        <f>IFERROR(__xludf.DUMMYFUNCTION("""COMPUTED_VALUE"""),424.5)</f>
        <v>424.5</v>
      </c>
      <c r="J1374" s="25">
        <f>IFERROR(__xludf.DUMMYFUNCTION("""COMPUTED_VALUE"""),425.0)</f>
        <v>425</v>
      </c>
      <c r="K1374" s="25">
        <f>IFERROR(__xludf.DUMMYFUNCTION("""COMPUTED_VALUE"""),417.5)</f>
        <v>417.5</v>
      </c>
      <c r="L1374" s="25">
        <f>IFERROR(__xludf.DUMMYFUNCTION("""COMPUTED_VALUE"""),419.9)</f>
        <v>419.9</v>
      </c>
      <c r="M1374" s="25">
        <f>IFERROR(__xludf.DUMMYFUNCTION("""COMPUTED_VALUE"""),641713.0)</f>
        <v>641713</v>
      </c>
    </row>
    <row r="1375">
      <c r="A1375" s="26">
        <f>IFERROR(__xludf.DUMMYFUNCTION("""COMPUTED_VALUE"""),40392.645833333336)</f>
        <v>40392.64583</v>
      </c>
      <c r="B1375" s="9">
        <f>IFERROR(__xludf.DUMMYFUNCTION("""COMPUTED_VALUE"""),350.0)</f>
        <v>350</v>
      </c>
      <c r="C1375" s="9">
        <f>IFERROR(__xludf.DUMMYFUNCTION("""COMPUTED_VALUE"""),351.6)</f>
        <v>351.6</v>
      </c>
      <c r="D1375" s="9">
        <f>IFERROR(__xludf.DUMMYFUNCTION("""COMPUTED_VALUE"""),347.64)</f>
        <v>347.64</v>
      </c>
      <c r="E1375" s="9">
        <f>IFERROR(__xludf.DUMMYFUNCTION("""COMPUTED_VALUE"""),349.62)</f>
        <v>349.62</v>
      </c>
      <c r="F1375" s="9">
        <f>IFERROR(__xludf.DUMMYFUNCTION("""COMPUTED_VALUE"""),476904.0)</f>
        <v>476904</v>
      </c>
      <c r="H1375" s="27">
        <f>IFERROR(__xludf.DUMMYFUNCTION("""COMPUTED_VALUE"""),40392.645833333336)</f>
        <v>40392.64583</v>
      </c>
      <c r="I1375" s="25">
        <f>IFERROR(__xludf.DUMMYFUNCTION("""COMPUTED_VALUE"""),421.5)</f>
        <v>421.5</v>
      </c>
      <c r="J1375" s="25">
        <f>IFERROR(__xludf.DUMMYFUNCTION("""COMPUTED_VALUE"""),424.23)</f>
        <v>424.23</v>
      </c>
      <c r="K1375" s="25">
        <f>IFERROR(__xludf.DUMMYFUNCTION("""COMPUTED_VALUE"""),418.5)</f>
        <v>418.5</v>
      </c>
      <c r="L1375" s="25">
        <f>IFERROR(__xludf.DUMMYFUNCTION("""COMPUTED_VALUE"""),419.15)</f>
        <v>419.15</v>
      </c>
      <c r="M1375" s="25">
        <f>IFERROR(__xludf.DUMMYFUNCTION("""COMPUTED_VALUE"""),1413881.0)</f>
        <v>1413881</v>
      </c>
    </row>
    <row r="1376">
      <c r="A1376" s="26">
        <f>IFERROR(__xludf.DUMMYFUNCTION("""COMPUTED_VALUE"""),40393.645833333336)</f>
        <v>40393.64583</v>
      </c>
      <c r="B1376" s="9">
        <f>IFERROR(__xludf.DUMMYFUNCTION("""COMPUTED_VALUE"""),350.63)</f>
        <v>350.63</v>
      </c>
      <c r="C1376" s="9">
        <f>IFERROR(__xludf.DUMMYFUNCTION("""COMPUTED_VALUE"""),352.38)</f>
        <v>352.38</v>
      </c>
      <c r="D1376" s="9">
        <f>IFERROR(__xludf.DUMMYFUNCTION("""COMPUTED_VALUE"""),346.19)</f>
        <v>346.19</v>
      </c>
      <c r="E1376" s="9">
        <f>IFERROR(__xludf.DUMMYFUNCTION("""COMPUTED_VALUE"""),348.04)</f>
        <v>348.04</v>
      </c>
      <c r="F1376" s="9">
        <f>IFERROR(__xludf.DUMMYFUNCTION("""COMPUTED_VALUE"""),304323.0)</f>
        <v>304323</v>
      </c>
      <c r="H1376" s="27">
        <f>IFERROR(__xludf.DUMMYFUNCTION("""COMPUTED_VALUE"""),40393.645833333336)</f>
        <v>40393.64583</v>
      </c>
      <c r="I1376" s="25">
        <f>IFERROR(__xludf.DUMMYFUNCTION("""COMPUTED_VALUE"""),420.5)</f>
        <v>420.5</v>
      </c>
      <c r="J1376" s="25">
        <f>IFERROR(__xludf.DUMMYFUNCTION("""COMPUTED_VALUE"""),422.25)</f>
        <v>422.25</v>
      </c>
      <c r="K1376" s="25">
        <f>IFERROR(__xludf.DUMMYFUNCTION("""COMPUTED_VALUE"""),414.28)</f>
        <v>414.28</v>
      </c>
      <c r="L1376" s="25">
        <f>IFERROR(__xludf.DUMMYFUNCTION("""COMPUTED_VALUE"""),416.03)</f>
        <v>416.03</v>
      </c>
      <c r="M1376" s="25">
        <f>IFERROR(__xludf.DUMMYFUNCTION("""COMPUTED_VALUE"""),640776.0)</f>
        <v>640776</v>
      </c>
    </row>
    <row r="1377">
      <c r="A1377" s="26">
        <f>IFERROR(__xludf.DUMMYFUNCTION("""COMPUTED_VALUE"""),40394.645833333336)</f>
        <v>40394.64583</v>
      </c>
      <c r="B1377" s="9">
        <f>IFERROR(__xludf.DUMMYFUNCTION("""COMPUTED_VALUE"""),348.75)</f>
        <v>348.75</v>
      </c>
      <c r="C1377" s="9">
        <f>IFERROR(__xludf.DUMMYFUNCTION("""COMPUTED_VALUE"""),361.5)</f>
        <v>361.5</v>
      </c>
      <c r="D1377" s="9">
        <f>IFERROR(__xludf.DUMMYFUNCTION("""COMPUTED_VALUE"""),348.75)</f>
        <v>348.75</v>
      </c>
      <c r="E1377" s="9">
        <f>IFERROR(__xludf.DUMMYFUNCTION("""COMPUTED_VALUE"""),359.31)</f>
        <v>359.31</v>
      </c>
      <c r="F1377" s="9">
        <f>IFERROR(__xludf.DUMMYFUNCTION("""COMPUTED_VALUE"""),1192003.0)</f>
        <v>1192003</v>
      </c>
      <c r="H1377" s="27">
        <f>IFERROR(__xludf.DUMMYFUNCTION("""COMPUTED_VALUE"""),40394.645833333336)</f>
        <v>40394.64583</v>
      </c>
      <c r="I1377" s="25">
        <f>IFERROR(__xludf.DUMMYFUNCTION("""COMPUTED_VALUE"""),418.0)</f>
        <v>418</v>
      </c>
      <c r="J1377" s="25">
        <f>IFERROR(__xludf.DUMMYFUNCTION("""COMPUTED_VALUE"""),436.0)</f>
        <v>436</v>
      </c>
      <c r="K1377" s="25">
        <f>IFERROR(__xludf.DUMMYFUNCTION("""COMPUTED_VALUE"""),417.92)</f>
        <v>417.92</v>
      </c>
      <c r="L1377" s="25">
        <f>IFERROR(__xludf.DUMMYFUNCTION("""COMPUTED_VALUE"""),434.4)</f>
        <v>434.4</v>
      </c>
      <c r="M1377" s="25">
        <f>IFERROR(__xludf.DUMMYFUNCTION("""COMPUTED_VALUE"""),2791967.0)</f>
        <v>2791967</v>
      </c>
    </row>
    <row r="1378">
      <c r="A1378" s="26">
        <f>IFERROR(__xludf.DUMMYFUNCTION("""COMPUTED_VALUE"""),40395.645833333336)</f>
        <v>40395.64583</v>
      </c>
      <c r="B1378" s="9">
        <f>IFERROR(__xludf.DUMMYFUNCTION("""COMPUTED_VALUE"""),360.0)</f>
        <v>360</v>
      </c>
      <c r="C1378" s="9">
        <f>IFERROR(__xludf.DUMMYFUNCTION("""COMPUTED_VALUE"""),363.35)</f>
        <v>363.35</v>
      </c>
      <c r="D1378" s="9">
        <f>IFERROR(__xludf.DUMMYFUNCTION("""COMPUTED_VALUE"""),357.69)</f>
        <v>357.69</v>
      </c>
      <c r="E1378" s="9">
        <f>IFERROR(__xludf.DUMMYFUNCTION("""COMPUTED_VALUE"""),358.66)</f>
        <v>358.66</v>
      </c>
      <c r="F1378" s="9">
        <f>IFERROR(__xludf.DUMMYFUNCTION("""COMPUTED_VALUE"""),824287.0)</f>
        <v>824287</v>
      </c>
      <c r="H1378" s="27">
        <f>IFERROR(__xludf.DUMMYFUNCTION("""COMPUTED_VALUE"""),40395.645833333336)</f>
        <v>40395.64583</v>
      </c>
      <c r="I1378" s="25">
        <f>IFERROR(__xludf.DUMMYFUNCTION("""COMPUTED_VALUE"""),436.0)</f>
        <v>436</v>
      </c>
      <c r="J1378" s="25">
        <f>IFERROR(__xludf.DUMMYFUNCTION("""COMPUTED_VALUE"""),441.2)</f>
        <v>441.2</v>
      </c>
      <c r="K1378" s="25">
        <f>IFERROR(__xludf.DUMMYFUNCTION("""COMPUTED_VALUE"""),432.83)</f>
        <v>432.83</v>
      </c>
      <c r="L1378" s="25">
        <f>IFERROR(__xludf.DUMMYFUNCTION("""COMPUTED_VALUE"""),438.92)</f>
        <v>438.92</v>
      </c>
      <c r="M1378" s="25">
        <f>IFERROR(__xludf.DUMMYFUNCTION("""COMPUTED_VALUE"""),1456475.0)</f>
        <v>1456475</v>
      </c>
    </row>
    <row r="1379">
      <c r="A1379" s="26">
        <f>IFERROR(__xludf.DUMMYFUNCTION("""COMPUTED_VALUE"""),40396.645833333336)</f>
        <v>40396.64583</v>
      </c>
      <c r="B1379" s="9">
        <f>IFERROR(__xludf.DUMMYFUNCTION("""COMPUTED_VALUE"""),357.63)</f>
        <v>357.63</v>
      </c>
      <c r="C1379" s="9">
        <f>IFERROR(__xludf.DUMMYFUNCTION("""COMPUTED_VALUE"""),361.5)</f>
        <v>361.5</v>
      </c>
      <c r="D1379" s="9">
        <f>IFERROR(__xludf.DUMMYFUNCTION("""COMPUTED_VALUE"""),356.5)</f>
        <v>356.5</v>
      </c>
      <c r="E1379" s="9">
        <f>IFERROR(__xludf.DUMMYFUNCTION("""COMPUTED_VALUE"""),357.98)</f>
        <v>357.98</v>
      </c>
      <c r="F1379" s="9">
        <f>IFERROR(__xludf.DUMMYFUNCTION("""COMPUTED_VALUE"""),459560.0)</f>
        <v>459560</v>
      </c>
      <c r="H1379" s="27">
        <f>IFERROR(__xludf.DUMMYFUNCTION("""COMPUTED_VALUE"""),40396.645833333336)</f>
        <v>40396.64583</v>
      </c>
      <c r="I1379" s="25">
        <f>IFERROR(__xludf.DUMMYFUNCTION("""COMPUTED_VALUE"""),440.0)</f>
        <v>440</v>
      </c>
      <c r="J1379" s="25">
        <f>IFERROR(__xludf.DUMMYFUNCTION("""COMPUTED_VALUE"""),441.75)</f>
        <v>441.75</v>
      </c>
      <c r="K1379" s="25">
        <f>IFERROR(__xludf.DUMMYFUNCTION("""COMPUTED_VALUE"""),430.33)</f>
        <v>430.33</v>
      </c>
      <c r="L1379" s="25">
        <f>IFERROR(__xludf.DUMMYFUNCTION("""COMPUTED_VALUE"""),432.35)</f>
        <v>432.35</v>
      </c>
      <c r="M1379" s="25">
        <f>IFERROR(__xludf.DUMMYFUNCTION("""COMPUTED_VALUE"""),1218867.0)</f>
        <v>1218867</v>
      </c>
    </row>
    <row r="1380">
      <c r="A1380" s="26">
        <f>IFERROR(__xludf.DUMMYFUNCTION("""COMPUTED_VALUE"""),40399.645833333336)</f>
        <v>40399.64583</v>
      </c>
      <c r="B1380" s="9">
        <f>IFERROR(__xludf.DUMMYFUNCTION("""COMPUTED_VALUE"""),356.06)</f>
        <v>356.06</v>
      </c>
      <c r="C1380" s="9">
        <f>IFERROR(__xludf.DUMMYFUNCTION("""COMPUTED_VALUE"""),360.36)</f>
        <v>360.36</v>
      </c>
      <c r="D1380" s="9">
        <f>IFERROR(__xludf.DUMMYFUNCTION("""COMPUTED_VALUE"""),352.03)</f>
        <v>352.03</v>
      </c>
      <c r="E1380" s="9">
        <f>IFERROR(__xludf.DUMMYFUNCTION("""COMPUTED_VALUE"""),359.33)</f>
        <v>359.33</v>
      </c>
      <c r="F1380" s="9">
        <f>IFERROR(__xludf.DUMMYFUNCTION("""COMPUTED_VALUE"""),525193.0)</f>
        <v>525193</v>
      </c>
      <c r="H1380" s="27">
        <f>IFERROR(__xludf.DUMMYFUNCTION("""COMPUTED_VALUE"""),40399.645833333336)</f>
        <v>40399.64583</v>
      </c>
      <c r="I1380" s="25">
        <f>IFERROR(__xludf.DUMMYFUNCTION("""COMPUTED_VALUE"""),430.58)</f>
        <v>430.58</v>
      </c>
      <c r="J1380" s="25">
        <f>IFERROR(__xludf.DUMMYFUNCTION("""COMPUTED_VALUE"""),441.85)</f>
        <v>441.85</v>
      </c>
      <c r="K1380" s="25">
        <f>IFERROR(__xludf.DUMMYFUNCTION("""COMPUTED_VALUE"""),423.05)</f>
        <v>423.05</v>
      </c>
      <c r="L1380" s="25">
        <f>IFERROR(__xludf.DUMMYFUNCTION("""COMPUTED_VALUE"""),439.92)</f>
        <v>439.92</v>
      </c>
      <c r="M1380" s="25">
        <f>IFERROR(__xludf.DUMMYFUNCTION("""COMPUTED_VALUE"""),2129993.0)</f>
        <v>2129993</v>
      </c>
    </row>
    <row r="1381">
      <c r="A1381" s="26">
        <f>IFERROR(__xludf.DUMMYFUNCTION("""COMPUTED_VALUE"""),40400.645833333336)</f>
        <v>40400.64583</v>
      </c>
      <c r="B1381" s="9">
        <f>IFERROR(__xludf.DUMMYFUNCTION("""COMPUTED_VALUE"""),358.75)</f>
        <v>358.75</v>
      </c>
      <c r="C1381" s="9">
        <f>IFERROR(__xludf.DUMMYFUNCTION("""COMPUTED_VALUE"""),358.75)</f>
        <v>358.75</v>
      </c>
      <c r="D1381" s="9">
        <f>IFERROR(__xludf.DUMMYFUNCTION("""COMPUTED_VALUE"""),351.88)</f>
        <v>351.88</v>
      </c>
      <c r="E1381" s="9">
        <f>IFERROR(__xludf.DUMMYFUNCTION("""COMPUTED_VALUE"""),353.63)</f>
        <v>353.63</v>
      </c>
      <c r="F1381" s="9">
        <f>IFERROR(__xludf.DUMMYFUNCTION("""COMPUTED_VALUE"""),601498.0)</f>
        <v>601498</v>
      </c>
      <c r="H1381" s="27">
        <f>IFERROR(__xludf.DUMMYFUNCTION("""COMPUTED_VALUE"""),40400.645833333336)</f>
        <v>40400.64583</v>
      </c>
      <c r="I1381" s="25">
        <f>IFERROR(__xludf.DUMMYFUNCTION("""COMPUTED_VALUE"""),442.5)</f>
        <v>442.5</v>
      </c>
      <c r="J1381" s="25">
        <f>IFERROR(__xludf.DUMMYFUNCTION("""COMPUTED_VALUE"""),442.5)</f>
        <v>442.5</v>
      </c>
      <c r="K1381" s="25">
        <f>IFERROR(__xludf.DUMMYFUNCTION("""COMPUTED_VALUE"""),430.7)</f>
        <v>430.7</v>
      </c>
      <c r="L1381" s="25">
        <f>IFERROR(__xludf.DUMMYFUNCTION("""COMPUTED_VALUE"""),432.25)</f>
        <v>432.25</v>
      </c>
      <c r="M1381" s="25">
        <f>IFERROR(__xludf.DUMMYFUNCTION("""COMPUTED_VALUE"""),772597.0)</f>
        <v>772597</v>
      </c>
    </row>
    <row r="1382">
      <c r="A1382" s="26">
        <f>IFERROR(__xludf.DUMMYFUNCTION("""COMPUTED_VALUE"""),40401.645833333336)</f>
        <v>40401.64583</v>
      </c>
      <c r="B1382" s="9">
        <f>IFERROR(__xludf.DUMMYFUNCTION("""COMPUTED_VALUE"""),354.25)</f>
        <v>354.25</v>
      </c>
      <c r="C1382" s="9">
        <f>IFERROR(__xludf.DUMMYFUNCTION("""COMPUTED_VALUE"""),357.24)</f>
        <v>357.24</v>
      </c>
      <c r="D1382" s="9">
        <f>IFERROR(__xludf.DUMMYFUNCTION("""COMPUTED_VALUE"""),350.0)</f>
        <v>350</v>
      </c>
      <c r="E1382" s="9">
        <f>IFERROR(__xludf.DUMMYFUNCTION("""COMPUTED_VALUE"""),351.36)</f>
        <v>351.36</v>
      </c>
      <c r="F1382" s="9">
        <f>IFERROR(__xludf.DUMMYFUNCTION("""COMPUTED_VALUE"""),668100.0)</f>
        <v>668100</v>
      </c>
      <c r="H1382" s="27">
        <f>IFERROR(__xludf.DUMMYFUNCTION("""COMPUTED_VALUE"""),40401.645833333336)</f>
        <v>40401.64583</v>
      </c>
      <c r="I1382" s="25">
        <f>IFERROR(__xludf.DUMMYFUNCTION("""COMPUTED_VALUE"""),431.0)</f>
        <v>431</v>
      </c>
      <c r="J1382" s="25">
        <f>IFERROR(__xludf.DUMMYFUNCTION("""COMPUTED_VALUE"""),436.5)</f>
        <v>436.5</v>
      </c>
      <c r="K1382" s="25">
        <f>IFERROR(__xludf.DUMMYFUNCTION("""COMPUTED_VALUE"""),427.4)</f>
        <v>427.4</v>
      </c>
      <c r="L1382" s="25">
        <f>IFERROR(__xludf.DUMMYFUNCTION("""COMPUTED_VALUE"""),429.08)</f>
        <v>429.08</v>
      </c>
      <c r="M1382" s="25">
        <f>IFERROR(__xludf.DUMMYFUNCTION("""COMPUTED_VALUE"""),2010124.0)</f>
        <v>2010124</v>
      </c>
    </row>
    <row r="1383">
      <c r="A1383" s="26">
        <f>IFERROR(__xludf.DUMMYFUNCTION("""COMPUTED_VALUE"""),40402.645833333336)</f>
        <v>40402.64583</v>
      </c>
      <c r="B1383" s="9">
        <f>IFERROR(__xludf.DUMMYFUNCTION("""COMPUTED_VALUE"""),349.5)</f>
        <v>349.5</v>
      </c>
      <c r="C1383" s="9">
        <f>IFERROR(__xludf.DUMMYFUNCTION("""COMPUTED_VALUE"""),349.5)</f>
        <v>349.5</v>
      </c>
      <c r="D1383" s="9">
        <f>IFERROR(__xludf.DUMMYFUNCTION("""COMPUTED_VALUE"""),344.25)</f>
        <v>344.25</v>
      </c>
      <c r="E1383" s="9">
        <f>IFERROR(__xludf.DUMMYFUNCTION("""COMPUTED_VALUE"""),346.59)</f>
        <v>346.59</v>
      </c>
      <c r="F1383" s="9">
        <f>IFERROR(__xludf.DUMMYFUNCTION("""COMPUTED_VALUE"""),871675.0)</f>
        <v>871675</v>
      </c>
      <c r="H1383" s="27">
        <f>IFERROR(__xludf.DUMMYFUNCTION("""COMPUTED_VALUE"""),40402.645833333336)</f>
        <v>40402.64583</v>
      </c>
      <c r="I1383" s="25">
        <f>IFERROR(__xludf.DUMMYFUNCTION("""COMPUTED_VALUE"""),428.45)</f>
        <v>428.45</v>
      </c>
      <c r="J1383" s="25">
        <f>IFERROR(__xludf.DUMMYFUNCTION("""COMPUTED_VALUE"""),428.45)</f>
        <v>428.45</v>
      </c>
      <c r="K1383" s="25">
        <f>IFERROR(__xludf.DUMMYFUNCTION("""COMPUTED_VALUE"""),423.1)</f>
        <v>423.1</v>
      </c>
      <c r="L1383" s="25">
        <f>IFERROR(__xludf.DUMMYFUNCTION("""COMPUTED_VALUE"""),426.73)</f>
        <v>426.73</v>
      </c>
      <c r="M1383" s="25">
        <f>IFERROR(__xludf.DUMMYFUNCTION("""COMPUTED_VALUE"""),1139046.0)</f>
        <v>1139046</v>
      </c>
    </row>
    <row r="1384">
      <c r="A1384" s="26">
        <f>IFERROR(__xludf.DUMMYFUNCTION("""COMPUTED_VALUE"""),40403.645833333336)</f>
        <v>40403.64583</v>
      </c>
      <c r="B1384" s="9">
        <f>IFERROR(__xludf.DUMMYFUNCTION("""COMPUTED_VALUE"""),346.88)</f>
        <v>346.88</v>
      </c>
      <c r="C1384" s="9">
        <f>IFERROR(__xludf.DUMMYFUNCTION("""COMPUTED_VALUE"""),349.75)</f>
        <v>349.75</v>
      </c>
      <c r="D1384" s="9">
        <f>IFERROR(__xludf.DUMMYFUNCTION("""COMPUTED_VALUE"""),344.38)</f>
        <v>344.38</v>
      </c>
      <c r="E1384" s="9">
        <f>IFERROR(__xludf.DUMMYFUNCTION("""COMPUTED_VALUE"""),347.16)</f>
        <v>347.16</v>
      </c>
      <c r="F1384" s="9">
        <f>IFERROR(__xludf.DUMMYFUNCTION("""COMPUTED_VALUE"""),695226.0)</f>
        <v>695226</v>
      </c>
      <c r="H1384" s="27">
        <f>IFERROR(__xludf.DUMMYFUNCTION("""COMPUTED_VALUE"""),40403.645833333336)</f>
        <v>40403.64583</v>
      </c>
      <c r="I1384" s="25">
        <f>IFERROR(__xludf.DUMMYFUNCTION("""COMPUTED_VALUE"""),428.5)</f>
        <v>428.5</v>
      </c>
      <c r="J1384" s="25">
        <f>IFERROR(__xludf.DUMMYFUNCTION("""COMPUTED_VALUE"""),431.45)</f>
        <v>431.45</v>
      </c>
      <c r="K1384" s="25">
        <f>IFERROR(__xludf.DUMMYFUNCTION("""COMPUTED_VALUE"""),419.0)</f>
        <v>419</v>
      </c>
      <c r="L1384" s="25">
        <f>IFERROR(__xludf.DUMMYFUNCTION("""COMPUTED_VALUE"""),427.2)</f>
        <v>427.2</v>
      </c>
      <c r="M1384" s="25">
        <f>IFERROR(__xludf.DUMMYFUNCTION("""COMPUTED_VALUE"""),1294953.0)</f>
        <v>1294953</v>
      </c>
    </row>
    <row r="1385">
      <c r="A1385" s="26">
        <f>IFERROR(__xludf.DUMMYFUNCTION("""COMPUTED_VALUE"""),40406.645833333336)</f>
        <v>40406.64583</v>
      </c>
      <c r="B1385" s="9">
        <f>IFERROR(__xludf.DUMMYFUNCTION("""COMPUTED_VALUE"""),345.0)</f>
        <v>345</v>
      </c>
      <c r="C1385" s="9">
        <f>IFERROR(__xludf.DUMMYFUNCTION("""COMPUTED_VALUE"""),347.25)</f>
        <v>347.25</v>
      </c>
      <c r="D1385" s="9">
        <f>IFERROR(__xludf.DUMMYFUNCTION("""COMPUTED_VALUE"""),343.75)</f>
        <v>343.75</v>
      </c>
      <c r="E1385" s="9">
        <f>IFERROR(__xludf.DUMMYFUNCTION("""COMPUTED_VALUE"""),345.24)</f>
        <v>345.24</v>
      </c>
      <c r="F1385" s="9">
        <f>IFERROR(__xludf.DUMMYFUNCTION("""COMPUTED_VALUE"""),649201.0)</f>
        <v>649201</v>
      </c>
      <c r="H1385" s="27">
        <f>IFERROR(__xludf.DUMMYFUNCTION("""COMPUTED_VALUE"""),40406.645833333336)</f>
        <v>40406.64583</v>
      </c>
      <c r="I1385" s="25">
        <f>IFERROR(__xludf.DUMMYFUNCTION("""COMPUTED_VALUE"""),428.5)</f>
        <v>428.5</v>
      </c>
      <c r="J1385" s="25">
        <f>IFERROR(__xludf.DUMMYFUNCTION("""COMPUTED_VALUE"""),431.28)</f>
        <v>431.28</v>
      </c>
      <c r="K1385" s="25">
        <f>IFERROR(__xludf.DUMMYFUNCTION("""COMPUTED_VALUE"""),424.4)</f>
        <v>424.4</v>
      </c>
      <c r="L1385" s="25">
        <f>IFERROR(__xludf.DUMMYFUNCTION("""COMPUTED_VALUE"""),427.05)</f>
        <v>427.05</v>
      </c>
      <c r="M1385" s="25">
        <f>IFERROR(__xludf.DUMMYFUNCTION("""COMPUTED_VALUE"""),659549.0)</f>
        <v>659549</v>
      </c>
    </row>
    <row r="1386">
      <c r="A1386" s="26">
        <f>IFERROR(__xludf.DUMMYFUNCTION("""COMPUTED_VALUE"""),40407.645833333336)</f>
        <v>40407.64583</v>
      </c>
      <c r="B1386" s="9">
        <f>IFERROR(__xludf.DUMMYFUNCTION("""COMPUTED_VALUE"""),344.38)</f>
        <v>344.38</v>
      </c>
      <c r="C1386" s="9">
        <f>IFERROR(__xludf.DUMMYFUNCTION("""COMPUTED_VALUE"""),347.06)</f>
        <v>347.06</v>
      </c>
      <c r="D1386" s="9">
        <f>IFERROR(__xludf.DUMMYFUNCTION("""COMPUTED_VALUE"""),341.25)</f>
        <v>341.25</v>
      </c>
      <c r="E1386" s="9">
        <f>IFERROR(__xludf.DUMMYFUNCTION("""COMPUTED_VALUE"""),343.81)</f>
        <v>343.81</v>
      </c>
      <c r="F1386" s="9">
        <f>IFERROR(__xludf.DUMMYFUNCTION("""COMPUTED_VALUE"""),642580.0)</f>
        <v>642580</v>
      </c>
      <c r="H1386" s="27">
        <f>IFERROR(__xludf.DUMMYFUNCTION("""COMPUTED_VALUE"""),40407.645833333336)</f>
        <v>40407.64583</v>
      </c>
      <c r="I1386" s="25">
        <f>IFERROR(__xludf.DUMMYFUNCTION("""COMPUTED_VALUE"""),425.05)</f>
        <v>425.05</v>
      </c>
      <c r="J1386" s="25">
        <f>IFERROR(__xludf.DUMMYFUNCTION("""COMPUTED_VALUE"""),430.5)</f>
        <v>430.5</v>
      </c>
      <c r="K1386" s="25">
        <f>IFERROR(__xludf.DUMMYFUNCTION("""COMPUTED_VALUE"""),422.0)</f>
        <v>422</v>
      </c>
      <c r="L1386" s="25">
        <f>IFERROR(__xludf.DUMMYFUNCTION("""COMPUTED_VALUE"""),425.1)</f>
        <v>425.1</v>
      </c>
      <c r="M1386" s="25">
        <f>IFERROR(__xludf.DUMMYFUNCTION("""COMPUTED_VALUE"""),866598.0)</f>
        <v>866598</v>
      </c>
    </row>
    <row r="1387">
      <c r="A1387" s="26">
        <f>IFERROR(__xludf.DUMMYFUNCTION("""COMPUTED_VALUE"""),40408.645833333336)</f>
        <v>40408.64583</v>
      </c>
      <c r="B1387" s="9">
        <f>IFERROR(__xludf.DUMMYFUNCTION("""COMPUTED_VALUE"""),345.64)</f>
        <v>345.64</v>
      </c>
      <c r="C1387" s="9">
        <f>IFERROR(__xludf.DUMMYFUNCTION("""COMPUTED_VALUE"""),352.44)</f>
        <v>352.44</v>
      </c>
      <c r="D1387" s="9">
        <f>IFERROR(__xludf.DUMMYFUNCTION("""COMPUTED_VALUE"""),344.77)</f>
        <v>344.77</v>
      </c>
      <c r="E1387" s="9">
        <f>IFERROR(__xludf.DUMMYFUNCTION("""COMPUTED_VALUE"""),350.91)</f>
        <v>350.91</v>
      </c>
      <c r="F1387" s="9">
        <f>IFERROR(__xludf.DUMMYFUNCTION("""COMPUTED_VALUE"""),766018.0)</f>
        <v>766018</v>
      </c>
      <c r="H1387" s="27">
        <f>IFERROR(__xludf.DUMMYFUNCTION("""COMPUTED_VALUE"""),40408.645833333336)</f>
        <v>40408.64583</v>
      </c>
      <c r="I1387" s="25">
        <f>IFERROR(__xludf.DUMMYFUNCTION("""COMPUTED_VALUE"""),426.5)</f>
        <v>426.5</v>
      </c>
      <c r="J1387" s="25">
        <f>IFERROR(__xludf.DUMMYFUNCTION("""COMPUTED_VALUE"""),437.9)</f>
        <v>437.9</v>
      </c>
      <c r="K1387" s="25">
        <f>IFERROR(__xludf.DUMMYFUNCTION("""COMPUTED_VALUE"""),425.0)</f>
        <v>425</v>
      </c>
      <c r="L1387" s="25">
        <f>IFERROR(__xludf.DUMMYFUNCTION("""COMPUTED_VALUE"""),435.55)</f>
        <v>435.55</v>
      </c>
      <c r="M1387" s="25">
        <f>IFERROR(__xludf.DUMMYFUNCTION("""COMPUTED_VALUE"""),1444458.0)</f>
        <v>1444458</v>
      </c>
    </row>
    <row r="1388">
      <c r="A1388" s="26">
        <f>IFERROR(__xludf.DUMMYFUNCTION("""COMPUTED_VALUE"""),40409.645833333336)</f>
        <v>40409.64583</v>
      </c>
      <c r="B1388" s="9">
        <f>IFERROR(__xludf.DUMMYFUNCTION("""COMPUTED_VALUE"""),351.88)</f>
        <v>351.88</v>
      </c>
      <c r="C1388" s="9">
        <f>IFERROR(__xludf.DUMMYFUNCTION("""COMPUTED_VALUE"""),353.13)</f>
        <v>353.13</v>
      </c>
      <c r="D1388" s="9">
        <f>IFERROR(__xludf.DUMMYFUNCTION("""COMPUTED_VALUE"""),348.49)</f>
        <v>348.49</v>
      </c>
      <c r="E1388" s="9">
        <f>IFERROR(__xludf.DUMMYFUNCTION("""COMPUTED_VALUE"""),350.58)</f>
        <v>350.58</v>
      </c>
      <c r="F1388" s="9">
        <f>IFERROR(__xludf.DUMMYFUNCTION("""COMPUTED_VALUE"""),603343.0)</f>
        <v>603343</v>
      </c>
      <c r="H1388" s="27">
        <f>IFERROR(__xludf.DUMMYFUNCTION("""COMPUTED_VALUE"""),40409.645833333336)</f>
        <v>40409.64583</v>
      </c>
      <c r="I1388" s="25">
        <f>IFERROR(__xludf.DUMMYFUNCTION("""COMPUTED_VALUE"""),437.0)</f>
        <v>437</v>
      </c>
      <c r="J1388" s="25">
        <f>IFERROR(__xludf.DUMMYFUNCTION("""COMPUTED_VALUE"""),440.45)</f>
        <v>440.45</v>
      </c>
      <c r="K1388" s="25">
        <f>IFERROR(__xludf.DUMMYFUNCTION("""COMPUTED_VALUE"""),433.65)</f>
        <v>433.65</v>
      </c>
      <c r="L1388" s="25">
        <f>IFERROR(__xludf.DUMMYFUNCTION("""COMPUTED_VALUE"""),436.03)</f>
        <v>436.03</v>
      </c>
      <c r="M1388" s="25">
        <f>IFERROR(__xludf.DUMMYFUNCTION("""COMPUTED_VALUE"""),1074267.0)</f>
        <v>1074267</v>
      </c>
    </row>
    <row r="1389">
      <c r="A1389" s="26">
        <f>IFERROR(__xludf.DUMMYFUNCTION("""COMPUTED_VALUE"""),40410.645833333336)</f>
        <v>40410.64583</v>
      </c>
      <c r="B1389" s="9">
        <f>IFERROR(__xludf.DUMMYFUNCTION("""COMPUTED_VALUE"""),350.38)</f>
        <v>350.38</v>
      </c>
      <c r="C1389" s="9">
        <f>IFERROR(__xludf.DUMMYFUNCTION("""COMPUTED_VALUE"""),350.38)</f>
        <v>350.38</v>
      </c>
      <c r="D1389" s="9">
        <f>IFERROR(__xludf.DUMMYFUNCTION("""COMPUTED_VALUE"""),344.25)</f>
        <v>344.25</v>
      </c>
      <c r="E1389" s="9">
        <f>IFERROR(__xludf.DUMMYFUNCTION("""COMPUTED_VALUE"""),346.2)</f>
        <v>346.2</v>
      </c>
      <c r="F1389" s="9">
        <f>IFERROR(__xludf.DUMMYFUNCTION("""COMPUTED_VALUE"""),578103.0)</f>
        <v>578103</v>
      </c>
      <c r="H1389" s="27">
        <f>IFERROR(__xludf.DUMMYFUNCTION("""COMPUTED_VALUE"""),40410.645833333336)</f>
        <v>40410.64583</v>
      </c>
      <c r="I1389" s="25">
        <f>IFERROR(__xludf.DUMMYFUNCTION("""COMPUTED_VALUE"""),434.5)</f>
        <v>434.5</v>
      </c>
      <c r="J1389" s="25">
        <f>IFERROR(__xludf.DUMMYFUNCTION("""COMPUTED_VALUE"""),439.95)</f>
        <v>439.95</v>
      </c>
      <c r="K1389" s="25">
        <f>IFERROR(__xludf.DUMMYFUNCTION("""COMPUTED_VALUE"""),431.5)</f>
        <v>431.5</v>
      </c>
      <c r="L1389" s="25">
        <f>IFERROR(__xludf.DUMMYFUNCTION("""COMPUTED_VALUE"""),434.48)</f>
        <v>434.48</v>
      </c>
      <c r="M1389" s="25">
        <f>IFERROR(__xludf.DUMMYFUNCTION("""COMPUTED_VALUE"""),873198.0)</f>
        <v>873198</v>
      </c>
    </row>
    <row r="1390">
      <c r="A1390" s="26">
        <f>IFERROR(__xludf.DUMMYFUNCTION("""COMPUTED_VALUE"""),40413.645833333336)</f>
        <v>40413.64583</v>
      </c>
      <c r="B1390" s="9">
        <f>IFERROR(__xludf.DUMMYFUNCTION("""COMPUTED_VALUE"""),346.5)</f>
        <v>346.5</v>
      </c>
      <c r="C1390" s="9">
        <f>IFERROR(__xludf.DUMMYFUNCTION("""COMPUTED_VALUE"""),351.25)</f>
        <v>351.25</v>
      </c>
      <c r="D1390" s="9">
        <f>IFERROR(__xludf.DUMMYFUNCTION("""COMPUTED_VALUE"""),345.16)</f>
        <v>345.16</v>
      </c>
      <c r="E1390" s="9">
        <f>IFERROR(__xludf.DUMMYFUNCTION("""COMPUTED_VALUE"""),350.39)</f>
        <v>350.39</v>
      </c>
      <c r="F1390" s="9">
        <f>IFERROR(__xludf.DUMMYFUNCTION("""COMPUTED_VALUE"""),563979.0)</f>
        <v>563979</v>
      </c>
      <c r="H1390" s="27">
        <f>IFERROR(__xludf.DUMMYFUNCTION("""COMPUTED_VALUE"""),40413.645833333336)</f>
        <v>40413.64583</v>
      </c>
      <c r="I1390" s="25">
        <f>IFERROR(__xludf.DUMMYFUNCTION("""COMPUTED_VALUE"""),430.0)</f>
        <v>430</v>
      </c>
      <c r="J1390" s="25">
        <f>IFERROR(__xludf.DUMMYFUNCTION("""COMPUTED_VALUE"""),437.73)</f>
        <v>437.73</v>
      </c>
      <c r="K1390" s="25">
        <f>IFERROR(__xludf.DUMMYFUNCTION("""COMPUTED_VALUE"""),428.53)</f>
        <v>428.53</v>
      </c>
      <c r="L1390" s="25">
        <f>IFERROR(__xludf.DUMMYFUNCTION("""COMPUTED_VALUE"""),435.2)</f>
        <v>435.2</v>
      </c>
      <c r="M1390" s="25">
        <f>IFERROR(__xludf.DUMMYFUNCTION("""COMPUTED_VALUE"""),524915.0)</f>
        <v>524915</v>
      </c>
    </row>
    <row r="1391">
      <c r="A1391" s="26">
        <f>IFERROR(__xludf.DUMMYFUNCTION("""COMPUTED_VALUE"""),40414.645833333336)</f>
        <v>40414.64583</v>
      </c>
      <c r="B1391" s="9">
        <f>IFERROR(__xludf.DUMMYFUNCTION("""COMPUTED_VALUE"""),348.63)</f>
        <v>348.63</v>
      </c>
      <c r="C1391" s="9">
        <f>IFERROR(__xludf.DUMMYFUNCTION("""COMPUTED_VALUE"""),348.63)</f>
        <v>348.63</v>
      </c>
      <c r="D1391" s="9">
        <f>IFERROR(__xludf.DUMMYFUNCTION("""COMPUTED_VALUE"""),344.4)</f>
        <v>344.4</v>
      </c>
      <c r="E1391" s="9">
        <f>IFERROR(__xludf.DUMMYFUNCTION("""COMPUTED_VALUE"""),345.66)</f>
        <v>345.66</v>
      </c>
      <c r="F1391" s="9">
        <f>IFERROR(__xludf.DUMMYFUNCTION("""COMPUTED_VALUE"""),655944.0)</f>
        <v>655944</v>
      </c>
      <c r="H1391" s="27">
        <f>IFERROR(__xludf.DUMMYFUNCTION("""COMPUTED_VALUE"""),40414.645833333336)</f>
        <v>40414.64583</v>
      </c>
      <c r="I1391" s="25">
        <f>IFERROR(__xludf.DUMMYFUNCTION("""COMPUTED_VALUE"""),435.0)</f>
        <v>435</v>
      </c>
      <c r="J1391" s="25">
        <f>IFERROR(__xludf.DUMMYFUNCTION("""COMPUTED_VALUE"""),440.95)</f>
        <v>440.95</v>
      </c>
      <c r="K1391" s="25">
        <f>IFERROR(__xludf.DUMMYFUNCTION("""COMPUTED_VALUE"""),432.5)</f>
        <v>432.5</v>
      </c>
      <c r="L1391" s="25">
        <f>IFERROR(__xludf.DUMMYFUNCTION("""COMPUTED_VALUE"""),435.35)</f>
        <v>435.35</v>
      </c>
      <c r="M1391" s="25">
        <f>IFERROR(__xludf.DUMMYFUNCTION("""COMPUTED_VALUE"""),1325237.0)</f>
        <v>1325237</v>
      </c>
    </row>
    <row r="1392">
      <c r="A1392" s="26">
        <f>IFERROR(__xludf.DUMMYFUNCTION("""COMPUTED_VALUE"""),40415.645833333336)</f>
        <v>40415.64583</v>
      </c>
      <c r="B1392" s="9">
        <f>IFERROR(__xludf.DUMMYFUNCTION("""COMPUTED_VALUE"""),345.25)</f>
        <v>345.25</v>
      </c>
      <c r="C1392" s="9">
        <f>IFERROR(__xludf.DUMMYFUNCTION("""COMPUTED_VALUE"""),349.24)</f>
        <v>349.24</v>
      </c>
      <c r="D1392" s="9">
        <f>IFERROR(__xludf.DUMMYFUNCTION("""COMPUTED_VALUE"""),344.49)</f>
        <v>344.49</v>
      </c>
      <c r="E1392" s="9">
        <f>IFERROR(__xludf.DUMMYFUNCTION("""COMPUTED_VALUE"""),346.36)</f>
        <v>346.36</v>
      </c>
      <c r="F1392" s="9">
        <f>IFERROR(__xludf.DUMMYFUNCTION("""COMPUTED_VALUE"""),437751.0)</f>
        <v>437751</v>
      </c>
      <c r="H1392" s="27">
        <f>IFERROR(__xludf.DUMMYFUNCTION("""COMPUTED_VALUE"""),40415.645833333336)</f>
        <v>40415.64583</v>
      </c>
      <c r="I1392" s="25">
        <f>IFERROR(__xludf.DUMMYFUNCTION("""COMPUTED_VALUE"""),436.0)</f>
        <v>436</v>
      </c>
      <c r="J1392" s="25">
        <f>IFERROR(__xludf.DUMMYFUNCTION("""COMPUTED_VALUE"""),440.75)</f>
        <v>440.75</v>
      </c>
      <c r="K1392" s="25">
        <f>IFERROR(__xludf.DUMMYFUNCTION("""COMPUTED_VALUE"""),433.15)</f>
        <v>433.15</v>
      </c>
      <c r="L1392" s="25">
        <f>IFERROR(__xludf.DUMMYFUNCTION("""COMPUTED_VALUE"""),435.6)</f>
        <v>435.6</v>
      </c>
      <c r="M1392" s="25">
        <f>IFERROR(__xludf.DUMMYFUNCTION("""COMPUTED_VALUE"""),1189984.0)</f>
        <v>1189984</v>
      </c>
    </row>
    <row r="1393">
      <c r="A1393" s="26">
        <f>IFERROR(__xludf.DUMMYFUNCTION("""COMPUTED_VALUE"""),40416.645833333336)</f>
        <v>40416.64583</v>
      </c>
      <c r="B1393" s="9">
        <f>IFERROR(__xludf.DUMMYFUNCTION("""COMPUTED_VALUE"""),346.88)</f>
        <v>346.88</v>
      </c>
      <c r="C1393" s="9">
        <f>IFERROR(__xludf.DUMMYFUNCTION("""COMPUTED_VALUE"""),347.87)</f>
        <v>347.87</v>
      </c>
      <c r="D1393" s="9">
        <f>IFERROR(__xludf.DUMMYFUNCTION("""COMPUTED_VALUE"""),343.42)</f>
        <v>343.42</v>
      </c>
      <c r="E1393" s="9">
        <f>IFERROR(__xludf.DUMMYFUNCTION("""COMPUTED_VALUE"""),345.71)</f>
        <v>345.71</v>
      </c>
      <c r="F1393" s="9">
        <f>IFERROR(__xludf.DUMMYFUNCTION("""COMPUTED_VALUE"""),979373.0)</f>
        <v>979373</v>
      </c>
      <c r="H1393" s="27">
        <f>IFERROR(__xludf.DUMMYFUNCTION("""COMPUTED_VALUE"""),40416.645833333336)</f>
        <v>40416.64583</v>
      </c>
      <c r="I1393" s="25">
        <f>IFERROR(__xludf.DUMMYFUNCTION("""COMPUTED_VALUE"""),437.0)</f>
        <v>437</v>
      </c>
      <c r="J1393" s="25">
        <f>IFERROR(__xludf.DUMMYFUNCTION("""COMPUTED_VALUE"""),439.5)</f>
        <v>439.5</v>
      </c>
      <c r="K1393" s="25">
        <f>IFERROR(__xludf.DUMMYFUNCTION("""COMPUTED_VALUE"""),430.13)</f>
        <v>430.13</v>
      </c>
      <c r="L1393" s="25">
        <f>IFERROR(__xludf.DUMMYFUNCTION("""COMPUTED_VALUE"""),438.25)</f>
        <v>438.25</v>
      </c>
      <c r="M1393" s="25">
        <f>IFERROR(__xludf.DUMMYFUNCTION("""COMPUTED_VALUE"""),2102214.0)</f>
        <v>2102214</v>
      </c>
    </row>
    <row r="1394">
      <c r="A1394" s="26">
        <f>IFERROR(__xludf.DUMMYFUNCTION("""COMPUTED_VALUE"""),40417.645833333336)</f>
        <v>40417.64583</v>
      </c>
      <c r="B1394" s="9">
        <f>IFERROR(__xludf.DUMMYFUNCTION("""COMPUTED_VALUE"""),344.75)</f>
        <v>344.75</v>
      </c>
      <c r="C1394" s="9">
        <f>IFERROR(__xludf.DUMMYFUNCTION("""COMPUTED_VALUE"""),344.75)</f>
        <v>344.75</v>
      </c>
      <c r="D1394" s="9">
        <f>IFERROR(__xludf.DUMMYFUNCTION("""COMPUTED_VALUE"""),335.18)</f>
        <v>335.18</v>
      </c>
      <c r="E1394" s="9">
        <f>IFERROR(__xludf.DUMMYFUNCTION("""COMPUTED_VALUE"""),338.74)</f>
        <v>338.74</v>
      </c>
      <c r="F1394" s="9">
        <f>IFERROR(__xludf.DUMMYFUNCTION("""COMPUTED_VALUE"""),871725.0)</f>
        <v>871725</v>
      </c>
      <c r="H1394" s="27">
        <f>IFERROR(__xludf.DUMMYFUNCTION("""COMPUTED_VALUE"""),40417.645833333336)</f>
        <v>40417.64583</v>
      </c>
      <c r="I1394" s="25">
        <f>IFERROR(__xludf.DUMMYFUNCTION("""COMPUTED_VALUE"""),436.05)</f>
        <v>436.05</v>
      </c>
      <c r="J1394" s="25">
        <f>IFERROR(__xludf.DUMMYFUNCTION("""COMPUTED_VALUE"""),436.5)</f>
        <v>436.5</v>
      </c>
      <c r="K1394" s="25">
        <f>IFERROR(__xludf.DUMMYFUNCTION("""COMPUTED_VALUE"""),425.5)</f>
        <v>425.5</v>
      </c>
      <c r="L1394" s="25">
        <f>IFERROR(__xludf.DUMMYFUNCTION("""COMPUTED_VALUE"""),428.03)</f>
        <v>428.03</v>
      </c>
      <c r="M1394" s="25">
        <f>IFERROR(__xludf.DUMMYFUNCTION("""COMPUTED_VALUE"""),638257.0)</f>
        <v>638257</v>
      </c>
    </row>
    <row r="1395">
      <c r="A1395" s="26">
        <f>IFERROR(__xludf.DUMMYFUNCTION("""COMPUTED_VALUE"""),40420.645833333336)</f>
        <v>40420.64583</v>
      </c>
      <c r="B1395" s="9">
        <f>IFERROR(__xludf.DUMMYFUNCTION("""COMPUTED_VALUE"""),339.92)</f>
        <v>339.92</v>
      </c>
      <c r="C1395" s="9">
        <f>IFERROR(__xludf.DUMMYFUNCTION("""COMPUTED_VALUE"""),342.0)</f>
        <v>342</v>
      </c>
      <c r="D1395" s="9">
        <f>IFERROR(__xludf.DUMMYFUNCTION("""COMPUTED_VALUE"""),333.29)</f>
        <v>333.29</v>
      </c>
      <c r="E1395" s="9">
        <f>IFERROR(__xludf.DUMMYFUNCTION("""COMPUTED_VALUE"""),337.56)</f>
        <v>337.56</v>
      </c>
      <c r="F1395" s="9">
        <f>IFERROR(__xludf.DUMMYFUNCTION("""COMPUTED_VALUE"""),597646.0)</f>
        <v>597646</v>
      </c>
      <c r="H1395" s="27">
        <f>IFERROR(__xludf.DUMMYFUNCTION("""COMPUTED_VALUE"""),40420.645833333336)</f>
        <v>40420.64583</v>
      </c>
      <c r="I1395" s="25">
        <f>IFERROR(__xludf.DUMMYFUNCTION("""COMPUTED_VALUE"""),431.4)</f>
        <v>431.4</v>
      </c>
      <c r="J1395" s="25">
        <f>IFERROR(__xludf.DUMMYFUNCTION("""COMPUTED_VALUE"""),431.4)</f>
        <v>431.4</v>
      </c>
      <c r="K1395" s="25">
        <f>IFERROR(__xludf.DUMMYFUNCTION("""COMPUTED_VALUE"""),420.05)</f>
        <v>420.05</v>
      </c>
      <c r="L1395" s="25">
        <f>IFERROR(__xludf.DUMMYFUNCTION("""COMPUTED_VALUE"""),422.83)</f>
        <v>422.83</v>
      </c>
      <c r="M1395" s="25">
        <f>IFERROR(__xludf.DUMMYFUNCTION("""COMPUTED_VALUE"""),779285.0)</f>
        <v>779285</v>
      </c>
    </row>
    <row r="1396">
      <c r="A1396" s="26">
        <f>IFERROR(__xludf.DUMMYFUNCTION("""COMPUTED_VALUE"""),40421.645833333336)</f>
        <v>40421.64583</v>
      </c>
      <c r="B1396" s="9">
        <f>IFERROR(__xludf.DUMMYFUNCTION("""COMPUTED_VALUE"""),335.63)</f>
        <v>335.63</v>
      </c>
      <c r="C1396" s="9">
        <f>IFERROR(__xludf.DUMMYFUNCTION("""COMPUTED_VALUE"""),340.5)</f>
        <v>340.5</v>
      </c>
      <c r="D1396" s="9">
        <f>IFERROR(__xludf.DUMMYFUNCTION("""COMPUTED_VALUE"""),334.52)</f>
        <v>334.52</v>
      </c>
      <c r="E1396" s="9">
        <f>IFERROR(__xludf.DUMMYFUNCTION("""COMPUTED_VALUE"""),339.23)</f>
        <v>339.23</v>
      </c>
      <c r="F1396" s="9">
        <f>IFERROR(__xludf.DUMMYFUNCTION("""COMPUTED_VALUE"""),965285.0)</f>
        <v>965285</v>
      </c>
      <c r="H1396" s="27">
        <f>IFERROR(__xludf.DUMMYFUNCTION("""COMPUTED_VALUE"""),40421.645833333336)</f>
        <v>40421.64583</v>
      </c>
      <c r="I1396" s="25">
        <f>IFERROR(__xludf.DUMMYFUNCTION("""COMPUTED_VALUE"""),420.0)</f>
        <v>420</v>
      </c>
      <c r="J1396" s="25">
        <f>IFERROR(__xludf.DUMMYFUNCTION("""COMPUTED_VALUE"""),423.85)</f>
        <v>423.85</v>
      </c>
      <c r="K1396" s="25">
        <f>IFERROR(__xludf.DUMMYFUNCTION("""COMPUTED_VALUE"""),415.1)</f>
        <v>415.1</v>
      </c>
      <c r="L1396" s="25">
        <f>IFERROR(__xludf.DUMMYFUNCTION("""COMPUTED_VALUE"""),421.88)</f>
        <v>421.88</v>
      </c>
      <c r="M1396" s="25">
        <f>IFERROR(__xludf.DUMMYFUNCTION("""COMPUTED_VALUE"""),1223937.0)</f>
        <v>1223937</v>
      </c>
    </row>
    <row r="1397">
      <c r="A1397" s="26">
        <f>IFERROR(__xludf.DUMMYFUNCTION("""COMPUTED_VALUE"""),40422.645833333336)</f>
        <v>40422.64583</v>
      </c>
      <c r="B1397" s="9">
        <f>IFERROR(__xludf.DUMMYFUNCTION("""COMPUTED_VALUE"""),339.23)</f>
        <v>339.23</v>
      </c>
      <c r="C1397" s="9">
        <f>IFERROR(__xludf.DUMMYFUNCTION("""COMPUTED_VALUE"""),348.06)</f>
        <v>348.06</v>
      </c>
      <c r="D1397" s="9">
        <f>IFERROR(__xludf.DUMMYFUNCTION("""COMPUTED_VALUE"""),338.53)</f>
        <v>338.53</v>
      </c>
      <c r="E1397" s="9">
        <f>IFERROR(__xludf.DUMMYFUNCTION("""COMPUTED_VALUE"""),347.02)</f>
        <v>347.02</v>
      </c>
      <c r="F1397" s="9">
        <f>IFERROR(__xludf.DUMMYFUNCTION("""COMPUTED_VALUE"""),1266475.0)</f>
        <v>1266475</v>
      </c>
      <c r="H1397" s="27">
        <f>IFERROR(__xludf.DUMMYFUNCTION("""COMPUTED_VALUE"""),40422.645833333336)</f>
        <v>40422.64583</v>
      </c>
      <c r="I1397" s="25">
        <f>IFERROR(__xludf.DUMMYFUNCTION("""COMPUTED_VALUE"""),421.0)</f>
        <v>421</v>
      </c>
      <c r="J1397" s="25">
        <f>IFERROR(__xludf.DUMMYFUNCTION("""COMPUTED_VALUE"""),430.5)</f>
        <v>430.5</v>
      </c>
      <c r="K1397" s="25">
        <f>IFERROR(__xludf.DUMMYFUNCTION("""COMPUTED_VALUE"""),420.0)</f>
        <v>420</v>
      </c>
      <c r="L1397" s="25">
        <f>IFERROR(__xludf.DUMMYFUNCTION("""COMPUTED_VALUE"""),429.2)</f>
        <v>429.2</v>
      </c>
      <c r="M1397" s="25">
        <f>IFERROR(__xludf.DUMMYFUNCTION("""COMPUTED_VALUE"""),1372742.0)</f>
        <v>1372742</v>
      </c>
    </row>
    <row r="1398">
      <c r="A1398" s="26">
        <f>IFERROR(__xludf.DUMMYFUNCTION("""COMPUTED_VALUE"""),40423.645833333336)</f>
        <v>40423.64583</v>
      </c>
      <c r="B1398" s="9">
        <f>IFERROR(__xludf.DUMMYFUNCTION("""COMPUTED_VALUE"""),349.88)</f>
        <v>349.88</v>
      </c>
      <c r="C1398" s="9">
        <f>IFERROR(__xludf.DUMMYFUNCTION("""COMPUTED_VALUE"""),351.75)</f>
        <v>351.75</v>
      </c>
      <c r="D1398" s="9">
        <f>IFERROR(__xludf.DUMMYFUNCTION("""COMPUTED_VALUE"""),343.24)</f>
        <v>343.24</v>
      </c>
      <c r="E1398" s="9">
        <f>IFERROR(__xludf.DUMMYFUNCTION("""COMPUTED_VALUE"""),344.13)</f>
        <v>344.13</v>
      </c>
      <c r="F1398" s="9">
        <f>IFERROR(__xludf.DUMMYFUNCTION("""COMPUTED_VALUE"""),425314.0)</f>
        <v>425314</v>
      </c>
      <c r="H1398" s="27">
        <f>IFERROR(__xludf.DUMMYFUNCTION("""COMPUTED_VALUE"""),40423.645833333336)</f>
        <v>40423.64583</v>
      </c>
      <c r="I1398" s="25">
        <f>IFERROR(__xludf.DUMMYFUNCTION("""COMPUTED_VALUE"""),433.75)</f>
        <v>433.75</v>
      </c>
      <c r="J1398" s="25">
        <f>IFERROR(__xludf.DUMMYFUNCTION("""COMPUTED_VALUE"""),433.75)</f>
        <v>433.75</v>
      </c>
      <c r="K1398" s="25">
        <f>IFERROR(__xludf.DUMMYFUNCTION("""COMPUTED_VALUE"""),420.75)</f>
        <v>420.75</v>
      </c>
      <c r="L1398" s="25">
        <f>IFERROR(__xludf.DUMMYFUNCTION("""COMPUTED_VALUE"""),422.05)</f>
        <v>422.05</v>
      </c>
      <c r="M1398" s="25">
        <f>IFERROR(__xludf.DUMMYFUNCTION("""COMPUTED_VALUE"""),1379400.0)</f>
        <v>1379400</v>
      </c>
    </row>
    <row r="1399">
      <c r="A1399" s="26">
        <f>IFERROR(__xludf.DUMMYFUNCTION("""COMPUTED_VALUE"""),40424.645833333336)</f>
        <v>40424.64583</v>
      </c>
      <c r="B1399" s="9">
        <f>IFERROR(__xludf.DUMMYFUNCTION("""COMPUTED_VALUE"""),345.14)</f>
        <v>345.14</v>
      </c>
      <c r="C1399" s="9">
        <f>IFERROR(__xludf.DUMMYFUNCTION("""COMPUTED_VALUE"""),350.5)</f>
        <v>350.5</v>
      </c>
      <c r="D1399" s="9">
        <f>IFERROR(__xludf.DUMMYFUNCTION("""COMPUTED_VALUE"""),345.14)</f>
        <v>345.14</v>
      </c>
      <c r="E1399" s="9">
        <f>IFERROR(__xludf.DUMMYFUNCTION("""COMPUTED_VALUE"""),347.18)</f>
        <v>347.18</v>
      </c>
      <c r="F1399" s="9">
        <f>IFERROR(__xludf.DUMMYFUNCTION("""COMPUTED_VALUE"""),950836.0)</f>
        <v>950836</v>
      </c>
      <c r="H1399" s="27">
        <f>IFERROR(__xludf.DUMMYFUNCTION("""COMPUTED_VALUE"""),40424.645833333336)</f>
        <v>40424.64583</v>
      </c>
      <c r="I1399" s="25">
        <f>IFERROR(__xludf.DUMMYFUNCTION("""COMPUTED_VALUE"""),425.0)</f>
        <v>425</v>
      </c>
      <c r="J1399" s="25">
        <f>IFERROR(__xludf.DUMMYFUNCTION("""COMPUTED_VALUE"""),425.75)</f>
        <v>425.75</v>
      </c>
      <c r="K1399" s="25">
        <f>IFERROR(__xludf.DUMMYFUNCTION("""COMPUTED_VALUE"""),417.55)</f>
        <v>417.55</v>
      </c>
      <c r="L1399" s="25">
        <f>IFERROR(__xludf.DUMMYFUNCTION("""COMPUTED_VALUE"""),418.65)</f>
        <v>418.65</v>
      </c>
      <c r="M1399" s="25">
        <f>IFERROR(__xludf.DUMMYFUNCTION("""COMPUTED_VALUE"""),1388985.0)</f>
        <v>1388985</v>
      </c>
    </row>
    <row r="1400">
      <c r="A1400" s="26">
        <f>IFERROR(__xludf.DUMMYFUNCTION("""COMPUTED_VALUE"""),40427.645833333336)</f>
        <v>40427.64583</v>
      </c>
      <c r="B1400" s="9">
        <f>IFERROR(__xludf.DUMMYFUNCTION("""COMPUTED_VALUE"""),348.28)</f>
        <v>348.28</v>
      </c>
      <c r="C1400" s="9">
        <f>IFERROR(__xludf.DUMMYFUNCTION("""COMPUTED_VALUE"""),355.0)</f>
        <v>355</v>
      </c>
      <c r="D1400" s="9">
        <f>IFERROR(__xludf.DUMMYFUNCTION("""COMPUTED_VALUE"""),348.2)</f>
        <v>348.2</v>
      </c>
      <c r="E1400" s="9">
        <f>IFERROR(__xludf.DUMMYFUNCTION("""COMPUTED_VALUE"""),353.96)</f>
        <v>353.96</v>
      </c>
      <c r="F1400" s="9">
        <f>IFERROR(__xludf.DUMMYFUNCTION("""COMPUTED_VALUE"""),798899.0)</f>
        <v>798899</v>
      </c>
      <c r="H1400" s="27">
        <f>IFERROR(__xludf.DUMMYFUNCTION("""COMPUTED_VALUE"""),40427.645833333336)</f>
        <v>40427.64583</v>
      </c>
      <c r="I1400" s="25">
        <f>IFERROR(__xludf.DUMMYFUNCTION("""COMPUTED_VALUE"""),419.0)</f>
        <v>419</v>
      </c>
      <c r="J1400" s="25">
        <f>IFERROR(__xludf.DUMMYFUNCTION("""COMPUTED_VALUE"""),428.75)</f>
        <v>428.75</v>
      </c>
      <c r="K1400" s="25">
        <f>IFERROR(__xludf.DUMMYFUNCTION("""COMPUTED_VALUE"""),419.0)</f>
        <v>419</v>
      </c>
      <c r="L1400" s="25">
        <f>IFERROR(__xludf.DUMMYFUNCTION("""COMPUTED_VALUE"""),427.67)</f>
        <v>427.67</v>
      </c>
      <c r="M1400" s="25">
        <f>IFERROR(__xludf.DUMMYFUNCTION("""COMPUTED_VALUE"""),1143989.0)</f>
        <v>1143989</v>
      </c>
    </row>
    <row r="1401">
      <c r="A1401" s="26">
        <f>IFERROR(__xludf.DUMMYFUNCTION("""COMPUTED_VALUE"""),40428.645833333336)</f>
        <v>40428.64583</v>
      </c>
      <c r="B1401" s="9">
        <f>IFERROR(__xludf.DUMMYFUNCTION("""COMPUTED_VALUE"""),355.0)</f>
        <v>355</v>
      </c>
      <c r="C1401" s="9">
        <f>IFERROR(__xludf.DUMMYFUNCTION("""COMPUTED_VALUE"""),359.11)</f>
        <v>359.11</v>
      </c>
      <c r="D1401" s="9">
        <f>IFERROR(__xludf.DUMMYFUNCTION("""COMPUTED_VALUE"""),351.28)</f>
        <v>351.28</v>
      </c>
      <c r="E1401" s="9">
        <f>IFERROR(__xludf.DUMMYFUNCTION("""COMPUTED_VALUE"""),358.12)</f>
        <v>358.12</v>
      </c>
      <c r="F1401" s="9">
        <f>IFERROR(__xludf.DUMMYFUNCTION("""COMPUTED_VALUE"""),1040159.0)</f>
        <v>1040159</v>
      </c>
      <c r="H1401" s="27">
        <f>IFERROR(__xludf.DUMMYFUNCTION("""COMPUTED_VALUE"""),40428.645833333336)</f>
        <v>40428.64583</v>
      </c>
      <c r="I1401" s="25">
        <f>IFERROR(__xludf.DUMMYFUNCTION("""COMPUTED_VALUE"""),429.0)</f>
        <v>429</v>
      </c>
      <c r="J1401" s="25">
        <f>IFERROR(__xludf.DUMMYFUNCTION("""COMPUTED_VALUE"""),437.45)</f>
        <v>437.45</v>
      </c>
      <c r="K1401" s="25">
        <f>IFERROR(__xludf.DUMMYFUNCTION("""COMPUTED_VALUE"""),428.0)</f>
        <v>428</v>
      </c>
      <c r="L1401" s="25">
        <f>IFERROR(__xludf.DUMMYFUNCTION("""COMPUTED_VALUE"""),435.67)</f>
        <v>435.67</v>
      </c>
      <c r="M1401" s="25">
        <f>IFERROR(__xludf.DUMMYFUNCTION("""COMPUTED_VALUE"""),1242118.0)</f>
        <v>1242118</v>
      </c>
    </row>
    <row r="1402">
      <c r="A1402" s="26">
        <f>IFERROR(__xludf.DUMMYFUNCTION("""COMPUTED_VALUE"""),40429.645833333336)</f>
        <v>40429.64583</v>
      </c>
      <c r="B1402" s="9">
        <f>IFERROR(__xludf.DUMMYFUNCTION("""COMPUTED_VALUE"""),357.13)</f>
        <v>357.13</v>
      </c>
      <c r="C1402" s="9">
        <f>IFERROR(__xludf.DUMMYFUNCTION("""COMPUTED_VALUE"""),360.83)</f>
        <v>360.83</v>
      </c>
      <c r="D1402" s="9">
        <f>IFERROR(__xludf.DUMMYFUNCTION("""COMPUTED_VALUE"""),353.13)</f>
        <v>353.13</v>
      </c>
      <c r="E1402" s="9">
        <f>IFERROR(__xludf.DUMMYFUNCTION("""COMPUTED_VALUE"""),359.93)</f>
        <v>359.93</v>
      </c>
      <c r="F1402" s="9">
        <f>IFERROR(__xludf.DUMMYFUNCTION("""COMPUTED_VALUE"""),1173312.0)</f>
        <v>1173312</v>
      </c>
      <c r="H1402" s="27">
        <f>IFERROR(__xludf.DUMMYFUNCTION("""COMPUTED_VALUE"""),40429.645833333336)</f>
        <v>40429.64583</v>
      </c>
      <c r="I1402" s="25">
        <f>IFERROR(__xludf.DUMMYFUNCTION("""COMPUTED_VALUE"""),432.0)</f>
        <v>432</v>
      </c>
      <c r="J1402" s="25">
        <f>IFERROR(__xludf.DUMMYFUNCTION("""COMPUTED_VALUE"""),441.45)</f>
        <v>441.45</v>
      </c>
      <c r="K1402" s="25">
        <f>IFERROR(__xludf.DUMMYFUNCTION("""COMPUTED_VALUE"""),429.45)</f>
        <v>429.45</v>
      </c>
      <c r="L1402" s="25">
        <f>IFERROR(__xludf.DUMMYFUNCTION("""COMPUTED_VALUE"""),439.53)</f>
        <v>439.53</v>
      </c>
      <c r="M1402" s="25">
        <f>IFERROR(__xludf.DUMMYFUNCTION("""COMPUTED_VALUE"""),2094739.0)</f>
        <v>2094739</v>
      </c>
    </row>
    <row r="1403">
      <c r="A1403" s="26">
        <f>IFERROR(__xludf.DUMMYFUNCTION("""COMPUTED_VALUE"""),40430.645833333336)</f>
        <v>40430.64583</v>
      </c>
      <c r="B1403" s="9">
        <f>IFERROR(__xludf.DUMMYFUNCTION("""COMPUTED_VALUE"""),358.76)</f>
        <v>358.76</v>
      </c>
      <c r="C1403" s="9">
        <f>IFERROR(__xludf.DUMMYFUNCTION("""COMPUTED_VALUE"""),362.5)</f>
        <v>362.5</v>
      </c>
      <c r="D1403" s="9">
        <f>IFERROR(__xludf.DUMMYFUNCTION("""COMPUTED_VALUE"""),357.25)</f>
        <v>357.25</v>
      </c>
      <c r="E1403" s="9">
        <f>IFERROR(__xludf.DUMMYFUNCTION("""COMPUTED_VALUE"""),361.88)</f>
        <v>361.88</v>
      </c>
      <c r="F1403" s="9">
        <f>IFERROR(__xludf.DUMMYFUNCTION("""COMPUTED_VALUE"""),948924.0)</f>
        <v>948924</v>
      </c>
      <c r="H1403" s="27">
        <f>IFERROR(__xludf.DUMMYFUNCTION("""COMPUTED_VALUE"""),40430.645833333336)</f>
        <v>40430.64583</v>
      </c>
      <c r="I1403" s="25">
        <f>IFERROR(__xludf.DUMMYFUNCTION("""COMPUTED_VALUE"""),441.0)</f>
        <v>441</v>
      </c>
      <c r="J1403" s="25">
        <f>IFERROR(__xludf.DUMMYFUNCTION("""COMPUTED_VALUE"""),441.25)</f>
        <v>441.25</v>
      </c>
      <c r="K1403" s="25">
        <f>IFERROR(__xludf.DUMMYFUNCTION("""COMPUTED_VALUE"""),435.67)</f>
        <v>435.67</v>
      </c>
      <c r="L1403" s="25">
        <f>IFERROR(__xludf.DUMMYFUNCTION("""COMPUTED_VALUE"""),437.35)</f>
        <v>437.35</v>
      </c>
      <c r="M1403" s="25">
        <f>IFERROR(__xludf.DUMMYFUNCTION("""COMPUTED_VALUE"""),1469079.0)</f>
        <v>1469079</v>
      </c>
    </row>
    <row r="1404">
      <c r="A1404" s="26">
        <f>IFERROR(__xludf.DUMMYFUNCTION("""COMPUTED_VALUE"""),40434.645833333336)</f>
        <v>40434.64583</v>
      </c>
      <c r="B1404" s="9">
        <f>IFERROR(__xludf.DUMMYFUNCTION("""COMPUTED_VALUE"""),361.25)</f>
        <v>361.25</v>
      </c>
      <c r="C1404" s="9">
        <f>IFERROR(__xludf.DUMMYFUNCTION("""COMPUTED_VALUE"""),368.13)</f>
        <v>368.13</v>
      </c>
      <c r="D1404" s="9">
        <f>IFERROR(__xludf.DUMMYFUNCTION("""COMPUTED_VALUE"""),360.25)</f>
        <v>360.25</v>
      </c>
      <c r="E1404" s="9">
        <f>IFERROR(__xludf.DUMMYFUNCTION("""COMPUTED_VALUE"""),367.11)</f>
        <v>367.11</v>
      </c>
      <c r="F1404" s="9">
        <f>IFERROR(__xludf.DUMMYFUNCTION("""COMPUTED_VALUE"""),831311.0)</f>
        <v>831311</v>
      </c>
      <c r="H1404" s="27">
        <f>IFERROR(__xludf.DUMMYFUNCTION("""COMPUTED_VALUE"""),40434.645833333336)</f>
        <v>40434.64583</v>
      </c>
      <c r="I1404" s="25">
        <f>IFERROR(__xludf.DUMMYFUNCTION("""COMPUTED_VALUE"""),435.67)</f>
        <v>435.67</v>
      </c>
      <c r="J1404" s="25">
        <f>IFERROR(__xludf.DUMMYFUNCTION("""COMPUTED_VALUE"""),444.5)</f>
        <v>444.5</v>
      </c>
      <c r="K1404" s="25">
        <f>IFERROR(__xludf.DUMMYFUNCTION("""COMPUTED_VALUE"""),435.35)</f>
        <v>435.35</v>
      </c>
      <c r="L1404" s="25">
        <f>IFERROR(__xludf.DUMMYFUNCTION("""COMPUTED_VALUE"""),439.88)</f>
        <v>439.88</v>
      </c>
      <c r="M1404" s="25">
        <f>IFERROR(__xludf.DUMMYFUNCTION("""COMPUTED_VALUE"""),1174705.0)</f>
        <v>1174705</v>
      </c>
    </row>
    <row r="1405">
      <c r="A1405" s="26">
        <f>IFERROR(__xludf.DUMMYFUNCTION("""COMPUTED_VALUE"""),40435.645833333336)</f>
        <v>40435.64583</v>
      </c>
      <c r="B1405" s="9">
        <f>IFERROR(__xludf.DUMMYFUNCTION("""COMPUTED_VALUE"""),368.83)</f>
        <v>368.83</v>
      </c>
      <c r="C1405" s="9">
        <f>IFERROR(__xludf.DUMMYFUNCTION("""COMPUTED_VALUE"""),375.0)</f>
        <v>375</v>
      </c>
      <c r="D1405" s="9">
        <f>IFERROR(__xludf.DUMMYFUNCTION("""COMPUTED_VALUE"""),368.75)</f>
        <v>368.75</v>
      </c>
      <c r="E1405" s="9">
        <f>IFERROR(__xludf.DUMMYFUNCTION("""COMPUTED_VALUE"""),371.95)</f>
        <v>371.95</v>
      </c>
      <c r="F1405" s="9">
        <f>IFERROR(__xludf.DUMMYFUNCTION("""COMPUTED_VALUE"""),1220893.0)</f>
        <v>1220893</v>
      </c>
      <c r="H1405" s="27">
        <f>IFERROR(__xludf.DUMMYFUNCTION("""COMPUTED_VALUE"""),40435.645833333336)</f>
        <v>40435.64583</v>
      </c>
      <c r="I1405" s="25">
        <f>IFERROR(__xludf.DUMMYFUNCTION("""COMPUTED_VALUE"""),441.5)</f>
        <v>441.5</v>
      </c>
      <c r="J1405" s="25">
        <f>IFERROR(__xludf.DUMMYFUNCTION("""COMPUTED_VALUE"""),449.5)</f>
        <v>449.5</v>
      </c>
      <c r="K1405" s="25">
        <f>IFERROR(__xludf.DUMMYFUNCTION("""COMPUTED_VALUE"""),440.15)</f>
        <v>440.15</v>
      </c>
      <c r="L1405" s="25">
        <f>IFERROR(__xludf.DUMMYFUNCTION("""COMPUTED_VALUE"""),447.67)</f>
        <v>447.67</v>
      </c>
      <c r="M1405" s="25">
        <f>IFERROR(__xludf.DUMMYFUNCTION("""COMPUTED_VALUE"""),1535519.0)</f>
        <v>1535519</v>
      </c>
    </row>
    <row r="1406">
      <c r="A1406" s="26">
        <f>IFERROR(__xludf.DUMMYFUNCTION("""COMPUTED_VALUE"""),40436.645833333336)</f>
        <v>40436.64583</v>
      </c>
      <c r="B1406" s="9">
        <f>IFERROR(__xludf.DUMMYFUNCTION("""COMPUTED_VALUE"""),371.88)</f>
        <v>371.88</v>
      </c>
      <c r="C1406" s="9">
        <f>IFERROR(__xludf.DUMMYFUNCTION("""COMPUTED_VALUE"""),382.5)</f>
        <v>382.5</v>
      </c>
      <c r="D1406" s="9">
        <f>IFERROR(__xludf.DUMMYFUNCTION("""COMPUTED_VALUE"""),371.13)</f>
        <v>371.13</v>
      </c>
      <c r="E1406" s="9">
        <f>IFERROR(__xludf.DUMMYFUNCTION("""COMPUTED_VALUE"""),381.61)</f>
        <v>381.61</v>
      </c>
      <c r="F1406" s="9">
        <f>IFERROR(__xludf.DUMMYFUNCTION("""COMPUTED_VALUE"""),1793081.0)</f>
        <v>1793081</v>
      </c>
      <c r="H1406" s="27">
        <f>IFERROR(__xludf.DUMMYFUNCTION("""COMPUTED_VALUE"""),40436.645833333336)</f>
        <v>40436.64583</v>
      </c>
      <c r="I1406" s="25">
        <f>IFERROR(__xludf.DUMMYFUNCTION("""COMPUTED_VALUE"""),450.0)</f>
        <v>450</v>
      </c>
      <c r="J1406" s="25">
        <f>IFERROR(__xludf.DUMMYFUNCTION("""COMPUTED_VALUE"""),459.7)</f>
        <v>459.7</v>
      </c>
      <c r="K1406" s="25">
        <f>IFERROR(__xludf.DUMMYFUNCTION("""COMPUTED_VALUE"""),449.5)</f>
        <v>449.5</v>
      </c>
      <c r="L1406" s="25">
        <f>IFERROR(__xludf.DUMMYFUNCTION("""COMPUTED_VALUE"""),457.4)</f>
        <v>457.4</v>
      </c>
      <c r="M1406" s="25">
        <f>IFERROR(__xludf.DUMMYFUNCTION("""COMPUTED_VALUE"""),2780197.0)</f>
        <v>2780197</v>
      </c>
    </row>
    <row r="1407">
      <c r="A1407" s="26">
        <f>IFERROR(__xludf.DUMMYFUNCTION("""COMPUTED_VALUE"""),40437.645833333336)</f>
        <v>40437.64583</v>
      </c>
      <c r="B1407" s="9">
        <f>IFERROR(__xludf.DUMMYFUNCTION("""COMPUTED_VALUE"""),379.01)</f>
        <v>379.01</v>
      </c>
      <c r="C1407" s="9">
        <f>IFERROR(__xludf.DUMMYFUNCTION("""COMPUTED_VALUE"""),379.01)</f>
        <v>379.01</v>
      </c>
      <c r="D1407" s="9">
        <f>IFERROR(__xludf.DUMMYFUNCTION("""COMPUTED_VALUE"""),369.78)</f>
        <v>369.78</v>
      </c>
      <c r="E1407" s="9">
        <f>IFERROR(__xludf.DUMMYFUNCTION("""COMPUTED_VALUE"""),370.74)</f>
        <v>370.74</v>
      </c>
      <c r="F1407" s="9">
        <f>IFERROR(__xludf.DUMMYFUNCTION("""COMPUTED_VALUE"""),886123.0)</f>
        <v>886123</v>
      </c>
      <c r="H1407" s="27">
        <f>IFERROR(__xludf.DUMMYFUNCTION("""COMPUTED_VALUE"""),40437.645833333336)</f>
        <v>40437.64583</v>
      </c>
      <c r="I1407" s="25">
        <f>IFERROR(__xludf.DUMMYFUNCTION("""COMPUTED_VALUE"""),454.0)</f>
        <v>454</v>
      </c>
      <c r="J1407" s="25">
        <f>IFERROR(__xludf.DUMMYFUNCTION("""COMPUTED_VALUE"""),456.73)</f>
        <v>456.73</v>
      </c>
      <c r="K1407" s="25">
        <f>IFERROR(__xludf.DUMMYFUNCTION("""COMPUTED_VALUE"""),432.25)</f>
        <v>432.25</v>
      </c>
      <c r="L1407" s="25">
        <f>IFERROR(__xludf.DUMMYFUNCTION("""COMPUTED_VALUE"""),447.7)</f>
        <v>447.7</v>
      </c>
      <c r="M1407" s="25">
        <f>IFERROR(__xludf.DUMMYFUNCTION("""COMPUTED_VALUE"""),1167132.0)</f>
        <v>1167132</v>
      </c>
    </row>
    <row r="1408">
      <c r="A1408" s="26">
        <f>IFERROR(__xludf.DUMMYFUNCTION("""COMPUTED_VALUE"""),40438.645833333336)</f>
        <v>40438.64583</v>
      </c>
      <c r="B1408" s="9">
        <f>IFERROR(__xludf.DUMMYFUNCTION("""COMPUTED_VALUE"""),370.74)</f>
        <v>370.74</v>
      </c>
      <c r="C1408" s="9">
        <f>IFERROR(__xludf.DUMMYFUNCTION("""COMPUTED_VALUE"""),376.56)</f>
        <v>376.56</v>
      </c>
      <c r="D1408" s="9">
        <f>IFERROR(__xludf.DUMMYFUNCTION("""COMPUTED_VALUE"""),369.93)</f>
        <v>369.93</v>
      </c>
      <c r="E1408" s="9">
        <f>IFERROR(__xludf.DUMMYFUNCTION("""COMPUTED_VALUE"""),371.27)</f>
        <v>371.27</v>
      </c>
      <c r="F1408" s="9">
        <f>IFERROR(__xludf.DUMMYFUNCTION("""COMPUTED_VALUE"""),1077061.0)</f>
        <v>1077061</v>
      </c>
      <c r="H1408" s="27">
        <f>IFERROR(__xludf.DUMMYFUNCTION("""COMPUTED_VALUE"""),40438.645833333336)</f>
        <v>40438.64583</v>
      </c>
      <c r="I1408" s="25">
        <f>IFERROR(__xludf.DUMMYFUNCTION("""COMPUTED_VALUE"""),450.05)</f>
        <v>450.05</v>
      </c>
      <c r="J1408" s="25">
        <f>IFERROR(__xludf.DUMMYFUNCTION("""COMPUTED_VALUE"""),459.38)</f>
        <v>459.38</v>
      </c>
      <c r="K1408" s="25">
        <f>IFERROR(__xludf.DUMMYFUNCTION("""COMPUTED_VALUE"""),450.05)</f>
        <v>450.05</v>
      </c>
      <c r="L1408" s="25">
        <f>IFERROR(__xludf.DUMMYFUNCTION("""COMPUTED_VALUE"""),456.9)</f>
        <v>456.9</v>
      </c>
      <c r="M1408" s="25">
        <f>IFERROR(__xludf.DUMMYFUNCTION("""COMPUTED_VALUE"""),1503989.0)</f>
        <v>1503989</v>
      </c>
    </row>
    <row r="1409">
      <c r="A1409" s="26">
        <f>IFERROR(__xludf.DUMMYFUNCTION("""COMPUTED_VALUE"""),40441.645833333336)</f>
        <v>40441.64583</v>
      </c>
      <c r="B1409" s="9">
        <f>IFERROR(__xludf.DUMMYFUNCTION("""COMPUTED_VALUE"""),371.88)</f>
        <v>371.88</v>
      </c>
      <c r="C1409" s="9">
        <f>IFERROR(__xludf.DUMMYFUNCTION("""COMPUTED_VALUE"""),377.25)</f>
        <v>377.25</v>
      </c>
      <c r="D1409" s="9">
        <f>IFERROR(__xludf.DUMMYFUNCTION("""COMPUTED_VALUE"""),371.88)</f>
        <v>371.88</v>
      </c>
      <c r="E1409" s="9">
        <f>IFERROR(__xludf.DUMMYFUNCTION("""COMPUTED_VALUE"""),376.08)</f>
        <v>376.08</v>
      </c>
      <c r="F1409" s="9">
        <f>IFERROR(__xludf.DUMMYFUNCTION("""COMPUTED_VALUE"""),628247.0)</f>
        <v>628247</v>
      </c>
      <c r="H1409" s="27">
        <f>IFERROR(__xludf.DUMMYFUNCTION("""COMPUTED_VALUE"""),40441.645833333336)</f>
        <v>40441.64583</v>
      </c>
      <c r="I1409" s="25">
        <f>IFERROR(__xludf.DUMMYFUNCTION("""COMPUTED_VALUE"""),458.5)</f>
        <v>458.5</v>
      </c>
      <c r="J1409" s="25">
        <f>IFERROR(__xludf.DUMMYFUNCTION("""COMPUTED_VALUE"""),460.95)</f>
        <v>460.95</v>
      </c>
      <c r="K1409" s="25">
        <f>IFERROR(__xludf.DUMMYFUNCTION("""COMPUTED_VALUE"""),453.35)</f>
        <v>453.35</v>
      </c>
      <c r="L1409" s="25">
        <f>IFERROR(__xludf.DUMMYFUNCTION("""COMPUTED_VALUE"""),456.13)</f>
        <v>456.13</v>
      </c>
      <c r="M1409" s="25">
        <f>IFERROR(__xludf.DUMMYFUNCTION("""COMPUTED_VALUE"""),1209554.0)</f>
        <v>1209554</v>
      </c>
    </row>
    <row r="1410">
      <c r="A1410" s="26">
        <f>IFERROR(__xludf.DUMMYFUNCTION("""COMPUTED_VALUE"""),40442.645833333336)</f>
        <v>40442.64583</v>
      </c>
      <c r="B1410" s="9">
        <f>IFERROR(__xludf.DUMMYFUNCTION("""COMPUTED_VALUE"""),376.88)</f>
        <v>376.88</v>
      </c>
      <c r="C1410" s="9">
        <f>IFERROR(__xludf.DUMMYFUNCTION("""COMPUTED_VALUE"""),383.13)</f>
        <v>383.13</v>
      </c>
      <c r="D1410" s="9">
        <f>IFERROR(__xludf.DUMMYFUNCTION("""COMPUTED_VALUE"""),374.58)</f>
        <v>374.58</v>
      </c>
      <c r="E1410" s="9">
        <f>IFERROR(__xludf.DUMMYFUNCTION("""COMPUTED_VALUE"""),382.39)</f>
        <v>382.39</v>
      </c>
      <c r="F1410" s="9">
        <f>IFERROR(__xludf.DUMMYFUNCTION("""COMPUTED_VALUE"""),1152989.0)</f>
        <v>1152989</v>
      </c>
      <c r="H1410" s="27">
        <f>IFERROR(__xludf.DUMMYFUNCTION("""COMPUTED_VALUE"""),40442.645833333336)</f>
        <v>40442.64583</v>
      </c>
      <c r="I1410" s="25">
        <f>IFERROR(__xludf.DUMMYFUNCTION("""COMPUTED_VALUE"""),456.0)</f>
        <v>456</v>
      </c>
      <c r="J1410" s="25">
        <f>IFERROR(__xludf.DUMMYFUNCTION("""COMPUTED_VALUE"""),479.0)</f>
        <v>479</v>
      </c>
      <c r="K1410" s="25">
        <f>IFERROR(__xludf.DUMMYFUNCTION("""COMPUTED_VALUE"""),455.15)</f>
        <v>455.15</v>
      </c>
      <c r="L1410" s="25">
        <f>IFERROR(__xludf.DUMMYFUNCTION("""COMPUTED_VALUE"""),476.98)</f>
        <v>476.98</v>
      </c>
      <c r="M1410" s="25">
        <f>IFERROR(__xludf.DUMMYFUNCTION("""COMPUTED_VALUE"""),2498592.0)</f>
        <v>2498592</v>
      </c>
    </row>
    <row r="1411">
      <c r="A1411" s="26">
        <f>IFERROR(__xludf.DUMMYFUNCTION("""COMPUTED_VALUE"""),40443.645833333336)</f>
        <v>40443.64583</v>
      </c>
      <c r="B1411" s="9">
        <f>IFERROR(__xludf.DUMMYFUNCTION("""COMPUTED_VALUE"""),382.56)</f>
        <v>382.56</v>
      </c>
      <c r="C1411" s="9">
        <f>IFERROR(__xludf.DUMMYFUNCTION("""COMPUTED_VALUE"""),382.86)</f>
        <v>382.86</v>
      </c>
      <c r="D1411" s="9">
        <f>IFERROR(__xludf.DUMMYFUNCTION("""COMPUTED_VALUE"""),374.31)</f>
        <v>374.31</v>
      </c>
      <c r="E1411" s="9">
        <f>IFERROR(__xludf.DUMMYFUNCTION("""COMPUTED_VALUE"""),376.79)</f>
        <v>376.79</v>
      </c>
      <c r="F1411" s="9">
        <f>IFERROR(__xludf.DUMMYFUNCTION("""COMPUTED_VALUE"""),1350805.0)</f>
        <v>1350805</v>
      </c>
      <c r="H1411" s="27">
        <f>IFERROR(__xludf.DUMMYFUNCTION("""COMPUTED_VALUE"""),40443.645833333336)</f>
        <v>40443.64583</v>
      </c>
      <c r="I1411" s="25">
        <f>IFERROR(__xludf.DUMMYFUNCTION("""COMPUTED_VALUE"""),478.0)</f>
        <v>478</v>
      </c>
      <c r="J1411" s="25">
        <f>IFERROR(__xludf.DUMMYFUNCTION("""COMPUTED_VALUE"""),480.0)</f>
        <v>480</v>
      </c>
      <c r="K1411" s="25">
        <f>IFERROR(__xludf.DUMMYFUNCTION("""COMPUTED_VALUE"""),465.0)</f>
        <v>465</v>
      </c>
      <c r="L1411" s="25">
        <f>IFERROR(__xludf.DUMMYFUNCTION("""COMPUTED_VALUE"""),467.63)</f>
        <v>467.63</v>
      </c>
      <c r="M1411" s="25">
        <f>IFERROR(__xludf.DUMMYFUNCTION("""COMPUTED_VALUE"""),2015533.0)</f>
        <v>2015533</v>
      </c>
    </row>
    <row r="1412">
      <c r="A1412" s="26">
        <f>IFERROR(__xludf.DUMMYFUNCTION("""COMPUTED_VALUE"""),40444.645833333336)</f>
        <v>40444.64583</v>
      </c>
      <c r="B1412" s="9">
        <f>IFERROR(__xludf.DUMMYFUNCTION("""COMPUTED_VALUE"""),375.63)</f>
        <v>375.63</v>
      </c>
      <c r="C1412" s="9">
        <f>IFERROR(__xludf.DUMMYFUNCTION("""COMPUTED_VALUE"""),379.34)</f>
        <v>379.34</v>
      </c>
      <c r="D1412" s="9">
        <f>IFERROR(__xludf.DUMMYFUNCTION("""COMPUTED_VALUE"""),371.63)</f>
        <v>371.63</v>
      </c>
      <c r="E1412" s="9">
        <f>IFERROR(__xludf.DUMMYFUNCTION("""COMPUTED_VALUE"""),377.86)</f>
        <v>377.86</v>
      </c>
      <c r="F1412" s="9">
        <f>IFERROR(__xludf.DUMMYFUNCTION("""COMPUTED_VALUE"""),1397672.0)</f>
        <v>1397672</v>
      </c>
      <c r="H1412" s="27">
        <f>IFERROR(__xludf.DUMMYFUNCTION("""COMPUTED_VALUE"""),40444.645833333336)</f>
        <v>40444.64583</v>
      </c>
      <c r="I1412" s="25">
        <f>IFERROR(__xludf.DUMMYFUNCTION("""COMPUTED_VALUE"""),470.0)</f>
        <v>470</v>
      </c>
      <c r="J1412" s="25">
        <f>IFERROR(__xludf.DUMMYFUNCTION("""COMPUTED_VALUE"""),472.65)</f>
        <v>472.65</v>
      </c>
      <c r="K1412" s="25">
        <f>IFERROR(__xludf.DUMMYFUNCTION("""COMPUTED_VALUE"""),463.9)</f>
        <v>463.9</v>
      </c>
      <c r="L1412" s="25">
        <f>IFERROR(__xludf.DUMMYFUNCTION("""COMPUTED_VALUE"""),465.67)</f>
        <v>465.67</v>
      </c>
      <c r="M1412" s="25">
        <f>IFERROR(__xludf.DUMMYFUNCTION("""COMPUTED_VALUE"""),1663618.0)</f>
        <v>1663618</v>
      </c>
    </row>
    <row r="1413">
      <c r="A1413" s="26">
        <f>IFERROR(__xludf.DUMMYFUNCTION("""COMPUTED_VALUE"""),40445.645833333336)</f>
        <v>40445.64583</v>
      </c>
      <c r="B1413" s="9">
        <f>IFERROR(__xludf.DUMMYFUNCTION("""COMPUTED_VALUE"""),377.86)</f>
        <v>377.86</v>
      </c>
      <c r="C1413" s="9">
        <f>IFERROR(__xludf.DUMMYFUNCTION("""COMPUTED_VALUE"""),382.34)</f>
        <v>382.34</v>
      </c>
      <c r="D1413" s="9">
        <f>IFERROR(__xludf.DUMMYFUNCTION("""COMPUTED_VALUE"""),374.21)</f>
        <v>374.21</v>
      </c>
      <c r="E1413" s="9">
        <f>IFERROR(__xludf.DUMMYFUNCTION("""COMPUTED_VALUE"""),381.14)</f>
        <v>381.14</v>
      </c>
      <c r="F1413" s="9">
        <f>IFERROR(__xludf.DUMMYFUNCTION("""COMPUTED_VALUE"""),1098940.0)</f>
        <v>1098940</v>
      </c>
      <c r="H1413" s="27">
        <f>IFERROR(__xludf.DUMMYFUNCTION("""COMPUTED_VALUE"""),40445.645833333336)</f>
        <v>40445.64583</v>
      </c>
      <c r="I1413" s="25">
        <f>IFERROR(__xludf.DUMMYFUNCTION("""COMPUTED_VALUE"""),466.55)</f>
        <v>466.55</v>
      </c>
      <c r="J1413" s="25">
        <f>IFERROR(__xludf.DUMMYFUNCTION("""COMPUTED_VALUE"""),468.95)</f>
        <v>468.95</v>
      </c>
      <c r="K1413" s="25">
        <f>IFERROR(__xludf.DUMMYFUNCTION("""COMPUTED_VALUE"""),462.5)</f>
        <v>462.5</v>
      </c>
      <c r="L1413" s="25">
        <f>IFERROR(__xludf.DUMMYFUNCTION("""COMPUTED_VALUE"""),465.98)</f>
        <v>465.98</v>
      </c>
      <c r="M1413" s="25">
        <f>IFERROR(__xludf.DUMMYFUNCTION("""COMPUTED_VALUE"""),1369392.0)</f>
        <v>1369392</v>
      </c>
    </row>
    <row r="1414">
      <c r="A1414" s="26">
        <f>IFERROR(__xludf.DUMMYFUNCTION("""COMPUTED_VALUE"""),40448.645833333336)</f>
        <v>40448.64583</v>
      </c>
      <c r="B1414" s="9">
        <f>IFERROR(__xludf.DUMMYFUNCTION("""COMPUTED_VALUE"""),381.88)</f>
        <v>381.88</v>
      </c>
      <c r="C1414" s="9">
        <f>IFERROR(__xludf.DUMMYFUNCTION("""COMPUTED_VALUE"""),382.5)</f>
        <v>382.5</v>
      </c>
      <c r="D1414" s="9">
        <f>IFERROR(__xludf.DUMMYFUNCTION("""COMPUTED_VALUE"""),377.92)</f>
        <v>377.92</v>
      </c>
      <c r="E1414" s="9">
        <f>IFERROR(__xludf.DUMMYFUNCTION("""COMPUTED_VALUE"""),379.08)</f>
        <v>379.08</v>
      </c>
      <c r="F1414" s="9">
        <f>IFERROR(__xludf.DUMMYFUNCTION("""COMPUTED_VALUE"""),901290.0)</f>
        <v>901290</v>
      </c>
      <c r="H1414" s="27">
        <f>IFERROR(__xludf.DUMMYFUNCTION("""COMPUTED_VALUE"""),40448.645833333336)</f>
        <v>40448.64583</v>
      </c>
      <c r="I1414" s="25">
        <f>IFERROR(__xludf.DUMMYFUNCTION("""COMPUTED_VALUE"""),467.5)</f>
        <v>467.5</v>
      </c>
      <c r="J1414" s="25">
        <f>IFERROR(__xludf.DUMMYFUNCTION("""COMPUTED_VALUE"""),470.73)</f>
        <v>470.73</v>
      </c>
      <c r="K1414" s="25">
        <f>IFERROR(__xludf.DUMMYFUNCTION("""COMPUTED_VALUE"""),461.0)</f>
        <v>461</v>
      </c>
      <c r="L1414" s="25">
        <f>IFERROR(__xludf.DUMMYFUNCTION("""COMPUTED_VALUE"""),463.8)</f>
        <v>463.8</v>
      </c>
      <c r="M1414" s="25">
        <f>IFERROR(__xludf.DUMMYFUNCTION("""COMPUTED_VALUE"""),1711645.0)</f>
        <v>1711645</v>
      </c>
    </row>
    <row r="1415">
      <c r="A1415" s="26">
        <f>IFERROR(__xludf.DUMMYFUNCTION("""COMPUTED_VALUE"""),40449.645833333336)</f>
        <v>40449.64583</v>
      </c>
      <c r="B1415" s="9">
        <f>IFERROR(__xludf.DUMMYFUNCTION("""COMPUTED_VALUE"""),378.13)</f>
        <v>378.13</v>
      </c>
      <c r="C1415" s="9">
        <f>IFERROR(__xludf.DUMMYFUNCTION("""COMPUTED_VALUE"""),378.51)</f>
        <v>378.51</v>
      </c>
      <c r="D1415" s="9">
        <f>IFERROR(__xludf.DUMMYFUNCTION("""COMPUTED_VALUE"""),375.13)</f>
        <v>375.13</v>
      </c>
      <c r="E1415" s="9">
        <f>IFERROR(__xludf.DUMMYFUNCTION("""COMPUTED_VALUE"""),377.08)</f>
        <v>377.08</v>
      </c>
      <c r="F1415" s="9">
        <f>IFERROR(__xludf.DUMMYFUNCTION("""COMPUTED_VALUE"""),776143.0)</f>
        <v>776143</v>
      </c>
      <c r="H1415" s="27">
        <f>IFERROR(__xludf.DUMMYFUNCTION("""COMPUTED_VALUE"""),40449.645833333336)</f>
        <v>40449.64583</v>
      </c>
      <c r="I1415" s="25">
        <f>IFERROR(__xludf.DUMMYFUNCTION("""COMPUTED_VALUE"""),462.63)</f>
        <v>462.63</v>
      </c>
      <c r="J1415" s="25">
        <f>IFERROR(__xludf.DUMMYFUNCTION("""COMPUTED_VALUE"""),465.15)</f>
        <v>465.15</v>
      </c>
      <c r="K1415" s="25">
        <f>IFERROR(__xludf.DUMMYFUNCTION("""COMPUTED_VALUE"""),457.05)</f>
        <v>457.05</v>
      </c>
      <c r="L1415" s="25">
        <f>IFERROR(__xludf.DUMMYFUNCTION("""COMPUTED_VALUE"""),459.83)</f>
        <v>459.83</v>
      </c>
      <c r="M1415" s="25">
        <f>IFERROR(__xludf.DUMMYFUNCTION("""COMPUTED_VALUE"""),1260857.0)</f>
        <v>1260857</v>
      </c>
    </row>
    <row r="1416">
      <c r="A1416" s="26">
        <f>IFERROR(__xludf.DUMMYFUNCTION("""COMPUTED_VALUE"""),40450.645833333336)</f>
        <v>40450.64583</v>
      </c>
      <c r="B1416" s="9">
        <f>IFERROR(__xludf.DUMMYFUNCTION("""COMPUTED_VALUE"""),378.25)</f>
        <v>378.25</v>
      </c>
      <c r="C1416" s="9">
        <f>IFERROR(__xludf.DUMMYFUNCTION("""COMPUTED_VALUE"""),384.88)</f>
        <v>384.88</v>
      </c>
      <c r="D1416" s="9">
        <f>IFERROR(__xludf.DUMMYFUNCTION("""COMPUTED_VALUE"""),375.33)</f>
        <v>375.33</v>
      </c>
      <c r="E1416" s="9">
        <f>IFERROR(__xludf.DUMMYFUNCTION("""COMPUTED_VALUE"""),378.88)</f>
        <v>378.88</v>
      </c>
      <c r="F1416" s="9">
        <f>IFERROR(__xludf.DUMMYFUNCTION("""COMPUTED_VALUE"""),1121615.0)</f>
        <v>1121615</v>
      </c>
      <c r="H1416" s="27">
        <f>IFERROR(__xludf.DUMMYFUNCTION("""COMPUTED_VALUE"""),40450.645833333336)</f>
        <v>40450.64583</v>
      </c>
      <c r="I1416" s="25">
        <f>IFERROR(__xludf.DUMMYFUNCTION("""COMPUTED_VALUE"""),462.5)</f>
        <v>462.5</v>
      </c>
      <c r="J1416" s="25">
        <f>IFERROR(__xludf.DUMMYFUNCTION("""COMPUTED_VALUE"""),468.63)</f>
        <v>468.63</v>
      </c>
      <c r="K1416" s="25">
        <f>IFERROR(__xludf.DUMMYFUNCTION("""COMPUTED_VALUE"""),457.45)</f>
        <v>457.45</v>
      </c>
      <c r="L1416" s="25">
        <f>IFERROR(__xludf.DUMMYFUNCTION("""COMPUTED_VALUE"""),460.17)</f>
        <v>460.17</v>
      </c>
      <c r="M1416" s="25">
        <f>IFERROR(__xludf.DUMMYFUNCTION("""COMPUTED_VALUE"""),1685097.0)</f>
        <v>1685097</v>
      </c>
    </row>
    <row r="1417">
      <c r="A1417" s="26">
        <f>IFERROR(__xludf.DUMMYFUNCTION("""COMPUTED_VALUE"""),40451.645833333336)</f>
        <v>40451.64583</v>
      </c>
      <c r="B1417" s="9">
        <f>IFERROR(__xludf.DUMMYFUNCTION("""COMPUTED_VALUE"""),380.87)</f>
        <v>380.87</v>
      </c>
      <c r="C1417" s="9">
        <f>IFERROR(__xludf.DUMMYFUNCTION("""COMPUTED_VALUE"""),384.38)</f>
        <v>384.38</v>
      </c>
      <c r="D1417" s="9">
        <f>IFERROR(__xludf.DUMMYFUNCTION("""COMPUTED_VALUE"""),375.93)</f>
        <v>375.93</v>
      </c>
      <c r="E1417" s="9">
        <f>IFERROR(__xludf.DUMMYFUNCTION("""COMPUTED_VALUE"""),381.31)</f>
        <v>381.31</v>
      </c>
      <c r="F1417" s="9">
        <f>IFERROR(__xludf.DUMMYFUNCTION("""COMPUTED_VALUE"""),1708227.0)</f>
        <v>1708227</v>
      </c>
      <c r="H1417" s="27">
        <f>IFERROR(__xludf.DUMMYFUNCTION("""COMPUTED_VALUE"""),40451.645833333336)</f>
        <v>40451.64583</v>
      </c>
      <c r="I1417" s="25">
        <f>IFERROR(__xludf.DUMMYFUNCTION("""COMPUTED_VALUE"""),462.5)</f>
        <v>462.5</v>
      </c>
      <c r="J1417" s="25">
        <f>IFERROR(__xludf.DUMMYFUNCTION("""COMPUTED_VALUE"""),465.0)</f>
        <v>465</v>
      </c>
      <c r="K1417" s="25">
        <f>IFERROR(__xludf.DUMMYFUNCTION("""COMPUTED_VALUE"""),457.58)</f>
        <v>457.58</v>
      </c>
      <c r="L1417" s="25">
        <f>IFERROR(__xludf.DUMMYFUNCTION("""COMPUTED_VALUE"""),463.48)</f>
        <v>463.48</v>
      </c>
      <c r="M1417" s="25">
        <f>IFERROR(__xludf.DUMMYFUNCTION("""COMPUTED_VALUE"""),3780462.0)</f>
        <v>3780462</v>
      </c>
    </row>
    <row r="1418">
      <c r="A1418" s="26">
        <f>IFERROR(__xludf.DUMMYFUNCTION("""COMPUTED_VALUE"""),40452.645833333336)</f>
        <v>40452.64583</v>
      </c>
      <c r="B1418" s="9">
        <f>IFERROR(__xludf.DUMMYFUNCTION("""COMPUTED_VALUE"""),381.38)</f>
        <v>381.38</v>
      </c>
      <c r="C1418" s="9">
        <f>IFERROR(__xludf.DUMMYFUNCTION("""COMPUTED_VALUE"""),388.76)</f>
        <v>388.76</v>
      </c>
      <c r="D1418" s="9">
        <f>IFERROR(__xludf.DUMMYFUNCTION("""COMPUTED_VALUE"""),378.29)</f>
        <v>378.29</v>
      </c>
      <c r="E1418" s="9">
        <f>IFERROR(__xludf.DUMMYFUNCTION("""COMPUTED_VALUE"""),387.77)</f>
        <v>387.77</v>
      </c>
      <c r="F1418" s="9">
        <f>IFERROR(__xludf.DUMMYFUNCTION("""COMPUTED_VALUE"""),1010814.0)</f>
        <v>1010814</v>
      </c>
      <c r="H1418" s="27">
        <f>IFERROR(__xludf.DUMMYFUNCTION("""COMPUTED_VALUE"""),40452.645833333336)</f>
        <v>40452.64583</v>
      </c>
      <c r="I1418" s="25">
        <f>IFERROR(__xludf.DUMMYFUNCTION("""COMPUTED_VALUE"""),463.5)</f>
        <v>463.5</v>
      </c>
      <c r="J1418" s="25">
        <f>IFERROR(__xludf.DUMMYFUNCTION("""COMPUTED_VALUE"""),483.0)</f>
        <v>483</v>
      </c>
      <c r="K1418" s="25">
        <f>IFERROR(__xludf.DUMMYFUNCTION("""COMPUTED_VALUE"""),461.0)</f>
        <v>461</v>
      </c>
      <c r="L1418" s="25">
        <f>IFERROR(__xludf.DUMMYFUNCTION("""COMPUTED_VALUE"""),480.8)</f>
        <v>480.8</v>
      </c>
      <c r="M1418" s="25">
        <f>IFERROR(__xludf.DUMMYFUNCTION("""COMPUTED_VALUE"""),1663078.0)</f>
        <v>1663078</v>
      </c>
    </row>
    <row r="1419">
      <c r="A1419" s="26">
        <f>IFERROR(__xludf.DUMMYFUNCTION("""COMPUTED_VALUE"""),40455.645833333336)</f>
        <v>40455.64583</v>
      </c>
      <c r="B1419" s="9">
        <f>IFERROR(__xludf.DUMMYFUNCTION("""COMPUTED_VALUE"""),389.0)</f>
        <v>389</v>
      </c>
      <c r="C1419" s="9">
        <f>IFERROR(__xludf.DUMMYFUNCTION("""COMPUTED_VALUE"""),395.25)</f>
        <v>395.25</v>
      </c>
      <c r="D1419" s="9">
        <f>IFERROR(__xludf.DUMMYFUNCTION("""COMPUTED_VALUE"""),382.82)</f>
        <v>382.82</v>
      </c>
      <c r="E1419" s="9">
        <f>IFERROR(__xludf.DUMMYFUNCTION("""COMPUTED_VALUE"""),384.81)</f>
        <v>384.81</v>
      </c>
      <c r="F1419" s="9">
        <f>IFERROR(__xludf.DUMMYFUNCTION("""COMPUTED_VALUE"""),954580.0)</f>
        <v>954580</v>
      </c>
      <c r="H1419" s="27">
        <f>IFERROR(__xludf.DUMMYFUNCTION("""COMPUTED_VALUE"""),40455.645833333336)</f>
        <v>40455.64583</v>
      </c>
      <c r="I1419" s="25">
        <f>IFERROR(__xludf.DUMMYFUNCTION("""COMPUTED_VALUE"""),483.38)</f>
        <v>483.38</v>
      </c>
      <c r="J1419" s="25">
        <f>IFERROR(__xludf.DUMMYFUNCTION("""COMPUTED_VALUE"""),487.5)</f>
        <v>487.5</v>
      </c>
      <c r="K1419" s="25">
        <f>IFERROR(__xludf.DUMMYFUNCTION("""COMPUTED_VALUE"""),476.5)</f>
        <v>476.5</v>
      </c>
      <c r="L1419" s="25">
        <f>IFERROR(__xludf.DUMMYFUNCTION("""COMPUTED_VALUE"""),477.9)</f>
        <v>477.9</v>
      </c>
      <c r="M1419" s="25">
        <f>IFERROR(__xludf.DUMMYFUNCTION("""COMPUTED_VALUE"""),1070478.0)</f>
        <v>1070478</v>
      </c>
    </row>
    <row r="1420">
      <c r="A1420" s="26">
        <f>IFERROR(__xludf.DUMMYFUNCTION("""COMPUTED_VALUE"""),40456.645833333336)</f>
        <v>40456.64583</v>
      </c>
      <c r="B1420" s="9">
        <f>IFERROR(__xludf.DUMMYFUNCTION("""COMPUTED_VALUE"""),384.38)</f>
        <v>384.38</v>
      </c>
      <c r="C1420" s="9">
        <f>IFERROR(__xludf.DUMMYFUNCTION("""COMPUTED_VALUE"""),388.88)</f>
        <v>388.88</v>
      </c>
      <c r="D1420" s="9">
        <f>IFERROR(__xludf.DUMMYFUNCTION("""COMPUTED_VALUE"""),383.75)</f>
        <v>383.75</v>
      </c>
      <c r="E1420" s="9">
        <f>IFERROR(__xludf.DUMMYFUNCTION("""COMPUTED_VALUE"""),385.59)</f>
        <v>385.59</v>
      </c>
      <c r="F1420" s="9">
        <f>IFERROR(__xludf.DUMMYFUNCTION("""COMPUTED_VALUE"""),648644.0)</f>
        <v>648644</v>
      </c>
      <c r="H1420" s="27">
        <f>IFERROR(__xludf.DUMMYFUNCTION("""COMPUTED_VALUE"""),40456.645833333336)</f>
        <v>40456.64583</v>
      </c>
      <c r="I1420" s="25">
        <f>IFERROR(__xludf.DUMMYFUNCTION("""COMPUTED_VALUE"""),475.0)</f>
        <v>475</v>
      </c>
      <c r="J1420" s="25">
        <f>IFERROR(__xludf.DUMMYFUNCTION("""COMPUTED_VALUE"""),482.98)</f>
        <v>482.98</v>
      </c>
      <c r="K1420" s="25">
        <f>IFERROR(__xludf.DUMMYFUNCTION("""COMPUTED_VALUE"""),473.08)</f>
        <v>473.08</v>
      </c>
      <c r="L1420" s="25">
        <f>IFERROR(__xludf.DUMMYFUNCTION("""COMPUTED_VALUE"""),475.13)</f>
        <v>475.13</v>
      </c>
      <c r="M1420" s="25">
        <f>IFERROR(__xludf.DUMMYFUNCTION("""COMPUTED_VALUE"""),1105832.0)</f>
        <v>1105832</v>
      </c>
    </row>
    <row r="1421">
      <c r="A1421" s="26">
        <f>IFERROR(__xludf.DUMMYFUNCTION("""COMPUTED_VALUE"""),40457.645833333336)</f>
        <v>40457.64583</v>
      </c>
      <c r="B1421" s="9">
        <f>IFERROR(__xludf.DUMMYFUNCTION("""COMPUTED_VALUE"""),388.25)</f>
        <v>388.25</v>
      </c>
      <c r="C1421" s="9">
        <f>IFERROR(__xludf.DUMMYFUNCTION("""COMPUTED_VALUE"""),390.36)</f>
        <v>390.36</v>
      </c>
      <c r="D1421" s="9">
        <f>IFERROR(__xludf.DUMMYFUNCTION("""COMPUTED_VALUE"""),384.58)</f>
        <v>384.58</v>
      </c>
      <c r="E1421" s="9">
        <f>IFERROR(__xludf.DUMMYFUNCTION("""COMPUTED_VALUE"""),387.98)</f>
        <v>387.98</v>
      </c>
      <c r="F1421" s="9">
        <f>IFERROR(__xludf.DUMMYFUNCTION("""COMPUTED_VALUE"""),723566.0)</f>
        <v>723566</v>
      </c>
      <c r="H1421" s="27">
        <f>IFERROR(__xludf.DUMMYFUNCTION("""COMPUTED_VALUE"""),40457.645833333336)</f>
        <v>40457.64583</v>
      </c>
      <c r="I1421" s="25">
        <f>IFERROR(__xludf.DUMMYFUNCTION("""COMPUTED_VALUE"""),475.0)</f>
        <v>475</v>
      </c>
      <c r="J1421" s="25">
        <f>IFERROR(__xludf.DUMMYFUNCTION("""COMPUTED_VALUE"""),483.95)</f>
        <v>483.95</v>
      </c>
      <c r="K1421" s="25">
        <f>IFERROR(__xludf.DUMMYFUNCTION("""COMPUTED_VALUE"""),475.0)</f>
        <v>475</v>
      </c>
      <c r="L1421" s="25">
        <f>IFERROR(__xludf.DUMMYFUNCTION("""COMPUTED_VALUE"""),479.83)</f>
        <v>479.83</v>
      </c>
      <c r="M1421" s="25">
        <f>IFERROR(__xludf.DUMMYFUNCTION("""COMPUTED_VALUE"""),919480.0)</f>
        <v>919480</v>
      </c>
    </row>
    <row r="1422">
      <c r="A1422" s="26">
        <f>IFERROR(__xludf.DUMMYFUNCTION("""COMPUTED_VALUE"""),40458.645833333336)</f>
        <v>40458.64583</v>
      </c>
      <c r="B1422" s="9">
        <f>IFERROR(__xludf.DUMMYFUNCTION("""COMPUTED_VALUE"""),386.13)</f>
        <v>386.13</v>
      </c>
      <c r="C1422" s="9">
        <f>IFERROR(__xludf.DUMMYFUNCTION("""COMPUTED_VALUE"""),387.19)</f>
        <v>387.19</v>
      </c>
      <c r="D1422" s="9">
        <f>IFERROR(__xludf.DUMMYFUNCTION("""COMPUTED_VALUE"""),380.25)</f>
        <v>380.25</v>
      </c>
      <c r="E1422" s="9">
        <f>IFERROR(__xludf.DUMMYFUNCTION("""COMPUTED_VALUE"""),381.68)</f>
        <v>381.68</v>
      </c>
      <c r="F1422" s="9">
        <f>IFERROR(__xludf.DUMMYFUNCTION("""COMPUTED_VALUE"""),854209.0)</f>
        <v>854209</v>
      </c>
      <c r="H1422" s="27">
        <f>IFERROR(__xludf.DUMMYFUNCTION("""COMPUTED_VALUE"""),40458.645833333336)</f>
        <v>40458.64583</v>
      </c>
      <c r="I1422" s="25">
        <f>IFERROR(__xludf.DUMMYFUNCTION("""COMPUTED_VALUE"""),480.0)</f>
        <v>480</v>
      </c>
      <c r="J1422" s="25">
        <f>IFERROR(__xludf.DUMMYFUNCTION("""COMPUTED_VALUE"""),483.0)</f>
        <v>483</v>
      </c>
      <c r="K1422" s="25">
        <f>IFERROR(__xludf.DUMMYFUNCTION("""COMPUTED_VALUE"""),469.2)</f>
        <v>469.2</v>
      </c>
      <c r="L1422" s="25">
        <f>IFERROR(__xludf.DUMMYFUNCTION("""COMPUTED_VALUE"""),474.4)</f>
        <v>474.4</v>
      </c>
      <c r="M1422" s="25">
        <f>IFERROR(__xludf.DUMMYFUNCTION("""COMPUTED_VALUE"""),986470.0)</f>
        <v>986470</v>
      </c>
    </row>
    <row r="1423">
      <c r="A1423" s="26">
        <f>IFERROR(__xludf.DUMMYFUNCTION("""COMPUTED_VALUE"""),40459.645833333336)</f>
        <v>40459.64583</v>
      </c>
      <c r="B1423" s="9">
        <f>IFERROR(__xludf.DUMMYFUNCTION("""COMPUTED_VALUE"""),382.5)</f>
        <v>382.5</v>
      </c>
      <c r="C1423" s="9">
        <f>IFERROR(__xludf.DUMMYFUNCTION("""COMPUTED_VALUE"""),385.71)</f>
        <v>385.71</v>
      </c>
      <c r="D1423" s="9">
        <f>IFERROR(__xludf.DUMMYFUNCTION("""COMPUTED_VALUE"""),379.63)</f>
        <v>379.63</v>
      </c>
      <c r="E1423" s="9">
        <f>IFERROR(__xludf.DUMMYFUNCTION("""COMPUTED_VALUE"""),384.54)</f>
        <v>384.54</v>
      </c>
      <c r="F1423" s="9">
        <f>IFERROR(__xludf.DUMMYFUNCTION("""COMPUTED_VALUE"""),818520.0)</f>
        <v>818520</v>
      </c>
      <c r="H1423" s="27">
        <f>IFERROR(__xludf.DUMMYFUNCTION("""COMPUTED_VALUE"""),40459.645833333336)</f>
        <v>40459.64583</v>
      </c>
      <c r="I1423" s="25">
        <f>IFERROR(__xludf.DUMMYFUNCTION("""COMPUTED_VALUE"""),472.03)</f>
        <v>472.03</v>
      </c>
      <c r="J1423" s="25">
        <f>IFERROR(__xludf.DUMMYFUNCTION("""COMPUTED_VALUE"""),477.35)</f>
        <v>477.35</v>
      </c>
      <c r="K1423" s="25">
        <f>IFERROR(__xludf.DUMMYFUNCTION("""COMPUTED_VALUE"""),434.5)</f>
        <v>434.5</v>
      </c>
      <c r="L1423" s="25">
        <f>IFERROR(__xludf.DUMMYFUNCTION("""COMPUTED_VALUE"""),471.3)</f>
        <v>471.3</v>
      </c>
      <c r="M1423" s="25">
        <f>IFERROR(__xludf.DUMMYFUNCTION("""COMPUTED_VALUE"""),1347998.0)</f>
        <v>1347998</v>
      </c>
    </row>
    <row r="1424">
      <c r="A1424" s="26">
        <f>IFERROR(__xludf.DUMMYFUNCTION("""COMPUTED_VALUE"""),40462.645833333336)</f>
        <v>40462.64583</v>
      </c>
      <c r="B1424" s="9">
        <f>IFERROR(__xludf.DUMMYFUNCTION("""COMPUTED_VALUE"""),385.04)</f>
        <v>385.04</v>
      </c>
      <c r="C1424" s="9">
        <f>IFERROR(__xludf.DUMMYFUNCTION("""COMPUTED_VALUE"""),387.13)</f>
        <v>387.13</v>
      </c>
      <c r="D1424" s="9">
        <f>IFERROR(__xludf.DUMMYFUNCTION("""COMPUTED_VALUE"""),382.33)</f>
        <v>382.33</v>
      </c>
      <c r="E1424" s="9">
        <f>IFERROR(__xludf.DUMMYFUNCTION("""COMPUTED_VALUE"""),384.31)</f>
        <v>384.31</v>
      </c>
      <c r="F1424" s="9">
        <f>IFERROR(__xludf.DUMMYFUNCTION("""COMPUTED_VALUE"""),561729.0)</f>
        <v>561729</v>
      </c>
      <c r="H1424" s="27">
        <f>IFERROR(__xludf.DUMMYFUNCTION("""COMPUTED_VALUE"""),40462.645833333336)</f>
        <v>40462.64583</v>
      </c>
      <c r="I1424" s="25">
        <f>IFERROR(__xludf.DUMMYFUNCTION("""COMPUTED_VALUE"""),471.3)</f>
        <v>471.3</v>
      </c>
      <c r="J1424" s="25">
        <f>IFERROR(__xludf.DUMMYFUNCTION("""COMPUTED_VALUE"""),476.98)</f>
        <v>476.98</v>
      </c>
      <c r="K1424" s="25">
        <f>IFERROR(__xludf.DUMMYFUNCTION("""COMPUTED_VALUE"""),464.53)</f>
        <v>464.53</v>
      </c>
      <c r="L1424" s="25">
        <f>IFERROR(__xludf.DUMMYFUNCTION("""COMPUTED_VALUE"""),470.45)</f>
        <v>470.45</v>
      </c>
      <c r="M1424" s="25">
        <f>IFERROR(__xludf.DUMMYFUNCTION("""COMPUTED_VALUE"""),1532685.0)</f>
        <v>1532685</v>
      </c>
    </row>
    <row r="1425">
      <c r="A1425" s="26">
        <f>IFERROR(__xludf.DUMMYFUNCTION("""COMPUTED_VALUE"""),40463.645833333336)</f>
        <v>40463.64583</v>
      </c>
      <c r="B1425" s="9">
        <f>IFERROR(__xludf.DUMMYFUNCTION("""COMPUTED_VALUE"""),384.0)</f>
        <v>384</v>
      </c>
      <c r="C1425" s="9">
        <f>IFERROR(__xludf.DUMMYFUNCTION("""COMPUTED_VALUE"""),385.62)</f>
        <v>385.62</v>
      </c>
      <c r="D1425" s="9">
        <f>IFERROR(__xludf.DUMMYFUNCTION("""COMPUTED_VALUE"""),381.29)</f>
        <v>381.29</v>
      </c>
      <c r="E1425" s="9">
        <f>IFERROR(__xludf.DUMMYFUNCTION("""COMPUTED_VALUE"""),384.4)</f>
        <v>384.4</v>
      </c>
      <c r="F1425" s="9">
        <f>IFERROR(__xludf.DUMMYFUNCTION("""COMPUTED_VALUE"""),578203.0)</f>
        <v>578203</v>
      </c>
      <c r="H1425" s="27">
        <f>IFERROR(__xludf.DUMMYFUNCTION("""COMPUTED_VALUE"""),40463.645833333336)</f>
        <v>40463.64583</v>
      </c>
      <c r="I1425" s="25">
        <f>IFERROR(__xludf.DUMMYFUNCTION("""COMPUTED_VALUE"""),471.33)</f>
        <v>471.33</v>
      </c>
      <c r="J1425" s="25">
        <f>IFERROR(__xludf.DUMMYFUNCTION("""COMPUTED_VALUE"""),477.9)</f>
        <v>477.9</v>
      </c>
      <c r="K1425" s="25">
        <f>IFERROR(__xludf.DUMMYFUNCTION("""COMPUTED_VALUE"""),469.55)</f>
        <v>469.55</v>
      </c>
      <c r="L1425" s="25">
        <f>IFERROR(__xludf.DUMMYFUNCTION("""COMPUTED_VALUE"""),475.35)</f>
        <v>475.35</v>
      </c>
      <c r="M1425" s="25">
        <f>IFERROR(__xludf.DUMMYFUNCTION("""COMPUTED_VALUE"""),1304451.0)</f>
        <v>1304451</v>
      </c>
    </row>
    <row r="1426">
      <c r="A1426" s="26">
        <f>IFERROR(__xludf.DUMMYFUNCTION("""COMPUTED_VALUE"""),40464.645833333336)</f>
        <v>40464.64583</v>
      </c>
      <c r="B1426" s="9">
        <f>IFERROR(__xludf.DUMMYFUNCTION("""COMPUTED_VALUE"""),385.13)</f>
        <v>385.13</v>
      </c>
      <c r="C1426" s="9">
        <f>IFERROR(__xludf.DUMMYFUNCTION("""COMPUTED_VALUE"""),395.6)</f>
        <v>395.6</v>
      </c>
      <c r="D1426" s="9">
        <f>IFERROR(__xludf.DUMMYFUNCTION("""COMPUTED_VALUE"""),384.4)</f>
        <v>384.4</v>
      </c>
      <c r="E1426" s="9">
        <f>IFERROR(__xludf.DUMMYFUNCTION("""COMPUTED_VALUE"""),394.11)</f>
        <v>394.11</v>
      </c>
      <c r="F1426" s="9">
        <f>IFERROR(__xludf.DUMMYFUNCTION("""COMPUTED_VALUE"""),1628063.0)</f>
        <v>1628063</v>
      </c>
      <c r="H1426" s="27">
        <f>IFERROR(__xludf.DUMMYFUNCTION("""COMPUTED_VALUE"""),40464.645833333336)</f>
        <v>40464.64583</v>
      </c>
      <c r="I1426" s="25">
        <f>IFERROR(__xludf.DUMMYFUNCTION("""COMPUTED_VALUE"""),477.98)</f>
        <v>477.98</v>
      </c>
      <c r="J1426" s="25">
        <f>IFERROR(__xludf.DUMMYFUNCTION("""COMPUTED_VALUE"""),498.85)</f>
        <v>498.85</v>
      </c>
      <c r="K1426" s="25">
        <f>IFERROR(__xludf.DUMMYFUNCTION("""COMPUTED_VALUE"""),474.55)</f>
        <v>474.55</v>
      </c>
      <c r="L1426" s="25">
        <f>IFERROR(__xludf.DUMMYFUNCTION("""COMPUTED_VALUE"""),496.42)</f>
        <v>496.42</v>
      </c>
      <c r="M1426" s="25">
        <f>IFERROR(__xludf.DUMMYFUNCTION("""COMPUTED_VALUE"""),2675302.0)</f>
        <v>2675302</v>
      </c>
    </row>
    <row r="1427">
      <c r="A1427" s="26">
        <f>IFERROR(__xludf.DUMMYFUNCTION("""COMPUTED_VALUE"""),40465.645833333336)</f>
        <v>40465.64583</v>
      </c>
      <c r="B1427" s="9">
        <f>IFERROR(__xludf.DUMMYFUNCTION("""COMPUTED_VALUE"""),395.64)</f>
        <v>395.64</v>
      </c>
      <c r="C1427" s="9">
        <f>IFERROR(__xludf.DUMMYFUNCTION("""COMPUTED_VALUE"""),403.62)</f>
        <v>403.62</v>
      </c>
      <c r="D1427" s="9">
        <f>IFERROR(__xludf.DUMMYFUNCTION("""COMPUTED_VALUE"""),394.53)</f>
        <v>394.53</v>
      </c>
      <c r="E1427" s="9">
        <f>IFERROR(__xludf.DUMMYFUNCTION("""COMPUTED_VALUE"""),398.16)</f>
        <v>398.16</v>
      </c>
      <c r="F1427" s="9">
        <f>IFERROR(__xludf.DUMMYFUNCTION("""COMPUTED_VALUE"""),1149172.0)</f>
        <v>1149172</v>
      </c>
      <c r="H1427" s="27">
        <f>IFERROR(__xludf.DUMMYFUNCTION("""COMPUTED_VALUE"""),40465.645833333336)</f>
        <v>40465.64583</v>
      </c>
      <c r="I1427" s="25">
        <f>IFERROR(__xludf.DUMMYFUNCTION("""COMPUTED_VALUE"""),498.45)</f>
        <v>498.45</v>
      </c>
      <c r="J1427" s="25">
        <f>IFERROR(__xludf.DUMMYFUNCTION("""COMPUTED_VALUE"""),502.0)</f>
        <v>502</v>
      </c>
      <c r="K1427" s="25">
        <f>IFERROR(__xludf.DUMMYFUNCTION("""COMPUTED_VALUE"""),491.17)</f>
        <v>491.17</v>
      </c>
      <c r="L1427" s="25">
        <f>IFERROR(__xludf.DUMMYFUNCTION("""COMPUTED_VALUE"""),493.03)</f>
        <v>493.03</v>
      </c>
      <c r="M1427" s="25">
        <f>IFERROR(__xludf.DUMMYFUNCTION("""COMPUTED_VALUE"""),1474543.0)</f>
        <v>1474543</v>
      </c>
    </row>
    <row r="1428">
      <c r="A1428" s="26">
        <f>IFERROR(__xludf.DUMMYFUNCTION("""COMPUTED_VALUE"""),40466.645833333336)</f>
        <v>40466.64583</v>
      </c>
      <c r="B1428" s="9">
        <f>IFERROR(__xludf.DUMMYFUNCTION("""COMPUTED_VALUE"""),400.0)</f>
        <v>400</v>
      </c>
      <c r="C1428" s="9">
        <f>IFERROR(__xludf.DUMMYFUNCTION("""COMPUTED_VALUE"""),404.75)</f>
        <v>404.75</v>
      </c>
      <c r="D1428" s="9">
        <f>IFERROR(__xludf.DUMMYFUNCTION("""COMPUTED_VALUE"""),382.64)</f>
        <v>382.64</v>
      </c>
      <c r="E1428" s="9">
        <f>IFERROR(__xludf.DUMMYFUNCTION("""COMPUTED_VALUE"""),384.54)</f>
        <v>384.54</v>
      </c>
      <c r="F1428" s="9">
        <f>IFERROR(__xludf.DUMMYFUNCTION("""COMPUTED_VALUE"""),3233795.0)</f>
        <v>3233795</v>
      </c>
      <c r="H1428" s="27">
        <f>IFERROR(__xludf.DUMMYFUNCTION("""COMPUTED_VALUE"""),40466.645833333336)</f>
        <v>40466.64583</v>
      </c>
      <c r="I1428" s="25">
        <f>IFERROR(__xludf.DUMMYFUNCTION("""COMPUTED_VALUE"""),499.5)</f>
        <v>499.5</v>
      </c>
      <c r="J1428" s="25">
        <f>IFERROR(__xludf.DUMMYFUNCTION("""COMPUTED_VALUE"""),505.5)</f>
        <v>505.5</v>
      </c>
      <c r="K1428" s="25">
        <f>IFERROR(__xludf.DUMMYFUNCTION("""COMPUTED_VALUE"""),472.5)</f>
        <v>472.5</v>
      </c>
      <c r="L1428" s="25">
        <f>IFERROR(__xludf.DUMMYFUNCTION("""COMPUTED_VALUE"""),475.15)</f>
        <v>475.15</v>
      </c>
      <c r="M1428" s="25">
        <f>IFERROR(__xludf.DUMMYFUNCTION("""COMPUTED_VALUE"""),2858899.0)</f>
        <v>2858899</v>
      </c>
    </row>
    <row r="1429">
      <c r="A1429" s="26">
        <f>IFERROR(__xludf.DUMMYFUNCTION("""COMPUTED_VALUE"""),40469.645833333336)</f>
        <v>40469.64583</v>
      </c>
      <c r="B1429" s="9">
        <f>IFERROR(__xludf.DUMMYFUNCTION("""COMPUTED_VALUE"""),385.06)</f>
        <v>385.06</v>
      </c>
      <c r="C1429" s="9">
        <f>IFERROR(__xludf.DUMMYFUNCTION("""COMPUTED_VALUE"""),389.86)</f>
        <v>389.86</v>
      </c>
      <c r="D1429" s="9">
        <f>IFERROR(__xludf.DUMMYFUNCTION("""COMPUTED_VALUE"""),379.91)</f>
        <v>379.91</v>
      </c>
      <c r="E1429" s="9">
        <f>IFERROR(__xludf.DUMMYFUNCTION("""COMPUTED_VALUE"""),388.38)</f>
        <v>388.38</v>
      </c>
      <c r="F1429" s="9">
        <f>IFERROR(__xludf.DUMMYFUNCTION("""COMPUTED_VALUE"""),1573887.0)</f>
        <v>1573887</v>
      </c>
      <c r="H1429" s="27">
        <f>IFERROR(__xludf.DUMMYFUNCTION("""COMPUTED_VALUE"""),40469.645833333336)</f>
        <v>40469.64583</v>
      </c>
      <c r="I1429" s="25">
        <f>IFERROR(__xludf.DUMMYFUNCTION("""COMPUTED_VALUE"""),485.0)</f>
        <v>485</v>
      </c>
      <c r="J1429" s="25">
        <f>IFERROR(__xludf.DUMMYFUNCTION("""COMPUTED_VALUE"""),492.0)</f>
        <v>492</v>
      </c>
      <c r="K1429" s="25">
        <f>IFERROR(__xludf.DUMMYFUNCTION("""COMPUTED_VALUE"""),465.0)</f>
        <v>465</v>
      </c>
      <c r="L1429" s="25">
        <f>IFERROR(__xludf.DUMMYFUNCTION("""COMPUTED_VALUE"""),490.63)</f>
        <v>490.63</v>
      </c>
      <c r="M1429" s="25">
        <f>IFERROR(__xludf.DUMMYFUNCTION("""COMPUTED_VALUE"""),2240367.0)</f>
        <v>2240367</v>
      </c>
    </row>
    <row r="1430">
      <c r="A1430" s="26">
        <f>IFERROR(__xludf.DUMMYFUNCTION("""COMPUTED_VALUE"""),40470.645833333336)</f>
        <v>40470.64583</v>
      </c>
      <c r="B1430" s="9">
        <f>IFERROR(__xludf.DUMMYFUNCTION("""COMPUTED_VALUE"""),386.84)</f>
        <v>386.84</v>
      </c>
      <c r="C1430" s="9">
        <f>IFERROR(__xludf.DUMMYFUNCTION("""COMPUTED_VALUE"""),388.13)</f>
        <v>388.13</v>
      </c>
      <c r="D1430" s="9">
        <f>IFERROR(__xludf.DUMMYFUNCTION("""COMPUTED_VALUE"""),375.13)</f>
        <v>375.13</v>
      </c>
      <c r="E1430" s="9">
        <f>IFERROR(__xludf.DUMMYFUNCTION("""COMPUTED_VALUE"""),376.28)</f>
        <v>376.28</v>
      </c>
      <c r="F1430" s="9">
        <f>IFERROR(__xludf.DUMMYFUNCTION("""COMPUTED_VALUE"""),1759714.0)</f>
        <v>1759714</v>
      </c>
      <c r="H1430" s="27">
        <f>IFERROR(__xludf.DUMMYFUNCTION("""COMPUTED_VALUE"""),40470.645833333336)</f>
        <v>40470.64583</v>
      </c>
      <c r="I1430" s="25">
        <f>IFERROR(__xludf.DUMMYFUNCTION("""COMPUTED_VALUE"""),491.0)</f>
        <v>491</v>
      </c>
      <c r="J1430" s="25">
        <f>IFERROR(__xludf.DUMMYFUNCTION("""COMPUTED_VALUE"""),493.7)</f>
        <v>493.7</v>
      </c>
      <c r="K1430" s="25">
        <f>IFERROR(__xludf.DUMMYFUNCTION("""COMPUTED_VALUE"""),482.05)</f>
        <v>482.05</v>
      </c>
      <c r="L1430" s="25">
        <f>IFERROR(__xludf.DUMMYFUNCTION("""COMPUTED_VALUE"""),483.88)</f>
        <v>483.88</v>
      </c>
      <c r="M1430" s="25">
        <f>IFERROR(__xludf.DUMMYFUNCTION("""COMPUTED_VALUE"""),1100456.0)</f>
        <v>1100456</v>
      </c>
    </row>
    <row r="1431">
      <c r="A1431" s="26">
        <f>IFERROR(__xludf.DUMMYFUNCTION("""COMPUTED_VALUE"""),40471.645833333336)</f>
        <v>40471.64583</v>
      </c>
      <c r="B1431" s="9">
        <f>IFERROR(__xludf.DUMMYFUNCTION("""COMPUTED_VALUE"""),376.23)</f>
        <v>376.23</v>
      </c>
      <c r="C1431" s="9">
        <f>IFERROR(__xludf.DUMMYFUNCTION("""COMPUTED_VALUE"""),380.58)</f>
        <v>380.58</v>
      </c>
      <c r="D1431" s="9">
        <f>IFERROR(__xludf.DUMMYFUNCTION("""COMPUTED_VALUE"""),373.75)</f>
        <v>373.75</v>
      </c>
      <c r="E1431" s="9">
        <f>IFERROR(__xludf.DUMMYFUNCTION("""COMPUTED_VALUE"""),377.33)</f>
        <v>377.33</v>
      </c>
      <c r="F1431" s="9">
        <f>IFERROR(__xludf.DUMMYFUNCTION("""COMPUTED_VALUE"""),886732.0)</f>
        <v>886732</v>
      </c>
      <c r="H1431" s="27">
        <f>IFERROR(__xludf.DUMMYFUNCTION("""COMPUTED_VALUE"""),40471.645833333336)</f>
        <v>40471.64583</v>
      </c>
      <c r="I1431" s="25">
        <f>IFERROR(__xludf.DUMMYFUNCTION("""COMPUTED_VALUE"""),482.25)</f>
        <v>482.25</v>
      </c>
      <c r="J1431" s="25">
        <f>IFERROR(__xludf.DUMMYFUNCTION("""COMPUTED_VALUE"""),490.25)</f>
        <v>490.25</v>
      </c>
      <c r="K1431" s="25">
        <f>IFERROR(__xludf.DUMMYFUNCTION("""COMPUTED_VALUE"""),478.1)</f>
        <v>478.1</v>
      </c>
      <c r="L1431" s="25">
        <f>IFERROR(__xludf.DUMMYFUNCTION("""COMPUTED_VALUE"""),481.63)</f>
        <v>481.63</v>
      </c>
      <c r="M1431" s="25">
        <f>IFERROR(__xludf.DUMMYFUNCTION("""COMPUTED_VALUE"""),1103319.0)</f>
        <v>1103319</v>
      </c>
    </row>
    <row r="1432">
      <c r="A1432" s="26">
        <f>IFERROR(__xludf.DUMMYFUNCTION("""COMPUTED_VALUE"""),40472.645833333336)</f>
        <v>40472.64583</v>
      </c>
      <c r="B1432" s="9">
        <f>IFERROR(__xludf.DUMMYFUNCTION("""COMPUTED_VALUE"""),374.73)</f>
        <v>374.73</v>
      </c>
      <c r="C1432" s="9">
        <f>IFERROR(__xludf.DUMMYFUNCTION("""COMPUTED_VALUE"""),379.8)</f>
        <v>379.8</v>
      </c>
      <c r="D1432" s="9">
        <f>IFERROR(__xludf.DUMMYFUNCTION("""COMPUTED_VALUE"""),372.51)</f>
        <v>372.51</v>
      </c>
      <c r="E1432" s="9">
        <f>IFERROR(__xludf.DUMMYFUNCTION("""COMPUTED_VALUE"""),379.31)</f>
        <v>379.31</v>
      </c>
      <c r="F1432" s="9">
        <f>IFERROR(__xludf.DUMMYFUNCTION("""COMPUTED_VALUE"""),1153990.0)</f>
        <v>1153990</v>
      </c>
      <c r="H1432" s="27">
        <f>IFERROR(__xludf.DUMMYFUNCTION("""COMPUTED_VALUE"""),40472.645833333336)</f>
        <v>40472.64583</v>
      </c>
      <c r="I1432" s="25">
        <f>IFERROR(__xludf.DUMMYFUNCTION("""COMPUTED_VALUE"""),487.03)</f>
        <v>487.03</v>
      </c>
      <c r="J1432" s="25">
        <f>IFERROR(__xludf.DUMMYFUNCTION("""COMPUTED_VALUE"""),496.92)</f>
        <v>496.92</v>
      </c>
      <c r="K1432" s="25">
        <f>IFERROR(__xludf.DUMMYFUNCTION("""COMPUTED_VALUE"""),485.0)</f>
        <v>485</v>
      </c>
      <c r="L1432" s="25">
        <f>IFERROR(__xludf.DUMMYFUNCTION("""COMPUTED_VALUE"""),493.1)</f>
        <v>493.1</v>
      </c>
      <c r="M1432" s="25">
        <f>IFERROR(__xludf.DUMMYFUNCTION("""COMPUTED_VALUE"""),1876177.0)</f>
        <v>1876177</v>
      </c>
    </row>
    <row r="1433">
      <c r="A1433" s="26">
        <f>IFERROR(__xludf.DUMMYFUNCTION("""COMPUTED_VALUE"""),40473.645833333336)</f>
        <v>40473.64583</v>
      </c>
      <c r="B1433" s="9">
        <f>IFERROR(__xludf.DUMMYFUNCTION("""COMPUTED_VALUE"""),375.66)</f>
        <v>375.66</v>
      </c>
      <c r="C1433" s="9">
        <f>IFERROR(__xludf.DUMMYFUNCTION("""COMPUTED_VALUE"""),385.61)</f>
        <v>385.61</v>
      </c>
      <c r="D1433" s="9">
        <f>IFERROR(__xludf.DUMMYFUNCTION("""COMPUTED_VALUE"""),375.38)</f>
        <v>375.38</v>
      </c>
      <c r="E1433" s="9">
        <f>IFERROR(__xludf.DUMMYFUNCTION("""COMPUTED_VALUE"""),381.64)</f>
        <v>381.64</v>
      </c>
      <c r="F1433" s="9">
        <f>IFERROR(__xludf.DUMMYFUNCTION("""COMPUTED_VALUE"""),1418218.0)</f>
        <v>1418218</v>
      </c>
      <c r="H1433" s="27">
        <f>IFERROR(__xludf.DUMMYFUNCTION("""COMPUTED_VALUE"""),40473.645833333336)</f>
        <v>40473.64583</v>
      </c>
      <c r="I1433" s="25">
        <f>IFERROR(__xludf.DUMMYFUNCTION("""COMPUTED_VALUE"""),511.0)</f>
        <v>511</v>
      </c>
      <c r="J1433" s="25">
        <f>IFERROR(__xludf.DUMMYFUNCTION("""COMPUTED_VALUE"""),524.7)</f>
        <v>524.7</v>
      </c>
      <c r="K1433" s="25">
        <f>IFERROR(__xludf.DUMMYFUNCTION("""COMPUTED_VALUE"""),511.0)</f>
        <v>511</v>
      </c>
      <c r="L1433" s="25">
        <f>IFERROR(__xludf.DUMMYFUNCTION("""COMPUTED_VALUE"""),520.1)</f>
        <v>520.1</v>
      </c>
      <c r="M1433" s="25">
        <f>IFERROR(__xludf.DUMMYFUNCTION("""COMPUTED_VALUE"""),4805202.0)</f>
        <v>4805202</v>
      </c>
    </row>
    <row r="1434">
      <c r="A1434" s="26">
        <f>IFERROR(__xludf.DUMMYFUNCTION("""COMPUTED_VALUE"""),40476.645833333336)</f>
        <v>40476.64583</v>
      </c>
      <c r="B1434" s="9">
        <f>IFERROR(__xludf.DUMMYFUNCTION("""COMPUTED_VALUE"""),382.35)</f>
        <v>382.35</v>
      </c>
      <c r="C1434" s="9">
        <f>IFERROR(__xludf.DUMMYFUNCTION("""COMPUTED_VALUE"""),384.36)</f>
        <v>384.36</v>
      </c>
      <c r="D1434" s="9">
        <f>IFERROR(__xludf.DUMMYFUNCTION("""COMPUTED_VALUE"""),376.26)</f>
        <v>376.26</v>
      </c>
      <c r="E1434" s="9">
        <f>IFERROR(__xludf.DUMMYFUNCTION("""COMPUTED_VALUE"""),377.39)</f>
        <v>377.39</v>
      </c>
      <c r="F1434" s="9">
        <f>IFERROR(__xludf.DUMMYFUNCTION("""COMPUTED_VALUE"""),653054.0)</f>
        <v>653054</v>
      </c>
      <c r="H1434" s="27">
        <f>IFERROR(__xludf.DUMMYFUNCTION("""COMPUTED_VALUE"""),40476.645833333336)</f>
        <v>40476.64583</v>
      </c>
      <c r="I1434" s="25">
        <f>IFERROR(__xludf.DUMMYFUNCTION("""COMPUTED_VALUE"""),521.5)</f>
        <v>521.5</v>
      </c>
      <c r="J1434" s="25">
        <f>IFERROR(__xludf.DUMMYFUNCTION("""COMPUTED_VALUE"""),536.48)</f>
        <v>536.48</v>
      </c>
      <c r="K1434" s="25">
        <f>IFERROR(__xludf.DUMMYFUNCTION("""COMPUTED_VALUE"""),518.6)</f>
        <v>518.6</v>
      </c>
      <c r="L1434" s="25">
        <f>IFERROR(__xludf.DUMMYFUNCTION("""COMPUTED_VALUE"""),533.48)</f>
        <v>533.48</v>
      </c>
      <c r="M1434" s="25">
        <f>IFERROR(__xludf.DUMMYFUNCTION("""COMPUTED_VALUE"""),2578158.0)</f>
        <v>2578158</v>
      </c>
    </row>
    <row r="1435">
      <c r="A1435" s="26">
        <f>IFERROR(__xludf.DUMMYFUNCTION("""COMPUTED_VALUE"""),40477.645833333336)</f>
        <v>40477.64583</v>
      </c>
      <c r="B1435" s="9">
        <f>IFERROR(__xludf.DUMMYFUNCTION("""COMPUTED_VALUE"""),377.5)</f>
        <v>377.5</v>
      </c>
      <c r="C1435" s="9">
        <f>IFERROR(__xludf.DUMMYFUNCTION("""COMPUTED_VALUE"""),380.41)</f>
        <v>380.41</v>
      </c>
      <c r="D1435" s="9">
        <f>IFERROR(__xludf.DUMMYFUNCTION("""COMPUTED_VALUE"""),375.34)</f>
        <v>375.34</v>
      </c>
      <c r="E1435" s="9">
        <f>IFERROR(__xludf.DUMMYFUNCTION("""COMPUTED_VALUE"""),376.73)</f>
        <v>376.73</v>
      </c>
      <c r="F1435" s="9">
        <f>IFERROR(__xludf.DUMMYFUNCTION("""COMPUTED_VALUE"""),865734.0)</f>
        <v>865734</v>
      </c>
      <c r="H1435" s="27">
        <f>IFERROR(__xludf.DUMMYFUNCTION("""COMPUTED_VALUE"""),40477.645833333336)</f>
        <v>40477.64583</v>
      </c>
      <c r="I1435" s="25">
        <f>IFERROR(__xludf.DUMMYFUNCTION("""COMPUTED_VALUE"""),531.75)</f>
        <v>531.75</v>
      </c>
      <c r="J1435" s="25">
        <f>IFERROR(__xludf.DUMMYFUNCTION("""COMPUTED_VALUE"""),533.88)</f>
        <v>533.88</v>
      </c>
      <c r="K1435" s="25">
        <f>IFERROR(__xludf.DUMMYFUNCTION("""COMPUTED_VALUE"""),520.78)</f>
        <v>520.78</v>
      </c>
      <c r="L1435" s="25">
        <f>IFERROR(__xludf.DUMMYFUNCTION("""COMPUTED_VALUE"""),531.3)</f>
        <v>531.3</v>
      </c>
      <c r="M1435" s="25">
        <f>IFERROR(__xludf.DUMMYFUNCTION("""COMPUTED_VALUE"""),1753512.0)</f>
        <v>1753512</v>
      </c>
    </row>
    <row r="1436">
      <c r="A1436" s="26">
        <f>IFERROR(__xludf.DUMMYFUNCTION("""COMPUTED_VALUE"""),40478.645833333336)</f>
        <v>40478.64583</v>
      </c>
      <c r="B1436" s="9">
        <f>IFERROR(__xludf.DUMMYFUNCTION("""COMPUTED_VALUE"""),375.25)</f>
        <v>375.25</v>
      </c>
      <c r="C1436" s="9">
        <f>IFERROR(__xludf.DUMMYFUNCTION("""COMPUTED_VALUE"""),376.25)</f>
        <v>376.25</v>
      </c>
      <c r="D1436" s="9">
        <f>IFERROR(__xludf.DUMMYFUNCTION("""COMPUTED_VALUE"""),370.9)</f>
        <v>370.9</v>
      </c>
      <c r="E1436" s="9">
        <f>IFERROR(__xludf.DUMMYFUNCTION("""COMPUTED_VALUE"""),372.53)</f>
        <v>372.53</v>
      </c>
      <c r="F1436" s="9">
        <f>IFERROR(__xludf.DUMMYFUNCTION("""COMPUTED_VALUE"""),1134087.0)</f>
        <v>1134087</v>
      </c>
      <c r="H1436" s="27">
        <f>IFERROR(__xludf.DUMMYFUNCTION("""COMPUTED_VALUE"""),40478.645833333336)</f>
        <v>40478.64583</v>
      </c>
      <c r="I1436" s="25">
        <f>IFERROR(__xludf.DUMMYFUNCTION("""COMPUTED_VALUE"""),530.0)</f>
        <v>530</v>
      </c>
      <c r="J1436" s="25">
        <f>IFERROR(__xludf.DUMMYFUNCTION("""COMPUTED_VALUE"""),533.4)</f>
        <v>533.4</v>
      </c>
      <c r="K1436" s="25">
        <f>IFERROR(__xludf.DUMMYFUNCTION("""COMPUTED_VALUE"""),521.78)</f>
        <v>521.78</v>
      </c>
      <c r="L1436" s="25">
        <f>IFERROR(__xludf.DUMMYFUNCTION("""COMPUTED_VALUE"""),524.1)</f>
        <v>524.1</v>
      </c>
      <c r="M1436" s="25">
        <f>IFERROR(__xludf.DUMMYFUNCTION("""COMPUTED_VALUE"""),1070691.0)</f>
        <v>1070691</v>
      </c>
    </row>
    <row r="1437">
      <c r="A1437" s="26">
        <f>IFERROR(__xludf.DUMMYFUNCTION("""COMPUTED_VALUE"""),40479.645833333336)</f>
        <v>40479.64583</v>
      </c>
      <c r="B1437" s="9">
        <f>IFERROR(__xludf.DUMMYFUNCTION("""COMPUTED_VALUE"""),373.0)</f>
        <v>373</v>
      </c>
      <c r="C1437" s="9">
        <f>IFERROR(__xludf.DUMMYFUNCTION("""COMPUTED_VALUE"""),379.11)</f>
        <v>379.11</v>
      </c>
      <c r="D1437" s="9">
        <f>IFERROR(__xludf.DUMMYFUNCTION("""COMPUTED_VALUE"""),368.51)</f>
        <v>368.51</v>
      </c>
      <c r="E1437" s="9">
        <f>IFERROR(__xludf.DUMMYFUNCTION("""COMPUTED_VALUE"""),371.36)</f>
        <v>371.36</v>
      </c>
      <c r="F1437" s="9">
        <f>IFERROR(__xludf.DUMMYFUNCTION("""COMPUTED_VALUE"""),2279019.0)</f>
        <v>2279019</v>
      </c>
      <c r="H1437" s="27">
        <f>IFERROR(__xludf.DUMMYFUNCTION("""COMPUTED_VALUE"""),40479.645833333336)</f>
        <v>40479.64583</v>
      </c>
      <c r="I1437" s="25">
        <f>IFERROR(__xludf.DUMMYFUNCTION("""COMPUTED_VALUE"""),525.0)</f>
        <v>525</v>
      </c>
      <c r="J1437" s="25">
        <f>IFERROR(__xludf.DUMMYFUNCTION("""COMPUTED_VALUE"""),533.78)</f>
        <v>533.78</v>
      </c>
      <c r="K1437" s="25">
        <f>IFERROR(__xludf.DUMMYFUNCTION("""COMPUTED_VALUE"""),520.0)</f>
        <v>520</v>
      </c>
      <c r="L1437" s="25">
        <f>IFERROR(__xludf.DUMMYFUNCTION("""COMPUTED_VALUE"""),526.45)</f>
        <v>526.45</v>
      </c>
      <c r="M1437" s="25">
        <f>IFERROR(__xludf.DUMMYFUNCTION("""COMPUTED_VALUE"""),2627845.0)</f>
        <v>2627845</v>
      </c>
    </row>
    <row r="1438">
      <c r="A1438" s="26">
        <f>IFERROR(__xludf.DUMMYFUNCTION("""COMPUTED_VALUE"""),40480.645833333336)</f>
        <v>40480.64583</v>
      </c>
      <c r="B1438" s="9">
        <f>IFERROR(__xludf.DUMMYFUNCTION("""COMPUTED_VALUE"""),373.63)</f>
        <v>373.63</v>
      </c>
      <c r="C1438" s="9">
        <f>IFERROR(__xludf.DUMMYFUNCTION("""COMPUTED_VALUE"""),374.75)</f>
        <v>374.75</v>
      </c>
      <c r="D1438" s="9">
        <f>IFERROR(__xludf.DUMMYFUNCTION("""COMPUTED_VALUE"""),368.0)</f>
        <v>368</v>
      </c>
      <c r="E1438" s="9">
        <f>IFERROR(__xludf.DUMMYFUNCTION("""COMPUTED_VALUE"""),371.46)</f>
        <v>371.46</v>
      </c>
      <c r="F1438" s="9">
        <f>IFERROR(__xludf.DUMMYFUNCTION("""COMPUTED_VALUE"""),860753.0)</f>
        <v>860753</v>
      </c>
      <c r="H1438" s="27">
        <f>IFERROR(__xludf.DUMMYFUNCTION("""COMPUTED_VALUE"""),40480.645833333336)</f>
        <v>40480.64583</v>
      </c>
      <c r="I1438" s="25">
        <f>IFERROR(__xludf.DUMMYFUNCTION("""COMPUTED_VALUE"""),530.0)</f>
        <v>530</v>
      </c>
      <c r="J1438" s="25">
        <f>IFERROR(__xludf.DUMMYFUNCTION("""COMPUTED_VALUE"""),530.0)</f>
        <v>530</v>
      </c>
      <c r="K1438" s="25">
        <f>IFERROR(__xludf.DUMMYFUNCTION("""COMPUTED_VALUE"""),515.5)</f>
        <v>515.5</v>
      </c>
      <c r="L1438" s="25">
        <f>IFERROR(__xludf.DUMMYFUNCTION("""COMPUTED_VALUE"""),526.45)</f>
        <v>526.45</v>
      </c>
      <c r="M1438" s="25">
        <f>IFERROR(__xludf.DUMMYFUNCTION("""COMPUTED_VALUE"""),1106199.0)</f>
        <v>1106199</v>
      </c>
    </row>
    <row r="1439">
      <c r="A1439" s="26">
        <f>IFERROR(__xludf.DUMMYFUNCTION("""COMPUTED_VALUE"""),40483.645833333336)</f>
        <v>40483.64583</v>
      </c>
      <c r="B1439" s="9">
        <f>IFERROR(__xludf.DUMMYFUNCTION("""COMPUTED_VALUE"""),372.88)</f>
        <v>372.88</v>
      </c>
      <c r="C1439" s="9">
        <f>IFERROR(__xludf.DUMMYFUNCTION("""COMPUTED_VALUE"""),378.99)</f>
        <v>378.99</v>
      </c>
      <c r="D1439" s="9">
        <f>IFERROR(__xludf.DUMMYFUNCTION("""COMPUTED_VALUE"""),372.88)</f>
        <v>372.88</v>
      </c>
      <c r="E1439" s="9">
        <f>IFERROR(__xludf.DUMMYFUNCTION("""COMPUTED_VALUE"""),375.21)</f>
        <v>375.21</v>
      </c>
      <c r="F1439" s="9">
        <f>IFERROR(__xludf.DUMMYFUNCTION("""COMPUTED_VALUE"""),569118.0)</f>
        <v>569118</v>
      </c>
      <c r="H1439" s="27">
        <f>IFERROR(__xludf.DUMMYFUNCTION("""COMPUTED_VALUE"""),40483.645833333336)</f>
        <v>40483.64583</v>
      </c>
      <c r="I1439" s="25">
        <f>IFERROR(__xludf.DUMMYFUNCTION("""COMPUTED_VALUE"""),526.03)</f>
        <v>526.03</v>
      </c>
      <c r="J1439" s="25">
        <f>IFERROR(__xludf.DUMMYFUNCTION("""COMPUTED_VALUE"""),533.2)</f>
        <v>533.2</v>
      </c>
      <c r="K1439" s="25">
        <f>IFERROR(__xludf.DUMMYFUNCTION("""COMPUTED_VALUE"""),524.55)</f>
        <v>524.55</v>
      </c>
      <c r="L1439" s="25">
        <f>IFERROR(__xludf.DUMMYFUNCTION("""COMPUTED_VALUE"""),526.7)</f>
        <v>526.7</v>
      </c>
      <c r="M1439" s="25">
        <f>IFERROR(__xludf.DUMMYFUNCTION("""COMPUTED_VALUE"""),573974.0)</f>
        <v>573974</v>
      </c>
    </row>
    <row r="1440">
      <c r="A1440" s="26">
        <f>IFERROR(__xludf.DUMMYFUNCTION("""COMPUTED_VALUE"""),40484.645833333336)</f>
        <v>40484.64583</v>
      </c>
      <c r="B1440" s="9">
        <f>IFERROR(__xludf.DUMMYFUNCTION("""COMPUTED_VALUE"""),375.25)</f>
        <v>375.25</v>
      </c>
      <c r="C1440" s="9">
        <f>IFERROR(__xludf.DUMMYFUNCTION("""COMPUTED_VALUE"""),379.08)</f>
        <v>379.08</v>
      </c>
      <c r="D1440" s="9">
        <f>IFERROR(__xludf.DUMMYFUNCTION("""COMPUTED_VALUE"""),373.1)</f>
        <v>373.1</v>
      </c>
      <c r="E1440" s="9">
        <f>IFERROR(__xludf.DUMMYFUNCTION("""COMPUTED_VALUE"""),378.38)</f>
        <v>378.38</v>
      </c>
      <c r="F1440" s="9">
        <f>IFERROR(__xludf.DUMMYFUNCTION("""COMPUTED_VALUE"""),624813.0)</f>
        <v>624813</v>
      </c>
      <c r="H1440" s="27">
        <f>IFERROR(__xludf.DUMMYFUNCTION("""COMPUTED_VALUE"""),40484.645833333336)</f>
        <v>40484.64583</v>
      </c>
      <c r="I1440" s="25">
        <f>IFERROR(__xludf.DUMMYFUNCTION("""COMPUTED_VALUE"""),527.5)</f>
        <v>527.5</v>
      </c>
      <c r="J1440" s="25">
        <f>IFERROR(__xludf.DUMMYFUNCTION("""COMPUTED_VALUE"""),530.0)</f>
        <v>530</v>
      </c>
      <c r="K1440" s="25">
        <f>IFERROR(__xludf.DUMMYFUNCTION("""COMPUTED_VALUE"""),521.85)</f>
        <v>521.85</v>
      </c>
      <c r="L1440" s="25">
        <f>IFERROR(__xludf.DUMMYFUNCTION("""COMPUTED_VALUE"""),524.73)</f>
        <v>524.73</v>
      </c>
      <c r="M1440" s="25">
        <f>IFERROR(__xludf.DUMMYFUNCTION("""COMPUTED_VALUE"""),782889.0)</f>
        <v>782889</v>
      </c>
    </row>
    <row r="1441">
      <c r="A1441" s="26">
        <f>IFERROR(__xludf.DUMMYFUNCTION("""COMPUTED_VALUE"""),40485.645833333336)</f>
        <v>40485.64583</v>
      </c>
      <c r="B1441" s="9">
        <f>IFERROR(__xludf.DUMMYFUNCTION("""COMPUTED_VALUE"""),378.99)</f>
        <v>378.99</v>
      </c>
      <c r="C1441" s="9">
        <f>IFERROR(__xludf.DUMMYFUNCTION("""COMPUTED_VALUE"""),380.59)</f>
        <v>380.59</v>
      </c>
      <c r="D1441" s="9">
        <f>IFERROR(__xludf.DUMMYFUNCTION("""COMPUTED_VALUE"""),376.88)</f>
        <v>376.88</v>
      </c>
      <c r="E1441" s="9">
        <f>IFERROR(__xludf.DUMMYFUNCTION("""COMPUTED_VALUE"""),378.04)</f>
        <v>378.04</v>
      </c>
      <c r="F1441" s="9">
        <f>IFERROR(__xludf.DUMMYFUNCTION("""COMPUTED_VALUE"""),380942.0)</f>
        <v>380942</v>
      </c>
      <c r="H1441" s="27">
        <f>IFERROR(__xludf.DUMMYFUNCTION("""COMPUTED_VALUE"""),40485.645833333336)</f>
        <v>40485.64583</v>
      </c>
      <c r="I1441" s="25">
        <f>IFERROR(__xludf.DUMMYFUNCTION("""COMPUTED_VALUE"""),525.45)</f>
        <v>525.45</v>
      </c>
      <c r="J1441" s="25">
        <f>IFERROR(__xludf.DUMMYFUNCTION("""COMPUTED_VALUE"""),539.5)</f>
        <v>539.5</v>
      </c>
      <c r="K1441" s="25">
        <f>IFERROR(__xludf.DUMMYFUNCTION("""COMPUTED_VALUE"""),524.2)</f>
        <v>524.2</v>
      </c>
      <c r="L1441" s="25">
        <f>IFERROR(__xludf.DUMMYFUNCTION("""COMPUTED_VALUE"""),526.4)</f>
        <v>526.4</v>
      </c>
      <c r="M1441" s="25">
        <f>IFERROR(__xludf.DUMMYFUNCTION("""COMPUTED_VALUE"""),1108939.0)</f>
        <v>1108939</v>
      </c>
    </row>
    <row r="1442">
      <c r="A1442" s="26">
        <f>IFERROR(__xludf.DUMMYFUNCTION("""COMPUTED_VALUE"""),40486.645833333336)</f>
        <v>40486.64583</v>
      </c>
      <c r="B1442" s="9">
        <f>IFERROR(__xludf.DUMMYFUNCTION("""COMPUTED_VALUE"""),380.5)</f>
        <v>380.5</v>
      </c>
      <c r="C1442" s="9">
        <f>IFERROR(__xludf.DUMMYFUNCTION("""COMPUTED_VALUE"""),385.63)</f>
        <v>385.63</v>
      </c>
      <c r="D1442" s="9">
        <f>IFERROR(__xludf.DUMMYFUNCTION("""COMPUTED_VALUE"""),379.12)</f>
        <v>379.12</v>
      </c>
      <c r="E1442" s="9">
        <f>IFERROR(__xludf.DUMMYFUNCTION("""COMPUTED_VALUE"""),384.64)</f>
        <v>384.64</v>
      </c>
      <c r="F1442" s="9">
        <f>IFERROR(__xludf.DUMMYFUNCTION("""COMPUTED_VALUE"""),689349.0)</f>
        <v>689349</v>
      </c>
      <c r="H1442" s="27">
        <f>IFERROR(__xludf.DUMMYFUNCTION("""COMPUTED_VALUE"""),40486.645833333336)</f>
        <v>40486.64583</v>
      </c>
      <c r="I1442" s="25">
        <f>IFERROR(__xludf.DUMMYFUNCTION("""COMPUTED_VALUE"""),531.0)</f>
        <v>531</v>
      </c>
      <c r="J1442" s="25">
        <f>IFERROR(__xludf.DUMMYFUNCTION("""COMPUTED_VALUE"""),539.3)</f>
        <v>539.3</v>
      </c>
      <c r="K1442" s="25">
        <f>IFERROR(__xludf.DUMMYFUNCTION("""COMPUTED_VALUE"""),530.75)</f>
        <v>530.75</v>
      </c>
      <c r="L1442" s="25">
        <f>IFERROR(__xludf.DUMMYFUNCTION("""COMPUTED_VALUE"""),534.58)</f>
        <v>534.58</v>
      </c>
      <c r="M1442" s="25">
        <f>IFERROR(__xludf.DUMMYFUNCTION("""COMPUTED_VALUE"""),858720.0)</f>
        <v>858720</v>
      </c>
    </row>
    <row r="1443">
      <c r="A1443" s="26">
        <f>IFERROR(__xludf.DUMMYFUNCTION("""COMPUTED_VALUE"""),40487.645833333336)</f>
        <v>40487.64583</v>
      </c>
      <c r="B1443" s="9">
        <f>IFERROR(__xludf.DUMMYFUNCTION("""COMPUTED_VALUE"""),385.49)</f>
        <v>385.49</v>
      </c>
      <c r="C1443" s="9">
        <f>IFERROR(__xludf.DUMMYFUNCTION("""COMPUTED_VALUE"""),386.5)</f>
        <v>386.5</v>
      </c>
      <c r="D1443" s="9">
        <f>IFERROR(__xludf.DUMMYFUNCTION("""COMPUTED_VALUE"""),383.86)</f>
        <v>383.86</v>
      </c>
      <c r="E1443" s="9">
        <f>IFERROR(__xludf.DUMMYFUNCTION("""COMPUTED_VALUE"""),384.86)</f>
        <v>384.86</v>
      </c>
      <c r="F1443" s="9">
        <f>IFERROR(__xludf.DUMMYFUNCTION("""COMPUTED_VALUE"""),78837.0)</f>
        <v>78837</v>
      </c>
      <c r="H1443" s="27">
        <f>IFERROR(__xludf.DUMMYFUNCTION("""COMPUTED_VALUE"""),40487.645833333336)</f>
        <v>40487.64583</v>
      </c>
      <c r="I1443" s="25">
        <f>IFERROR(__xludf.DUMMYFUNCTION("""COMPUTED_VALUE"""),541.45)</f>
        <v>541.45</v>
      </c>
      <c r="J1443" s="25">
        <f>IFERROR(__xludf.DUMMYFUNCTION("""COMPUTED_VALUE"""),541.95)</f>
        <v>541.95</v>
      </c>
      <c r="K1443" s="25">
        <f>IFERROR(__xludf.DUMMYFUNCTION("""COMPUTED_VALUE"""),537.67)</f>
        <v>537.67</v>
      </c>
      <c r="L1443" s="25">
        <f>IFERROR(__xludf.DUMMYFUNCTION("""COMPUTED_VALUE"""),539.2)</f>
        <v>539.2</v>
      </c>
      <c r="M1443" s="25">
        <f>IFERROR(__xludf.DUMMYFUNCTION("""COMPUTED_VALUE"""),178897.0)</f>
        <v>178897</v>
      </c>
    </row>
    <row r="1444">
      <c r="A1444" s="26">
        <f>IFERROR(__xludf.DUMMYFUNCTION("""COMPUTED_VALUE"""),40490.645833333336)</f>
        <v>40490.64583</v>
      </c>
      <c r="B1444" s="9">
        <f>IFERROR(__xludf.DUMMYFUNCTION("""COMPUTED_VALUE"""),385.5)</f>
        <v>385.5</v>
      </c>
      <c r="C1444" s="9">
        <f>IFERROR(__xludf.DUMMYFUNCTION("""COMPUTED_VALUE"""),385.5)</f>
        <v>385.5</v>
      </c>
      <c r="D1444" s="9">
        <f>IFERROR(__xludf.DUMMYFUNCTION("""COMPUTED_VALUE"""),375.84)</f>
        <v>375.84</v>
      </c>
      <c r="E1444" s="9">
        <f>IFERROR(__xludf.DUMMYFUNCTION("""COMPUTED_VALUE"""),376.99)</f>
        <v>376.99</v>
      </c>
      <c r="F1444" s="9">
        <f>IFERROR(__xludf.DUMMYFUNCTION("""COMPUTED_VALUE"""),672690.0)</f>
        <v>672690</v>
      </c>
      <c r="H1444" s="27">
        <f>IFERROR(__xludf.DUMMYFUNCTION("""COMPUTED_VALUE"""),40490.645833333336)</f>
        <v>40490.64583</v>
      </c>
      <c r="I1444" s="25">
        <f>IFERROR(__xludf.DUMMYFUNCTION("""COMPUTED_VALUE"""),540.0)</f>
        <v>540</v>
      </c>
      <c r="J1444" s="25">
        <f>IFERROR(__xludf.DUMMYFUNCTION("""COMPUTED_VALUE"""),541.2)</f>
        <v>541.2</v>
      </c>
      <c r="K1444" s="25">
        <f>IFERROR(__xludf.DUMMYFUNCTION("""COMPUTED_VALUE"""),531.05)</f>
        <v>531.05</v>
      </c>
      <c r="L1444" s="25">
        <f>IFERROR(__xludf.DUMMYFUNCTION("""COMPUTED_VALUE"""),534.08)</f>
        <v>534.08</v>
      </c>
      <c r="M1444" s="25">
        <f>IFERROR(__xludf.DUMMYFUNCTION("""COMPUTED_VALUE"""),1124293.0)</f>
        <v>1124293</v>
      </c>
    </row>
    <row r="1445">
      <c r="A1445" s="26">
        <f>IFERROR(__xludf.DUMMYFUNCTION("""COMPUTED_VALUE"""),40491.645833333336)</f>
        <v>40491.64583</v>
      </c>
      <c r="B1445" s="9">
        <f>IFERROR(__xludf.DUMMYFUNCTION("""COMPUTED_VALUE"""),379.6)</f>
        <v>379.6</v>
      </c>
      <c r="C1445" s="9">
        <f>IFERROR(__xludf.DUMMYFUNCTION("""COMPUTED_VALUE"""),384.38)</f>
        <v>384.38</v>
      </c>
      <c r="D1445" s="9">
        <f>IFERROR(__xludf.DUMMYFUNCTION("""COMPUTED_VALUE"""),378.75)</f>
        <v>378.75</v>
      </c>
      <c r="E1445" s="9">
        <f>IFERROR(__xludf.DUMMYFUNCTION("""COMPUTED_VALUE"""),382.48)</f>
        <v>382.48</v>
      </c>
      <c r="F1445" s="9">
        <f>IFERROR(__xludf.DUMMYFUNCTION("""COMPUTED_VALUE"""),658370.0)</f>
        <v>658370</v>
      </c>
      <c r="H1445" s="27">
        <f>IFERROR(__xludf.DUMMYFUNCTION("""COMPUTED_VALUE"""),40491.645833333336)</f>
        <v>40491.64583</v>
      </c>
      <c r="I1445" s="25">
        <f>IFERROR(__xludf.DUMMYFUNCTION("""COMPUTED_VALUE"""),536.95)</f>
        <v>536.95</v>
      </c>
      <c r="J1445" s="25">
        <f>IFERROR(__xludf.DUMMYFUNCTION("""COMPUTED_VALUE"""),549.35)</f>
        <v>549.35</v>
      </c>
      <c r="K1445" s="25">
        <f>IFERROR(__xludf.DUMMYFUNCTION("""COMPUTED_VALUE"""),534.25)</f>
        <v>534.25</v>
      </c>
      <c r="L1445" s="25">
        <f>IFERROR(__xludf.DUMMYFUNCTION("""COMPUTED_VALUE"""),545.55)</f>
        <v>545.55</v>
      </c>
      <c r="M1445" s="25">
        <f>IFERROR(__xludf.DUMMYFUNCTION("""COMPUTED_VALUE"""),1752043.0)</f>
        <v>1752043</v>
      </c>
    </row>
    <row r="1446">
      <c r="A1446" s="26">
        <f>IFERROR(__xludf.DUMMYFUNCTION("""COMPUTED_VALUE"""),40492.645833333336)</f>
        <v>40492.64583</v>
      </c>
      <c r="B1446" s="9">
        <f>IFERROR(__xludf.DUMMYFUNCTION("""COMPUTED_VALUE"""),381.0)</f>
        <v>381</v>
      </c>
      <c r="C1446" s="9">
        <f>IFERROR(__xludf.DUMMYFUNCTION("""COMPUTED_VALUE"""),388.13)</f>
        <v>388.13</v>
      </c>
      <c r="D1446" s="9">
        <f>IFERROR(__xludf.DUMMYFUNCTION("""COMPUTED_VALUE"""),378.76)</f>
        <v>378.76</v>
      </c>
      <c r="E1446" s="9">
        <f>IFERROR(__xludf.DUMMYFUNCTION("""COMPUTED_VALUE"""),385.33)</f>
        <v>385.33</v>
      </c>
      <c r="F1446" s="9">
        <f>IFERROR(__xludf.DUMMYFUNCTION("""COMPUTED_VALUE"""),1216054.0)</f>
        <v>1216054</v>
      </c>
      <c r="H1446" s="27">
        <f>IFERROR(__xludf.DUMMYFUNCTION("""COMPUTED_VALUE"""),40492.645833333336)</f>
        <v>40492.64583</v>
      </c>
      <c r="I1446" s="25">
        <f>IFERROR(__xludf.DUMMYFUNCTION("""COMPUTED_VALUE"""),546.13)</f>
        <v>546.13</v>
      </c>
      <c r="J1446" s="25">
        <f>IFERROR(__xludf.DUMMYFUNCTION("""COMPUTED_VALUE"""),554.0)</f>
        <v>554</v>
      </c>
      <c r="K1446" s="25">
        <f>IFERROR(__xludf.DUMMYFUNCTION("""COMPUTED_VALUE"""),543.05)</f>
        <v>543.05</v>
      </c>
      <c r="L1446" s="25">
        <f>IFERROR(__xludf.DUMMYFUNCTION("""COMPUTED_VALUE"""),546.15)</f>
        <v>546.15</v>
      </c>
      <c r="M1446" s="25">
        <f>IFERROR(__xludf.DUMMYFUNCTION("""COMPUTED_VALUE"""),770112.0)</f>
        <v>770112</v>
      </c>
    </row>
    <row r="1447">
      <c r="A1447" s="26">
        <f>IFERROR(__xludf.DUMMYFUNCTION("""COMPUTED_VALUE"""),40493.645833333336)</f>
        <v>40493.64583</v>
      </c>
      <c r="B1447" s="9">
        <f>IFERROR(__xludf.DUMMYFUNCTION("""COMPUTED_VALUE"""),385.5)</f>
        <v>385.5</v>
      </c>
      <c r="C1447" s="9">
        <f>IFERROR(__xludf.DUMMYFUNCTION("""COMPUTED_VALUE"""),385.5)</f>
        <v>385.5</v>
      </c>
      <c r="D1447" s="9">
        <f>IFERROR(__xludf.DUMMYFUNCTION("""COMPUTED_VALUE"""),381.38)</f>
        <v>381.38</v>
      </c>
      <c r="E1447" s="9">
        <f>IFERROR(__xludf.DUMMYFUNCTION("""COMPUTED_VALUE"""),381.83)</f>
        <v>381.83</v>
      </c>
      <c r="F1447" s="9">
        <f>IFERROR(__xludf.DUMMYFUNCTION("""COMPUTED_VALUE"""),698299.0)</f>
        <v>698299</v>
      </c>
      <c r="H1447" s="27">
        <f>IFERROR(__xludf.DUMMYFUNCTION("""COMPUTED_VALUE"""),40493.645833333336)</f>
        <v>40493.64583</v>
      </c>
      <c r="I1447" s="25">
        <f>IFERROR(__xludf.DUMMYFUNCTION("""COMPUTED_VALUE"""),545.0)</f>
        <v>545</v>
      </c>
      <c r="J1447" s="25">
        <f>IFERROR(__xludf.DUMMYFUNCTION("""COMPUTED_VALUE"""),545.0)</f>
        <v>545</v>
      </c>
      <c r="K1447" s="25">
        <f>IFERROR(__xludf.DUMMYFUNCTION("""COMPUTED_VALUE"""),529.13)</f>
        <v>529.13</v>
      </c>
      <c r="L1447" s="25">
        <f>IFERROR(__xludf.DUMMYFUNCTION("""COMPUTED_VALUE"""),532.38)</f>
        <v>532.38</v>
      </c>
      <c r="M1447" s="25">
        <f>IFERROR(__xludf.DUMMYFUNCTION("""COMPUTED_VALUE"""),963048.0)</f>
        <v>963048</v>
      </c>
    </row>
    <row r="1448">
      <c r="A1448" s="26">
        <f>IFERROR(__xludf.DUMMYFUNCTION("""COMPUTED_VALUE"""),40494.645833333336)</f>
        <v>40494.64583</v>
      </c>
      <c r="B1448" s="9">
        <f>IFERROR(__xludf.DUMMYFUNCTION("""COMPUTED_VALUE"""),379.75)</f>
        <v>379.75</v>
      </c>
      <c r="C1448" s="9">
        <f>IFERROR(__xludf.DUMMYFUNCTION("""COMPUTED_VALUE"""),379.84)</f>
        <v>379.84</v>
      </c>
      <c r="D1448" s="9">
        <f>IFERROR(__xludf.DUMMYFUNCTION("""COMPUTED_VALUE"""),373.63)</f>
        <v>373.63</v>
      </c>
      <c r="E1448" s="9">
        <f>IFERROR(__xludf.DUMMYFUNCTION("""COMPUTED_VALUE"""),374.73)</f>
        <v>374.73</v>
      </c>
      <c r="F1448" s="9">
        <f>IFERROR(__xludf.DUMMYFUNCTION("""COMPUTED_VALUE"""),937432.0)</f>
        <v>937432</v>
      </c>
      <c r="H1448" s="27">
        <f>IFERROR(__xludf.DUMMYFUNCTION("""COMPUTED_VALUE"""),40494.645833333336)</f>
        <v>40494.64583</v>
      </c>
      <c r="I1448" s="25">
        <f>IFERROR(__xludf.DUMMYFUNCTION("""COMPUTED_VALUE"""),530.0)</f>
        <v>530</v>
      </c>
      <c r="J1448" s="25">
        <f>IFERROR(__xludf.DUMMYFUNCTION("""COMPUTED_VALUE"""),534.95)</f>
        <v>534.95</v>
      </c>
      <c r="K1448" s="25">
        <f>IFERROR(__xludf.DUMMYFUNCTION("""COMPUTED_VALUE"""),524.1)</f>
        <v>524.1</v>
      </c>
      <c r="L1448" s="25">
        <f>IFERROR(__xludf.DUMMYFUNCTION("""COMPUTED_VALUE"""),527.95)</f>
        <v>527.95</v>
      </c>
      <c r="M1448" s="25">
        <f>IFERROR(__xludf.DUMMYFUNCTION("""COMPUTED_VALUE"""),901165.0)</f>
        <v>901165</v>
      </c>
    </row>
    <row r="1449">
      <c r="A1449" s="26">
        <f>IFERROR(__xludf.DUMMYFUNCTION("""COMPUTED_VALUE"""),40497.645833333336)</f>
        <v>40497.64583</v>
      </c>
      <c r="B1449" s="9">
        <f>IFERROR(__xludf.DUMMYFUNCTION("""COMPUTED_VALUE"""),375.38)</f>
        <v>375.38</v>
      </c>
      <c r="C1449" s="9">
        <f>IFERROR(__xludf.DUMMYFUNCTION("""COMPUTED_VALUE"""),380.62)</f>
        <v>380.62</v>
      </c>
      <c r="D1449" s="9">
        <f>IFERROR(__xludf.DUMMYFUNCTION("""COMPUTED_VALUE"""),372.2)</f>
        <v>372.2</v>
      </c>
      <c r="E1449" s="9">
        <f>IFERROR(__xludf.DUMMYFUNCTION("""COMPUTED_VALUE"""),378.76)</f>
        <v>378.76</v>
      </c>
      <c r="F1449" s="9">
        <f>IFERROR(__xludf.DUMMYFUNCTION("""COMPUTED_VALUE"""),731311.0)</f>
        <v>731311</v>
      </c>
      <c r="H1449" s="27">
        <f>IFERROR(__xludf.DUMMYFUNCTION("""COMPUTED_VALUE"""),40497.645833333336)</f>
        <v>40497.64583</v>
      </c>
      <c r="I1449" s="25">
        <f>IFERROR(__xludf.DUMMYFUNCTION("""COMPUTED_VALUE"""),532.5)</f>
        <v>532.5</v>
      </c>
      <c r="J1449" s="25">
        <f>IFERROR(__xludf.DUMMYFUNCTION("""COMPUTED_VALUE"""),539.92)</f>
        <v>539.92</v>
      </c>
      <c r="K1449" s="25">
        <f>IFERROR(__xludf.DUMMYFUNCTION("""COMPUTED_VALUE"""),526.5)</f>
        <v>526.5</v>
      </c>
      <c r="L1449" s="25">
        <f>IFERROR(__xludf.DUMMYFUNCTION("""COMPUTED_VALUE"""),533.0)</f>
        <v>533</v>
      </c>
      <c r="M1449" s="25">
        <f>IFERROR(__xludf.DUMMYFUNCTION("""COMPUTED_VALUE"""),694698.0)</f>
        <v>694698</v>
      </c>
    </row>
    <row r="1450">
      <c r="A1450" s="26">
        <f>IFERROR(__xludf.DUMMYFUNCTION("""COMPUTED_VALUE"""),40498.645833333336)</f>
        <v>40498.64583</v>
      </c>
      <c r="B1450" s="9">
        <f>IFERROR(__xludf.DUMMYFUNCTION("""COMPUTED_VALUE"""),376.5)</f>
        <v>376.5</v>
      </c>
      <c r="C1450" s="9">
        <f>IFERROR(__xludf.DUMMYFUNCTION("""COMPUTED_VALUE"""),377.38)</f>
        <v>377.38</v>
      </c>
      <c r="D1450" s="9">
        <f>IFERROR(__xludf.DUMMYFUNCTION("""COMPUTED_VALUE"""),367.53)</f>
        <v>367.53</v>
      </c>
      <c r="E1450" s="9">
        <f>IFERROR(__xludf.DUMMYFUNCTION("""COMPUTED_VALUE"""),371.37)</f>
        <v>371.37</v>
      </c>
      <c r="F1450" s="9">
        <f>IFERROR(__xludf.DUMMYFUNCTION("""COMPUTED_VALUE"""),1046892.0)</f>
        <v>1046892</v>
      </c>
      <c r="H1450" s="27">
        <f>IFERROR(__xludf.DUMMYFUNCTION("""COMPUTED_VALUE"""),40498.645833333336)</f>
        <v>40498.64583</v>
      </c>
      <c r="I1450" s="25">
        <f>IFERROR(__xludf.DUMMYFUNCTION("""COMPUTED_VALUE"""),533.0)</f>
        <v>533</v>
      </c>
      <c r="J1450" s="25">
        <f>IFERROR(__xludf.DUMMYFUNCTION("""COMPUTED_VALUE"""),533.2)</f>
        <v>533.2</v>
      </c>
      <c r="K1450" s="25">
        <f>IFERROR(__xludf.DUMMYFUNCTION("""COMPUTED_VALUE"""),521.1)</f>
        <v>521.1</v>
      </c>
      <c r="L1450" s="25">
        <f>IFERROR(__xludf.DUMMYFUNCTION("""COMPUTED_VALUE"""),524.45)</f>
        <v>524.45</v>
      </c>
      <c r="M1450" s="25">
        <f>IFERROR(__xludf.DUMMYFUNCTION("""COMPUTED_VALUE"""),1089038.0)</f>
        <v>1089038</v>
      </c>
    </row>
    <row r="1451">
      <c r="A1451" s="26">
        <f>IFERROR(__xludf.DUMMYFUNCTION("""COMPUTED_VALUE"""),40500.645833333336)</f>
        <v>40500.64583</v>
      </c>
      <c r="B1451" s="9">
        <f>IFERROR(__xludf.DUMMYFUNCTION("""COMPUTED_VALUE"""),373.63)</f>
        <v>373.63</v>
      </c>
      <c r="C1451" s="9">
        <f>IFERROR(__xludf.DUMMYFUNCTION("""COMPUTED_VALUE"""),378.98)</f>
        <v>378.98</v>
      </c>
      <c r="D1451" s="9">
        <f>IFERROR(__xludf.DUMMYFUNCTION("""COMPUTED_VALUE"""),369.83)</f>
        <v>369.83</v>
      </c>
      <c r="E1451" s="9">
        <f>IFERROR(__xludf.DUMMYFUNCTION("""COMPUTED_VALUE"""),375.49)</f>
        <v>375.49</v>
      </c>
      <c r="F1451" s="9">
        <f>IFERROR(__xludf.DUMMYFUNCTION("""COMPUTED_VALUE"""),891028.0)</f>
        <v>891028</v>
      </c>
      <c r="H1451" s="27">
        <f>IFERROR(__xludf.DUMMYFUNCTION("""COMPUTED_VALUE"""),40500.645833333336)</f>
        <v>40500.64583</v>
      </c>
      <c r="I1451" s="25">
        <f>IFERROR(__xludf.DUMMYFUNCTION("""COMPUTED_VALUE"""),536.0)</f>
        <v>536</v>
      </c>
      <c r="J1451" s="25">
        <f>IFERROR(__xludf.DUMMYFUNCTION("""COMPUTED_VALUE"""),536.0)</f>
        <v>536</v>
      </c>
      <c r="K1451" s="25">
        <f>IFERROR(__xludf.DUMMYFUNCTION("""COMPUTED_VALUE"""),520.0)</f>
        <v>520</v>
      </c>
      <c r="L1451" s="25">
        <f>IFERROR(__xludf.DUMMYFUNCTION("""COMPUTED_VALUE"""),521.4)</f>
        <v>521.4</v>
      </c>
      <c r="M1451" s="25">
        <f>IFERROR(__xludf.DUMMYFUNCTION("""COMPUTED_VALUE"""),1382580.0)</f>
        <v>1382580</v>
      </c>
    </row>
    <row r="1452">
      <c r="A1452" s="26">
        <f>IFERROR(__xludf.DUMMYFUNCTION("""COMPUTED_VALUE"""),40501.645833333336)</f>
        <v>40501.64583</v>
      </c>
      <c r="B1452" s="9">
        <f>IFERROR(__xludf.DUMMYFUNCTION("""COMPUTED_VALUE"""),373.44)</f>
        <v>373.44</v>
      </c>
      <c r="C1452" s="9">
        <f>IFERROR(__xludf.DUMMYFUNCTION("""COMPUTED_VALUE"""),376.09)</f>
        <v>376.09</v>
      </c>
      <c r="D1452" s="9">
        <f>IFERROR(__xludf.DUMMYFUNCTION("""COMPUTED_VALUE"""),368.13)</f>
        <v>368.13</v>
      </c>
      <c r="E1452" s="9">
        <f>IFERROR(__xludf.DUMMYFUNCTION("""COMPUTED_VALUE"""),370.48)</f>
        <v>370.48</v>
      </c>
      <c r="F1452" s="9">
        <f>IFERROR(__xludf.DUMMYFUNCTION("""COMPUTED_VALUE"""),708099.0)</f>
        <v>708099</v>
      </c>
      <c r="H1452" s="27">
        <f>IFERROR(__xludf.DUMMYFUNCTION("""COMPUTED_VALUE"""),40501.645833333336)</f>
        <v>40501.64583</v>
      </c>
      <c r="I1452" s="25">
        <f>IFERROR(__xludf.DUMMYFUNCTION("""COMPUTED_VALUE"""),522.45)</f>
        <v>522.45</v>
      </c>
      <c r="J1452" s="25">
        <f>IFERROR(__xludf.DUMMYFUNCTION("""COMPUTED_VALUE"""),524.5)</f>
        <v>524.5</v>
      </c>
      <c r="K1452" s="25">
        <f>IFERROR(__xludf.DUMMYFUNCTION("""COMPUTED_VALUE"""),503.0)</f>
        <v>503</v>
      </c>
      <c r="L1452" s="25">
        <f>IFERROR(__xludf.DUMMYFUNCTION("""COMPUTED_VALUE"""),507.7)</f>
        <v>507.7</v>
      </c>
      <c r="M1452" s="25">
        <f>IFERROR(__xludf.DUMMYFUNCTION("""COMPUTED_VALUE"""),1086326.0)</f>
        <v>1086326</v>
      </c>
    </row>
    <row r="1453">
      <c r="A1453" s="26">
        <f>IFERROR(__xludf.DUMMYFUNCTION("""COMPUTED_VALUE"""),40504.645833333336)</f>
        <v>40504.64583</v>
      </c>
      <c r="B1453" s="9">
        <f>IFERROR(__xludf.DUMMYFUNCTION("""COMPUTED_VALUE"""),371.42)</f>
        <v>371.42</v>
      </c>
      <c r="C1453" s="9">
        <f>IFERROR(__xludf.DUMMYFUNCTION("""COMPUTED_VALUE"""),383.5)</f>
        <v>383.5</v>
      </c>
      <c r="D1453" s="9">
        <f>IFERROR(__xludf.DUMMYFUNCTION("""COMPUTED_VALUE"""),371.42)</f>
        <v>371.42</v>
      </c>
      <c r="E1453" s="9">
        <f>IFERROR(__xludf.DUMMYFUNCTION("""COMPUTED_VALUE"""),380.46)</f>
        <v>380.46</v>
      </c>
      <c r="F1453" s="9">
        <f>IFERROR(__xludf.DUMMYFUNCTION("""COMPUTED_VALUE"""),1097518.0)</f>
        <v>1097518</v>
      </c>
      <c r="H1453" s="27">
        <f>IFERROR(__xludf.DUMMYFUNCTION("""COMPUTED_VALUE"""),40504.645833333336)</f>
        <v>40504.64583</v>
      </c>
      <c r="I1453" s="25">
        <f>IFERROR(__xludf.DUMMYFUNCTION("""COMPUTED_VALUE"""),508.0)</f>
        <v>508</v>
      </c>
      <c r="J1453" s="25">
        <f>IFERROR(__xludf.DUMMYFUNCTION("""COMPUTED_VALUE"""),521.5)</f>
        <v>521.5</v>
      </c>
      <c r="K1453" s="25">
        <f>IFERROR(__xludf.DUMMYFUNCTION("""COMPUTED_VALUE"""),505.75)</f>
        <v>505.75</v>
      </c>
      <c r="L1453" s="25">
        <f>IFERROR(__xludf.DUMMYFUNCTION("""COMPUTED_VALUE"""),519.55)</f>
        <v>519.55</v>
      </c>
      <c r="M1453" s="25">
        <f>IFERROR(__xludf.DUMMYFUNCTION("""COMPUTED_VALUE"""),1110618.0)</f>
        <v>1110618</v>
      </c>
    </row>
    <row r="1454">
      <c r="A1454" s="26">
        <f>IFERROR(__xludf.DUMMYFUNCTION("""COMPUTED_VALUE"""),40505.645833333336)</f>
        <v>40505.64583</v>
      </c>
      <c r="B1454" s="9">
        <f>IFERROR(__xludf.DUMMYFUNCTION("""COMPUTED_VALUE"""),378.49)</f>
        <v>378.49</v>
      </c>
      <c r="C1454" s="9">
        <f>IFERROR(__xludf.DUMMYFUNCTION("""COMPUTED_VALUE"""),382.35)</f>
        <v>382.35</v>
      </c>
      <c r="D1454" s="9">
        <f>IFERROR(__xludf.DUMMYFUNCTION("""COMPUTED_VALUE"""),372.49)</f>
        <v>372.49</v>
      </c>
      <c r="E1454" s="9">
        <f>IFERROR(__xludf.DUMMYFUNCTION("""COMPUTED_VALUE"""),376.51)</f>
        <v>376.51</v>
      </c>
      <c r="F1454" s="9">
        <f>IFERROR(__xludf.DUMMYFUNCTION("""COMPUTED_VALUE"""),572484.0)</f>
        <v>572484</v>
      </c>
      <c r="H1454" s="27">
        <f>IFERROR(__xludf.DUMMYFUNCTION("""COMPUTED_VALUE"""),40505.645833333336)</f>
        <v>40505.64583</v>
      </c>
      <c r="I1454" s="25">
        <f>IFERROR(__xludf.DUMMYFUNCTION("""COMPUTED_VALUE"""),517.0)</f>
        <v>517</v>
      </c>
      <c r="J1454" s="25">
        <f>IFERROR(__xludf.DUMMYFUNCTION("""COMPUTED_VALUE"""),522.5)</f>
        <v>522.5</v>
      </c>
      <c r="K1454" s="25">
        <f>IFERROR(__xludf.DUMMYFUNCTION("""COMPUTED_VALUE"""),506.2)</f>
        <v>506.2</v>
      </c>
      <c r="L1454" s="25">
        <f>IFERROR(__xludf.DUMMYFUNCTION("""COMPUTED_VALUE"""),515.03)</f>
        <v>515.03</v>
      </c>
      <c r="M1454" s="25">
        <f>IFERROR(__xludf.DUMMYFUNCTION("""COMPUTED_VALUE"""),842224.0)</f>
        <v>842224</v>
      </c>
    </row>
    <row r="1455">
      <c r="A1455" s="26">
        <f>IFERROR(__xludf.DUMMYFUNCTION("""COMPUTED_VALUE"""),40506.645833333336)</f>
        <v>40506.64583</v>
      </c>
      <c r="B1455" s="9">
        <f>IFERROR(__xludf.DUMMYFUNCTION("""COMPUTED_VALUE"""),377.99)</f>
        <v>377.99</v>
      </c>
      <c r="C1455" s="9">
        <f>IFERROR(__xludf.DUMMYFUNCTION("""COMPUTED_VALUE"""),379.36)</f>
        <v>379.36</v>
      </c>
      <c r="D1455" s="9">
        <f>IFERROR(__xludf.DUMMYFUNCTION("""COMPUTED_VALUE"""),368.78)</f>
        <v>368.78</v>
      </c>
      <c r="E1455" s="9">
        <f>IFERROR(__xludf.DUMMYFUNCTION("""COMPUTED_VALUE"""),374.49)</f>
        <v>374.49</v>
      </c>
      <c r="F1455" s="9">
        <f>IFERROR(__xludf.DUMMYFUNCTION("""COMPUTED_VALUE"""),504861.0)</f>
        <v>504861</v>
      </c>
      <c r="H1455" s="27">
        <f>IFERROR(__xludf.DUMMYFUNCTION("""COMPUTED_VALUE"""),40506.645833333336)</f>
        <v>40506.64583</v>
      </c>
      <c r="I1455" s="25">
        <f>IFERROR(__xludf.DUMMYFUNCTION("""COMPUTED_VALUE"""),512.5)</f>
        <v>512.5</v>
      </c>
      <c r="J1455" s="25">
        <f>IFERROR(__xludf.DUMMYFUNCTION("""COMPUTED_VALUE"""),517.25)</f>
        <v>517.25</v>
      </c>
      <c r="K1455" s="25">
        <f>IFERROR(__xludf.DUMMYFUNCTION("""COMPUTED_VALUE"""),499.48)</f>
        <v>499.48</v>
      </c>
      <c r="L1455" s="25">
        <f>IFERROR(__xludf.DUMMYFUNCTION("""COMPUTED_VALUE"""),502.38)</f>
        <v>502.38</v>
      </c>
      <c r="M1455" s="25">
        <f>IFERROR(__xludf.DUMMYFUNCTION("""COMPUTED_VALUE"""),1504304.0)</f>
        <v>1504304</v>
      </c>
    </row>
    <row r="1456">
      <c r="A1456" s="26">
        <f>IFERROR(__xludf.DUMMYFUNCTION("""COMPUTED_VALUE"""),40507.645833333336)</f>
        <v>40507.64583</v>
      </c>
      <c r="B1456" s="9">
        <f>IFERROR(__xludf.DUMMYFUNCTION("""COMPUTED_VALUE"""),375.69)</f>
        <v>375.69</v>
      </c>
      <c r="C1456" s="9">
        <f>IFERROR(__xludf.DUMMYFUNCTION("""COMPUTED_VALUE"""),388.88)</f>
        <v>388.88</v>
      </c>
      <c r="D1456" s="9">
        <f>IFERROR(__xludf.DUMMYFUNCTION("""COMPUTED_VALUE"""),375.69)</f>
        <v>375.69</v>
      </c>
      <c r="E1456" s="9">
        <f>IFERROR(__xludf.DUMMYFUNCTION("""COMPUTED_VALUE"""),383.04)</f>
        <v>383.04</v>
      </c>
      <c r="F1456" s="9">
        <f>IFERROR(__xludf.DUMMYFUNCTION("""COMPUTED_VALUE"""),2291497.0)</f>
        <v>2291497</v>
      </c>
      <c r="H1456" s="27">
        <f>IFERROR(__xludf.DUMMYFUNCTION("""COMPUTED_VALUE"""),40507.645833333336)</f>
        <v>40507.64583</v>
      </c>
      <c r="I1456" s="25">
        <f>IFERROR(__xludf.DUMMYFUNCTION("""COMPUTED_VALUE"""),505.03)</f>
        <v>505.03</v>
      </c>
      <c r="J1456" s="25">
        <f>IFERROR(__xludf.DUMMYFUNCTION("""COMPUTED_VALUE"""),520.95)</f>
        <v>520.95</v>
      </c>
      <c r="K1456" s="25">
        <f>IFERROR(__xludf.DUMMYFUNCTION("""COMPUTED_VALUE"""),503.55)</f>
        <v>503.55</v>
      </c>
      <c r="L1456" s="25">
        <f>IFERROR(__xludf.DUMMYFUNCTION("""COMPUTED_VALUE"""),510.9)</f>
        <v>510.9</v>
      </c>
      <c r="M1456" s="25">
        <f>IFERROR(__xludf.DUMMYFUNCTION("""COMPUTED_VALUE"""),2927503.0)</f>
        <v>2927503</v>
      </c>
    </row>
    <row r="1457">
      <c r="A1457" s="26">
        <f>IFERROR(__xludf.DUMMYFUNCTION("""COMPUTED_VALUE"""),40508.645833333336)</f>
        <v>40508.64583</v>
      </c>
      <c r="B1457" s="9">
        <f>IFERROR(__xludf.DUMMYFUNCTION("""COMPUTED_VALUE"""),383.75)</f>
        <v>383.75</v>
      </c>
      <c r="C1457" s="9">
        <f>IFERROR(__xludf.DUMMYFUNCTION("""COMPUTED_VALUE"""),388.0)</f>
        <v>388</v>
      </c>
      <c r="D1457" s="9">
        <f>IFERROR(__xludf.DUMMYFUNCTION("""COMPUTED_VALUE"""),378.37)</f>
        <v>378.37</v>
      </c>
      <c r="E1457" s="9">
        <f>IFERROR(__xludf.DUMMYFUNCTION("""COMPUTED_VALUE"""),380.26)</f>
        <v>380.26</v>
      </c>
      <c r="F1457" s="9">
        <f>IFERROR(__xludf.DUMMYFUNCTION("""COMPUTED_VALUE"""),1189474.0)</f>
        <v>1189474</v>
      </c>
      <c r="H1457" s="27">
        <f>IFERROR(__xludf.DUMMYFUNCTION("""COMPUTED_VALUE"""),40508.645833333336)</f>
        <v>40508.64583</v>
      </c>
      <c r="I1457" s="25">
        <f>IFERROR(__xludf.DUMMYFUNCTION("""COMPUTED_VALUE"""),512.5)</f>
        <v>512.5</v>
      </c>
      <c r="J1457" s="25">
        <f>IFERROR(__xludf.DUMMYFUNCTION("""COMPUTED_VALUE"""),527.0)</f>
        <v>527</v>
      </c>
      <c r="K1457" s="25">
        <f>IFERROR(__xludf.DUMMYFUNCTION("""COMPUTED_VALUE"""),512.5)</f>
        <v>512.5</v>
      </c>
      <c r="L1457" s="25">
        <f>IFERROR(__xludf.DUMMYFUNCTION("""COMPUTED_VALUE"""),523.63)</f>
        <v>523.63</v>
      </c>
      <c r="M1457" s="25">
        <f>IFERROR(__xludf.DUMMYFUNCTION("""COMPUTED_VALUE"""),1808913.0)</f>
        <v>1808913</v>
      </c>
    </row>
    <row r="1458">
      <c r="A1458" s="26">
        <f>IFERROR(__xludf.DUMMYFUNCTION("""COMPUTED_VALUE"""),40511.645833333336)</f>
        <v>40511.64583</v>
      </c>
      <c r="B1458" s="9">
        <f>IFERROR(__xludf.DUMMYFUNCTION("""COMPUTED_VALUE"""),383.13)</f>
        <v>383.13</v>
      </c>
      <c r="C1458" s="9">
        <f>IFERROR(__xludf.DUMMYFUNCTION("""COMPUTED_VALUE"""),386.96)</f>
        <v>386.96</v>
      </c>
      <c r="D1458" s="9">
        <f>IFERROR(__xludf.DUMMYFUNCTION("""COMPUTED_VALUE"""),381.39)</f>
        <v>381.39</v>
      </c>
      <c r="E1458" s="9">
        <f>IFERROR(__xludf.DUMMYFUNCTION("""COMPUTED_VALUE"""),382.99)</f>
        <v>382.99</v>
      </c>
      <c r="F1458" s="9">
        <f>IFERROR(__xludf.DUMMYFUNCTION("""COMPUTED_VALUE"""),620541.0)</f>
        <v>620541</v>
      </c>
      <c r="H1458" s="27">
        <f>IFERROR(__xludf.DUMMYFUNCTION("""COMPUTED_VALUE"""),40511.645833333336)</f>
        <v>40511.64583</v>
      </c>
      <c r="I1458" s="25">
        <f>IFERROR(__xludf.DUMMYFUNCTION("""COMPUTED_VALUE"""),527.5)</f>
        <v>527.5</v>
      </c>
      <c r="J1458" s="25">
        <f>IFERROR(__xludf.DUMMYFUNCTION("""COMPUTED_VALUE"""),539.25)</f>
        <v>539.25</v>
      </c>
      <c r="K1458" s="25">
        <f>IFERROR(__xludf.DUMMYFUNCTION("""COMPUTED_VALUE"""),525.13)</f>
        <v>525.13</v>
      </c>
      <c r="L1458" s="25">
        <f>IFERROR(__xludf.DUMMYFUNCTION("""COMPUTED_VALUE"""),535.65)</f>
        <v>535.65</v>
      </c>
      <c r="M1458" s="25">
        <f>IFERROR(__xludf.DUMMYFUNCTION("""COMPUTED_VALUE"""),2259446.0)</f>
        <v>2259446</v>
      </c>
    </row>
    <row r="1459">
      <c r="A1459" s="26">
        <f>IFERROR(__xludf.DUMMYFUNCTION("""COMPUTED_VALUE"""),40512.645833333336)</f>
        <v>40512.64583</v>
      </c>
      <c r="B1459" s="9">
        <f>IFERROR(__xludf.DUMMYFUNCTION("""COMPUTED_VALUE"""),380.44)</f>
        <v>380.44</v>
      </c>
      <c r="C1459" s="9">
        <f>IFERROR(__xludf.DUMMYFUNCTION("""COMPUTED_VALUE"""),385.34)</f>
        <v>385.34</v>
      </c>
      <c r="D1459" s="9">
        <f>IFERROR(__xludf.DUMMYFUNCTION("""COMPUTED_VALUE"""),376.53)</f>
        <v>376.53</v>
      </c>
      <c r="E1459" s="9">
        <f>IFERROR(__xludf.DUMMYFUNCTION("""COMPUTED_VALUE"""),381.38)</f>
        <v>381.38</v>
      </c>
      <c r="F1459" s="9">
        <f>IFERROR(__xludf.DUMMYFUNCTION("""COMPUTED_VALUE"""),1134068.0)</f>
        <v>1134068</v>
      </c>
      <c r="H1459" s="27">
        <f>IFERROR(__xludf.DUMMYFUNCTION("""COMPUTED_VALUE"""),40512.645833333336)</f>
        <v>40512.64583</v>
      </c>
      <c r="I1459" s="25">
        <f>IFERROR(__xludf.DUMMYFUNCTION("""COMPUTED_VALUE"""),530.25)</f>
        <v>530.25</v>
      </c>
      <c r="J1459" s="25">
        <f>IFERROR(__xludf.DUMMYFUNCTION("""COMPUTED_VALUE"""),543.03)</f>
        <v>543.03</v>
      </c>
      <c r="K1459" s="25">
        <f>IFERROR(__xludf.DUMMYFUNCTION("""COMPUTED_VALUE"""),526.55)</f>
        <v>526.55</v>
      </c>
      <c r="L1459" s="25">
        <f>IFERROR(__xludf.DUMMYFUNCTION("""COMPUTED_VALUE"""),538.0)</f>
        <v>538</v>
      </c>
      <c r="M1459" s="25">
        <f>IFERROR(__xludf.DUMMYFUNCTION("""COMPUTED_VALUE"""),2404204.0)</f>
        <v>2404204</v>
      </c>
    </row>
    <row r="1460">
      <c r="A1460" s="26">
        <f>IFERROR(__xludf.DUMMYFUNCTION("""COMPUTED_VALUE"""),40513.645833333336)</f>
        <v>40513.64583</v>
      </c>
      <c r="B1460" s="9">
        <f>IFERROR(__xludf.DUMMYFUNCTION("""COMPUTED_VALUE"""),381.23)</f>
        <v>381.23</v>
      </c>
      <c r="C1460" s="9">
        <f>IFERROR(__xludf.DUMMYFUNCTION("""COMPUTED_VALUE"""),383.31)</f>
        <v>383.31</v>
      </c>
      <c r="D1460" s="9">
        <f>IFERROR(__xludf.DUMMYFUNCTION("""COMPUTED_VALUE"""),379.38)</f>
        <v>379.38</v>
      </c>
      <c r="E1460" s="9">
        <f>IFERROR(__xludf.DUMMYFUNCTION("""COMPUTED_VALUE"""),381.55)</f>
        <v>381.55</v>
      </c>
      <c r="F1460" s="9">
        <f>IFERROR(__xludf.DUMMYFUNCTION("""COMPUTED_VALUE"""),578012.0)</f>
        <v>578012</v>
      </c>
      <c r="H1460" s="27">
        <f>IFERROR(__xludf.DUMMYFUNCTION("""COMPUTED_VALUE"""),40513.645833333336)</f>
        <v>40513.64583</v>
      </c>
      <c r="I1460" s="25">
        <f>IFERROR(__xludf.DUMMYFUNCTION("""COMPUTED_VALUE"""),532.0)</f>
        <v>532</v>
      </c>
      <c r="J1460" s="25">
        <f>IFERROR(__xludf.DUMMYFUNCTION("""COMPUTED_VALUE"""),546.6)</f>
        <v>546.6</v>
      </c>
      <c r="K1460" s="25">
        <f>IFERROR(__xludf.DUMMYFUNCTION("""COMPUTED_VALUE"""),532.0)</f>
        <v>532</v>
      </c>
      <c r="L1460" s="25">
        <f>IFERROR(__xludf.DUMMYFUNCTION("""COMPUTED_VALUE"""),540.95)</f>
        <v>540.95</v>
      </c>
      <c r="M1460" s="25">
        <f>IFERROR(__xludf.DUMMYFUNCTION("""COMPUTED_VALUE"""),1888016.0)</f>
        <v>1888016</v>
      </c>
    </row>
    <row r="1461">
      <c r="A1461" s="26">
        <f>IFERROR(__xludf.DUMMYFUNCTION("""COMPUTED_VALUE"""),40514.645833333336)</f>
        <v>40514.64583</v>
      </c>
      <c r="B1461" s="9">
        <f>IFERROR(__xludf.DUMMYFUNCTION("""COMPUTED_VALUE"""),382.0)</f>
        <v>382</v>
      </c>
      <c r="C1461" s="9">
        <f>IFERROR(__xludf.DUMMYFUNCTION("""COMPUTED_VALUE"""),388.68)</f>
        <v>388.68</v>
      </c>
      <c r="D1461" s="9">
        <f>IFERROR(__xludf.DUMMYFUNCTION("""COMPUTED_VALUE"""),379.0)</f>
        <v>379</v>
      </c>
      <c r="E1461" s="9">
        <f>IFERROR(__xludf.DUMMYFUNCTION("""COMPUTED_VALUE"""),387.31)</f>
        <v>387.31</v>
      </c>
      <c r="F1461" s="9">
        <f>IFERROR(__xludf.DUMMYFUNCTION("""COMPUTED_VALUE"""),899670.0)</f>
        <v>899670</v>
      </c>
      <c r="H1461" s="27">
        <f>IFERROR(__xludf.DUMMYFUNCTION("""COMPUTED_VALUE"""),40514.645833333336)</f>
        <v>40514.64583</v>
      </c>
      <c r="I1461" s="25">
        <f>IFERROR(__xludf.DUMMYFUNCTION("""COMPUTED_VALUE"""),545.5)</f>
        <v>545.5</v>
      </c>
      <c r="J1461" s="25">
        <f>IFERROR(__xludf.DUMMYFUNCTION("""COMPUTED_VALUE"""),549.6)</f>
        <v>549.6</v>
      </c>
      <c r="K1461" s="25">
        <f>IFERROR(__xludf.DUMMYFUNCTION("""COMPUTED_VALUE"""),537.53)</f>
        <v>537.53</v>
      </c>
      <c r="L1461" s="25">
        <f>IFERROR(__xludf.DUMMYFUNCTION("""COMPUTED_VALUE"""),547.9)</f>
        <v>547.9</v>
      </c>
      <c r="M1461" s="25">
        <f>IFERROR(__xludf.DUMMYFUNCTION("""COMPUTED_VALUE"""),2047858.0)</f>
        <v>2047858</v>
      </c>
    </row>
    <row r="1462">
      <c r="A1462" s="26">
        <f>IFERROR(__xludf.DUMMYFUNCTION("""COMPUTED_VALUE"""),40515.645833333336)</f>
        <v>40515.64583</v>
      </c>
      <c r="B1462" s="9">
        <f>IFERROR(__xludf.DUMMYFUNCTION("""COMPUTED_VALUE"""),388.38)</f>
        <v>388.38</v>
      </c>
      <c r="C1462" s="9">
        <f>IFERROR(__xludf.DUMMYFUNCTION("""COMPUTED_VALUE"""),393.49)</f>
        <v>393.49</v>
      </c>
      <c r="D1462" s="9">
        <f>IFERROR(__xludf.DUMMYFUNCTION("""COMPUTED_VALUE"""),387.88)</f>
        <v>387.88</v>
      </c>
      <c r="E1462" s="9">
        <f>IFERROR(__xludf.DUMMYFUNCTION("""COMPUTED_VALUE"""),390.63)</f>
        <v>390.63</v>
      </c>
      <c r="F1462" s="9">
        <f>IFERROR(__xludf.DUMMYFUNCTION("""COMPUTED_VALUE"""),830977.0)</f>
        <v>830977</v>
      </c>
      <c r="H1462" s="27">
        <f>IFERROR(__xludf.DUMMYFUNCTION("""COMPUTED_VALUE"""),40515.645833333336)</f>
        <v>40515.64583</v>
      </c>
      <c r="I1462" s="25">
        <f>IFERROR(__xludf.DUMMYFUNCTION("""COMPUTED_VALUE"""),546.53)</f>
        <v>546.53</v>
      </c>
      <c r="J1462" s="25">
        <f>IFERROR(__xludf.DUMMYFUNCTION("""COMPUTED_VALUE"""),556.5)</f>
        <v>556.5</v>
      </c>
      <c r="K1462" s="25">
        <f>IFERROR(__xludf.DUMMYFUNCTION("""COMPUTED_VALUE"""),545.58)</f>
        <v>545.58</v>
      </c>
      <c r="L1462" s="25">
        <f>IFERROR(__xludf.DUMMYFUNCTION("""COMPUTED_VALUE"""),548.67)</f>
        <v>548.67</v>
      </c>
      <c r="M1462" s="25">
        <f>IFERROR(__xludf.DUMMYFUNCTION("""COMPUTED_VALUE"""),1015056.0)</f>
        <v>1015056</v>
      </c>
    </row>
    <row r="1463">
      <c r="A1463" s="26">
        <f>IFERROR(__xludf.DUMMYFUNCTION("""COMPUTED_VALUE"""),40518.645833333336)</f>
        <v>40518.64583</v>
      </c>
      <c r="B1463" s="9">
        <f>IFERROR(__xludf.DUMMYFUNCTION("""COMPUTED_VALUE"""),391.25)</f>
        <v>391.25</v>
      </c>
      <c r="C1463" s="9">
        <f>IFERROR(__xludf.DUMMYFUNCTION("""COMPUTED_VALUE"""),397.05)</f>
        <v>397.05</v>
      </c>
      <c r="D1463" s="9">
        <f>IFERROR(__xludf.DUMMYFUNCTION("""COMPUTED_VALUE"""),390.75)</f>
        <v>390.75</v>
      </c>
      <c r="E1463" s="9">
        <f>IFERROR(__xludf.DUMMYFUNCTION("""COMPUTED_VALUE"""),392.93)</f>
        <v>392.93</v>
      </c>
      <c r="F1463" s="9">
        <f>IFERROR(__xludf.DUMMYFUNCTION("""COMPUTED_VALUE"""),752956.0)</f>
        <v>752956</v>
      </c>
      <c r="H1463" s="27">
        <f>IFERROR(__xludf.DUMMYFUNCTION("""COMPUTED_VALUE"""),40518.645833333336)</f>
        <v>40518.64583</v>
      </c>
      <c r="I1463" s="25">
        <f>IFERROR(__xludf.DUMMYFUNCTION("""COMPUTED_VALUE"""),550.0)</f>
        <v>550</v>
      </c>
      <c r="J1463" s="25">
        <f>IFERROR(__xludf.DUMMYFUNCTION("""COMPUTED_VALUE"""),555.0)</f>
        <v>555</v>
      </c>
      <c r="K1463" s="25">
        <f>IFERROR(__xludf.DUMMYFUNCTION("""COMPUTED_VALUE"""),547.65)</f>
        <v>547.65</v>
      </c>
      <c r="L1463" s="25">
        <f>IFERROR(__xludf.DUMMYFUNCTION("""COMPUTED_VALUE"""),550.85)</f>
        <v>550.85</v>
      </c>
      <c r="M1463" s="25">
        <f>IFERROR(__xludf.DUMMYFUNCTION("""COMPUTED_VALUE"""),965477.0)</f>
        <v>965477</v>
      </c>
    </row>
    <row r="1464">
      <c r="A1464" s="26">
        <f>IFERROR(__xludf.DUMMYFUNCTION("""COMPUTED_VALUE"""),40519.645833333336)</f>
        <v>40519.64583</v>
      </c>
      <c r="B1464" s="9">
        <f>IFERROR(__xludf.DUMMYFUNCTION("""COMPUTED_VALUE"""),393.23)</f>
        <v>393.23</v>
      </c>
      <c r="C1464" s="9">
        <f>IFERROR(__xludf.DUMMYFUNCTION("""COMPUTED_VALUE"""),399.38)</f>
        <v>399.38</v>
      </c>
      <c r="D1464" s="9">
        <f>IFERROR(__xludf.DUMMYFUNCTION("""COMPUTED_VALUE"""),392.53)</f>
        <v>392.53</v>
      </c>
      <c r="E1464" s="9">
        <f>IFERROR(__xludf.DUMMYFUNCTION("""COMPUTED_VALUE"""),397.33)</f>
        <v>397.33</v>
      </c>
      <c r="F1464" s="9">
        <f>IFERROR(__xludf.DUMMYFUNCTION("""COMPUTED_VALUE"""),760687.0)</f>
        <v>760687</v>
      </c>
      <c r="H1464" s="27">
        <f>IFERROR(__xludf.DUMMYFUNCTION("""COMPUTED_VALUE"""),40519.645833333336)</f>
        <v>40519.64583</v>
      </c>
      <c r="I1464" s="25">
        <f>IFERROR(__xludf.DUMMYFUNCTION("""COMPUTED_VALUE"""),550.0)</f>
        <v>550</v>
      </c>
      <c r="J1464" s="25">
        <f>IFERROR(__xludf.DUMMYFUNCTION("""COMPUTED_VALUE"""),550.0)</f>
        <v>550</v>
      </c>
      <c r="K1464" s="25">
        <f>IFERROR(__xludf.DUMMYFUNCTION("""COMPUTED_VALUE"""),541.05)</f>
        <v>541.05</v>
      </c>
      <c r="L1464" s="25">
        <f>IFERROR(__xludf.DUMMYFUNCTION("""COMPUTED_VALUE"""),543.75)</f>
        <v>543.75</v>
      </c>
      <c r="M1464" s="25">
        <f>IFERROR(__xludf.DUMMYFUNCTION("""COMPUTED_VALUE"""),1079162.0)</f>
        <v>1079162</v>
      </c>
    </row>
    <row r="1465">
      <c r="A1465" s="26">
        <f>IFERROR(__xludf.DUMMYFUNCTION("""COMPUTED_VALUE"""),40520.645833333336)</f>
        <v>40520.64583</v>
      </c>
      <c r="B1465" s="9">
        <f>IFERROR(__xludf.DUMMYFUNCTION("""COMPUTED_VALUE"""),394.88)</f>
        <v>394.88</v>
      </c>
      <c r="C1465" s="9">
        <f>IFERROR(__xludf.DUMMYFUNCTION("""COMPUTED_VALUE"""),395.51)</f>
        <v>395.51</v>
      </c>
      <c r="D1465" s="9">
        <f>IFERROR(__xludf.DUMMYFUNCTION("""COMPUTED_VALUE"""),389.25)</f>
        <v>389.25</v>
      </c>
      <c r="E1465" s="9">
        <f>IFERROR(__xludf.DUMMYFUNCTION("""COMPUTED_VALUE"""),391.39)</f>
        <v>391.39</v>
      </c>
      <c r="F1465" s="9">
        <f>IFERROR(__xludf.DUMMYFUNCTION("""COMPUTED_VALUE"""),868889.0)</f>
        <v>868889</v>
      </c>
      <c r="H1465" s="27">
        <f>IFERROR(__xludf.DUMMYFUNCTION("""COMPUTED_VALUE"""),40520.645833333336)</f>
        <v>40520.64583</v>
      </c>
      <c r="I1465" s="25">
        <f>IFERROR(__xludf.DUMMYFUNCTION("""COMPUTED_VALUE"""),545.48)</f>
        <v>545.48</v>
      </c>
      <c r="J1465" s="25">
        <f>IFERROR(__xludf.DUMMYFUNCTION("""COMPUTED_VALUE"""),546.48)</f>
        <v>546.48</v>
      </c>
      <c r="K1465" s="25">
        <f>IFERROR(__xludf.DUMMYFUNCTION("""COMPUTED_VALUE"""),535.63)</f>
        <v>535.63</v>
      </c>
      <c r="L1465" s="25">
        <f>IFERROR(__xludf.DUMMYFUNCTION("""COMPUTED_VALUE"""),539.58)</f>
        <v>539.58</v>
      </c>
      <c r="M1465" s="25">
        <f>IFERROR(__xludf.DUMMYFUNCTION("""COMPUTED_VALUE"""),992066.0)</f>
        <v>992066</v>
      </c>
    </row>
    <row r="1466">
      <c r="A1466" s="26">
        <f>IFERROR(__xludf.DUMMYFUNCTION("""COMPUTED_VALUE"""),40521.645833333336)</f>
        <v>40521.64583</v>
      </c>
      <c r="B1466" s="9">
        <f>IFERROR(__xludf.DUMMYFUNCTION("""COMPUTED_VALUE"""),393.13)</f>
        <v>393.13</v>
      </c>
      <c r="C1466" s="9">
        <f>IFERROR(__xludf.DUMMYFUNCTION("""COMPUTED_VALUE"""),397.76)</f>
        <v>397.76</v>
      </c>
      <c r="D1466" s="9">
        <f>IFERROR(__xludf.DUMMYFUNCTION("""COMPUTED_VALUE"""),392.64)</f>
        <v>392.64</v>
      </c>
      <c r="E1466" s="9">
        <f>IFERROR(__xludf.DUMMYFUNCTION("""COMPUTED_VALUE"""),393.93)</f>
        <v>393.93</v>
      </c>
      <c r="F1466" s="9">
        <f>IFERROR(__xludf.DUMMYFUNCTION("""COMPUTED_VALUE"""),991391.0)</f>
        <v>991391</v>
      </c>
      <c r="H1466" s="27">
        <f>IFERROR(__xludf.DUMMYFUNCTION("""COMPUTED_VALUE"""),40521.645833333336)</f>
        <v>40521.64583</v>
      </c>
      <c r="I1466" s="25">
        <f>IFERROR(__xludf.DUMMYFUNCTION("""COMPUTED_VALUE"""),541.85)</f>
        <v>541.85</v>
      </c>
      <c r="J1466" s="25">
        <f>IFERROR(__xludf.DUMMYFUNCTION("""COMPUTED_VALUE"""),548.65)</f>
        <v>548.65</v>
      </c>
      <c r="K1466" s="25">
        <f>IFERROR(__xludf.DUMMYFUNCTION("""COMPUTED_VALUE"""),534.05)</f>
        <v>534.05</v>
      </c>
      <c r="L1466" s="25">
        <f>IFERROR(__xludf.DUMMYFUNCTION("""COMPUTED_VALUE"""),536.3)</f>
        <v>536.3</v>
      </c>
      <c r="M1466" s="25">
        <f>IFERROR(__xludf.DUMMYFUNCTION("""COMPUTED_VALUE"""),1289951.0)</f>
        <v>1289951</v>
      </c>
    </row>
    <row r="1467">
      <c r="A1467" s="26">
        <f>IFERROR(__xludf.DUMMYFUNCTION("""COMPUTED_VALUE"""),40522.645833333336)</f>
        <v>40522.64583</v>
      </c>
      <c r="B1467" s="9">
        <f>IFERROR(__xludf.DUMMYFUNCTION("""COMPUTED_VALUE"""),393.13)</f>
        <v>393.13</v>
      </c>
      <c r="C1467" s="9">
        <f>IFERROR(__xludf.DUMMYFUNCTION("""COMPUTED_VALUE"""),395.25)</f>
        <v>395.25</v>
      </c>
      <c r="D1467" s="9">
        <f>IFERROR(__xludf.DUMMYFUNCTION("""COMPUTED_VALUE"""),389.73)</f>
        <v>389.73</v>
      </c>
      <c r="E1467" s="9">
        <f>IFERROR(__xludf.DUMMYFUNCTION("""COMPUTED_VALUE"""),393.03)</f>
        <v>393.03</v>
      </c>
      <c r="F1467" s="9">
        <f>IFERROR(__xludf.DUMMYFUNCTION("""COMPUTED_VALUE"""),765640.0)</f>
        <v>765640</v>
      </c>
      <c r="H1467" s="27">
        <f>IFERROR(__xludf.DUMMYFUNCTION("""COMPUTED_VALUE"""),40522.645833333336)</f>
        <v>40522.64583</v>
      </c>
      <c r="I1467" s="25">
        <f>IFERROR(__xludf.DUMMYFUNCTION("""COMPUTED_VALUE"""),533.5)</f>
        <v>533.5</v>
      </c>
      <c r="J1467" s="25">
        <f>IFERROR(__xludf.DUMMYFUNCTION("""COMPUTED_VALUE"""),541.92)</f>
        <v>541.92</v>
      </c>
      <c r="K1467" s="25">
        <f>IFERROR(__xludf.DUMMYFUNCTION("""COMPUTED_VALUE"""),528.5)</f>
        <v>528.5</v>
      </c>
      <c r="L1467" s="25">
        <f>IFERROR(__xludf.DUMMYFUNCTION("""COMPUTED_VALUE"""),537.45)</f>
        <v>537.45</v>
      </c>
      <c r="M1467" s="25">
        <f>IFERROR(__xludf.DUMMYFUNCTION("""COMPUTED_VALUE"""),1122812.0)</f>
        <v>1122812</v>
      </c>
    </row>
    <row r="1468">
      <c r="A1468" s="26">
        <f>IFERROR(__xludf.DUMMYFUNCTION("""COMPUTED_VALUE"""),40525.645833333336)</f>
        <v>40525.64583</v>
      </c>
      <c r="B1468" s="9">
        <f>IFERROR(__xludf.DUMMYFUNCTION("""COMPUTED_VALUE"""),393.63)</f>
        <v>393.63</v>
      </c>
      <c r="C1468" s="9">
        <f>IFERROR(__xludf.DUMMYFUNCTION("""COMPUTED_VALUE"""),394.55)</f>
        <v>394.55</v>
      </c>
      <c r="D1468" s="9">
        <f>IFERROR(__xludf.DUMMYFUNCTION("""COMPUTED_VALUE"""),384.38)</f>
        <v>384.38</v>
      </c>
      <c r="E1468" s="9">
        <f>IFERROR(__xludf.DUMMYFUNCTION("""COMPUTED_VALUE"""),393.16)</f>
        <v>393.16</v>
      </c>
      <c r="F1468" s="9">
        <f>IFERROR(__xludf.DUMMYFUNCTION("""COMPUTED_VALUE"""),856135.0)</f>
        <v>856135</v>
      </c>
      <c r="H1468" s="27">
        <f>IFERROR(__xludf.DUMMYFUNCTION("""COMPUTED_VALUE"""),40525.645833333336)</f>
        <v>40525.64583</v>
      </c>
      <c r="I1468" s="25">
        <f>IFERROR(__xludf.DUMMYFUNCTION("""COMPUTED_VALUE"""),535.5)</f>
        <v>535.5</v>
      </c>
      <c r="J1468" s="25">
        <f>IFERROR(__xludf.DUMMYFUNCTION("""COMPUTED_VALUE"""),540.35)</f>
        <v>540.35</v>
      </c>
      <c r="K1468" s="25">
        <f>IFERROR(__xludf.DUMMYFUNCTION("""COMPUTED_VALUE"""),524.2)</f>
        <v>524.2</v>
      </c>
      <c r="L1468" s="25">
        <f>IFERROR(__xludf.DUMMYFUNCTION("""COMPUTED_VALUE"""),538.05)</f>
        <v>538.05</v>
      </c>
      <c r="M1468" s="25">
        <f>IFERROR(__xludf.DUMMYFUNCTION("""COMPUTED_VALUE"""),1057533.0)</f>
        <v>1057533</v>
      </c>
    </row>
    <row r="1469">
      <c r="A1469" s="26">
        <f>IFERROR(__xludf.DUMMYFUNCTION("""COMPUTED_VALUE"""),40526.645833333336)</f>
        <v>40526.64583</v>
      </c>
      <c r="B1469" s="9">
        <f>IFERROR(__xludf.DUMMYFUNCTION("""COMPUTED_VALUE"""),395.46)</f>
        <v>395.46</v>
      </c>
      <c r="C1469" s="9">
        <f>IFERROR(__xludf.DUMMYFUNCTION("""COMPUTED_VALUE"""),396.75)</f>
        <v>396.75</v>
      </c>
      <c r="D1469" s="9">
        <f>IFERROR(__xludf.DUMMYFUNCTION("""COMPUTED_VALUE"""),390.85)</f>
        <v>390.85</v>
      </c>
      <c r="E1469" s="9">
        <f>IFERROR(__xludf.DUMMYFUNCTION("""COMPUTED_VALUE"""),394.83)</f>
        <v>394.83</v>
      </c>
      <c r="F1469" s="9">
        <f>IFERROR(__xludf.DUMMYFUNCTION("""COMPUTED_VALUE"""),491698.0)</f>
        <v>491698</v>
      </c>
      <c r="H1469" s="27">
        <f>IFERROR(__xludf.DUMMYFUNCTION("""COMPUTED_VALUE"""),40526.645833333336)</f>
        <v>40526.64583</v>
      </c>
      <c r="I1469" s="25">
        <f>IFERROR(__xludf.DUMMYFUNCTION("""COMPUTED_VALUE"""),536.6)</f>
        <v>536.6</v>
      </c>
      <c r="J1469" s="25">
        <f>IFERROR(__xludf.DUMMYFUNCTION("""COMPUTED_VALUE"""),544.8)</f>
        <v>544.8</v>
      </c>
      <c r="K1469" s="25">
        <f>IFERROR(__xludf.DUMMYFUNCTION("""COMPUTED_VALUE"""),532.08)</f>
        <v>532.08</v>
      </c>
      <c r="L1469" s="25">
        <f>IFERROR(__xludf.DUMMYFUNCTION("""COMPUTED_VALUE"""),540.48)</f>
        <v>540.48</v>
      </c>
      <c r="M1469" s="25">
        <f>IFERROR(__xludf.DUMMYFUNCTION("""COMPUTED_VALUE"""),1307670.0)</f>
        <v>1307670</v>
      </c>
    </row>
    <row r="1470">
      <c r="A1470" s="26">
        <f>IFERROR(__xludf.DUMMYFUNCTION("""COMPUTED_VALUE"""),40527.645833333336)</f>
        <v>40527.64583</v>
      </c>
      <c r="B1470" s="9">
        <f>IFERROR(__xludf.DUMMYFUNCTION("""COMPUTED_VALUE"""),393.34)</f>
        <v>393.34</v>
      </c>
      <c r="C1470" s="9">
        <f>IFERROR(__xludf.DUMMYFUNCTION("""COMPUTED_VALUE"""),401.13)</f>
        <v>401.13</v>
      </c>
      <c r="D1470" s="9">
        <f>IFERROR(__xludf.DUMMYFUNCTION("""COMPUTED_VALUE"""),393.34)</f>
        <v>393.34</v>
      </c>
      <c r="E1470" s="9">
        <f>IFERROR(__xludf.DUMMYFUNCTION("""COMPUTED_VALUE"""),400.43)</f>
        <v>400.43</v>
      </c>
      <c r="F1470" s="9">
        <f>IFERROR(__xludf.DUMMYFUNCTION("""COMPUTED_VALUE"""),1031799.0)</f>
        <v>1031799</v>
      </c>
      <c r="H1470" s="27">
        <f>IFERROR(__xludf.DUMMYFUNCTION("""COMPUTED_VALUE"""),40527.645833333336)</f>
        <v>40527.64583</v>
      </c>
      <c r="I1470" s="25">
        <f>IFERROR(__xludf.DUMMYFUNCTION("""COMPUTED_VALUE"""),542.55)</f>
        <v>542.55</v>
      </c>
      <c r="J1470" s="25">
        <f>IFERROR(__xludf.DUMMYFUNCTION("""COMPUTED_VALUE"""),554.2)</f>
        <v>554.2</v>
      </c>
      <c r="K1470" s="25">
        <f>IFERROR(__xludf.DUMMYFUNCTION("""COMPUTED_VALUE"""),540.75)</f>
        <v>540.75</v>
      </c>
      <c r="L1470" s="25">
        <f>IFERROR(__xludf.DUMMYFUNCTION("""COMPUTED_VALUE"""),551.83)</f>
        <v>551.83</v>
      </c>
      <c r="M1470" s="25">
        <f>IFERROR(__xludf.DUMMYFUNCTION("""COMPUTED_VALUE"""),1286017.0)</f>
        <v>1286017</v>
      </c>
    </row>
    <row r="1471">
      <c r="A1471" s="26">
        <f>IFERROR(__xludf.DUMMYFUNCTION("""COMPUTED_VALUE"""),40528.645833333336)</f>
        <v>40528.64583</v>
      </c>
      <c r="B1471" s="9">
        <f>IFERROR(__xludf.DUMMYFUNCTION("""COMPUTED_VALUE"""),402.43)</f>
        <v>402.43</v>
      </c>
      <c r="C1471" s="9">
        <f>IFERROR(__xludf.DUMMYFUNCTION("""COMPUTED_VALUE"""),412.5)</f>
        <v>412.5</v>
      </c>
      <c r="D1471" s="9">
        <f>IFERROR(__xludf.DUMMYFUNCTION("""COMPUTED_VALUE"""),401.25)</f>
        <v>401.25</v>
      </c>
      <c r="E1471" s="9">
        <f>IFERROR(__xludf.DUMMYFUNCTION("""COMPUTED_VALUE"""),411.66)</f>
        <v>411.66</v>
      </c>
      <c r="F1471" s="9">
        <f>IFERROR(__xludf.DUMMYFUNCTION("""COMPUTED_VALUE"""),1063643.0)</f>
        <v>1063643</v>
      </c>
      <c r="H1471" s="27">
        <f>IFERROR(__xludf.DUMMYFUNCTION("""COMPUTED_VALUE"""),40528.645833333336)</f>
        <v>40528.64583</v>
      </c>
      <c r="I1471" s="25">
        <f>IFERROR(__xludf.DUMMYFUNCTION("""COMPUTED_VALUE"""),554.5)</f>
        <v>554.5</v>
      </c>
      <c r="J1471" s="25">
        <f>IFERROR(__xludf.DUMMYFUNCTION("""COMPUTED_VALUE"""),572.0)</f>
        <v>572</v>
      </c>
      <c r="K1471" s="25">
        <f>IFERROR(__xludf.DUMMYFUNCTION("""COMPUTED_VALUE"""),552.08)</f>
        <v>552.08</v>
      </c>
      <c r="L1471" s="25">
        <f>IFERROR(__xludf.DUMMYFUNCTION("""COMPUTED_VALUE"""),570.35)</f>
        <v>570.35</v>
      </c>
      <c r="M1471" s="25">
        <f>IFERROR(__xludf.DUMMYFUNCTION("""COMPUTED_VALUE"""),2257852.0)</f>
        <v>2257852</v>
      </c>
    </row>
    <row r="1472">
      <c r="A1472" s="26">
        <f>IFERROR(__xludf.DUMMYFUNCTION("""COMPUTED_VALUE"""),40532.645833333336)</f>
        <v>40532.64583</v>
      </c>
      <c r="B1472" s="9">
        <f>IFERROR(__xludf.DUMMYFUNCTION("""COMPUTED_VALUE"""),406.51)</f>
        <v>406.51</v>
      </c>
      <c r="C1472" s="9">
        <f>IFERROR(__xludf.DUMMYFUNCTION("""COMPUTED_VALUE"""),420.48)</f>
        <v>420.48</v>
      </c>
      <c r="D1472" s="9">
        <f>IFERROR(__xludf.DUMMYFUNCTION("""COMPUTED_VALUE"""),406.5)</f>
        <v>406.5</v>
      </c>
      <c r="E1472" s="9">
        <f>IFERROR(__xludf.DUMMYFUNCTION("""COMPUTED_VALUE"""),418.74)</f>
        <v>418.74</v>
      </c>
      <c r="F1472" s="9">
        <f>IFERROR(__xludf.DUMMYFUNCTION("""COMPUTED_VALUE"""),1418290.0)</f>
        <v>1418290</v>
      </c>
      <c r="H1472" s="27">
        <f>IFERROR(__xludf.DUMMYFUNCTION("""COMPUTED_VALUE"""),40532.645833333336)</f>
        <v>40532.64583</v>
      </c>
      <c r="I1472" s="25">
        <f>IFERROR(__xludf.DUMMYFUNCTION("""COMPUTED_VALUE"""),567.4)</f>
        <v>567.4</v>
      </c>
      <c r="J1472" s="25">
        <f>IFERROR(__xludf.DUMMYFUNCTION("""COMPUTED_VALUE"""),588.5)</f>
        <v>588.5</v>
      </c>
      <c r="K1472" s="25">
        <f>IFERROR(__xludf.DUMMYFUNCTION("""COMPUTED_VALUE"""),557.42)</f>
        <v>557.42</v>
      </c>
      <c r="L1472" s="25">
        <f>IFERROR(__xludf.DUMMYFUNCTION("""COMPUTED_VALUE"""),583.35)</f>
        <v>583.35</v>
      </c>
      <c r="M1472" s="25">
        <f>IFERROR(__xludf.DUMMYFUNCTION("""COMPUTED_VALUE"""),2257023.0)</f>
        <v>2257023</v>
      </c>
    </row>
    <row r="1473">
      <c r="A1473" s="26">
        <f>IFERROR(__xludf.DUMMYFUNCTION("""COMPUTED_VALUE"""),40533.645833333336)</f>
        <v>40533.64583</v>
      </c>
      <c r="B1473" s="9">
        <f>IFERROR(__xludf.DUMMYFUNCTION("""COMPUTED_VALUE"""),418.82)</f>
        <v>418.82</v>
      </c>
      <c r="C1473" s="9">
        <f>IFERROR(__xludf.DUMMYFUNCTION("""COMPUTED_VALUE"""),421.2)</f>
        <v>421.2</v>
      </c>
      <c r="D1473" s="9">
        <f>IFERROR(__xludf.DUMMYFUNCTION("""COMPUTED_VALUE"""),413.88)</f>
        <v>413.88</v>
      </c>
      <c r="E1473" s="9">
        <f>IFERROR(__xludf.DUMMYFUNCTION("""COMPUTED_VALUE"""),416.16)</f>
        <v>416.16</v>
      </c>
      <c r="F1473" s="9">
        <f>IFERROR(__xludf.DUMMYFUNCTION("""COMPUTED_VALUE"""),1007480.0)</f>
        <v>1007480</v>
      </c>
      <c r="H1473" s="27">
        <f>IFERROR(__xludf.DUMMYFUNCTION("""COMPUTED_VALUE"""),40533.645833333336)</f>
        <v>40533.64583</v>
      </c>
      <c r="I1473" s="25">
        <f>IFERROR(__xludf.DUMMYFUNCTION("""COMPUTED_VALUE"""),584.5)</f>
        <v>584.5</v>
      </c>
      <c r="J1473" s="25">
        <f>IFERROR(__xludf.DUMMYFUNCTION("""COMPUTED_VALUE"""),586.13)</f>
        <v>586.13</v>
      </c>
      <c r="K1473" s="25">
        <f>IFERROR(__xludf.DUMMYFUNCTION("""COMPUTED_VALUE"""),577.0)</f>
        <v>577</v>
      </c>
      <c r="L1473" s="25">
        <f>IFERROR(__xludf.DUMMYFUNCTION("""COMPUTED_VALUE"""),580.4)</f>
        <v>580.4</v>
      </c>
      <c r="M1473" s="25">
        <f>IFERROR(__xludf.DUMMYFUNCTION("""COMPUTED_VALUE"""),1405321.0)</f>
        <v>1405321</v>
      </c>
    </row>
    <row r="1474">
      <c r="A1474" s="26">
        <f>IFERROR(__xludf.DUMMYFUNCTION("""COMPUTED_VALUE"""),40534.645833333336)</f>
        <v>40534.64583</v>
      </c>
      <c r="B1474" s="9">
        <f>IFERROR(__xludf.DUMMYFUNCTION("""COMPUTED_VALUE"""),415.63)</f>
        <v>415.63</v>
      </c>
      <c r="C1474" s="9">
        <f>IFERROR(__xludf.DUMMYFUNCTION("""COMPUTED_VALUE"""),419.96)</f>
        <v>419.96</v>
      </c>
      <c r="D1474" s="9">
        <f>IFERROR(__xludf.DUMMYFUNCTION("""COMPUTED_VALUE"""),414.22)</f>
        <v>414.22</v>
      </c>
      <c r="E1474" s="9">
        <f>IFERROR(__xludf.DUMMYFUNCTION("""COMPUTED_VALUE"""),416.56)</f>
        <v>416.56</v>
      </c>
      <c r="F1474" s="9">
        <f>IFERROR(__xludf.DUMMYFUNCTION("""COMPUTED_VALUE"""),740910.0)</f>
        <v>740910</v>
      </c>
      <c r="H1474" s="27">
        <f>IFERROR(__xludf.DUMMYFUNCTION("""COMPUTED_VALUE"""),40534.645833333336)</f>
        <v>40534.64583</v>
      </c>
      <c r="I1474" s="25">
        <f>IFERROR(__xludf.DUMMYFUNCTION("""COMPUTED_VALUE"""),583.5)</f>
        <v>583.5</v>
      </c>
      <c r="J1474" s="25">
        <f>IFERROR(__xludf.DUMMYFUNCTION("""COMPUTED_VALUE"""),584.5)</f>
        <v>584.5</v>
      </c>
      <c r="K1474" s="25">
        <f>IFERROR(__xludf.DUMMYFUNCTION("""COMPUTED_VALUE"""),568.88)</f>
        <v>568.88</v>
      </c>
      <c r="L1474" s="25">
        <f>IFERROR(__xludf.DUMMYFUNCTION("""COMPUTED_VALUE"""),574.88)</f>
        <v>574.88</v>
      </c>
      <c r="M1474" s="25">
        <f>IFERROR(__xludf.DUMMYFUNCTION("""COMPUTED_VALUE"""),1593418.0)</f>
        <v>1593418</v>
      </c>
    </row>
    <row r="1475">
      <c r="A1475" s="26">
        <f>IFERROR(__xludf.DUMMYFUNCTION("""COMPUTED_VALUE"""),40535.645833333336)</f>
        <v>40535.64583</v>
      </c>
      <c r="B1475" s="9">
        <f>IFERROR(__xludf.DUMMYFUNCTION("""COMPUTED_VALUE"""),418.0)</f>
        <v>418</v>
      </c>
      <c r="C1475" s="9">
        <f>IFERROR(__xludf.DUMMYFUNCTION("""COMPUTED_VALUE"""),421.5)</f>
        <v>421.5</v>
      </c>
      <c r="D1475" s="9">
        <f>IFERROR(__xludf.DUMMYFUNCTION("""COMPUTED_VALUE"""),416.16)</f>
        <v>416.16</v>
      </c>
      <c r="E1475" s="9">
        <f>IFERROR(__xludf.DUMMYFUNCTION("""COMPUTED_VALUE"""),420.99)</f>
        <v>420.99</v>
      </c>
      <c r="F1475" s="9">
        <f>IFERROR(__xludf.DUMMYFUNCTION("""COMPUTED_VALUE"""),778938.0)</f>
        <v>778938</v>
      </c>
      <c r="H1475" s="27">
        <f>IFERROR(__xludf.DUMMYFUNCTION("""COMPUTED_VALUE"""),40535.645833333336)</f>
        <v>40535.64583</v>
      </c>
      <c r="I1475" s="25">
        <f>IFERROR(__xludf.DUMMYFUNCTION("""COMPUTED_VALUE"""),575.0)</f>
        <v>575</v>
      </c>
      <c r="J1475" s="25">
        <f>IFERROR(__xludf.DUMMYFUNCTION("""COMPUTED_VALUE"""),579.78)</f>
        <v>579.78</v>
      </c>
      <c r="K1475" s="25">
        <f>IFERROR(__xludf.DUMMYFUNCTION("""COMPUTED_VALUE"""),566.05)</f>
        <v>566.05</v>
      </c>
      <c r="L1475" s="25">
        <f>IFERROR(__xludf.DUMMYFUNCTION("""COMPUTED_VALUE"""),570.0)</f>
        <v>570</v>
      </c>
      <c r="M1475" s="25">
        <f>IFERROR(__xludf.DUMMYFUNCTION("""COMPUTED_VALUE"""),1425462.0)</f>
        <v>1425462</v>
      </c>
    </row>
    <row r="1476">
      <c r="A1476" s="26">
        <f>IFERROR(__xludf.DUMMYFUNCTION("""COMPUTED_VALUE"""),40536.645833333336)</f>
        <v>40536.64583</v>
      </c>
      <c r="B1476" s="9">
        <f>IFERROR(__xludf.DUMMYFUNCTION("""COMPUTED_VALUE"""),418.38)</f>
        <v>418.38</v>
      </c>
      <c r="C1476" s="9">
        <f>IFERROR(__xludf.DUMMYFUNCTION("""COMPUTED_VALUE"""),422.73)</f>
        <v>422.73</v>
      </c>
      <c r="D1476" s="9">
        <f>IFERROR(__xludf.DUMMYFUNCTION("""COMPUTED_VALUE"""),417.76)</f>
        <v>417.76</v>
      </c>
      <c r="E1476" s="9">
        <f>IFERROR(__xludf.DUMMYFUNCTION("""COMPUTED_VALUE"""),421.27)</f>
        <v>421.27</v>
      </c>
      <c r="F1476" s="9">
        <f>IFERROR(__xludf.DUMMYFUNCTION("""COMPUTED_VALUE"""),452508.0)</f>
        <v>452508</v>
      </c>
      <c r="H1476" s="27">
        <f>IFERROR(__xludf.DUMMYFUNCTION("""COMPUTED_VALUE"""),40536.645833333336)</f>
        <v>40536.64583</v>
      </c>
      <c r="I1476" s="25">
        <f>IFERROR(__xludf.DUMMYFUNCTION("""COMPUTED_VALUE"""),567.0)</f>
        <v>567</v>
      </c>
      <c r="J1476" s="25">
        <f>IFERROR(__xludf.DUMMYFUNCTION("""COMPUTED_VALUE"""),574.4)</f>
        <v>574.4</v>
      </c>
      <c r="K1476" s="25">
        <f>IFERROR(__xludf.DUMMYFUNCTION("""COMPUTED_VALUE"""),562.88)</f>
        <v>562.88</v>
      </c>
      <c r="L1476" s="25">
        <f>IFERROR(__xludf.DUMMYFUNCTION("""COMPUTED_VALUE"""),570.55)</f>
        <v>570.55</v>
      </c>
      <c r="M1476" s="25">
        <f>IFERROR(__xludf.DUMMYFUNCTION("""COMPUTED_VALUE"""),812320.0)</f>
        <v>812320</v>
      </c>
    </row>
    <row r="1477">
      <c r="A1477" s="26">
        <f>IFERROR(__xludf.DUMMYFUNCTION("""COMPUTED_VALUE"""),40539.645833333336)</f>
        <v>40539.64583</v>
      </c>
      <c r="B1477" s="9">
        <f>IFERROR(__xludf.DUMMYFUNCTION("""COMPUTED_VALUE"""),419.63)</f>
        <v>419.63</v>
      </c>
      <c r="C1477" s="9">
        <f>IFERROR(__xludf.DUMMYFUNCTION("""COMPUTED_VALUE"""),423.98)</f>
        <v>423.98</v>
      </c>
      <c r="D1477" s="9">
        <f>IFERROR(__xludf.DUMMYFUNCTION("""COMPUTED_VALUE"""),419.63)</f>
        <v>419.63</v>
      </c>
      <c r="E1477" s="9">
        <f>IFERROR(__xludf.DUMMYFUNCTION("""COMPUTED_VALUE"""),422.11)</f>
        <v>422.11</v>
      </c>
      <c r="F1477" s="9">
        <f>IFERROR(__xludf.DUMMYFUNCTION("""COMPUTED_VALUE"""),461470.0)</f>
        <v>461470</v>
      </c>
      <c r="H1477" s="27">
        <f>IFERROR(__xludf.DUMMYFUNCTION("""COMPUTED_VALUE"""),40539.645833333336)</f>
        <v>40539.64583</v>
      </c>
      <c r="I1477" s="25">
        <f>IFERROR(__xludf.DUMMYFUNCTION("""COMPUTED_VALUE"""),572.5)</f>
        <v>572.5</v>
      </c>
      <c r="J1477" s="25">
        <f>IFERROR(__xludf.DUMMYFUNCTION("""COMPUTED_VALUE"""),579.73)</f>
        <v>579.73</v>
      </c>
      <c r="K1477" s="25">
        <f>IFERROR(__xludf.DUMMYFUNCTION("""COMPUTED_VALUE"""),569.1)</f>
        <v>569.1</v>
      </c>
      <c r="L1477" s="25">
        <f>IFERROR(__xludf.DUMMYFUNCTION("""COMPUTED_VALUE"""),570.6)</f>
        <v>570.6</v>
      </c>
      <c r="M1477" s="25">
        <f>IFERROR(__xludf.DUMMYFUNCTION("""COMPUTED_VALUE"""),832468.0)</f>
        <v>832468</v>
      </c>
    </row>
    <row r="1478">
      <c r="A1478" s="26">
        <f>IFERROR(__xludf.DUMMYFUNCTION("""COMPUTED_VALUE"""),40540.645833333336)</f>
        <v>40540.64583</v>
      </c>
      <c r="B1478" s="9">
        <f>IFERROR(__xludf.DUMMYFUNCTION("""COMPUTED_VALUE"""),421.38)</f>
        <v>421.38</v>
      </c>
      <c r="C1478" s="9">
        <f>IFERROR(__xludf.DUMMYFUNCTION("""COMPUTED_VALUE"""),423.74)</f>
        <v>423.74</v>
      </c>
      <c r="D1478" s="9">
        <f>IFERROR(__xludf.DUMMYFUNCTION("""COMPUTED_VALUE"""),420.44)</f>
        <v>420.44</v>
      </c>
      <c r="E1478" s="9">
        <f>IFERROR(__xludf.DUMMYFUNCTION("""COMPUTED_VALUE"""),422.83)</f>
        <v>422.83</v>
      </c>
      <c r="F1478" s="9">
        <f>IFERROR(__xludf.DUMMYFUNCTION("""COMPUTED_VALUE"""),319305.0)</f>
        <v>319305</v>
      </c>
      <c r="H1478" s="27">
        <f>IFERROR(__xludf.DUMMYFUNCTION("""COMPUTED_VALUE"""),40540.645833333336)</f>
        <v>40540.64583</v>
      </c>
      <c r="I1478" s="25">
        <f>IFERROR(__xludf.DUMMYFUNCTION("""COMPUTED_VALUE"""),570.6)</f>
        <v>570.6</v>
      </c>
      <c r="J1478" s="25">
        <f>IFERROR(__xludf.DUMMYFUNCTION("""COMPUTED_VALUE"""),575.45)</f>
        <v>575.45</v>
      </c>
      <c r="K1478" s="25">
        <f>IFERROR(__xludf.DUMMYFUNCTION("""COMPUTED_VALUE"""),570.03)</f>
        <v>570.03</v>
      </c>
      <c r="L1478" s="25">
        <f>IFERROR(__xludf.DUMMYFUNCTION("""COMPUTED_VALUE"""),573.17)</f>
        <v>573.17</v>
      </c>
      <c r="M1478" s="25">
        <f>IFERROR(__xludf.DUMMYFUNCTION("""COMPUTED_VALUE"""),506438.0)</f>
        <v>506438</v>
      </c>
    </row>
    <row r="1479">
      <c r="A1479" s="26">
        <f>IFERROR(__xludf.DUMMYFUNCTION("""COMPUTED_VALUE"""),40541.645833333336)</f>
        <v>40541.64583</v>
      </c>
      <c r="B1479" s="9">
        <f>IFERROR(__xludf.DUMMYFUNCTION("""COMPUTED_VALUE"""),422.63)</f>
        <v>422.63</v>
      </c>
      <c r="C1479" s="9">
        <f>IFERROR(__xludf.DUMMYFUNCTION("""COMPUTED_VALUE"""),426.88)</f>
        <v>426.88</v>
      </c>
      <c r="D1479" s="9">
        <f>IFERROR(__xludf.DUMMYFUNCTION("""COMPUTED_VALUE"""),421.39)</f>
        <v>421.39</v>
      </c>
      <c r="E1479" s="9">
        <f>IFERROR(__xludf.DUMMYFUNCTION("""COMPUTED_VALUE"""),425.61)</f>
        <v>425.61</v>
      </c>
      <c r="F1479" s="9">
        <f>IFERROR(__xludf.DUMMYFUNCTION("""COMPUTED_VALUE"""),475365.0)</f>
        <v>475365</v>
      </c>
      <c r="H1479" s="27">
        <f>IFERROR(__xludf.DUMMYFUNCTION("""COMPUTED_VALUE"""),40541.645833333336)</f>
        <v>40541.64583</v>
      </c>
      <c r="I1479" s="25">
        <f>IFERROR(__xludf.DUMMYFUNCTION("""COMPUTED_VALUE"""),574.5)</f>
        <v>574.5</v>
      </c>
      <c r="J1479" s="25">
        <f>IFERROR(__xludf.DUMMYFUNCTION("""COMPUTED_VALUE"""),581.0)</f>
        <v>581</v>
      </c>
      <c r="K1479" s="25">
        <f>IFERROR(__xludf.DUMMYFUNCTION("""COMPUTED_VALUE"""),573.53)</f>
        <v>573.53</v>
      </c>
      <c r="L1479" s="25">
        <f>IFERROR(__xludf.DUMMYFUNCTION("""COMPUTED_VALUE"""),578.48)</f>
        <v>578.48</v>
      </c>
      <c r="M1479" s="25">
        <f>IFERROR(__xludf.DUMMYFUNCTION("""COMPUTED_VALUE"""),521185.0)</f>
        <v>521185</v>
      </c>
    </row>
    <row r="1480">
      <c r="A1480" s="26">
        <f>IFERROR(__xludf.DUMMYFUNCTION("""COMPUTED_VALUE"""),40542.645833333336)</f>
        <v>40542.64583</v>
      </c>
      <c r="B1480" s="9">
        <f>IFERROR(__xludf.DUMMYFUNCTION("""COMPUTED_VALUE"""),426.25)</f>
        <v>426.25</v>
      </c>
      <c r="C1480" s="9">
        <f>IFERROR(__xludf.DUMMYFUNCTION("""COMPUTED_VALUE"""),431.75)</f>
        <v>431.75</v>
      </c>
      <c r="D1480" s="9">
        <f>IFERROR(__xludf.DUMMYFUNCTION("""COMPUTED_VALUE"""),425.25)</f>
        <v>425.25</v>
      </c>
      <c r="E1480" s="9">
        <f>IFERROR(__xludf.DUMMYFUNCTION("""COMPUTED_VALUE"""),430.87)</f>
        <v>430.87</v>
      </c>
      <c r="F1480" s="9">
        <f>IFERROR(__xludf.DUMMYFUNCTION("""COMPUTED_VALUE"""),1123961.0)</f>
        <v>1123961</v>
      </c>
      <c r="H1480" s="27">
        <f>IFERROR(__xludf.DUMMYFUNCTION("""COMPUTED_VALUE"""),40542.645833333336)</f>
        <v>40542.64583</v>
      </c>
      <c r="I1480" s="25">
        <f>IFERROR(__xludf.DUMMYFUNCTION("""COMPUTED_VALUE"""),576.25)</f>
        <v>576.25</v>
      </c>
      <c r="J1480" s="25">
        <f>IFERROR(__xludf.DUMMYFUNCTION("""COMPUTED_VALUE"""),587.4)</f>
        <v>587.4</v>
      </c>
      <c r="K1480" s="25">
        <f>IFERROR(__xludf.DUMMYFUNCTION("""COMPUTED_VALUE"""),576.25)</f>
        <v>576.25</v>
      </c>
      <c r="L1480" s="25">
        <f>IFERROR(__xludf.DUMMYFUNCTION("""COMPUTED_VALUE"""),585.1)</f>
        <v>585.1</v>
      </c>
      <c r="M1480" s="25">
        <f>IFERROR(__xludf.DUMMYFUNCTION("""COMPUTED_VALUE"""),1922776.0)</f>
        <v>1922776</v>
      </c>
    </row>
    <row r="1481">
      <c r="A1481" s="26">
        <f>IFERROR(__xludf.DUMMYFUNCTION("""COMPUTED_VALUE"""),40543.645833333336)</f>
        <v>40543.64583</v>
      </c>
      <c r="B1481" s="9">
        <f>IFERROR(__xludf.DUMMYFUNCTION("""COMPUTED_VALUE"""),429.13)</f>
        <v>429.13</v>
      </c>
      <c r="C1481" s="9">
        <f>IFERROR(__xludf.DUMMYFUNCTION("""COMPUTED_VALUE"""),431.38)</f>
        <v>431.38</v>
      </c>
      <c r="D1481" s="9">
        <f>IFERROR(__xludf.DUMMYFUNCTION("""COMPUTED_VALUE"""),425.64)</f>
        <v>425.64</v>
      </c>
      <c r="E1481" s="9">
        <f>IFERROR(__xludf.DUMMYFUNCTION("""COMPUTED_VALUE"""),430.34)</f>
        <v>430.34</v>
      </c>
      <c r="F1481" s="9">
        <f>IFERROR(__xludf.DUMMYFUNCTION("""COMPUTED_VALUE"""),732466.0)</f>
        <v>732466</v>
      </c>
      <c r="H1481" s="27">
        <f>IFERROR(__xludf.DUMMYFUNCTION("""COMPUTED_VALUE"""),40543.645833333336)</f>
        <v>40543.64583</v>
      </c>
      <c r="I1481" s="25">
        <f>IFERROR(__xludf.DUMMYFUNCTION("""COMPUTED_VALUE"""),586.25)</f>
        <v>586.25</v>
      </c>
      <c r="J1481" s="25">
        <f>IFERROR(__xludf.DUMMYFUNCTION("""COMPUTED_VALUE"""),590.0)</f>
        <v>590</v>
      </c>
      <c r="K1481" s="25">
        <f>IFERROR(__xludf.DUMMYFUNCTION("""COMPUTED_VALUE"""),580.9)</f>
        <v>580.9</v>
      </c>
      <c r="L1481" s="25">
        <f>IFERROR(__xludf.DUMMYFUNCTION("""COMPUTED_VALUE"""),582.83)</f>
        <v>582.83</v>
      </c>
      <c r="M1481" s="25">
        <f>IFERROR(__xludf.DUMMYFUNCTION("""COMPUTED_VALUE"""),766490.0)</f>
        <v>766490</v>
      </c>
    </row>
    <row r="1482">
      <c r="A1482" s="26">
        <f>IFERROR(__xludf.DUMMYFUNCTION("""COMPUTED_VALUE"""),40546.645833333336)</f>
        <v>40546.64583</v>
      </c>
      <c r="B1482" s="9">
        <f>IFERROR(__xludf.DUMMYFUNCTION("""COMPUTED_VALUE"""),430.5)</f>
        <v>430.5</v>
      </c>
      <c r="C1482" s="9">
        <f>IFERROR(__xludf.DUMMYFUNCTION("""COMPUTED_VALUE"""),433.71)</f>
        <v>433.71</v>
      </c>
      <c r="D1482" s="9">
        <f>IFERROR(__xludf.DUMMYFUNCTION("""COMPUTED_VALUE"""),428.46)</f>
        <v>428.46</v>
      </c>
      <c r="E1482" s="9">
        <f>IFERROR(__xludf.DUMMYFUNCTION("""COMPUTED_VALUE"""),432.29)</f>
        <v>432.29</v>
      </c>
      <c r="F1482" s="9">
        <f>IFERROR(__xludf.DUMMYFUNCTION("""COMPUTED_VALUE"""),631068.0)</f>
        <v>631068</v>
      </c>
      <c r="H1482" s="27">
        <f>IFERROR(__xludf.DUMMYFUNCTION("""COMPUTED_VALUE"""),40546.645833333336)</f>
        <v>40546.64583</v>
      </c>
      <c r="I1482" s="25">
        <f>IFERROR(__xludf.DUMMYFUNCTION("""COMPUTED_VALUE"""),583.5)</f>
        <v>583.5</v>
      </c>
      <c r="J1482" s="25">
        <f>IFERROR(__xludf.DUMMYFUNCTION("""COMPUTED_VALUE"""),588.48)</f>
        <v>588.48</v>
      </c>
      <c r="K1482" s="25">
        <f>IFERROR(__xludf.DUMMYFUNCTION("""COMPUTED_VALUE"""),577.28)</f>
        <v>577.28</v>
      </c>
      <c r="L1482" s="25">
        <f>IFERROR(__xludf.DUMMYFUNCTION("""COMPUTED_VALUE"""),579.03)</f>
        <v>579.03</v>
      </c>
      <c r="M1482" s="25">
        <f>IFERROR(__xludf.DUMMYFUNCTION("""COMPUTED_VALUE"""),702521.0)</f>
        <v>702521</v>
      </c>
    </row>
    <row r="1483">
      <c r="A1483" s="26">
        <f>IFERROR(__xludf.DUMMYFUNCTION("""COMPUTED_VALUE"""),40547.645833333336)</f>
        <v>40547.64583</v>
      </c>
      <c r="B1483" s="9">
        <f>IFERROR(__xludf.DUMMYFUNCTION("""COMPUTED_VALUE"""),432.13)</f>
        <v>432.13</v>
      </c>
      <c r="C1483" s="9">
        <f>IFERROR(__xludf.DUMMYFUNCTION("""COMPUTED_VALUE"""),437.38)</f>
        <v>437.38</v>
      </c>
      <c r="D1483" s="9">
        <f>IFERROR(__xludf.DUMMYFUNCTION("""COMPUTED_VALUE"""),432.13)</f>
        <v>432.13</v>
      </c>
      <c r="E1483" s="9">
        <f>IFERROR(__xludf.DUMMYFUNCTION("""COMPUTED_VALUE"""),435.18)</f>
        <v>435.18</v>
      </c>
      <c r="F1483" s="9">
        <f>IFERROR(__xludf.DUMMYFUNCTION("""COMPUTED_VALUE"""),1014911.0)</f>
        <v>1014911</v>
      </c>
      <c r="H1483" s="27">
        <f>IFERROR(__xludf.DUMMYFUNCTION("""COMPUTED_VALUE"""),40547.645833333336)</f>
        <v>40547.64583</v>
      </c>
      <c r="I1483" s="25">
        <f>IFERROR(__xludf.DUMMYFUNCTION("""COMPUTED_VALUE"""),581.95)</f>
        <v>581.95</v>
      </c>
      <c r="J1483" s="25">
        <f>IFERROR(__xludf.DUMMYFUNCTION("""COMPUTED_VALUE"""),583.08)</f>
        <v>583.08</v>
      </c>
      <c r="K1483" s="25">
        <f>IFERROR(__xludf.DUMMYFUNCTION("""COMPUTED_VALUE"""),569.05)</f>
        <v>569.05</v>
      </c>
      <c r="L1483" s="25">
        <f>IFERROR(__xludf.DUMMYFUNCTION("""COMPUTED_VALUE"""),572.38)</f>
        <v>572.38</v>
      </c>
      <c r="M1483" s="25">
        <f>IFERROR(__xludf.DUMMYFUNCTION("""COMPUTED_VALUE"""),1251434.0)</f>
        <v>1251434</v>
      </c>
    </row>
    <row r="1484">
      <c r="A1484" s="26">
        <f>IFERROR(__xludf.DUMMYFUNCTION("""COMPUTED_VALUE"""),40548.645833333336)</f>
        <v>40548.64583</v>
      </c>
      <c r="B1484" s="9">
        <f>IFERROR(__xludf.DUMMYFUNCTION("""COMPUTED_VALUE"""),433.13)</f>
        <v>433.13</v>
      </c>
      <c r="C1484" s="9">
        <f>IFERROR(__xludf.DUMMYFUNCTION("""COMPUTED_VALUE"""),434.63)</f>
        <v>434.63</v>
      </c>
      <c r="D1484" s="9">
        <f>IFERROR(__xludf.DUMMYFUNCTION("""COMPUTED_VALUE"""),430.64)</f>
        <v>430.64</v>
      </c>
      <c r="E1484" s="9">
        <f>IFERROR(__xludf.DUMMYFUNCTION("""COMPUTED_VALUE"""),432.45)</f>
        <v>432.45</v>
      </c>
      <c r="F1484" s="9">
        <f>IFERROR(__xludf.DUMMYFUNCTION("""COMPUTED_VALUE"""),440395.0)</f>
        <v>440395</v>
      </c>
      <c r="H1484" s="27">
        <f>IFERROR(__xludf.DUMMYFUNCTION("""COMPUTED_VALUE"""),40548.645833333336)</f>
        <v>40548.64583</v>
      </c>
      <c r="I1484" s="25">
        <f>IFERROR(__xludf.DUMMYFUNCTION("""COMPUTED_VALUE"""),572.63)</f>
        <v>572.63</v>
      </c>
      <c r="J1484" s="25">
        <f>IFERROR(__xludf.DUMMYFUNCTION("""COMPUTED_VALUE"""),582.95)</f>
        <v>582.95</v>
      </c>
      <c r="K1484" s="25">
        <f>IFERROR(__xludf.DUMMYFUNCTION("""COMPUTED_VALUE"""),570.88)</f>
        <v>570.88</v>
      </c>
      <c r="L1484" s="25">
        <f>IFERROR(__xludf.DUMMYFUNCTION("""COMPUTED_VALUE"""),579.48)</f>
        <v>579.48</v>
      </c>
      <c r="M1484" s="25">
        <f>IFERROR(__xludf.DUMMYFUNCTION("""COMPUTED_VALUE"""),1534837.0)</f>
        <v>1534837</v>
      </c>
    </row>
    <row r="1485">
      <c r="A1485" s="26">
        <f>IFERROR(__xludf.DUMMYFUNCTION("""COMPUTED_VALUE"""),40549.645833333336)</f>
        <v>40549.64583</v>
      </c>
      <c r="B1485" s="9">
        <f>IFERROR(__xludf.DUMMYFUNCTION("""COMPUTED_VALUE"""),435.0)</f>
        <v>435</v>
      </c>
      <c r="C1485" s="9">
        <f>IFERROR(__xludf.DUMMYFUNCTION("""COMPUTED_VALUE"""),436.63)</f>
        <v>436.63</v>
      </c>
      <c r="D1485" s="9">
        <f>IFERROR(__xludf.DUMMYFUNCTION("""COMPUTED_VALUE"""),430.51)</f>
        <v>430.51</v>
      </c>
      <c r="E1485" s="9">
        <f>IFERROR(__xludf.DUMMYFUNCTION("""COMPUTED_VALUE"""),434.77)</f>
        <v>434.77</v>
      </c>
      <c r="F1485" s="9">
        <f>IFERROR(__xludf.DUMMYFUNCTION("""COMPUTED_VALUE"""),586480.0)</f>
        <v>586480</v>
      </c>
      <c r="H1485" s="27">
        <f>IFERROR(__xludf.DUMMYFUNCTION("""COMPUTED_VALUE"""),40549.645833333336)</f>
        <v>40549.64583</v>
      </c>
      <c r="I1485" s="25">
        <f>IFERROR(__xludf.DUMMYFUNCTION("""COMPUTED_VALUE"""),584.0)</f>
        <v>584</v>
      </c>
      <c r="J1485" s="25">
        <f>IFERROR(__xludf.DUMMYFUNCTION("""COMPUTED_VALUE"""),591.0)</f>
        <v>591</v>
      </c>
      <c r="K1485" s="25">
        <f>IFERROR(__xludf.DUMMYFUNCTION("""COMPUTED_VALUE"""),576.55)</f>
        <v>576.55</v>
      </c>
      <c r="L1485" s="25">
        <f>IFERROR(__xludf.DUMMYFUNCTION("""COMPUTED_VALUE"""),585.85)</f>
        <v>585.85</v>
      </c>
      <c r="M1485" s="25">
        <f>IFERROR(__xludf.DUMMYFUNCTION("""COMPUTED_VALUE"""),1423360.0)</f>
        <v>1423360</v>
      </c>
    </row>
    <row r="1486">
      <c r="A1486" s="26">
        <f>IFERROR(__xludf.DUMMYFUNCTION("""COMPUTED_VALUE"""),40550.645833333336)</f>
        <v>40550.64583</v>
      </c>
      <c r="B1486" s="9">
        <f>IFERROR(__xludf.DUMMYFUNCTION("""COMPUTED_VALUE"""),432.92)</f>
        <v>432.92</v>
      </c>
      <c r="C1486" s="9">
        <f>IFERROR(__xludf.DUMMYFUNCTION("""COMPUTED_VALUE"""),436.88)</f>
        <v>436.88</v>
      </c>
      <c r="D1486" s="9">
        <f>IFERROR(__xludf.DUMMYFUNCTION("""COMPUTED_VALUE"""),419.54)</f>
        <v>419.54</v>
      </c>
      <c r="E1486" s="9">
        <f>IFERROR(__xludf.DUMMYFUNCTION("""COMPUTED_VALUE"""),421.34)</f>
        <v>421.34</v>
      </c>
      <c r="F1486" s="9">
        <f>IFERROR(__xludf.DUMMYFUNCTION("""COMPUTED_VALUE"""),1068866.0)</f>
        <v>1068866</v>
      </c>
      <c r="H1486" s="27">
        <f>IFERROR(__xludf.DUMMYFUNCTION("""COMPUTED_VALUE"""),40550.645833333336)</f>
        <v>40550.64583</v>
      </c>
      <c r="I1486" s="25">
        <f>IFERROR(__xludf.DUMMYFUNCTION("""COMPUTED_VALUE"""),588.0)</f>
        <v>588</v>
      </c>
      <c r="J1486" s="25">
        <f>IFERROR(__xludf.DUMMYFUNCTION("""COMPUTED_VALUE"""),593.42)</f>
        <v>593.42</v>
      </c>
      <c r="K1486" s="25">
        <f>IFERROR(__xludf.DUMMYFUNCTION("""COMPUTED_VALUE"""),569.08)</f>
        <v>569.08</v>
      </c>
      <c r="L1486" s="25">
        <f>IFERROR(__xludf.DUMMYFUNCTION("""COMPUTED_VALUE"""),571.33)</f>
        <v>571.33</v>
      </c>
      <c r="M1486" s="25">
        <f>IFERROR(__xludf.DUMMYFUNCTION("""COMPUTED_VALUE"""),1266362.0)</f>
        <v>1266362</v>
      </c>
    </row>
    <row r="1487">
      <c r="A1487" s="26">
        <f>IFERROR(__xludf.DUMMYFUNCTION("""COMPUTED_VALUE"""),40553.645833333336)</f>
        <v>40553.64583</v>
      </c>
      <c r="B1487" s="9">
        <f>IFERROR(__xludf.DUMMYFUNCTION("""COMPUTED_VALUE"""),421.88)</f>
        <v>421.88</v>
      </c>
      <c r="C1487" s="9">
        <f>IFERROR(__xludf.DUMMYFUNCTION("""COMPUTED_VALUE"""),430.39)</f>
        <v>430.39</v>
      </c>
      <c r="D1487" s="9">
        <f>IFERROR(__xludf.DUMMYFUNCTION("""COMPUTED_VALUE"""),419.0)</f>
        <v>419</v>
      </c>
      <c r="E1487" s="9">
        <f>IFERROR(__xludf.DUMMYFUNCTION("""COMPUTED_VALUE"""),424.47)</f>
        <v>424.47</v>
      </c>
      <c r="F1487" s="9">
        <f>IFERROR(__xludf.DUMMYFUNCTION("""COMPUTED_VALUE"""),1298801.0)</f>
        <v>1298801</v>
      </c>
      <c r="H1487" s="27">
        <f>IFERROR(__xludf.DUMMYFUNCTION("""COMPUTED_VALUE"""),40553.645833333336)</f>
        <v>40553.64583</v>
      </c>
      <c r="I1487" s="25">
        <f>IFERROR(__xludf.DUMMYFUNCTION("""COMPUTED_VALUE"""),573.75)</f>
        <v>573.75</v>
      </c>
      <c r="J1487" s="25">
        <f>IFERROR(__xludf.DUMMYFUNCTION("""COMPUTED_VALUE"""),574.5)</f>
        <v>574.5</v>
      </c>
      <c r="K1487" s="25">
        <f>IFERROR(__xludf.DUMMYFUNCTION("""COMPUTED_VALUE"""),560.5)</f>
        <v>560.5</v>
      </c>
      <c r="L1487" s="25">
        <f>IFERROR(__xludf.DUMMYFUNCTION("""COMPUTED_VALUE"""),565.45)</f>
        <v>565.45</v>
      </c>
      <c r="M1487" s="25">
        <f>IFERROR(__xludf.DUMMYFUNCTION("""COMPUTED_VALUE"""),1976213.0)</f>
        <v>1976213</v>
      </c>
    </row>
    <row r="1488">
      <c r="A1488" s="26">
        <f>IFERROR(__xludf.DUMMYFUNCTION("""COMPUTED_VALUE"""),40554.645833333336)</f>
        <v>40554.64583</v>
      </c>
      <c r="B1488" s="9">
        <f>IFERROR(__xludf.DUMMYFUNCTION("""COMPUTED_VALUE"""),417.5)</f>
        <v>417.5</v>
      </c>
      <c r="C1488" s="9">
        <f>IFERROR(__xludf.DUMMYFUNCTION("""COMPUTED_VALUE"""),427.93)</f>
        <v>427.93</v>
      </c>
      <c r="D1488" s="9">
        <f>IFERROR(__xludf.DUMMYFUNCTION("""COMPUTED_VALUE"""),411.01)</f>
        <v>411.01</v>
      </c>
      <c r="E1488" s="9">
        <f>IFERROR(__xludf.DUMMYFUNCTION("""COMPUTED_VALUE"""),415.71)</f>
        <v>415.71</v>
      </c>
      <c r="F1488" s="9">
        <f>IFERROR(__xludf.DUMMYFUNCTION("""COMPUTED_VALUE"""),1539927.0)</f>
        <v>1539927</v>
      </c>
      <c r="H1488" s="27">
        <f>IFERROR(__xludf.DUMMYFUNCTION("""COMPUTED_VALUE"""),40554.645833333336)</f>
        <v>40554.64583</v>
      </c>
      <c r="I1488" s="25">
        <f>IFERROR(__xludf.DUMMYFUNCTION("""COMPUTED_VALUE"""),561.5)</f>
        <v>561.5</v>
      </c>
      <c r="J1488" s="25">
        <f>IFERROR(__xludf.DUMMYFUNCTION("""COMPUTED_VALUE"""),567.78)</f>
        <v>567.78</v>
      </c>
      <c r="K1488" s="25">
        <f>IFERROR(__xludf.DUMMYFUNCTION("""COMPUTED_VALUE"""),543.9)</f>
        <v>543.9</v>
      </c>
      <c r="L1488" s="25">
        <f>IFERROR(__xludf.DUMMYFUNCTION("""COMPUTED_VALUE"""),549.25)</f>
        <v>549.25</v>
      </c>
      <c r="M1488" s="25">
        <f>IFERROR(__xludf.DUMMYFUNCTION("""COMPUTED_VALUE"""),1884365.0)</f>
        <v>1884365</v>
      </c>
    </row>
    <row r="1489">
      <c r="A1489" s="26">
        <f>IFERROR(__xludf.DUMMYFUNCTION("""COMPUTED_VALUE"""),40555.645833333336)</f>
        <v>40555.64583</v>
      </c>
      <c r="B1489" s="9">
        <f>IFERROR(__xludf.DUMMYFUNCTION("""COMPUTED_VALUE"""),418.75)</f>
        <v>418.75</v>
      </c>
      <c r="C1489" s="9">
        <f>IFERROR(__xludf.DUMMYFUNCTION("""COMPUTED_VALUE"""),423.75)</f>
        <v>423.75</v>
      </c>
      <c r="D1489" s="9">
        <f>IFERROR(__xludf.DUMMYFUNCTION("""COMPUTED_VALUE"""),414.78)</f>
        <v>414.78</v>
      </c>
      <c r="E1489" s="9">
        <f>IFERROR(__xludf.DUMMYFUNCTION("""COMPUTED_VALUE"""),422.16)</f>
        <v>422.16</v>
      </c>
      <c r="F1489" s="9">
        <f>IFERROR(__xludf.DUMMYFUNCTION("""COMPUTED_VALUE"""),1254425.0)</f>
        <v>1254425</v>
      </c>
      <c r="H1489" s="27">
        <f>IFERROR(__xludf.DUMMYFUNCTION("""COMPUTED_VALUE"""),40555.645833333336)</f>
        <v>40555.64583</v>
      </c>
      <c r="I1489" s="25">
        <f>IFERROR(__xludf.DUMMYFUNCTION("""COMPUTED_VALUE"""),554.95)</f>
        <v>554.95</v>
      </c>
      <c r="J1489" s="25">
        <f>IFERROR(__xludf.DUMMYFUNCTION("""COMPUTED_VALUE"""),575.8)</f>
        <v>575.8</v>
      </c>
      <c r="K1489" s="25">
        <f>IFERROR(__xludf.DUMMYFUNCTION("""COMPUTED_VALUE"""),554.0)</f>
        <v>554</v>
      </c>
      <c r="L1489" s="25">
        <f>IFERROR(__xludf.DUMMYFUNCTION("""COMPUTED_VALUE"""),567.98)</f>
        <v>567.98</v>
      </c>
      <c r="M1489" s="25">
        <f>IFERROR(__xludf.DUMMYFUNCTION("""COMPUTED_VALUE"""),1580437.0)</f>
        <v>1580437</v>
      </c>
    </row>
    <row r="1490">
      <c r="A1490" s="26">
        <f>IFERROR(__xludf.DUMMYFUNCTION("""COMPUTED_VALUE"""),40556.645833333336)</f>
        <v>40556.64583</v>
      </c>
      <c r="B1490" s="9">
        <f>IFERROR(__xludf.DUMMYFUNCTION("""COMPUTED_VALUE"""),411.63)</f>
        <v>411.63</v>
      </c>
      <c r="C1490" s="9">
        <f>IFERROR(__xludf.DUMMYFUNCTION("""COMPUTED_VALUE"""),412.38)</f>
        <v>412.38</v>
      </c>
      <c r="D1490" s="9">
        <f>IFERROR(__xludf.DUMMYFUNCTION("""COMPUTED_VALUE"""),399.38)</f>
        <v>399.38</v>
      </c>
      <c r="E1490" s="9">
        <f>IFERROR(__xludf.DUMMYFUNCTION("""COMPUTED_VALUE"""),400.65)</f>
        <v>400.65</v>
      </c>
      <c r="F1490" s="9">
        <f>IFERROR(__xludf.DUMMYFUNCTION("""COMPUTED_VALUE"""),2794109.0)</f>
        <v>2794109</v>
      </c>
      <c r="H1490" s="27">
        <f>IFERROR(__xludf.DUMMYFUNCTION("""COMPUTED_VALUE"""),40556.645833333336)</f>
        <v>40556.64583</v>
      </c>
      <c r="I1490" s="25">
        <f>IFERROR(__xludf.DUMMYFUNCTION("""COMPUTED_VALUE"""),564.48)</f>
        <v>564.48</v>
      </c>
      <c r="J1490" s="25">
        <f>IFERROR(__xludf.DUMMYFUNCTION("""COMPUTED_VALUE"""),577.98)</f>
        <v>577.98</v>
      </c>
      <c r="K1490" s="25">
        <f>IFERROR(__xludf.DUMMYFUNCTION("""COMPUTED_VALUE"""),558.1)</f>
        <v>558.1</v>
      </c>
      <c r="L1490" s="25">
        <f>IFERROR(__xludf.DUMMYFUNCTION("""COMPUTED_VALUE"""),562.13)</f>
        <v>562.13</v>
      </c>
      <c r="M1490" s="25">
        <f>IFERROR(__xludf.DUMMYFUNCTION("""COMPUTED_VALUE"""),2794599.0)</f>
        <v>2794599</v>
      </c>
    </row>
    <row r="1491">
      <c r="A1491" s="26">
        <f>IFERROR(__xludf.DUMMYFUNCTION("""COMPUTED_VALUE"""),40557.645833333336)</f>
        <v>40557.64583</v>
      </c>
      <c r="B1491" s="9">
        <f>IFERROR(__xludf.DUMMYFUNCTION("""COMPUTED_VALUE"""),398.27)</f>
        <v>398.27</v>
      </c>
      <c r="C1491" s="9">
        <f>IFERROR(__xludf.DUMMYFUNCTION("""COMPUTED_VALUE"""),409.74)</f>
        <v>409.74</v>
      </c>
      <c r="D1491" s="9">
        <f>IFERROR(__xludf.DUMMYFUNCTION("""COMPUTED_VALUE"""),398.13)</f>
        <v>398.13</v>
      </c>
      <c r="E1491" s="9">
        <f>IFERROR(__xludf.DUMMYFUNCTION("""COMPUTED_VALUE"""),400.54)</f>
        <v>400.54</v>
      </c>
      <c r="F1491" s="9">
        <f>IFERROR(__xludf.DUMMYFUNCTION("""COMPUTED_VALUE"""),1290205.0)</f>
        <v>1290205</v>
      </c>
      <c r="H1491" s="27">
        <f>IFERROR(__xludf.DUMMYFUNCTION("""COMPUTED_VALUE"""),40557.645833333336)</f>
        <v>40557.64583</v>
      </c>
      <c r="I1491" s="25">
        <f>IFERROR(__xludf.DUMMYFUNCTION("""COMPUTED_VALUE"""),564.95)</f>
        <v>564.95</v>
      </c>
      <c r="J1491" s="25">
        <f>IFERROR(__xludf.DUMMYFUNCTION("""COMPUTED_VALUE"""),575.0)</f>
        <v>575</v>
      </c>
      <c r="K1491" s="25">
        <f>IFERROR(__xludf.DUMMYFUNCTION("""COMPUTED_VALUE"""),560.0)</f>
        <v>560</v>
      </c>
      <c r="L1491" s="25">
        <f>IFERROR(__xludf.DUMMYFUNCTION("""COMPUTED_VALUE"""),560.08)</f>
        <v>560.08</v>
      </c>
      <c r="M1491" s="25">
        <f>IFERROR(__xludf.DUMMYFUNCTION("""COMPUTED_VALUE"""),1575846.0)</f>
        <v>1575846</v>
      </c>
    </row>
    <row r="1492">
      <c r="A1492" s="26">
        <f>IFERROR(__xludf.DUMMYFUNCTION("""COMPUTED_VALUE"""),40560.645833333336)</f>
        <v>40560.64583</v>
      </c>
      <c r="B1492" s="9">
        <f>IFERROR(__xludf.DUMMYFUNCTION("""COMPUTED_VALUE"""),400.0)</f>
        <v>400</v>
      </c>
      <c r="C1492" s="9">
        <f>IFERROR(__xludf.DUMMYFUNCTION("""COMPUTED_VALUE"""),410.21)</f>
        <v>410.21</v>
      </c>
      <c r="D1492" s="9">
        <f>IFERROR(__xludf.DUMMYFUNCTION("""COMPUTED_VALUE"""),398.91)</f>
        <v>398.91</v>
      </c>
      <c r="E1492" s="9">
        <f>IFERROR(__xludf.DUMMYFUNCTION("""COMPUTED_VALUE"""),408.6)</f>
        <v>408.6</v>
      </c>
      <c r="F1492" s="9">
        <f>IFERROR(__xludf.DUMMYFUNCTION("""COMPUTED_VALUE"""),1027327.0)</f>
        <v>1027327</v>
      </c>
      <c r="H1492" s="27">
        <f>IFERROR(__xludf.DUMMYFUNCTION("""COMPUTED_VALUE"""),40560.645833333336)</f>
        <v>40560.64583</v>
      </c>
      <c r="I1492" s="25">
        <f>IFERROR(__xludf.DUMMYFUNCTION("""COMPUTED_VALUE"""),560.6)</f>
        <v>560.6</v>
      </c>
      <c r="J1492" s="25">
        <f>IFERROR(__xludf.DUMMYFUNCTION("""COMPUTED_VALUE"""),573.28)</f>
        <v>573.28</v>
      </c>
      <c r="K1492" s="25">
        <f>IFERROR(__xludf.DUMMYFUNCTION("""COMPUTED_VALUE"""),560.0)</f>
        <v>560</v>
      </c>
      <c r="L1492" s="25">
        <f>IFERROR(__xludf.DUMMYFUNCTION("""COMPUTED_VALUE"""),568.7)</f>
        <v>568.7</v>
      </c>
      <c r="M1492" s="25">
        <f>IFERROR(__xludf.DUMMYFUNCTION("""COMPUTED_VALUE"""),1500106.0)</f>
        <v>1500106</v>
      </c>
    </row>
    <row r="1493">
      <c r="A1493" s="26">
        <f>IFERROR(__xludf.DUMMYFUNCTION("""COMPUTED_VALUE"""),40561.645833333336)</f>
        <v>40561.64583</v>
      </c>
      <c r="B1493" s="9">
        <f>IFERROR(__xludf.DUMMYFUNCTION("""COMPUTED_VALUE"""),406.25)</f>
        <v>406.25</v>
      </c>
      <c r="C1493" s="9">
        <f>IFERROR(__xludf.DUMMYFUNCTION("""COMPUTED_VALUE"""),416.96)</f>
        <v>416.96</v>
      </c>
      <c r="D1493" s="9">
        <f>IFERROR(__xludf.DUMMYFUNCTION("""COMPUTED_VALUE"""),406.25)</f>
        <v>406.25</v>
      </c>
      <c r="E1493" s="9">
        <f>IFERROR(__xludf.DUMMYFUNCTION("""COMPUTED_VALUE"""),415.38)</f>
        <v>415.38</v>
      </c>
      <c r="F1493" s="9">
        <f>IFERROR(__xludf.DUMMYFUNCTION("""COMPUTED_VALUE"""),1224646.0)</f>
        <v>1224646</v>
      </c>
      <c r="H1493" s="27">
        <f>IFERROR(__xludf.DUMMYFUNCTION("""COMPUTED_VALUE"""),40561.645833333336)</f>
        <v>40561.64583</v>
      </c>
      <c r="I1493" s="25">
        <f>IFERROR(__xludf.DUMMYFUNCTION("""COMPUTED_VALUE"""),587.0)</f>
        <v>587</v>
      </c>
      <c r="J1493" s="25">
        <f>IFERROR(__xludf.DUMMYFUNCTION("""COMPUTED_VALUE"""),604.45)</f>
        <v>604.45</v>
      </c>
      <c r="K1493" s="25">
        <f>IFERROR(__xludf.DUMMYFUNCTION("""COMPUTED_VALUE"""),582.17)</f>
        <v>582.17</v>
      </c>
      <c r="L1493" s="25">
        <f>IFERROR(__xludf.DUMMYFUNCTION("""COMPUTED_VALUE"""),601.28)</f>
        <v>601.28</v>
      </c>
      <c r="M1493" s="25">
        <f>IFERROR(__xludf.DUMMYFUNCTION("""COMPUTED_VALUE"""),4240685.0)</f>
        <v>4240685</v>
      </c>
    </row>
    <row r="1494">
      <c r="A1494" s="26">
        <f>IFERROR(__xludf.DUMMYFUNCTION("""COMPUTED_VALUE"""),40562.645833333336)</f>
        <v>40562.64583</v>
      </c>
      <c r="B1494" s="9">
        <f>IFERROR(__xludf.DUMMYFUNCTION("""COMPUTED_VALUE"""),413.39)</f>
        <v>413.39</v>
      </c>
      <c r="C1494" s="9">
        <f>IFERROR(__xludf.DUMMYFUNCTION("""COMPUTED_VALUE"""),414.25)</f>
        <v>414.25</v>
      </c>
      <c r="D1494" s="9">
        <f>IFERROR(__xludf.DUMMYFUNCTION("""COMPUTED_VALUE"""),404.48)</f>
        <v>404.48</v>
      </c>
      <c r="E1494" s="9">
        <f>IFERROR(__xludf.DUMMYFUNCTION("""COMPUTED_VALUE"""),406.2)</f>
        <v>406.2</v>
      </c>
      <c r="F1494" s="9">
        <f>IFERROR(__xludf.DUMMYFUNCTION("""COMPUTED_VALUE"""),866886.0)</f>
        <v>866886</v>
      </c>
      <c r="H1494" s="27">
        <f>IFERROR(__xludf.DUMMYFUNCTION("""COMPUTED_VALUE"""),40562.645833333336)</f>
        <v>40562.64583</v>
      </c>
      <c r="I1494" s="25">
        <f>IFERROR(__xludf.DUMMYFUNCTION("""COMPUTED_VALUE"""),601.73)</f>
        <v>601.73</v>
      </c>
      <c r="J1494" s="25">
        <f>IFERROR(__xludf.DUMMYFUNCTION("""COMPUTED_VALUE"""),604.5)</f>
        <v>604.5</v>
      </c>
      <c r="K1494" s="25">
        <f>IFERROR(__xludf.DUMMYFUNCTION("""COMPUTED_VALUE"""),592.5)</f>
        <v>592.5</v>
      </c>
      <c r="L1494" s="25">
        <f>IFERROR(__xludf.DUMMYFUNCTION("""COMPUTED_VALUE"""),596.5)</f>
        <v>596.5</v>
      </c>
      <c r="M1494" s="25">
        <f>IFERROR(__xludf.DUMMYFUNCTION("""COMPUTED_VALUE"""),1476020.0)</f>
        <v>1476020</v>
      </c>
    </row>
    <row r="1495">
      <c r="A1495" s="26">
        <f>IFERROR(__xludf.DUMMYFUNCTION("""COMPUTED_VALUE"""),40563.645833333336)</f>
        <v>40563.64583</v>
      </c>
      <c r="B1495" s="9">
        <f>IFERROR(__xludf.DUMMYFUNCTION("""COMPUTED_VALUE"""),404.0)</f>
        <v>404</v>
      </c>
      <c r="C1495" s="9">
        <f>IFERROR(__xludf.DUMMYFUNCTION("""COMPUTED_VALUE"""),413.43)</f>
        <v>413.43</v>
      </c>
      <c r="D1495" s="9">
        <f>IFERROR(__xludf.DUMMYFUNCTION("""COMPUTED_VALUE"""),402.26)</f>
        <v>402.26</v>
      </c>
      <c r="E1495" s="9">
        <f>IFERROR(__xludf.DUMMYFUNCTION("""COMPUTED_VALUE"""),411.99)</f>
        <v>411.99</v>
      </c>
      <c r="F1495" s="9">
        <f>IFERROR(__xludf.DUMMYFUNCTION("""COMPUTED_VALUE"""),903981.0)</f>
        <v>903981</v>
      </c>
      <c r="H1495" s="27">
        <f>IFERROR(__xludf.DUMMYFUNCTION("""COMPUTED_VALUE"""),40563.645833333336)</f>
        <v>40563.64583</v>
      </c>
      <c r="I1495" s="25">
        <f>IFERROR(__xludf.DUMMYFUNCTION("""COMPUTED_VALUE"""),590.0)</f>
        <v>590</v>
      </c>
      <c r="J1495" s="25">
        <f>IFERROR(__xludf.DUMMYFUNCTION("""COMPUTED_VALUE"""),609.38)</f>
        <v>609.38</v>
      </c>
      <c r="K1495" s="25">
        <f>IFERROR(__xludf.DUMMYFUNCTION("""COMPUTED_VALUE"""),590.0)</f>
        <v>590</v>
      </c>
      <c r="L1495" s="25">
        <f>IFERROR(__xludf.DUMMYFUNCTION("""COMPUTED_VALUE"""),606.1)</f>
        <v>606.1</v>
      </c>
      <c r="M1495" s="25">
        <f>IFERROR(__xludf.DUMMYFUNCTION("""COMPUTED_VALUE"""),2272604.0)</f>
        <v>2272604</v>
      </c>
    </row>
    <row r="1496">
      <c r="A1496" s="26">
        <f>IFERROR(__xludf.DUMMYFUNCTION("""COMPUTED_VALUE"""),40564.645833333336)</f>
        <v>40564.64583</v>
      </c>
      <c r="B1496" s="9">
        <f>IFERROR(__xludf.DUMMYFUNCTION("""COMPUTED_VALUE"""),408.88)</f>
        <v>408.88</v>
      </c>
      <c r="C1496" s="9">
        <f>IFERROR(__xludf.DUMMYFUNCTION("""COMPUTED_VALUE"""),409.75)</f>
        <v>409.75</v>
      </c>
      <c r="D1496" s="9">
        <f>IFERROR(__xludf.DUMMYFUNCTION("""COMPUTED_VALUE"""),403.88)</f>
        <v>403.88</v>
      </c>
      <c r="E1496" s="9">
        <f>IFERROR(__xludf.DUMMYFUNCTION("""COMPUTED_VALUE"""),405.48)</f>
        <v>405.48</v>
      </c>
      <c r="F1496" s="9">
        <f>IFERROR(__xludf.DUMMYFUNCTION("""COMPUTED_VALUE"""),578353.0)</f>
        <v>578353</v>
      </c>
      <c r="H1496" s="27">
        <f>IFERROR(__xludf.DUMMYFUNCTION("""COMPUTED_VALUE"""),40564.645833333336)</f>
        <v>40564.64583</v>
      </c>
      <c r="I1496" s="25">
        <f>IFERROR(__xludf.DUMMYFUNCTION("""COMPUTED_VALUE"""),605.0)</f>
        <v>605</v>
      </c>
      <c r="J1496" s="25">
        <f>IFERROR(__xludf.DUMMYFUNCTION("""COMPUTED_VALUE"""),610.0)</f>
        <v>610</v>
      </c>
      <c r="K1496" s="25">
        <f>IFERROR(__xludf.DUMMYFUNCTION("""COMPUTED_VALUE"""),602.0)</f>
        <v>602</v>
      </c>
      <c r="L1496" s="25">
        <f>IFERROR(__xludf.DUMMYFUNCTION("""COMPUTED_VALUE"""),605.83)</f>
        <v>605.83</v>
      </c>
      <c r="M1496" s="25">
        <f>IFERROR(__xludf.DUMMYFUNCTION("""COMPUTED_VALUE"""),1298702.0)</f>
        <v>1298702</v>
      </c>
    </row>
    <row r="1497">
      <c r="A1497" s="26">
        <f>IFERROR(__xludf.DUMMYFUNCTION("""COMPUTED_VALUE"""),40567.645833333336)</f>
        <v>40567.64583</v>
      </c>
      <c r="B1497" s="9">
        <f>IFERROR(__xludf.DUMMYFUNCTION("""COMPUTED_VALUE"""),405.0)</f>
        <v>405</v>
      </c>
      <c r="C1497" s="9">
        <f>IFERROR(__xludf.DUMMYFUNCTION("""COMPUTED_VALUE"""),411.25)</f>
        <v>411.25</v>
      </c>
      <c r="D1497" s="9">
        <f>IFERROR(__xludf.DUMMYFUNCTION("""COMPUTED_VALUE"""),403.41)</f>
        <v>403.41</v>
      </c>
      <c r="E1497" s="9">
        <f>IFERROR(__xludf.DUMMYFUNCTION("""COMPUTED_VALUE"""),410.58)</f>
        <v>410.58</v>
      </c>
      <c r="F1497" s="9">
        <f>IFERROR(__xludf.DUMMYFUNCTION("""COMPUTED_VALUE"""),937670.0)</f>
        <v>937670</v>
      </c>
      <c r="H1497" s="27">
        <f>IFERROR(__xludf.DUMMYFUNCTION("""COMPUTED_VALUE"""),40567.645833333336)</f>
        <v>40567.64583</v>
      </c>
      <c r="I1497" s="25">
        <f>IFERROR(__xludf.DUMMYFUNCTION("""COMPUTED_VALUE"""),600.0)</f>
        <v>600</v>
      </c>
      <c r="J1497" s="25">
        <f>IFERROR(__xludf.DUMMYFUNCTION("""COMPUTED_VALUE"""),610.0)</f>
        <v>610</v>
      </c>
      <c r="K1497" s="25">
        <f>IFERROR(__xludf.DUMMYFUNCTION("""COMPUTED_VALUE"""),599.13)</f>
        <v>599.13</v>
      </c>
      <c r="L1497" s="25">
        <f>IFERROR(__xludf.DUMMYFUNCTION("""COMPUTED_VALUE"""),604.6)</f>
        <v>604.6</v>
      </c>
      <c r="M1497" s="25">
        <f>IFERROR(__xludf.DUMMYFUNCTION("""COMPUTED_VALUE"""),1008339.0)</f>
        <v>1008339</v>
      </c>
    </row>
    <row r="1498">
      <c r="A1498" s="26">
        <f>IFERROR(__xludf.DUMMYFUNCTION("""COMPUTED_VALUE"""),40568.645833333336)</f>
        <v>40568.64583</v>
      </c>
      <c r="B1498" s="9">
        <f>IFERROR(__xludf.DUMMYFUNCTION("""COMPUTED_VALUE"""),408.13)</f>
        <v>408.13</v>
      </c>
      <c r="C1498" s="9">
        <f>IFERROR(__xludf.DUMMYFUNCTION("""COMPUTED_VALUE"""),413.11)</f>
        <v>413.11</v>
      </c>
      <c r="D1498" s="9">
        <f>IFERROR(__xludf.DUMMYFUNCTION("""COMPUTED_VALUE"""),404.51)</f>
        <v>404.51</v>
      </c>
      <c r="E1498" s="9">
        <f>IFERROR(__xludf.DUMMYFUNCTION("""COMPUTED_VALUE"""),407.46)</f>
        <v>407.46</v>
      </c>
      <c r="F1498" s="9">
        <f>IFERROR(__xludf.DUMMYFUNCTION("""COMPUTED_VALUE"""),1240739.0)</f>
        <v>1240739</v>
      </c>
      <c r="H1498" s="27">
        <f>IFERROR(__xludf.DUMMYFUNCTION("""COMPUTED_VALUE"""),40568.645833333336)</f>
        <v>40568.64583</v>
      </c>
      <c r="I1498" s="25">
        <f>IFERROR(__xludf.DUMMYFUNCTION("""COMPUTED_VALUE"""),607.4)</f>
        <v>607.4</v>
      </c>
      <c r="J1498" s="25">
        <f>IFERROR(__xludf.DUMMYFUNCTION("""COMPUTED_VALUE"""),609.65)</f>
        <v>609.65</v>
      </c>
      <c r="K1498" s="25">
        <f>IFERROR(__xludf.DUMMYFUNCTION("""COMPUTED_VALUE"""),590.0)</f>
        <v>590</v>
      </c>
      <c r="L1498" s="25">
        <f>IFERROR(__xludf.DUMMYFUNCTION("""COMPUTED_VALUE"""),594.28)</f>
        <v>594.28</v>
      </c>
      <c r="M1498" s="25">
        <f>IFERROR(__xludf.DUMMYFUNCTION("""COMPUTED_VALUE"""),1233547.0)</f>
        <v>1233547</v>
      </c>
    </row>
    <row r="1499">
      <c r="A1499" s="26">
        <f>IFERROR(__xludf.DUMMYFUNCTION("""COMPUTED_VALUE"""),40570.645833333336)</f>
        <v>40570.64583</v>
      </c>
      <c r="B1499" s="9">
        <f>IFERROR(__xludf.DUMMYFUNCTION("""COMPUTED_VALUE"""),408.63)</f>
        <v>408.63</v>
      </c>
      <c r="C1499" s="9">
        <f>IFERROR(__xludf.DUMMYFUNCTION("""COMPUTED_VALUE"""),408.63)</f>
        <v>408.63</v>
      </c>
      <c r="D1499" s="9">
        <f>IFERROR(__xludf.DUMMYFUNCTION("""COMPUTED_VALUE"""),398.19)</f>
        <v>398.19</v>
      </c>
      <c r="E1499" s="9">
        <f>IFERROR(__xludf.DUMMYFUNCTION("""COMPUTED_VALUE"""),399.61)</f>
        <v>399.61</v>
      </c>
      <c r="F1499" s="9">
        <f>IFERROR(__xludf.DUMMYFUNCTION("""COMPUTED_VALUE"""),1588831.0)</f>
        <v>1588831</v>
      </c>
      <c r="H1499" s="27">
        <f>IFERROR(__xludf.DUMMYFUNCTION("""COMPUTED_VALUE"""),40570.645833333336)</f>
        <v>40570.64583</v>
      </c>
      <c r="I1499" s="25">
        <f>IFERROR(__xludf.DUMMYFUNCTION("""COMPUTED_VALUE"""),593.78)</f>
        <v>593.78</v>
      </c>
      <c r="J1499" s="25">
        <f>IFERROR(__xludf.DUMMYFUNCTION("""COMPUTED_VALUE"""),604.98)</f>
        <v>604.98</v>
      </c>
      <c r="K1499" s="25">
        <f>IFERROR(__xludf.DUMMYFUNCTION("""COMPUTED_VALUE"""),590.8)</f>
        <v>590.8</v>
      </c>
      <c r="L1499" s="25">
        <f>IFERROR(__xludf.DUMMYFUNCTION("""COMPUTED_VALUE"""),599.7)</f>
        <v>599.7</v>
      </c>
      <c r="M1499" s="25">
        <f>IFERROR(__xludf.DUMMYFUNCTION("""COMPUTED_VALUE"""),2357059.0)</f>
        <v>2357059</v>
      </c>
    </row>
    <row r="1500">
      <c r="A1500" s="26">
        <f>IFERROR(__xludf.DUMMYFUNCTION("""COMPUTED_VALUE"""),40571.645833333336)</f>
        <v>40571.64583</v>
      </c>
      <c r="B1500" s="9">
        <f>IFERROR(__xludf.DUMMYFUNCTION("""COMPUTED_VALUE"""),400.73)</f>
        <v>400.73</v>
      </c>
      <c r="C1500" s="9">
        <f>IFERROR(__xludf.DUMMYFUNCTION("""COMPUTED_VALUE"""),408.57)</f>
        <v>408.57</v>
      </c>
      <c r="D1500" s="9">
        <f>IFERROR(__xludf.DUMMYFUNCTION("""COMPUTED_VALUE"""),392.58)</f>
        <v>392.58</v>
      </c>
      <c r="E1500" s="9">
        <f>IFERROR(__xludf.DUMMYFUNCTION("""COMPUTED_VALUE"""),396.02)</f>
        <v>396.02</v>
      </c>
      <c r="F1500" s="9">
        <f>IFERROR(__xludf.DUMMYFUNCTION("""COMPUTED_VALUE"""),1585537.0)</f>
        <v>1585537</v>
      </c>
      <c r="H1500" s="27">
        <f>IFERROR(__xludf.DUMMYFUNCTION("""COMPUTED_VALUE"""),40571.645833333336)</f>
        <v>40571.64583</v>
      </c>
      <c r="I1500" s="25">
        <f>IFERROR(__xludf.DUMMYFUNCTION("""COMPUTED_VALUE"""),597.5)</f>
        <v>597.5</v>
      </c>
      <c r="J1500" s="25">
        <f>IFERROR(__xludf.DUMMYFUNCTION("""COMPUTED_VALUE"""),601.8)</f>
        <v>601.8</v>
      </c>
      <c r="K1500" s="25">
        <f>IFERROR(__xludf.DUMMYFUNCTION("""COMPUTED_VALUE"""),582.63)</f>
        <v>582.63</v>
      </c>
      <c r="L1500" s="25">
        <f>IFERROR(__xludf.DUMMYFUNCTION("""COMPUTED_VALUE"""),590.67)</f>
        <v>590.67</v>
      </c>
      <c r="M1500" s="25">
        <f>IFERROR(__xludf.DUMMYFUNCTION("""COMPUTED_VALUE"""),1507289.0)</f>
        <v>1507289</v>
      </c>
    </row>
    <row r="1501">
      <c r="A1501" s="26">
        <f>IFERROR(__xludf.DUMMYFUNCTION("""COMPUTED_VALUE"""),40574.645833333336)</f>
        <v>40574.64583</v>
      </c>
      <c r="B1501" s="9">
        <f>IFERROR(__xludf.DUMMYFUNCTION("""COMPUTED_VALUE"""),392.31)</f>
        <v>392.31</v>
      </c>
      <c r="C1501" s="9">
        <f>IFERROR(__xludf.DUMMYFUNCTION("""COMPUTED_VALUE"""),392.31)</f>
        <v>392.31</v>
      </c>
      <c r="D1501" s="9">
        <f>IFERROR(__xludf.DUMMYFUNCTION("""COMPUTED_VALUE"""),385.78)</f>
        <v>385.78</v>
      </c>
      <c r="E1501" s="9">
        <f>IFERROR(__xludf.DUMMYFUNCTION("""COMPUTED_VALUE"""),389.71)</f>
        <v>389.71</v>
      </c>
      <c r="F1501" s="9">
        <f>IFERROR(__xludf.DUMMYFUNCTION("""COMPUTED_VALUE"""),968671.0)</f>
        <v>968671</v>
      </c>
      <c r="H1501" s="27">
        <f>IFERROR(__xludf.DUMMYFUNCTION("""COMPUTED_VALUE"""),40574.645833333336)</f>
        <v>40574.64583</v>
      </c>
      <c r="I1501" s="25">
        <f>IFERROR(__xludf.DUMMYFUNCTION("""COMPUTED_VALUE"""),584.5)</f>
        <v>584.5</v>
      </c>
      <c r="J1501" s="25">
        <f>IFERROR(__xludf.DUMMYFUNCTION("""COMPUTED_VALUE"""),584.5)</f>
        <v>584.5</v>
      </c>
      <c r="K1501" s="25">
        <f>IFERROR(__xludf.DUMMYFUNCTION("""COMPUTED_VALUE"""),564.28)</f>
        <v>564.28</v>
      </c>
      <c r="L1501" s="25">
        <f>IFERROR(__xludf.DUMMYFUNCTION("""COMPUTED_VALUE"""),579.75)</f>
        <v>579.75</v>
      </c>
      <c r="M1501" s="25">
        <f>IFERROR(__xludf.DUMMYFUNCTION("""COMPUTED_VALUE"""),2970408.0)</f>
        <v>2970408</v>
      </c>
    </row>
    <row r="1502">
      <c r="A1502" s="26">
        <f>IFERROR(__xludf.DUMMYFUNCTION("""COMPUTED_VALUE"""),40575.645833333336)</f>
        <v>40575.64583</v>
      </c>
      <c r="B1502" s="9">
        <f>IFERROR(__xludf.DUMMYFUNCTION("""COMPUTED_VALUE"""),390.79)</f>
        <v>390.79</v>
      </c>
      <c r="C1502" s="9">
        <f>IFERROR(__xludf.DUMMYFUNCTION("""COMPUTED_VALUE"""),391.05)</f>
        <v>391.05</v>
      </c>
      <c r="D1502" s="9">
        <f>IFERROR(__xludf.DUMMYFUNCTION("""COMPUTED_VALUE"""),380.39)</f>
        <v>380.39</v>
      </c>
      <c r="E1502" s="9">
        <f>IFERROR(__xludf.DUMMYFUNCTION("""COMPUTED_VALUE"""),386.15)</f>
        <v>386.15</v>
      </c>
      <c r="F1502" s="9">
        <f>IFERROR(__xludf.DUMMYFUNCTION("""COMPUTED_VALUE"""),1287711.0)</f>
        <v>1287711</v>
      </c>
      <c r="H1502" s="27">
        <f>IFERROR(__xludf.DUMMYFUNCTION("""COMPUTED_VALUE"""),40575.645833333336)</f>
        <v>40575.64583</v>
      </c>
      <c r="I1502" s="25">
        <f>IFERROR(__xludf.DUMMYFUNCTION("""COMPUTED_VALUE"""),582.5)</f>
        <v>582.5</v>
      </c>
      <c r="J1502" s="25">
        <f>IFERROR(__xludf.DUMMYFUNCTION("""COMPUTED_VALUE"""),582.5)</f>
        <v>582.5</v>
      </c>
      <c r="K1502" s="25">
        <f>IFERROR(__xludf.DUMMYFUNCTION("""COMPUTED_VALUE"""),566.5)</f>
        <v>566.5</v>
      </c>
      <c r="L1502" s="25">
        <f>IFERROR(__xludf.DUMMYFUNCTION("""COMPUTED_VALUE"""),575.08)</f>
        <v>575.08</v>
      </c>
      <c r="M1502" s="25">
        <f>IFERROR(__xludf.DUMMYFUNCTION("""COMPUTED_VALUE"""),2106354.0)</f>
        <v>2106354</v>
      </c>
    </row>
    <row r="1503">
      <c r="A1503" s="26">
        <f>IFERROR(__xludf.DUMMYFUNCTION("""COMPUTED_VALUE"""),40576.645833333336)</f>
        <v>40576.64583</v>
      </c>
      <c r="B1503" s="9">
        <f>IFERROR(__xludf.DUMMYFUNCTION("""COMPUTED_VALUE"""),389.13)</f>
        <v>389.13</v>
      </c>
      <c r="C1503" s="9">
        <f>IFERROR(__xludf.DUMMYFUNCTION("""COMPUTED_VALUE"""),395.5)</f>
        <v>395.5</v>
      </c>
      <c r="D1503" s="9">
        <f>IFERROR(__xludf.DUMMYFUNCTION("""COMPUTED_VALUE"""),383.13)</f>
        <v>383.13</v>
      </c>
      <c r="E1503" s="9">
        <f>IFERROR(__xludf.DUMMYFUNCTION("""COMPUTED_VALUE"""),386.16)</f>
        <v>386.16</v>
      </c>
      <c r="F1503" s="9">
        <f>IFERROR(__xludf.DUMMYFUNCTION("""COMPUTED_VALUE"""),1146841.0)</f>
        <v>1146841</v>
      </c>
      <c r="H1503" s="27">
        <f>IFERROR(__xludf.DUMMYFUNCTION("""COMPUTED_VALUE"""),40576.645833333336)</f>
        <v>40576.64583</v>
      </c>
      <c r="I1503" s="25">
        <f>IFERROR(__xludf.DUMMYFUNCTION("""COMPUTED_VALUE"""),585.0)</f>
        <v>585</v>
      </c>
      <c r="J1503" s="25">
        <f>IFERROR(__xludf.DUMMYFUNCTION("""COMPUTED_VALUE"""),599.45)</f>
        <v>599.45</v>
      </c>
      <c r="K1503" s="25">
        <f>IFERROR(__xludf.DUMMYFUNCTION("""COMPUTED_VALUE"""),581.17)</f>
        <v>581.17</v>
      </c>
      <c r="L1503" s="25">
        <f>IFERROR(__xludf.DUMMYFUNCTION("""COMPUTED_VALUE"""),591.23)</f>
        <v>591.23</v>
      </c>
      <c r="M1503" s="25">
        <f>IFERROR(__xludf.DUMMYFUNCTION("""COMPUTED_VALUE"""),1968809.0)</f>
        <v>1968809</v>
      </c>
    </row>
    <row r="1504">
      <c r="A1504" s="26">
        <f>IFERROR(__xludf.DUMMYFUNCTION("""COMPUTED_VALUE"""),40577.645833333336)</f>
        <v>40577.64583</v>
      </c>
      <c r="B1504" s="9">
        <f>IFERROR(__xludf.DUMMYFUNCTION("""COMPUTED_VALUE"""),387.68)</f>
        <v>387.68</v>
      </c>
      <c r="C1504" s="9">
        <f>IFERROR(__xludf.DUMMYFUNCTION("""COMPUTED_VALUE"""),394.13)</f>
        <v>394.13</v>
      </c>
      <c r="D1504" s="9">
        <f>IFERROR(__xludf.DUMMYFUNCTION("""COMPUTED_VALUE"""),385.78)</f>
        <v>385.78</v>
      </c>
      <c r="E1504" s="9">
        <f>IFERROR(__xludf.DUMMYFUNCTION("""COMPUTED_VALUE"""),389.7)</f>
        <v>389.7</v>
      </c>
      <c r="F1504" s="9">
        <f>IFERROR(__xludf.DUMMYFUNCTION("""COMPUTED_VALUE"""),756176.0)</f>
        <v>756176</v>
      </c>
      <c r="H1504" s="27">
        <f>IFERROR(__xludf.DUMMYFUNCTION("""COMPUTED_VALUE"""),40577.645833333336)</f>
        <v>40577.64583</v>
      </c>
      <c r="I1504" s="25">
        <f>IFERROR(__xludf.DUMMYFUNCTION("""COMPUTED_VALUE"""),592.35)</f>
        <v>592.35</v>
      </c>
      <c r="J1504" s="25">
        <f>IFERROR(__xludf.DUMMYFUNCTION("""COMPUTED_VALUE"""),597.85)</f>
        <v>597.85</v>
      </c>
      <c r="K1504" s="25">
        <f>IFERROR(__xludf.DUMMYFUNCTION("""COMPUTED_VALUE"""),585.33)</f>
        <v>585.33</v>
      </c>
      <c r="L1504" s="25">
        <f>IFERROR(__xludf.DUMMYFUNCTION("""COMPUTED_VALUE"""),591.85)</f>
        <v>591.85</v>
      </c>
      <c r="M1504" s="25">
        <f>IFERROR(__xludf.DUMMYFUNCTION("""COMPUTED_VALUE"""),941706.0)</f>
        <v>941706</v>
      </c>
    </row>
    <row r="1505">
      <c r="A1505" s="26">
        <f>IFERROR(__xludf.DUMMYFUNCTION("""COMPUTED_VALUE"""),40578.645833333336)</f>
        <v>40578.64583</v>
      </c>
      <c r="B1505" s="9">
        <f>IFERROR(__xludf.DUMMYFUNCTION("""COMPUTED_VALUE"""),387.38)</f>
        <v>387.38</v>
      </c>
      <c r="C1505" s="9">
        <f>IFERROR(__xludf.DUMMYFUNCTION("""COMPUTED_VALUE"""),390.46)</f>
        <v>390.46</v>
      </c>
      <c r="D1505" s="9">
        <f>IFERROR(__xludf.DUMMYFUNCTION("""COMPUTED_VALUE"""),378.3)</f>
        <v>378.3</v>
      </c>
      <c r="E1505" s="9">
        <f>IFERROR(__xludf.DUMMYFUNCTION("""COMPUTED_VALUE"""),380.99)</f>
        <v>380.99</v>
      </c>
      <c r="F1505" s="9">
        <f>IFERROR(__xludf.DUMMYFUNCTION("""COMPUTED_VALUE"""),869985.0)</f>
        <v>869985</v>
      </c>
      <c r="H1505" s="27">
        <f>IFERROR(__xludf.DUMMYFUNCTION("""COMPUTED_VALUE"""),40578.645833333336)</f>
        <v>40578.64583</v>
      </c>
      <c r="I1505" s="25">
        <f>IFERROR(__xludf.DUMMYFUNCTION("""COMPUTED_VALUE"""),588.0)</f>
        <v>588</v>
      </c>
      <c r="J1505" s="25">
        <f>IFERROR(__xludf.DUMMYFUNCTION("""COMPUTED_VALUE"""),591.55)</f>
        <v>591.55</v>
      </c>
      <c r="K1505" s="25">
        <f>IFERROR(__xludf.DUMMYFUNCTION("""COMPUTED_VALUE"""),570.13)</f>
        <v>570.13</v>
      </c>
      <c r="L1505" s="25">
        <f>IFERROR(__xludf.DUMMYFUNCTION("""COMPUTED_VALUE"""),574.4)</f>
        <v>574.4</v>
      </c>
      <c r="M1505" s="25">
        <f>IFERROR(__xludf.DUMMYFUNCTION("""COMPUTED_VALUE"""),1728800.0)</f>
        <v>1728800</v>
      </c>
    </row>
    <row r="1506">
      <c r="A1506" s="26">
        <f>IFERROR(__xludf.DUMMYFUNCTION("""COMPUTED_VALUE"""),40581.645833333336)</f>
        <v>40581.64583</v>
      </c>
      <c r="B1506" s="9">
        <f>IFERROR(__xludf.DUMMYFUNCTION("""COMPUTED_VALUE"""),384.36)</f>
        <v>384.36</v>
      </c>
      <c r="C1506" s="9">
        <f>IFERROR(__xludf.DUMMYFUNCTION("""COMPUTED_VALUE"""),389.24)</f>
        <v>389.24</v>
      </c>
      <c r="D1506" s="9">
        <f>IFERROR(__xludf.DUMMYFUNCTION("""COMPUTED_VALUE"""),382.63)</f>
        <v>382.63</v>
      </c>
      <c r="E1506" s="9">
        <f>IFERROR(__xludf.DUMMYFUNCTION("""COMPUTED_VALUE"""),385.93)</f>
        <v>385.93</v>
      </c>
      <c r="F1506" s="9">
        <f>IFERROR(__xludf.DUMMYFUNCTION("""COMPUTED_VALUE"""),917641.0)</f>
        <v>917641</v>
      </c>
      <c r="H1506" s="27">
        <f>IFERROR(__xludf.DUMMYFUNCTION("""COMPUTED_VALUE"""),40581.645833333336)</f>
        <v>40581.64583</v>
      </c>
      <c r="I1506" s="25">
        <f>IFERROR(__xludf.DUMMYFUNCTION("""COMPUTED_VALUE"""),586.75)</f>
        <v>586.75</v>
      </c>
      <c r="J1506" s="25">
        <f>IFERROR(__xludf.DUMMYFUNCTION("""COMPUTED_VALUE"""),586.75)</f>
        <v>586.75</v>
      </c>
      <c r="K1506" s="25">
        <f>IFERROR(__xludf.DUMMYFUNCTION("""COMPUTED_VALUE"""),563.25)</f>
        <v>563.25</v>
      </c>
      <c r="L1506" s="25">
        <f>IFERROR(__xludf.DUMMYFUNCTION("""COMPUTED_VALUE"""),565.58)</f>
        <v>565.58</v>
      </c>
      <c r="M1506" s="25">
        <f>IFERROR(__xludf.DUMMYFUNCTION("""COMPUTED_VALUE"""),1289191.0)</f>
        <v>1289191</v>
      </c>
    </row>
    <row r="1507">
      <c r="A1507" s="26">
        <f>IFERROR(__xludf.DUMMYFUNCTION("""COMPUTED_VALUE"""),40582.645833333336)</f>
        <v>40582.64583</v>
      </c>
      <c r="B1507" s="9">
        <f>IFERROR(__xludf.DUMMYFUNCTION("""COMPUTED_VALUE"""),387.5)</f>
        <v>387.5</v>
      </c>
      <c r="C1507" s="9">
        <f>IFERROR(__xludf.DUMMYFUNCTION("""COMPUTED_VALUE"""),390.0)</f>
        <v>390</v>
      </c>
      <c r="D1507" s="9">
        <f>IFERROR(__xludf.DUMMYFUNCTION("""COMPUTED_VALUE"""),384.0)</f>
        <v>384</v>
      </c>
      <c r="E1507" s="9">
        <f>IFERROR(__xludf.DUMMYFUNCTION("""COMPUTED_VALUE"""),387.08)</f>
        <v>387.08</v>
      </c>
      <c r="F1507" s="9">
        <f>IFERROR(__xludf.DUMMYFUNCTION("""COMPUTED_VALUE"""),752999.0)</f>
        <v>752999</v>
      </c>
      <c r="H1507" s="27">
        <f>IFERROR(__xludf.DUMMYFUNCTION("""COMPUTED_VALUE"""),40582.645833333336)</f>
        <v>40582.64583</v>
      </c>
      <c r="I1507" s="25">
        <f>IFERROR(__xludf.DUMMYFUNCTION("""COMPUTED_VALUE"""),566.0)</f>
        <v>566</v>
      </c>
      <c r="J1507" s="25">
        <f>IFERROR(__xludf.DUMMYFUNCTION("""COMPUTED_VALUE"""),574.95)</f>
        <v>574.95</v>
      </c>
      <c r="K1507" s="25">
        <f>IFERROR(__xludf.DUMMYFUNCTION("""COMPUTED_VALUE"""),559.25)</f>
        <v>559.25</v>
      </c>
      <c r="L1507" s="25">
        <f>IFERROR(__xludf.DUMMYFUNCTION("""COMPUTED_VALUE"""),562.55)</f>
        <v>562.55</v>
      </c>
      <c r="M1507" s="25">
        <f>IFERROR(__xludf.DUMMYFUNCTION("""COMPUTED_VALUE"""),2644319.0)</f>
        <v>2644319</v>
      </c>
    </row>
    <row r="1508">
      <c r="A1508" s="26">
        <f>IFERROR(__xludf.DUMMYFUNCTION("""COMPUTED_VALUE"""),40583.645833333336)</f>
        <v>40583.64583</v>
      </c>
      <c r="B1508" s="9">
        <f>IFERROR(__xludf.DUMMYFUNCTION("""COMPUTED_VALUE"""),385.63)</f>
        <v>385.63</v>
      </c>
      <c r="C1508" s="9">
        <f>IFERROR(__xludf.DUMMYFUNCTION("""COMPUTED_VALUE"""),394.96)</f>
        <v>394.96</v>
      </c>
      <c r="D1508" s="9">
        <f>IFERROR(__xludf.DUMMYFUNCTION("""COMPUTED_VALUE"""),383.49)</f>
        <v>383.49</v>
      </c>
      <c r="E1508" s="9">
        <f>IFERROR(__xludf.DUMMYFUNCTION("""COMPUTED_VALUE"""),391.34)</f>
        <v>391.34</v>
      </c>
      <c r="F1508" s="9">
        <f>IFERROR(__xludf.DUMMYFUNCTION("""COMPUTED_VALUE"""),938018.0)</f>
        <v>938018</v>
      </c>
      <c r="H1508" s="27">
        <f>IFERROR(__xludf.DUMMYFUNCTION("""COMPUTED_VALUE"""),40583.645833333336)</f>
        <v>40583.64583</v>
      </c>
      <c r="I1508" s="25">
        <f>IFERROR(__xludf.DUMMYFUNCTION("""COMPUTED_VALUE"""),561.25)</f>
        <v>561.25</v>
      </c>
      <c r="J1508" s="25">
        <f>IFERROR(__xludf.DUMMYFUNCTION("""COMPUTED_VALUE"""),564.8)</f>
        <v>564.8</v>
      </c>
      <c r="K1508" s="25">
        <f>IFERROR(__xludf.DUMMYFUNCTION("""COMPUTED_VALUE"""),541.85)</f>
        <v>541.85</v>
      </c>
      <c r="L1508" s="25">
        <f>IFERROR(__xludf.DUMMYFUNCTION("""COMPUTED_VALUE"""),549.15)</f>
        <v>549.15</v>
      </c>
      <c r="M1508" s="25">
        <f>IFERROR(__xludf.DUMMYFUNCTION("""COMPUTED_VALUE"""),3006366.0)</f>
        <v>3006366</v>
      </c>
    </row>
    <row r="1509">
      <c r="A1509" s="26">
        <f>IFERROR(__xludf.DUMMYFUNCTION("""COMPUTED_VALUE"""),40584.645833333336)</f>
        <v>40584.64583</v>
      </c>
      <c r="B1509" s="9">
        <f>IFERROR(__xludf.DUMMYFUNCTION("""COMPUTED_VALUE"""),388.21)</f>
        <v>388.21</v>
      </c>
      <c r="C1509" s="9">
        <f>IFERROR(__xludf.DUMMYFUNCTION("""COMPUTED_VALUE"""),389.25)</f>
        <v>389.25</v>
      </c>
      <c r="D1509" s="9">
        <f>IFERROR(__xludf.DUMMYFUNCTION("""COMPUTED_VALUE"""),380.13)</f>
        <v>380.13</v>
      </c>
      <c r="E1509" s="9">
        <f>IFERROR(__xludf.DUMMYFUNCTION("""COMPUTED_VALUE"""),381.65)</f>
        <v>381.65</v>
      </c>
      <c r="F1509" s="9">
        <f>IFERROR(__xludf.DUMMYFUNCTION("""COMPUTED_VALUE"""),1031519.0)</f>
        <v>1031519</v>
      </c>
      <c r="H1509" s="27">
        <f>IFERROR(__xludf.DUMMYFUNCTION("""COMPUTED_VALUE"""),40584.645833333336)</f>
        <v>40584.64583</v>
      </c>
      <c r="I1509" s="25">
        <f>IFERROR(__xludf.DUMMYFUNCTION("""COMPUTED_VALUE"""),550.0)</f>
        <v>550</v>
      </c>
      <c r="J1509" s="25">
        <f>IFERROR(__xludf.DUMMYFUNCTION("""COMPUTED_VALUE"""),557.25)</f>
        <v>557.25</v>
      </c>
      <c r="K1509" s="25">
        <f>IFERROR(__xludf.DUMMYFUNCTION("""COMPUTED_VALUE"""),536.0)</f>
        <v>536</v>
      </c>
      <c r="L1509" s="25">
        <f>IFERROR(__xludf.DUMMYFUNCTION("""COMPUTED_VALUE"""),545.38)</f>
        <v>545.38</v>
      </c>
      <c r="M1509" s="25">
        <f>IFERROR(__xludf.DUMMYFUNCTION("""COMPUTED_VALUE"""),2275911.0)</f>
        <v>2275911</v>
      </c>
    </row>
    <row r="1510">
      <c r="A1510" s="26">
        <f>IFERROR(__xludf.DUMMYFUNCTION("""COMPUTED_VALUE"""),40585.645833333336)</f>
        <v>40585.64583</v>
      </c>
      <c r="B1510" s="9">
        <f>IFERROR(__xludf.DUMMYFUNCTION("""COMPUTED_VALUE"""),378.78)</f>
        <v>378.78</v>
      </c>
      <c r="C1510" s="9">
        <f>IFERROR(__xludf.DUMMYFUNCTION("""COMPUTED_VALUE"""),383.59)</f>
        <v>383.59</v>
      </c>
      <c r="D1510" s="9">
        <f>IFERROR(__xludf.DUMMYFUNCTION("""COMPUTED_VALUE"""),377.54)</f>
        <v>377.54</v>
      </c>
      <c r="E1510" s="9">
        <f>IFERROR(__xludf.DUMMYFUNCTION("""COMPUTED_VALUE"""),380.11)</f>
        <v>380.11</v>
      </c>
      <c r="F1510" s="9">
        <f>IFERROR(__xludf.DUMMYFUNCTION("""COMPUTED_VALUE"""),1401769.0)</f>
        <v>1401769</v>
      </c>
      <c r="H1510" s="27">
        <f>IFERROR(__xludf.DUMMYFUNCTION("""COMPUTED_VALUE"""),40585.645833333336)</f>
        <v>40585.64583</v>
      </c>
      <c r="I1510" s="25">
        <f>IFERROR(__xludf.DUMMYFUNCTION("""COMPUTED_VALUE"""),542.05)</f>
        <v>542.05</v>
      </c>
      <c r="J1510" s="25">
        <f>IFERROR(__xludf.DUMMYFUNCTION("""COMPUTED_VALUE"""),552.1)</f>
        <v>552.1</v>
      </c>
      <c r="K1510" s="25">
        <f>IFERROR(__xludf.DUMMYFUNCTION("""COMPUTED_VALUE"""),527.95)</f>
        <v>527.95</v>
      </c>
      <c r="L1510" s="25">
        <f>IFERROR(__xludf.DUMMYFUNCTION("""COMPUTED_VALUE"""),544.8)</f>
        <v>544.8</v>
      </c>
      <c r="M1510" s="25">
        <f>IFERROR(__xludf.DUMMYFUNCTION("""COMPUTED_VALUE"""),1472528.0)</f>
        <v>1472528</v>
      </c>
    </row>
    <row r="1511">
      <c r="A1511" s="26">
        <f>IFERROR(__xludf.DUMMYFUNCTION("""COMPUTED_VALUE"""),40588.645833333336)</f>
        <v>40588.64583</v>
      </c>
      <c r="B1511" s="9">
        <f>IFERROR(__xludf.DUMMYFUNCTION("""COMPUTED_VALUE"""),380.5)</f>
        <v>380.5</v>
      </c>
      <c r="C1511" s="9">
        <f>IFERROR(__xludf.DUMMYFUNCTION("""COMPUTED_VALUE"""),389.79)</f>
        <v>389.79</v>
      </c>
      <c r="D1511" s="9">
        <f>IFERROR(__xludf.DUMMYFUNCTION("""COMPUTED_VALUE"""),380.06)</f>
        <v>380.06</v>
      </c>
      <c r="E1511" s="9">
        <f>IFERROR(__xludf.DUMMYFUNCTION("""COMPUTED_VALUE"""),388.07)</f>
        <v>388.07</v>
      </c>
      <c r="F1511" s="9">
        <f>IFERROR(__xludf.DUMMYFUNCTION("""COMPUTED_VALUE"""),872381.0)</f>
        <v>872381</v>
      </c>
      <c r="H1511" s="27">
        <f>IFERROR(__xludf.DUMMYFUNCTION("""COMPUTED_VALUE"""),40588.645833333336)</f>
        <v>40588.64583</v>
      </c>
      <c r="I1511" s="25">
        <f>IFERROR(__xludf.DUMMYFUNCTION("""COMPUTED_VALUE"""),545.5)</f>
        <v>545.5</v>
      </c>
      <c r="J1511" s="25">
        <f>IFERROR(__xludf.DUMMYFUNCTION("""COMPUTED_VALUE"""),560.0)</f>
        <v>560</v>
      </c>
      <c r="K1511" s="25">
        <f>IFERROR(__xludf.DUMMYFUNCTION("""COMPUTED_VALUE"""),543.5)</f>
        <v>543.5</v>
      </c>
      <c r="L1511" s="25">
        <f>IFERROR(__xludf.DUMMYFUNCTION("""COMPUTED_VALUE"""),556.15)</f>
        <v>556.15</v>
      </c>
      <c r="M1511" s="25">
        <f>IFERROR(__xludf.DUMMYFUNCTION("""COMPUTED_VALUE"""),1231274.0)</f>
        <v>1231274</v>
      </c>
    </row>
    <row r="1512">
      <c r="A1512" s="26">
        <f>IFERROR(__xludf.DUMMYFUNCTION("""COMPUTED_VALUE"""),40589.645833333336)</f>
        <v>40589.64583</v>
      </c>
      <c r="B1512" s="9">
        <f>IFERROR(__xludf.DUMMYFUNCTION("""COMPUTED_VALUE"""),387.5)</f>
        <v>387.5</v>
      </c>
      <c r="C1512" s="9">
        <f>IFERROR(__xludf.DUMMYFUNCTION("""COMPUTED_VALUE"""),391.13)</f>
        <v>391.13</v>
      </c>
      <c r="D1512" s="9">
        <f>IFERROR(__xludf.DUMMYFUNCTION("""COMPUTED_VALUE"""),384.27)</f>
        <v>384.27</v>
      </c>
      <c r="E1512" s="9">
        <f>IFERROR(__xludf.DUMMYFUNCTION("""COMPUTED_VALUE"""),388.32)</f>
        <v>388.32</v>
      </c>
      <c r="F1512" s="9">
        <f>IFERROR(__xludf.DUMMYFUNCTION("""COMPUTED_VALUE"""),574994.0)</f>
        <v>574994</v>
      </c>
      <c r="H1512" s="27">
        <f>IFERROR(__xludf.DUMMYFUNCTION("""COMPUTED_VALUE"""),40589.645833333336)</f>
        <v>40589.64583</v>
      </c>
      <c r="I1512" s="25">
        <f>IFERROR(__xludf.DUMMYFUNCTION("""COMPUTED_VALUE"""),559.5)</f>
        <v>559.5</v>
      </c>
      <c r="J1512" s="25">
        <f>IFERROR(__xludf.DUMMYFUNCTION("""COMPUTED_VALUE"""),559.5)</f>
        <v>559.5</v>
      </c>
      <c r="K1512" s="25">
        <f>IFERROR(__xludf.DUMMYFUNCTION("""COMPUTED_VALUE"""),538.28)</f>
        <v>538.28</v>
      </c>
      <c r="L1512" s="25">
        <f>IFERROR(__xludf.DUMMYFUNCTION("""COMPUTED_VALUE"""),548.85)</f>
        <v>548.85</v>
      </c>
      <c r="M1512" s="25">
        <f>IFERROR(__xludf.DUMMYFUNCTION("""COMPUTED_VALUE"""),1812713.0)</f>
        <v>1812713</v>
      </c>
    </row>
    <row r="1513">
      <c r="A1513" s="26">
        <f>IFERROR(__xludf.DUMMYFUNCTION("""COMPUTED_VALUE"""),40590.645833333336)</f>
        <v>40590.64583</v>
      </c>
      <c r="B1513" s="9">
        <f>IFERROR(__xludf.DUMMYFUNCTION("""COMPUTED_VALUE"""),385.28)</f>
        <v>385.28</v>
      </c>
      <c r="C1513" s="9">
        <f>IFERROR(__xludf.DUMMYFUNCTION("""COMPUTED_VALUE"""),390.46)</f>
        <v>390.46</v>
      </c>
      <c r="D1513" s="9">
        <f>IFERROR(__xludf.DUMMYFUNCTION("""COMPUTED_VALUE"""),385.14)</f>
        <v>385.14</v>
      </c>
      <c r="E1513" s="9">
        <f>IFERROR(__xludf.DUMMYFUNCTION("""COMPUTED_VALUE"""),387.88)</f>
        <v>387.88</v>
      </c>
      <c r="F1513" s="9">
        <f>IFERROR(__xludf.DUMMYFUNCTION("""COMPUTED_VALUE"""),365048.0)</f>
        <v>365048</v>
      </c>
      <c r="H1513" s="27">
        <f>IFERROR(__xludf.DUMMYFUNCTION("""COMPUTED_VALUE"""),40590.645833333336)</f>
        <v>40590.64583</v>
      </c>
      <c r="I1513" s="25">
        <f>IFERROR(__xludf.DUMMYFUNCTION("""COMPUTED_VALUE"""),552.5)</f>
        <v>552.5</v>
      </c>
      <c r="J1513" s="25">
        <f>IFERROR(__xludf.DUMMYFUNCTION("""COMPUTED_VALUE"""),554.85)</f>
        <v>554.85</v>
      </c>
      <c r="K1513" s="25">
        <f>IFERROR(__xludf.DUMMYFUNCTION("""COMPUTED_VALUE"""),540.5)</f>
        <v>540.5</v>
      </c>
      <c r="L1513" s="25">
        <f>IFERROR(__xludf.DUMMYFUNCTION("""COMPUTED_VALUE"""),548.25)</f>
        <v>548.25</v>
      </c>
      <c r="M1513" s="25">
        <f>IFERROR(__xludf.DUMMYFUNCTION("""COMPUTED_VALUE"""),1232296.0)</f>
        <v>1232296</v>
      </c>
    </row>
    <row r="1514">
      <c r="A1514" s="26">
        <f>IFERROR(__xludf.DUMMYFUNCTION("""COMPUTED_VALUE"""),40591.645833333336)</f>
        <v>40591.64583</v>
      </c>
      <c r="B1514" s="9">
        <f>IFERROR(__xludf.DUMMYFUNCTION("""COMPUTED_VALUE"""),389.81)</f>
        <v>389.81</v>
      </c>
      <c r="C1514" s="9">
        <f>IFERROR(__xludf.DUMMYFUNCTION("""COMPUTED_VALUE"""),391.0)</f>
        <v>391</v>
      </c>
      <c r="D1514" s="9">
        <f>IFERROR(__xludf.DUMMYFUNCTION("""COMPUTED_VALUE"""),387.78)</f>
        <v>387.78</v>
      </c>
      <c r="E1514" s="9">
        <f>IFERROR(__xludf.DUMMYFUNCTION("""COMPUTED_VALUE"""),389.17)</f>
        <v>389.17</v>
      </c>
      <c r="F1514" s="9">
        <f>IFERROR(__xludf.DUMMYFUNCTION("""COMPUTED_VALUE"""),424123.0)</f>
        <v>424123</v>
      </c>
      <c r="H1514" s="27">
        <f>IFERROR(__xludf.DUMMYFUNCTION("""COMPUTED_VALUE"""),40591.645833333336)</f>
        <v>40591.64583</v>
      </c>
      <c r="I1514" s="25">
        <f>IFERROR(__xludf.DUMMYFUNCTION("""COMPUTED_VALUE"""),552.5)</f>
        <v>552.5</v>
      </c>
      <c r="J1514" s="25">
        <f>IFERROR(__xludf.DUMMYFUNCTION("""COMPUTED_VALUE"""),557.23)</f>
        <v>557.23</v>
      </c>
      <c r="K1514" s="25">
        <f>IFERROR(__xludf.DUMMYFUNCTION("""COMPUTED_VALUE"""),546.2)</f>
        <v>546.2</v>
      </c>
      <c r="L1514" s="25">
        <f>IFERROR(__xludf.DUMMYFUNCTION("""COMPUTED_VALUE"""),554.6)</f>
        <v>554.6</v>
      </c>
      <c r="M1514" s="25">
        <f>IFERROR(__xludf.DUMMYFUNCTION("""COMPUTED_VALUE"""),738880.0)</f>
        <v>738880</v>
      </c>
    </row>
    <row r="1515">
      <c r="A1515" s="26">
        <f>IFERROR(__xludf.DUMMYFUNCTION("""COMPUTED_VALUE"""),40592.645833333336)</f>
        <v>40592.64583</v>
      </c>
      <c r="B1515" s="9">
        <f>IFERROR(__xludf.DUMMYFUNCTION("""COMPUTED_VALUE"""),390.63)</f>
        <v>390.63</v>
      </c>
      <c r="C1515" s="9">
        <f>IFERROR(__xludf.DUMMYFUNCTION("""COMPUTED_VALUE"""),393.13)</f>
        <v>393.13</v>
      </c>
      <c r="D1515" s="9">
        <f>IFERROR(__xludf.DUMMYFUNCTION("""COMPUTED_VALUE"""),386.14)</f>
        <v>386.14</v>
      </c>
      <c r="E1515" s="9">
        <f>IFERROR(__xludf.DUMMYFUNCTION("""COMPUTED_VALUE"""),387.54)</f>
        <v>387.54</v>
      </c>
      <c r="F1515" s="9">
        <f>IFERROR(__xludf.DUMMYFUNCTION("""COMPUTED_VALUE"""),887788.0)</f>
        <v>887788</v>
      </c>
      <c r="H1515" s="27">
        <f>IFERROR(__xludf.DUMMYFUNCTION("""COMPUTED_VALUE"""),40592.645833333336)</f>
        <v>40592.64583</v>
      </c>
      <c r="I1515" s="25">
        <f>IFERROR(__xludf.DUMMYFUNCTION("""COMPUTED_VALUE"""),555.13)</f>
        <v>555.13</v>
      </c>
      <c r="J1515" s="25">
        <f>IFERROR(__xludf.DUMMYFUNCTION("""COMPUTED_VALUE"""),566.2)</f>
        <v>566.2</v>
      </c>
      <c r="K1515" s="25">
        <f>IFERROR(__xludf.DUMMYFUNCTION("""COMPUTED_VALUE"""),541.05)</f>
        <v>541.05</v>
      </c>
      <c r="L1515" s="25">
        <f>IFERROR(__xludf.DUMMYFUNCTION("""COMPUTED_VALUE"""),544.85)</f>
        <v>544.85</v>
      </c>
      <c r="M1515" s="25">
        <f>IFERROR(__xludf.DUMMYFUNCTION("""COMPUTED_VALUE"""),2038464.0)</f>
        <v>2038464</v>
      </c>
    </row>
    <row r="1516">
      <c r="A1516" s="26">
        <f>IFERROR(__xludf.DUMMYFUNCTION("""COMPUTED_VALUE"""),40595.645833333336)</f>
        <v>40595.64583</v>
      </c>
      <c r="B1516" s="9">
        <f>IFERROR(__xludf.DUMMYFUNCTION("""COMPUTED_VALUE"""),387.5)</f>
        <v>387.5</v>
      </c>
      <c r="C1516" s="9">
        <f>IFERROR(__xludf.DUMMYFUNCTION("""COMPUTED_VALUE"""),397.23)</f>
        <v>397.23</v>
      </c>
      <c r="D1516" s="9">
        <f>IFERROR(__xludf.DUMMYFUNCTION("""COMPUTED_VALUE"""),384.5)</f>
        <v>384.5</v>
      </c>
      <c r="E1516" s="9">
        <f>IFERROR(__xludf.DUMMYFUNCTION("""COMPUTED_VALUE"""),395.66)</f>
        <v>395.66</v>
      </c>
      <c r="F1516" s="9">
        <f>IFERROR(__xludf.DUMMYFUNCTION("""COMPUTED_VALUE"""),1174869.0)</f>
        <v>1174869</v>
      </c>
      <c r="H1516" s="27">
        <f>IFERROR(__xludf.DUMMYFUNCTION("""COMPUTED_VALUE"""),40595.645833333336)</f>
        <v>40595.64583</v>
      </c>
      <c r="I1516" s="25">
        <f>IFERROR(__xludf.DUMMYFUNCTION("""COMPUTED_VALUE"""),545.0)</f>
        <v>545</v>
      </c>
      <c r="J1516" s="25">
        <f>IFERROR(__xludf.DUMMYFUNCTION("""COMPUTED_VALUE"""),574.0)</f>
        <v>574</v>
      </c>
      <c r="K1516" s="25">
        <f>IFERROR(__xludf.DUMMYFUNCTION("""COMPUTED_VALUE"""),529.1)</f>
        <v>529.1</v>
      </c>
      <c r="L1516" s="25">
        <f>IFERROR(__xludf.DUMMYFUNCTION("""COMPUTED_VALUE"""),569.3)</f>
        <v>569.3</v>
      </c>
      <c r="M1516" s="25">
        <f>IFERROR(__xludf.DUMMYFUNCTION("""COMPUTED_VALUE"""),2828900.0)</f>
        <v>2828900</v>
      </c>
    </row>
    <row r="1517">
      <c r="A1517" s="26">
        <f>IFERROR(__xludf.DUMMYFUNCTION("""COMPUTED_VALUE"""),40596.645833333336)</f>
        <v>40596.64583</v>
      </c>
      <c r="B1517" s="9">
        <f>IFERROR(__xludf.DUMMYFUNCTION("""COMPUTED_VALUE"""),392.53)</f>
        <v>392.53</v>
      </c>
      <c r="C1517" s="9">
        <f>IFERROR(__xludf.DUMMYFUNCTION("""COMPUTED_VALUE"""),395.88)</f>
        <v>395.88</v>
      </c>
      <c r="D1517" s="9">
        <f>IFERROR(__xludf.DUMMYFUNCTION("""COMPUTED_VALUE"""),389.25)</f>
        <v>389.25</v>
      </c>
      <c r="E1517" s="9">
        <f>IFERROR(__xludf.DUMMYFUNCTION("""COMPUTED_VALUE"""),392.73)</f>
        <v>392.73</v>
      </c>
      <c r="F1517" s="9">
        <f>IFERROR(__xludf.DUMMYFUNCTION("""COMPUTED_VALUE"""),760706.0)</f>
        <v>760706</v>
      </c>
      <c r="H1517" s="27">
        <f>IFERROR(__xludf.DUMMYFUNCTION("""COMPUTED_VALUE"""),40596.645833333336)</f>
        <v>40596.64583</v>
      </c>
      <c r="I1517" s="25">
        <f>IFERROR(__xludf.DUMMYFUNCTION("""COMPUTED_VALUE"""),561.33)</f>
        <v>561.33</v>
      </c>
      <c r="J1517" s="25">
        <f>IFERROR(__xludf.DUMMYFUNCTION("""COMPUTED_VALUE"""),573.85)</f>
        <v>573.85</v>
      </c>
      <c r="K1517" s="25">
        <f>IFERROR(__xludf.DUMMYFUNCTION("""COMPUTED_VALUE"""),560.0)</f>
        <v>560</v>
      </c>
      <c r="L1517" s="25">
        <f>IFERROR(__xludf.DUMMYFUNCTION("""COMPUTED_VALUE"""),569.38)</f>
        <v>569.38</v>
      </c>
      <c r="M1517" s="25">
        <f>IFERROR(__xludf.DUMMYFUNCTION("""COMPUTED_VALUE"""),1652700.0)</f>
        <v>1652700</v>
      </c>
    </row>
    <row r="1518">
      <c r="A1518" s="26">
        <f>IFERROR(__xludf.DUMMYFUNCTION("""COMPUTED_VALUE"""),40597.645833333336)</f>
        <v>40597.64583</v>
      </c>
      <c r="B1518" s="9">
        <f>IFERROR(__xludf.DUMMYFUNCTION("""COMPUTED_VALUE"""),388.24)</f>
        <v>388.24</v>
      </c>
      <c r="C1518" s="9">
        <f>IFERROR(__xludf.DUMMYFUNCTION("""COMPUTED_VALUE"""),388.24)</f>
        <v>388.24</v>
      </c>
      <c r="D1518" s="9">
        <f>IFERROR(__xludf.DUMMYFUNCTION("""COMPUTED_VALUE"""),383.76)</f>
        <v>383.76</v>
      </c>
      <c r="E1518" s="9">
        <f>IFERROR(__xludf.DUMMYFUNCTION("""COMPUTED_VALUE"""),384.85)</f>
        <v>384.85</v>
      </c>
      <c r="F1518" s="9">
        <f>IFERROR(__xludf.DUMMYFUNCTION("""COMPUTED_VALUE"""),884548.0)</f>
        <v>884548</v>
      </c>
      <c r="H1518" s="27">
        <f>IFERROR(__xludf.DUMMYFUNCTION("""COMPUTED_VALUE"""),40597.645833333336)</f>
        <v>40597.64583</v>
      </c>
      <c r="I1518" s="25">
        <f>IFERROR(__xludf.DUMMYFUNCTION("""COMPUTED_VALUE"""),564.08)</f>
        <v>564.08</v>
      </c>
      <c r="J1518" s="25">
        <f>IFERROR(__xludf.DUMMYFUNCTION("""COMPUTED_VALUE"""),572.48)</f>
        <v>572.48</v>
      </c>
      <c r="K1518" s="25">
        <f>IFERROR(__xludf.DUMMYFUNCTION("""COMPUTED_VALUE"""),561.55)</f>
        <v>561.55</v>
      </c>
      <c r="L1518" s="25">
        <f>IFERROR(__xludf.DUMMYFUNCTION("""COMPUTED_VALUE"""),562.78)</f>
        <v>562.78</v>
      </c>
      <c r="M1518" s="25">
        <f>IFERROR(__xludf.DUMMYFUNCTION("""COMPUTED_VALUE"""),939672.0)</f>
        <v>939672</v>
      </c>
    </row>
    <row r="1519">
      <c r="A1519" s="26">
        <f>IFERROR(__xludf.DUMMYFUNCTION("""COMPUTED_VALUE"""),40598.645833333336)</f>
        <v>40598.64583</v>
      </c>
      <c r="B1519" s="9">
        <f>IFERROR(__xludf.DUMMYFUNCTION("""COMPUTED_VALUE"""),381.25)</f>
        <v>381.25</v>
      </c>
      <c r="C1519" s="9">
        <f>IFERROR(__xludf.DUMMYFUNCTION("""COMPUTED_VALUE"""),385.0)</f>
        <v>385</v>
      </c>
      <c r="D1519" s="9">
        <f>IFERROR(__xludf.DUMMYFUNCTION("""COMPUTED_VALUE"""),374.38)</f>
        <v>374.38</v>
      </c>
      <c r="E1519" s="9">
        <f>IFERROR(__xludf.DUMMYFUNCTION("""COMPUTED_VALUE"""),376.1)</f>
        <v>376.1</v>
      </c>
      <c r="F1519" s="9">
        <f>IFERROR(__xludf.DUMMYFUNCTION("""COMPUTED_VALUE"""),2060815.0)</f>
        <v>2060815</v>
      </c>
      <c r="H1519" s="27">
        <f>IFERROR(__xludf.DUMMYFUNCTION("""COMPUTED_VALUE"""),40598.645833333336)</f>
        <v>40598.64583</v>
      </c>
      <c r="I1519" s="25">
        <f>IFERROR(__xludf.DUMMYFUNCTION("""COMPUTED_VALUE"""),559.5)</f>
        <v>559.5</v>
      </c>
      <c r="J1519" s="25">
        <f>IFERROR(__xludf.DUMMYFUNCTION("""COMPUTED_VALUE"""),569.38)</f>
        <v>569.38</v>
      </c>
      <c r="K1519" s="25">
        <f>IFERROR(__xludf.DUMMYFUNCTION("""COMPUTED_VALUE"""),545.65)</f>
        <v>545.65</v>
      </c>
      <c r="L1519" s="25">
        <f>IFERROR(__xludf.DUMMYFUNCTION("""COMPUTED_VALUE"""),555.9)</f>
        <v>555.9</v>
      </c>
      <c r="M1519" s="25">
        <f>IFERROR(__xludf.DUMMYFUNCTION("""COMPUTED_VALUE"""),2689415.0)</f>
        <v>2689415</v>
      </c>
    </row>
    <row r="1520">
      <c r="A1520" s="26">
        <f>IFERROR(__xludf.DUMMYFUNCTION("""COMPUTED_VALUE"""),40599.645833333336)</f>
        <v>40599.64583</v>
      </c>
      <c r="B1520" s="9">
        <f>IFERROR(__xludf.DUMMYFUNCTION("""COMPUTED_VALUE"""),377.9)</f>
        <v>377.9</v>
      </c>
      <c r="C1520" s="9">
        <f>IFERROR(__xludf.DUMMYFUNCTION("""COMPUTED_VALUE"""),380.33)</f>
        <v>380.33</v>
      </c>
      <c r="D1520" s="9">
        <f>IFERROR(__xludf.DUMMYFUNCTION("""COMPUTED_VALUE"""),370.75)</f>
        <v>370.75</v>
      </c>
      <c r="E1520" s="9">
        <f>IFERROR(__xludf.DUMMYFUNCTION("""COMPUTED_VALUE"""),375.91)</f>
        <v>375.91</v>
      </c>
      <c r="F1520" s="9">
        <f>IFERROR(__xludf.DUMMYFUNCTION("""COMPUTED_VALUE"""),1295840.0)</f>
        <v>1295840</v>
      </c>
      <c r="H1520" s="27">
        <f>IFERROR(__xludf.DUMMYFUNCTION("""COMPUTED_VALUE"""),40599.645833333336)</f>
        <v>40599.64583</v>
      </c>
      <c r="I1520" s="25">
        <f>IFERROR(__xludf.DUMMYFUNCTION("""COMPUTED_VALUE"""),552.65)</f>
        <v>552.65</v>
      </c>
      <c r="J1520" s="25">
        <f>IFERROR(__xludf.DUMMYFUNCTION("""COMPUTED_VALUE"""),558.5)</f>
        <v>558.5</v>
      </c>
      <c r="K1520" s="25">
        <f>IFERROR(__xludf.DUMMYFUNCTION("""COMPUTED_VALUE"""),544.13)</f>
        <v>544.13</v>
      </c>
      <c r="L1520" s="25">
        <f>IFERROR(__xludf.DUMMYFUNCTION("""COMPUTED_VALUE"""),555.03)</f>
        <v>555.03</v>
      </c>
      <c r="M1520" s="25">
        <f>IFERROR(__xludf.DUMMYFUNCTION("""COMPUTED_VALUE"""),1535237.0)</f>
        <v>1535237</v>
      </c>
    </row>
    <row r="1521">
      <c r="A1521" s="26">
        <f>IFERROR(__xludf.DUMMYFUNCTION("""COMPUTED_VALUE"""),40602.645833333336)</f>
        <v>40602.64583</v>
      </c>
      <c r="B1521" s="9">
        <f>IFERROR(__xludf.DUMMYFUNCTION("""COMPUTED_VALUE"""),377.75)</f>
        <v>377.75</v>
      </c>
      <c r="C1521" s="9">
        <f>IFERROR(__xludf.DUMMYFUNCTION("""COMPUTED_VALUE"""),391.85)</f>
        <v>391.85</v>
      </c>
      <c r="D1521" s="9">
        <f>IFERROR(__xludf.DUMMYFUNCTION("""COMPUTED_VALUE"""),370.93)</f>
        <v>370.93</v>
      </c>
      <c r="E1521" s="9">
        <f>IFERROR(__xludf.DUMMYFUNCTION("""COMPUTED_VALUE"""),374.64)</f>
        <v>374.64</v>
      </c>
      <c r="F1521" s="9">
        <f>IFERROR(__xludf.DUMMYFUNCTION("""COMPUTED_VALUE"""),1814309.0)</f>
        <v>1814309</v>
      </c>
      <c r="H1521" s="27">
        <f>IFERROR(__xludf.DUMMYFUNCTION("""COMPUTED_VALUE"""),40602.645833333336)</f>
        <v>40602.64583</v>
      </c>
      <c r="I1521" s="25">
        <f>IFERROR(__xludf.DUMMYFUNCTION("""COMPUTED_VALUE"""),550.6)</f>
        <v>550.6</v>
      </c>
      <c r="J1521" s="25">
        <f>IFERROR(__xludf.DUMMYFUNCTION("""COMPUTED_VALUE"""),574.13)</f>
        <v>574.13</v>
      </c>
      <c r="K1521" s="25">
        <f>IFERROR(__xludf.DUMMYFUNCTION("""COMPUTED_VALUE"""),550.0)</f>
        <v>550</v>
      </c>
      <c r="L1521" s="25">
        <f>IFERROR(__xludf.DUMMYFUNCTION("""COMPUTED_VALUE"""),555.13)</f>
        <v>555.13</v>
      </c>
      <c r="M1521" s="25">
        <f>IFERROR(__xludf.DUMMYFUNCTION("""COMPUTED_VALUE"""),1614698.0)</f>
        <v>1614698</v>
      </c>
    </row>
    <row r="1522">
      <c r="A1522" s="26">
        <f>IFERROR(__xludf.DUMMYFUNCTION("""COMPUTED_VALUE"""),40603.645833333336)</f>
        <v>40603.64583</v>
      </c>
      <c r="B1522" s="9">
        <f>IFERROR(__xludf.DUMMYFUNCTION("""COMPUTED_VALUE"""),378.75)</f>
        <v>378.75</v>
      </c>
      <c r="C1522" s="9">
        <f>IFERROR(__xludf.DUMMYFUNCTION("""COMPUTED_VALUE"""),388.5)</f>
        <v>388.5</v>
      </c>
      <c r="D1522" s="9">
        <f>IFERROR(__xludf.DUMMYFUNCTION("""COMPUTED_VALUE"""),376.0)</f>
        <v>376</v>
      </c>
      <c r="E1522" s="9">
        <f>IFERROR(__xludf.DUMMYFUNCTION("""COMPUTED_VALUE"""),385.3)</f>
        <v>385.3</v>
      </c>
      <c r="F1522" s="9">
        <f>IFERROR(__xludf.DUMMYFUNCTION("""COMPUTED_VALUE"""),1047204.0)</f>
        <v>1047204</v>
      </c>
      <c r="H1522" s="27">
        <f>IFERROR(__xludf.DUMMYFUNCTION("""COMPUTED_VALUE"""),40603.645833333336)</f>
        <v>40603.64583</v>
      </c>
      <c r="I1522" s="25">
        <f>IFERROR(__xludf.DUMMYFUNCTION("""COMPUTED_VALUE"""),556.5)</f>
        <v>556.5</v>
      </c>
      <c r="J1522" s="25">
        <f>IFERROR(__xludf.DUMMYFUNCTION("""COMPUTED_VALUE"""),566.0)</f>
        <v>566</v>
      </c>
      <c r="K1522" s="25">
        <f>IFERROR(__xludf.DUMMYFUNCTION("""COMPUTED_VALUE"""),548.8)</f>
        <v>548.8</v>
      </c>
      <c r="L1522" s="25">
        <f>IFERROR(__xludf.DUMMYFUNCTION("""COMPUTED_VALUE"""),562.25)</f>
        <v>562.25</v>
      </c>
      <c r="M1522" s="25">
        <f>IFERROR(__xludf.DUMMYFUNCTION("""COMPUTED_VALUE"""),1583902.0)</f>
        <v>1583902</v>
      </c>
    </row>
    <row r="1523">
      <c r="A1523" s="26">
        <f>IFERROR(__xludf.DUMMYFUNCTION("""COMPUTED_VALUE"""),40605.645833333336)</f>
        <v>40605.64583</v>
      </c>
      <c r="B1523" s="9">
        <f>IFERROR(__xludf.DUMMYFUNCTION("""COMPUTED_VALUE"""),382.26)</f>
        <v>382.26</v>
      </c>
      <c r="C1523" s="9">
        <f>IFERROR(__xludf.DUMMYFUNCTION("""COMPUTED_VALUE"""),382.38)</f>
        <v>382.38</v>
      </c>
      <c r="D1523" s="9">
        <f>IFERROR(__xludf.DUMMYFUNCTION("""COMPUTED_VALUE"""),375.13)</f>
        <v>375.13</v>
      </c>
      <c r="E1523" s="9">
        <f>IFERROR(__xludf.DUMMYFUNCTION("""COMPUTED_VALUE"""),378.26)</f>
        <v>378.26</v>
      </c>
      <c r="F1523" s="9">
        <f>IFERROR(__xludf.DUMMYFUNCTION("""COMPUTED_VALUE"""),1571482.0)</f>
        <v>1571482</v>
      </c>
      <c r="H1523" s="27">
        <f>IFERROR(__xludf.DUMMYFUNCTION("""COMPUTED_VALUE"""),40605.645833333336)</f>
        <v>40605.64583</v>
      </c>
      <c r="I1523" s="25">
        <f>IFERROR(__xludf.DUMMYFUNCTION("""COMPUTED_VALUE"""),559.95)</f>
        <v>559.95</v>
      </c>
      <c r="J1523" s="25">
        <f>IFERROR(__xludf.DUMMYFUNCTION("""COMPUTED_VALUE"""),577.5)</f>
        <v>577.5</v>
      </c>
      <c r="K1523" s="25">
        <f>IFERROR(__xludf.DUMMYFUNCTION("""COMPUTED_VALUE"""),553.5)</f>
        <v>553.5</v>
      </c>
      <c r="L1523" s="25">
        <f>IFERROR(__xludf.DUMMYFUNCTION("""COMPUTED_VALUE"""),575.1)</f>
        <v>575.1</v>
      </c>
      <c r="M1523" s="25">
        <f>IFERROR(__xludf.DUMMYFUNCTION("""COMPUTED_VALUE"""),1726300.0)</f>
        <v>1726300</v>
      </c>
    </row>
    <row r="1524">
      <c r="A1524" s="26">
        <f>IFERROR(__xludf.DUMMYFUNCTION("""COMPUTED_VALUE"""),40606.645833333336)</f>
        <v>40606.64583</v>
      </c>
      <c r="B1524" s="9">
        <f>IFERROR(__xludf.DUMMYFUNCTION("""COMPUTED_VALUE"""),383.38)</f>
        <v>383.38</v>
      </c>
      <c r="C1524" s="9">
        <f>IFERROR(__xludf.DUMMYFUNCTION("""COMPUTED_VALUE"""),386.25)</f>
        <v>386.25</v>
      </c>
      <c r="D1524" s="9">
        <f>IFERROR(__xludf.DUMMYFUNCTION("""COMPUTED_VALUE"""),381.0)</f>
        <v>381</v>
      </c>
      <c r="E1524" s="9">
        <f>IFERROR(__xludf.DUMMYFUNCTION("""COMPUTED_VALUE"""),382.78)</f>
        <v>382.78</v>
      </c>
      <c r="F1524" s="9">
        <f>IFERROR(__xludf.DUMMYFUNCTION("""COMPUTED_VALUE"""),1221364.0)</f>
        <v>1221364</v>
      </c>
      <c r="H1524" s="27">
        <f>IFERROR(__xludf.DUMMYFUNCTION("""COMPUTED_VALUE"""),40606.645833333336)</f>
        <v>40606.64583</v>
      </c>
      <c r="I1524" s="25">
        <f>IFERROR(__xludf.DUMMYFUNCTION("""COMPUTED_VALUE"""),581.67)</f>
        <v>581.67</v>
      </c>
      <c r="J1524" s="25">
        <f>IFERROR(__xludf.DUMMYFUNCTION("""COMPUTED_VALUE"""),581.67)</f>
        <v>581.67</v>
      </c>
      <c r="K1524" s="25">
        <f>IFERROR(__xludf.DUMMYFUNCTION("""COMPUTED_VALUE"""),566.25)</f>
        <v>566.25</v>
      </c>
      <c r="L1524" s="25">
        <f>IFERROR(__xludf.DUMMYFUNCTION("""COMPUTED_VALUE"""),567.78)</f>
        <v>567.78</v>
      </c>
      <c r="M1524" s="25">
        <f>IFERROR(__xludf.DUMMYFUNCTION("""COMPUTED_VALUE"""),1030599.0)</f>
        <v>1030599</v>
      </c>
    </row>
    <row r="1525">
      <c r="A1525" s="26">
        <f>IFERROR(__xludf.DUMMYFUNCTION("""COMPUTED_VALUE"""),40609.645833333336)</f>
        <v>40609.64583</v>
      </c>
      <c r="B1525" s="9">
        <f>IFERROR(__xludf.DUMMYFUNCTION("""COMPUTED_VALUE"""),379.5)</f>
        <v>379.5</v>
      </c>
      <c r="C1525" s="9">
        <f>IFERROR(__xludf.DUMMYFUNCTION("""COMPUTED_VALUE"""),384.38)</f>
        <v>384.38</v>
      </c>
      <c r="D1525" s="9">
        <f>IFERROR(__xludf.DUMMYFUNCTION("""COMPUTED_VALUE"""),378.19)</f>
        <v>378.19</v>
      </c>
      <c r="E1525" s="9">
        <f>IFERROR(__xludf.DUMMYFUNCTION("""COMPUTED_VALUE"""),380.34)</f>
        <v>380.34</v>
      </c>
      <c r="F1525" s="9">
        <f>IFERROR(__xludf.DUMMYFUNCTION("""COMPUTED_VALUE"""),919716.0)</f>
        <v>919716</v>
      </c>
      <c r="H1525" s="27">
        <f>IFERROR(__xludf.DUMMYFUNCTION("""COMPUTED_VALUE"""),40609.645833333336)</f>
        <v>40609.64583</v>
      </c>
      <c r="I1525" s="25">
        <f>IFERROR(__xludf.DUMMYFUNCTION("""COMPUTED_VALUE"""),562.0)</f>
        <v>562</v>
      </c>
      <c r="J1525" s="25">
        <f>IFERROR(__xludf.DUMMYFUNCTION("""COMPUTED_VALUE"""),562.5)</f>
        <v>562.5</v>
      </c>
      <c r="K1525" s="25">
        <f>IFERROR(__xludf.DUMMYFUNCTION("""COMPUTED_VALUE"""),547.23)</f>
        <v>547.23</v>
      </c>
      <c r="L1525" s="25">
        <f>IFERROR(__xludf.DUMMYFUNCTION("""COMPUTED_VALUE"""),554.13)</f>
        <v>554.13</v>
      </c>
      <c r="M1525" s="25">
        <f>IFERROR(__xludf.DUMMYFUNCTION("""COMPUTED_VALUE"""),2092294.0)</f>
        <v>2092294</v>
      </c>
    </row>
    <row r="1526">
      <c r="A1526" s="26">
        <f>IFERROR(__xludf.DUMMYFUNCTION("""COMPUTED_VALUE"""),40610.645833333336)</f>
        <v>40610.64583</v>
      </c>
      <c r="B1526" s="9">
        <f>IFERROR(__xludf.DUMMYFUNCTION("""COMPUTED_VALUE"""),378.78)</f>
        <v>378.78</v>
      </c>
      <c r="C1526" s="9">
        <f>IFERROR(__xludf.DUMMYFUNCTION("""COMPUTED_VALUE"""),391.5)</f>
        <v>391.5</v>
      </c>
      <c r="D1526" s="9">
        <f>IFERROR(__xludf.DUMMYFUNCTION("""COMPUTED_VALUE"""),377.53)</f>
        <v>377.53</v>
      </c>
      <c r="E1526" s="9">
        <f>IFERROR(__xludf.DUMMYFUNCTION("""COMPUTED_VALUE"""),389.54)</f>
        <v>389.54</v>
      </c>
      <c r="F1526" s="9">
        <f>IFERROR(__xludf.DUMMYFUNCTION("""COMPUTED_VALUE"""),1064314.0)</f>
        <v>1064314</v>
      </c>
      <c r="H1526" s="27">
        <f>IFERROR(__xludf.DUMMYFUNCTION("""COMPUTED_VALUE"""),40610.645833333336)</f>
        <v>40610.64583</v>
      </c>
      <c r="I1526" s="25">
        <f>IFERROR(__xludf.DUMMYFUNCTION("""COMPUTED_VALUE"""),552.58)</f>
        <v>552.58</v>
      </c>
      <c r="J1526" s="25">
        <f>IFERROR(__xludf.DUMMYFUNCTION("""COMPUTED_VALUE"""),564.4)</f>
        <v>564.4</v>
      </c>
      <c r="K1526" s="25">
        <f>IFERROR(__xludf.DUMMYFUNCTION("""COMPUTED_VALUE"""),552.58)</f>
        <v>552.58</v>
      </c>
      <c r="L1526" s="25">
        <f>IFERROR(__xludf.DUMMYFUNCTION("""COMPUTED_VALUE"""),558.85)</f>
        <v>558.85</v>
      </c>
      <c r="M1526" s="25">
        <f>IFERROR(__xludf.DUMMYFUNCTION("""COMPUTED_VALUE"""),1973951.0)</f>
        <v>1973951</v>
      </c>
    </row>
    <row r="1527">
      <c r="A1527" s="26">
        <f>IFERROR(__xludf.DUMMYFUNCTION("""COMPUTED_VALUE"""),40611.645833333336)</f>
        <v>40611.64583</v>
      </c>
      <c r="B1527" s="9">
        <f>IFERROR(__xludf.DUMMYFUNCTION("""COMPUTED_VALUE"""),390.0)</f>
        <v>390</v>
      </c>
      <c r="C1527" s="9">
        <f>IFERROR(__xludf.DUMMYFUNCTION("""COMPUTED_VALUE"""),391.6)</f>
        <v>391.6</v>
      </c>
      <c r="D1527" s="9">
        <f>IFERROR(__xludf.DUMMYFUNCTION("""COMPUTED_VALUE"""),383.88)</f>
        <v>383.88</v>
      </c>
      <c r="E1527" s="9">
        <f>IFERROR(__xludf.DUMMYFUNCTION("""COMPUTED_VALUE"""),386.94)</f>
        <v>386.94</v>
      </c>
      <c r="F1527" s="9">
        <f>IFERROR(__xludf.DUMMYFUNCTION("""COMPUTED_VALUE"""),834555.0)</f>
        <v>834555</v>
      </c>
      <c r="H1527" s="27">
        <f>IFERROR(__xludf.DUMMYFUNCTION("""COMPUTED_VALUE"""),40611.645833333336)</f>
        <v>40611.64583</v>
      </c>
      <c r="I1527" s="25">
        <f>IFERROR(__xludf.DUMMYFUNCTION("""COMPUTED_VALUE"""),561.28)</f>
        <v>561.28</v>
      </c>
      <c r="J1527" s="25">
        <f>IFERROR(__xludf.DUMMYFUNCTION("""COMPUTED_VALUE"""),569.0)</f>
        <v>569</v>
      </c>
      <c r="K1527" s="25">
        <f>IFERROR(__xludf.DUMMYFUNCTION("""COMPUTED_VALUE"""),559.25)</f>
        <v>559.25</v>
      </c>
      <c r="L1527" s="25">
        <f>IFERROR(__xludf.DUMMYFUNCTION("""COMPUTED_VALUE"""),563.35)</f>
        <v>563.35</v>
      </c>
      <c r="M1527" s="25">
        <f>IFERROR(__xludf.DUMMYFUNCTION("""COMPUTED_VALUE"""),1212243.0)</f>
        <v>1212243</v>
      </c>
    </row>
    <row r="1528">
      <c r="A1528" s="26">
        <f>IFERROR(__xludf.DUMMYFUNCTION("""COMPUTED_VALUE"""),40612.645833333336)</f>
        <v>40612.64583</v>
      </c>
      <c r="B1528" s="9">
        <f>IFERROR(__xludf.DUMMYFUNCTION("""COMPUTED_VALUE"""),386.88)</f>
        <v>386.88</v>
      </c>
      <c r="C1528" s="9">
        <f>IFERROR(__xludf.DUMMYFUNCTION("""COMPUTED_VALUE"""),387.5)</f>
        <v>387.5</v>
      </c>
      <c r="D1528" s="9">
        <f>IFERROR(__xludf.DUMMYFUNCTION("""COMPUTED_VALUE"""),382.81)</f>
        <v>382.81</v>
      </c>
      <c r="E1528" s="9">
        <f>IFERROR(__xludf.DUMMYFUNCTION("""COMPUTED_VALUE"""),386.28)</f>
        <v>386.28</v>
      </c>
      <c r="F1528" s="9">
        <f>IFERROR(__xludf.DUMMYFUNCTION("""COMPUTED_VALUE"""),429775.0)</f>
        <v>429775</v>
      </c>
      <c r="H1528" s="27">
        <f>IFERROR(__xludf.DUMMYFUNCTION("""COMPUTED_VALUE"""),40612.645833333336)</f>
        <v>40612.64583</v>
      </c>
      <c r="I1528" s="25">
        <f>IFERROR(__xludf.DUMMYFUNCTION("""COMPUTED_VALUE"""),561.0)</f>
        <v>561</v>
      </c>
      <c r="J1528" s="25">
        <f>IFERROR(__xludf.DUMMYFUNCTION("""COMPUTED_VALUE"""),561.0)</f>
        <v>561</v>
      </c>
      <c r="K1528" s="25">
        <f>IFERROR(__xludf.DUMMYFUNCTION("""COMPUTED_VALUE"""),550.0)</f>
        <v>550</v>
      </c>
      <c r="L1528" s="25">
        <f>IFERROR(__xludf.DUMMYFUNCTION("""COMPUTED_VALUE"""),554.28)</f>
        <v>554.28</v>
      </c>
      <c r="M1528" s="25">
        <f>IFERROR(__xludf.DUMMYFUNCTION("""COMPUTED_VALUE"""),935662.0)</f>
        <v>935662</v>
      </c>
    </row>
    <row r="1529">
      <c r="A1529" s="26">
        <f>IFERROR(__xludf.DUMMYFUNCTION("""COMPUTED_VALUE"""),40613.645833333336)</f>
        <v>40613.64583</v>
      </c>
      <c r="B1529" s="9">
        <f>IFERROR(__xludf.DUMMYFUNCTION("""COMPUTED_VALUE"""),383.5)</f>
        <v>383.5</v>
      </c>
      <c r="C1529" s="9">
        <f>IFERROR(__xludf.DUMMYFUNCTION("""COMPUTED_VALUE"""),384.88)</f>
        <v>384.88</v>
      </c>
      <c r="D1529" s="9">
        <f>IFERROR(__xludf.DUMMYFUNCTION("""COMPUTED_VALUE"""),380.63)</f>
        <v>380.63</v>
      </c>
      <c r="E1529" s="9">
        <f>IFERROR(__xludf.DUMMYFUNCTION("""COMPUTED_VALUE"""),381.74)</f>
        <v>381.74</v>
      </c>
      <c r="F1529" s="9">
        <f>IFERROR(__xludf.DUMMYFUNCTION("""COMPUTED_VALUE"""),909784.0)</f>
        <v>909784</v>
      </c>
      <c r="H1529" s="27">
        <f>IFERROR(__xludf.DUMMYFUNCTION("""COMPUTED_VALUE"""),40613.645833333336)</f>
        <v>40613.64583</v>
      </c>
      <c r="I1529" s="25">
        <f>IFERROR(__xludf.DUMMYFUNCTION("""COMPUTED_VALUE"""),550.0)</f>
        <v>550</v>
      </c>
      <c r="J1529" s="25">
        <f>IFERROR(__xludf.DUMMYFUNCTION("""COMPUTED_VALUE"""),551.2)</f>
        <v>551.2</v>
      </c>
      <c r="K1529" s="25">
        <f>IFERROR(__xludf.DUMMYFUNCTION("""COMPUTED_VALUE"""),531.65)</f>
        <v>531.65</v>
      </c>
      <c r="L1529" s="25">
        <f>IFERROR(__xludf.DUMMYFUNCTION("""COMPUTED_VALUE"""),538.53)</f>
        <v>538.53</v>
      </c>
      <c r="M1529" s="25">
        <f>IFERROR(__xludf.DUMMYFUNCTION("""COMPUTED_VALUE"""),2506441.0)</f>
        <v>2506441</v>
      </c>
    </row>
    <row r="1530">
      <c r="A1530" s="26">
        <f>IFERROR(__xludf.DUMMYFUNCTION("""COMPUTED_VALUE"""),40616.645833333336)</f>
        <v>40616.64583</v>
      </c>
      <c r="B1530" s="9">
        <f>IFERROR(__xludf.DUMMYFUNCTION("""COMPUTED_VALUE"""),379.38)</f>
        <v>379.38</v>
      </c>
      <c r="C1530" s="9">
        <f>IFERROR(__xludf.DUMMYFUNCTION("""COMPUTED_VALUE"""),388.5)</f>
        <v>388.5</v>
      </c>
      <c r="D1530" s="9">
        <f>IFERROR(__xludf.DUMMYFUNCTION("""COMPUTED_VALUE"""),378.83)</f>
        <v>378.83</v>
      </c>
      <c r="E1530" s="9">
        <f>IFERROR(__xludf.DUMMYFUNCTION("""COMPUTED_VALUE"""),387.6)</f>
        <v>387.6</v>
      </c>
      <c r="F1530" s="9">
        <f>IFERROR(__xludf.DUMMYFUNCTION("""COMPUTED_VALUE"""),444744.0)</f>
        <v>444744</v>
      </c>
      <c r="H1530" s="27">
        <f>IFERROR(__xludf.DUMMYFUNCTION("""COMPUTED_VALUE"""),40616.645833333336)</f>
        <v>40616.64583</v>
      </c>
      <c r="I1530" s="25">
        <f>IFERROR(__xludf.DUMMYFUNCTION("""COMPUTED_VALUE"""),535.5)</f>
        <v>535.5</v>
      </c>
      <c r="J1530" s="25">
        <f>IFERROR(__xludf.DUMMYFUNCTION("""COMPUTED_VALUE"""),551.0)</f>
        <v>551</v>
      </c>
      <c r="K1530" s="25">
        <f>IFERROR(__xludf.DUMMYFUNCTION("""COMPUTED_VALUE"""),529.2)</f>
        <v>529.2</v>
      </c>
      <c r="L1530" s="25">
        <f>IFERROR(__xludf.DUMMYFUNCTION("""COMPUTED_VALUE"""),548.78)</f>
        <v>548.78</v>
      </c>
      <c r="M1530" s="25">
        <f>IFERROR(__xludf.DUMMYFUNCTION("""COMPUTED_VALUE"""),1624309.0)</f>
        <v>1624309</v>
      </c>
    </row>
    <row r="1531">
      <c r="A1531" s="26">
        <f>IFERROR(__xludf.DUMMYFUNCTION("""COMPUTED_VALUE"""),40617.645833333336)</f>
        <v>40617.64583</v>
      </c>
      <c r="B1531" s="9">
        <f>IFERROR(__xludf.DUMMYFUNCTION("""COMPUTED_VALUE"""),379.0)</f>
        <v>379</v>
      </c>
      <c r="C1531" s="9">
        <f>IFERROR(__xludf.DUMMYFUNCTION("""COMPUTED_VALUE"""),382.36)</f>
        <v>382.36</v>
      </c>
      <c r="D1531" s="9">
        <f>IFERROR(__xludf.DUMMYFUNCTION("""COMPUTED_VALUE"""),375.75)</f>
        <v>375.75</v>
      </c>
      <c r="E1531" s="9">
        <f>IFERROR(__xludf.DUMMYFUNCTION("""COMPUTED_VALUE"""),378.77)</f>
        <v>378.77</v>
      </c>
      <c r="F1531" s="9">
        <f>IFERROR(__xludf.DUMMYFUNCTION("""COMPUTED_VALUE"""),1129728.0)</f>
        <v>1129728</v>
      </c>
      <c r="H1531" s="27">
        <f>IFERROR(__xludf.DUMMYFUNCTION("""COMPUTED_VALUE"""),40617.645833333336)</f>
        <v>40617.64583</v>
      </c>
      <c r="I1531" s="25">
        <f>IFERROR(__xludf.DUMMYFUNCTION("""COMPUTED_VALUE"""),537.5)</f>
        <v>537.5</v>
      </c>
      <c r="J1531" s="25">
        <f>IFERROR(__xludf.DUMMYFUNCTION("""COMPUTED_VALUE"""),547.73)</f>
        <v>547.73</v>
      </c>
      <c r="K1531" s="25">
        <f>IFERROR(__xludf.DUMMYFUNCTION("""COMPUTED_VALUE"""),532.83)</f>
        <v>532.83</v>
      </c>
      <c r="L1531" s="25">
        <f>IFERROR(__xludf.DUMMYFUNCTION("""COMPUTED_VALUE"""),544.9)</f>
        <v>544.9</v>
      </c>
      <c r="M1531" s="25">
        <f>IFERROR(__xludf.DUMMYFUNCTION("""COMPUTED_VALUE"""),1705934.0)</f>
        <v>1705934</v>
      </c>
    </row>
    <row r="1532">
      <c r="A1532" s="26">
        <f>IFERROR(__xludf.DUMMYFUNCTION("""COMPUTED_VALUE"""),40618.645833333336)</f>
        <v>40618.64583</v>
      </c>
      <c r="B1532" s="9">
        <f>IFERROR(__xludf.DUMMYFUNCTION("""COMPUTED_VALUE"""),378.13)</f>
        <v>378.13</v>
      </c>
      <c r="C1532" s="9">
        <f>IFERROR(__xludf.DUMMYFUNCTION("""COMPUTED_VALUE"""),382.68)</f>
        <v>382.68</v>
      </c>
      <c r="D1532" s="9">
        <f>IFERROR(__xludf.DUMMYFUNCTION("""COMPUTED_VALUE"""),377.51)</f>
        <v>377.51</v>
      </c>
      <c r="E1532" s="9">
        <f>IFERROR(__xludf.DUMMYFUNCTION("""COMPUTED_VALUE"""),378.86)</f>
        <v>378.86</v>
      </c>
      <c r="F1532" s="9">
        <f>IFERROR(__xludf.DUMMYFUNCTION("""COMPUTED_VALUE"""),699340.0)</f>
        <v>699340</v>
      </c>
      <c r="H1532" s="27">
        <f>IFERROR(__xludf.DUMMYFUNCTION("""COMPUTED_VALUE"""),40618.645833333336)</f>
        <v>40618.64583</v>
      </c>
      <c r="I1532" s="25">
        <f>IFERROR(__xludf.DUMMYFUNCTION("""COMPUTED_VALUE"""),546.0)</f>
        <v>546</v>
      </c>
      <c r="J1532" s="25">
        <f>IFERROR(__xludf.DUMMYFUNCTION("""COMPUTED_VALUE"""),561.73)</f>
        <v>561.73</v>
      </c>
      <c r="K1532" s="25">
        <f>IFERROR(__xludf.DUMMYFUNCTION("""COMPUTED_VALUE"""),545.58)</f>
        <v>545.58</v>
      </c>
      <c r="L1532" s="25">
        <f>IFERROR(__xludf.DUMMYFUNCTION("""COMPUTED_VALUE"""),557.42)</f>
        <v>557.42</v>
      </c>
      <c r="M1532" s="25">
        <f>IFERROR(__xludf.DUMMYFUNCTION("""COMPUTED_VALUE"""),1338937.0)</f>
        <v>1338937</v>
      </c>
    </row>
    <row r="1533">
      <c r="A1533" s="26">
        <f>IFERROR(__xludf.DUMMYFUNCTION("""COMPUTED_VALUE"""),40619.645833333336)</f>
        <v>40619.64583</v>
      </c>
      <c r="B1533" s="9">
        <f>IFERROR(__xludf.DUMMYFUNCTION("""COMPUTED_VALUE"""),373.01)</f>
        <v>373.01</v>
      </c>
      <c r="C1533" s="9">
        <f>IFERROR(__xludf.DUMMYFUNCTION("""COMPUTED_VALUE"""),374.88)</f>
        <v>374.88</v>
      </c>
      <c r="D1533" s="9">
        <f>IFERROR(__xludf.DUMMYFUNCTION("""COMPUTED_VALUE"""),371.38)</f>
        <v>371.38</v>
      </c>
      <c r="E1533" s="9">
        <f>IFERROR(__xludf.DUMMYFUNCTION("""COMPUTED_VALUE"""),372.34)</f>
        <v>372.34</v>
      </c>
      <c r="F1533" s="9">
        <f>IFERROR(__xludf.DUMMYFUNCTION("""COMPUTED_VALUE"""),1040172.0)</f>
        <v>1040172</v>
      </c>
      <c r="H1533" s="27">
        <f>IFERROR(__xludf.DUMMYFUNCTION("""COMPUTED_VALUE"""),40619.645833333336)</f>
        <v>40619.64583</v>
      </c>
      <c r="I1533" s="25">
        <f>IFERROR(__xludf.DUMMYFUNCTION("""COMPUTED_VALUE"""),552.5)</f>
        <v>552.5</v>
      </c>
      <c r="J1533" s="25">
        <f>IFERROR(__xludf.DUMMYFUNCTION("""COMPUTED_VALUE"""),559.45)</f>
        <v>559.45</v>
      </c>
      <c r="K1533" s="25">
        <f>IFERROR(__xludf.DUMMYFUNCTION("""COMPUTED_VALUE"""),546.33)</f>
        <v>546.33</v>
      </c>
      <c r="L1533" s="25">
        <f>IFERROR(__xludf.DUMMYFUNCTION("""COMPUTED_VALUE"""),549.0)</f>
        <v>549</v>
      </c>
      <c r="M1533" s="25">
        <f>IFERROR(__xludf.DUMMYFUNCTION("""COMPUTED_VALUE"""),1028051.0)</f>
        <v>1028051</v>
      </c>
    </row>
    <row r="1534">
      <c r="A1534" s="26">
        <f>IFERROR(__xludf.DUMMYFUNCTION("""COMPUTED_VALUE"""),40620.645833333336)</f>
        <v>40620.64583</v>
      </c>
      <c r="B1534" s="9">
        <f>IFERROR(__xludf.DUMMYFUNCTION("""COMPUTED_VALUE"""),372.52)</f>
        <v>372.52</v>
      </c>
      <c r="C1534" s="9">
        <f>IFERROR(__xludf.DUMMYFUNCTION("""COMPUTED_VALUE"""),374.35)</f>
        <v>374.35</v>
      </c>
      <c r="D1534" s="9">
        <f>IFERROR(__xludf.DUMMYFUNCTION("""COMPUTED_VALUE"""),366.58)</f>
        <v>366.58</v>
      </c>
      <c r="E1534" s="9">
        <f>IFERROR(__xludf.DUMMYFUNCTION("""COMPUTED_VALUE"""),367.64)</f>
        <v>367.64</v>
      </c>
      <c r="F1534" s="9">
        <f>IFERROR(__xludf.DUMMYFUNCTION("""COMPUTED_VALUE"""),933500.0)</f>
        <v>933500</v>
      </c>
      <c r="H1534" s="27">
        <f>IFERROR(__xludf.DUMMYFUNCTION("""COMPUTED_VALUE"""),40620.645833333336)</f>
        <v>40620.64583</v>
      </c>
      <c r="I1534" s="25">
        <f>IFERROR(__xludf.DUMMYFUNCTION("""COMPUTED_VALUE"""),546.75)</f>
        <v>546.75</v>
      </c>
      <c r="J1534" s="25">
        <f>IFERROR(__xludf.DUMMYFUNCTION("""COMPUTED_VALUE"""),554.5)</f>
        <v>554.5</v>
      </c>
      <c r="K1534" s="25">
        <f>IFERROR(__xludf.DUMMYFUNCTION("""COMPUTED_VALUE"""),538.05)</f>
        <v>538.05</v>
      </c>
      <c r="L1534" s="25">
        <f>IFERROR(__xludf.DUMMYFUNCTION("""COMPUTED_VALUE"""),541.38)</f>
        <v>541.38</v>
      </c>
      <c r="M1534" s="25">
        <f>IFERROR(__xludf.DUMMYFUNCTION("""COMPUTED_VALUE"""),1105674.0)</f>
        <v>1105674</v>
      </c>
    </row>
    <row r="1535">
      <c r="A1535" s="26">
        <f>IFERROR(__xludf.DUMMYFUNCTION("""COMPUTED_VALUE"""),40623.645833333336)</f>
        <v>40623.64583</v>
      </c>
      <c r="B1535" s="9">
        <f>IFERROR(__xludf.DUMMYFUNCTION("""COMPUTED_VALUE"""),368.93)</f>
        <v>368.93</v>
      </c>
      <c r="C1535" s="9">
        <f>IFERROR(__xludf.DUMMYFUNCTION("""COMPUTED_VALUE"""),369.63)</f>
        <v>369.63</v>
      </c>
      <c r="D1535" s="9">
        <f>IFERROR(__xludf.DUMMYFUNCTION("""COMPUTED_VALUE"""),363.04)</f>
        <v>363.04</v>
      </c>
      <c r="E1535" s="9">
        <f>IFERROR(__xludf.DUMMYFUNCTION("""COMPUTED_VALUE"""),365.29)</f>
        <v>365.29</v>
      </c>
      <c r="F1535" s="9">
        <f>IFERROR(__xludf.DUMMYFUNCTION("""COMPUTED_VALUE"""),825887.0)</f>
        <v>825887</v>
      </c>
      <c r="H1535" s="27">
        <f>IFERROR(__xludf.DUMMYFUNCTION("""COMPUTED_VALUE"""),40623.645833333336)</f>
        <v>40623.64583</v>
      </c>
      <c r="I1535" s="25">
        <f>IFERROR(__xludf.DUMMYFUNCTION("""COMPUTED_VALUE"""),545.75)</f>
        <v>545.75</v>
      </c>
      <c r="J1535" s="25">
        <f>IFERROR(__xludf.DUMMYFUNCTION("""COMPUTED_VALUE"""),545.75)</f>
        <v>545.75</v>
      </c>
      <c r="K1535" s="25">
        <f>IFERROR(__xludf.DUMMYFUNCTION("""COMPUTED_VALUE"""),533.25)</f>
        <v>533.25</v>
      </c>
      <c r="L1535" s="25">
        <f>IFERROR(__xludf.DUMMYFUNCTION("""COMPUTED_VALUE"""),535.4)</f>
        <v>535.4</v>
      </c>
      <c r="M1535" s="25">
        <f>IFERROR(__xludf.DUMMYFUNCTION("""COMPUTED_VALUE"""),1309545.0)</f>
        <v>1309545</v>
      </c>
    </row>
    <row r="1536">
      <c r="A1536" s="26">
        <f>IFERROR(__xludf.DUMMYFUNCTION("""COMPUTED_VALUE"""),40624.645833333336)</f>
        <v>40624.64583</v>
      </c>
      <c r="B1536" s="9">
        <f>IFERROR(__xludf.DUMMYFUNCTION("""COMPUTED_VALUE"""),366.89)</f>
        <v>366.89</v>
      </c>
      <c r="C1536" s="9">
        <f>IFERROR(__xludf.DUMMYFUNCTION("""COMPUTED_VALUE"""),369.59)</f>
        <v>369.59</v>
      </c>
      <c r="D1536" s="9">
        <f>IFERROR(__xludf.DUMMYFUNCTION("""COMPUTED_VALUE"""),365.5)</f>
        <v>365.5</v>
      </c>
      <c r="E1536" s="9">
        <f>IFERROR(__xludf.DUMMYFUNCTION("""COMPUTED_VALUE"""),367.88)</f>
        <v>367.88</v>
      </c>
      <c r="F1536" s="9">
        <f>IFERROR(__xludf.DUMMYFUNCTION("""COMPUTED_VALUE"""),639968.0)</f>
        <v>639968</v>
      </c>
      <c r="H1536" s="27">
        <f>IFERROR(__xludf.DUMMYFUNCTION("""COMPUTED_VALUE"""),40624.645833333336)</f>
        <v>40624.64583</v>
      </c>
      <c r="I1536" s="25">
        <f>IFERROR(__xludf.DUMMYFUNCTION("""COMPUTED_VALUE"""),537.55)</f>
        <v>537.55</v>
      </c>
      <c r="J1536" s="25">
        <f>IFERROR(__xludf.DUMMYFUNCTION("""COMPUTED_VALUE"""),540.0)</f>
        <v>540</v>
      </c>
      <c r="K1536" s="25">
        <f>IFERROR(__xludf.DUMMYFUNCTION("""COMPUTED_VALUE"""),531.5)</f>
        <v>531.5</v>
      </c>
      <c r="L1536" s="25">
        <f>IFERROR(__xludf.DUMMYFUNCTION("""COMPUTED_VALUE"""),534.75)</f>
        <v>534.75</v>
      </c>
      <c r="M1536" s="25">
        <f>IFERROR(__xludf.DUMMYFUNCTION("""COMPUTED_VALUE"""),1328887.0)</f>
        <v>1328887</v>
      </c>
    </row>
    <row r="1537">
      <c r="A1537" s="26">
        <f>IFERROR(__xludf.DUMMYFUNCTION("""COMPUTED_VALUE"""),40625.645833333336)</f>
        <v>40625.64583</v>
      </c>
      <c r="B1537" s="9">
        <f>IFERROR(__xludf.DUMMYFUNCTION("""COMPUTED_VALUE"""),366.84)</f>
        <v>366.84</v>
      </c>
      <c r="C1537" s="9">
        <f>IFERROR(__xludf.DUMMYFUNCTION("""COMPUTED_VALUE"""),374.85)</f>
        <v>374.85</v>
      </c>
      <c r="D1537" s="9">
        <f>IFERROR(__xludf.DUMMYFUNCTION("""COMPUTED_VALUE"""),365.88)</f>
        <v>365.88</v>
      </c>
      <c r="E1537" s="9">
        <f>IFERROR(__xludf.DUMMYFUNCTION("""COMPUTED_VALUE"""),374.17)</f>
        <v>374.17</v>
      </c>
      <c r="F1537" s="9">
        <f>IFERROR(__xludf.DUMMYFUNCTION("""COMPUTED_VALUE"""),908340.0)</f>
        <v>908340</v>
      </c>
      <c r="H1537" s="27">
        <f>IFERROR(__xludf.DUMMYFUNCTION("""COMPUTED_VALUE"""),40625.645833333336)</f>
        <v>40625.64583</v>
      </c>
      <c r="I1537" s="25">
        <f>IFERROR(__xludf.DUMMYFUNCTION("""COMPUTED_VALUE"""),535.5)</f>
        <v>535.5</v>
      </c>
      <c r="J1537" s="25">
        <f>IFERROR(__xludf.DUMMYFUNCTION("""COMPUTED_VALUE"""),535.5)</f>
        <v>535.5</v>
      </c>
      <c r="K1537" s="25">
        <f>IFERROR(__xludf.DUMMYFUNCTION("""COMPUTED_VALUE"""),528.63)</f>
        <v>528.63</v>
      </c>
      <c r="L1537" s="25">
        <f>IFERROR(__xludf.DUMMYFUNCTION("""COMPUTED_VALUE"""),532.17)</f>
        <v>532.17</v>
      </c>
      <c r="M1537" s="25">
        <f>IFERROR(__xludf.DUMMYFUNCTION("""COMPUTED_VALUE"""),2176124.0)</f>
        <v>2176124</v>
      </c>
    </row>
    <row r="1538">
      <c r="A1538" s="26">
        <f>IFERROR(__xludf.DUMMYFUNCTION("""COMPUTED_VALUE"""),40626.645833333336)</f>
        <v>40626.64583</v>
      </c>
      <c r="B1538" s="9">
        <f>IFERROR(__xludf.DUMMYFUNCTION("""COMPUTED_VALUE"""),374.12)</f>
        <v>374.12</v>
      </c>
      <c r="C1538" s="9">
        <f>IFERROR(__xludf.DUMMYFUNCTION("""COMPUTED_VALUE"""),376.53)</f>
        <v>376.53</v>
      </c>
      <c r="D1538" s="9">
        <f>IFERROR(__xludf.DUMMYFUNCTION("""COMPUTED_VALUE"""),372.34)</f>
        <v>372.34</v>
      </c>
      <c r="E1538" s="9">
        <f>IFERROR(__xludf.DUMMYFUNCTION("""COMPUTED_VALUE"""),375.35)</f>
        <v>375.35</v>
      </c>
      <c r="F1538" s="9">
        <f>IFERROR(__xludf.DUMMYFUNCTION("""COMPUTED_VALUE"""),1023654.0)</f>
        <v>1023654</v>
      </c>
      <c r="H1538" s="27">
        <f>IFERROR(__xludf.DUMMYFUNCTION("""COMPUTED_VALUE"""),40626.645833333336)</f>
        <v>40626.64583</v>
      </c>
      <c r="I1538" s="25">
        <f>IFERROR(__xludf.DUMMYFUNCTION("""COMPUTED_VALUE"""),535.5)</f>
        <v>535.5</v>
      </c>
      <c r="J1538" s="25">
        <f>IFERROR(__xludf.DUMMYFUNCTION("""COMPUTED_VALUE"""),547.78)</f>
        <v>547.78</v>
      </c>
      <c r="K1538" s="25">
        <f>IFERROR(__xludf.DUMMYFUNCTION("""COMPUTED_VALUE"""),535.0)</f>
        <v>535</v>
      </c>
      <c r="L1538" s="25">
        <f>IFERROR(__xludf.DUMMYFUNCTION("""COMPUTED_VALUE"""),546.7)</f>
        <v>546.7</v>
      </c>
      <c r="M1538" s="25">
        <f>IFERROR(__xludf.DUMMYFUNCTION("""COMPUTED_VALUE"""),1547417.0)</f>
        <v>1547417</v>
      </c>
    </row>
    <row r="1539">
      <c r="A1539" s="26">
        <f>IFERROR(__xludf.DUMMYFUNCTION("""COMPUTED_VALUE"""),40627.645833333336)</f>
        <v>40627.64583</v>
      </c>
      <c r="B1539" s="9">
        <f>IFERROR(__xludf.DUMMYFUNCTION("""COMPUTED_VALUE"""),380.5)</f>
        <v>380.5</v>
      </c>
      <c r="C1539" s="9">
        <f>IFERROR(__xludf.DUMMYFUNCTION("""COMPUTED_VALUE"""),398.13)</f>
        <v>398.13</v>
      </c>
      <c r="D1539" s="9">
        <f>IFERROR(__xludf.DUMMYFUNCTION("""COMPUTED_VALUE"""),380.01)</f>
        <v>380.01</v>
      </c>
      <c r="E1539" s="9">
        <f>IFERROR(__xludf.DUMMYFUNCTION("""COMPUTED_VALUE"""),395.38)</f>
        <v>395.38</v>
      </c>
      <c r="F1539" s="9">
        <f>IFERROR(__xludf.DUMMYFUNCTION("""COMPUTED_VALUE"""),1582849.0)</f>
        <v>1582849</v>
      </c>
      <c r="H1539" s="27">
        <f>IFERROR(__xludf.DUMMYFUNCTION("""COMPUTED_VALUE"""),40627.645833333336)</f>
        <v>40627.64583</v>
      </c>
      <c r="I1539" s="25">
        <f>IFERROR(__xludf.DUMMYFUNCTION("""COMPUTED_VALUE"""),558.42)</f>
        <v>558.42</v>
      </c>
      <c r="J1539" s="25">
        <f>IFERROR(__xludf.DUMMYFUNCTION("""COMPUTED_VALUE"""),564.25)</f>
        <v>564.25</v>
      </c>
      <c r="K1539" s="25">
        <f>IFERROR(__xludf.DUMMYFUNCTION("""COMPUTED_VALUE"""),551.88)</f>
        <v>551.88</v>
      </c>
      <c r="L1539" s="25">
        <f>IFERROR(__xludf.DUMMYFUNCTION("""COMPUTED_VALUE"""),559.83)</f>
        <v>559.83</v>
      </c>
      <c r="M1539" s="25">
        <f>IFERROR(__xludf.DUMMYFUNCTION("""COMPUTED_VALUE"""),2073217.0)</f>
        <v>2073217</v>
      </c>
    </row>
    <row r="1540">
      <c r="A1540" s="26">
        <f>IFERROR(__xludf.DUMMYFUNCTION("""COMPUTED_VALUE"""),40630.645833333336)</f>
        <v>40630.64583</v>
      </c>
      <c r="B1540" s="9">
        <f>IFERROR(__xludf.DUMMYFUNCTION("""COMPUTED_VALUE"""),392.38)</f>
        <v>392.38</v>
      </c>
      <c r="C1540" s="9">
        <f>IFERROR(__xludf.DUMMYFUNCTION("""COMPUTED_VALUE"""),394.69)</f>
        <v>394.69</v>
      </c>
      <c r="D1540" s="9">
        <f>IFERROR(__xludf.DUMMYFUNCTION("""COMPUTED_VALUE"""),388.72)</f>
        <v>388.72</v>
      </c>
      <c r="E1540" s="9">
        <f>IFERROR(__xludf.DUMMYFUNCTION("""COMPUTED_VALUE"""),392.44)</f>
        <v>392.44</v>
      </c>
      <c r="F1540" s="9">
        <f>IFERROR(__xludf.DUMMYFUNCTION("""COMPUTED_VALUE"""),1507079.0)</f>
        <v>1507079</v>
      </c>
      <c r="H1540" s="27">
        <f>IFERROR(__xludf.DUMMYFUNCTION("""COMPUTED_VALUE"""),40630.645833333336)</f>
        <v>40630.64583</v>
      </c>
      <c r="I1540" s="25">
        <f>IFERROR(__xludf.DUMMYFUNCTION("""COMPUTED_VALUE"""),561.92)</f>
        <v>561.92</v>
      </c>
      <c r="J1540" s="25">
        <f>IFERROR(__xludf.DUMMYFUNCTION("""COMPUTED_VALUE"""),563.35)</f>
        <v>563.35</v>
      </c>
      <c r="K1540" s="25">
        <f>IFERROR(__xludf.DUMMYFUNCTION("""COMPUTED_VALUE"""),554.0)</f>
        <v>554</v>
      </c>
      <c r="L1540" s="25">
        <f>IFERROR(__xludf.DUMMYFUNCTION("""COMPUTED_VALUE"""),559.95)</f>
        <v>559.95</v>
      </c>
      <c r="M1540" s="25">
        <f>IFERROR(__xludf.DUMMYFUNCTION("""COMPUTED_VALUE"""),1124321.0)</f>
        <v>1124321</v>
      </c>
    </row>
    <row r="1541">
      <c r="A1541" s="26">
        <f>IFERROR(__xludf.DUMMYFUNCTION("""COMPUTED_VALUE"""),40631.645833333336)</f>
        <v>40631.64583</v>
      </c>
      <c r="B1541" s="9">
        <f>IFERROR(__xludf.DUMMYFUNCTION("""COMPUTED_VALUE"""),391.5)</f>
        <v>391.5</v>
      </c>
      <c r="C1541" s="9">
        <f>IFERROR(__xludf.DUMMYFUNCTION("""COMPUTED_VALUE"""),398.59)</f>
        <v>398.59</v>
      </c>
      <c r="D1541" s="9">
        <f>IFERROR(__xludf.DUMMYFUNCTION("""COMPUTED_VALUE"""),391.12)</f>
        <v>391.12</v>
      </c>
      <c r="E1541" s="9">
        <f>IFERROR(__xludf.DUMMYFUNCTION("""COMPUTED_VALUE"""),396.67)</f>
        <v>396.67</v>
      </c>
      <c r="F1541" s="9">
        <f>IFERROR(__xludf.DUMMYFUNCTION("""COMPUTED_VALUE"""),1232574.0)</f>
        <v>1232574</v>
      </c>
      <c r="H1541" s="27">
        <f>IFERROR(__xludf.DUMMYFUNCTION("""COMPUTED_VALUE"""),40631.645833333336)</f>
        <v>40631.64583</v>
      </c>
      <c r="I1541" s="25">
        <f>IFERROR(__xludf.DUMMYFUNCTION("""COMPUTED_VALUE"""),560.0)</f>
        <v>560</v>
      </c>
      <c r="J1541" s="25">
        <f>IFERROR(__xludf.DUMMYFUNCTION("""COMPUTED_VALUE"""),575.95)</f>
        <v>575.95</v>
      </c>
      <c r="K1541" s="25">
        <f>IFERROR(__xludf.DUMMYFUNCTION("""COMPUTED_VALUE"""),559.58)</f>
        <v>559.58</v>
      </c>
      <c r="L1541" s="25">
        <f>IFERROR(__xludf.DUMMYFUNCTION("""COMPUTED_VALUE"""),569.35)</f>
        <v>569.35</v>
      </c>
      <c r="M1541" s="25">
        <f>IFERROR(__xludf.DUMMYFUNCTION("""COMPUTED_VALUE"""),1579794.0)</f>
        <v>1579794</v>
      </c>
    </row>
    <row r="1542">
      <c r="A1542" s="26">
        <f>IFERROR(__xludf.DUMMYFUNCTION("""COMPUTED_VALUE"""),40632.645833333336)</f>
        <v>40632.64583</v>
      </c>
      <c r="B1542" s="9">
        <f>IFERROR(__xludf.DUMMYFUNCTION("""COMPUTED_VALUE"""),396.5)</f>
        <v>396.5</v>
      </c>
      <c r="C1542" s="9">
        <f>IFERROR(__xludf.DUMMYFUNCTION("""COMPUTED_VALUE"""),400.44)</f>
        <v>400.44</v>
      </c>
      <c r="D1542" s="9">
        <f>IFERROR(__xludf.DUMMYFUNCTION("""COMPUTED_VALUE"""),394.58)</f>
        <v>394.58</v>
      </c>
      <c r="E1542" s="9">
        <f>IFERROR(__xludf.DUMMYFUNCTION("""COMPUTED_VALUE"""),396.36)</f>
        <v>396.36</v>
      </c>
      <c r="F1542" s="9">
        <f>IFERROR(__xludf.DUMMYFUNCTION("""COMPUTED_VALUE"""),701016.0)</f>
        <v>701016</v>
      </c>
      <c r="H1542" s="27">
        <f>IFERROR(__xludf.DUMMYFUNCTION("""COMPUTED_VALUE"""),40632.645833333336)</f>
        <v>40632.64583</v>
      </c>
      <c r="I1542" s="25">
        <f>IFERROR(__xludf.DUMMYFUNCTION("""COMPUTED_VALUE"""),574.0)</f>
        <v>574</v>
      </c>
      <c r="J1542" s="25">
        <f>IFERROR(__xludf.DUMMYFUNCTION("""COMPUTED_VALUE"""),582.0)</f>
        <v>582</v>
      </c>
      <c r="K1542" s="25">
        <f>IFERROR(__xludf.DUMMYFUNCTION("""COMPUTED_VALUE"""),572.45)</f>
        <v>572.45</v>
      </c>
      <c r="L1542" s="25">
        <f>IFERROR(__xludf.DUMMYFUNCTION("""COMPUTED_VALUE"""),575.98)</f>
        <v>575.98</v>
      </c>
      <c r="M1542" s="25">
        <f>IFERROR(__xludf.DUMMYFUNCTION("""COMPUTED_VALUE"""),1147385.0)</f>
        <v>1147385</v>
      </c>
    </row>
    <row r="1543">
      <c r="A1543" s="26">
        <f>IFERROR(__xludf.DUMMYFUNCTION("""COMPUTED_VALUE"""),40633.645833333336)</f>
        <v>40633.64583</v>
      </c>
      <c r="B1543" s="9">
        <f>IFERROR(__xludf.DUMMYFUNCTION("""COMPUTED_VALUE"""),397.75)</f>
        <v>397.75</v>
      </c>
      <c r="C1543" s="9">
        <f>IFERROR(__xludf.DUMMYFUNCTION("""COMPUTED_VALUE"""),408.13)</f>
        <v>408.13</v>
      </c>
      <c r="D1543" s="9">
        <f>IFERROR(__xludf.DUMMYFUNCTION("""COMPUTED_VALUE"""),395.49)</f>
        <v>395.49</v>
      </c>
      <c r="E1543" s="9">
        <f>IFERROR(__xludf.DUMMYFUNCTION("""COMPUTED_VALUE"""),405.16)</f>
        <v>405.16</v>
      </c>
      <c r="F1543" s="9">
        <f>IFERROR(__xludf.DUMMYFUNCTION("""COMPUTED_VALUE"""),2354991.0)</f>
        <v>2354991</v>
      </c>
      <c r="H1543" s="27">
        <f>IFERROR(__xludf.DUMMYFUNCTION("""COMPUTED_VALUE"""),40633.645833333336)</f>
        <v>40633.64583</v>
      </c>
      <c r="I1543" s="25">
        <f>IFERROR(__xludf.DUMMYFUNCTION("""COMPUTED_VALUE"""),576.0)</f>
        <v>576</v>
      </c>
      <c r="J1543" s="25">
        <f>IFERROR(__xludf.DUMMYFUNCTION("""COMPUTED_VALUE"""),599.0)</f>
        <v>599</v>
      </c>
      <c r="K1543" s="25">
        <f>IFERROR(__xludf.DUMMYFUNCTION("""COMPUTED_VALUE"""),576.0)</f>
        <v>576</v>
      </c>
      <c r="L1543" s="25">
        <f>IFERROR(__xludf.DUMMYFUNCTION("""COMPUTED_VALUE"""),591.95)</f>
        <v>591.95</v>
      </c>
      <c r="M1543" s="25">
        <f>IFERROR(__xludf.DUMMYFUNCTION("""COMPUTED_VALUE"""),3697063.0)</f>
        <v>3697063</v>
      </c>
    </row>
    <row r="1544">
      <c r="A1544" s="26">
        <f>IFERROR(__xludf.DUMMYFUNCTION("""COMPUTED_VALUE"""),40634.645833333336)</f>
        <v>40634.64583</v>
      </c>
      <c r="B1544" s="9">
        <f>IFERROR(__xludf.DUMMYFUNCTION("""COMPUTED_VALUE"""),404.39)</f>
        <v>404.39</v>
      </c>
      <c r="C1544" s="9">
        <f>IFERROR(__xludf.DUMMYFUNCTION("""COMPUTED_VALUE"""),407.03)</f>
        <v>407.03</v>
      </c>
      <c r="D1544" s="9">
        <f>IFERROR(__xludf.DUMMYFUNCTION("""COMPUTED_VALUE"""),401.0)</f>
        <v>401</v>
      </c>
      <c r="E1544" s="9">
        <f>IFERROR(__xludf.DUMMYFUNCTION("""COMPUTED_VALUE"""),402.27)</f>
        <v>402.27</v>
      </c>
      <c r="F1544" s="9">
        <f>IFERROR(__xludf.DUMMYFUNCTION("""COMPUTED_VALUE"""),698536.0)</f>
        <v>698536</v>
      </c>
      <c r="H1544" s="27">
        <f>IFERROR(__xludf.DUMMYFUNCTION("""COMPUTED_VALUE"""),40634.645833333336)</f>
        <v>40634.64583</v>
      </c>
      <c r="I1544" s="25">
        <f>IFERROR(__xludf.DUMMYFUNCTION("""COMPUTED_VALUE"""),592.5)</f>
        <v>592.5</v>
      </c>
      <c r="J1544" s="25">
        <f>IFERROR(__xludf.DUMMYFUNCTION("""COMPUTED_VALUE"""),599.38)</f>
        <v>599.38</v>
      </c>
      <c r="K1544" s="25">
        <f>IFERROR(__xludf.DUMMYFUNCTION("""COMPUTED_VALUE"""),586.28)</f>
        <v>586.28</v>
      </c>
      <c r="L1544" s="25">
        <f>IFERROR(__xludf.DUMMYFUNCTION("""COMPUTED_VALUE"""),590.08)</f>
        <v>590.08</v>
      </c>
      <c r="M1544" s="25">
        <f>IFERROR(__xludf.DUMMYFUNCTION("""COMPUTED_VALUE"""),899812.0)</f>
        <v>899812</v>
      </c>
    </row>
    <row r="1545">
      <c r="A1545" s="26">
        <f>IFERROR(__xludf.DUMMYFUNCTION("""COMPUTED_VALUE"""),40637.645833333336)</f>
        <v>40637.64583</v>
      </c>
      <c r="B1545" s="9">
        <f>IFERROR(__xludf.DUMMYFUNCTION("""COMPUTED_VALUE"""),403.13)</f>
        <v>403.13</v>
      </c>
      <c r="C1545" s="9">
        <f>IFERROR(__xludf.DUMMYFUNCTION("""COMPUTED_VALUE"""),412.0)</f>
        <v>412</v>
      </c>
      <c r="D1545" s="9">
        <f>IFERROR(__xludf.DUMMYFUNCTION("""COMPUTED_VALUE"""),402.63)</f>
        <v>402.63</v>
      </c>
      <c r="E1545" s="9">
        <f>IFERROR(__xludf.DUMMYFUNCTION("""COMPUTED_VALUE"""),410.39)</f>
        <v>410.39</v>
      </c>
      <c r="F1545" s="9">
        <f>IFERROR(__xludf.DUMMYFUNCTION("""COMPUTED_VALUE"""),921999.0)</f>
        <v>921999</v>
      </c>
      <c r="H1545" s="27">
        <f>IFERROR(__xludf.DUMMYFUNCTION("""COMPUTED_VALUE"""),40637.645833333336)</f>
        <v>40637.64583</v>
      </c>
      <c r="I1545" s="25">
        <f>IFERROR(__xludf.DUMMYFUNCTION("""COMPUTED_VALUE"""),592.5)</f>
        <v>592.5</v>
      </c>
      <c r="J1545" s="25">
        <f>IFERROR(__xludf.DUMMYFUNCTION("""COMPUTED_VALUE"""),608.0)</f>
        <v>608</v>
      </c>
      <c r="K1545" s="25">
        <f>IFERROR(__xludf.DUMMYFUNCTION("""COMPUTED_VALUE"""),592.0)</f>
        <v>592</v>
      </c>
      <c r="L1545" s="25">
        <f>IFERROR(__xludf.DUMMYFUNCTION("""COMPUTED_VALUE"""),606.6)</f>
        <v>606.6</v>
      </c>
      <c r="M1545" s="25">
        <f>IFERROR(__xludf.DUMMYFUNCTION("""COMPUTED_VALUE"""),1155808.0)</f>
        <v>1155808</v>
      </c>
    </row>
    <row r="1546">
      <c r="A1546" s="26">
        <f>IFERROR(__xludf.DUMMYFUNCTION("""COMPUTED_VALUE"""),40638.645833333336)</f>
        <v>40638.64583</v>
      </c>
      <c r="B1546" s="9">
        <f>IFERROR(__xludf.DUMMYFUNCTION("""COMPUTED_VALUE"""),409.62)</f>
        <v>409.62</v>
      </c>
      <c r="C1546" s="9">
        <f>IFERROR(__xludf.DUMMYFUNCTION("""COMPUTED_VALUE"""),411.63)</f>
        <v>411.63</v>
      </c>
      <c r="D1546" s="9">
        <f>IFERROR(__xludf.DUMMYFUNCTION("""COMPUTED_VALUE"""),403.89)</f>
        <v>403.89</v>
      </c>
      <c r="E1546" s="9">
        <f>IFERROR(__xludf.DUMMYFUNCTION("""COMPUTED_VALUE"""),410.41)</f>
        <v>410.41</v>
      </c>
      <c r="F1546" s="9">
        <f>IFERROR(__xludf.DUMMYFUNCTION("""COMPUTED_VALUE"""),537817.0)</f>
        <v>537817</v>
      </c>
      <c r="H1546" s="27">
        <f>IFERROR(__xludf.DUMMYFUNCTION("""COMPUTED_VALUE"""),40638.645833333336)</f>
        <v>40638.64583</v>
      </c>
      <c r="I1546" s="25">
        <f>IFERROR(__xludf.DUMMYFUNCTION("""COMPUTED_VALUE"""),607.53)</f>
        <v>607.53</v>
      </c>
      <c r="J1546" s="25">
        <f>IFERROR(__xludf.DUMMYFUNCTION("""COMPUTED_VALUE"""),621.98)</f>
        <v>621.98</v>
      </c>
      <c r="K1546" s="25">
        <f>IFERROR(__xludf.DUMMYFUNCTION("""COMPUTED_VALUE"""),601.88)</f>
        <v>601.88</v>
      </c>
      <c r="L1546" s="25">
        <f>IFERROR(__xludf.DUMMYFUNCTION("""COMPUTED_VALUE"""),619.92)</f>
        <v>619.92</v>
      </c>
      <c r="M1546" s="25">
        <f>IFERROR(__xludf.DUMMYFUNCTION("""COMPUTED_VALUE"""),1445507.0)</f>
        <v>1445507</v>
      </c>
    </row>
    <row r="1547">
      <c r="A1547" s="26">
        <f>IFERROR(__xludf.DUMMYFUNCTION("""COMPUTED_VALUE"""),40639.645833333336)</f>
        <v>40639.64583</v>
      </c>
      <c r="B1547" s="9">
        <f>IFERROR(__xludf.DUMMYFUNCTION("""COMPUTED_VALUE"""),409.88)</f>
        <v>409.88</v>
      </c>
      <c r="C1547" s="9">
        <f>IFERROR(__xludf.DUMMYFUNCTION("""COMPUTED_VALUE"""),412.38)</f>
        <v>412.38</v>
      </c>
      <c r="D1547" s="9">
        <f>IFERROR(__xludf.DUMMYFUNCTION("""COMPUTED_VALUE"""),406.51)</f>
        <v>406.51</v>
      </c>
      <c r="E1547" s="9">
        <f>IFERROR(__xludf.DUMMYFUNCTION("""COMPUTED_VALUE"""),409.39)</f>
        <v>409.39</v>
      </c>
      <c r="F1547" s="9">
        <f>IFERROR(__xludf.DUMMYFUNCTION("""COMPUTED_VALUE"""),845865.0)</f>
        <v>845865</v>
      </c>
      <c r="H1547" s="27">
        <f>IFERROR(__xludf.DUMMYFUNCTION("""COMPUTED_VALUE"""),40639.645833333336)</f>
        <v>40639.64583</v>
      </c>
      <c r="I1547" s="25">
        <f>IFERROR(__xludf.DUMMYFUNCTION("""COMPUTED_VALUE"""),619.5)</f>
        <v>619.5</v>
      </c>
      <c r="J1547" s="25">
        <f>IFERROR(__xludf.DUMMYFUNCTION("""COMPUTED_VALUE"""),623.48)</f>
        <v>623.48</v>
      </c>
      <c r="K1547" s="25">
        <f>IFERROR(__xludf.DUMMYFUNCTION("""COMPUTED_VALUE"""),607.08)</f>
        <v>607.08</v>
      </c>
      <c r="L1547" s="25">
        <f>IFERROR(__xludf.DUMMYFUNCTION("""COMPUTED_VALUE"""),610.92)</f>
        <v>610.92</v>
      </c>
      <c r="M1547" s="25">
        <f>IFERROR(__xludf.DUMMYFUNCTION("""COMPUTED_VALUE"""),1211176.0)</f>
        <v>1211176</v>
      </c>
    </row>
    <row r="1548">
      <c r="A1548" s="26">
        <f>IFERROR(__xludf.DUMMYFUNCTION("""COMPUTED_VALUE"""),40640.645833333336)</f>
        <v>40640.64583</v>
      </c>
      <c r="B1548" s="9">
        <f>IFERROR(__xludf.DUMMYFUNCTION("""COMPUTED_VALUE"""),407.74)</f>
        <v>407.74</v>
      </c>
      <c r="C1548" s="9">
        <f>IFERROR(__xludf.DUMMYFUNCTION("""COMPUTED_VALUE"""),407.74)</f>
        <v>407.74</v>
      </c>
      <c r="D1548" s="9">
        <f>IFERROR(__xludf.DUMMYFUNCTION("""COMPUTED_VALUE"""),404.71)</f>
        <v>404.71</v>
      </c>
      <c r="E1548" s="9">
        <f>IFERROR(__xludf.DUMMYFUNCTION("""COMPUTED_VALUE"""),405.74)</f>
        <v>405.74</v>
      </c>
      <c r="F1548" s="9">
        <f>IFERROR(__xludf.DUMMYFUNCTION("""COMPUTED_VALUE"""),475036.0)</f>
        <v>475036</v>
      </c>
      <c r="H1548" s="27">
        <f>IFERROR(__xludf.DUMMYFUNCTION("""COMPUTED_VALUE"""),40640.645833333336)</f>
        <v>40640.64583</v>
      </c>
      <c r="I1548" s="25">
        <f>IFERROR(__xludf.DUMMYFUNCTION("""COMPUTED_VALUE"""),610.0)</f>
        <v>610</v>
      </c>
      <c r="J1548" s="25">
        <f>IFERROR(__xludf.DUMMYFUNCTION("""COMPUTED_VALUE"""),610.0)</f>
        <v>610</v>
      </c>
      <c r="K1548" s="25">
        <f>IFERROR(__xludf.DUMMYFUNCTION("""COMPUTED_VALUE"""),597.58)</f>
        <v>597.58</v>
      </c>
      <c r="L1548" s="25">
        <f>IFERROR(__xludf.DUMMYFUNCTION("""COMPUTED_VALUE"""),599.6)</f>
        <v>599.6</v>
      </c>
      <c r="M1548" s="25">
        <f>IFERROR(__xludf.DUMMYFUNCTION("""COMPUTED_VALUE"""),1074508.0)</f>
        <v>1074508</v>
      </c>
    </row>
    <row r="1549">
      <c r="A1549" s="26">
        <f>IFERROR(__xludf.DUMMYFUNCTION("""COMPUTED_VALUE"""),40641.645833333336)</f>
        <v>40641.64583</v>
      </c>
      <c r="B1549" s="9">
        <f>IFERROR(__xludf.DUMMYFUNCTION("""COMPUTED_VALUE"""),405.25)</f>
        <v>405.25</v>
      </c>
      <c r="C1549" s="9">
        <f>IFERROR(__xludf.DUMMYFUNCTION("""COMPUTED_VALUE"""),408.08)</f>
        <v>408.08</v>
      </c>
      <c r="D1549" s="9">
        <f>IFERROR(__xludf.DUMMYFUNCTION("""COMPUTED_VALUE"""),400.93)</f>
        <v>400.93</v>
      </c>
      <c r="E1549" s="9">
        <f>IFERROR(__xludf.DUMMYFUNCTION("""COMPUTED_VALUE"""),403.41)</f>
        <v>403.41</v>
      </c>
      <c r="F1549" s="9">
        <f>IFERROR(__xludf.DUMMYFUNCTION("""COMPUTED_VALUE"""),604116.0)</f>
        <v>604116</v>
      </c>
      <c r="H1549" s="27">
        <f>IFERROR(__xludf.DUMMYFUNCTION("""COMPUTED_VALUE"""),40641.645833333336)</f>
        <v>40641.64583</v>
      </c>
      <c r="I1549" s="25">
        <f>IFERROR(__xludf.DUMMYFUNCTION("""COMPUTED_VALUE"""),598.45)</f>
        <v>598.45</v>
      </c>
      <c r="J1549" s="25">
        <f>IFERROR(__xludf.DUMMYFUNCTION("""COMPUTED_VALUE"""),607.0)</f>
        <v>607</v>
      </c>
      <c r="K1549" s="25">
        <f>IFERROR(__xludf.DUMMYFUNCTION("""COMPUTED_VALUE"""),592.38)</f>
        <v>592.38</v>
      </c>
      <c r="L1549" s="25">
        <f>IFERROR(__xludf.DUMMYFUNCTION("""COMPUTED_VALUE"""),598.0)</f>
        <v>598</v>
      </c>
      <c r="M1549" s="25">
        <f>IFERROR(__xludf.DUMMYFUNCTION("""COMPUTED_VALUE"""),991884.0)</f>
        <v>991884</v>
      </c>
    </row>
    <row r="1550">
      <c r="A1550" s="26">
        <f>IFERROR(__xludf.DUMMYFUNCTION("""COMPUTED_VALUE"""),40644.645833333336)</f>
        <v>40644.64583</v>
      </c>
      <c r="B1550" s="9">
        <f>IFERROR(__xludf.DUMMYFUNCTION("""COMPUTED_VALUE"""),399.41)</f>
        <v>399.41</v>
      </c>
      <c r="C1550" s="9">
        <f>IFERROR(__xludf.DUMMYFUNCTION("""COMPUTED_VALUE"""),407.73)</f>
        <v>407.73</v>
      </c>
      <c r="D1550" s="9">
        <f>IFERROR(__xludf.DUMMYFUNCTION("""COMPUTED_VALUE"""),397.63)</f>
        <v>397.63</v>
      </c>
      <c r="E1550" s="9">
        <f>IFERROR(__xludf.DUMMYFUNCTION("""COMPUTED_VALUE"""),405.2)</f>
        <v>405.2</v>
      </c>
      <c r="F1550" s="9">
        <f>IFERROR(__xludf.DUMMYFUNCTION("""COMPUTED_VALUE"""),1000008.0)</f>
        <v>1000008</v>
      </c>
      <c r="H1550" s="27">
        <f>IFERROR(__xludf.DUMMYFUNCTION("""COMPUTED_VALUE"""),40644.645833333336)</f>
        <v>40644.64583</v>
      </c>
      <c r="I1550" s="25">
        <f>IFERROR(__xludf.DUMMYFUNCTION("""COMPUTED_VALUE"""),590.08)</f>
        <v>590.08</v>
      </c>
      <c r="J1550" s="25">
        <f>IFERROR(__xludf.DUMMYFUNCTION("""COMPUTED_VALUE"""),597.5)</f>
        <v>597.5</v>
      </c>
      <c r="K1550" s="25">
        <f>IFERROR(__xludf.DUMMYFUNCTION("""COMPUTED_VALUE"""),587.65)</f>
        <v>587.65</v>
      </c>
      <c r="L1550" s="25">
        <f>IFERROR(__xludf.DUMMYFUNCTION("""COMPUTED_VALUE"""),589.2)</f>
        <v>589.2</v>
      </c>
      <c r="M1550" s="25">
        <f>IFERROR(__xludf.DUMMYFUNCTION("""COMPUTED_VALUE"""),1128116.0)</f>
        <v>1128116</v>
      </c>
    </row>
    <row r="1551">
      <c r="A1551" s="26">
        <f>IFERROR(__xludf.DUMMYFUNCTION("""COMPUTED_VALUE"""),40646.645833333336)</f>
        <v>40646.64583</v>
      </c>
      <c r="B1551" s="9">
        <f>IFERROR(__xludf.DUMMYFUNCTION("""COMPUTED_VALUE"""),401.38)</f>
        <v>401.38</v>
      </c>
      <c r="C1551" s="9">
        <f>IFERROR(__xludf.DUMMYFUNCTION("""COMPUTED_VALUE"""),414.64)</f>
        <v>414.64</v>
      </c>
      <c r="D1551" s="9">
        <f>IFERROR(__xludf.DUMMYFUNCTION("""COMPUTED_VALUE"""),399.5)</f>
        <v>399.5</v>
      </c>
      <c r="E1551" s="9">
        <f>IFERROR(__xludf.DUMMYFUNCTION("""COMPUTED_VALUE"""),413.28)</f>
        <v>413.28</v>
      </c>
      <c r="F1551" s="9">
        <f>IFERROR(__xludf.DUMMYFUNCTION("""COMPUTED_VALUE"""),1383613.0)</f>
        <v>1383613</v>
      </c>
      <c r="H1551" s="27">
        <f>IFERROR(__xludf.DUMMYFUNCTION("""COMPUTED_VALUE"""),40646.645833333336)</f>
        <v>40646.64583</v>
      </c>
      <c r="I1551" s="25">
        <f>IFERROR(__xludf.DUMMYFUNCTION("""COMPUTED_VALUE"""),587.5)</f>
        <v>587.5</v>
      </c>
      <c r="J1551" s="25">
        <f>IFERROR(__xludf.DUMMYFUNCTION("""COMPUTED_VALUE"""),610.7)</f>
        <v>610.7</v>
      </c>
      <c r="K1551" s="25">
        <f>IFERROR(__xludf.DUMMYFUNCTION("""COMPUTED_VALUE"""),587.15)</f>
        <v>587.15</v>
      </c>
      <c r="L1551" s="25">
        <f>IFERROR(__xludf.DUMMYFUNCTION("""COMPUTED_VALUE"""),605.05)</f>
        <v>605.05</v>
      </c>
      <c r="M1551" s="25">
        <f>IFERROR(__xludf.DUMMYFUNCTION("""COMPUTED_VALUE"""),1878765.0)</f>
        <v>1878765</v>
      </c>
    </row>
    <row r="1552">
      <c r="A1552" s="26">
        <f>IFERROR(__xludf.DUMMYFUNCTION("""COMPUTED_VALUE"""),40648.645833333336)</f>
        <v>40648.64583</v>
      </c>
      <c r="B1552" s="9">
        <f>IFERROR(__xludf.DUMMYFUNCTION("""COMPUTED_VALUE"""),412.02)</f>
        <v>412.02</v>
      </c>
      <c r="C1552" s="9">
        <f>IFERROR(__xludf.DUMMYFUNCTION("""COMPUTED_VALUE"""),412.33)</f>
        <v>412.33</v>
      </c>
      <c r="D1552" s="9">
        <f>IFERROR(__xludf.DUMMYFUNCTION("""COMPUTED_VALUE"""),372.19)</f>
        <v>372.19</v>
      </c>
      <c r="E1552" s="9">
        <f>IFERROR(__xludf.DUMMYFUNCTION("""COMPUTED_VALUE"""),373.69)</f>
        <v>373.69</v>
      </c>
      <c r="F1552" s="9">
        <f>IFERROR(__xludf.DUMMYFUNCTION("""COMPUTED_VALUE"""),1.0127467E7)</f>
        <v>10127467</v>
      </c>
      <c r="H1552" s="27">
        <f>IFERROR(__xludf.DUMMYFUNCTION("""COMPUTED_VALUE"""),40648.645833333336)</f>
        <v>40648.64583</v>
      </c>
      <c r="I1552" s="25">
        <f>IFERROR(__xludf.DUMMYFUNCTION("""COMPUTED_VALUE"""),608.45)</f>
        <v>608.45</v>
      </c>
      <c r="J1552" s="25">
        <f>IFERROR(__xludf.DUMMYFUNCTION("""COMPUTED_VALUE"""),609.95)</f>
        <v>609.95</v>
      </c>
      <c r="K1552" s="25">
        <f>IFERROR(__xludf.DUMMYFUNCTION("""COMPUTED_VALUE"""),590.0)</f>
        <v>590</v>
      </c>
      <c r="L1552" s="25">
        <f>IFERROR(__xludf.DUMMYFUNCTION("""COMPUTED_VALUE"""),595.7)</f>
        <v>595.7</v>
      </c>
      <c r="M1552" s="25">
        <f>IFERROR(__xludf.DUMMYFUNCTION("""COMPUTED_VALUE"""),3783385.0)</f>
        <v>3783385</v>
      </c>
    </row>
    <row r="1553">
      <c r="A1553" s="26">
        <f>IFERROR(__xludf.DUMMYFUNCTION("""COMPUTED_VALUE"""),40651.645833333336)</f>
        <v>40651.64583</v>
      </c>
      <c r="B1553" s="9">
        <f>IFERROR(__xludf.DUMMYFUNCTION("""COMPUTED_VALUE"""),364.88)</f>
        <v>364.88</v>
      </c>
      <c r="C1553" s="9">
        <f>IFERROR(__xludf.DUMMYFUNCTION("""COMPUTED_VALUE"""),370.88)</f>
        <v>370.88</v>
      </c>
      <c r="D1553" s="9">
        <f>IFERROR(__xludf.DUMMYFUNCTION("""COMPUTED_VALUE"""),360.0)</f>
        <v>360</v>
      </c>
      <c r="E1553" s="9">
        <f>IFERROR(__xludf.DUMMYFUNCTION("""COMPUTED_VALUE"""),363.26)</f>
        <v>363.26</v>
      </c>
      <c r="F1553" s="9">
        <f>IFERROR(__xludf.DUMMYFUNCTION("""COMPUTED_VALUE"""),5135839.0)</f>
        <v>5135839</v>
      </c>
      <c r="H1553" s="27">
        <f>IFERROR(__xludf.DUMMYFUNCTION("""COMPUTED_VALUE"""),40651.645833333336)</f>
        <v>40651.64583</v>
      </c>
      <c r="I1553" s="25">
        <f>IFERROR(__xludf.DUMMYFUNCTION("""COMPUTED_VALUE"""),599.0)</f>
        <v>599</v>
      </c>
      <c r="J1553" s="25">
        <f>IFERROR(__xludf.DUMMYFUNCTION("""COMPUTED_VALUE"""),606.25)</f>
        <v>606.25</v>
      </c>
      <c r="K1553" s="25">
        <f>IFERROR(__xludf.DUMMYFUNCTION("""COMPUTED_VALUE"""),570.03)</f>
        <v>570.03</v>
      </c>
      <c r="L1553" s="25">
        <f>IFERROR(__xludf.DUMMYFUNCTION("""COMPUTED_VALUE"""),572.3)</f>
        <v>572.3</v>
      </c>
      <c r="M1553" s="25">
        <f>IFERROR(__xludf.DUMMYFUNCTION("""COMPUTED_VALUE"""),3882727.0)</f>
        <v>3882727</v>
      </c>
    </row>
    <row r="1554">
      <c r="A1554" s="26">
        <f>IFERROR(__xludf.DUMMYFUNCTION("""COMPUTED_VALUE"""),40652.645833333336)</f>
        <v>40652.64583</v>
      </c>
      <c r="B1554" s="9">
        <f>IFERROR(__xludf.DUMMYFUNCTION("""COMPUTED_VALUE"""),363.25)</f>
        <v>363.25</v>
      </c>
      <c r="C1554" s="9">
        <f>IFERROR(__xludf.DUMMYFUNCTION("""COMPUTED_VALUE"""),365.88)</f>
        <v>365.88</v>
      </c>
      <c r="D1554" s="9">
        <f>IFERROR(__xludf.DUMMYFUNCTION("""COMPUTED_VALUE"""),360.13)</f>
        <v>360.13</v>
      </c>
      <c r="E1554" s="9">
        <f>IFERROR(__xludf.DUMMYFUNCTION("""COMPUTED_VALUE"""),360.92)</f>
        <v>360.92</v>
      </c>
      <c r="F1554" s="9">
        <f>IFERROR(__xludf.DUMMYFUNCTION("""COMPUTED_VALUE"""),2401329.0)</f>
        <v>2401329</v>
      </c>
      <c r="H1554" s="27">
        <f>IFERROR(__xludf.DUMMYFUNCTION("""COMPUTED_VALUE"""),40652.645833333336)</f>
        <v>40652.64583</v>
      </c>
      <c r="I1554" s="25">
        <f>IFERROR(__xludf.DUMMYFUNCTION("""COMPUTED_VALUE"""),572.3)</f>
        <v>572.3</v>
      </c>
      <c r="J1554" s="25">
        <f>IFERROR(__xludf.DUMMYFUNCTION("""COMPUTED_VALUE"""),584.7)</f>
        <v>584.7</v>
      </c>
      <c r="K1554" s="25">
        <f>IFERROR(__xludf.DUMMYFUNCTION("""COMPUTED_VALUE"""),570.0)</f>
        <v>570</v>
      </c>
      <c r="L1554" s="25">
        <f>IFERROR(__xludf.DUMMYFUNCTION("""COMPUTED_VALUE"""),582.35)</f>
        <v>582.35</v>
      </c>
      <c r="M1554" s="25">
        <f>IFERROR(__xludf.DUMMYFUNCTION("""COMPUTED_VALUE"""),1560112.0)</f>
        <v>1560112</v>
      </c>
    </row>
    <row r="1555">
      <c r="A1555" s="26">
        <f>IFERROR(__xludf.DUMMYFUNCTION("""COMPUTED_VALUE"""),40653.645833333336)</f>
        <v>40653.64583</v>
      </c>
      <c r="B1555" s="9">
        <f>IFERROR(__xludf.DUMMYFUNCTION("""COMPUTED_VALUE"""),364.88)</f>
        <v>364.88</v>
      </c>
      <c r="C1555" s="9">
        <f>IFERROR(__xludf.DUMMYFUNCTION("""COMPUTED_VALUE"""),365.99)</f>
        <v>365.99</v>
      </c>
      <c r="D1555" s="9">
        <f>IFERROR(__xludf.DUMMYFUNCTION("""COMPUTED_VALUE"""),361.38)</f>
        <v>361.38</v>
      </c>
      <c r="E1555" s="9">
        <f>IFERROR(__xludf.DUMMYFUNCTION("""COMPUTED_VALUE"""),363.41)</f>
        <v>363.41</v>
      </c>
      <c r="F1555" s="9">
        <f>IFERROR(__xludf.DUMMYFUNCTION("""COMPUTED_VALUE"""),2243732.0)</f>
        <v>2243732</v>
      </c>
      <c r="H1555" s="27">
        <f>IFERROR(__xludf.DUMMYFUNCTION("""COMPUTED_VALUE"""),40653.645833333336)</f>
        <v>40653.64583</v>
      </c>
      <c r="I1555" s="25">
        <f>IFERROR(__xludf.DUMMYFUNCTION("""COMPUTED_VALUE"""),589.9)</f>
        <v>589.9</v>
      </c>
      <c r="J1555" s="25">
        <f>IFERROR(__xludf.DUMMYFUNCTION("""COMPUTED_VALUE"""),612.0)</f>
        <v>612</v>
      </c>
      <c r="K1555" s="25">
        <f>IFERROR(__xludf.DUMMYFUNCTION("""COMPUTED_VALUE"""),589.78)</f>
        <v>589.78</v>
      </c>
      <c r="L1555" s="25">
        <f>IFERROR(__xludf.DUMMYFUNCTION("""COMPUTED_VALUE"""),609.35)</f>
        <v>609.35</v>
      </c>
      <c r="M1555" s="25">
        <f>IFERROR(__xludf.DUMMYFUNCTION("""COMPUTED_VALUE"""),2669274.0)</f>
        <v>2669274</v>
      </c>
    </row>
    <row r="1556">
      <c r="A1556" s="26">
        <f>IFERROR(__xludf.DUMMYFUNCTION("""COMPUTED_VALUE"""),40654.645833333336)</f>
        <v>40654.64583</v>
      </c>
      <c r="B1556" s="9">
        <f>IFERROR(__xludf.DUMMYFUNCTION("""COMPUTED_VALUE"""),364.84)</f>
        <v>364.84</v>
      </c>
      <c r="C1556" s="9">
        <f>IFERROR(__xludf.DUMMYFUNCTION("""COMPUTED_VALUE"""),367.56)</f>
        <v>367.56</v>
      </c>
      <c r="D1556" s="9">
        <f>IFERROR(__xludf.DUMMYFUNCTION("""COMPUTED_VALUE"""),362.64)</f>
        <v>362.64</v>
      </c>
      <c r="E1556" s="9">
        <f>IFERROR(__xludf.DUMMYFUNCTION("""COMPUTED_VALUE"""),363.75)</f>
        <v>363.75</v>
      </c>
      <c r="F1556" s="9">
        <f>IFERROR(__xludf.DUMMYFUNCTION("""COMPUTED_VALUE"""),2994212.0)</f>
        <v>2994212</v>
      </c>
      <c r="H1556" s="27">
        <f>IFERROR(__xludf.DUMMYFUNCTION("""COMPUTED_VALUE"""),40654.645833333336)</f>
        <v>40654.64583</v>
      </c>
      <c r="I1556" s="25">
        <f>IFERROR(__xludf.DUMMYFUNCTION("""COMPUTED_VALUE"""),620.5)</f>
        <v>620.5</v>
      </c>
      <c r="J1556" s="25">
        <f>IFERROR(__xludf.DUMMYFUNCTION("""COMPUTED_VALUE"""),622.9)</f>
        <v>622.9</v>
      </c>
      <c r="K1556" s="25">
        <f>IFERROR(__xludf.DUMMYFUNCTION("""COMPUTED_VALUE"""),585.42)</f>
        <v>585.42</v>
      </c>
      <c r="L1556" s="25">
        <f>IFERROR(__xludf.DUMMYFUNCTION("""COMPUTED_VALUE"""),596.05)</f>
        <v>596.05</v>
      </c>
      <c r="M1556" s="25">
        <f>IFERROR(__xludf.DUMMYFUNCTION("""COMPUTED_VALUE"""),8666984.0)</f>
        <v>8666984</v>
      </c>
    </row>
    <row r="1557">
      <c r="A1557" s="26">
        <f>IFERROR(__xludf.DUMMYFUNCTION("""COMPUTED_VALUE"""),40658.645833333336)</f>
        <v>40658.64583</v>
      </c>
      <c r="B1557" s="9">
        <f>IFERROR(__xludf.DUMMYFUNCTION("""COMPUTED_VALUE"""),364.38)</f>
        <v>364.38</v>
      </c>
      <c r="C1557" s="9">
        <f>IFERROR(__xludf.DUMMYFUNCTION("""COMPUTED_VALUE"""),370.49)</f>
        <v>370.49</v>
      </c>
      <c r="D1557" s="9">
        <f>IFERROR(__xludf.DUMMYFUNCTION("""COMPUTED_VALUE"""),363.43)</f>
        <v>363.43</v>
      </c>
      <c r="E1557" s="9">
        <f>IFERROR(__xludf.DUMMYFUNCTION("""COMPUTED_VALUE"""),367.66)</f>
        <v>367.66</v>
      </c>
      <c r="F1557" s="9">
        <f>IFERROR(__xludf.DUMMYFUNCTION("""COMPUTED_VALUE"""),1940905.0)</f>
        <v>1940905</v>
      </c>
      <c r="H1557" s="27">
        <f>IFERROR(__xludf.DUMMYFUNCTION("""COMPUTED_VALUE"""),40658.645833333336)</f>
        <v>40658.64583</v>
      </c>
      <c r="I1557" s="25">
        <f>IFERROR(__xludf.DUMMYFUNCTION("""COMPUTED_VALUE"""),598.5)</f>
        <v>598.5</v>
      </c>
      <c r="J1557" s="25">
        <f>IFERROR(__xludf.DUMMYFUNCTION("""COMPUTED_VALUE"""),602.0)</f>
        <v>602</v>
      </c>
      <c r="K1557" s="25">
        <f>IFERROR(__xludf.DUMMYFUNCTION("""COMPUTED_VALUE"""),586.33)</f>
        <v>586.33</v>
      </c>
      <c r="L1557" s="25">
        <f>IFERROR(__xludf.DUMMYFUNCTION("""COMPUTED_VALUE"""),598.92)</f>
        <v>598.92</v>
      </c>
      <c r="M1557" s="25">
        <f>IFERROR(__xludf.DUMMYFUNCTION("""COMPUTED_VALUE"""),2095776.0)</f>
        <v>2095776</v>
      </c>
    </row>
    <row r="1558">
      <c r="A1558" s="26">
        <f>IFERROR(__xludf.DUMMYFUNCTION("""COMPUTED_VALUE"""),40659.645833333336)</f>
        <v>40659.64583</v>
      </c>
      <c r="B1558" s="9">
        <f>IFERROR(__xludf.DUMMYFUNCTION("""COMPUTED_VALUE"""),366.88)</f>
        <v>366.88</v>
      </c>
      <c r="C1558" s="9">
        <f>IFERROR(__xludf.DUMMYFUNCTION("""COMPUTED_VALUE"""),369.37)</f>
        <v>369.37</v>
      </c>
      <c r="D1558" s="9">
        <f>IFERROR(__xludf.DUMMYFUNCTION("""COMPUTED_VALUE"""),365.0)</f>
        <v>365</v>
      </c>
      <c r="E1558" s="9">
        <f>IFERROR(__xludf.DUMMYFUNCTION("""COMPUTED_VALUE"""),367.79)</f>
        <v>367.79</v>
      </c>
      <c r="F1558" s="9">
        <f>IFERROR(__xludf.DUMMYFUNCTION("""COMPUTED_VALUE"""),2278860.0)</f>
        <v>2278860</v>
      </c>
      <c r="H1558" s="27">
        <f>IFERROR(__xludf.DUMMYFUNCTION("""COMPUTED_VALUE"""),40659.645833333336)</f>
        <v>40659.64583</v>
      </c>
      <c r="I1558" s="25">
        <f>IFERROR(__xludf.DUMMYFUNCTION("""COMPUTED_VALUE"""),600.0)</f>
        <v>600</v>
      </c>
      <c r="J1558" s="25">
        <f>IFERROR(__xludf.DUMMYFUNCTION("""COMPUTED_VALUE"""),601.0)</f>
        <v>601</v>
      </c>
      <c r="K1558" s="25">
        <f>IFERROR(__xludf.DUMMYFUNCTION("""COMPUTED_VALUE"""),590.17)</f>
        <v>590.17</v>
      </c>
      <c r="L1558" s="25">
        <f>IFERROR(__xludf.DUMMYFUNCTION("""COMPUTED_VALUE"""),594.5)</f>
        <v>594.5</v>
      </c>
      <c r="M1558" s="25">
        <f>IFERROR(__xludf.DUMMYFUNCTION("""COMPUTED_VALUE"""),1577623.0)</f>
        <v>1577623</v>
      </c>
    </row>
    <row r="1559">
      <c r="A1559" s="26">
        <f>IFERROR(__xludf.DUMMYFUNCTION("""COMPUTED_VALUE"""),40660.645833333336)</f>
        <v>40660.64583</v>
      </c>
      <c r="B1559" s="9">
        <f>IFERROR(__xludf.DUMMYFUNCTION("""COMPUTED_VALUE"""),368.13)</f>
        <v>368.13</v>
      </c>
      <c r="C1559" s="9">
        <f>IFERROR(__xludf.DUMMYFUNCTION("""COMPUTED_VALUE"""),370.58)</f>
        <v>370.58</v>
      </c>
      <c r="D1559" s="9">
        <f>IFERROR(__xludf.DUMMYFUNCTION("""COMPUTED_VALUE"""),367.81)</f>
        <v>367.81</v>
      </c>
      <c r="E1559" s="9">
        <f>IFERROR(__xludf.DUMMYFUNCTION("""COMPUTED_VALUE"""),369.14)</f>
        <v>369.14</v>
      </c>
      <c r="F1559" s="9">
        <f>IFERROR(__xludf.DUMMYFUNCTION("""COMPUTED_VALUE"""),1247666.0)</f>
        <v>1247666</v>
      </c>
      <c r="H1559" s="27">
        <f>IFERROR(__xludf.DUMMYFUNCTION("""COMPUTED_VALUE"""),40660.645833333336)</f>
        <v>40660.64583</v>
      </c>
      <c r="I1559" s="25">
        <f>IFERROR(__xludf.DUMMYFUNCTION("""COMPUTED_VALUE"""),597.48)</f>
        <v>597.48</v>
      </c>
      <c r="J1559" s="25">
        <f>IFERROR(__xludf.DUMMYFUNCTION("""COMPUTED_VALUE"""),597.48)</f>
        <v>597.48</v>
      </c>
      <c r="K1559" s="25">
        <f>IFERROR(__xludf.DUMMYFUNCTION("""COMPUTED_VALUE"""),588.03)</f>
        <v>588.03</v>
      </c>
      <c r="L1559" s="25">
        <f>IFERROR(__xludf.DUMMYFUNCTION("""COMPUTED_VALUE"""),590.3)</f>
        <v>590.3</v>
      </c>
      <c r="M1559" s="25">
        <f>IFERROR(__xludf.DUMMYFUNCTION("""COMPUTED_VALUE"""),887239.0)</f>
        <v>887239</v>
      </c>
    </row>
    <row r="1560">
      <c r="A1560" s="26">
        <f>IFERROR(__xludf.DUMMYFUNCTION("""COMPUTED_VALUE"""),40661.645833333336)</f>
        <v>40661.64583</v>
      </c>
      <c r="B1560" s="9">
        <f>IFERROR(__xludf.DUMMYFUNCTION("""COMPUTED_VALUE"""),368.63)</f>
        <v>368.63</v>
      </c>
      <c r="C1560" s="9">
        <f>IFERROR(__xludf.DUMMYFUNCTION("""COMPUTED_VALUE"""),369.75)</f>
        <v>369.75</v>
      </c>
      <c r="D1560" s="9">
        <f>IFERROR(__xludf.DUMMYFUNCTION("""COMPUTED_VALUE"""),365.13)</f>
        <v>365.13</v>
      </c>
      <c r="E1560" s="9">
        <f>IFERROR(__xludf.DUMMYFUNCTION("""COMPUTED_VALUE"""),366.14)</f>
        <v>366.14</v>
      </c>
      <c r="F1560" s="9">
        <f>IFERROR(__xludf.DUMMYFUNCTION("""COMPUTED_VALUE"""),2927413.0)</f>
        <v>2927413</v>
      </c>
      <c r="H1560" s="27">
        <f>IFERROR(__xludf.DUMMYFUNCTION("""COMPUTED_VALUE"""),40661.645833333336)</f>
        <v>40661.64583</v>
      </c>
      <c r="I1560" s="25">
        <f>IFERROR(__xludf.DUMMYFUNCTION("""COMPUTED_VALUE"""),590.08)</f>
        <v>590.08</v>
      </c>
      <c r="J1560" s="25">
        <f>IFERROR(__xludf.DUMMYFUNCTION("""COMPUTED_VALUE"""),591.75)</f>
        <v>591.75</v>
      </c>
      <c r="K1560" s="25">
        <f>IFERROR(__xludf.DUMMYFUNCTION("""COMPUTED_VALUE"""),577.8)</f>
        <v>577.8</v>
      </c>
      <c r="L1560" s="25">
        <f>IFERROR(__xludf.DUMMYFUNCTION("""COMPUTED_VALUE"""),579.33)</f>
        <v>579.33</v>
      </c>
      <c r="M1560" s="25">
        <f>IFERROR(__xludf.DUMMYFUNCTION("""COMPUTED_VALUE"""),1423097.0)</f>
        <v>1423097</v>
      </c>
    </row>
    <row r="1561">
      <c r="A1561" s="26">
        <f>IFERROR(__xludf.DUMMYFUNCTION("""COMPUTED_VALUE"""),40662.645833333336)</f>
        <v>40662.64583</v>
      </c>
      <c r="B1561" s="9">
        <f>IFERROR(__xludf.DUMMYFUNCTION("""COMPUTED_VALUE"""),363.75)</f>
        <v>363.75</v>
      </c>
      <c r="C1561" s="9">
        <f>IFERROR(__xludf.DUMMYFUNCTION("""COMPUTED_VALUE"""),366.13)</f>
        <v>366.13</v>
      </c>
      <c r="D1561" s="9">
        <f>IFERROR(__xludf.DUMMYFUNCTION("""COMPUTED_VALUE"""),360.99)</f>
        <v>360.99</v>
      </c>
      <c r="E1561" s="9">
        <f>IFERROR(__xludf.DUMMYFUNCTION("""COMPUTED_VALUE"""),363.28)</f>
        <v>363.28</v>
      </c>
      <c r="F1561" s="9">
        <f>IFERROR(__xludf.DUMMYFUNCTION("""COMPUTED_VALUE"""),2031792.0)</f>
        <v>2031792</v>
      </c>
      <c r="H1561" s="27">
        <f>IFERROR(__xludf.DUMMYFUNCTION("""COMPUTED_VALUE"""),40662.645833333336)</f>
        <v>40662.64583</v>
      </c>
      <c r="I1561" s="25">
        <f>IFERROR(__xludf.DUMMYFUNCTION("""COMPUTED_VALUE"""),586.0)</f>
        <v>586</v>
      </c>
      <c r="J1561" s="25">
        <f>IFERROR(__xludf.DUMMYFUNCTION("""COMPUTED_VALUE"""),586.0)</f>
        <v>586</v>
      </c>
      <c r="K1561" s="25">
        <f>IFERROR(__xludf.DUMMYFUNCTION("""COMPUTED_VALUE"""),575.13)</f>
        <v>575.13</v>
      </c>
      <c r="L1561" s="25">
        <f>IFERROR(__xludf.DUMMYFUNCTION("""COMPUTED_VALUE"""),582.83)</f>
        <v>582.83</v>
      </c>
      <c r="M1561" s="25">
        <f>IFERROR(__xludf.DUMMYFUNCTION("""COMPUTED_VALUE"""),933348.0)</f>
        <v>933348</v>
      </c>
    </row>
    <row r="1562">
      <c r="A1562" s="26">
        <f>IFERROR(__xludf.DUMMYFUNCTION("""COMPUTED_VALUE"""),40665.645833333336)</f>
        <v>40665.64583</v>
      </c>
      <c r="B1562" s="9">
        <f>IFERROR(__xludf.DUMMYFUNCTION("""COMPUTED_VALUE"""),364.88)</f>
        <v>364.88</v>
      </c>
      <c r="C1562" s="9">
        <f>IFERROR(__xludf.DUMMYFUNCTION("""COMPUTED_VALUE"""),368.0)</f>
        <v>368</v>
      </c>
      <c r="D1562" s="9">
        <f>IFERROR(__xludf.DUMMYFUNCTION("""COMPUTED_VALUE"""),363.75)</f>
        <v>363.75</v>
      </c>
      <c r="E1562" s="9">
        <f>IFERROR(__xludf.DUMMYFUNCTION("""COMPUTED_VALUE"""),365.32)</f>
        <v>365.32</v>
      </c>
      <c r="F1562" s="9">
        <f>IFERROR(__xludf.DUMMYFUNCTION("""COMPUTED_VALUE"""),1683523.0)</f>
        <v>1683523</v>
      </c>
      <c r="H1562" s="27">
        <f>IFERROR(__xludf.DUMMYFUNCTION("""COMPUTED_VALUE"""),40665.645833333336)</f>
        <v>40665.64583</v>
      </c>
      <c r="I1562" s="25">
        <f>IFERROR(__xludf.DUMMYFUNCTION("""COMPUTED_VALUE"""),585.0)</f>
        <v>585</v>
      </c>
      <c r="J1562" s="25">
        <f>IFERROR(__xludf.DUMMYFUNCTION("""COMPUTED_VALUE"""),588.75)</f>
        <v>588.75</v>
      </c>
      <c r="K1562" s="25">
        <f>IFERROR(__xludf.DUMMYFUNCTION("""COMPUTED_VALUE"""),576.25)</f>
        <v>576.25</v>
      </c>
      <c r="L1562" s="25">
        <f>IFERROR(__xludf.DUMMYFUNCTION("""COMPUTED_VALUE"""),579.23)</f>
        <v>579.23</v>
      </c>
      <c r="M1562" s="25">
        <f>IFERROR(__xludf.DUMMYFUNCTION("""COMPUTED_VALUE"""),771535.0)</f>
        <v>771535</v>
      </c>
    </row>
    <row r="1563">
      <c r="A1563" s="26">
        <f>IFERROR(__xludf.DUMMYFUNCTION("""COMPUTED_VALUE"""),40666.645833333336)</f>
        <v>40666.64583</v>
      </c>
      <c r="B1563" s="9">
        <f>IFERROR(__xludf.DUMMYFUNCTION("""COMPUTED_VALUE"""),365.0)</f>
        <v>365</v>
      </c>
      <c r="C1563" s="9">
        <f>IFERROR(__xludf.DUMMYFUNCTION("""COMPUTED_VALUE"""),369.64)</f>
        <v>369.64</v>
      </c>
      <c r="D1563" s="9">
        <f>IFERROR(__xludf.DUMMYFUNCTION("""COMPUTED_VALUE"""),362.49)</f>
        <v>362.49</v>
      </c>
      <c r="E1563" s="9">
        <f>IFERROR(__xludf.DUMMYFUNCTION("""COMPUTED_VALUE"""),363.88)</f>
        <v>363.88</v>
      </c>
      <c r="F1563" s="9">
        <f>IFERROR(__xludf.DUMMYFUNCTION("""COMPUTED_VALUE"""),1654255.0)</f>
        <v>1654255</v>
      </c>
      <c r="H1563" s="27">
        <f>IFERROR(__xludf.DUMMYFUNCTION("""COMPUTED_VALUE"""),40666.645833333336)</f>
        <v>40666.64583</v>
      </c>
      <c r="I1563" s="25">
        <f>IFERROR(__xludf.DUMMYFUNCTION("""COMPUTED_VALUE"""),581.0)</f>
        <v>581</v>
      </c>
      <c r="J1563" s="25">
        <f>IFERROR(__xludf.DUMMYFUNCTION("""COMPUTED_VALUE"""),581.0)</f>
        <v>581</v>
      </c>
      <c r="K1563" s="25">
        <f>IFERROR(__xludf.DUMMYFUNCTION("""COMPUTED_VALUE"""),565.5)</f>
        <v>565.5</v>
      </c>
      <c r="L1563" s="25">
        <f>IFERROR(__xludf.DUMMYFUNCTION("""COMPUTED_VALUE"""),569.23)</f>
        <v>569.23</v>
      </c>
      <c r="M1563" s="25">
        <f>IFERROR(__xludf.DUMMYFUNCTION("""COMPUTED_VALUE"""),1060078.0)</f>
        <v>1060078</v>
      </c>
    </row>
    <row r="1564">
      <c r="A1564" s="26">
        <f>IFERROR(__xludf.DUMMYFUNCTION("""COMPUTED_VALUE"""),40667.645833333336)</f>
        <v>40667.64583</v>
      </c>
      <c r="B1564" s="9">
        <f>IFERROR(__xludf.DUMMYFUNCTION("""COMPUTED_VALUE"""),362.63)</f>
        <v>362.63</v>
      </c>
      <c r="C1564" s="9">
        <f>IFERROR(__xludf.DUMMYFUNCTION("""COMPUTED_VALUE"""),363.13)</f>
        <v>363.13</v>
      </c>
      <c r="D1564" s="9">
        <f>IFERROR(__xludf.DUMMYFUNCTION("""COMPUTED_VALUE"""),355.34)</f>
        <v>355.34</v>
      </c>
      <c r="E1564" s="9">
        <f>IFERROR(__xludf.DUMMYFUNCTION("""COMPUTED_VALUE"""),358.72)</f>
        <v>358.72</v>
      </c>
      <c r="F1564" s="9">
        <f>IFERROR(__xludf.DUMMYFUNCTION("""COMPUTED_VALUE"""),2115550.0)</f>
        <v>2115550</v>
      </c>
      <c r="H1564" s="27">
        <f>IFERROR(__xludf.DUMMYFUNCTION("""COMPUTED_VALUE"""),40667.645833333336)</f>
        <v>40667.64583</v>
      </c>
      <c r="I1564" s="25">
        <f>IFERROR(__xludf.DUMMYFUNCTION("""COMPUTED_VALUE"""),573.0)</f>
        <v>573</v>
      </c>
      <c r="J1564" s="25">
        <f>IFERROR(__xludf.DUMMYFUNCTION("""COMPUTED_VALUE"""),573.0)</f>
        <v>573</v>
      </c>
      <c r="K1564" s="25">
        <f>IFERROR(__xludf.DUMMYFUNCTION("""COMPUTED_VALUE"""),557.58)</f>
        <v>557.58</v>
      </c>
      <c r="L1564" s="25">
        <f>IFERROR(__xludf.DUMMYFUNCTION("""COMPUTED_VALUE"""),568.53)</f>
        <v>568.53</v>
      </c>
      <c r="M1564" s="25">
        <f>IFERROR(__xludf.DUMMYFUNCTION("""COMPUTED_VALUE"""),1361467.0)</f>
        <v>1361467</v>
      </c>
    </row>
    <row r="1565">
      <c r="A1565" s="26">
        <f>IFERROR(__xludf.DUMMYFUNCTION("""COMPUTED_VALUE"""),40668.645833333336)</f>
        <v>40668.64583</v>
      </c>
      <c r="B1565" s="9">
        <f>IFERROR(__xludf.DUMMYFUNCTION("""COMPUTED_VALUE"""),358.41)</f>
        <v>358.41</v>
      </c>
      <c r="C1565" s="9">
        <f>IFERROR(__xludf.DUMMYFUNCTION("""COMPUTED_VALUE"""),359.86)</f>
        <v>359.86</v>
      </c>
      <c r="D1565" s="9">
        <f>IFERROR(__xludf.DUMMYFUNCTION("""COMPUTED_VALUE"""),354.63)</f>
        <v>354.63</v>
      </c>
      <c r="E1565" s="9">
        <f>IFERROR(__xludf.DUMMYFUNCTION("""COMPUTED_VALUE"""),356.06)</f>
        <v>356.06</v>
      </c>
      <c r="F1565" s="9">
        <f>IFERROR(__xludf.DUMMYFUNCTION("""COMPUTED_VALUE"""),1582654.0)</f>
        <v>1582654</v>
      </c>
      <c r="H1565" s="27">
        <f>IFERROR(__xludf.DUMMYFUNCTION("""COMPUTED_VALUE"""),40668.645833333336)</f>
        <v>40668.64583</v>
      </c>
      <c r="I1565" s="25">
        <f>IFERROR(__xludf.DUMMYFUNCTION("""COMPUTED_VALUE"""),572.5)</f>
        <v>572.5</v>
      </c>
      <c r="J1565" s="25">
        <f>IFERROR(__xludf.DUMMYFUNCTION("""COMPUTED_VALUE"""),572.5)</f>
        <v>572.5</v>
      </c>
      <c r="K1565" s="25">
        <f>IFERROR(__xludf.DUMMYFUNCTION("""COMPUTED_VALUE"""),554.05)</f>
        <v>554.05</v>
      </c>
      <c r="L1565" s="25">
        <f>IFERROR(__xludf.DUMMYFUNCTION("""COMPUTED_VALUE"""),557.5)</f>
        <v>557.5</v>
      </c>
      <c r="M1565" s="25">
        <f>IFERROR(__xludf.DUMMYFUNCTION("""COMPUTED_VALUE"""),942798.0)</f>
        <v>942798</v>
      </c>
    </row>
    <row r="1566">
      <c r="A1566" s="26">
        <f>IFERROR(__xludf.DUMMYFUNCTION("""COMPUTED_VALUE"""),40669.645833333336)</f>
        <v>40669.64583</v>
      </c>
      <c r="B1566" s="9">
        <f>IFERROR(__xludf.DUMMYFUNCTION("""COMPUTED_VALUE"""),357.24)</f>
        <v>357.24</v>
      </c>
      <c r="C1566" s="9">
        <f>IFERROR(__xludf.DUMMYFUNCTION("""COMPUTED_VALUE"""),363.75)</f>
        <v>363.75</v>
      </c>
      <c r="D1566" s="9">
        <f>IFERROR(__xludf.DUMMYFUNCTION("""COMPUTED_VALUE"""),356.0)</f>
        <v>356</v>
      </c>
      <c r="E1566" s="9">
        <f>IFERROR(__xludf.DUMMYFUNCTION("""COMPUTED_VALUE"""),361.63)</f>
        <v>361.63</v>
      </c>
      <c r="F1566" s="9">
        <f>IFERROR(__xludf.DUMMYFUNCTION("""COMPUTED_VALUE"""),1491333.0)</f>
        <v>1491333</v>
      </c>
      <c r="H1566" s="27">
        <f>IFERROR(__xludf.DUMMYFUNCTION("""COMPUTED_VALUE"""),40669.645833333336)</f>
        <v>40669.64583</v>
      </c>
      <c r="I1566" s="25">
        <f>IFERROR(__xludf.DUMMYFUNCTION("""COMPUTED_VALUE"""),560.0)</f>
        <v>560</v>
      </c>
      <c r="J1566" s="25">
        <f>IFERROR(__xludf.DUMMYFUNCTION("""COMPUTED_VALUE"""),576.75)</f>
        <v>576.75</v>
      </c>
      <c r="K1566" s="25">
        <f>IFERROR(__xludf.DUMMYFUNCTION("""COMPUTED_VALUE"""),559.88)</f>
        <v>559.88</v>
      </c>
      <c r="L1566" s="25">
        <f>IFERROR(__xludf.DUMMYFUNCTION("""COMPUTED_VALUE"""),574.48)</f>
        <v>574.48</v>
      </c>
      <c r="M1566" s="25">
        <f>IFERROR(__xludf.DUMMYFUNCTION("""COMPUTED_VALUE"""),1202674.0)</f>
        <v>1202674</v>
      </c>
    </row>
    <row r="1567">
      <c r="A1567" s="26">
        <f>IFERROR(__xludf.DUMMYFUNCTION("""COMPUTED_VALUE"""),40672.645833333336)</f>
        <v>40672.64583</v>
      </c>
      <c r="B1567" s="9">
        <f>IFERROR(__xludf.DUMMYFUNCTION("""COMPUTED_VALUE"""),363.75)</f>
        <v>363.75</v>
      </c>
      <c r="C1567" s="9">
        <f>IFERROR(__xludf.DUMMYFUNCTION("""COMPUTED_VALUE"""),364.63)</f>
        <v>364.63</v>
      </c>
      <c r="D1567" s="9">
        <f>IFERROR(__xludf.DUMMYFUNCTION("""COMPUTED_VALUE"""),358.44)</f>
        <v>358.44</v>
      </c>
      <c r="E1567" s="9">
        <f>IFERROR(__xludf.DUMMYFUNCTION("""COMPUTED_VALUE"""),363.57)</f>
        <v>363.57</v>
      </c>
      <c r="F1567" s="9">
        <f>IFERROR(__xludf.DUMMYFUNCTION("""COMPUTED_VALUE"""),617275.0)</f>
        <v>617275</v>
      </c>
      <c r="H1567" s="27">
        <f>IFERROR(__xludf.DUMMYFUNCTION("""COMPUTED_VALUE"""),40672.645833333336)</f>
        <v>40672.64583</v>
      </c>
      <c r="I1567" s="25">
        <f>IFERROR(__xludf.DUMMYFUNCTION("""COMPUTED_VALUE"""),575.0)</f>
        <v>575</v>
      </c>
      <c r="J1567" s="25">
        <f>IFERROR(__xludf.DUMMYFUNCTION("""COMPUTED_VALUE"""),575.98)</f>
        <v>575.98</v>
      </c>
      <c r="K1567" s="25">
        <f>IFERROR(__xludf.DUMMYFUNCTION("""COMPUTED_VALUE"""),562.25)</f>
        <v>562.25</v>
      </c>
      <c r="L1567" s="25">
        <f>IFERROR(__xludf.DUMMYFUNCTION("""COMPUTED_VALUE"""),567.78)</f>
        <v>567.78</v>
      </c>
      <c r="M1567" s="25">
        <f>IFERROR(__xludf.DUMMYFUNCTION("""COMPUTED_VALUE"""),506116.0)</f>
        <v>506116</v>
      </c>
    </row>
    <row r="1568">
      <c r="A1568" s="26">
        <f>IFERROR(__xludf.DUMMYFUNCTION("""COMPUTED_VALUE"""),40673.645833333336)</f>
        <v>40673.64583</v>
      </c>
      <c r="B1568" s="9">
        <f>IFERROR(__xludf.DUMMYFUNCTION("""COMPUTED_VALUE"""),363.46)</f>
        <v>363.46</v>
      </c>
      <c r="C1568" s="9">
        <f>IFERROR(__xludf.DUMMYFUNCTION("""COMPUTED_VALUE"""),365.61)</f>
        <v>365.61</v>
      </c>
      <c r="D1568" s="9">
        <f>IFERROR(__xludf.DUMMYFUNCTION("""COMPUTED_VALUE"""),359.0)</f>
        <v>359</v>
      </c>
      <c r="E1568" s="9">
        <f>IFERROR(__xludf.DUMMYFUNCTION("""COMPUTED_VALUE"""),360.01)</f>
        <v>360.01</v>
      </c>
      <c r="F1568" s="9">
        <f>IFERROR(__xludf.DUMMYFUNCTION("""COMPUTED_VALUE"""),609171.0)</f>
        <v>609171</v>
      </c>
      <c r="H1568" s="27">
        <f>IFERROR(__xludf.DUMMYFUNCTION("""COMPUTED_VALUE"""),40673.645833333336)</f>
        <v>40673.64583</v>
      </c>
      <c r="I1568" s="25">
        <f>IFERROR(__xludf.DUMMYFUNCTION("""COMPUTED_VALUE"""),566.5)</f>
        <v>566.5</v>
      </c>
      <c r="J1568" s="25">
        <f>IFERROR(__xludf.DUMMYFUNCTION("""COMPUTED_VALUE"""),579.98)</f>
        <v>579.98</v>
      </c>
      <c r="K1568" s="25">
        <f>IFERROR(__xludf.DUMMYFUNCTION("""COMPUTED_VALUE"""),564.0)</f>
        <v>564</v>
      </c>
      <c r="L1568" s="25">
        <f>IFERROR(__xludf.DUMMYFUNCTION("""COMPUTED_VALUE"""),569.95)</f>
        <v>569.95</v>
      </c>
      <c r="M1568" s="25">
        <f>IFERROR(__xludf.DUMMYFUNCTION("""COMPUTED_VALUE"""),764579.0)</f>
        <v>764579</v>
      </c>
    </row>
    <row r="1569">
      <c r="A1569" s="26">
        <f>IFERROR(__xludf.DUMMYFUNCTION("""COMPUTED_VALUE"""),40674.645833333336)</f>
        <v>40674.64583</v>
      </c>
      <c r="B1569" s="9">
        <f>IFERROR(__xludf.DUMMYFUNCTION("""COMPUTED_VALUE"""),360.25)</f>
        <v>360.25</v>
      </c>
      <c r="C1569" s="9">
        <f>IFERROR(__xludf.DUMMYFUNCTION("""COMPUTED_VALUE"""),365.5)</f>
        <v>365.5</v>
      </c>
      <c r="D1569" s="9">
        <f>IFERROR(__xludf.DUMMYFUNCTION("""COMPUTED_VALUE"""),359.99)</f>
        <v>359.99</v>
      </c>
      <c r="E1569" s="9">
        <f>IFERROR(__xludf.DUMMYFUNCTION("""COMPUTED_VALUE"""),363.26)</f>
        <v>363.26</v>
      </c>
      <c r="F1569" s="9">
        <f>IFERROR(__xludf.DUMMYFUNCTION("""COMPUTED_VALUE"""),801259.0)</f>
        <v>801259</v>
      </c>
      <c r="H1569" s="27">
        <f>IFERROR(__xludf.DUMMYFUNCTION("""COMPUTED_VALUE"""),40674.645833333336)</f>
        <v>40674.64583</v>
      </c>
      <c r="I1569" s="25">
        <f>IFERROR(__xludf.DUMMYFUNCTION("""COMPUTED_VALUE"""),569.5)</f>
        <v>569.5</v>
      </c>
      <c r="J1569" s="25">
        <f>IFERROR(__xludf.DUMMYFUNCTION("""COMPUTED_VALUE"""),575.85)</f>
        <v>575.85</v>
      </c>
      <c r="K1569" s="25">
        <f>IFERROR(__xludf.DUMMYFUNCTION("""COMPUTED_VALUE"""),563.05)</f>
        <v>563.05</v>
      </c>
      <c r="L1569" s="25">
        <f>IFERROR(__xludf.DUMMYFUNCTION("""COMPUTED_VALUE"""),570.13)</f>
        <v>570.13</v>
      </c>
      <c r="M1569" s="25">
        <f>IFERROR(__xludf.DUMMYFUNCTION("""COMPUTED_VALUE"""),730335.0)</f>
        <v>730335</v>
      </c>
    </row>
    <row r="1570">
      <c r="A1570" s="26">
        <f>IFERROR(__xludf.DUMMYFUNCTION("""COMPUTED_VALUE"""),40675.645833333336)</f>
        <v>40675.64583</v>
      </c>
      <c r="B1570" s="9">
        <f>IFERROR(__xludf.DUMMYFUNCTION("""COMPUTED_VALUE"""),362.24)</f>
        <v>362.24</v>
      </c>
      <c r="C1570" s="9">
        <f>IFERROR(__xludf.DUMMYFUNCTION("""COMPUTED_VALUE"""),363.63)</f>
        <v>363.63</v>
      </c>
      <c r="D1570" s="9">
        <f>IFERROR(__xludf.DUMMYFUNCTION("""COMPUTED_VALUE"""),359.0)</f>
        <v>359</v>
      </c>
      <c r="E1570" s="9">
        <f>IFERROR(__xludf.DUMMYFUNCTION("""COMPUTED_VALUE"""),360.16)</f>
        <v>360.16</v>
      </c>
      <c r="F1570" s="9">
        <f>IFERROR(__xludf.DUMMYFUNCTION("""COMPUTED_VALUE"""),624560.0)</f>
        <v>624560</v>
      </c>
      <c r="H1570" s="27">
        <f>IFERROR(__xludf.DUMMYFUNCTION("""COMPUTED_VALUE"""),40675.645833333336)</f>
        <v>40675.64583</v>
      </c>
      <c r="I1570" s="25">
        <f>IFERROR(__xludf.DUMMYFUNCTION("""COMPUTED_VALUE"""),566.95)</f>
        <v>566.95</v>
      </c>
      <c r="J1570" s="25">
        <f>IFERROR(__xludf.DUMMYFUNCTION("""COMPUTED_VALUE"""),566.95)</f>
        <v>566.95</v>
      </c>
      <c r="K1570" s="25">
        <f>IFERROR(__xludf.DUMMYFUNCTION("""COMPUTED_VALUE"""),554.17)</f>
        <v>554.17</v>
      </c>
      <c r="L1570" s="25">
        <f>IFERROR(__xludf.DUMMYFUNCTION("""COMPUTED_VALUE"""),555.88)</f>
        <v>555.88</v>
      </c>
      <c r="M1570" s="25">
        <f>IFERROR(__xludf.DUMMYFUNCTION("""COMPUTED_VALUE"""),1270229.0)</f>
        <v>1270229</v>
      </c>
    </row>
    <row r="1571">
      <c r="A1571" s="26">
        <f>IFERROR(__xludf.DUMMYFUNCTION("""COMPUTED_VALUE"""),40676.645833333336)</f>
        <v>40676.64583</v>
      </c>
      <c r="B1571" s="9">
        <f>IFERROR(__xludf.DUMMYFUNCTION("""COMPUTED_VALUE"""),360.4)</f>
        <v>360.4</v>
      </c>
      <c r="C1571" s="9">
        <f>IFERROR(__xludf.DUMMYFUNCTION("""COMPUTED_VALUE"""),364.0)</f>
        <v>364</v>
      </c>
      <c r="D1571" s="9">
        <f>IFERROR(__xludf.DUMMYFUNCTION("""COMPUTED_VALUE"""),358.91)</f>
        <v>358.91</v>
      </c>
      <c r="E1571" s="9">
        <f>IFERROR(__xludf.DUMMYFUNCTION("""COMPUTED_VALUE"""),359.79)</f>
        <v>359.79</v>
      </c>
      <c r="F1571" s="9">
        <f>IFERROR(__xludf.DUMMYFUNCTION("""COMPUTED_VALUE"""),1035292.0)</f>
        <v>1035292</v>
      </c>
      <c r="H1571" s="27">
        <f>IFERROR(__xludf.DUMMYFUNCTION("""COMPUTED_VALUE"""),40676.645833333336)</f>
        <v>40676.64583</v>
      </c>
      <c r="I1571" s="25">
        <f>IFERROR(__xludf.DUMMYFUNCTION("""COMPUTED_VALUE"""),556.0)</f>
        <v>556</v>
      </c>
      <c r="J1571" s="25">
        <f>IFERROR(__xludf.DUMMYFUNCTION("""COMPUTED_VALUE"""),571.15)</f>
        <v>571.15</v>
      </c>
      <c r="K1571" s="25">
        <f>IFERROR(__xludf.DUMMYFUNCTION("""COMPUTED_VALUE"""),556.0)</f>
        <v>556</v>
      </c>
      <c r="L1571" s="25">
        <f>IFERROR(__xludf.DUMMYFUNCTION("""COMPUTED_VALUE"""),563.55)</f>
        <v>563.55</v>
      </c>
      <c r="M1571" s="25">
        <f>IFERROR(__xludf.DUMMYFUNCTION("""COMPUTED_VALUE"""),1182744.0)</f>
        <v>1182744</v>
      </c>
    </row>
    <row r="1572">
      <c r="A1572" s="26">
        <f>IFERROR(__xludf.DUMMYFUNCTION("""COMPUTED_VALUE"""),40679.645833333336)</f>
        <v>40679.64583</v>
      </c>
      <c r="B1572" s="9">
        <f>IFERROR(__xludf.DUMMYFUNCTION("""COMPUTED_VALUE"""),359.5)</f>
        <v>359.5</v>
      </c>
      <c r="C1572" s="9">
        <f>IFERROR(__xludf.DUMMYFUNCTION("""COMPUTED_VALUE"""),359.5)</f>
        <v>359.5</v>
      </c>
      <c r="D1572" s="9">
        <f>IFERROR(__xludf.DUMMYFUNCTION("""COMPUTED_VALUE"""),355.29)</f>
        <v>355.29</v>
      </c>
      <c r="E1572" s="9">
        <f>IFERROR(__xludf.DUMMYFUNCTION("""COMPUTED_VALUE"""),356.3)</f>
        <v>356.3</v>
      </c>
      <c r="F1572" s="9">
        <f>IFERROR(__xludf.DUMMYFUNCTION("""COMPUTED_VALUE"""),808671.0)</f>
        <v>808671</v>
      </c>
      <c r="H1572" s="27">
        <f>IFERROR(__xludf.DUMMYFUNCTION("""COMPUTED_VALUE"""),40679.645833333336)</f>
        <v>40679.64583</v>
      </c>
      <c r="I1572" s="25">
        <f>IFERROR(__xludf.DUMMYFUNCTION("""COMPUTED_VALUE"""),560.5)</f>
        <v>560.5</v>
      </c>
      <c r="J1572" s="25">
        <f>IFERROR(__xludf.DUMMYFUNCTION("""COMPUTED_VALUE"""),573.7)</f>
        <v>573.7</v>
      </c>
      <c r="K1572" s="25">
        <f>IFERROR(__xludf.DUMMYFUNCTION("""COMPUTED_VALUE"""),560.0)</f>
        <v>560</v>
      </c>
      <c r="L1572" s="25">
        <f>IFERROR(__xludf.DUMMYFUNCTION("""COMPUTED_VALUE"""),565.55)</f>
        <v>565.55</v>
      </c>
      <c r="M1572" s="25">
        <f>IFERROR(__xludf.DUMMYFUNCTION("""COMPUTED_VALUE"""),1113684.0)</f>
        <v>1113684</v>
      </c>
    </row>
    <row r="1573">
      <c r="A1573" s="26">
        <f>IFERROR(__xludf.DUMMYFUNCTION("""COMPUTED_VALUE"""),40680.645833333336)</f>
        <v>40680.64583</v>
      </c>
      <c r="B1573" s="9">
        <f>IFERROR(__xludf.DUMMYFUNCTION("""COMPUTED_VALUE"""),356.05)</f>
        <v>356.05</v>
      </c>
      <c r="C1573" s="9">
        <f>IFERROR(__xludf.DUMMYFUNCTION("""COMPUTED_VALUE"""),359.66)</f>
        <v>359.66</v>
      </c>
      <c r="D1573" s="9">
        <f>IFERROR(__xludf.DUMMYFUNCTION("""COMPUTED_VALUE"""),352.99)</f>
        <v>352.99</v>
      </c>
      <c r="E1573" s="9">
        <f>IFERROR(__xludf.DUMMYFUNCTION("""COMPUTED_VALUE"""),355.52)</f>
        <v>355.52</v>
      </c>
      <c r="F1573" s="9">
        <f>IFERROR(__xludf.DUMMYFUNCTION("""COMPUTED_VALUE"""),946309.0)</f>
        <v>946309</v>
      </c>
      <c r="H1573" s="27">
        <f>IFERROR(__xludf.DUMMYFUNCTION("""COMPUTED_VALUE"""),40680.645833333336)</f>
        <v>40680.64583</v>
      </c>
      <c r="I1573" s="25">
        <f>IFERROR(__xludf.DUMMYFUNCTION("""COMPUTED_VALUE"""),561.03)</f>
        <v>561.03</v>
      </c>
      <c r="J1573" s="25">
        <f>IFERROR(__xludf.DUMMYFUNCTION("""COMPUTED_VALUE"""),574.6)</f>
        <v>574.6</v>
      </c>
      <c r="K1573" s="25">
        <f>IFERROR(__xludf.DUMMYFUNCTION("""COMPUTED_VALUE"""),561.03)</f>
        <v>561.03</v>
      </c>
      <c r="L1573" s="25">
        <f>IFERROR(__xludf.DUMMYFUNCTION("""COMPUTED_VALUE"""),570.85)</f>
        <v>570.85</v>
      </c>
      <c r="M1573" s="25">
        <f>IFERROR(__xludf.DUMMYFUNCTION("""COMPUTED_VALUE"""),695707.0)</f>
        <v>695707</v>
      </c>
    </row>
    <row r="1574">
      <c r="A1574" s="26">
        <f>IFERROR(__xludf.DUMMYFUNCTION("""COMPUTED_VALUE"""),40681.645833333336)</f>
        <v>40681.64583</v>
      </c>
      <c r="B1574" s="9">
        <f>IFERROR(__xludf.DUMMYFUNCTION("""COMPUTED_VALUE"""),356.25)</f>
        <v>356.25</v>
      </c>
      <c r="C1574" s="9">
        <f>IFERROR(__xludf.DUMMYFUNCTION("""COMPUTED_VALUE"""),360.29)</f>
        <v>360.29</v>
      </c>
      <c r="D1574" s="9">
        <f>IFERROR(__xludf.DUMMYFUNCTION("""COMPUTED_VALUE"""),350.38)</f>
        <v>350.38</v>
      </c>
      <c r="E1574" s="9">
        <f>IFERROR(__xludf.DUMMYFUNCTION("""COMPUTED_VALUE"""),355.31)</f>
        <v>355.31</v>
      </c>
      <c r="F1574" s="9">
        <f>IFERROR(__xludf.DUMMYFUNCTION("""COMPUTED_VALUE"""),1272062.0)</f>
        <v>1272062</v>
      </c>
      <c r="H1574" s="27">
        <f>IFERROR(__xludf.DUMMYFUNCTION("""COMPUTED_VALUE"""),40681.645833333336)</f>
        <v>40681.64583</v>
      </c>
      <c r="I1574" s="25">
        <f>IFERROR(__xludf.DUMMYFUNCTION("""COMPUTED_VALUE"""),571.13)</f>
        <v>571.13</v>
      </c>
      <c r="J1574" s="25">
        <f>IFERROR(__xludf.DUMMYFUNCTION("""COMPUTED_VALUE"""),580.75)</f>
        <v>580.75</v>
      </c>
      <c r="K1574" s="25">
        <f>IFERROR(__xludf.DUMMYFUNCTION("""COMPUTED_VALUE"""),571.13)</f>
        <v>571.13</v>
      </c>
      <c r="L1574" s="25">
        <f>IFERROR(__xludf.DUMMYFUNCTION("""COMPUTED_VALUE"""),577.53)</f>
        <v>577.53</v>
      </c>
      <c r="M1574" s="25">
        <f>IFERROR(__xludf.DUMMYFUNCTION("""COMPUTED_VALUE"""),1112590.0)</f>
        <v>1112590</v>
      </c>
    </row>
    <row r="1575">
      <c r="A1575" s="26">
        <f>IFERROR(__xludf.DUMMYFUNCTION("""COMPUTED_VALUE"""),40682.645833333336)</f>
        <v>40682.64583</v>
      </c>
      <c r="B1575" s="9">
        <f>IFERROR(__xludf.DUMMYFUNCTION("""COMPUTED_VALUE"""),357.46)</f>
        <v>357.46</v>
      </c>
      <c r="C1575" s="9">
        <f>IFERROR(__xludf.DUMMYFUNCTION("""COMPUTED_VALUE"""),357.46)</f>
        <v>357.46</v>
      </c>
      <c r="D1575" s="9">
        <f>IFERROR(__xludf.DUMMYFUNCTION("""COMPUTED_VALUE"""),354.45)</f>
        <v>354.45</v>
      </c>
      <c r="E1575" s="9">
        <f>IFERROR(__xludf.DUMMYFUNCTION("""COMPUTED_VALUE"""),355.81)</f>
        <v>355.81</v>
      </c>
      <c r="F1575" s="9">
        <f>IFERROR(__xludf.DUMMYFUNCTION("""COMPUTED_VALUE"""),931995.0)</f>
        <v>931995</v>
      </c>
      <c r="H1575" s="27">
        <f>IFERROR(__xludf.DUMMYFUNCTION("""COMPUTED_VALUE"""),40682.645833333336)</f>
        <v>40682.64583</v>
      </c>
      <c r="I1575" s="25">
        <f>IFERROR(__xludf.DUMMYFUNCTION("""COMPUTED_VALUE"""),582.5)</f>
        <v>582.5</v>
      </c>
      <c r="J1575" s="25">
        <f>IFERROR(__xludf.DUMMYFUNCTION("""COMPUTED_VALUE"""),585.0)</f>
        <v>585</v>
      </c>
      <c r="K1575" s="25">
        <f>IFERROR(__xludf.DUMMYFUNCTION("""COMPUTED_VALUE"""),578.0)</f>
        <v>578</v>
      </c>
      <c r="L1575" s="25">
        <f>IFERROR(__xludf.DUMMYFUNCTION("""COMPUTED_VALUE"""),582.42)</f>
        <v>582.42</v>
      </c>
      <c r="M1575" s="25">
        <f>IFERROR(__xludf.DUMMYFUNCTION("""COMPUTED_VALUE"""),1025461.0)</f>
        <v>1025461</v>
      </c>
    </row>
    <row r="1576">
      <c r="A1576" s="26">
        <f>IFERROR(__xludf.DUMMYFUNCTION("""COMPUTED_VALUE"""),40683.645833333336)</f>
        <v>40683.64583</v>
      </c>
      <c r="B1576" s="9">
        <f>IFERROR(__xludf.DUMMYFUNCTION("""COMPUTED_VALUE"""),355.63)</f>
        <v>355.63</v>
      </c>
      <c r="C1576" s="9">
        <f>IFERROR(__xludf.DUMMYFUNCTION("""COMPUTED_VALUE"""),357.96)</f>
        <v>357.96</v>
      </c>
      <c r="D1576" s="9">
        <f>IFERROR(__xludf.DUMMYFUNCTION("""COMPUTED_VALUE"""),354.02)</f>
        <v>354.02</v>
      </c>
      <c r="E1576" s="9">
        <f>IFERROR(__xludf.DUMMYFUNCTION("""COMPUTED_VALUE"""),356.23)</f>
        <v>356.23</v>
      </c>
      <c r="F1576" s="9">
        <f>IFERROR(__xludf.DUMMYFUNCTION("""COMPUTED_VALUE"""),1002959.0)</f>
        <v>1002959</v>
      </c>
      <c r="H1576" s="27">
        <f>IFERROR(__xludf.DUMMYFUNCTION("""COMPUTED_VALUE"""),40683.645833333336)</f>
        <v>40683.64583</v>
      </c>
      <c r="I1576" s="25">
        <f>IFERROR(__xludf.DUMMYFUNCTION("""COMPUTED_VALUE"""),586.88)</f>
        <v>586.88</v>
      </c>
      <c r="J1576" s="25">
        <f>IFERROR(__xludf.DUMMYFUNCTION("""COMPUTED_VALUE"""),591.7)</f>
        <v>591.7</v>
      </c>
      <c r="K1576" s="25">
        <f>IFERROR(__xludf.DUMMYFUNCTION("""COMPUTED_VALUE"""),581.63)</f>
        <v>581.63</v>
      </c>
      <c r="L1576" s="25">
        <f>IFERROR(__xludf.DUMMYFUNCTION("""COMPUTED_VALUE"""),587.5)</f>
        <v>587.5</v>
      </c>
      <c r="M1576" s="25">
        <f>IFERROR(__xludf.DUMMYFUNCTION("""COMPUTED_VALUE"""),1025300.0)</f>
        <v>1025300</v>
      </c>
    </row>
    <row r="1577">
      <c r="A1577" s="26">
        <f>IFERROR(__xludf.DUMMYFUNCTION("""COMPUTED_VALUE"""),40686.645833333336)</f>
        <v>40686.64583</v>
      </c>
      <c r="B1577" s="9">
        <f>IFERROR(__xludf.DUMMYFUNCTION("""COMPUTED_VALUE"""),355.98)</f>
        <v>355.98</v>
      </c>
      <c r="C1577" s="9">
        <f>IFERROR(__xludf.DUMMYFUNCTION("""COMPUTED_VALUE"""),356.6)</f>
        <v>356.6</v>
      </c>
      <c r="D1577" s="9">
        <f>IFERROR(__xludf.DUMMYFUNCTION("""COMPUTED_VALUE"""),353.48)</f>
        <v>353.48</v>
      </c>
      <c r="E1577" s="9">
        <f>IFERROR(__xludf.DUMMYFUNCTION("""COMPUTED_VALUE"""),354.63)</f>
        <v>354.63</v>
      </c>
      <c r="F1577" s="9">
        <f>IFERROR(__xludf.DUMMYFUNCTION("""COMPUTED_VALUE"""),847360.0)</f>
        <v>847360</v>
      </c>
      <c r="H1577" s="27">
        <f>IFERROR(__xludf.DUMMYFUNCTION("""COMPUTED_VALUE"""),40686.645833333336)</f>
        <v>40686.64583</v>
      </c>
      <c r="I1577" s="25">
        <f>IFERROR(__xludf.DUMMYFUNCTION("""COMPUTED_VALUE"""),582.0)</f>
        <v>582</v>
      </c>
      <c r="J1577" s="25">
        <f>IFERROR(__xludf.DUMMYFUNCTION("""COMPUTED_VALUE"""),585.25)</f>
        <v>585.25</v>
      </c>
      <c r="K1577" s="25">
        <f>IFERROR(__xludf.DUMMYFUNCTION("""COMPUTED_VALUE"""),575.0)</f>
        <v>575</v>
      </c>
      <c r="L1577" s="25">
        <f>IFERROR(__xludf.DUMMYFUNCTION("""COMPUTED_VALUE"""),583.28)</f>
        <v>583.28</v>
      </c>
      <c r="M1577" s="25">
        <f>IFERROR(__xludf.DUMMYFUNCTION("""COMPUTED_VALUE"""),1008642.0)</f>
        <v>1008642</v>
      </c>
    </row>
    <row r="1578">
      <c r="A1578" s="26">
        <f>IFERROR(__xludf.DUMMYFUNCTION("""COMPUTED_VALUE"""),40687.645833333336)</f>
        <v>40687.64583</v>
      </c>
      <c r="B1578" s="9">
        <f>IFERROR(__xludf.DUMMYFUNCTION("""COMPUTED_VALUE"""),354.13)</f>
        <v>354.13</v>
      </c>
      <c r="C1578" s="9">
        <f>IFERROR(__xludf.DUMMYFUNCTION("""COMPUTED_VALUE"""),357.98)</f>
        <v>357.98</v>
      </c>
      <c r="D1578" s="9">
        <f>IFERROR(__xludf.DUMMYFUNCTION("""COMPUTED_VALUE"""),354.13)</f>
        <v>354.13</v>
      </c>
      <c r="E1578" s="9">
        <f>IFERROR(__xludf.DUMMYFUNCTION("""COMPUTED_VALUE"""),355.56)</f>
        <v>355.56</v>
      </c>
      <c r="F1578" s="9">
        <f>IFERROR(__xludf.DUMMYFUNCTION("""COMPUTED_VALUE"""),953183.0)</f>
        <v>953183</v>
      </c>
      <c r="H1578" s="27">
        <f>IFERROR(__xludf.DUMMYFUNCTION("""COMPUTED_VALUE"""),40687.645833333336)</f>
        <v>40687.64583</v>
      </c>
      <c r="I1578" s="25">
        <f>IFERROR(__xludf.DUMMYFUNCTION("""COMPUTED_VALUE"""),581.33)</f>
        <v>581.33</v>
      </c>
      <c r="J1578" s="25">
        <f>IFERROR(__xludf.DUMMYFUNCTION("""COMPUTED_VALUE"""),586.4)</f>
        <v>586.4</v>
      </c>
      <c r="K1578" s="25">
        <f>IFERROR(__xludf.DUMMYFUNCTION("""COMPUTED_VALUE"""),569.58)</f>
        <v>569.58</v>
      </c>
      <c r="L1578" s="25">
        <f>IFERROR(__xludf.DUMMYFUNCTION("""COMPUTED_VALUE"""),574.95)</f>
        <v>574.95</v>
      </c>
      <c r="M1578" s="25">
        <f>IFERROR(__xludf.DUMMYFUNCTION("""COMPUTED_VALUE"""),840997.0)</f>
        <v>840997</v>
      </c>
    </row>
    <row r="1579">
      <c r="A1579" s="26">
        <f>IFERROR(__xludf.DUMMYFUNCTION("""COMPUTED_VALUE"""),40688.645833333336)</f>
        <v>40688.64583</v>
      </c>
      <c r="B1579" s="9">
        <f>IFERROR(__xludf.DUMMYFUNCTION("""COMPUTED_VALUE"""),353.46)</f>
        <v>353.46</v>
      </c>
      <c r="C1579" s="9">
        <f>IFERROR(__xludf.DUMMYFUNCTION("""COMPUTED_VALUE"""),353.46)</f>
        <v>353.46</v>
      </c>
      <c r="D1579" s="9">
        <f>IFERROR(__xludf.DUMMYFUNCTION("""COMPUTED_VALUE"""),344.58)</f>
        <v>344.58</v>
      </c>
      <c r="E1579" s="9">
        <f>IFERROR(__xludf.DUMMYFUNCTION("""COMPUTED_VALUE"""),348.58)</f>
        <v>348.58</v>
      </c>
      <c r="F1579" s="9">
        <f>IFERROR(__xludf.DUMMYFUNCTION("""COMPUTED_VALUE"""),1384427.0)</f>
        <v>1384427</v>
      </c>
      <c r="H1579" s="27">
        <f>IFERROR(__xludf.DUMMYFUNCTION("""COMPUTED_VALUE"""),40688.645833333336)</f>
        <v>40688.64583</v>
      </c>
      <c r="I1579" s="25">
        <f>IFERROR(__xludf.DUMMYFUNCTION("""COMPUTED_VALUE"""),574.55)</f>
        <v>574.55</v>
      </c>
      <c r="J1579" s="25">
        <f>IFERROR(__xludf.DUMMYFUNCTION("""COMPUTED_VALUE"""),574.95)</f>
        <v>574.95</v>
      </c>
      <c r="K1579" s="25">
        <f>IFERROR(__xludf.DUMMYFUNCTION("""COMPUTED_VALUE"""),560.0)</f>
        <v>560</v>
      </c>
      <c r="L1579" s="25">
        <f>IFERROR(__xludf.DUMMYFUNCTION("""COMPUTED_VALUE"""),564.3)</f>
        <v>564.3</v>
      </c>
      <c r="M1579" s="25">
        <f>IFERROR(__xludf.DUMMYFUNCTION("""COMPUTED_VALUE"""),933735.0)</f>
        <v>933735</v>
      </c>
    </row>
    <row r="1580">
      <c r="A1580" s="26">
        <f>IFERROR(__xludf.DUMMYFUNCTION("""COMPUTED_VALUE"""),40689.645833333336)</f>
        <v>40689.64583</v>
      </c>
      <c r="B1580" s="9">
        <f>IFERROR(__xludf.DUMMYFUNCTION("""COMPUTED_VALUE"""),349.25)</f>
        <v>349.25</v>
      </c>
      <c r="C1580" s="9">
        <f>IFERROR(__xludf.DUMMYFUNCTION("""COMPUTED_VALUE"""),349.72)</f>
        <v>349.72</v>
      </c>
      <c r="D1580" s="9">
        <f>IFERROR(__xludf.DUMMYFUNCTION("""COMPUTED_VALUE"""),344.75)</f>
        <v>344.75</v>
      </c>
      <c r="E1580" s="9">
        <f>IFERROR(__xludf.DUMMYFUNCTION("""COMPUTED_VALUE"""),347.07)</f>
        <v>347.07</v>
      </c>
      <c r="F1580" s="9">
        <f>IFERROR(__xludf.DUMMYFUNCTION("""COMPUTED_VALUE"""),1059522.0)</f>
        <v>1059522</v>
      </c>
      <c r="H1580" s="27">
        <f>IFERROR(__xludf.DUMMYFUNCTION("""COMPUTED_VALUE"""),40689.645833333336)</f>
        <v>40689.64583</v>
      </c>
      <c r="I1580" s="25">
        <f>IFERROR(__xludf.DUMMYFUNCTION("""COMPUTED_VALUE"""),569.5)</f>
        <v>569.5</v>
      </c>
      <c r="J1580" s="25">
        <f>IFERROR(__xludf.DUMMYFUNCTION("""COMPUTED_VALUE"""),571.5)</f>
        <v>571.5</v>
      </c>
      <c r="K1580" s="25">
        <f>IFERROR(__xludf.DUMMYFUNCTION("""COMPUTED_VALUE"""),560.0)</f>
        <v>560</v>
      </c>
      <c r="L1580" s="25">
        <f>IFERROR(__xludf.DUMMYFUNCTION("""COMPUTED_VALUE"""),567.88)</f>
        <v>567.88</v>
      </c>
      <c r="M1580" s="25">
        <f>IFERROR(__xludf.DUMMYFUNCTION("""COMPUTED_VALUE"""),1030109.0)</f>
        <v>1030109</v>
      </c>
    </row>
    <row r="1581">
      <c r="A1581" s="26">
        <f>IFERROR(__xludf.DUMMYFUNCTION("""COMPUTED_VALUE"""),40690.645833333336)</f>
        <v>40690.64583</v>
      </c>
      <c r="B1581" s="9">
        <f>IFERROR(__xludf.DUMMYFUNCTION("""COMPUTED_VALUE"""),345.0)</f>
        <v>345</v>
      </c>
      <c r="C1581" s="9">
        <f>IFERROR(__xludf.DUMMYFUNCTION("""COMPUTED_VALUE"""),350.88)</f>
        <v>350.88</v>
      </c>
      <c r="D1581" s="9">
        <f>IFERROR(__xludf.DUMMYFUNCTION("""COMPUTED_VALUE"""),345.0)</f>
        <v>345</v>
      </c>
      <c r="E1581" s="9">
        <f>IFERROR(__xludf.DUMMYFUNCTION("""COMPUTED_VALUE"""),348.44)</f>
        <v>348.44</v>
      </c>
      <c r="F1581" s="9">
        <f>IFERROR(__xludf.DUMMYFUNCTION("""COMPUTED_VALUE"""),783118.0)</f>
        <v>783118</v>
      </c>
      <c r="H1581" s="27">
        <f>IFERROR(__xludf.DUMMYFUNCTION("""COMPUTED_VALUE"""),40690.645833333336)</f>
        <v>40690.64583</v>
      </c>
      <c r="I1581" s="25">
        <f>IFERROR(__xludf.DUMMYFUNCTION("""COMPUTED_VALUE"""),574.28)</f>
        <v>574.28</v>
      </c>
      <c r="J1581" s="25">
        <f>IFERROR(__xludf.DUMMYFUNCTION("""COMPUTED_VALUE"""),574.95)</f>
        <v>574.95</v>
      </c>
      <c r="K1581" s="25">
        <f>IFERROR(__xludf.DUMMYFUNCTION("""COMPUTED_VALUE"""),568.15)</f>
        <v>568.15</v>
      </c>
      <c r="L1581" s="25">
        <f>IFERROR(__xludf.DUMMYFUNCTION("""COMPUTED_VALUE"""),572.28)</f>
        <v>572.28</v>
      </c>
      <c r="M1581" s="25">
        <f>IFERROR(__xludf.DUMMYFUNCTION("""COMPUTED_VALUE"""),643352.0)</f>
        <v>643352</v>
      </c>
    </row>
    <row r="1582">
      <c r="A1582" s="26">
        <f>IFERROR(__xludf.DUMMYFUNCTION("""COMPUTED_VALUE"""),40693.645833333336)</f>
        <v>40693.64583</v>
      </c>
      <c r="B1582" s="9">
        <f>IFERROR(__xludf.DUMMYFUNCTION("""COMPUTED_VALUE"""),350.76)</f>
        <v>350.76</v>
      </c>
      <c r="C1582" s="9">
        <f>IFERROR(__xludf.DUMMYFUNCTION("""COMPUTED_VALUE"""),350.76)</f>
        <v>350.76</v>
      </c>
      <c r="D1582" s="9">
        <f>IFERROR(__xludf.DUMMYFUNCTION("""COMPUTED_VALUE"""),345.13)</f>
        <v>345.13</v>
      </c>
      <c r="E1582" s="9">
        <f>IFERROR(__xludf.DUMMYFUNCTION("""COMPUTED_VALUE"""),347.58)</f>
        <v>347.58</v>
      </c>
      <c r="F1582" s="9">
        <f>IFERROR(__xludf.DUMMYFUNCTION("""COMPUTED_VALUE"""),858419.0)</f>
        <v>858419</v>
      </c>
      <c r="H1582" s="27">
        <f>IFERROR(__xludf.DUMMYFUNCTION("""COMPUTED_VALUE"""),40693.645833333336)</f>
        <v>40693.64583</v>
      </c>
      <c r="I1582" s="25">
        <f>IFERROR(__xludf.DUMMYFUNCTION("""COMPUTED_VALUE"""),575.5)</f>
        <v>575.5</v>
      </c>
      <c r="J1582" s="25">
        <f>IFERROR(__xludf.DUMMYFUNCTION("""COMPUTED_VALUE"""),579.98)</f>
        <v>579.98</v>
      </c>
      <c r="K1582" s="25">
        <f>IFERROR(__xludf.DUMMYFUNCTION("""COMPUTED_VALUE"""),571.15)</f>
        <v>571.15</v>
      </c>
      <c r="L1582" s="25">
        <f>IFERROR(__xludf.DUMMYFUNCTION("""COMPUTED_VALUE"""),575.98)</f>
        <v>575.98</v>
      </c>
      <c r="M1582" s="25">
        <f>IFERROR(__xludf.DUMMYFUNCTION("""COMPUTED_VALUE"""),570434.0)</f>
        <v>570434</v>
      </c>
    </row>
    <row r="1583">
      <c r="A1583" s="26">
        <f>IFERROR(__xludf.DUMMYFUNCTION("""COMPUTED_VALUE"""),40694.645833333336)</f>
        <v>40694.64583</v>
      </c>
      <c r="B1583" s="9">
        <f>IFERROR(__xludf.DUMMYFUNCTION("""COMPUTED_VALUE"""),349.13)</f>
        <v>349.13</v>
      </c>
      <c r="C1583" s="9">
        <f>IFERROR(__xludf.DUMMYFUNCTION("""COMPUTED_VALUE"""),352.25)</f>
        <v>352.25</v>
      </c>
      <c r="D1583" s="9">
        <f>IFERROR(__xludf.DUMMYFUNCTION("""COMPUTED_VALUE"""),347.07)</f>
        <v>347.07</v>
      </c>
      <c r="E1583" s="9">
        <f>IFERROR(__xludf.DUMMYFUNCTION("""COMPUTED_VALUE"""),348.21)</f>
        <v>348.21</v>
      </c>
      <c r="F1583" s="9">
        <f>IFERROR(__xludf.DUMMYFUNCTION("""COMPUTED_VALUE"""),2551326.0)</f>
        <v>2551326</v>
      </c>
      <c r="H1583" s="27">
        <f>IFERROR(__xludf.DUMMYFUNCTION("""COMPUTED_VALUE"""),40694.645833333336)</f>
        <v>40694.64583</v>
      </c>
      <c r="I1583" s="25">
        <f>IFERROR(__xludf.DUMMYFUNCTION("""COMPUTED_VALUE"""),577.5)</f>
        <v>577.5</v>
      </c>
      <c r="J1583" s="25">
        <f>IFERROR(__xludf.DUMMYFUNCTION("""COMPUTED_VALUE"""),588.85)</f>
        <v>588.85</v>
      </c>
      <c r="K1583" s="25">
        <f>IFERROR(__xludf.DUMMYFUNCTION("""COMPUTED_VALUE"""),575.05)</f>
        <v>575.05</v>
      </c>
      <c r="L1583" s="25">
        <f>IFERROR(__xludf.DUMMYFUNCTION("""COMPUTED_VALUE"""),578.58)</f>
        <v>578.58</v>
      </c>
      <c r="M1583" s="25">
        <f>IFERROR(__xludf.DUMMYFUNCTION("""COMPUTED_VALUE"""),1322077.0)</f>
        <v>1322077</v>
      </c>
    </row>
    <row r="1584">
      <c r="A1584" s="26">
        <f>IFERROR(__xludf.DUMMYFUNCTION("""COMPUTED_VALUE"""),40695.645833333336)</f>
        <v>40695.64583</v>
      </c>
      <c r="B1584" s="9">
        <f>IFERROR(__xludf.DUMMYFUNCTION("""COMPUTED_VALUE"""),349.25)</f>
        <v>349.25</v>
      </c>
      <c r="C1584" s="9">
        <f>IFERROR(__xludf.DUMMYFUNCTION("""COMPUTED_VALUE"""),353.0)</f>
        <v>353</v>
      </c>
      <c r="D1584" s="9">
        <f>IFERROR(__xludf.DUMMYFUNCTION("""COMPUTED_VALUE"""),348.0)</f>
        <v>348</v>
      </c>
      <c r="E1584" s="9">
        <f>IFERROR(__xludf.DUMMYFUNCTION("""COMPUTED_VALUE"""),351.44)</f>
        <v>351.44</v>
      </c>
      <c r="F1584" s="9">
        <f>IFERROR(__xludf.DUMMYFUNCTION("""COMPUTED_VALUE"""),1013233.0)</f>
        <v>1013233</v>
      </c>
      <c r="H1584" s="27">
        <f>IFERROR(__xludf.DUMMYFUNCTION("""COMPUTED_VALUE"""),40695.645833333336)</f>
        <v>40695.64583</v>
      </c>
      <c r="I1584" s="25">
        <f>IFERROR(__xludf.DUMMYFUNCTION("""COMPUTED_VALUE"""),578.5)</f>
        <v>578.5</v>
      </c>
      <c r="J1584" s="25">
        <f>IFERROR(__xludf.DUMMYFUNCTION("""COMPUTED_VALUE"""),588.5)</f>
        <v>588.5</v>
      </c>
      <c r="K1584" s="25">
        <f>IFERROR(__xludf.DUMMYFUNCTION("""COMPUTED_VALUE"""),578.5)</f>
        <v>578.5</v>
      </c>
      <c r="L1584" s="25">
        <f>IFERROR(__xludf.DUMMYFUNCTION("""COMPUTED_VALUE"""),587.7)</f>
        <v>587.7</v>
      </c>
      <c r="M1584" s="25">
        <f>IFERROR(__xludf.DUMMYFUNCTION("""COMPUTED_VALUE"""),491193.0)</f>
        <v>491193</v>
      </c>
    </row>
    <row r="1585">
      <c r="A1585" s="26">
        <f>IFERROR(__xludf.DUMMYFUNCTION("""COMPUTED_VALUE"""),40696.645833333336)</f>
        <v>40696.64583</v>
      </c>
      <c r="B1585" s="9">
        <f>IFERROR(__xludf.DUMMYFUNCTION("""COMPUTED_VALUE"""),347.5)</f>
        <v>347.5</v>
      </c>
      <c r="C1585" s="9">
        <f>IFERROR(__xludf.DUMMYFUNCTION("""COMPUTED_VALUE"""),352.5)</f>
        <v>352.5</v>
      </c>
      <c r="D1585" s="9">
        <f>IFERROR(__xludf.DUMMYFUNCTION("""COMPUTED_VALUE"""),347.13)</f>
        <v>347.13</v>
      </c>
      <c r="E1585" s="9">
        <f>IFERROR(__xludf.DUMMYFUNCTION("""COMPUTED_VALUE"""),350.38)</f>
        <v>350.38</v>
      </c>
      <c r="F1585" s="9">
        <f>IFERROR(__xludf.DUMMYFUNCTION("""COMPUTED_VALUE"""),889661.0)</f>
        <v>889661</v>
      </c>
      <c r="H1585" s="27">
        <f>IFERROR(__xludf.DUMMYFUNCTION("""COMPUTED_VALUE"""),40696.645833333336)</f>
        <v>40696.64583</v>
      </c>
      <c r="I1585" s="25">
        <f>IFERROR(__xludf.DUMMYFUNCTION("""COMPUTED_VALUE"""),579.45)</f>
        <v>579.45</v>
      </c>
      <c r="J1585" s="25">
        <f>IFERROR(__xludf.DUMMYFUNCTION("""COMPUTED_VALUE"""),586.0)</f>
        <v>586</v>
      </c>
      <c r="K1585" s="25">
        <f>IFERROR(__xludf.DUMMYFUNCTION("""COMPUTED_VALUE"""),578.33)</f>
        <v>578.33</v>
      </c>
      <c r="L1585" s="25">
        <f>IFERROR(__xludf.DUMMYFUNCTION("""COMPUTED_VALUE"""),583.88)</f>
        <v>583.88</v>
      </c>
      <c r="M1585" s="25">
        <f>IFERROR(__xludf.DUMMYFUNCTION("""COMPUTED_VALUE"""),848827.0)</f>
        <v>848827</v>
      </c>
    </row>
    <row r="1586">
      <c r="A1586" s="26">
        <f>IFERROR(__xludf.DUMMYFUNCTION("""COMPUTED_VALUE"""),40697.645833333336)</f>
        <v>40697.64583</v>
      </c>
      <c r="B1586" s="9">
        <f>IFERROR(__xludf.DUMMYFUNCTION("""COMPUTED_VALUE"""),351.38)</f>
        <v>351.38</v>
      </c>
      <c r="C1586" s="9">
        <f>IFERROR(__xludf.DUMMYFUNCTION("""COMPUTED_VALUE"""),355.35)</f>
        <v>355.35</v>
      </c>
      <c r="D1586" s="9">
        <f>IFERROR(__xludf.DUMMYFUNCTION("""COMPUTED_VALUE"""),351.36)</f>
        <v>351.36</v>
      </c>
      <c r="E1586" s="9">
        <f>IFERROR(__xludf.DUMMYFUNCTION("""COMPUTED_VALUE"""),352.03)</f>
        <v>352.03</v>
      </c>
      <c r="F1586" s="9">
        <f>IFERROR(__xludf.DUMMYFUNCTION("""COMPUTED_VALUE"""),786673.0)</f>
        <v>786673</v>
      </c>
      <c r="H1586" s="27">
        <f>IFERROR(__xludf.DUMMYFUNCTION("""COMPUTED_VALUE"""),40697.645833333336)</f>
        <v>40697.64583</v>
      </c>
      <c r="I1586" s="25">
        <f>IFERROR(__xludf.DUMMYFUNCTION("""COMPUTED_VALUE"""),583.0)</f>
        <v>583</v>
      </c>
      <c r="J1586" s="25">
        <f>IFERROR(__xludf.DUMMYFUNCTION("""COMPUTED_VALUE"""),587.5)</f>
        <v>587.5</v>
      </c>
      <c r="K1586" s="25">
        <f>IFERROR(__xludf.DUMMYFUNCTION("""COMPUTED_VALUE"""),575.0)</f>
        <v>575</v>
      </c>
      <c r="L1586" s="25">
        <f>IFERROR(__xludf.DUMMYFUNCTION("""COMPUTED_VALUE"""),576.05)</f>
        <v>576.05</v>
      </c>
      <c r="M1586" s="25">
        <f>IFERROR(__xludf.DUMMYFUNCTION("""COMPUTED_VALUE"""),683904.0)</f>
        <v>683904</v>
      </c>
    </row>
    <row r="1587">
      <c r="A1587" s="26">
        <f>IFERROR(__xludf.DUMMYFUNCTION("""COMPUTED_VALUE"""),40700.645833333336)</f>
        <v>40700.64583</v>
      </c>
      <c r="B1587" s="9">
        <f>IFERROR(__xludf.DUMMYFUNCTION("""COMPUTED_VALUE"""),352.75)</f>
        <v>352.75</v>
      </c>
      <c r="C1587" s="9">
        <f>IFERROR(__xludf.DUMMYFUNCTION("""COMPUTED_VALUE"""),355.74)</f>
        <v>355.74</v>
      </c>
      <c r="D1587" s="9">
        <f>IFERROR(__xludf.DUMMYFUNCTION("""COMPUTED_VALUE"""),349.39)</f>
        <v>349.39</v>
      </c>
      <c r="E1587" s="9">
        <f>IFERROR(__xludf.DUMMYFUNCTION("""COMPUTED_VALUE"""),354.74)</f>
        <v>354.74</v>
      </c>
      <c r="F1587" s="9">
        <f>IFERROR(__xludf.DUMMYFUNCTION("""COMPUTED_VALUE"""),471158.0)</f>
        <v>471158</v>
      </c>
      <c r="H1587" s="27">
        <f>IFERROR(__xludf.DUMMYFUNCTION("""COMPUTED_VALUE"""),40700.645833333336)</f>
        <v>40700.64583</v>
      </c>
      <c r="I1587" s="25">
        <f>IFERROR(__xludf.DUMMYFUNCTION("""COMPUTED_VALUE"""),570.0)</f>
        <v>570</v>
      </c>
      <c r="J1587" s="25">
        <f>IFERROR(__xludf.DUMMYFUNCTION("""COMPUTED_VALUE"""),584.0)</f>
        <v>584</v>
      </c>
      <c r="K1587" s="25">
        <f>IFERROR(__xludf.DUMMYFUNCTION("""COMPUTED_VALUE"""),570.0)</f>
        <v>570</v>
      </c>
      <c r="L1587" s="25">
        <f>IFERROR(__xludf.DUMMYFUNCTION("""COMPUTED_VALUE"""),582.17)</f>
        <v>582.17</v>
      </c>
      <c r="M1587" s="25">
        <f>IFERROR(__xludf.DUMMYFUNCTION("""COMPUTED_VALUE"""),678537.0)</f>
        <v>678537</v>
      </c>
    </row>
    <row r="1588">
      <c r="A1588" s="26">
        <f>IFERROR(__xludf.DUMMYFUNCTION("""COMPUTED_VALUE"""),40701.645833333336)</f>
        <v>40701.64583</v>
      </c>
      <c r="B1588" s="9">
        <f>IFERROR(__xludf.DUMMYFUNCTION("""COMPUTED_VALUE"""),353.76)</f>
        <v>353.76</v>
      </c>
      <c r="C1588" s="9">
        <f>IFERROR(__xludf.DUMMYFUNCTION("""COMPUTED_VALUE"""),363.0)</f>
        <v>363</v>
      </c>
      <c r="D1588" s="9">
        <f>IFERROR(__xludf.DUMMYFUNCTION("""COMPUTED_VALUE"""),353.76)</f>
        <v>353.76</v>
      </c>
      <c r="E1588" s="9">
        <f>IFERROR(__xludf.DUMMYFUNCTION("""COMPUTED_VALUE"""),361.57)</f>
        <v>361.57</v>
      </c>
      <c r="F1588" s="9">
        <f>IFERROR(__xludf.DUMMYFUNCTION("""COMPUTED_VALUE"""),997333.0)</f>
        <v>997333</v>
      </c>
      <c r="H1588" s="27">
        <f>IFERROR(__xludf.DUMMYFUNCTION("""COMPUTED_VALUE"""),40701.645833333336)</f>
        <v>40701.64583</v>
      </c>
      <c r="I1588" s="25">
        <f>IFERROR(__xludf.DUMMYFUNCTION("""COMPUTED_VALUE"""),581.5)</f>
        <v>581.5</v>
      </c>
      <c r="J1588" s="25">
        <f>IFERROR(__xludf.DUMMYFUNCTION("""COMPUTED_VALUE"""),591.58)</f>
        <v>591.58</v>
      </c>
      <c r="K1588" s="25">
        <f>IFERROR(__xludf.DUMMYFUNCTION("""COMPUTED_VALUE"""),579.0)</f>
        <v>579</v>
      </c>
      <c r="L1588" s="25">
        <f>IFERROR(__xludf.DUMMYFUNCTION("""COMPUTED_VALUE"""),589.65)</f>
        <v>589.65</v>
      </c>
      <c r="M1588" s="25">
        <f>IFERROR(__xludf.DUMMYFUNCTION("""COMPUTED_VALUE"""),918721.0)</f>
        <v>918721</v>
      </c>
    </row>
    <row r="1589">
      <c r="A1589" s="26">
        <f>IFERROR(__xludf.DUMMYFUNCTION("""COMPUTED_VALUE"""),40702.645833333336)</f>
        <v>40702.64583</v>
      </c>
      <c r="B1589" s="9">
        <f>IFERROR(__xludf.DUMMYFUNCTION("""COMPUTED_VALUE"""),361.13)</f>
        <v>361.13</v>
      </c>
      <c r="C1589" s="9">
        <f>IFERROR(__xludf.DUMMYFUNCTION("""COMPUTED_VALUE"""),361.53)</f>
        <v>361.53</v>
      </c>
      <c r="D1589" s="9">
        <f>IFERROR(__xludf.DUMMYFUNCTION("""COMPUTED_VALUE"""),358.41)</f>
        <v>358.41</v>
      </c>
      <c r="E1589" s="9">
        <f>IFERROR(__xludf.DUMMYFUNCTION("""COMPUTED_VALUE"""),358.96)</f>
        <v>358.96</v>
      </c>
      <c r="F1589" s="9">
        <f>IFERROR(__xludf.DUMMYFUNCTION("""COMPUTED_VALUE"""),743246.0)</f>
        <v>743246</v>
      </c>
      <c r="H1589" s="27">
        <f>IFERROR(__xludf.DUMMYFUNCTION("""COMPUTED_VALUE"""),40702.645833333336)</f>
        <v>40702.64583</v>
      </c>
      <c r="I1589" s="25">
        <f>IFERROR(__xludf.DUMMYFUNCTION("""COMPUTED_VALUE"""),585.95)</f>
        <v>585.95</v>
      </c>
      <c r="J1589" s="25">
        <f>IFERROR(__xludf.DUMMYFUNCTION("""COMPUTED_VALUE"""),592.5)</f>
        <v>592.5</v>
      </c>
      <c r="K1589" s="25">
        <f>IFERROR(__xludf.DUMMYFUNCTION("""COMPUTED_VALUE"""),581.75)</f>
        <v>581.75</v>
      </c>
      <c r="L1589" s="25">
        <f>IFERROR(__xludf.DUMMYFUNCTION("""COMPUTED_VALUE"""),590.7)</f>
        <v>590.7</v>
      </c>
      <c r="M1589" s="25">
        <f>IFERROR(__xludf.DUMMYFUNCTION("""COMPUTED_VALUE"""),1063835.0)</f>
        <v>1063835</v>
      </c>
    </row>
    <row r="1590">
      <c r="A1590" s="26">
        <f>IFERROR(__xludf.DUMMYFUNCTION("""COMPUTED_VALUE"""),40703.645833333336)</f>
        <v>40703.64583</v>
      </c>
      <c r="B1590" s="9">
        <f>IFERROR(__xludf.DUMMYFUNCTION("""COMPUTED_VALUE"""),360.19)</f>
        <v>360.19</v>
      </c>
      <c r="C1590" s="9">
        <f>IFERROR(__xludf.DUMMYFUNCTION("""COMPUTED_VALUE"""),360.19)</f>
        <v>360.19</v>
      </c>
      <c r="D1590" s="9">
        <f>IFERROR(__xludf.DUMMYFUNCTION("""COMPUTED_VALUE"""),356.82)</f>
        <v>356.82</v>
      </c>
      <c r="E1590" s="9">
        <f>IFERROR(__xludf.DUMMYFUNCTION("""COMPUTED_VALUE"""),357.69)</f>
        <v>357.69</v>
      </c>
      <c r="F1590" s="9">
        <f>IFERROR(__xludf.DUMMYFUNCTION("""COMPUTED_VALUE"""),527702.0)</f>
        <v>527702</v>
      </c>
      <c r="H1590" s="27">
        <f>IFERROR(__xludf.DUMMYFUNCTION("""COMPUTED_VALUE"""),40703.645833333336)</f>
        <v>40703.64583</v>
      </c>
      <c r="I1590" s="25">
        <f>IFERROR(__xludf.DUMMYFUNCTION("""COMPUTED_VALUE"""),587.5)</f>
        <v>587.5</v>
      </c>
      <c r="J1590" s="25">
        <f>IFERROR(__xludf.DUMMYFUNCTION("""COMPUTED_VALUE"""),596.9)</f>
        <v>596.9</v>
      </c>
      <c r="K1590" s="25">
        <f>IFERROR(__xludf.DUMMYFUNCTION("""COMPUTED_VALUE"""),587.5)</f>
        <v>587.5</v>
      </c>
      <c r="L1590" s="25">
        <f>IFERROR(__xludf.DUMMYFUNCTION("""COMPUTED_VALUE"""),593.17)</f>
        <v>593.17</v>
      </c>
      <c r="M1590" s="25">
        <f>IFERROR(__xludf.DUMMYFUNCTION("""COMPUTED_VALUE"""),1346983.0)</f>
        <v>1346983</v>
      </c>
    </row>
    <row r="1591">
      <c r="A1591" s="26">
        <f>IFERROR(__xludf.DUMMYFUNCTION("""COMPUTED_VALUE"""),40704.645833333336)</f>
        <v>40704.64583</v>
      </c>
      <c r="B1591" s="9">
        <f>IFERROR(__xludf.DUMMYFUNCTION("""COMPUTED_VALUE"""),358.56)</f>
        <v>358.56</v>
      </c>
      <c r="C1591" s="9">
        <f>IFERROR(__xludf.DUMMYFUNCTION("""COMPUTED_VALUE"""),360.1)</f>
        <v>360.1</v>
      </c>
      <c r="D1591" s="9">
        <f>IFERROR(__xludf.DUMMYFUNCTION("""COMPUTED_VALUE"""),356.4)</f>
        <v>356.4</v>
      </c>
      <c r="E1591" s="9">
        <f>IFERROR(__xludf.DUMMYFUNCTION("""COMPUTED_VALUE"""),357.79)</f>
        <v>357.79</v>
      </c>
      <c r="F1591" s="9">
        <f>IFERROR(__xludf.DUMMYFUNCTION("""COMPUTED_VALUE"""),898408.0)</f>
        <v>898408</v>
      </c>
      <c r="H1591" s="27">
        <f>IFERROR(__xludf.DUMMYFUNCTION("""COMPUTED_VALUE"""),40704.645833333336)</f>
        <v>40704.64583</v>
      </c>
      <c r="I1591" s="25">
        <f>IFERROR(__xludf.DUMMYFUNCTION("""COMPUTED_VALUE"""),593.28)</f>
        <v>593.28</v>
      </c>
      <c r="J1591" s="25">
        <f>IFERROR(__xludf.DUMMYFUNCTION("""COMPUTED_VALUE"""),598.75)</f>
        <v>598.75</v>
      </c>
      <c r="K1591" s="25">
        <f>IFERROR(__xludf.DUMMYFUNCTION("""COMPUTED_VALUE"""),592.55)</f>
        <v>592.55</v>
      </c>
      <c r="L1591" s="25">
        <f>IFERROR(__xludf.DUMMYFUNCTION("""COMPUTED_VALUE"""),594.6)</f>
        <v>594.6</v>
      </c>
      <c r="M1591" s="25">
        <f>IFERROR(__xludf.DUMMYFUNCTION("""COMPUTED_VALUE"""),1887275.0)</f>
        <v>1887275</v>
      </c>
    </row>
    <row r="1592">
      <c r="A1592" s="26">
        <f>IFERROR(__xludf.DUMMYFUNCTION("""COMPUTED_VALUE"""),40707.645833333336)</f>
        <v>40707.64583</v>
      </c>
      <c r="B1592" s="9">
        <f>IFERROR(__xludf.DUMMYFUNCTION("""COMPUTED_VALUE"""),356.06)</f>
        <v>356.06</v>
      </c>
      <c r="C1592" s="9">
        <f>IFERROR(__xludf.DUMMYFUNCTION("""COMPUTED_VALUE"""),360.28)</f>
        <v>360.28</v>
      </c>
      <c r="D1592" s="9">
        <f>IFERROR(__xludf.DUMMYFUNCTION("""COMPUTED_VALUE"""),352.46)</f>
        <v>352.46</v>
      </c>
      <c r="E1592" s="9">
        <f>IFERROR(__xludf.DUMMYFUNCTION("""COMPUTED_VALUE"""),359.7)</f>
        <v>359.7</v>
      </c>
      <c r="F1592" s="9">
        <f>IFERROR(__xludf.DUMMYFUNCTION("""COMPUTED_VALUE"""),966648.0)</f>
        <v>966648</v>
      </c>
      <c r="H1592" s="27">
        <f>IFERROR(__xludf.DUMMYFUNCTION("""COMPUTED_VALUE"""),40707.645833333336)</f>
        <v>40707.64583</v>
      </c>
      <c r="I1592" s="25">
        <f>IFERROR(__xludf.DUMMYFUNCTION("""COMPUTED_VALUE"""),594.6)</f>
        <v>594.6</v>
      </c>
      <c r="J1592" s="25">
        <f>IFERROR(__xludf.DUMMYFUNCTION("""COMPUTED_VALUE"""),595.25)</f>
        <v>595.25</v>
      </c>
      <c r="K1592" s="25">
        <f>IFERROR(__xludf.DUMMYFUNCTION("""COMPUTED_VALUE"""),586.28)</f>
        <v>586.28</v>
      </c>
      <c r="L1592" s="25">
        <f>IFERROR(__xludf.DUMMYFUNCTION("""COMPUTED_VALUE"""),587.65)</f>
        <v>587.65</v>
      </c>
      <c r="M1592" s="25">
        <f>IFERROR(__xludf.DUMMYFUNCTION("""COMPUTED_VALUE"""),1614700.0)</f>
        <v>1614700</v>
      </c>
    </row>
    <row r="1593">
      <c r="A1593" s="26">
        <f>IFERROR(__xludf.DUMMYFUNCTION("""COMPUTED_VALUE"""),40708.645833333336)</f>
        <v>40708.64583</v>
      </c>
      <c r="B1593" s="9">
        <f>IFERROR(__xludf.DUMMYFUNCTION("""COMPUTED_VALUE"""),359.73)</f>
        <v>359.73</v>
      </c>
      <c r="C1593" s="9">
        <f>IFERROR(__xludf.DUMMYFUNCTION("""COMPUTED_VALUE"""),360.44)</f>
        <v>360.44</v>
      </c>
      <c r="D1593" s="9">
        <f>IFERROR(__xludf.DUMMYFUNCTION("""COMPUTED_VALUE"""),358.09)</f>
        <v>358.09</v>
      </c>
      <c r="E1593" s="9">
        <f>IFERROR(__xludf.DUMMYFUNCTION("""COMPUTED_VALUE"""),359.04)</f>
        <v>359.04</v>
      </c>
      <c r="F1593" s="9">
        <f>IFERROR(__xludf.DUMMYFUNCTION("""COMPUTED_VALUE"""),983763.0)</f>
        <v>983763</v>
      </c>
      <c r="H1593" s="27">
        <f>IFERROR(__xludf.DUMMYFUNCTION("""COMPUTED_VALUE"""),40708.645833333336)</f>
        <v>40708.64583</v>
      </c>
      <c r="I1593" s="25">
        <f>IFERROR(__xludf.DUMMYFUNCTION("""COMPUTED_VALUE"""),589.0)</f>
        <v>589</v>
      </c>
      <c r="J1593" s="25">
        <f>IFERROR(__xludf.DUMMYFUNCTION("""COMPUTED_VALUE"""),597.45)</f>
        <v>597.45</v>
      </c>
      <c r="K1593" s="25">
        <f>IFERROR(__xludf.DUMMYFUNCTION("""COMPUTED_VALUE"""),589.0)</f>
        <v>589</v>
      </c>
      <c r="L1593" s="25">
        <f>IFERROR(__xludf.DUMMYFUNCTION("""COMPUTED_VALUE"""),595.53)</f>
        <v>595.53</v>
      </c>
      <c r="M1593" s="25">
        <f>IFERROR(__xludf.DUMMYFUNCTION("""COMPUTED_VALUE"""),1062891.0)</f>
        <v>1062891</v>
      </c>
    </row>
    <row r="1594">
      <c r="A1594" s="26">
        <f>IFERROR(__xludf.DUMMYFUNCTION("""COMPUTED_VALUE"""),40709.645833333336)</f>
        <v>40709.64583</v>
      </c>
      <c r="B1594" s="9">
        <f>IFERROR(__xludf.DUMMYFUNCTION("""COMPUTED_VALUE"""),357.72)</f>
        <v>357.72</v>
      </c>
      <c r="C1594" s="9">
        <f>IFERROR(__xludf.DUMMYFUNCTION("""COMPUTED_VALUE"""),357.72)</f>
        <v>357.72</v>
      </c>
      <c r="D1594" s="9">
        <f>IFERROR(__xludf.DUMMYFUNCTION("""COMPUTED_VALUE"""),353.36)</f>
        <v>353.36</v>
      </c>
      <c r="E1594" s="9">
        <f>IFERROR(__xludf.DUMMYFUNCTION("""COMPUTED_VALUE"""),354.45)</f>
        <v>354.45</v>
      </c>
      <c r="F1594" s="9">
        <f>IFERROR(__xludf.DUMMYFUNCTION("""COMPUTED_VALUE"""),916985.0)</f>
        <v>916985</v>
      </c>
      <c r="H1594" s="27">
        <f>IFERROR(__xludf.DUMMYFUNCTION("""COMPUTED_VALUE"""),40709.645833333336)</f>
        <v>40709.64583</v>
      </c>
      <c r="I1594" s="25">
        <f>IFERROR(__xludf.DUMMYFUNCTION("""COMPUTED_VALUE"""),593.0)</f>
        <v>593</v>
      </c>
      <c r="J1594" s="25">
        <f>IFERROR(__xludf.DUMMYFUNCTION("""COMPUTED_VALUE"""),602.5)</f>
        <v>602.5</v>
      </c>
      <c r="K1594" s="25">
        <f>IFERROR(__xludf.DUMMYFUNCTION("""COMPUTED_VALUE"""),590.63)</f>
        <v>590.63</v>
      </c>
      <c r="L1594" s="25">
        <f>IFERROR(__xludf.DUMMYFUNCTION("""COMPUTED_VALUE"""),592.13)</f>
        <v>592.13</v>
      </c>
      <c r="M1594" s="25">
        <f>IFERROR(__xludf.DUMMYFUNCTION("""COMPUTED_VALUE"""),1406191.0)</f>
        <v>1406191</v>
      </c>
    </row>
    <row r="1595">
      <c r="A1595" s="26">
        <f>IFERROR(__xludf.DUMMYFUNCTION("""COMPUTED_VALUE"""),40710.645833333336)</f>
        <v>40710.64583</v>
      </c>
      <c r="B1595" s="9">
        <f>IFERROR(__xludf.DUMMYFUNCTION("""COMPUTED_VALUE"""),353.63)</f>
        <v>353.63</v>
      </c>
      <c r="C1595" s="9">
        <f>IFERROR(__xludf.DUMMYFUNCTION("""COMPUTED_VALUE"""),353.63)</f>
        <v>353.63</v>
      </c>
      <c r="D1595" s="9">
        <f>IFERROR(__xludf.DUMMYFUNCTION("""COMPUTED_VALUE"""),349.38)</f>
        <v>349.38</v>
      </c>
      <c r="E1595" s="9">
        <f>IFERROR(__xludf.DUMMYFUNCTION("""COMPUTED_VALUE"""),350.04)</f>
        <v>350.04</v>
      </c>
      <c r="F1595" s="9">
        <f>IFERROR(__xludf.DUMMYFUNCTION("""COMPUTED_VALUE"""),953620.0)</f>
        <v>953620</v>
      </c>
      <c r="H1595" s="27">
        <f>IFERROR(__xludf.DUMMYFUNCTION("""COMPUTED_VALUE"""),40710.645833333336)</f>
        <v>40710.64583</v>
      </c>
      <c r="I1595" s="25">
        <f>IFERROR(__xludf.DUMMYFUNCTION("""COMPUTED_VALUE"""),591.5)</f>
        <v>591.5</v>
      </c>
      <c r="J1595" s="25">
        <f>IFERROR(__xludf.DUMMYFUNCTION("""COMPUTED_VALUE"""),592.95)</f>
        <v>592.95</v>
      </c>
      <c r="K1595" s="25">
        <f>IFERROR(__xludf.DUMMYFUNCTION("""COMPUTED_VALUE"""),574.13)</f>
        <v>574.13</v>
      </c>
      <c r="L1595" s="25">
        <f>IFERROR(__xludf.DUMMYFUNCTION("""COMPUTED_VALUE"""),575.58)</f>
        <v>575.58</v>
      </c>
      <c r="M1595" s="25">
        <f>IFERROR(__xludf.DUMMYFUNCTION("""COMPUTED_VALUE"""),1168760.0)</f>
        <v>1168760</v>
      </c>
    </row>
    <row r="1596">
      <c r="A1596" s="26">
        <f>IFERROR(__xludf.DUMMYFUNCTION("""COMPUTED_VALUE"""),40711.645833333336)</f>
        <v>40711.64583</v>
      </c>
      <c r="B1596" s="9">
        <f>IFERROR(__xludf.DUMMYFUNCTION("""COMPUTED_VALUE"""),350.01)</f>
        <v>350.01</v>
      </c>
      <c r="C1596" s="9">
        <f>IFERROR(__xludf.DUMMYFUNCTION("""COMPUTED_VALUE"""),350.42)</f>
        <v>350.42</v>
      </c>
      <c r="D1596" s="9">
        <f>IFERROR(__xludf.DUMMYFUNCTION("""COMPUTED_VALUE"""),341.41)</f>
        <v>341.41</v>
      </c>
      <c r="E1596" s="9">
        <f>IFERROR(__xludf.DUMMYFUNCTION("""COMPUTED_VALUE"""),346.21)</f>
        <v>346.21</v>
      </c>
      <c r="F1596" s="9">
        <f>IFERROR(__xludf.DUMMYFUNCTION("""COMPUTED_VALUE"""),1065646.0)</f>
        <v>1065646</v>
      </c>
      <c r="H1596" s="27">
        <f>IFERROR(__xludf.DUMMYFUNCTION("""COMPUTED_VALUE"""),40711.645833333336)</f>
        <v>40711.64583</v>
      </c>
      <c r="I1596" s="25">
        <f>IFERROR(__xludf.DUMMYFUNCTION("""COMPUTED_VALUE"""),577.5)</f>
        <v>577.5</v>
      </c>
      <c r="J1596" s="25">
        <f>IFERROR(__xludf.DUMMYFUNCTION("""COMPUTED_VALUE"""),578.5)</f>
        <v>578.5</v>
      </c>
      <c r="K1596" s="25">
        <f>IFERROR(__xludf.DUMMYFUNCTION("""COMPUTED_VALUE"""),552.0)</f>
        <v>552</v>
      </c>
      <c r="L1596" s="25">
        <f>IFERROR(__xludf.DUMMYFUNCTION("""COMPUTED_VALUE"""),554.6)</f>
        <v>554.6</v>
      </c>
      <c r="M1596" s="25">
        <f>IFERROR(__xludf.DUMMYFUNCTION("""COMPUTED_VALUE"""),1894073.0)</f>
        <v>1894073</v>
      </c>
    </row>
    <row r="1597">
      <c r="A1597" s="26">
        <f>IFERROR(__xludf.DUMMYFUNCTION("""COMPUTED_VALUE"""),40714.645833333336)</f>
        <v>40714.64583</v>
      </c>
      <c r="B1597" s="9">
        <f>IFERROR(__xludf.DUMMYFUNCTION("""COMPUTED_VALUE"""),346.04)</f>
        <v>346.04</v>
      </c>
      <c r="C1597" s="9">
        <f>IFERROR(__xludf.DUMMYFUNCTION("""COMPUTED_VALUE"""),347.47)</f>
        <v>347.47</v>
      </c>
      <c r="D1597" s="9">
        <f>IFERROR(__xludf.DUMMYFUNCTION("""COMPUTED_VALUE"""),331.56)</f>
        <v>331.56</v>
      </c>
      <c r="E1597" s="9">
        <f>IFERROR(__xludf.DUMMYFUNCTION("""COMPUTED_VALUE"""),338.69)</f>
        <v>338.69</v>
      </c>
      <c r="F1597" s="9">
        <f>IFERROR(__xludf.DUMMYFUNCTION("""COMPUTED_VALUE"""),1557269.0)</f>
        <v>1557269</v>
      </c>
      <c r="H1597" s="27">
        <f>IFERROR(__xludf.DUMMYFUNCTION("""COMPUTED_VALUE"""),40714.645833333336)</f>
        <v>40714.64583</v>
      </c>
      <c r="I1597" s="25">
        <f>IFERROR(__xludf.DUMMYFUNCTION("""COMPUTED_VALUE"""),557.5)</f>
        <v>557.5</v>
      </c>
      <c r="J1597" s="25">
        <f>IFERROR(__xludf.DUMMYFUNCTION("""COMPUTED_VALUE"""),559.5)</f>
        <v>559.5</v>
      </c>
      <c r="K1597" s="25">
        <f>IFERROR(__xludf.DUMMYFUNCTION("""COMPUTED_VALUE"""),529.0)</f>
        <v>529</v>
      </c>
      <c r="L1597" s="25">
        <f>IFERROR(__xludf.DUMMYFUNCTION("""COMPUTED_VALUE"""),534.65)</f>
        <v>534.65</v>
      </c>
      <c r="M1597" s="25">
        <f>IFERROR(__xludf.DUMMYFUNCTION("""COMPUTED_VALUE"""),2655204.0)</f>
        <v>2655204</v>
      </c>
    </row>
    <row r="1598">
      <c r="A1598" s="26">
        <f>IFERROR(__xludf.DUMMYFUNCTION("""COMPUTED_VALUE"""),40715.645833333336)</f>
        <v>40715.64583</v>
      </c>
      <c r="B1598" s="9">
        <f>IFERROR(__xludf.DUMMYFUNCTION("""COMPUTED_VALUE"""),340.38)</f>
        <v>340.38</v>
      </c>
      <c r="C1598" s="9">
        <f>IFERROR(__xludf.DUMMYFUNCTION("""COMPUTED_VALUE"""),344.38)</f>
        <v>344.38</v>
      </c>
      <c r="D1598" s="9">
        <f>IFERROR(__xludf.DUMMYFUNCTION("""COMPUTED_VALUE"""),336.66)</f>
        <v>336.66</v>
      </c>
      <c r="E1598" s="9">
        <f>IFERROR(__xludf.DUMMYFUNCTION("""COMPUTED_VALUE"""),340.89)</f>
        <v>340.89</v>
      </c>
      <c r="F1598" s="9">
        <f>IFERROR(__xludf.DUMMYFUNCTION("""COMPUTED_VALUE"""),942852.0)</f>
        <v>942852</v>
      </c>
      <c r="H1598" s="27">
        <f>IFERROR(__xludf.DUMMYFUNCTION("""COMPUTED_VALUE"""),40715.645833333336)</f>
        <v>40715.64583</v>
      </c>
      <c r="I1598" s="25">
        <f>IFERROR(__xludf.DUMMYFUNCTION("""COMPUTED_VALUE"""),537.5)</f>
        <v>537.5</v>
      </c>
      <c r="J1598" s="25">
        <f>IFERROR(__xludf.DUMMYFUNCTION("""COMPUTED_VALUE"""),555.35)</f>
        <v>555.35</v>
      </c>
      <c r="K1598" s="25">
        <f>IFERROR(__xludf.DUMMYFUNCTION("""COMPUTED_VALUE"""),531.6)</f>
        <v>531.6</v>
      </c>
      <c r="L1598" s="25">
        <f>IFERROR(__xludf.DUMMYFUNCTION("""COMPUTED_VALUE"""),553.38)</f>
        <v>553.38</v>
      </c>
      <c r="M1598" s="25">
        <f>IFERROR(__xludf.DUMMYFUNCTION("""COMPUTED_VALUE"""),1712973.0)</f>
        <v>1712973</v>
      </c>
    </row>
    <row r="1599">
      <c r="A1599" s="26">
        <f>IFERROR(__xludf.DUMMYFUNCTION("""COMPUTED_VALUE"""),40716.645833333336)</f>
        <v>40716.64583</v>
      </c>
      <c r="B1599" s="9">
        <f>IFERROR(__xludf.DUMMYFUNCTION("""COMPUTED_VALUE"""),344.13)</f>
        <v>344.13</v>
      </c>
      <c r="C1599" s="9">
        <f>IFERROR(__xludf.DUMMYFUNCTION("""COMPUTED_VALUE"""),347.71)</f>
        <v>347.71</v>
      </c>
      <c r="D1599" s="9">
        <f>IFERROR(__xludf.DUMMYFUNCTION("""COMPUTED_VALUE"""),342.76)</f>
        <v>342.76</v>
      </c>
      <c r="E1599" s="9">
        <f>IFERROR(__xludf.DUMMYFUNCTION("""COMPUTED_VALUE"""),344.38)</f>
        <v>344.38</v>
      </c>
      <c r="F1599" s="9">
        <f>IFERROR(__xludf.DUMMYFUNCTION("""COMPUTED_VALUE"""),703125.0)</f>
        <v>703125</v>
      </c>
      <c r="H1599" s="27">
        <f>IFERROR(__xludf.DUMMYFUNCTION("""COMPUTED_VALUE"""),40716.645833333336)</f>
        <v>40716.64583</v>
      </c>
      <c r="I1599" s="25">
        <f>IFERROR(__xludf.DUMMYFUNCTION("""COMPUTED_VALUE"""),558.0)</f>
        <v>558</v>
      </c>
      <c r="J1599" s="25">
        <f>IFERROR(__xludf.DUMMYFUNCTION("""COMPUTED_VALUE"""),558.45)</f>
        <v>558.45</v>
      </c>
      <c r="K1599" s="25">
        <f>IFERROR(__xludf.DUMMYFUNCTION("""COMPUTED_VALUE"""),540.0)</f>
        <v>540</v>
      </c>
      <c r="L1599" s="25">
        <f>IFERROR(__xludf.DUMMYFUNCTION("""COMPUTED_VALUE"""),541.75)</f>
        <v>541.75</v>
      </c>
      <c r="M1599" s="25">
        <f>IFERROR(__xludf.DUMMYFUNCTION("""COMPUTED_VALUE"""),1785417.0)</f>
        <v>1785417</v>
      </c>
    </row>
    <row r="1600">
      <c r="A1600" s="26">
        <f>IFERROR(__xludf.DUMMYFUNCTION("""COMPUTED_VALUE"""),40717.645833333336)</f>
        <v>40717.64583</v>
      </c>
      <c r="B1600" s="9">
        <f>IFERROR(__xludf.DUMMYFUNCTION("""COMPUTED_VALUE"""),343.75)</f>
        <v>343.75</v>
      </c>
      <c r="C1600" s="9">
        <f>IFERROR(__xludf.DUMMYFUNCTION("""COMPUTED_VALUE"""),348.64)</f>
        <v>348.64</v>
      </c>
      <c r="D1600" s="9">
        <f>IFERROR(__xludf.DUMMYFUNCTION("""COMPUTED_VALUE"""),341.94)</f>
        <v>341.94</v>
      </c>
      <c r="E1600" s="9">
        <f>IFERROR(__xludf.DUMMYFUNCTION("""COMPUTED_VALUE"""),347.39)</f>
        <v>347.39</v>
      </c>
      <c r="F1600" s="9">
        <f>IFERROR(__xludf.DUMMYFUNCTION("""COMPUTED_VALUE"""),519846.0)</f>
        <v>519846</v>
      </c>
      <c r="H1600" s="27">
        <f>IFERROR(__xludf.DUMMYFUNCTION("""COMPUTED_VALUE"""),40717.645833333336)</f>
        <v>40717.64583</v>
      </c>
      <c r="I1600" s="25">
        <f>IFERROR(__xludf.DUMMYFUNCTION("""COMPUTED_VALUE"""),540.9)</f>
        <v>540.9</v>
      </c>
      <c r="J1600" s="25">
        <f>IFERROR(__xludf.DUMMYFUNCTION("""COMPUTED_VALUE"""),550.5)</f>
        <v>550.5</v>
      </c>
      <c r="K1600" s="25">
        <f>IFERROR(__xludf.DUMMYFUNCTION("""COMPUTED_VALUE"""),535.05)</f>
        <v>535.05</v>
      </c>
      <c r="L1600" s="25">
        <f>IFERROR(__xludf.DUMMYFUNCTION("""COMPUTED_VALUE"""),548.5)</f>
        <v>548.5</v>
      </c>
      <c r="M1600" s="25">
        <f>IFERROR(__xludf.DUMMYFUNCTION("""COMPUTED_VALUE"""),1214118.0)</f>
        <v>1214118</v>
      </c>
    </row>
    <row r="1601">
      <c r="A1601" s="26">
        <f>IFERROR(__xludf.DUMMYFUNCTION("""COMPUTED_VALUE"""),40718.645833333336)</f>
        <v>40718.64583</v>
      </c>
      <c r="B1601" s="9">
        <f>IFERROR(__xludf.DUMMYFUNCTION("""COMPUTED_VALUE"""),348.88)</f>
        <v>348.88</v>
      </c>
      <c r="C1601" s="9">
        <f>IFERROR(__xludf.DUMMYFUNCTION("""COMPUTED_VALUE"""),359.71)</f>
        <v>359.71</v>
      </c>
      <c r="D1601" s="9">
        <f>IFERROR(__xludf.DUMMYFUNCTION("""COMPUTED_VALUE"""),348.88)</f>
        <v>348.88</v>
      </c>
      <c r="E1601" s="9">
        <f>IFERROR(__xludf.DUMMYFUNCTION("""COMPUTED_VALUE"""),357.49)</f>
        <v>357.49</v>
      </c>
      <c r="F1601" s="9">
        <f>IFERROR(__xludf.DUMMYFUNCTION("""COMPUTED_VALUE"""),1402411.0)</f>
        <v>1402411</v>
      </c>
      <c r="H1601" s="27">
        <f>IFERROR(__xludf.DUMMYFUNCTION("""COMPUTED_VALUE"""),40718.645833333336)</f>
        <v>40718.64583</v>
      </c>
      <c r="I1601" s="25">
        <f>IFERROR(__xludf.DUMMYFUNCTION("""COMPUTED_VALUE"""),550.0)</f>
        <v>550</v>
      </c>
      <c r="J1601" s="25">
        <f>IFERROR(__xludf.DUMMYFUNCTION("""COMPUTED_VALUE"""),570.38)</f>
        <v>570.38</v>
      </c>
      <c r="K1601" s="25">
        <f>IFERROR(__xludf.DUMMYFUNCTION("""COMPUTED_VALUE"""),549.5)</f>
        <v>549.5</v>
      </c>
      <c r="L1601" s="25">
        <f>IFERROR(__xludf.DUMMYFUNCTION("""COMPUTED_VALUE"""),568.88)</f>
        <v>568.88</v>
      </c>
      <c r="M1601" s="25">
        <f>IFERROR(__xludf.DUMMYFUNCTION("""COMPUTED_VALUE"""),2075794.0)</f>
        <v>2075794</v>
      </c>
    </row>
    <row r="1602">
      <c r="A1602" s="26">
        <f>IFERROR(__xludf.DUMMYFUNCTION("""COMPUTED_VALUE"""),40721.645833333336)</f>
        <v>40721.64583</v>
      </c>
      <c r="B1602" s="9">
        <f>IFERROR(__xludf.DUMMYFUNCTION("""COMPUTED_VALUE"""),353.96)</f>
        <v>353.96</v>
      </c>
      <c r="C1602" s="9">
        <f>IFERROR(__xludf.DUMMYFUNCTION("""COMPUTED_VALUE"""),365.38)</f>
        <v>365.38</v>
      </c>
      <c r="D1602" s="9">
        <f>IFERROR(__xludf.DUMMYFUNCTION("""COMPUTED_VALUE"""),352.53)</f>
        <v>352.53</v>
      </c>
      <c r="E1602" s="9">
        <f>IFERROR(__xludf.DUMMYFUNCTION("""COMPUTED_VALUE"""),358.88)</f>
        <v>358.88</v>
      </c>
      <c r="F1602" s="9">
        <f>IFERROR(__xludf.DUMMYFUNCTION("""COMPUTED_VALUE"""),1340537.0)</f>
        <v>1340537</v>
      </c>
      <c r="H1602" s="27">
        <f>IFERROR(__xludf.DUMMYFUNCTION("""COMPUTED_VALUE"""),40721.645833333336)</f>
        <v>40721.64583</v>
      </c>
      <c r="I1602" s="25">
        <f>IFERROR(__xludf.DUMMYFUNCTION("""COMPUTED_VALUE"""),561.0)</f>
        <v>561</v>
      </c>
      <c r="J1602" s="25">
        <f>IFERROR(__xludf.DUMMYFUNCTION("""COMPUTED_VALUE"""),577.35)</f>
        <v>577.35</v>
      </c>
      <c r="K1602" s="25">
        <f>IFERROR(__xludf.DUMMYFUNCTION("""COMPUTED_VALUE"""),561.0)</f>
        <v>561</v>
      </c>
      <c r="L1602" s="25">
        <f>IFERROR(__xludf.DUMMYFUNCTION("""COMPUTED_VALUE"""),575.3)</f>
        <v>575.3</v>
      </c>
      <c r="M1602" s="25">
        <f>IFERROR(__xludf.DUMMYFUNCTION("""COMPUTED_VALUE"""),1562609.0)</f>
        <v>1562609</v>
      </c>
    </row>
    <row r="1603">
      <c r="A1603" s="26">
        <f>IFERROR(__xludf.DUMMYFUNCTION("""COMPUTED_VALUE"""),40722.645833333336)</f>
        <v>40722.64583</v>
      </c>
      <c r="B1603" s="9">
        <f>IFERROR(__xludf.DUMMYFUNCTION("""COMPUTED_VALUE"""),358.76)</f>
        <v>358.76</v>
      </c>
      <c r="C1603" s="9">
        <f>IFERROR(__xludf.DUMMYFUNCTION("""COMPUTED_VALUE"""),359.61)</f>
        <v>359.61</v>
      </c>
      <c r="D1603" s="9">
        <f>IFERROR(__xludf.DUMMYFUNCTION("""COMPUTED_VALUE"""),355.48)</f>
        <v>355.48</v>
      </c>
      <c r="E1603" s="9">
        <f>IFERROR(__xludf.DUMMYFUNCTION("""COMPUTED_VALUE"""),358.16)</f>
        <v>358.16</v>
      </c>
      <c r="F1603" s="9">
        <f>IFERROR(__xludf.DUMMYFUNCTION("""COMPUTED_VALUE"""),560849.0)</f>
        <v>560849</v>
      </c>
      <c r="H1603" s="27">
        <f>IFERROR(__xludf.DUMMYFUNCTION("""COMPUTED_VALUE"""),40722.645833333336)</f>
        <v>40722.64583</v>
      </c>
      <c r="I1603" s="25">
        <f>IFERROR(__xludf.DUMMYFUNCTION("""COMPUTED_VALUE"""),580.0)</f>
        <v>580</v>
      </c>
      <c r="J1603" s="25">
        <f>IFERROR(__xludf.DUMMYFUNCTION("""COMPUTED_VALUE"""),581.0)</f>
        <v>581</v>
      </c>
      <c r="K1603" s="25">
        <f>IFERROR(__xludf.DUMMYFUNCTION("""COMPUTED_VALUE"""),567.83)</f>
        <v>567.83</v>
      </c>
      <c r="L1603" s="25">
        <f>IFERROR(__xludf.DUMMYFUNCTION("""COMPUTED_VALUE"""),577.0)</f>
        <v>577</v>
      </c>
      <c r="M1603" s="25">
        <f>IFERROR(__xludf.DUMMYFUNCTION("""COMPUTED_VALUE"""),1066666.0)</f>
        <v>1066666</v>
      </c>
    </row>
    <row r="1604">
      <c r="A1604" s="26">
        <f>IFERROR(__xludf.DUMMYFUNCTION("""COMPUTED_VALUE"""),40723.645833333336)</f>
        <v>40723.64583</v>
      </c>
      <c r="B1604" s="9">
        <f>IFERROR(__xludf.DUMMYFUNCTION("""COMPUTED_VALUE"""),358.5)</f>
        <v>358.5</v>
      </c>
      <c r="C1604" s="9">
        <f>IFERROR(__xludf.DUMMYFUNCTION("""COMPUTED_VALUE"""),363.38)</f>
        <v>363.38</v>
      </c>
      <c r="D1604" s="9">
        <f>IFERROR(__xludf.DUMMYFUNCTION("""COMPUTED_VALUE"""),358.5)</f>
        <v>358.5</v>
      </c>
      <c r="E1604" s="9">
        <f>IFERROR(__xludf.DUMMYFUNCTION("""COMPUTED_VALUE"""),360.22)</f>
        <v>360.22</v>
      </c>
      <c r="F1604" s="9">
        <f>IFERROR(__xludf.DUMMYFUNCTION("""COMPUTED_VALUE"""),600094.0)</f>
        <v>600094</v>
      </c>
      <c r="H1604" s="27">
        <f>IFERROR(__xludf.DUMMYFUNCTION("""COMPUTED_VALUE"""),40723.645833333336)</f>
        <v>40723.64583</v>
      </c>
      <c r="I1604" s="25">
        <f>IFERROR(__xludf.DUMMYFUNCTION("""COMPUTED_VALUE"""),577.35)</f>
        <v>577.35</v>
      </c>
      <c r="J1604" s="25">
        <f>IFERROR(__xludf.DUMMYFUNCTION("""COMPUTED_VALUE"""),589.45)</f>
        <v>589.45</v>
      </c>
      <c r="K1604" s="25">
        <f>IFERROR(__xludf.DUMMYFUNCTION("""COMPUTED_VALUE"""),577.35)</f>
        <v>577.35</v>
      </c>
      <c r="L1604" s="25">
        <f>IFERROR(__xludf.DUMMYFUNCTION("""COMPUTED_VALUE"""),584.92)</f>
        <v>584.92</v>
      </c>
      <c r="M1604" s="25">
        <f>IFERROR(__xludf.DUMMYFUNCTION("""COMPUTED_VALUE"""),1479352.0)</f>
        <v>1479352</v>
      </c>
    </row>
    <row r="1605">
      <c r="A1605" s="26">
        <f>IFERROR(__xludf.DUMMYFUNCTION("""COMPUTED_VALUE"""),40724.645833333336)</f>
        <v>40724.64583</v>
      </c>
      <c r="B1605" s="9">
        <f>IFERROR(__xludf.DUMMYFUNCTION("""COMPUTED_VALUE"""),360.76)</f>
        <v>360.76</v>
      </c>
      <c r="C1605" s="9">
        <f>IFERROR(__xludf.DUMMYFUNCTION("""COMPUTED_VALUE"""),364.88)</f>
        <v>364.88</v>
      </c>
      <c r="D1605" s="9">
        <f>IFERROR(__xludf.DUMMYFUNCTION("""COMPUTED_VALUE"""),360.19)</f>
        <v>360.19</v>
      </c>
      <c r="E1605" s="9">
        <f>IFERROR(__xludf.DUMMYFUNCTION("""COMPUTED_VALUE"""),363.81)</f>
        <v>363.81</v>
      </c>
      <c r="F1605" s="9">
        <f>IFERROR(__xludf.DUMMYFUNCTION("""COMPUTED_VALUE"""),1417730.0)</f>
        <v>1417730</v>
      </c>
      <c r="H1605" s="27">
        <f>IFERROR(__xludf.DUMMYFUNCTION("""COMPUTED_VALUE"""),40724.645833333336)</f>
        <v>40724.64583</v>
      </c>
      <c r="I1605" s="25">
        <f>IFERROR(__xludf.DUMMYFUNCTION("""COMPUTED_VALUE"""),584.9)</f>
        <v>584.9</v>
      </c>
      <c r="J1605" s="25">
        <f>IFERROR(__xludf.DUMMYFUNCTION("""COMPUTED_VALUE"""),596.0)</f>
        <v>596</v>
      </c>
      <c r="K1605" s="25">
        <f>IFERROR(__xludf.DUMMYFUNCTION("""COMPUTED_VALUE"""),583.5)</f>
        <v>583.5</v>
      </c>
      <c r="L1605" s="25">
        <f>IFERROR(__xludf.DUMMYFUNCTION("""COMPUTED_VALUE"""),592.1)</f>
        <v>592.1</v>
      </c>
      <c r="M1605" s="25">
        <f>IFERROR(__xludf.DUMMYFUNCTION("""COMPUTED_VALUE"""),2586458.0)</f>
        <v>2586458</v>
      </c>
    </row>
    <row r="1606">
      <c r="A1606" s="26">
        <f>IFERROR(__xludf.DUMMYFUNCTION("""COMPUTED_VALUE"""),40725.645833333336)</f>
        <v>40725.64583</v>
      </c>
      <c r="B1606" s="9">
        <f>IFERROR(__xludf.DUMMYFUNCTION("""COMPUTED_VALUE"""),366.88)</f>
        <v>366.88</v>
      </c>
      <c r="C1606" s="9">
        <f>IFERROR(__xludf.DUMMYFUNCTION("""COMPUTED_VALUE"""),371.24)</f>
        <v>371.24</v>
      </c>
      <c r="D1606" s="9">
        <f>IFERROR(__xludf.DUMMYFUNCTION("""COMPUTED_VALUE"""),365.51)</f>
        <v>365.51</v>
      </c>
      <c r="E1606" s="9">
        <f>IFERROR(__xludf.DUMMYFUNCTION("""COMPUTED_VALUE"""),366.77)</f>
        <v>366.77</v>
      </c>
      <c r="F1606" s="9">
        <f>IFERROR(__xludf.DUMMYFUNCTION("""COMPUTED_VALUE"""),800308.0)</f>
        <v>800308</v>
      </c>
      <c r="H1606" s="27">
        <f>IFERROR(__xludf.DUMMYFUNCTION("""COMPUTED_VALUE"""),40725.645833333336)</f>
        <v>40725.64583</v>
      </c>
      <c r="I1606" s="25">
        <f>IFERROR(__xludf.DUMMYFUNCTION("""COMPUTED_VALUE"""),599.0)</f>
        <v>599</v>
      </c>
      <c r="J1606" s="25">
        <f>IFERROR(__xludf.DUMMYFUNCTION("""COMPUTED_VALUE"""),599.0)</f>
        <v>599</v>
      </c>
      <c r="K1606" s="25">
        <f>IFERROR(__xludf.DUMMYFUNCTION("""COMPUTED_VALUE"""),589.85)</f>
        <v>589.85</v>
      </c>
      <c r="L1606" s="25">
        <f>IFERROR(__xludf.DUMMYFUNCTION("""COMPUTED_VALUE"""),595.95)</f>
        <v>595.95</v>
      </c>
      <c r="M1606" s="25">
        <f>IFERROR(__xludf.DUMMYFUNCTION("""COMPUTED_VALUE"""),960420.0)</f>
        <v>960420</v>
      </c>
    </row>
    <row r="1607">
      <c r="A1607" s="26">
        <f>IFERROR(__xludf.DUMMYFUNCTION("""COMPUTED_VALUE"""),40728.645833333336)</f>
        <v>40728.64583</v>
      </c>
      <c r="B1607" s="9">
        <f>IFERROR(__xludf.DUMMYFUNCTION("""COMPUTED_VALUE"""),370.83)</f>
        <v>370.83</v>
      </c>
      <c r="C1607" s="9">
        <f>IFERROR(__xludf.DUMMYFUNCTION("""COMPUTED_VALUE"""),372.13)</f>
        <v>372.13</v>
      </c>
      <c r="D1607" s="9">
        <f>IFERROR(__xludf.DUMMYFUNCTION("""COMPUTED_VALUE"""),366.88)</f>
        <v>366.88</v>
      </c>
      <c r="E1607" s="9">
        <f>IFERROR(__xludf.DUMMYFUNCTION("""COMPUTED_VALUE"""),367.37)</f>
        <v>367.37</v>
      </c>
      <c r="F1607" s="9">
        <f>IFERROR(__xludf.DUMMYFUNCTION("""COMPUTED_VALUE"""),514324.0)</f>
        <v>514324</v>
      </c>
      <c r="H1607" s="27">
        <f>IFERROR(__xludf.DUMMYFUNCTION("""COMPUTED_VALUE"""),40728.645833333336)</f>
        <v>40728.64583</v>
      </c>
      <c r="I1607" s="25">
        <f>IFERROR(__xludf.DUMMYFUNCTION("""COMPUTED_VALUE"""),596.5)</f>
        <v>596.5</v>
      </c>
      <c r="J1607" s="25">
        <f>IFERROR(__xludf.DUMMYFUNCTION("""COMPUTED_VALUE"""),600.0)</f>
        <v>600</v>
      </c>
      <c r="K1607" s="25">
        <f>IFERROR(__xludf.DUMMYFUNCTION("""COMPUTED_VALUE"""),590.0)</f>
        <v>590</v>
      </c>
      <c r="L1607" s="25">
        <f>IFERROR(__xludf.DUMMYFUNCTION("""COMPUTED_VALUE"""),592.85)</f>
        <v>592.85</v>
      </c>
      <c r="M1607" s="25">
        <f>IFERROR(__xludf.DUMMYFUNCTION("""COMPUTED_VALUE"""),801867.0)</f>
        <v>801867</v>
      </c>
    </row>
    <row r="1608">
      <c r="A1608" s="26">
        <f>IFERROR(__xludf.DUMMYFUNCTION("""COMPUTED_VALUE"""),40729.645833333336)</f>
        <v>40729.64583</v>
      </c>
      <c r="B1608" s="9">
        <f>IFERROR(__xludf.DUMMYFUNCTION("""COMPUTED_VALUE"""),369.63)</f>
        <v>369.63</v>
      </c>
      <c r="C1608" s="9">
        <f>IFERROR(__xludf.DUMMYFUNCTION("""COMPUTED_VALUE"""),371.24)</f>
        <v>371.24</v>
      </c>
      <c r="D1608" s="9">
        <f>IFERROR(__xludf.DUMMYFUNCTION("""COMPUTED_VALUE"""),365.75)</f>
        <v>365.75</v>
      </c>
      <c r="E1608" s="9">
        <f>IFERROR(__xludf.DUMMYFUNCTION("""COMPUTED_VALUE"""),369.56)</f>
        <v>369.56</v>
      </c>
      <c r="F1608" s="9">
        <f>IFERROR(__xludf.DUMMYFUNCTION("""COMPUTED_VALUE"""),802966.0)</f>
        <v>802966</v>
      </c>
      <c r="H1608" s="27">
        <f>IFERROR(__xludf.DUMMYFUNCTION("""COMPUTED_VALUE"""),40729.645833333336)</f>
        <v>40729.64583</v>
      </c>
      <c r="I1608" s="25">
        <f>IFERROR(__xludf.DUMMYFUNCTION("""COMPUTED_VALUE"""),594.9)</f>
        <v>594.9</v>
      </c>
      <c r="J1608" s="25">
        <f>IFERROR(__xludf.DUMMYFUNCTION("""COMPUTED_VALUE"""),595.5)</f>
        <v>595.5</v>
      </c>
      <c r="K1608" s="25">
        <f>IFERROR(__xludf.DUMMYFUNCTION("""COMPUTED_VALUE"""),586.7)</f>
        <v>586.7</v>
      </c>
      <c r="L1608" s="25">
        <f>IFERROR(__xludf.DUMMYFUNCTION("""COMPUTED_VALUE"""),589.73)</f>
        <v>589.73</v>
      </c>
      <c r="M1608" s="25">
        <f>IFERROR(__xludf.DUMMYFUNCTION("""COMPUTED_VALUE"""),1030568.0)</f>
        <v>1030568</v>
      </c>
    </row>
    <row r="1609">
      <c r="A1609" s="26">
        <f>IFERROR(__xludf.DUMMYFUNCTION("""COMPUTED_VALUE"""),40730.645833333336)</f>
        <v>40730.64583</v>
      </c>
      <c r="B1609" s="9">
        <f>IFERROR(__xludf.DUMMYFUNCTION("""COMPUTED_VALUE"""),368.38)</f>
        <v>368.38</v>
      </c>
      <c r="C1609" s="9">
        <f>IFERROR(__xludf.DUMMYFUNCTION("""COMPUTED_VALUE"""),371.56)</f>
        <v>371.56</v>
      </c>
      <c r="D1609" s="9">
        <f>IFERROR(__xludf.DUMMYFUNCTION("""COMPUTED_VALUE"""),367.14)</f>
        <v>367.14</v>
      </c>
      <c r="E1609" s="9">
        <f>IFERROR(__xludf.DUMMYFUNCTION("""COMPUTED_VALUE"""),369.21)</f>
        <v>369.21</v>
      </c>
      <c r="F1609" s="9">
        <f>IFERROR(__xludf.DUMMYFUNCTION("""COMPUTED_VALUE"""),430028.0)</f>
        <v>430028</v>
      </c>
      <c r="H1609" s="27">
        <f>IFERROR(__xludf.DUMMYFUNCTION("""COMPUTED_VALUE"""),40730.645833333336)</f>
        <v>40730.64583</v>
      </c>
      <c r="I1609" s="25">
        <f>IFERROR(__xludf.DUMMYFUNCTION("""COMPUTED_VALUE"""),589.13)</f>
        <v>589.13</v>
      </c>
      <c r="J1609" s="25">
        <f>IFERROR(__xludf.DUMMYFUNCTION("""COMPUTED_VALUE"""),596.45)</f>
        <v>596.45</v>
      </c>
      <c r="K1609" s="25">
        <f>IFERROR(__xludf.DUMMYFUNCTION("""COMPUTED_VALUE"""),585.85)</f>
        <v>585.85</v>
      </c>
      <c r="L1609" s="25">
        <f>IFERROR(__xludf.DUMMYFUNCTION("""COMPUTED_VALUE"""),591.4)</f>
        <v>591.4</v>
      </c>
      <c r="M1609" s="25">
        <f>IFERROR(__xludf.DUMMYFUNCTION("""COMPUTED_VALUE"""),745089.0)</f>
        <v>745089</v>
      </c>
    </row>
    <row r="1610">
      <c r="A1610" s="26">
        <f>IFERROR(__xludf.DUMMYFUNCTION("""COMPUTED_VALUE"""),40731.645833333336)</f>
        <v>40731.64583</v>
      </c>
      <c r="B1610" s="9">
        <f>IFERROR(__xludf.DUMMYFUNCTION("""COMPUTED_VALUE"""),369.4)</f>
        <v>369.4</v>
      </c>
      <c r="C1610" s="9">
        <f>IFERROR(__xludf.DUMMYFUNCTION("""COMPUTED_VALUE"""),375.0)</f>
        <v>375</v>
      </c>
      <c r="D1610" s="9">
        <f>IFERROR(__xludf.DUMMYFUNCTION("""COMPUTED_VALUE"""),367.88)</f>
        <v>367.88</v>
      </c>
      <c r="E1610" s="9">
        <f>IFERROR(__xludf.DUMMYFUNCTION("""COMPUTED_VALUE"""),374.46)</f>
        <v>374.46</v>
      </c>
      <c r="F1610" s="9">
        <f>IFERROR(__xludf.DUMMYFUNCTION("""COMPUTED_VALUE"""),718934.0)</f>
        <v>718934</v>
      </c>
      <c r="H1610" s="27">
        <f>IFERROR(__xludf.DUMMYFUNCTION("""COMPUTED_VALUE"""),40731.645833333336)</f>
        <v>40731.64583</v>
      </c>
      <c r="I1610" s="25">
        <f>IFERROR(__xludf.DUMMYFUNCTION("""COMPUTED_VALUE"""),591.55)</f>
        <v>591.55</v>
      </c>
      <c r="J1610" s="25">
        <f>IFERROR(__xludf.DUMMYFUNCTION("""COMPUTED_VALUE"""),600.0)</f>
        <v>600</v>
      </c>
      <c r="K1610" s="25">
        <f>IFERROR(__xludf.DUMMYFUNCTION("""COMPUTED_VALUE"""),591.55)</f>
        <v>591.55</v>
      </c>
      <c r="L1610" s="25">
        <f>IFERROR(__xludf.DUMMYFUNCTION("""COMPUTED_VALUE"""),597.95)</f>
        <v>597.95</v>
      </c>
      <c r="M1610" s="25">
        <f>IFERROR(__xludf.DUMMYFUNCTION("""COMPUTED_VALUE"""),1301317.0)</f>
        <v>1301317</v>
      </c>
    </row>
    <row r="1611">
      <c r="A1611" s="26">
        <f>IFERROR(__xludf.DUMMYFUNCTION("""COMPUTED_VALUE"""),40732.645833333336)</f>
        <v>40732.64583</v>
      </c>
      <c r="B1611" s="9">
        <f>IFERROR(__xludf.DUMMYFUNCTION("""COMPUTED_VALUE"""),375.0)</f>
        <v>375</v>
      </c>
      <c r="C1611" s="9">
        <f>IFERROR(__xludf.DUMMYFUNCTION("""COMPUTED_VALUE"""),377.99)</f>
        <v>377.99</v>
      </c>
      <c r="D1611" s="9">
        <f>IFERROR(__xludf.DUMMYFUNCTION("""COMPUTED_VALUE"""),370.91)</f>
        <v>370.91</v>
      </c>
      <c r="E1611" s="9">
        <f>IFERROR(__xludf.DUMMYFUNCTION("""COMPUTED_VALUE"""),372.07)</f>
        <v>372.07</v>
      </c>
      <c r="F1611" s="9">
        <f>IFERROR(__xludf.DUMMYFUNCTION("""COMPUTED_VALUE"""),708724.0)</f>
        <v>708724</v>
      </c>
      <c r="H1611" s="27">
        <f>IFERROR(__xludf.DUMMYFUNCTION("""COMPUTED_VALUE"""),40732.645833333336)</f>
        <v>40732.64583</v>
      </c>
      <c r="I1611" s="25">
        <f>IFERROR(__xludf.DUMMYFUNCTION("""COMPUTED_VALUE"""),598.0)</f>
        <v>598</v>
      </c>
      <c r="J1611" s="25">
        <f>IFERROR(__xludf.DUMMYFUNCTION("""COMPUTED_VALUE"""),602.5)</f>
        <v>602.5</v>
      </c>
      <c r="K1611" s="25">
        <f>IFERROR(__xludf.DUMMYFUNCTION("""COMPUTED_VALUE"""),584.63)</f>
        <v>584.63</v>
      </c>
      <c r="L1611" s="25">
        <f>IFERROR(__xludf.DUMMYFUNCTION("""COMPUTED_VALUE"""),585.83)</f>
        <v>585.83</v>
      </c>
      <c r="M1611" s="25">
        <f>IFERROR(__xludf.DUMMYFUNCTION("""COMPUTED_VALUE"""),1706030.0)</f>
        <v>1706030</v>
      </c>
    </row>
    <row r="1612">
      <c r="A1612" s="26">
        <f>IFERROR(__xludf.DUMMYFUNCTION("""COMPUTED_VALUE"""),40735.645833333336)</f>
        <v>40735.64583</v>
      </c>
      <c r="B1612" s="9">
        <f>IFERROR(__xludf.DUMMYFUNCTION("""COMPUTED_VALUE"""),369.24)</f>
        <v>369.24</v>
      </c>
      <c r="C1612" s="9">
        <f>IFERROR(__xludf.DUMMYFUNCTION("""COMPUTED_VALUE"""),372.01)</f>
        <v>372.01</v>
      </c>
      <c r="D1612" s="9">
        <f>IFERROR(__xludf.DUMMYFUNCTION("""COMPUTED_VALUE"""),361.07)</f>
        <v>361.07</v>
      </c>
      <c r="E1612" s="9">
        <f>IFERROR(__xludf.DUMMYFUNCTION("""COMPUTED_VALUE"""),365.14)</f>
        <v>365.14</v>
      </c>
      <c r="F1612" s="9">
        <f>IFERROR(__xludf.DUMMYFUNCTION("""COMPUTED_VALUE"""),1150815.0)</f>
        <v>1150815</v>
      </c>
      <c r="H1612" s="27">
        <f>IFERROR(__xludf.DUMMYFUNCTION("""COMPUTED_VALUE"""),40735.645833333336)</f>
        <v>40735.64583</v>
      </c>
      <c r="I1612" s="25">
        <f>IFERROR(__xludf.DUMMYFUNCTION("""COMPUTED_VALUE"""),585.0)</f>
        <v>585</v>
      </c>
      <c r="J1612" s="25">
        <f>IFERROR(__xludf.DUMMYFUNCTION("""COMPUTED_VALUE"""),588.9)</f>
        <v>588.9</v>
      </c>
      <c r="K1612" s="25">
        <f>IFERROR(__xludf.DUMMYFUNCTION("""COMPUTED_VALUE"""),573.3)</f>
        <v>573.3</v>
      </c>
      <c r="L1612" s="25">
        <f>IFERROR(__xludf.DUMMYFUNCTION("""COMPUTED_VALUE"""),578.33)</f>
        <v>578.33</v>
      </c>
      <c r="M1612" s="25">
        <f>IFERROR(__xludf.DUMMYFUNCTION("""COMPUTED_VALUE"""),911252.0)</f>
        <v>911252</v>
      </c>
    </row>
    <row r="1613">
      <c r="A1613" s="26">
        <f>IFERROR(__xludf.DUMMYFUNCTION("""COMPUTED_VALUE"""),40736.645833333336)</f>
        <v>40736.64583</v>
      </c>
      <c r="B1613" s="9">
        <f>IFERROR(__xludf.DUMMYFUNCTION("""COMPUTED_VALUE"""),356.25)</f>
        <v>356.25</v>
      </c>
      <c r="C1613" s="9">
        <f>IFERROR(__xludf.DUMMYFUNCTION("""COMPUTED_VALUE"""),356.25)</f>
        <v>356.25</v>
      </c>
      <c r="D1613" s="9">
        <f>IFERROR(__xludf.DUMMYFUNCTION("""COMPUTED_VALUE"""),343.35)</f>
        <v>343.35</v>
      </c>
      <c r="E1613" s="9">
        <f>IFERROR(__xludf.DUMMYFUNCTION("""COMPUTED_VALUE"""),348.94)</f>
        <v>348.94</v>
      </c>
      <c r="F1613" s="9">
        <f>IFERROR(__xludf.DUMMYFUNCTION("""COMPUTED_VALUE"""),3706582.0)</f>
        <v>3706582</v>
      </c>
      <c r="H1613" s="27">
        <f>IFERROR(__xludf.DUMMYFUNCTION("""COMPUTED_VALUE"""),40736.645833333336)</f>
        <v>40736.64583</v>
      </c>
      <c r="I1613" s="25">
        <f>IFERROR(__xludf.DUMMYFUNCTION("""COMPUTED_VALUE"""),567.85)</f>
        <v>567.85</v>
      </c>
      <c r="J1613" s="25">
        <f>IFERROR(__xludf.DUMMYFUNCTION("""COMPUTED_VALUE"""),574.4)</f>
        <v>574.4</v>
      </c>
      <c r="K1613" s="25">
        <f>IFERROR(__xludf.DUMMYFUNCTION("""COMPUTED_VALUE"""),556.05)</f>
        <v>556.05</v>
      </c>
      <c r="L1613" s="25">
        <f>IFERROR(__xludf.DUMMYFUNCTION("""COMPUTED_VALUE"""),572.67)</f>
        <v>572.67</v>
      </c>
      <c r="M1613" s="25">
        <f>IFERROR(__xludf.DUMMYFUNCTION("""COMPUTED_VALUE"""),2039702.0)</f>
        <v>2039702</v>
      </c>
    </row>
    <row r="1614">
      <c r="A1614" s="26">
        <f>IFERROR(__xludf.DUMMYFUNCTION("""COMPUTED_VALUE"""),40737.645833333336)</f>
        <v>40737.64583</v>
      </c>
      <c r="B1614" s="9">
        <f>IFERROR(__xludf.DUMMYFUNCTION("""COMPUTED_VALUE"""),345.75)</f>
        <v>345.75</v>
      </c>
      <c r="C1614" s="9">
        <f>IFERROR(__xludf.DUMMYFUNCTION("""COMPUTED_VALUE"""),350.92)</f>
        <v>350.92</v>
      </c>
      <c r="D1614" s="9">
        <f>IFERROR(__xludf.DUMMYFUNCTION("""COMPUTED_VALUE"""),345.13)</f>
        <v>345.13</v>
      </c>
      <c r="E1614" s="9">
        <f>IFERROR(__xludf.DUMMYFUNCTION("""COMPUTED_VALUE"""),347.16)</f>
        <v>347.16</v>
      </c>
      <c r="F1614" s="9">
        <f>IFERROR(__xludf.DUMMYFUNCTION("""COMPUTED_VALUE"""),1667271.0)</f>
        <v>1667271</v>
      </c>
      <c r="H1614" s="27">
        <f>IFERROR(__xludf.DUMMYFUNCTION("""COMPUTED_VALUE"""),40737.645833333336)</f>
        <v>40737.64583</v>
      </c>
      <c r="I1614" s="25">
        <f>IFERROR(__xludf.DUMMYFUNCTION("""COMPUTED_VALUE"""),575.0)</f>
        <v>575</v>
      </c>
      <c r="J1614" s="25">
        <f>IFERROR(__xludf.DUMMYFUNCTION("""COMPUTED_VALUE"""),584.0)</f>
        <v>584</v>
      </c>
      <c r="K1614" s="25">
        <f>IFERROR(__xludf.DUMMYFUNCTION("""COMPUTED_VALUE"""),565.5)</f>
        <v>565.5</v>
      </c>
      <c r="L1614" s="25">
        <f>IFERROR(__xludf.DUMMYFUNCTION("""COMPUTED_VALUE"""),574.53)</f>
        <v>574.53</v>
      </c>
      <c r="M1614" s="25">
        <f>IFERROR(__xludf.DUMMYFUNCTION("""COMPUTED_VALUE"""),1976300.0)</f>
        <v>1976300</v>
      </c>
    </row>
    <row r="1615">
      <c r="A1615" s="26">
        <f>IFERROR(__xludf.DUMMYFUNCTION("""COMPUTED_VALUE"""),40738.645833333336)</f>
        <v>40738.64583</v>
      </c>
      <c r="B1615" s="9">
        <f>IFERROR(__xludf.DUMMYFUNCTION("""COMPUTED_VALUE"""),345.03)</f>
        <v>345.03</v>
      </c>
      <c r="C1615" s="9">
        <f>IFERROR(__xludf.DUMMYFUNCTION("""COMPUTED_VALUE"""),345.5)</f>
        <v>345.5</v>
      </c>
      <c r="D1615" s="9">
        <f>IFERROR(__xludf.DUMMYFUNCTION("""COMPUTED_VALUE"""),341.38)</f>
        <v>341.38</v>
      </c>
      <c r="E1615" s="9">
        <f>IFERROR(__xludf.DUMMYFUNCTION("""COMPUTED_VALUE"""),342.54)</f>
        <v>342.54</v>
      </c>
      <c r="F1615" s="9">
        <f>IFERROR(__xludf.DUMMYFUNCTION("""COMPUTED_VALUE"""),1361403.0)</f>
        <v>1361403</v>
      </c>
      <c r="H1615" s="27">
        <f>IFERROR(__xludf.DUMMYFUNCTION("""COMPUTED_VALUE"""),40738.645833333336)</f>
        <v>40738.64583</v>
      </c>
      <c r="I1615" s="25">
        <f>IFERROR(__xludf.DUMMYFUNCTION("""COMPUTED_VALUE"""),575.0)</f>
        <v>575</v>
      </c>
      <c r="J1615" s="25">
        <f>IFERROR(__xludf.DUMMYFUNCTION("""COMPUTED_VALUE"""),579.3)</f>
        <v>579.3</v>
      </c>
      <c r="K1615" s="25">
        <f>IFERROR(__xludf.DUMMYFUNCTION("""COMPUTED_VALUE"""),559.55)</f>
        <v>559.55</v>
      </c>
      <c r="L1615" s="25">
        <f>IFERROR(__xludf.DUMMYFUNCTION("""COMPUTED_VALUE"""),561.85)</f>
        <v>561.85</v>
      </c>
      <c r="M1615" s="25">
        <f>IFERROR(__xludf.DUMMYFUNCTION("""COMPUTED_VALUE"""),3468922.0)</f>
        <v>3468922</v>
      </c>
    </row>
    <row r="1616">
      <c r="A1616" s="26">
        <f>IFERROR(__xludf.DUMMYFUNCTION("""COMPUTED_VALUE"""),40739.645833333336)</f>
        <v>40739.64583</v>
      </c>
      <c r="B1616" s="9">
        <f>IFERROR(__xludf.DUMMYFUNCTION("""COMPUTED_VALUE"""),343.0)</f>
        <v>343</v>
      </c>
      <c r="C1616" s="9">
        <f>IFERROR(__xludf.DUMMYFUNCTION("""COMPUTED_VALUE"""),345.37)</f>
        <v>345.37</v>
      </c>
      <c r="D1616" s="9">
        <f>IFERROR(__xludf.DUMMYFUNCTION("""COMPUTED_VALUE"""),340.0)</f>
        <v>340</v>
      </c>
      <c r="E1616" s="9">
        <f>IFERROR(__xludf.DUMMYFUNCTION("""COMPUTED_VALUE"""),341.42)</f>
        <v>341.42</v>
      </c>
      <c r="F1616" s="9">
        <f>IFERROR(__xludf.DUMMYFUNCTION("""COMPUTED_VALUE"""),799078.0)</f>
        <v>799078</v>
      </c>
      <c r="H1616" s="27">
        <f>IFERROR(__xludf.DUMMYFUNCTION("""COMPUTED_VALUE"""),40739.645833333336)</f>
        <v>40739.64583</v>
      </c>
      <c r="I1616" s="25">
        <f>IFERROR(__xludf.DUMMYFUNCTION("""COMPUTED_VALUE"""),584.0)</f>
        <v>584</v>
      </c>
      <c r="J1616" s="25">
        <f>IFERROR(__xludf.DUMMYFUNCTION("""COMPUTED_VALUE"""),588.95)</f>
        <v>588.95</v>
      </c>
      <c r="K1616" s="25">
        <f>IFERROR(__xludf.DUMMYFUNCTION("""COMPUTED_VALUE"""),570.55)</f>
        <v>570.55</v>
      </c>
      <c r="L1616" s="25">
        <f>IFERROR(__xludf.DUMMYFUNCTION("""COMPUTED_VALUE"""),573.03)</f>
        <v>573.03</v>
      </c>
      <c r="M1616" s="25">
        <f>IFERROR(__xludf.DUMMYFUNCTION("""COMPUTED_VALUE"""),3639850.0)</f>
        <v>3639850</v>
      </c>
    </row>
    <row r="1617">
      <c r="A1617" s="26">
        <f>IFERROR(__xludf.DUMMYFUNCTION("""COMPUTED_VALUE"""),40742.645833333336)</f>
        <v>40742.64583</v>
      </c>
      <c r="B1617" s="9">
        <f>IFERROR(__xludf.DUMMYFUNCTION("""COMPUTED_VALUE"""),341.88)</f>
        <v>341.88</v>
      </c>
      <c r="C1617" s="9">
        <f>IFERROR(__xludf.DUMMYFUNCTION("""COMPUTED_VALUE"""),342.91)</f>
        <v>342.91</v>
      </c>
      <c r="D1617" s="9">
        <f>IFERROR(__xludf.DUMMYFUNCTION("""COMPUTED_VALUE"""),338.42)</f>
        <v>338.42</v>
      </c>
      <c r="E1617" s="9">
        <f>IFERROR(__xludf.DUMMYFUNCTION("""COMPUTED_VALUE"""),339.18)</f>
        <v>339.18</v>
      </c>
      <c r="F1617" s="9">
        <f>IFERROR(__xludf.DUMMYFUNCTION("""COMPUTED_VALUE"""),1176082.0)</f>
        <v>1176082</v>
      </c>
      <c r="H1617" s="27">
        <f>IFERROR(__xludf.DUMMYFUNCTION("""COMPUTED_VALUE"""),40742.645833333336)</f>
        <v>40742.64583</v>
      </c>
      <c r="I1617" s="25">
        <f>IFERROR(__xludf.DUMMYFUNCTION("""COMPUTED_VALUE"""),574.0)</f>
        <v>574</v>
      </c>
      <c r="J1617" s="25">
        <f>IFERROR(__xludf.DUMMYFUNCTION("""COMPUTED_VALUE"""),576.0)</f>
        <v>576</v>
      </c>
      <c r="K1617" s="25">
        <f>IFERROR(__xludf.DUMMYFUNCTION("""COMPUTED_VALUE"""),561.15)</f>
        <v>561.15</v>
      </c>
      <c r="L1617" s="25">
        <f>IFERROR(__xludf.DUMMYFUNCTION("""COMPUTED_VALUE"""),562.53)</f>
        <v>562.53</v>
      </c>
      <c r="M1617" s="25">
        <f>IFERROR(__xludf.DUMMYFUNCTION("""COMPUTED_VALUE"""),1562604.0)</f>
        <v>1562604</v>
      </c>
    </row>
    <row r="1618">
      <c r="A1618" s="26">
        <f>IFERROR(__xludf.DUMMYFUNCTION("""COMPUTED_VALUE"""),40743.645833333336)</f>
        <v>40743.64583</v>
      </c>
      <c r="B1618" s="9">
        <f>IFERROR(__xludf.DUMMYFUNCTION("""COMPUTED_VALUE"""),340.13)</f>
        <v>340.13</v>
      </c>
      <c r="C1618" s="9">
        <f>IFERROR(__xludf.DUMMYFUNCTION("""COMPUTED_VALUE"""),345.25)</f>
        <v>345.25</v>
      </c>
      <c r="D1618" s="9">
        <f>IFERROR(__xludf.DUMMYFUNCTION("""COMPUTED_VALUE"""),339.58)</f>
        <v>339.58</v>
      </c>
      <c r="E1618" s="9">
        <f>IFERROR(__xludf.DUMMYFUNCTION("""COMPUTED_VALUE"""),343.81)</f>
        <v>343.81</v>
      </c>
      <c r="F1618" s="9">
        <f>IFERROR(__xludf.DUMMYFUNCTION("""COMPUTED_VALUE"""),1040553.0)</f>
        <v>1040553</v>
      </c>
      <c r="H1618" s="27">
        <f>IFERROR(__xludf.DUMMYFUNCTION("""COMPUTED_VALUE"""),40743.645833333336)</f>
        <v>40743.64583</v>
      </c>
      <c r="I1618" s="25">
        <f>IFERROR(__xludf.DUMMYFUNCTION("""COMPUTED_VALUE"""),560.8)</f>
        <v>560.8</v>
      </c>
      <c r="J1618" s="25">
        <f>IFERROR(__xludf.DUMMYFUNCTION("""COMPUTED_VALUE"""),574.08)</f>
        <v>574.08</v>
      </c>
      <c r="K1618" s="25">
        <f>IFERROR(__xludf.DUMMYFUNCTION("""COMPUTED_VALUE"""),560.13)</f>
        <v>560.13</v>
      </c>
      <c r="L1618" s="25">
        <f>IFERROR(__xludf.DUMMYFUNCTION("""COMPUTED_VALUE"""),570.03)</f>
        <v>570.03</v>
      </c>
      <c r="M1618" s="25">
        <f>IFERROR(__xludf.DUMMYFUNCTION("""COMPUTED_VALUE"""),1097646.0)</f>
        <v>1097646</v>
      </c>
    </row>
    <row r="1619">
      <c r="A1619" s="26">
        <f>IFERROR(__xludf.DUMMYFUNCTION("""COMPUTED_VALUE"""),40744.645833333336)</f>
        <v>40744.64583</v>
      </c>
      <c r="B1619" s="9">
        <f>IFERROR(__xludf.DUMMYFUNCTION("""COMPUTED_VALUE"""),346.6)</f>
        <v>346.6</v>
      </c>
      <c r="C1619" s="9">
        <f>IFERROR(__xludf.DUMMYFUNCTION("""COMPUTED_VALUE"""),346.6)</f>
        <v>346.6</v>
      </c>
      <c r="D1619" s="9">
        <f>IFERROR(__xludf.DUMMYFUNCTION("""COMPUTED_VALUE"""),343.13)</f>
        <v>343.13</v>
      </c>
      <c r="E1619" s="9">
        <f>IFERROR(__xludf.DUMMYFUNCTION("""COMPUTED_VALUE"""),344.06)</f>
        <v>344.06</v>
      </c>
      <c r="F1619" s="9">
        <f>IFERROR(__xludf.DUMMYFUNCTION("""COMPUTED_VALUE"""),777839.0)</f>
        <v>777839</v>
      </c>
      <c r="H1619" s="27">
        <f>IFERROR(__xludf.DUMMYFUNCTION("""COMPUTED_VALUE"""),40744.645833333336)</f>
        <v>40744.64583</v>
      </c>
      <c r="I1619" s="25">
        <f>IFERROR(__xludf.DUMMYFUNCTION("""COMPUTED_VALUE"""),575.0)</f>
        <v>575</v>
      </c>
      <c r="J1619" s="25">
        <f>IFERROR(__xludf.DUMMYFUNCTION("""COMPUTED_VALUE"""),575.9)</f>
        <v>575.9</v>
      </c>
      <c r="K1619" s="25">
        <f>IFERROR(__xludf.DUMMYFUNCTION("""COMPUTED_VALUE"""),562.5)</f>
        <v>562.5</v>
      </c>
      <c r="L1619" s="25">
        <f>IFERROR(__xludf.DUMMYFUNCTION("""COMPUTED_VALUE"""),566.23)</f>
        <v>566.23</v>
      </c>
      <c r="M1619" s="25">
        <f>IFERROR(__xludf.DUMMYFUNCTION("""COMPUTED_VALUE"""),1403873.0)</f>
        <v>1403873</v>
      </c>
    </row>
    <row r="1620">
      <c r="A1620" s="26">
        <f>IFERROR(__xludf.DUMMYFUNCTION("""COMPUTED_VALUE"""),40745.645833333336)</f>
        <v>40745.64583</v>
      </c>
      <c r="B1620" s="9">
        <f>IFERROR(__xludf.DUMMYFUNCTION("""COMPUTED_VALUE"""),343.15)</f>
        <v>343.15</v>
      </c>
      <c r="C1620" s="9">
        <f>IFERROR(__xludf.DUMMYFUNCTION("""COMPUTED_VALUE"""),348.06)</f>
        <v>348.06</v>
      </c>
      <c r="D1620" s="9">
        <f>IFERROR(__xludf.DUMMYFUNCTION("""COMPUTED_VALUE"""),342.1)</f>
        <v>342.1</v>
      </c>
      <c r="E1620" s="9">
        <f>IFERROR(__xludf.DUMMYFUNCTION("""COMPUTED_VALUE"""),346.01)</f>
        <v>346.01</v>
      </c>
      <c r="F1620" s="9">
        <f>IFERROR(__xludf.DUMMYFUNCTION("""COMPUTED_VALUE"""),737136.0)</f>
        <v>737136</v>
      </c>
      <c r="H1620" s="27">
        <f>IFERROR(__xludf.DUMMYFUNCTION("""COMPUTED_VALUE"""),40745.645833333336)</f>
        <v>40745.64583</v>
      </c>
      <c r="I1620" s="25">
        <f>IFERROR(__xludf.DUMMYFUNCTION("""COMPUTED_VALUE"""),566.0)</f>
        <v>566</v>
      </c>
      <c r="J1620" s="25">
        <f>IFERROR(__xludf.DUMMYFUNCTION("""COMPUTED_VALUE"""),566.25)</f>
        <v>566.25</v>
      </c>
      <c r="K1620" s="25">
        <f>IFERROR(__xludf.DUMMYFUNCTION("""COMPUTED_VALUE"""),560.03)</f>
        <v>560.03</v>
      </c>
      <c r="L1620" s="25">
        <f>IFERROR(__xludf.DUMMYFUNCTION("""COMPUTED_VALUE"""),561.28)</f>
        <v>561.28</v>
      </c>
      <c r="M1620" s="25">
        <f>IFERROR(__xludf.DUMMYFUNCTION("""COMPUTED_VALUE"""),925312.0)</f>
        <v>925312</v>
      </c>
    </row>
    <row r="1621">
      <c r="A1621" s="26">
        <f>IFERROR(__xludf.DUMMYFUNCTION("""COMPUTED_VALUE"""),40746.645833333336)</f>
        <v>40746.64583</v>
      </c>
      <c r="B1621" s="9">
        <f>IFERROR(__xludf.DUMMYFUNCTION("""COMPUTED_VALUE"""),348.04)</f>
        <v>348.04</v>
      </c>
      <c r="C1621" s="9">
        <f>IFERROR(__xludf.DUMMYFUNCTION("""COMPUTED_VALUE"""),355.5)</f>
        <v>355.5</v>
      </c>
      <c r="D1621" s="9">
        <f>IFERROR(__xludf.DUMMYFUNCTION("""COMPUTED_VALUE"""),346.25)</f>
        <v>346.25</v>
      </c>
      <c r="E1621" s="9">
        <f>IFERROR(__xludf.DUMMYFUNCTION("""COMPUTED_VALUE"""),353.53)</f>
        <v>353.53</v>
      </c>
      <c r="F1621" s="9">
        <f>IFERROR(__xludf.DUMMYFUNCTION("""COMPUTED_VALUE"""),968703.0)</f>
        <v>968703</v>
      </c>
      <c r="H1621" s="27">
        <f>IFERROR(__xludf.DUMMYFUNCTION("""COMPUTED_VALUE"""),40746.645833333336)</f>
        <v>40746.64583</v>
      </c>
      <c r="I1621" s="25">
        <f>IFERROR(__xludf.DUMMYFUNCTION("""COMPUTED_VALUE"""),563.38)</f>
        <v>563.38</v>
      </c>
      <c r="J1621" s="25">
        <f>IFERROR(__xludf.DUMMYFUNCTION("""COMPUTED_VALUE"""),570.65)</f>
        <v>570.65</v>
      </c>
      <c r="K1621" s="25">
        <f>IFERROR(__xludf.DUMMYFUNCTION("""COMPUTED_VALUE"""),563.25)</f>
        <v>563.25</v>
      </c>
      <c r="L1621" s="25">
        <f>IFERROR(__xludf.DUMMYFUNCTION("""COMPUTED_VALUE"""),566.7)</f>
        <v>566.7</v>
      </c>
      <c r="M1621" s="25">
        <f>IFERROR(__xludf.DUMMYFUNCTION("""COMPUTED_VALUE"""),1045221.0)</f>
        <v>1045221</v>
      </c>
    </row>
    <row r="1622">
      <c r="A1622" s="26">
        <f>IFERROR(__xludf.DUMMYFUNCTION("""COMPUTED_VALUE"""),40749.645833333336)</f>
        <v>40749.64583</v>
      </c>
      <c r="B1622" s="9">
        <f>IFERROR(__xludf.DUMMYFUNCTION("""COMPUTED_VALUE"""),352.25)</f>
        <v>352.25</v>
      </c>
      <c r="C1622" s="9">
        <f>IFERROR(__xludf.DUMMYFUNCTION("""COMPUTED_VALUE"""),353.13)</f>
        <v>353.13</v>
      </c>
      <c r="D1622" s="9">
        <f>IFERROR(__xludf.DUMMYFUNCTION("""COMPUTED_VALUE"""),348.89)</f>
        <v>348.89</v>
      </c>
      <c r="E1622" s="9">
        <f>IFERROR(__xludf.DUMMYFUNCTION("""COMPUTED_VALUE"""),350.97)</f>
        <v>350.97</v>
      </c>
      <c r="F1622" s="9">
        <f>IFERROR(__xludf.DUMMYFUNCTION("""COMPUTED_VALUE"""),925532.0)</f>
        <v>925532</v>
      </c>
      <c r="H1622" s="27">
        <f>IFERROR(__xludf.DUMMYFUNCTION("""COMPUTED_VALUE"""),40749.645833333336)</f>
        <v>40749.64583</v>
      </c>
      <c r="I1622" s="25">
        <f>IFERROR(__xludf.DUMMYFUNCTION("""COMPUTED_VALUE"""),567.5)</f>
        <v>567.5</v>
      </c>
      <c r="J1622" s="25">
        <f>IFERROR(__xludf.DUMMYFUNCTION("""COMPUTED_VALUE"""),572.0)</f>
        <v>572</v>
      </c>
      <c r="K1622" s="25">
        <f>IFERROR(__xludf.DUMMYFUNCTION("""COMPUTED_VALUE"""),561.58)</f>
        <v>561.58</v>
      </c>
      <c r="L1622" s="25">
        <f>IFERROR(__xludf.DUMMYFUNCTION("""COMPUTED_VALUE"""),569.95)</f>
        <v>569.95</v>
      </c>
      <c r="M1622" s="25">
        <f>IFERROR(__xludf.DUMMYFUNCTION("""COMPUTED_VALUE"""),2370357.0)</f>
        <v>2370357</v>
      </c>
    </row>
    <row r="1623">
      <c r="A1623" s="26">
        <f>IFERROR(__xludf.DUMMYFUNCTION("""COMPUTED_VALUE"""),40750.645833333336)</f>
        <v>40750.64583</v>
      </c>
      <c r="B1623" s="9">
        <f>IFERROR(__xludf.DUMMYFUNCTION("""COMPUTED_VALUE"""),351.13)</f>
        <v>351.13</v>
      </c>
      <c r="C1623" s="9">
        <f>IFERROR(__xludf.DUMMYFUNCTION("""COMPUTED_VALUE"""),353.0)</f>
        <v>353</v>
      </c>
      <c r="D1623" s="9">
        <f>IFERROR(__xludf.DUMMYFUNCTION("""COMPUTED_VALUE"""),348.44)</f>
        <v>348.44</v>
      </c>
      <c r="E1623" s="9">
        <f>IFERROR(__xludf.DUMMYFUNCTION("""COMPUTED_VALUE"""),350.23)</f>
        <v>350.23</v>
      </c>
      <c r="F1623" s="9">
        <f>IFERROR(__xludf.DUMMYFUNCTION("""COMPUTED_VALUE"""),856092.0)</f>
        <v>856092</v>
      </c>
      <c r="H1623" s="27">
        <f>IFERROR(__xludf.DUMMYFUNCTION("""COMPUTED_VALUE"""),40750.645833333336)</f>
        <v>40750.64583</v>
      </c>
      <c r="I1623" s="25">
        <f>IFERROR(__xludf.DUMMYFUNCTION("""COMPUTED_VALUE"""),569.9)</f>
        <v>569.9</v>
      </c>
      <c r="J1623" s="25">
        <f>IFERROR(__xludf.DUMMYFUNCTION("""COMPUTED_VALUE"""),575.98)</f>
        <v>575.98</v>
      </c>
      <c r="K1623" s="25">
        <f>IFERROR(__xludf.DUMMYFUNCTION("""COMPUTED_VALUE"""),563.63)</f>
        <v>563.63</v>
      </c>
      <c r="L1623" s="25">
        <f>IFERROR(__xludf.DUMMYFUNCTION("""COMPUTED_VALUE"""),572.33)</f>
        <v>572.33</v>
      </c>
      <c r="M1623" s="25">
        <f>IFERROR(__xludf.DUMMYFUNCTION("""COMPUTED_VALUE"""),1984361.0)</f>
        <v>1984361</v>
      </c>
    </row>
    <row r="1624">
      <c r="A1624" s="26">
        <f>IFERROR(__xludf.DUMMYFUNCTION("""COMPUTED_VALUE"""),40751.645833333336)</f>
        <v>40751.64583</v>
      </c>
      <c r="B1624" s="9">
        <f>IFERROR(__xludf.DUMMYFUNCTION("""COMPUTED_VALUE"""),350.13)</f>
        <v>350.13</v>
      </c>
      <c r="C1624" s="9">
        <f>IFERROR(__xludf.DUMMYFUNCTION("""COMPUTED_VALUE"""),354.49)</f>
        <v>354.49</v>
      </c>
      <c r="D1624" s="9">
        <f>IFERROR(__xludf.DUMMYFUNCTION("""COMPUTED_VALUE"""),348.9)</f>
        <v>348.9</v>
      </c>
      <c r="E1624" s="9">
        <f>IFERROR(__xludf.DUMMYFUNCTION("""COMPUTED_VALUE"""),349.58)</f>
        <v>349.58</v>
      </c>
      <c r="F1624" s="9">
        <f>IFERROR(__xludf.DUMMYFUNCTION("""COMPUTED_VALUE"""),1063305.0)</f>
        <v>1063305</v>
      </c>
      <c r="H1624" s="27">
        <f>IFERROR(__xludf.DUMMYFUNCTION("""COMPUTED_VALUE"""),40751.645833333336)</f>
        <v>40751.64583</v>
      </c>
      <c r="I1624" s="25">
        <f>IFERROR(__xludf.DUMMYFUNCTION("""COMPUTED_VALUE"""),574.48)</f>
        <v>574.48</v>
      </c>
      <c r="J1624" s="25">
        <f>IFERROR(__xludf.DUMMYFUNCTION("""COMPUTED_VALUE"""),577.33)</f>
        <v>577.33</v>
      </c>
      <c r="K1624" s="25">
        <f>IFERROR(__xludf.DUMMYFUNCTION("""COMPUTED_VALUE"""),569.08)</f>
        <v>569.08</v>
      </c>
      <c r="L1624" s="25">
        <f>IFERROR(__xludf.DUMMYFUNCTION("""COMPUTED_VALUE"""),573.58)</f>
        <v>573.58</v>
      </c>
      <c r="M1624" s="25">
        <f>IFERROR(__xludf.DUMMYFUNCTION("""COMPUTED_VALUE"""),1012145.0)</f>
        <v>1012145</v>
      </c>
    </row>
    <row r="1625">
      <c r="A1625" s="26">
        <f>IFERROR(__xludf.DUMMYFUNCTION("""COMPUTED_VALUE"""),40752.645833333336)</f>
        <v>40752.64583</v>
      </c>
      <c r="B1625" s="9">
        <f>IFERROR(__xludf.DUMMYFUNCTION("""COMPUTED_VALUE"""),345.63)</f>
        <v>345.63</v>
      </c>
      <c r="C1625" s="9">
        <f>IFERROR(__xludf.DUMMYFUNCTION("""COMPUTED_VALUE"""),346.74)</f>
        <v>346.74</v>
      </c>
      <c r="D1625" s="9">
        <f>IFERROR(__xludf.DUMMYFUNCTION("""COMPUTED_VALUE"""),341.81)</f>
        <v>341.81</v>
      </c>
      <c r="E1625" s="9">
        <f>IFERROR(__xludf.DUMMYFUNCTION("""COMPUTED_VALUE"""),343.89)</f>
        <v>343.89</v>
      </c>
      <c r="F1625" s="9">
        <f>IFERROR(__xludf.DUMMYFUNCTION("""COMPUTED_VALUE"""),1185172.0)</f>
        <v>1185172</v>
      </c>
      <c r="H1625" s="27">
        <f>IFERROR(__xludf.DUMMYFUNCTION("""COMPUTED_VALUE"""),40752.645833333336)</f>
        <v>40752.64583</v>
      </c>
      <c r="I1625" s="25">
        <f>IFERROR(__xludf.DUMMYFUNCTION("""COMPUTED_VALUE"""),570.0)</f>
        <v>570</v>
      </c>
      <c r="J1625" s="25">
        <f>IFERROR(__xludf.DUMMYFUNCTION("""COMPUTED_VALUE"""),572.45)</f>
        <v>572.45</v>
      </c>
      <c r="K1625" s="25">
        <f>IFERROR(__xludf.DUMMYFUNCTION("""COMPUTED_VALUE"""),560.15)</f>
        <v>560.15</v>
      </c>
      <c r="L1625" s="25">
        <f>IFERROR(__xludf.DUMMYFUNCTION("""COMPUTED_VALUE"""),564.78)</f>
        <v>564.78</v>
      </c>
      <c r="M1625" s="25">
        <f>IFERROR(__xludf.DUMMYFUNCTION("""COMPUTED_VALUE"""),2046907.0)</f>
        <v>2046907</v>
      </c>
    </row>
    <row r="1626">
      <c r="A1626" s="26">
        <f>IFERROR(__xludf.DUMMYFUNCTION("""COMPUTED_VALUE"""),40753.645833333336)</f>
        <v>40753.64583</v>
      </c>
      <c r="B1626" s="9">
        <f>IFERROR(__xludf.DUMMYFUNCTION("""COMPUTED_VALUE"""),342.63)</f>
        <v>342.63</v>
      </c>
      <c r="C1626" s="9">
        <f>IFERROR(__xludf.DUMMYFUNCTION("""COMPUTED_VALUE"""),347.81)</f>
        <v>347.81</v>
      </c>
      <c r="D1626" s="9">
        <f>IFERROR(__xludf.DUMMYFUNCTION("""COMPUTED_VALUE"""),340.68)</f>
        <v>340.68</v>
      </c>
      <c r="E1626" s="9">
        <f>IFERROR(__xludf.DUMMYFUNCTION("""COMPUTED_VALUE"""),346.99)</f>
        <v>346.99</v>
      </c>
      <c r="F1626" s="9">
        <f>IFERROR(__xludf.DUMMYFUNCTION("""COMPUTED_VALUE"""),1219699.0)</f>
        <v>1219699</v>
      </c>
      <c r="H1626" s="27">
        <f>IFERROR(__xludf.DUMMYFUNCTION("""COMPUTED_VALUE"""),40753.645833333336)</f>
        <v>40753.64583</v>
      </c>
      <c r="I1626" s="25">
        <f>IFERROR(__xludf.DUMMYFUNCTION("""COMPUTED_VALUE"""),566.5)</f>
        <v>566.5</v>
      </c>
      <c r="J1626" s="25">
        <f>IFERROR(__xludf.DUMMYFUNCTION("""COMPUTED_VALUE"""),571.0)</f>
        <v>571</v>
      </c>
      <c r="K1626" s="25">
        <f>IFERROR(__xludf.DUMMYFUNCTION("""COMPUTED_VALUE"""),560.83)</f>
        <v>560.83</v>
      </c>
      <c r="L1626" s="25">
        <f>IFERROR(__xludf.DUMMYFUNCTION("""COMPUTED_VALUE"""),568.5)</f>
        <v>568.5</v>
      </c>
      <c r="M1626" s="25">
        <f>IFERROR(__xludf.DUMMYFUNCTION("""COMPUTED_VALUE"""),859569.0)</f>
        <v>859569</v>
      </c>
    </row>
    <row r="1627">
      <c r="A1627" s="26">
        <f>IFERROR(__xludf.DUMMYFUNCTION("""COMPUTED_VALUE"""),40756.645833333336)</f>
        <v>40756.64583</v>
      </c>
      <c r="B1627" s="9">
        <f>IFERROR(__xludf.DUMMYFUNCTION("""COMPUTED_VALUE"""),347.51)</f>
        <v>347.51</v>
      </c>
      <c r="C1627" s="9">
        <f>IFERROR(__xludf.DUMMYFUNCTION("""COMPUTED_VALUE"""),352.98)</f>
        <v>352.98</v>
      </c>
      <c r="D1627" s="9">
        <f>IFERROR(__xludf.DUMMYFUNCTION("""COMPUTED_VALUE"""),347.51)</f>
        <v>347.51</v>
      </c>
      <c r="E1627" s="9">
        <f>IFERROR(__xludf.DUMMYFUNCTION("""COMPUTED_VALUE"""),351.89)</f>
        <v>351.89</v>
      </c>
      <c r="F1627" s="9">
        <f>IFERROR(__xludf.DUMMYFUNCTION("""COMPUTED_VALUE"""),761869.0)</f>
        <v>761869</v>
      </c>
      <c r="H1627" s="27">
        <f>IFERROR(__xludf.DUMMYFUNCTION("""COMPUTED_VALUE"""),40756.645833333336)</f>
        <v>40756.64583</v>
      </c>
      <c r="I1627" s="25">
        <f>IFERROR(__xludf.DUMMYFUNCTION("""COMPUTED_VALUE"""),571.2)</f>
        <v>571.2</v>
      </c>
      <c r="J1627" s="25">
        <f>IFERROR(__xludf.DUMMYFUNCTION("""COMPUTED_VALUE"""),574.95)</f>
        <v>574.95</v>
      </c>
      <c r="K1627" s="25">
        <f>IFERROR(__xludf.DUMMYFUNCTION("""COMPUTED_VALUE"""),562.55)</f>
        <v>562.55</v>
      </c>
      <c r="L1627" s="25">
        <f>IFERROR(__xludf.DUMMYFUNCTION("""COMPUTED_VALUE"""),567.63)</f>
        <v>567.63</v>
      </c>
      <c r="M1627" s="25">
        <f>IFERROR(__xludf.DUMMYFUNCTION("""COMPUTED_VALUE"""),991173.0)</f>
        <v>991173</v>
      </c>
    </row>
    <row r="1628">
      <c r="A1628" s="26">
        <f>IFERROR(__xludf.DUMMYFUNCTION("""COMPUTED_VALUE"""),40757.645833333336)</f>
        <v>40757.64583</v>
      </c>
      <c r="B1628" s="9">
        <f>IFERROR(__xludf.DUMMYFUNCTION("""COMPUTED_VALUE"""),349.82)</f>
        <v>349.82</v>
      </c>
      <c r="C1628" s="9">
        <f>IFERROR(__xludf.DUMMYFUNCTION("""COMPUTED_VALUE"""),349.82)</f>
        <v>349.82</v>
      </c>
      <c r="D1628" s="9">
        <f>IFERROR(__xludf.DUMMYFUNCTION("""COMPUTED_VALUE"""),343.13)</f>
        <v>343.13</v>
      </c>
      <c r="E1628" s="9">
        <f>IFERROR(__xludf.DUMMYFUNCTION("""COMPUTED_VALUE"""),343.87)</f>
        <v>343.87</v>
      </c>
      <c r="F1628" s="9">
        <f>IFERROR(__xludf.DUMMYFUNCTION("""COMPUTED_VALUE"""),616566.0)</f>
        <v>616566</v>
      </c>
      <c r="H1628" s="27">
        <f>IFERROR(__xludf.DUMMYFUNCTION("""COMPUTED_VALUE"""),40757.645833333336)</f>
        <v>40757.64583</v>
      </c>
      <c r="I1628" s="25">
        <f>IFERROR(__xludf.DUMMYFUNCTION("""COMPUTED_VALUE"""),565.25)</f>
        <v>565.25</v>
      </c>
      <c r="J1628" s="25">
        <f>IFERROR(__xludf.DUMMYFUNCTION("""COMPUTED_VALUE"""),567.0)</f>
        <v>567</v>
      </c>
      <c r="K1628" s="25">
        <f>IFERROR(__xludf.DUMMYFUNCTION("""COMPUTED_VALUE"""),561.13)</f>
        <v>561.13</v>
      </c>
      <c r="L1628" s="25">
        <f>IFERROR(__xludf.DUMMYFUNCTION("""COMPUTED_VALUE"""),565.33)</f>
        <v>565.33</v>
      </c>
      <c r="M1628" s="25">
        <f>IFERROR(__xludf.DUMMYFUNCTION("""COMPUTED_VALUE"""),1012646.0)</f>
        <v>1012646</v>
      </c>
    </row>
    <row r="1629">
      <c r="A1629" s="26">
        <f>IFERROR(__xludf.DUMMYFUNCTION("""COMPUTED_VALUE"""),40758.645833333336)</f>
        <v>40758.64583</v>
      </c>
      <c r="B1629" s="9">
        <f>IFERROR(__xludf.DUMMYFUNCTION("""COMPUTED_VALUE"""),341.88)</f>
        <v>341.88</v>
      </c>
      <c r="C1629" s="9">
        <f>IFERROR(__xludf.DUMMYFUNCTION("""COMPUTED_VALUE"""),342.46)</f>
        <v>342.46</v>
      </c>
      <c r="D1629" s="9">
        <f>IFERROR(__xludf.DUMMYFUNCTION("""COMPUTED_VALUE"""),338.56)</f>
        <v>338.56</v>
      </c>
      <c r="E1629" s="9">
        <f>IFERROR(__xludf.DUMMYFUNCTION("""COMPUTED_VALUE"""),341.58)</f>
        <v>341.58</v>
      </c>
      <c r="F1629" s="9">
        <f>IFERROR(__xludf.DUMMYFUNCTION("""COMPUTED_VALUE"""),705761.0)</f>
        <v>705761</v>
      </c>
      <c r="H1629" s="27">
        <f>IFERROR(__xludf.DUMMYFUNCTION("""COMPUTED_VALUE"""),40758.645833333336)</f>
        <v>40758.64583</v>
      </c>
      <c r="I1629" s="25">
        <f>IFERROR(__xludf.DUMMYFUNCTION("""COMPUTED_VALUE"""),560.0)</f>
        <v>560</v>
      </c>
      <c r="J1629" s="25">
        <f>IFERROR(__xludf.DUMMYFUNCTION("""COMPUTED_VALUE"""),562.85)</f>
        <v>562.85</v>
      </c>
      <c r="K1629" s="25">
        <f>IFERROR(__xludf.DUMMYFUNCTION("""COMPUTED_VALUE"""),547.67)</f>
        <v>547.67</v>
      </c>
      <c r="L1629" s="25">
        <f>IFERROR(__xludf.DUMMYFUNCTION("""COMPUTED_VALUE"""),555.17)</f>
        <v>555.17</v>
      </c>
      <c r="M1629" s="25">
        <f>IFERROR(__xludf.DUMMYFUNCTION("""COMPUTED_VALUE"""),1532123.0)</f>
        <v>1532123</v>
      </c>
    </row>
    <row r="1630">
      <c r="A1630" s="26">
        <f>IFERROR(__xludf.DUMMYFUNCTION("""COMPUTED_VALUE"""),40759.645833333336)</f>
        <v>40759.64583</v>
      </c>
      <c r="B1630" s="9">
        <f>IFERROR(__xludf.DUMMYFUNCTION("""COMPUTED_VALUE"""),342.5)</f>
        <v>342.5</v>
      </c>
      <c r="C1630" s="9">
        <f>IFERROR(__xludf.DUMMYFUNCTION("""COMPUTED_VALUE"""),344.99)</f>
        <v>344.99</v>
      </c>
      <c r="D1630" s="9">
        <f>IFERROR(__xludf.DUMMYFUNCTION("""COMPUTED_VALUE"""),338.0)</f>
        <v>338</v>
      </c>
      <c r="E1630" s="9">
        <f>IFERROR(__xludf.DUMMYFUNCTION("""COMPUTED_VALUE"""),338.64)</f>
        <v>338.64</v>
      </c>
      <c r="F1630" s="9">
        <f>IFERROR(__xludf.DUMMYFUNCTION("""COMPUTED_VALUE"""),816236.0)</f>
        <v>816236</v>
      </c>
      <c r="H1630" s="27">
        <f>IFERROR(__xludf.DUMMYFUNCTION("""COMPUTED_VALUE"""),40759.645833333336)</f>
        <v>40759.64583</v>
      </c>
      <c r="I1630" s="25">
        <f>IFERROR(__xludf.DUMMYFUNCTION("""COMPUTED_VALUE"""),555.03)</f>
        <v>555.03</v>
      </c>
      <c r="J1630" s="25">
        <f>IFERROR(__xludf.DUMMYFUNCTION("""COMPUTED_VALUE"""),559.75)</f>
        <v>559.75</v>
      </c>
      <c r="K1630" s="25">
        <f>IFERROR(__xludf.DUMMYFUNCTION("""COMPUTED_VALUE"""),545.55)</f>
        <v>545.55</v>
      </c>
      <c r="L1630" s="25">
        <f>IFERROR(__xludf.DUMMYFUNCTION("""COMPUTED_VALUE"""),547.92)</f>
        <v>547.92</v>
      </c>
      <c r="M1630" s="25">
        <f>IFERROR(__xludf.DUMMYFUNCTION("""COMPUTED_VALUE"""),1524647.0)</f>
        <v>1524647</v>
      </c>
    </row>
    <row r="1631">
      <c r="A1631" s="26">
        <f>IFERROR(__xludf.DUMMYFUNCTION("""COMPUTED_VALUE"""),40760.645833333336)</f>
        <v>40760.64583</v>
      </c>
      <c r="B1631" s="9">
        <f>IFERROR(__xludf.DUMMYFUNCTION("""COMPUTED_VALUE"""),330.45)</f>
        <v>330.45</v>
      </c>
      <c r="C1631" s="9">
        <f>IFERROR(__xludf.DUMMYFUNCTION("""COMPUTED_VALUE"""),330.45)</f>
        <v>330.45</v>
      </c>
      <c r="D1631" s="9">
        <f>IFERROR(__xludf.DUMMYFUNCTION("""COMPUTED_VALUE"""),315.63)</f>
        <v>315.63</v>
      </c>
      <c r="E1631" s="9">
        <f>IFERROR(__xludf.DUMMYFUNCTION("""COMPUTED_VALUE"""),323.9)</f>
        <v>323.9</v>
      </c>
      <c r="F1631" s="9">
        <f>IFERROR(__xludf.DUMMYFUNCTION("""COMPUTED_VALUE"""),1969759.0)</f>
        <v>1969759</v>
      </c>
      <c r="H1631" s="27">
        <f>IFERROR(__xludf.DUMMYFUNCTION("""COMPUTED_VALUE"""),40760.645833333336)</f>
        <v>40760.64583</v>
      </c>
      <c r="I1631" s="25">
        <f>IFERROR(__xludf.DUMMYFUNCTION("""COMPUTED_VALUE"""),536.58)</f>
        <v>536.58</v>
      </c>
      <c r="J1631" s="25">
        <f>IFERROR(__xludf.DUMMYFUNCTION("""COMPUTED_VALUE"""),537.0)</f>
        <v>537</v>
      </c>
      <c r="K1631" s="25">
        <f>IFERROR(__xludf.DUMMYFUNCTION("""COMPUTED_VALUE"""),514.0)</f>
        <v>514</v>
      </c>
      <c r="L1631" s="25">
        <f>IFERROR(__xludf.DUMMYFUNCTION("""COMPUTED_VALUE"""),528.98)</f>
        <v>528.98</v>
      </c>
      <c r="M1631" s="25">
        <f>IFERROR(__xludf.DUMMYFUNCTION("""COMPUTED_VALUE"""),2634694.0)</f>
        <v>2634694</v>
      </c>
    </row>
    <row r="1632">
      <c r="A1632" s="26">
        <f>IFERROR(__xludf.DUMMYFUNCTION("""COMPUTED_VALUE"""),40763.645833333336)</f>
        <v>40763.64583</v>
      </c>
      <c r="B1632" s="9">
        <f>IFERROR(__xludf.DUMMYFUNCTION("""COMPUTED_VALUE"""),312.5)</f>
        <v>312.5</v>
      </c>
      <c r="C1632" s="9">
        <f>IFERROR(__xludf.DUMMYFUNCTION("""COMPUTED_VALUE"""),312.5)</f>
        <v>312.5</v>
      </c>
      <c r="D1632" s="9">
        <f>IFERROR(__xludf.DUMMYFUNCTION("""COMPUTED_VALUE"""),303.88)</f>
        <v>303.88</v>
      </c>
      <c r="E1632" s="9">
        <f>IFERROR(__xludf.DUMMYFUNCTION("""COMPUTED_VALUE"""),308.81)</f>
        <v>308.81</v>
      </c>
      <c r="F1632" s="9">
        <f>IFERROR(__xludf.DUMMYFUNCTION("""COMPUTED_VALUE"""),2021280.0)</f>
        <v>2021280</v>
      </c>
      <c r="H1632" s="27">
        <f>IFERROR(__xludf.DUMMYFUNCTION("""COMPUTED_VALUE"""),40763.645833333336)</f>
        <v>40763.64583</v>
      </c>
      <c r="I1632" s="25">
        <f>IFERROR(__xludf.DUMMYFUNCTION("""COMPUTED_VALUE"""),505.6)</f>
        <v>505.6</v>
      </c>
      <c r="J1632" s="25">
        <f>IFERROR(__xludf.DUMMYFUNCTION("""COMPUTED_VALUE"""),516.67)</f>
        <v>516.67</v>
      </c>
      <c r="K1632" s="25">
        <f>IFERROR(__xludf.DUMMYFUNCTION("""COMPUTED_VALUE"""),498.3)</f>
        <v>498.3</v>
      </c>
      <c r="L1632" s="25">
        <f>IFERROR(__xludf.DUMMYFUNCTION("""COMPUTED_VALUE"""),502.68)</f>
        <v>502.68</v>
      </c>
      <c r="M1632" s="25">
        <f>IFERROR(__xludf.DUMMYFUNCTION("""COMPUTED_VALUE"""),3274653.0)</f>
        <v>3274653</v>
      </c>
    </row>
    <row r="1633">
      <c r="A1633" s="26">
        <f>IFERROR(__xludf.DUMMYFUNCTION("""COMPUTED_VALUE"""),40764.645833333336)</f>
        <v>40764.64583</v>
      </c>
      <c r="B1633" s="9">
        <f>IFERROR(__xludf.DUMMYFUNCTION("""COMPUTED_VALUE"""),293.88)</f>
        <v>293.88</v>
      </c>
      <c r="C1633" s="9">
        <f>IFERROR(__xludf.DUMMYFUNCTION("""COMPUTED_VALUE"""),304.99)</f>
        <v>304.99</v>
      </c>
      <c r="D1633" s="9">
        <f>IFERROR(__xludf.DUMMYFUNCTION("""COMPUTED_VALUE"""),293.77)</f>
        <v>293.77</v>
      </c>
      <c r="E1633" s="9">
        <f>IFERROR(__xludf.DUMMYFUNCTION("""COMPUTED_VALUE"""),296.82)</f>
        <v>296.82</v>
      </c>
      <c r="F1633" s="9">
        <f>IFERROR(__xludf.DUMMYFUNCTION("""COMPUTED_VALUE"""),2106218.0)</f>
        <v>2106218</v>
      </c>
      <c r="H1633" s="27">
        <f>IFERROR(__xludf.DUMMYFUNCTION("""COMPUTED_VALUE"""),40764.645833333336)</f>
        <v>40764.64583</v>
      </c>
      <c r="I1633" s="25">
        <f>IFERROR(__xludf.DUMMYFUNCTION("""COMPUTED_VALUE"""),482.5)</f>
        <v>482.5</v>
      </c>
      <c r="J1633" s="25">
        <f>IFERROR(__xludf.DUMMYFUNCTION("""COMPUTED_VALUE"""),492.6)</f>
        <v>492.6</v>
      </c>
      <c r="K1633" s="25">
        <f>IFERROR(__xludf.DUMMYFUNCTION("""COMPUTED_VALUE"""),473.85)</f>
        <v>473.85</v>
      </c>
      <c r="L1633" s="25">
        <f>IFERROR(__xludf.DUMMYFUNCTION("""COMPUTED_VALUE"""),482.4)</f>
        <v>482.4</v>
      </c>
      <c r="M1633" s="25">
        <f>IFERROR(__xludf.DUMMYFUNCTION("""COMPUTED_VALUE"""),4079635.0)</f>
        <v>4079635</v>
      </c>
    </row>
    <row r="1634">
      <c r="A1634" s="26">
        <f>IFERROR(__xludf.DUMMYFUNCTION("""COMPUTED_VALUE"""),40765.645833333336)</f>
        <v>40765.64583</v>
      </c>
      <c r="B1634" s="9">
        <f>IFERROR(__xludf.DUMMYFUNCTION("""COMPUTED_VALUE"""),306.0)</f>
        <v>306</v>
      </c>
      <c r="C1634" s="9">
        <f>IFERROR(__xludf.DUMMYFUNCTION("""COMPUTED_VALUE"""),309.55)</f>
        <v>309.55</v>
      </c>
      <c r="D1634" s="9">
        <f>IFERROR(__xludf.DUMMYFUNCTION("""COMPUTED_VALUE"""),301.39)</f>
        <v>301.39</v>
      </c>
      <c r="E1634" s="9">
        <f>IFERROR(__xludf.DUMMYFUNCTION("""COMPUTED_VALUE"""),305.89)</f>
        <v>305.89</v>
      </c>
      <c r="F1634" s="9">
        <f>IFERROR(__xludf.DUMMYFUNCTION("""COMPUTED_VALUE"""),1744495.0)</f>
        <v>1744495</v>
      </c>
      <c r="H1634" s="27">
        <f>IFERROR(__xludf.DUMMYFUNCTION("""COMPUTED_VALUE"""),40765.645833333336)</f>
        <v>40765.64583</v>
      </c>
      <c r="I1634" s="25">
        <f>IFERROR(__xludf.DUMMYFUNCTION("""COMPUTED_VALUE"""),499.5)</f>
        <v>499.5</v>
      </c>
      <c r="J1634" s="25">
        <f>IFERROR(__xludf.DUMMYFUNCTION("""COMPUTED_VALUE"""),506.0)</f>
        <v>506</v>
      </c>
      <c r="K1634" s="25">
        <f>IFERROR(__xludf.DUMMYFUNCTION("""COMPUTED_VALUE"""),486.9)</f>
        <v>486.9</v>
      </c>
      <c r="L1634" s="25">
        <f>IFERROR(__xludf.DUMMYFUNCTION("""COMPUTED_VALUE"""),492.03)</f>
        <v>492.03</v>
      </c>
      <c r="M1634" s="25">
        <f>IFERROR(__xludf.DUMMYFUNCTION("""COMPUTED_VALUE"""),2974540.0)</f>
        <v>2974540</v>
      </c>
    </row>
    <row r="1635">
      <c r="A1635" s="26">
        <f>IFERROR(__xludf.DUMMYFUNCTION("""COMPUTED_VALUE"""),40766.645833333336)</f>
        <v>40766.64583</v>
      </c>
      <c r="B1635" s="9">
        <f>IFERROR(__xludf.DUMMYFUNCTION("""COMPUTED_VALUE"""),304.0)</f>
        <v>304</v>
      </c>
      <c r="C1635" s="9">
        <f>IFERROR(__xludf.DUMMYFUNCTION("""COMPUTED_VALUE"""),308.63)</f>
        <v>308.63</v>
      </c>
      <c r="D1635" s="9">
        <f>IFERROR(__xludf.DUMMYFUNCTION("""COMPUTED_VALUE"""),301.87)</f>
        <v>301.87</v>
      </c>
      <c r="E1635" s="9">
        <f>IFERROR(__xludf.DUMMYFUNCTION("""COMPUTED_VALUE"""),305.08)</f>
        <v>305.08</v>
      </c>
      <c r="F1635" s="9">
        <f>IFERROR(__xludf.DUMMYFUNCTION("""COMPUTED_VALUE"""),1025779.0)</f>
        <v>1025779</v>
      </c>
      <c r="H1635" s="27">
        <f>IFERROR(__xludf.DUMMYFUNCTION("""COMPUTED_VALUE"""),40766.645833333336)</f>
        <v>40766.64583</v>
      </c>
      <c r="I1635" s="25">
        <f>IFERROR(__xludf.DUMMYFUNCTION("""COMPUTED_VALUE"""),490.0)</f>
        <v>490</v>
      </c>
      <c r="J1635" s="25">
        <f>IFERROR(__xludf.DUMMYFUNCTION("""COMPUTED_VALUE"""),491.7)</f>
        <v>491.7</v>
      </c>
      <c r="K1635" s="25">
        <f>IFERROR(__xludf.DUMMYFUNCTION("""COMPUTED_VALUE"""),481.5)</f>
        <v>481.5</v>
      </c>
      <c r="L1635" s="25">
        <f>IFERROR(__xludf.DUMMYFUNCTION("""COMPUTED_VALUE"""),489.17)</f>
        <v>489.17</v>
      </c>
      <c r="M1635" s="25">
        <f>IFERROR(__xludf.DUMMYFUNCTION("""COMPUTED_VALUE"""),1450232.0)</f>
        <v>1450232</v>
      </c>
    </row>
    <row r="1636">
      <c r="A1636" s="26">
        <f>IFERROR(__xludf.DUMMYFUNCTION("""COMPUTED_VALUE"""),40767.645833333336)</f>
        <v>40767.64583</v>
      </c>
      <c r="B1636" s="9">
        <f>IFERROR(__xludf.DUMMYFUNCTION("""COMPUTED_VALUE"""),311.0)</f>
        <v>311</v>
      </c>
      <c r="C1636" s="9">
        <f>IFERROR(__xludf.DUMMYFUNCTION("""COMPUTED_VALUE"""),311.0)</f>
        <v>311</v>
      </c>
      <c r="D1636" s="9">
        <f>IFERROR(__xludf.DUMMYFUNCTION("""COMPUTED_VALUE"""),292.79)</f>
        <v>292.79</v>
      </c>
      <c r="E1636" s="9">
        <f>IFERROR(__xludf.DUMMYFUNCTION("""COMPUTED_VALUE"""),296.9)</f>
        <v>296.9</v>
      </c>
      <c r="F1636" s="9">
        <f>IFERROR(__xludf.DUMMYFUNCTION("""COMPUTED_VALUE"""),1762260.0)</f>
        <v>1762260</v>
      </c>
      <c r="H1636" s="27">
        <f>IFERROR(__xludf.DUMMYFUNCTION("""COMPUTED_VALUE"""),40767.645833333336)</f>
        <v>40767.64583</v>
      </c>
      <c r="I1636" s="25">
        <f>IFERROR(__xludf.DUMMYFUNCTION("""COMPUTED_VALUE"""),495.28)</f>
        <v>495.28</v>
      </c>
      <c r="J1636" s="25">
        <f>IFERROR(__xludf.DUMMYFUNCTION("""COMPUTED_VALUE"""),495.95)</f>
        <v>495.95</v>
      </c>
      <c r="K1636" s="25">
        <f>IFERROR(__xludf.DUMMYFUNCTION("""COMPUTED_VALUE"""),468.75)</f>
        <v>468.75</v>
      </c>
      <c r="L1636" s="25">
        <f>IFERROR(__xludf.DUMMYFUNCTION("""COMPUTED_VALUE"""),473.58)</f>
        <v>473.58</v>
      </c>
      <c r="M1636" s="25">
        <f>IFERROR(__xludf.DUMMYFUNCTION("""COMPUTED_VALUE"""),2084542.0)</f>
        <v>2084542</v>
      </c>
    </row>
    <row r="1637">
      <c r="A1637" s="26">
        <f>IFERROR(__xludf.DUMMYFUNCTION("""COMPUTED_VALUE"""),40771.645833333336)</f>
        <v>40771.64583</v>
      </c>
      <c r="B1637" s="9">
        <f>IFERROR(__xludf.DUMMYFUNCTION("""COMPUTED_VALUE"""),303.75)</f>
        <v>303.75</v>
      </c>
      <c r="C1637" s="9">
        <f>IFERROR(__xludf.DUMMYFUNCTION("""COMPUTED_VALUE"""),304.78)</f>
        <v>304.78</v>
      </c>
      <c r="D1637" s="9">
        <f>IFERROR(__xludf.DUMMYFUNCTION("""COMPUTED_VALUE"""),296.54)</f>
        <v>296.54</v>
      </c>
      <c r="E1637" s="9">
        <f>IFERROR(__xludf.DUMMYFUNCTION("""COMPUTED_VALUE"""),299.91)</f>
        <v>299.91</v>
      </c>
      <c r="F1637" s="9">
        <f>IFERROR(__xludf.DUMMYFUNCTION("""COMPUTED_VALUE"""),1268338.0)</f>
        <v>1268338</v>
      </c>
      <c r="H1637" s="27">
        <f>IFERROR(__xludf.DUMMYFUNCTION("""COMPUTED_VALUE"""),40771.645833333336)</f>
        <v>40771.64583</v>
      </c>
      <c r="I1637" s="25">
        <f>IFERROR(__xludf.DUMMYFUNCTION("""COMPUTED_VALUE"""),483.5)</f>
        <v>483.5</v>
      </c>
      <c r="J1637" s="25">
        <f>IFERROR(__xludf.DUMMYFUNCTION("""COMPUTED_VALUE"""),489.17)</f>
        <v>489.17</v>
      </c>
      <c r="K1637" s="25">
        <f>IFERROR(__xludf.DUMMYFUNCTION("""COMPUTED_VALUE"""),478.03)</f>
        <v>478.03</v>
      </c>
      <c r="L1637" s="25">
        <f>IFERROR(__xludf.DUMMYFUNCTION("""COMPUTED_VALUE"""),486.8)</f>
        <v>486.8</v>
      </c>
      <c r="M1637" s="25">
        <f>IFERROR(__xludf.DUMMYFUNCTION("""COMPUTED_VALUE"""),1491784.0)</f>
        <v>1491784</v>
      </c>
    </row>
    <row r="1638">
      <c r="A1638" s="26">
        <f>IFERROR(__xludf.DUMMYFUNCTION("""COMPUTED_VALUE"""),40772.645833333336)</f>
        <v>40772.64583</v>
      </c>
      <c r="B1638" s="9">
        <f>IFERROR(__xludf.DUMMYFUNCTION("""COMPUTED_VALUE"""),299.5)</f>
        <v>299.5</v>
      </c>
      <c r="C1638" s="9">
        <f>IFERROR(__xludf.DUMMYFUNCTION("""COMPUTED_VALUE"""),308.19)</f>
        <v>308.19</v>
      </c>
      <c r="D1638" s="9">
        <f>IFERROR(__xludf.DUMMYFUNCTION("""COMPUTED_VALUE"""),299.5)</f>
        <v>299.5</v>
      </c>
      <c r="E1638" s="9">
        <f>IFERROR(__xludf.DUMMYFUNCTION("""COMPUTED_VALUE"""),306.12)</f>
        <v>306.12</v>
      </c>
      <c r="F1638" s="9">
        <f>IFERROR(__xludf.DUMMYFUNCTION("""COMPUTED_VALUE"""),1066416.0)</f>
        <v>1066416</v>
      </c>
      <c r="H1638" s="27">
        <f>IFERROR(__xludf.DUMMYFUNCTION("""COMPUTED_VALUE"""),40772.645833333336)</f>
        <v>40772.64583</v>
      </c>
      <c r="I1638" s="25">
        <f>IFERROR(__xludf.DUMMYFUNCTION("""COMPUTED_VALUE"""),487.25)</f>
        <v>487.25</v>
      </c>
      <c r="J1638" s="25">
        <f>IFERROR(__xludf.DUMMYFUNCTION("""COMPUTED_VALUE"""),504.7)</f>
        <v>504.7</v>
      </c>
      <c r="K1638" s="25">
        <f>IFERROR(__xludf.DUMMYFUNCTION("""COMPUTED_VALUE"""),485.0)</f>
        <v>485</v>
      </c>
      <c r="L1638" s="25">
        <f>IFERROR(__xludf.DUMMYFUNCTION("""COMPUTED_VALUE"""),499.95)</f>
        <v>499.95</v>
      </c>
      <c r="M1638" s="25">
        <f>IFERROR(__xludf.DUMMYFUNCTION("""COMPUTED_VALUE"""),2278946.0)</f>
        <v>2278946</v>
      </c>
    </row>
    <row r="1639">
      <c r="A1639" s="26">
        <f>IFERROR(__xludf.DUMMYFUNCTION("""COMPUTED_VALUE"""),40774.645833333336)</f>
        <v>40774.64583</v>
      </c>
      <c r="B1639" s="9">
        <f>IFERROR(__xludf.DUMMYFUNCTION("""COMPUTED_VALUE"""),284.25)</f>
        <v>284.25</v>
      </c>
      <c r="C1639" s="9">
        <f>IFERROR(__xludf.DUMMYFUNCTION("""COMPUTED_VALUE"""),284.25)</f>
        <v>284.25</v>
      </c>
      <c r="D1639" s="9">
        <f>IFERROR(__xludf.DUMMYFUNCTION("""COMPUTED_VALUE"""),271.45)</f>
        <v>271.45</v>
      </c>
      <c r="E1639" s="9">
        <f>IFERROR(__xludf.DUMMYFUNCTION("""COMPUTED_VALUE"""),278.09)</f>
        <v>278.09</v>
      </c>
      <c r="F1639" s="9">
        <f>IFERROR(__xludf.DUMMYFUNCTION("""COMPUTED_VALUE"""),3612400.0)</f>
        <v>3612400</v>
      </c>
      <c r="H1639" s="27">
        <f>IFERROR(__xludf.DUMMYFUNCTION("""COMPUTED_VALUE"""),40774.645833333336)</f>
        <v>40774.64583</v>
      </c>
      <c r="I1639" s="25">
        <f>IFERROR(__xludf.DUMMYFUNCTION("""COMPUTED_VALUE"""),471.5)</f>
        <v>471.5</v>
      </c>
      <c r="J1639" s="25">
        <f>IFERROR(__xludf.DUMMYFUNCTION("""COMPUTED_VALUE"""),473.48)</f>
        <v>473.48</v>
      </c>
      <c r="K1639" s="25">
        <f>IFERROR(__xludf.DUMMYFUNCTION("""COMPUTED_VALUE"""),452.5)</f>
        <v>452.5</v>
      </c>
      <c r="L1639" s="25">
        <f>IFERROR(__xludf.DUMMYFUNCTION("""COMPUTED_VALUE"""),464.48)</f>
        <v>464.48</v>
      </c>
      <c r="M1639" s="25">
        <f>IFERROR(__xludf.DUMMYFUNCTION("""COMPUTED_VALUE"""),2721807.0)</f>
        <v>2721807</v>
      </c>
    </row>
    <row r="1640">
      <c r="A1640" s="26">
        <f>IFERROR(__xludf.DUMMYFUNCTION("""COMPUTED_VALUE"""),40777.645833333336)</f>
        <v>40777.64583</v>
      </c>
      <c r="B1640" s="9">
        <f>IFERROR(__xludf.DUMMYFUNCTION("""COMPUTED_VALUE"""),276.74)</f>
        <v>276.74</v>
      </c>
      <c r="C1640" s="9">
        <f>IFERROR(__xludf.DUMMYFUNCTION("""COMPUTED_VALUE"""),280.64)</f>
        <v>280.64</v>
      </c>
      <c r="D1640" s="9">
        <f>IFERROR(__xludf.DUMMYFUNCTION("""COMPUTED_VALUE"""),271.88)</f>
        <v>271.88</v>
      </c>
      <c r="E1640" s="9">
        <f>IFERROR(__xludf.DUMMYFUNCTION("""COMPUTED_VALUE"""),274.33)</f>
        <v>274.33</v>
      </c>
      <c r="F1640" s="9">
        <f>IFERROR(__xludf.DUMMYFUNCTION("""COMPUTED_VALUE"""),1963509.0)</f>
        <v>1963509</v>
      </c>
      <c r="H1640" s="27">
        <f>IFERROR(__xludf.DUMMYFUNCTION("""COMPUTED_VALUE"""),40777.645833333336)</f>
        <v>40777.64583</v>
      </c>
      <c r="I1640" s="25">
        <f>IFERROR(__xludf.DUMMYFUNCTION("""COMPUTED_VALUE"""),464.5)</f>
        <v>464.5</v>
      </c>
      <c r="J1640" s="25">
        <f>IFERROR(__xludf.DUMMYFUNCTION("""COMPUTED_VALUE"""),465.0)</f>
        <v>465</v>
      </c>
      <c r="K1640" s="25">
        <f>IFERROR(__xludf.DUMMYFUNCTION("""COMPUTED_VALUE"""),451.0)</f>
        <v>451</v>
      </c>
      <c r="L1640" s="25">
        <f>IFERROR(__xludf.DUMMYFUNCTION("""COMPUTED_VALUE"""),459.03)</f>
        <v>459.03</v>
      </c>
      <c r="M1640" s="25">
        <f>IFERROR(__xludf.DUMMYFUNCTION("""COMPUTED_VALUE"""),1764461.0)</f>
        <v>1764461</v>
      </c>
    </row>
    <row r="1641">
      <c r="A1641" s="26">
        <f>IFERROR(__xludf.DUMMYFUNCTION("""COMPUTED_VALUE"""),40778.645833333336)</f>
        <v>40778.64583</v>
      </c>
      <c r="B1641" s="9">
        <f>IFERROR(__xludf.DUMMYFUNCTION("""COMPUTED_VALUE"""),275.16)</f>
        <v>275.16</v>
      </c>
      <c r="C1641" s="9">
        <f>IFERROR(__xludf.DUMMYFUNCTION("""COMPUTED_VALUE"""),287.83)</f>
        <v>287.83</v>
      </c>
      <c r="D1641" s="9">
        <f>IFERROR(__xludf.DUMMYFUNCTION("""COMPUTED_VALUE"""),274.25)</f>
        <v>274.25</v>
      </c>
      <c r="E1641" s="9">
        <f>IFERROR(__xludf.DUMMYFUNCTION("""COMPUTED_VALUE"""),284.62)</f>
        <v>284.62</v>
      </c>
      <c r="F1641" s="9">
        <f>IFERROR(__xludf.DUMMYFUNCTION("""COMPUTED_VALUE"""),2142930.0)</f>
        <v>2142930</v>
      </c>
      <c r="H1641" s="27">
        <f>IFERROR(__xludf.DUMMYFUNCTION("""COMPUTED_VALUE"""),40778.645833333336)</f>
        <v>40778.64583</v>
      </c>
      <c r="I1641" s="25">
        <f>IFERROR(__xludf.DUMMYFUNCTION("""COMPUTED_VALUE"""),460.42)</f>
        <v>460.42</v>
      </c>
      <c r="J1641" s="25">
        <f>IFERROR(__xludf.DUMMYFUNCTION("""COMPUTED_VALUE"""),494.0)</f>
        <v>494</v>
      </c>
      <c r="K1641" s="25">
        <f>IFERROR(__xludf.DUMMYFUNCTION("""COMPUTED_VALUE"""),460.17)</f>
        <v>460.17</v>
      </c>
      <c r="L1641" s="25">
        <f>IFERROR(__xludf.DUMMYFUNCTION("""COMPUTED_VALUE"""),490.8)</f>
        <v>490.8</v>
      </c>
      <c r="M1641" s="25">
        <f>IFERROR(__xludf.DUMMYFUNCTION("""COMPUTED_VALUE"""),2437335.0)</f>
        <v>2437335</v>
      </c>
    </row>
    <row r="1642">
      <c r="A1642" s="26">
        <f>IFERROR(__xludf.DUMMYFUNCTION("""COMPUTED_VALUE"""),40779.645833333336)</f>
        <v>40779.64583</v>
      </c>
      <c r="B1642" s="9">
        <f>IFERROR(__xludf.DUMMYFUNCTION("""COMPUTED_VALUE"""),285.0)</f>
        <v>285</v>
      </c>
      <c r="C1642" s="9">
        <f>IFERROR(__xludf.DUMMYFUNCTION("""COMPUTED_VALUE"""),285.62)</f>
        <v>285.62</v>
      </c>
      <c r="D1642" s="9">
        <f>IFERROR(__xludf.DUMMYFUNCTION("""COMPUTED_VALUE"""),278.75)</f>
        <v>278.75</v>
      </c>
      <c r="E1642" s="9">
        <f>IFERROR(__xludf.DUMMYFUNCTION("""COMPUTED_VALUE"""),281.36)</f>
        <v>281.36</v>
      </c>
      <c r="F1642" s="9">
        <f>IFERROR(__xludf.DUMMYFUNCTION("""COMPUTED_VALUE"""),1075768.0)</f>
        <v>1075768</v>
      </c>
      <c r="H1642" s="27">
        <f>IFERROR(__xludf.DUMMYFUNCTION("""COMPUTED_VALUE"""),40779.645833333336)</f>
        <v>40779.64583</v>
      </c>
      <c r="I1642" s="25">
        <f>IFERROR(__xludf.DUMMYFUNCTION("""COMPUTED_VALUE"""),489.0)</f>
        <v>489</v>
      </c>
      <c r="J1642" s="25">
        <f>IFERROR(__xludf.DUMMYFUNCTION("""COMPUTED_VALUE"""),489.0)</f>
        <v>489</v>
      </c>
      <c r="K1642" s="25">
        <f>IFERROR(__xludf.DUMMYFUNCTION("""COMPUTED_VALUE"""),477.5)</f>
        <v>477.5</v>
      </c>
      <c r="L1642" s="25">
        <f>IFERROR(__xludf.DUMMYFUNCTION("""COMPUTED_VALUE"""),481.3)</f>
        <v>481.3</v>
      </c>
      <c r="M1642" s="25">
        <f>IFERROR(__xludf.DUMMYFUNCTION("""COMPUTED_VALUE"""),1597395.0)</f>
        <v>1597395</v>
      </c>
    </row>
    <row r="1643">
      <c r="A1643" s="26">
        <f>IFERROR(__xludf.DUMMYFUNCTION("""COMPUTED_VALUE"""),40780.645833333336)</f>
        <v>40780.64583</v>
      </c>
      <c r="B1643" s="9">
        <f>IFERROR(__xludf.DUMMYFUNCTION("""COMPUTED_VALUE"""),281.27)</f>
        <v>281.27</v>
      </c>
      <c r="C1643" s="9">
        <f>IFERROR(__xludf.DUMMYFUNCTION("""COMPUTED_VALUE"""),283.14)</f>
        <v>283.14</v>
      </c>
      <c r="D1643" s="9">
        <f>IFERROR(__xludf.DUMMYFUNCTION("""COMPUTED_VALUE"""),270.19)</f>
        <v>270.19</v>
      </c>
      <c r="E1643" s="9">
        <f>IFERROR(__xludf.DUMMYFUNCTION("""COMPUTED_VALUE"""),272.93)</f>
        <v>272.93</v>
      </c>
      <c r="F1643" s="9">
        <f>IFERROR(__xludf.DUMMYFUNCTION("""COMPUTED_VALUE"""),3356719.0)</f>
        <v>3356719</v>
      </c>
      <c r="H1643" s="27">
        <f>IFERROR(__xludf.DUMMYFUNCTION("""COMPUTED_VALUE"""),40780.645833333336)</f>
        <v>40780.64583</v>
      </c>
      <c r="I1643" s="25">
        <f>IFERROR(__xludf.DUMMYFUNCTION("""COMPUTED_VALUE"""),484.85)</f>
        <v>484.85</v>
      </c>
      <c r="J1643" s="25">
        <f>IFERROR(__xludf.DUMMYFUNCTION("""COMPUTED_VALUE"""),486.5)</f>
        <v>486.5</v>
      </c>
      <c r="K1643" s="25">
        <f>IFERROR(__xludf.DUMMYFUNCTION("""COMPUTED_VALUE"""),469.0)</f>
        <v>469</v>
      </c>
      <c r="L1643" s="25">
        <f>IFERROR(__xludf.DUMMYFUNCTION("""COMPUTED_VALUE"""),475.2)</f>
        <v>475.2</v>
      </c>
      <c r="M1643" s="25">
        <f>IFERROR(__xludf.DUMMYFUNCTION("""COMPUTED_VALUE"""),2222744.0)</f>
        <v>2222744</v>
      </c>
    </row>
    <row r="1644">
      <c r="A1644" s="26">
        <f>IFERROR(__xludf.DUMMYFUNCTION("""COMPUTED_VALUE"""),40781.645833333336)</f>
        <v>40781.64583</v>
      </c>
      <c r="B1644" s="9">
        <f>IFERROR(__xludf.DUMMYFUNCTION("""COMPUTED_VALUE"""),273.31)</f>
        <v>273.31</v>
      </c>
      <c r="C1644" s="9">
        <f>IFERROR(__xludf.DUMMYFUNCTION("""COMPUTED_VALUE"""),281.61)</f>
        <v>281.61</v>
      </c>
      <c r="D1644" s="9">
        <f>IFERROR(__xludf.DUMMYFUNCTION("""COMPUTED_VALUE"""),272.83)</f>
        <v>272.83</v>
      </c>
      <c r="E1644" s="9">
        <f>IFERROR(__xludf.DUMMYFUNCTION("""COMPUTED_VALUE"""),275.32)</f>
        <v>275.32</v>
      </c>
      <c r="F1644" s="9">
        <f>IFERROR(__xludf.DUMMYFUNCTION("""COMPUTED_VALUE"""),2627745.0)</f>
        <v>2627745</v>
      </c>
      <c r="H1644" s="27">
        <f>IFERROR(__xludf.DUMMYFUNCTION("""COMPUTED_VALUE"""),40781.645833333336)</f>
        <v>40781.64583</v>
      </c>
      <c r="I1644" s="25">
        <f>IFERROR(__xludf.DUMMYFUNCTION("""COMPUTED_VALUE"""),475.55)</f>
        <v>475.55</v>
      </c>
      <c r="J1644" s="25">
        <f>IFERROR(__xludf.DUMMYFUNCTION("""COMPUTED_VALUE"""),484.75)</f>
        <v>484.75</v>
      </c>
      <c r="K1644" s="25">
        <f>IFERROR(__xludf.DUMMYFUNCTION("""COMPUTED_VALUE"""),470.0)</f>
        <v>470</v>
      </c>
      <c r="L1644" s="25">
        <f>IFERROR(__xludf.DUMMYFUNCTION("""COMPUTED_VALUE"""),474.23)</f>
        <v>474.23</v>
      </c>
      <c r="M1644" s="25">
        <f>IFERROR(__xludf.DUMMYFUNCTION("""COMPUTED_VALUE"""),1792455.0)</f>
        <v>1792455</v>
      </c>
    </row>
    <row r="1645">
      <c r="A1645" s="26">
        <f>IFERROR(__xludf.DUMMYFUNCTION("""COMPUTED_VALUE"""),40784.645833333336)</f>
        <v>40784.64583</v>
      </c>
      <c r="B1645" s="9">
        <f>IFERROR(__xludf.DUMMYFUNCTION("""COMPUTED_VALUE"""),279.88)</f>
        <v>279.88</v>
      </c>
      <c r="C1645" s="9">
        <f>IFERROR(__xludf.DUMMYFUNCTION("""COMPUTED_VALUE"""),289.03)</f>
        <v>289.03</v>
      </c>
      <c r="D1645" s="9">
        <f>IFERROR(__xludf.DUMMYFUNCTION("""COMPUTED_VALUE"""),279.0)</f>
        <v>279</v>
      </c>
      <c r="E1645" s="9">
        <f>IFERROR(__xludf.DUMMYFUNCTION("""COMPUTED_VALUE"""),287.03)</f>
        <v>287.03</v>
      </c>
      <c r="F1645" s="9">
        <f>IFERROR(__xludf.DUMMYFUNCTION("""COMPUTED_VALUE"""),1402816.0)</f>
        <v>1402816</v>
      </c>
      <c r="H1645" s="27">
        <f>IFERROR(__xludf.DUMMYFUNCTION("""COMPUTED_VALUE"""),40784.645833333336)</f>
        <v>40784.64583</v>
      </c>
      <c r="I1645" s="25">
        <f>IFERROR(__xludf.DUMMYFUNCTION("""COMPUTED_VALUE"""),482.05)</f>
        <v>482.05</v>
      </c>
      <c r="J1645" s="25">
        <f>IFERROR(__xludf.DUMMYFUNCTION("""COMPUTED_VALUE"""),512.0)</f>
        <v>512</v>
      </c>
      <c r="K1645" s="25">
        <f>IFERROR(__xludf.DUMMYFUNCTION("""COMPUTED_VALUE"""),482.05)</f>
        <v>482.05</v>
      </c>
      <c r="L1645" s="25">
        <f>IFERROR(__xludf.DUMMYFUNCTION("""COMPUTED_VALUE"""),509.8)</f>
        <v>509.8</v>
      </c>
      <c r="M1645" s="25">
        <f>IFERROR(__xludf.DUMMYFUNCTION("""COMPUTED_VALUE"""),2795222.0)</f>
        <v>2795222</v>
      </c>
    </row>
    <row r="1646">
      <c r="A1646" s="26">
        <f>IFERROR(__xludf.DUMMYFUNCTION("""COMPUTED_VALUE"""),40785.645833333336)</f>
        <v>40785.64583</v>
      </c>
      <c r="B1646" s="9">
        <f>IFERROR(__xludf.DUMMYFUNCTION("""COMPUTED_VALUE"""),291.38)</f>
        <v>291.38</v>
      </c>
      <c r="C1646" s="9">
        <f>IFERROR(__xludf.DUMMYFUNCTION("""COMPUTED_VALUE"""),295.0)</f>
        <v>295</v>
      </c>
      <c r="D1646" s="9">
        <f>IFERROR(__xludf.DUMMYFUNCTION("""COMPUTED_VALUE"""),285.0)</f>
        <v>285</v>
      </c>
      <c r="E1646" s="9">
        <f>IFERROR(__xludf.DUMMYFUNCTION("""COMPUTED_VALUE"""),292.87)</f>
        <v>292.87</v>
      </c>
      <c r="F1646" s="9">
        <f>IFERROR(__xludf.DUMMYFUNCTION("""COMPUTED_VALUE"""),1517865.0)</f>
        <v>1517865</v>
      </c>
      <c r="H1646" s="27">
        <f>IFERROR(__xludf.DUMMYFUNCTION("""COMPUTED_VALUE"""),40785.645833333336)</f>
        <v>40785.64583</v>
      </c>
      <c r="I1646" s="25">
        <f>IFERROR(__xludf.DUMMYFUNCTION("""COMPUTED_VALUE"""),515.0)</f>
        <v>515</v>
      </c>
      <c r="J1646" s="25">
        <f>IFERROR(__xludf.DUMMYFUNCTION("""COMPUTED_VALUE"""),525.15)</f>
        <v>525.15</v>
      </c>
      <c r="K1646" s="25">
        <f>IFERROR(__xludf.DUMMYFUNCTION("""COMPUTED_VALUE"""),512.08)</f>
        <v>512.08</v>
      </c>
      <c r="L1646" s="25">
        <f>IFERROR(__xludf.DUMMYFUNCTION("""COMPUTED_VALUE"""),521.2)</f>
        <v>521.2</v>
      </c>
      <c r="M1646" s="25">
        <f>IFERROR(__xludf.DUMMYFUNCTION("""COMPUTED_VALUE"""),2983341.0)</f>
        <v>2983341</v>
      </c>
    </row>
    <row r="1647">
      <c r="A1647" s="26">
        <f>IFERROR(__xludf.DUMMYFUNCTION("""COMPUTED_VALUE"""),40788.645833333336)</f>
        <v>40788.64583</v>
      </c>
      <c r="B1647" s="9">
        <f>IFERROR(__xludf.DUMMYFUNCTION("""COMPUTED_VALUE"""),298.13)</f>
        <v>298.13</v>
      </c>
      <c r="C1647" s="9">
        <f>IFERROR(__xludf.DUMMYFUNCTION("""COMPUTED_VALUE"""),298.13)</f>
        <v>298.13</v>
      </c>
      <c r="D1647" s="9">
        <f>IFERROR(__xludf.DUMMYFUNCTION("""COMPUTED_VALUE"""),284.41)</f>
        <v>284.41</v>
      </c>
      <c r="E1647" s="9">
        <f>IFERROR(__xludf.DUMMYFUNCTION("""COMPUTED_VALUE"""),289.9)</f>
        <v>289.9</v>
      </c>
      <c r="F1647" s="9">
        <f>IFERROR(__xludf.DUMMYFUNCTION("""COMPUTED_VALUE"""),1870113.0)</f>
        <v>1870113</v>
      </c>
      <c r="H1647" s="27">
        <f>IFERROR(__xludf.DUMMYFUNCTION("""COMPUTED_VALUE"""),40788.645833333336)</f>
        <v>40788.64583</v>
      </c>
      <c r="I1647" s="25">
        <f>IFERROR(__xludf.DUMMYFUNCTION("""COMPUTED_VALUE"""),536.5)</f>
        <v>536.5</v>
      </c>
      <c r="J1647" s="25">
        <f>IFERROR(__xludf.DUMMYFUNCTION("""COMPUTED_VALUE"""),537.38)</f>
        <v>537.38</v>
      </c>
      <c r="K1647" s="25">
        <f>IFERROR(__xludf.DUMMYFUNCTION("""COMPUTED_VALUE"""),506.0)</f>
        <v>506</v>
      </c>
      <c r="L1647" s="25">
        <f>IFERROR(__xludf.DUMMYFUNCTION("""COMPUTED_VALUE"""),511.05)</f>
        <v>511.05</v>
      </c>
      <c r="M1647" s="25">
        <f>IFERROR(__xludf.DUMMYFUNCTION("""COMPUTED_VALUE"""),2206753.0)</f>
        <v>2206753</v>
      </c>
    </row>
    <row r="1648">
      <c r="A1648" s="26">
        <f>IFERROR(__xludf.DUMMYFUNCTION("""COMPUTED_VALUE"""),40791.645833333336)</f>
        <v>40791.64583</v>
      </c>
      <c r="B1648" s="9">
        <f>IFERROR(__xludf.DUMMYFUNCTION("""COMPUTED_VALUE"""),286.71)</f>
        <v>286.71</v>
      </c>
      <c r="C1648" s="9">
        <f>IFERROR(__xludf.DUMMYFUNCTION("""COMPUTED_VALUE"""),286.71)</f>
        <v>286.71</v>
      </c>
      <c r="D1648" s="9">
        <f>IFERROR(__xludf.DUMMYFUNCTION("""COMPUTED_VALUE"""),280.02)</f>
        <v>280.02</v>
      </c>
      <c r="E1648" s="9">
        <f>IFERROR(__xludf.DUMMYFUNCTION("""COMPUTED_VALUE"""),283.14)</f>
        <v>283.14</v>
      </c>
      <c r="F1648" s="9">
        <f>IFERROR(__xludf.DUMMYFUNCTION("""COMPUTED_VALUE"""),1362818.0)</f>
        <v>1362818</v>
      </c>
      <c r="H1648" s="27">
        <f>IFERROR(__xludf.DUMMYFUNCTION("""COMPUTED_VALUE"""),40791.645833333336)</f>
        <v>40791.64583</v>
      </c>
      <c r="I1648" s="25">
        <f>IFERROR(__xludf.DUMMYFUNCTION("""COMPUTED_VALUE"""),507.9)</f>
        <v>507.9</v>
      </c>
      <c r="J1648" s="25">
        <f>IFERROR(__xludf.DUMMYFUNCTION("""COMPUTED_VALUE"""),516.6)</f>
        <v>516.6</v>
      </c>
      <c r="K1648" s="25">
        <f>IFERROR(__xludf.DUMMYFUNCTION("""COMPUTED_VALUE"""),499.23)</f>
        <v>499.23</v>
      </c>
      <c r="L1648" s="25">
        <f>IFERROR(__xludf.DUMMYFUNCTION("""COMPUTED_VALUE"""),513.85)</f>
        <v>513.85</v>
      </c>
      <c r="M1648" s="25">
        <f>IFERROR(__xludf.DUMMYFUNCTION("""COMPUTED_VALUE"""),1894829.0)</f>
        <v>1894829</v>
      </c>
    </row>
    <row r="1649">
      <c r="A1649" s="26">
        <f>IFERROR(__xludf.DUMMYFUNCTION("""COMPUTED_VALUE"""),40792.645833333336)</f>
        <v>40792.64583</v>
      </c>
      <c r="B1649" s="9">
        <f>IFERROR(__xludf.DUMMYFUNCTION("""COMPUTED_VALUE"""),281.74)</f>
        <v>281.74</v>
      </c>
      <c r="C1649" s="9">
        <f>IFERROR(__xludf.DUMMYFUNCTION("""COMPUTED_VALUE"""),290.0)</f>
        <v>290</v>
      </c>
      <c r="D1649" s="9">
        <f>IFERROR(__xludf.DUMMYFUNCTION("""COMPUTED_VALUE"""),277.78)</f>
        <v>277.78</v>
      </c>
      <c r="E1649" s="9">
        <f>IFERROR(__xludf.DUMMYFUNCTION("""COMPUTED_VALUE"""),287.82)</f>
        <v>287.82</v>
      </c>
      <c r="F1649" s="9">
        <f>IFERROR(__xludf.DUMMYFUNCTION("""COMPUTED_VALUE"""),1352087.0)</f>
        <v>1352087</v>
      </c>
      <c r="H1649" s="27">
        <f>IFERROR(__xludf.DUMMYFUNCTION("""COMPUTED_VALUE"""),40792.645833333336)</f>
        <v>40792.64583</v>
      </c>
      <c r="I1649" s="25">
        <f>IFERROR(__xludf.DUMMYFUNCTION("""COMPUTED_VALUE"""),509.0)</f>
        <v>509</v>
      </c>
      <c r="J1649" s="25">
        <f>IFERROR(__xludf.DUMMYFUNCTION("""COMPUTED_VALUE"""),521.0)</f>
        <v>521</v>
      </c>
      <c r="K1649" s="25">
        <f>IFERROR(__xludf.DUMMYFUNCTION("""COMPUTED_VALUE"""),502.5)</f>
        <v>502.5</v>
      </c>
      <c r="L1649" s="25">
        <f>IFERROR(__xludf.DUMMYFUNCTION("""COMPUTED_VALUE"""),516.95)</f>
        <v>516.95</v>
      </c>
      <c r="M1649" s="25">
        <f>IFERROR(__xludf.DUMMYFUNCTION("""COMPUTED_VALUE"""),2381646.0)</f>
        <v>2381646</v>
      </c>
    </row>
    <row r="1650">
      <c r="A1650" s="26">
        <f>IFERROR(__xludf.DUMMYFUNCTION("""COMPUTED_VALUE"""),40793.645833333336)</f>
        <v>40793.64583</v>
      </c>
      <c r="B1650" s="9">
        <f>IFERROR(__xludf.DUMMYFUNCTION("""COMPUTED_VALUE"""),287.24)</f>
        <v>287.24</v>
      </c>
      <c r="C1650" s="9">
        <f>IFERROR(__xludf.DUMMYFUNCTION("""COMPUTED_VALUE"""),289.29)</f>
        <v>289.29</v>
      </c>
      <c r="D1650" s="9">
        <f>IFERROR(__xludf.DUMMYFUNCTION("""COMPUTED_VALUE"""),283.46)</f>
        <v>283.46</v>
      </c>
      <c r="E1650" s="9">
        <f>IFERROR(__xludf.DUMMYFUNCTION("""COMPUTED_VALUE"""),286.43)</f>
        <v>286.43</v>
      </c>
      <c r="F1650" s="9">
        <f>IFERROR(__xludf.DUMMYFUNCTION("""COMPUTED_VALUE"""),1644679.0)</f>
        <v>1644679</v>
      </c>
      <c r="H1650" s="27">
        <f>IFERROR(__xludf.DUMMYFUNCTION("""COMPUTED_VALUE"""),40793.645833333336)</f>
        <v>40793.64583</v>
      </c>
      <c r="I1650" s="25">
        <f>IFERROR(__xludf.DUMMYFUNCTION("""COMPUTED_VALUE"""),517.05)</f>
        <v>517.05</v>
      </c>
      <c r="J1650" s="25">
        <f>IFERROR(__xludf.DUMMYFUNCTION("""COMPUTED_VALUE"""),525.0)</f>
        <v>525</v>
      </c>
      <c r="K1650" s="25">
        <f>IFERROR(__xludf.DUMMYFUNCTION("""COMPUTED_VALUE"""),512.5)</f>
        <v>512.5</v>
      </c>
      <c r="L1650" s="25">
        <f>IFERROR(__xludf.DUMMYFUNCTION("""COMPUTED_VALUE"""),515.5)</f>
        <v>515.5</v>
      </c>
      <c r="M1650" s="25">
        <f>IFERROR(__xludf.DUMMYFUNCTION("""COMPUTED_VALUE"""),2216078.0)</f>
        <v>2216078</v>
      </c>
    </row>
    <row r="1651">
      <c r="A1651" s="26">
        <f>IFERROR(__xludf.DUMMYFUNCTION("""COMPUTED_VALUE"""),40794.645833333336)</f>
        <v>40794.64583</v>
      </c>
      <c r="B1651" s="9">
        <f>IFERROR(__xludf.DUMMYFUNCTION("""COMPUTED_VALUE"""),287.5)</f>
        <v>287.5</v>
      </c>
      <c r="C1651" s="9">
        <f>IFERROR(__xludf.DUMMYFUNCTION("""COMPUTED_VALUE"""),294.25)</f>
        <v>294.25</v>
      </c>
      <c r="D1651" s="9">
        <f>IFERROR(__xludf.DUMMYFUNCTION("""COMPUTED_VALUE"""),287.38)</f>
        <v>287.38</v>
      </c>
      <c r="E1651" s="9">
        <f>IFERROR(__xludf.DUMMYFUNCTION("""COMPUTED_VALUE"""),292.31)</f>
        <v>292.31</v>
      </c>
      <c r="F1651" s="9">
        <f>IFERROR(__xludf.DUMMYFUNCTION("""COMPUTED_VALUE"""),1378484.0)</f>
        <v>1378484</v>
      </c>
      <c r="H1651" s="27">
        <f>IFERROR(__xludf.DUMMYFUNCTION("""COMPUTED_VALUE"""),40794.645833333336)</f>
        <v>40794.64583</v>
      </c>
      <c r="I1651" s="25">
        <f>IFERROR(__xludf.DUMMYFUNCTION("""COMPUTED_VALUE"""),516.5)</f>
        <v>516.5</v>
      </c>
      <c r="J1651" s="25">
        <f>IFERROR(__xludf.DUMMYFUNCTION("""COMPUTED_VALUE"""),527.48)</f>
        <v>527.48</v>
      </c>
      <c r="K1651" s="25">
        <f>IFERROR(__xludf.DUMMYFUNCTION("""COMPUTED_VALUE"""),514.5)</f>
        <v>514.5</v>
      </c>
      <c r="L1651" s="25">
        <f>IFERROR(__xludf.DUMMYFUNCTION("""COMPUTED_VALUE"""),518.03)</f>
        <v>518.03</v>
      </c>
      <c r="M1651" s="25">
        <f>IFERROR(__xludf.DUMMYFUNCTION("""COMPUTED_VALUE"""),2446331.0)</f>
        <v>2446331</v>
      </c>
    </row>
    <row r="1652">
      <c r="A1652" s="26">
        <f>IFERROR(__xludf.DUMMYFUNCTION("""COMPUTED_VALUE"""),40795.645833333336)</f>
        <v>40795.64583</v>
      </c>
      <c r="B1652" s="9">
        <f>IFERROR(__xludf.DUMMYFUNCTION("""COMPUTED_VALUE"""),291.01)</f>
        <v>291.01</v>
      </c>
      <c r="C1652" s="9">
        <f>IFERROR(__xludf.DUMMYFUNCTION("""COMPUTED_VALUE"""),291.01)</f>
        <v>291.01</v>
      </c>
      <c r="D1652" s="9">
        <f>IFERROR(__xludf.DUMMYFUNCTION("""COMPUTED_VALUE"""),282.63)</f>
        <v>282.63</v>
      </c>
      <c r="E1652" s="9">
        <f>IFERROR(__xludf.DUMMYFUNCTION("""COMPUTED_VALUE"""),284.29)</f>
        <v>284.29</v>
      </c>
      <c r="F1652" s="9">
        <f>IFERROR(__xludf.DUMMYFUNCTION("""COMPUTED_VALUE"""),1549013.0)</f>
        <v>1549013</v>
      </c>
      <c r="H1652" s="27">
        <f>IFERROR(__xludf.DUMMYFUNCTION("""COMPUTED_VALUE"""),40795.645833333336)</f>
        <v>40795.64583</v>
      </c>
      <c r="I1652" s="25">
        <f>IFERROR(__xludf.DUMMYFUNCTION("""COMPUTED_VALUE"""),520.0)</f>
        <v>520</v>
      </c>
      <c r="J1652" s="25">
        <f>IFERROR(__xludf.DUMMYFUNCTION("""COMPUTED_VALUE"""),525.8)</f>
        <v>525.8</v>
      </c>
      <c r="K1652" s="25">
        <f>IFERROR(__xludf.DUMMYFUNCTION("""COMPUTED_VALUE"""),505.33)</f>
        <v>505.33</v>
      </c>
      <c r="L1652" s="25">
        <f>IFERROR(__xludf.DUMMYFUNCTION("""COMPUTED_VALUE"""),508.03)</f>
        <v>508.03</v>
      </c>
      <c r="M1652" s="25">
        <f>IFERROR(__xludf.DUMMYFUNCTION("""COMPUTED_VALUE"""),2531325.0)</f>
        <v>2531325</v>
      </c>
    </row>
    <row r="1653">
      <c r="A1653" s="26">
        <f>IFERROR(__xludf.DUMMYFUNCTION("""COMPUTED_VALUE"""),40798.645833333336)</f>
        <v>40798.64583</v>
      </c>
      <c r="B1653" s="9">
        <f>IFERROR(__xludf.DUMMYFUNCTION("""COMPUTED_VALUE"""),276.0)</f>
        <v>276</v>
      </c>
      <c r="C1653" s="9">
        <f>IFERROR(__xludf.DUMMYFUNCTION("""COMPUTED_VALUE"""),277.17)</f>
        <v>277.17</v>
      </c>
      <c r="D1653" s="9">
        <f>IFERROR(__xludf.DUMMYFUNCTION("""COMPUTED_VALUE"""),272.58)</f>
        <v>272.58</v>
      </c>
      <c r="E1653" s="9">
        <f>IFERROR(__xludf.DUMMYFUNCTION("""COMPUTED_VALUE"""),274.81)</f>
        <v>274.81</v>
      </c>
      <c r="F1653" s="9">
        <f>IFERROR(__xludf.DUMMYFUNCTION("""COMPUTED_VALUE"""),1024783.0)</f>
        <v>1024783</v>
      </c>
      <c r="H1653" s="27">
        <f>IFERROR(__xludf.DUMMYFUNCTION("""COMPUTED_VALUE"""),40798.645833333336)</f>
        <v>40798.64583</v>
      </c>
      <c r="I1653" s="25">
        <f>IFERROR(__xludf.DUMMYFUNCTION("""COMPUTED_VALUE"""),500.0)</f>
        <v>500</v>
      </c>
      <c r="J1653" s="25">
        <f>IFERROR(__xludf.DUMMYFUNCTION("""COMPUTED_VALUE"""),501.93)</f>
        <v>501.93</v>
      </c>
      <c r="K1653" s="25">
        <f>IFERROR(__xludf.DUMMYFUNCTION("""COMPUTED_VALUE"""),489.33)</f>
        <v>489.33</v>
      </c>
      <c r="L1653" s="25">
        <f>IFERROR(__xludf.DUMMYFUNCTION("""COMPUTED_VALUE"""),492.85)</f>
        <v>492.85</v>
      </c>
      <c r="M1653" s="25">
        <f>IFERROR(__xludf.DUMMYFUNCTION("""COMPUTED_VALUE"""),1648585.0)</f>
        <v>1648585</v>
      </c>
    </row>
    <row r="1654">
      <c r="A1654" s="26">
        <f>IFERROR(__xludf.DUMMYFUNCTION("""COMPUTED_VALUE"""),40799.645833333336)</f>
        <v>40799.64583</v>
      </c>
      <c r="B1654" s="9">
        <f>IFERROR(__xludf.DUMMYFUNCTION("""COMPUTED_VALUE"""),277.89)</f>
        <v>277.89</v>
      </c>
      <c r="C1654" s="9">
        <f>IFERROR(__xludf.DUMMYFUNCTION("""COMPUTED_VALUE"""),282.46)</f>
        <v>282.46</v>
      </c>
      <c r="D1654" s="9">
        <f>IFERROR(__xludf.DUMMYFUNCTION("""COMPUTED_VALUE"""),274.47)</f>
        <v>274.47</v>
      </c>
      <c r="E1654" s="9">
        <f>IFERROR(__xludf.DUMMYFUNCTION("""COMPUTED_VALUE"""),277.76)</f>
        <v>277.76</v>
      </c>
      <c r="F1654" s="9">
        <f>IFERROR(__xludf.DUMMYFUNCTION("""COMPUTED_VALUE"""),1295652.0)</f>
        <v>1295652</v>
      </c>
      <c r="H1654" s="27">
        <f>IFERROR(__xludf.DUMMYFUNCTION("""COMPUTED_VALUE"""),40799.645833333336)</f>
        <v>40799.64583</v>
      </c>
      <c r="I1654" s="25">
        <f>IFERROR(__xludf.DUMMYFUNCTION("""COMPUTED_VALUE"""),498.9)</f>
        <v>498.9</v>
      </c>
      <c r="J1654" s="25">
        <f>IFERROR(__xludf.DUMMYFUNCTION("""COMPUTED_VALUE"""),512.0)</f>
        <v>512</v>
      </c>
      <c r="K1654" s="25">
        <f>IFERROR(__xludf.DUMMYFUNCTION("""COMPUTED_VALUE"""),494.38)</f>
        <v>494.38</v>
      </c>
      <c r="L1654" s="25">
        <f>IFERROR(__xludf.DUMMYFUNCTION("""COMPUTED_VALUE"""),496.88)</f>
        <v>496.88</v>
      </c>
      <c r="M1654" s="25">
        <f>IFERROR(__xludf.DUMMYFUNCTION("""COMPUTED_VALUE"""),1899102.0)</f>
        <v>1899102</v>
      </c>
    </row>
    <row r="1655">
      <c r="A1655" s="26">
        <f>IFERROR(__xludf.DUMMYFUNCTION("""COMPUTED_VALUE"""),40800.645833333336)</f>
        <v>40800.64583</v>
      </c>
      <c r="B1655" s="9">
        <f>IFERROR(__xludf.DUMMYFUNCTION("""COMPUTED_VALUE"""),281.38)</f>
        <v>281.38</v>
      </c>
      <c r="C1655" s="9">
        <f>IFERROR(__xludf.DUMMYFUNCTION("""COMPUTED_VALUE"""),295.86)</f>
        <v>295.86</v>
      </c>
      <c r="D1655" s="9">
        <f>IFERROR(__xludf.DUMMYFUNCTION("""COMPUTED_VALUE"""),281.13)</f>
        <v>281.13</v>
      </c>
      <c r="E1655" s="9">
        <f>IFERROR(__xludf.DUMMYFUNCTION("""COMPUTED_VALUE"""),293.96)</f>
        <v>293.96</v>
      </c>
      <c r="F1655" s="9">
        <f>IFERROR(__xludf.DUMMYFUNCTION("""COMPUTED_VALUE"""),2154610.0)</f>
        <v>2154610</v>
      </c>
      <c r="H1655" s="27">
        <f>IFERROR(__xludf.DUMMYFUNCTION("""COMPUTED_VALUE"""),40800.645833333336)</f>
        <v>40800.64583</v>
      </c>
      <c r="I1655" s="25">
        <f>IFERROR(__xludf.DUMMYFUNCTION("""COMPUTED_VALUE"""),500.5)</f>
        <v>500.5</v>
      </c>
      <c r="J1655" s="25">
        <f>IFERROR(__xludf.DUMMYFUNCTION("""COMPUTED_VALUE"""),514.5)</f>
        <v>514.5</v>
      </c>
      <c r="K1655" s="25">
        <f>IFERROR(__xludf.DUMMYFUNCTION("""COMPUTED_VALUE"""),496.88)</f>
        <v>496.88</v>
      </c>
      <c r="L1655" s="25">
        <f>IFERROR(__xludf.DUMMYFUNCTION("""COMPUTED_VALUE"""),507.55)</f>
        <v>507.55</v>
      </c>
      <c r="M1655" s="25">
        <f>IFERROR(__xludf.DUMMYFUNCTION("""COMPUTED_VALUE"""),2372816.0)</f>
        <v>2372816</v>
      </c>
    </row>
    <row r="1656">
      <c r="A1656" s="26">
        <f>IFERROR(__xludf.DUMMYFUNCTION("""COMPUTED_VALUE"""),40801.645833333336)</f>
        <v>40801.64583</v>
      </c>
      <c r="B1656" s="9">
        <f>IFERROR(__xludf.DUMMYFUNCTION("""COMPUTED_VALUE"""),297.25)</f>
        <v>297.25</v>
      </c>
      <c r="C1656" s="9">
        <f>IFERROR(__xludf.DUMMYFUNCTION("""COMPUTED_VALUE"""),303.56)</f>
        <v>303.56</v>
      </c>
      <c r="D1656" s="9">
        <f>IFERROR(__xludf.DUMMYFUNCTION("""COMPUTED_VALUE"""),291.25)</f>
        <v>291.25</v>
      </c>
      <c r="E1656" s="9">
        <f>IFERROR(__xludf.DUMMYFUNCTION("""COMPUTED_VALUE"""),301.24)</f>
        <v>301.24</v>
      </c>
      <c r="F1656" s="9">
        <f>IFERROR(__xludf.DUMMYFUNCTION("""COMPUTED_VALUE"""),1712932.0)</f>
        <v>1712932</v>
      </c>
      <c r="H1656" s="27">
        <f>IFERROR(__xludf.DUMMYFUNCTION("""COMPUTED_VALUE"""),40801.645833333336)</f>
        <v>40801.64583</v>
      </c>
      <c r="I1656" s="25">
        <f>IFERROR(__xludf.DUMMYFUNCTION("""COMPUTED_VALUE"""),514.0)</f>
        <v>514</v>
      </c>
      <c r="J1656" s="25">
        <f>IFERROR(__xludf.DUMMYFUNCTION("""COMPUTED_VALUE"""),522.9)</f>
        <v>522.9</v>
      </c>
      <c r="K1656" s="25">
        <f>IFERROR(__xludf.DUMMYFUNCTION("""COMPUTED_VALUE"""),505.0)</f>
        <v>505</v>
      </c>
      <c r="L1656" s="25">
        <f>IFERROR(__xludf.DUMMYFUNCTION("""COMPUTED_VALUE"""),520.88)</f>
        <v>520.88</v>
      </c>
      <c r="M1656" s="25">
        <f>IFERROR(__xludf.DUMMYFUNCTION("""COMPUTED_VALUE"""),1926119.0)</f>
        <v>1926119</v>
      </c>
    </row>
    <row r="1657">
      <c r="A1657" s="26">
        <f>IFERROR(__xludf.DUMMYFUNCTION("""COMPUTED_VALUE"""),40802.645833333336)</f>
        <v>40802.64583</v>
      </c>
      <c r="B1657" s="9">
        <f>IFERROR(__xludf.DUMMYFUNCTION("""COMPUTED_VALUE"""),307.24)</f>
        <v>307.24</v>
      </c>
      <c r="C1657" s="9">
        <f>IFERROR(__xludf.DUMMYFUNCTION("""COMPUTED_VALUE"""),307.24)</f>
        <v>307.24</v>
      </c>
      <c r="D1657" s="9">
        <f>IFERROR(__xludf.DUMMYFUNCTION("""COMPUTED_VALUE"""),296.7)</f>
        <v>296.7</v>
      </c>
      <c r="E1657" s="9">
        <f>IFERROR(__xludf.DUMMYFUNCTION("""COMPUTED_VALUE"""),299.39)</f>
        <v>299.39</v>
      </c>
      <c r="F1657" s="9">
        <f>IFERROR(__xludf.DUMMYFUNCTION("""COMPUTED_VALUE"""),1413013.0)</f>
        <v>1413013</v>
      </c>
      <c r="H1657" s="27">
        <f>IFERROR(__xludf.DUMMYFUNCTION("""COMPUTED_VALUE"""),40802.645833333336)</f>
        <v>40802.64583</v>
      </c>
      <c r="I1657" s="25">
        <f>IFERROR(__xludf.DUMMYFUNCTION("""COMPUTED_VALUE"""),524.0)</f>
        <v>524</v>
      </c>
      <c r="J1657" s="25">
        <f>IFERROR(__xludf.DUMMYFUNCTION("""COMPUTED_VALUE"""),536.2)</f>
        <v>536.2</v>
      </c>
      <c r="K1657" s="25">
        <f>IFERROR(__xludf.DUMMYFUNCTION("""COMPUTED_VALUE"""),510.65)</f>
        <v>510.65</v>
      </c>
      <c r="L1657" s="25">
        <f>IFERROR(__xludf.DUMMYFUNCTION("""COMPUTED_VALUE"""),513.88)</f>
        <v>513.88</v>
      </c>
      <c r="M1657" s="25">
        <f>IFERROR(__xludf.DUMMYFUNCTION("""COMPUTED_VALUE"""),2328252.0)</f>
        <v>2328252</v>
      </c>
    </row>
    <row r="1658">
      <c r="A1658" s="26">
        <f>IFERROR(__xludf.DUMMYFUNCTION("""COMPUTED_VALUE"""),40805.645833333336)</f>
        <v>40805.64583</v>
      </c>
      <c r="B1658" s="9">
        <f>IFERROR(__xludf.DUMMYFUNCTION("""COMPUTED_VALUE"""),299.88)</f>
        <v>299.88</v>
      </c>
      <c r="C1658" s="9">
        <f>IFERROR(__xludf.DUMMYFUNCTION("""COMPUTED_VALUE"""),301.45)</f>
        <v>301.45</v>
      </c>
      <c r="D1658" s="9">
        <f>IFERROR(__xludf.DUMMYFUNCTION("""COMPUTED_VALUE"""),294.51)</f>
        <v>294.51</v>
      </c>
      <c r="E1658" s="9">
        <f>IFERROR(__xludf.DUMMYFUNCTION("""COMPUTED_VALUE"""),295.33)</f>
        <v>295.33</v>
      </c>
      <c r="F1658" s="9">
        <f>IFERROR(__xludf.DUMMYFUNCTION("""COMPUTED_VALUE"""),819804.0)</f>
        <v>819804</v>
      </c>
      <c r="H1658" s="27">
        <f>IFERROR(__xludf.DUMMYFUNCTION("""COMPUTED_VALUE"""),40805.645833333336)</f>
        <v>40805.64583</v>
      </c>
      <c r="I1658" s="25">
        <f>IFERROR(__xludf.DUMMYFUNCTION("""COMPUTED_VALUE"""),510.75)</f>
        <v>510.75</v>
      </c>
      <c r="J1658" s="25">
        <f>IFERROR(__xludf.DUMMYFUNCTION("""COMPUTED_VALUE"""),516.25)</f>
        <v>516.25</v>
      </c>
      <c r="K1658" s="25">
        <f>IFERROR(__xludf.DUMMYFUNCTION("""COMPUTED_VALUE"""),506.25)</f>
        <v>506.25</v>
      </c>
      <c r="L1658" s="25">
        <f>IFERROR(__xludf.DUMMYFUNCTION("""COMPUTED_VALUE"""),509.03)</f>
        <v>509.03</v>
      </c>
      <c r="M1658" s="25">
        <f>IFERROR(__xludf.DUMMYFUNCTION("""COMPUTED_VALUE"""),1120117.0)</f>
        <v>1120117</v>
      </c>
    </row>
    <row r="1659">
      <c r="A1659" s="26">
        <f>IFERROR(__xludf.DUMMYFUNCTION("""COMPUTED_VALUE"""),40806.645833333336)</f>
        <v>40806.64583</v>
      </c>
      <c r="B1659" s="9">
        <f>IFERROR(__xludf.DUMMYFUNCTION("""COMPUTED_VALUE"""),297.13)</f>
        <v>297.13</v>
      </c>
      <c r="C1659" s="9">
        <f>IFERROR(__xludf.DUMMYFUNCTION("""COMPUTED_VALUE"""),305.0)</f>
        <v>305</v>
      </c>
      <c r="D1659" s="9">
        <f>IFERROR(__xludf.DUMMYFUNCTION("""COMPUTED_VALUE"""),296.89)</f>
        <v>296.89</v>
      </c>
      <c r="E1659" s="9">
        <f>IFERROR(__xludf.DUMMYFUNCTION("""COMPUTED_VALUE"""),304.57)</f>
        <v>304.57</v>
      </c>
      <c r="F1659" s="9">
        <f>IFERROR(__xludf.DUMMYFUNCTION("""COMPUTED_VALUE"""),1126113.0)</f>
        <v>1126113</v>
      </c>
      <c r="H1659" s="27">
        <f>IFERROR(__xludf.DUMMYFUNCTION("""COMPUTED_VALUE"""),40806.645833333336)</f>
        <v>40806.64583</v>
      </c>
      <c r="I1659" s="25">
        <f>IFERROR(__xludf.DUMMYFUNCTION("""COMPUTED_VALUE"""),511.05)</f>
        <v>511.05</v>
      </c>
      <c r="J1659" s="25">
        <f>IFERROR(__xludf.DUMMYFUNCTION("""COMPUTED_VALUE"""),532.0)</f>
        <v>532</v>
      </c>
      <c r="K1659" s="25">
        <f>IFERROR(__xludf.DUMMYFUNCTION("""COMPUTED_VALUE"""),511.05)</f>
        <v>511.05</v>
      </c>
      <c r="L1659" s="25">
        <f>IFERROR(__xludf.DUMMYFUNCTION("""COMPUTED_VALUE"""),528.98)</f>
        <v>528.98</v>
      </c>
      <c r="M1659" s="25">
        <f>IFERROR(__xludf.DUMMYFUNCTION("""COMPUTED_VALUE"""),1743993.0)</f>
        <v>1743993</v>
      </c>
    </row>
    <row r="1660">
      <c r="A1660" s="26">
        <f>IFERROR(__xludf.DUMMYFUNCTION("""COMPUTED_VALUE"""),40807.645833333336)</f>
        <v>40807.64583</v>
      </c>
      <c r="B1660" s="9">
        <f>IFERROR(__xludf.DUMMYFUNCTION("""COMPUTED_VALUE"""),305.0)</f>
        <v>305</v>
      </c>
      <c r="C1660" s="9">
        <f>IFERROR(__xludf.DUMMYFUNCTION("""COMPUTED_VALUE"""),306.86)</f>
        <v>306.86</v>
      </c>
      <c r="D1660" s="9">
        <f>IFERROR(__xludf.DUMMYFUNCTION("""COMPUTED_VALUE"""),302.5)</f>
        <v>302.5</v>
      </c>
      <c r="E1660" s="9">
        <f>IFERROR(__xludf.DUMMYFUNCTION("""COMPUTED_VALUE"""),304.46)</f>
        <v>304.46</v>
      </c>
      <c r="F1660" s="9">
        <f>IFERROR(__xludf.DUMMYFUNCTION("""COMPUTED_VALUE"""),925310.0)</f>
        <v>925310</v>
      </c>
      <c r="H1660" s="27">
        <f>IFERROR(__xludf.DUMMYFUNCTION("""COMPUTED_VALUE"""),40807.645833333336)</f>
        <v>40807.64583</v>
      </c>
      <c r="I1660" s="25">
        <f>IFERROR(__xludf.DUMMYFUNCTION("""COMPUTED_VALUE"""),533.98)</f>
        <v>533.98</v>
      </c>
      <c r="J1660" s="25">
        <f>IFERROR(__xludf.DUMMYFUNCTION("""COMPUTED_VALUE"""),533.98)</f>
        <v>533.98</v>
      </c>
      <c r="K1660" s="25">
        <f>IFERROR(__xludf.DUMMYFUNCTION("""COMPUTED_VALUE"""),518.45)</f>
        <v>518.45</v>
      </c>
      <c r="L1660" s="25">
        <f>IFERROR(__xludf.DUMMYFUNCTION("""COMPUTED_VALUE"""),521.75)</f>
        <v>521.75</v>
      </c>
      <c r="M1660" s="25">
        <f>IFERROR(__xludf.DUMMYFUNCTION("""COMPUTED_VALUE"""),1370380.0)</f>
        <v>1370380</v>
      </c>
    </row>
    <row r="1661">
      <c r="A1661" s="26">
        <f>IFERROR(__xludf.DUMMYFUNCTION("""COMPUTED_VALUE"""),40808.645833333336)</f>
        <v>40808.64583</v>
      </c>
      <c r="B1661" s="9">
        <f>IFERROR(__xludf.DUMMYFUNCTION("""COMPUTED_VALUE"""),298.0)</f>
        <v>298</v>
      </c>
      <c r="C1661" s="9">
        <f>IFERROR(__xludf.DUMMYFUNCTION("""COMPUTED_VALUE"""),301.48)</f>
        <v>301.48</v>
      </c>
      <c r="D1661" s="9">
        <f>IFERROR(__xludf.DUMMYFUNCTION("""COMPUTED_VALUE"""),292.08)</f>
        <v>292.08</v>
      </c>
      <c r="E1661" s="9">
        <f>IFERROR(__xludf.DUMMYFUNCTION("""COMPUTED_VALUE"""),294.08)</f>
        <v>294.08</v>
      </c>
      <c r="F1661" s="9">
        <f>IFERROR(__xludf.DUMMYFUNCTION("""COMPUTED_VALUE"""),1129732.0)</f>
        <v>1129732</v>
      </c>
      <c r="H1661" s="27">
        <f>IFERROR(__xludf.DUMMYFUNCTION("""COMPUTED_VALUE"""),40808.645833333336)</f>
        <v>40808.64583</v>
      </c>
      <c r="I1661" s="25">
        <f>IFERROR(__xludf.DUMMYFUNCTION("""COMPUTED_VALUE"""),511.5)</f>
        <v>511.5</v>
      </c>
      <c r="J1661" s="25">
        <f>IFERROR(__xludf.DUMMYFUNCTION("""COMPUTED_VALUE"""),517.0)</f>
        <v>517</v>
      </c>
      <c r="K1661" s="25">
        <f>IFERROR(__xludf.DUMMYFUNCTION("""COMPUTED_VALUE"""),493.1)</f>
        <v>493.1</v>
      </c>
      <c r="L1661" s="25">
        <f>IFERROR(__xludf.DUMMYFUNCTION("""COMPUTED_VALUE"""),497.2)</f>
        <v>497.2</v>
      </c>
      <c r="M1661" s="25">
        <f>IFERROR(__xludf.DUMMYFUNCTION("""COMPUTED_VALUE"""),1570785.0)</f>
        <v>1570785</v>
      </c>
    </row>
    <row r="1662">
      <c r="A1662" s="26">
        <f>IFERROR(__xludf.DUMMYFUNCTION("""COMPUTED_VALUE"""),40809.645833333336)</f>
        <v>40809.64583</v>
      </c>
      <c r="B1662" s="9">
        <f>IFERROR(__xludf.DUMMYFUNCTION("""COMPUTED_VALUE"""),291.0)</f>
        <v>291</v>
      </c>
      <c r="C1662" s="9">
        <f>IFERROR(__xludf.DUMMYFUNCTION("""COMPUTED_VALUE"""),298.73)</f>
        <v>298.73</v>
      </c>
      <c r="D1662" s="9">
        <f>IFERROR(__xludf.DUMMYFUNCTION("""COMPUTED_VALUE"""),290.13)</f>
        <v>290.13</v>
      </c>
      <c r="E1662" s="9">
        <f>IFERROR(__xludf.DUMMYFUNCTION("""COMPUTED_VALUE"""),292.35)</f>
        <v>292.35</v>
      </c>
      <c r="F1662" s="9">
        <f>IFERROR(__xludf.DUMMYFUNCTION("""COMPUTED_VALUE"""),1306054.0)</f>
        <v>1306054</v>
      </c>
      <c r="H1662" s="27">
        <f>IFERROR(__xludf.DUMMYFUNCTION("""COMPUTED_VALUE"""),40809.645833333336)</f>
        <v>40809.64583</v>
      </c>
      <c r="I1662" s="25">
        <f>IFERROR(__xludf.DUMMYFUNCTION("""COMPUTED_VALUE"""),494.0)</f>
        <v>494</v>
      </c>
      <c r="J1662" s="25">
        <f>IFERROR(__xludf.DUMMYFUNCTION("""COMPUTED_VALUE"""),507.5)</f>
        <v>507.5</v>
      </c>
      <c r="K1662" s="25">
        <f>IFERROR(__xludf.DUMMYFUNCTION("""COMPUTED_VALUE"""),491.13)</f>
        <v>491.13</v>
      </c>
      <c r="L1662" s="25">
        <f>IFERROR(__xludf.DUMMYFUNCTION("""COMPUTED_VALUE"""),495.15)</f>
        <v>495.15</v>
      </c>
      <c r="M1662" s="25">
        <f>IFERROR(__xludf.DUMMYFUNCTION("""COMPUTED_VALUE"""),2282116.0)</f>
        <v>2282116</v>
      </c>
    </row>
    <row r="1663">
      <c r="A1663" s="26">
        <f>IFERROR(__xludf.DUMMYFUNCTION("""COMPUTED_VALUE"""),40812.645833333336)</f>
        <v>40812.64583</v>
      </c>
      <c r="B1663" s="9">
        <f>IFERROR(__xludf.DUMMYFUNCTION("""COMPUTED_VALUE"""),293.13)</f>
        <v>293.13</v>
      </c>
      <c r="C1663" s="9">
        <f>IFERROR(__xludf.DUMMYFUNCTION("""COMPUTED_VALUE"""),295.63)</f>
        <v>295.63</v>
      </c>
      <c r="D1663" s="9">
        <f>IFERROR(__xludf.DUMMYFUNCTION("""COMPUTED_VALUE"""),287.64)</f>
        <v>287.64</v>
      </c>
      <c r="E1663" s="9">
        <f>IFERROR(__xludf.DUMMYFUNCTION("""COMPUTED_VALUE"""),294.38)</f>
        <v>294.38</v>
      </c>
      <c r="F1663" s="9">
        <f>IFERROR(__xludf.DUMMYFUNCTION("""COMPUTED_VALUE"""),818036.0)</f>
        <v>818036</v>
      </c>
      <c r="H1663" s="27">
        <f>IFERROR(__xludf.DUMMYFUNCTION("""COMPUTED_VALUE"""),40812.645833333336)</f>
        <v>40812.64583</v>
      </c>
      <c r="I1663" s="25">
        <f>IFERROR(__xludf.DUMMYFUNCTION("""COMPUTED_VALUE"""),498.0)</f>
        <v>498</v>
      </c>
      <c r="J1663" s="25">
        <f>IFERROR(__xludf.DUMMYFUNCTION("""COMPUTED_VALUE"""),504.0)</f>
        <v>504</v>
      </c>
      <c r="K1663" s="25">
        <f>IFERROR(__xludf.DUMMYFUNCTION("""COMPUTED_VALUE"""),484.5)</f>
        <v>484.5</v>
      </c>
      <c r="L1663" s="25">
        <f>IFERROR(__xludf.DUMMYFUNCTION("""COMPUTED_VALUE"""),498.48)</f>
        <v>498.48</v>
      </c>
      <c r="M1663" s="25">
        <f>IFERROR(__xludf.DUMMYFUNCTION("""COMPUTED_VALUE"""),1694239.0)</f>
        <v>1694239</v>
      </c>
    </row>
    <row r="1664">
      <c r="A1664" s="26">
        <f>IFERROR(__xludf.DUMMYFUNCTION("""COMPUTED_VALUE"""),40813.645833333336)</f>
        <v>40813.64583</v>
      </c>
      <c r="B1664" s="9">
        <f>IFERROR(__xludf.DUMMYFUNCTION("""COMPUTED_VALUE"""),297.15)</f>
        <v>297.15</v>
      </c>
      <c r="C1664" s="9">
        <f>IFERROR(__xludf.DUMMYFUNCTION("""COMPUTED_VALUE"""),308.58)</f>
        <v>308.58</v>
      </c>
      <c r="D1664" s="9">
        <f>IFERROR(__xludf.DUMMYFUNCTION("""COMPUTED_VALUE"""),297.15)</f>
        <v>297.15</v>
      </c>
      <c r="E1664" s="9">
        <f>IFERROR(__xludf.DUMMYFUNCTION("""COMPUTED_VALUE"""),305.52)</f>
        <v>305.52</v>
      </c>
      <c r="F1664" s="9">
        <f>IFERROR(__xludf.DUMMYFUNCTION("""COMPUTED_VALUE"""),1292628.0)</f>
        <v>1292628</v>
      </c>
      <c r="H1664" s="27">
        <f>IFERROR(__xludf.DUMMYFUNCTION("""COMPUTED_VALUE"""),40813.645833333336)</f>
        <v>40813.64583</v>
      </c>
      <c r="I1664" s="25">
        <f>IFERROR(__xludf.DUMMYFUNCTION("""COMPUTED_VALUE"""),506.9)</f>
        <v>506.9</v>
      </c>
      <c r="J1664" s="25">
        <f>IFERROR(__xludf.DUMMYFUNCTION("""COMPUTED_VALUE"""),522.5)</f>
        <v>522.5</v>
      </c>
      <c r="K1664" s="25">
        <f>IFERROR(__xludf.DUMMYFUNCTION("""COMPUTED_VALUE"""),503.0)</f>
        <v>503</v>
      </c>
      <c r="L1664" s="25">
        <f>IFERROR(__xludf.DUMMYFUNCTION("""COMPUTED_VALUE"""),520.28)</f>
        <v>520.28</v>
      </c>
      <c r="M1664" s="25">
        <f>IFERROR(__xludf.DUMMYFUNCTION("""COMPUTED_VALUE"""),1982289.0)</f>
        <v>1982289</v>
      </c>
    </row>
    <row r="1665">
      <c r="A1665" s="26">
        <f>IFERROR(__xludf.DUMMYFUNCTION("""COMPUTED_VALUE"""),40814.645833333336)</f>
        <v>40814.64583</v>
      </c>
      <c r="B1665" s="9">
        <f>IFERROR(__xludf.DUMMYFUNCTION("""COMPUTED_VALUE"""),310.0)</f>
        <v>310</v>
      </c>
      <c r="C1665" s="9">
        <f>IFERROR(__xludf.DUMMYFUNCTION("""COMPUTED_VALUE"""),317.5)</f>
        <v>317.5</v>
      </c>
      <c r="D1665" s="9">
        <f>IFERROR(__xludf.DUMMYFUNCTION("""COMPUTED_VALUE"""),306.56)</f>
        <v>306.56</v>
      </c>
      <c r="E1665" s="9">
        <f>IFERROR(__xludf.DUMMYFUNCTION("""COMPUTED_VALUE"""),308.78)</f>
        <v>308.78</v>
      </c>
      <c r="F1665" s="9">
        <f>IFERROR(__xludf.DUMMYFUNCTION("""COMPUTED_VALUE"""),2507720.0)</f>
        <v>2507720</v>
      </c>
      <c r="H1665" s="27">
        <f>IFERROR(__xludf.DUMMYFUNCTION("""COMPUTED_VALUE"""),40814.645833333336)</f>
        <v>40814.64583</v>
      </c>
      <c r="I1665" s="25">
        <f>IFERROR(__xludf.DUMMYFUNCTION("""COMPUTED_VALUE"""),524.25)</f>
        <v>524.25</v>
      </c>
      <c r="J1665" s="25">
        <f>IFERROR(__xludf.DUMMYFUNCTION("""COMPUTED_VALUE"""),532.35)</f>
        <v>532.35</v>
      </c>
      <c r="K1665" s="25">
        <f>IFERROR(__xludf.DUMMYFUNCTION("""COMPUTED_VALUE"""),518.5)</f>
        <v>518.5</v>
      </c>
      <c r="L1665" s="25">
        <f>IFERROR(__xludf.DUMMYFUNCTION("""COMPUTED_VALUE"""),523.95)</f>
        <v>523.95</v>
      </c>
      <c r="M1665" s="25">
        <f>IFERROR(__xludf.DUMMYFUNCTION("""COMPUTED_VALUE"""),2212595.0)</f>
        <v>2212595</v>
      </c>
    </row>
    <row r="1666">
      <c r="A1666" s="26">
        <f>IFERROR(__xludf.DUMMYFUNCTION("""COMPUTED_VALUE"""),40815.645833333336)</f>
        <v>40815.64583</v>
      </c>
      <c r="B1666" s="9">
        <f>IFERROR(__xludf.DUMMYFUNCTION("""COMPUTED_VALUE"""),310.25)</f>
        <v>310.25</v>
      </c>
      <c r="C1666" s="9">
        <f>IFERROR(__xludf.DUMMYFUNCTION("""COMPUTED_VALUE"""),321.24)</f>
        <v>321.24</v>
      </c>
      <c r="D1666" s="9">
        <f>IFERROR(__xludf.DUMMYFUNCTION("""COMPUTED_VALUE"""),308.91)</f>
        <v>308.91</v>
      </c>
      <c r="E1666" s="9">
        <f>IFERROR(__xludf.DUMMYFUNCTION("""COMPUTED_VALUE"""),318.89)</f>
        <v>318.89</v>
      </c>
      <c r="F1666" s="9">
        <f>IFERROR(__xludf.DUMMYFUNCTION("""COMPUTED_VALUE"""),2907043.0)</f>
        <v>2907043</v>
      </c>
      <c r="H1666" s="27">
        <f>IFERROR(__xludf.DUMMYFUNCTION("""COMPUTED_VALUE"""),40815.645833333336)</f>
        <v>40815.64583</v>
      </c>
      <c r="I1666" s="25">
        <f>IFERROR(__xludf.DUMMYFUNCTION("""COMPUTED_VALUE"""),521.63)</f>
        <v>521.63</v>
      </c>
      <c r="J1666" s="25">
        <f>IFERROR(__xludf.DUMMYFUNCTION("""COMPUTED_VALUE"""),534.0)</f>
        <v>534</v>
      </c>
      <c r="K1666" s="25">
        <f>IFERROR(__xludf.DUMMYFUNCTION("""COMPUTED_VALUE"""),517.85)</f>
        <v>517.85</v>
      </c>
      <c r="L1666" s="25">
        <f>IFERROR(__xludf.DUMMYFUNCTION("""COMPUTED_VALUE"""),530.73)</f>
        <v>530.73</v>
      </c>
      <c r="M1666" s="25">
        <f>IFERROR(__xludf.DUMMYFUNCTION("""COMPUTED_VALUE"""),2690175.0)</f>
        <v>2690175</v>
      </c>
    </row>
    <row r="1667">
      <c r="A1667" s="26">
        <f>IFERROR(__xludf.DUMMYFUNCTION("""COMPUTED_VALUE"""),40816.645833333336)</f>
        <v>40816.64583</v>
      </c>
      <c r="B1667" s="9">
        <f>IFERROR(__xludf.DUMMYFUNCTION("""COMPUTED_VALUE"""),316.49)</f>
        <v>316.49</v>
      </c>
      <c r="C1667" s="9">
        <f>IFERROR(__xludf.DUMMYFUNCTION("""COMPUTED_VALUE"""),320.5)</f>
        <v>320.5</v>
      </c>
      <c r="D1667" s="9">
        <f>IFERROR(__xludf.DUMMYFUNCTION("""COMPUTED_VALUE"""),313.52)</f>
        <v>313.52</v>
      </c>
      <c r="E1667" s="9">
        <f>IFERROR(__xludf.DUMMYFUNCTION("""COMPUTED_VALUE"""),316.63)</f>
        <v>316.63</v>
      </c>
      <c r="F1667" s="9">
        <f>IFERROR(__xludf.DUMMYFUNCTION("""COMPUTED_VALUE"""),1341332.0)</f>
        <v>1341332</v>
      </c>
      <c r="H1667" s="27">
        <f>IFERROR(__xludf.DUMMYFUNCTION("""COMPUTED_VALUE"""),40816.645833333336)</f>
        <v>40816.64583</v>
      </c>
      <c r="I1667" s="25">
        <f>IFERROR(__xludf.DUMMYFUNCTION("""COMPUTED_VALUE"""),524.95)</f>
        <v>524.95</v>
      </c>
      <c r="J1667" s="25">
        <f>IFERROR(__xludf.DUMMYFUNCTION("""COMPUTED_VALUE"""),532.0)</f>
        <v>532</v>
      </c>
      <c r="K1667" s="25">
        <f>IFERROR(__xludf.DUMMYFUNCTION("""COMPUTED_VALUE"""),516.55)</f>
        <v>516.55</v>
      </c>
      <c r="L1667" s="25">
        <f>IFERROR(__xludf.DUMMYFUNCTION("""COMPUTED_VALUE"""),518.65)</f>
        <v>518.65</v>
      </c>
      <c r="M1667" s="25">
        <f>IFERROR(__xludf.DUMMYFUNCTION("""COMPUTED_VALUE"""),1345509.0)</f>
        <v>1345509</v>
      </c>
    </row>
    <row r="1668">
      <c r="A1668" s="26">
        <f>IFERROR(__xludf.DUMMYFUNCTION("""COMPUTED_VALUE"""),40819.645833333336)</f>
        <v>40819.64583</v>
      </c>
      <c r="B1668" s="9">
        <f>IFERROR(__xludf.DUMMYFUNCTION("""COMPUTED_VALUE"""),311.25)</f>
        <v>311.25</v>
      </c>
      <c r="C1668" s="9">
        <f>IFERROR(__xludf.DUMMYFUNCTION("""COMPUTED_VALUE"""),314.75)</f>
        <v>314.75</v>
      </c>
      <c r="D1668" s="9">
        <f>IFERROR(__xludf.DUMMYFUNCTION("""COMPUTED_VALUE"""),308.46)</f>
        <v>308.46</v>
      </c>
      <c r="E1668" s="9">
        <f>IFERROR(__xludf.DUMMYFUNCTION("""COMPUTED_VALUE"""),309.49)</f>
        <v>309.49</v>
      </c>
      <c r="F1668" s="9">
        <f>IFERROR(__xludf.DUMMYFUNCTION("""COMPUTED_VALUE"""),1235641.0)</f>
        <v>1235641</v>
      </c>
      <c r="H1668" s="27">
        <f>IFERROR(__xludf.DUMMYFUNCTION("""COMPUTED_VALUE"""),40819.645833333336)</f>
        <v>40819.64583</v>
      </c>
      <c r="I1668" s="25">
        <f>IFERROR(__xludf.DUMMYFUNCTION("""COMPUTED_VALUE"""),510.0)</f>
        <v>510</v>
      </c>
      <c r="J1668" s="25">
        <f>IFERROR(__xludf.DUMMYFUNCTION("""COMPUTED_VALUE"""),524.95)</f>
        <v>524.95</v>
      </c>
      <c r="K1668" s="25">
        <f>IFERROR(__xludf.DUMMYFUNCTION("""COMPUTED_VALUE"""),507.65)</f>
        <v>507.65</v>
      </c>
      <c r="L1668" s="25">
        <f>IFERROR(__xludf.DUMMYFUNCTION("""COMPUTED_VALUE"""),521.65)</f>
        <v>521.65</v>
      </c>
      <c r="M1668" s="25">
        <f>IFERROR(__xludf.DUMMYFUNCTION("""COMPUTED_VALUE"""),1974632.0)</f>
        <v>1974632</v>
      </c>
    </row>
    <row r="1669">
      <c r="A1669" s="26">
        <f>IFERROR(__xludf.DUMMYFUNCTION("""COMPUTED_VALUE"""),40820.645833333336)</f>
        <v>40820.64583</v>
      </c>
      <c r="B1669" s="9">
        <f>IFERROR(__xludf.DUMMYFUNCTION("""COMPUTED_VALUE"""),306.52)</f>
        <v>306.52</v>
      </c>
      <c r="C1669" s="9">
        <f>IFERROR(__xludf.DUMMYFUNCTION("""COMPUTED_VALUE"""),310.22)</f>
        <v>310.22</v>
      </c>
      <c r="D1669" s="9">
        <f>IFERROR(__xludf.DUMMYFUNCTION("""COMPUTED_VALUE"""),301.7)</f>
        <v>301.7</v>
      </c>
      <c r="E1669" s="9">
        <f>IFERROR(__xludf.DUMMYFUNCTION("""COMPUTED_VALUE"""),304.81)</f>
        <v>304.81</v>
      </c>
      <c r="F1669" s="9">
        <f>IFERROR(__xludf.DUMMYFUNCTION("""COMPUTED_VALUE"""),979810.0)</f>
        <v>979810</v>
      </c>
      <c r="H1669" s="27">
        <f>IFERROR(__xludf.DUMMYFUNCTION("""COMPUTED_VALUE"""),40820.645833333336)</f>
        <v>40820.64583</v>
      </c>
      <c r="I1669" s="25">
        <f>IFERROR(__xludf.DUMMYFUNCTION("""COMPUTED_VALUE"""),519.2)</f>
        <v>519.2</v>
      </c>
      <c r="J1669" s="25">
        <f>IFERROR(__xludf.DUMMYFUNCTION("""COMPUTED_VALUE"""),529.5)</f>
        <v>529.5</v>
      </c>
      <c r="K1669" s="25">
        <f>IFERROR(__xludf.DUMMYFUNCTION("""COMPUTED_VALUE"""),514.55)</f>
        <v>514.55</v>
      </c>
      <c r="L1669" s="25">
        <f>IFERROR(__xludf.DUMMYFUNCTION("""COMPUTED_VALUE"""),522.98)</f>
        <v>522.98</v>
      </c>
      <c r="M1669" s="25">
        <f>IFERROR(__xludf.DUMMYFUNCTION("""COMPUTED_VALUE"""),2359112.0)</f>
        <v>2359112</v>
      </c>
    </row>
    <row r="1670">
      <c r="A1670" s="26">
        <f>IFERROR(__xludf.DUMMYFUNCTION("""COMPUTED_VALUE"""),40821.645833333336)</f>
        <v>40821.64583</v>
      </c>
      <c r="B1670" s="9">
        <f>IFERROR(__xludf.DUMMYFUNCTION("""COMPUTED_VALUE"""),307.24)</f>
        <v>307.24</v>
      </c>
      <c r="C1670" s="9">
        <f>IFERROR(__xludf.DUMMYFUNCTION("""COMPUTED_VALUE"""),312.38)</f>
        <v>312.38</v>
      </c>
      <c r="D1670" s="9">
        <f>IFERROR(__xludf.DUMMYFUNCTION("""COMPUTED_VALUE"""),303.51)</f>
        <v>303.51</v>
      </c>
      <c r="E1670" s="9">
        <f>IFERROR(__xludf.DUMMYFUNCTION("""COMPUTED_VALUE"""),305.87)</f>
        <v>305.87</v>
      </c>
      <c r="F1670" s="9">
        <f>IFERROR(__xludf.DUMMYFUNCTION("""COMPUTED_VALUE"""),1346482.0)</f>
        <v>1346482</v>
      </c>
      <c r="H1670" s="27">
        <f>IFERROR(__xludf.DUMMYFUNCTION("""COMPUTED_VALUE"""),40821.645833333336)</f>
        <v>40821.64583</v>
      </c>
      <c r="I1670" s="25">
        <f>IFERROR(__xludf.DUMMYFUNCTION("""COMPUTED_VALUE"""),527.25)</f>
        <v>527.25</v>
      </c>
      <c r="J1670" s="25">
        <f>IFERROR(__xludf.DUMMYFUNCTION("""COMPUTED_VALUE"""),531.5)</f>
        <v>531.5</v>
      </c>
      <c r="K1670" s="25">
        <f>IFERROR(__xludf.DUMMYFUNCTION("""COMPUTED_VALUE"""),520.5)</f>
        <v>520.5</v>
      </c>
      <c r="L1670" s="25">
        <f>IFERROR(__xludf.DUMMYFUNCTION("""COMPUTED_VALUE"""),521.78)</f>
        <v>521.78</v>
      </c>
      <c r="M1670" s="25">
        <f>IFERROR(__xludf.DUMMYFUNCTION("""COMPUTED_VALUE"""),1707631.0)</f>
        <v>1707631</v>
      </c>
    </row>
    <row r="1671">
      <c r="A1671" s="26">
        <f>IFERROR(__xludf.DUMMYFUNCTION("""COMPUTED_VALUE"""),40823.645833333336)</f>
        <v>40823.64583</v>
      </c>
      <c r="B1671" s="9">
        <f>IFERROR(__xludf.DUMMYFUNCTION("""COMPUTED_VALUE"""),320.0)</f>
        <v>320</v>
      </c>
      <c r="C1671" s="9">
        <f>IFERROR(__xludf.DUMMYFUNCTION("""COMPUTED_VALUE"""),321.86)</f>
        <v>321.86</v>
      </c>
      <c r="D1671" s="9">
        <f>IFERROR(__xludf.DUMMYFUNCTION("""COMPUTED_VALUE"""),310.96)</f>
        <v>310.96</v>
      </c>
      <c r="E1671" s="9">
        <f>IFERROR(__xludf.DUMMYFUNCTION("""COMPUTED_VALUE"""),313.59)</f>
        <v>313.59</v>
      </c>
      <c r="F1671" s="9">
        <f>IFERROR(__xludf.DUMMYFUNCTION("""COMPUTED_VALUE"""),2307216.0)</f>
        <v>2307216</v>
      </c>
      <c r="H1671" s="27">
        <f>IFERROR(__xludf.DUMMYFUNCTION("""COMPUTED_VALUE"""),40823.645833333336)</f>
        <v>40823.64583</v>
      </c>
      <c r="I1671" s="25">
        <f>IFERROR(__xludf.DUMMYFUNCTION("""COMPUTED_VALUE"""),537.55)</f>
        <v>537.55</v>
      </c>
      <c r="J1671" s="25">
        <f>IFERROR(__xludf.DUMMYFUNCTION("""COMPUTED_VALUE"""),538.9)</f>
        <v>538.9</v>
      </c>
      <c r="K1671" s="25">
        <f>IFERROR(__xludf.DUMMYFUNCTION("""COMPUTED_VALUE"""),518.75)</f>
        <v>518.75</v>
      </c>
      <c r="L1671" s="25">
        <f>IFERROR(__xludf.DUMMYFUNCTION("""COMPUTED_VALUE"""),524.28)</f>
        <v>524.28</v>
      </c>
      <c r="M1671" s="25">
        <f>IFERROR(__xludf.DUMMYFUNCTION("""COMPUTED_VALUE"""),2542904.0)</f>
        <v>2542904</v>
      </c>
    </row>
    <row r="1672">
      <c r="A1672" s="26">
        <f>IFERROR(__xludf.DUMMYFUNCTION("""COMPUTED_VALUE"""),40826.645833333336)</f>
        <v>40826.64583</v>
      </c>
      <c r="B1672" s="9">
        <f>IFERROR(__xludf.DUMMYFUNCTION("""COMPUTED_VALUE"""),318.13)</f>
        <v>318.13</v>
      </c>
      <c r="C1672" s="9">
        <f>IFERROR(__xludf.DUMMYFUNCTION("""COMPUTED_VALUE"""),325.11)</f>
        <v>325.11</v>
      </c>
      <c r="D1672" s="9">
        <f>IFERROR(__xludf.DUMMYFUNCTION("""COMPUTED_VALUE"""),316.05)</f>
        <v>316.05</v>
      </c>
      <c r="E1672" s="9">
        <f>IFERROR(__xludf.DUMMYFUNCTION("""COMPUTED_VALUE"""),323.74)</f>
        <v>323.74</v>
      </c>
      <c r="F1672" s="9">
        <f>IFERROR(__xludf.DUMMYFUNCTION("""COMPUTED_VALUE"""),2118304.0)</f>
        <v>2118304</v>
      </c>
      <c r="H1672" s="27">
        <f>IFERROR(__xludf.DUMMYFUNCTION("""COMPUTED_VALUE"""),40826.645833333336)</f>
        <v>40826.64583</v>
      </c>
      <c r="I1672" s="25">
        <f>IFERROR(__xludf.DUMMYFUNCTION("""COMPUTED_VALUE"""),524.0)</f>
        <v>524</v>
      </c>
      <c r="J1672" s="25">
        <f>IFERROR(__xludf.DUMMYFUNCTION("""COMPUTED_VALUE"""),537.0)</f>
        <v>537</v>
      </c>
      <c r="K1672" s="25">
        <f>IFERROR(__xludf.DUMMYFUNCTION("""COMPUTED_VALUE"""),524.0)</f>
        <v>524</v>
      </c>
      <c r="L1672" s="25">
        <f>IFERROR(__xludf.DUMMYFUNCTION("""COMPUTED_VALUE"""),532.35)</f>
        <v>532.35</v>
      </c>
      <c r="M1672" s="25">
        <f>IFERROR(__xludf.DUMMYFUNCTION("""COMPUTED_VALUE"""),1927407.0)</f>
        <v>1927407</v>
      </c>
    </row>
    <row r="1673">
      <c r="A1673" s="26">
        <f>IFERROR(__xludf.DUMMYFUNCTION("""COMPUTED_VALUE"""),40827.645833333336)</f>
        <v>40827.64583</v>
      </c>
      <c r="B1673" s="9">
        <f>IFERROR(__xludf.DUMMYFUNCTION("""COMPUTED_VALUE"""),324.18)</f>
        <v>324.18</v>
      </c>
      <c r="C1673" s="9">
        <f>IFERROR(__xludf.DUMMYFUNCTION("""COMPUTED_VALUE"""),324.38)</f>
        <v>324.38</v>
      </c>
      <c r="D1673" s="9">
        <f>IFERROR(__xludf.DUMMYFUNCTION("""COMPUTED_VALUE"""),311.25)</f>
        <v>311.25</v>
      </c>
      <c r="E1673" s="9">
        <f>IFERROR(__xludf.DUMMYFUNCTION("""COMPUTED_VALUE"""),313.07)</f>
        <v>313.07</v>
      </c>
      <c r="F1673" s="9">
        <f>IFERROR(__xludf.DUMMYFUNCTION("""COMPUTED_VALUE"""),2792406.0)</f>
        <v>2792406</v>
      </c>
      <c r="H1673" s="27">
        <f>IFERROR(__xludf.DUMMYFUNCTION("""COMPUTED_VALUE"""),40827.645833333336)</f>
        <v>40827.64583</v>
      </c>
      <c r="I1673" s="25">
        <f>IFERROR(__xludf.DUMMYFUNCTION("""COMPUTED_VALUE"""),537.5)</f>
        <v>537.5</v>
      </c>
      <c r="J1673" s="25">
        <f>IFERROR(__xludf.DUMMYFUNCTION("""COMPUTED_VALUE"""),539.0)</f>
        <v>539</v>
      </c>
      <c r="K1673" s="25">
        <f>IFERROR(__xludf.DUMMYFUNCTION("""COMPUTED_VALUE"""),517.25)</f>
        <v>517.25</v>
      </c>
      <c r="L1673" s="25">
        <f>IFERROR(__xludf.DUMMYFUNCTION("""COMPUTED_VALUE"""),520.42)</f>
        <v>520.42</v>
      </c>
      <c r="M1673" s="25">
        <f>IFERROR(__xludf.DUMMYFUNCTION("""COMPUTED_VALUE"""),2238187.0)</f>
        <v>2238187</v>
      </c>
    </row>
    <row r="1674">
      <c r="A1674" s="26">
        <f>IFERROR(__xludf.DUMMYFUNCTION("""COMPUTED_VALUE"""),40828.645833333336)</f>
        <v>40828.64583</v>
      </c>
      <c r="B1674" s="9">
        <f>IFERROR(__xludf.DUMMYFUNCTION("""COMPUTED_VALUE"""),324.38)</f>
        <v>324.38</v>
      </c>
      <c r="C1674" s="9">
        <f>IFERROR(__xludf.DUMMYFUNCTION("""COMPUTED_VALUE"""),336.0)</f>
        <v>336</v>
      </c>
      <c r="D1674" s="9">
        <f>IFERROR(__xludf.DUMMYFUNCTION("""COMPUTED_VALUE"""),324.38)</f>
        <v>324.38</v>
      </c>
      <c r="E1674" s="9">
        <f>IFERROR(__xludf.DUMMYFUNCTION("""COMPUTED_VALUE"""),334.92)</f>
        <v>334.92</v>
      </c>
      <c r="F1674" s="9">
        <f>IFERROR(__xludf.DUMMYFUNCTION("""COMPUTED_VALUE"""),4329213.0)</f>
        <v>4329213</v>
      </c>
      <c r="H1674" s="27">
        <f>IFERROR(__xludf.DUMMYFUNCTION("""COMPUTED_VALUE"""),40828.645833333336)</f>
        <v>40828.64583</v>
      </c>
      <c r="I1674" s="25">
        <f>IFERROR(__xludf.DUMMYFUNCTION("""COMPUTED_VALUE"""),533.0)</f>
        <v>533</v>
      </c>
      <c r="J1674" s="25">
        <f>IFERROR(__xludf.DUMMYFUNCTION("""COMPUTED_VALUE"""),544.7)</f>
        <v>544.7</v>
      </c>
      <c r="K1674" s="25">
        <f>IFERROR(__xludf.DUMMYFUNCTION("""COMPUTED_VALUE"""),531.0)</f>
        <v>531</v>
      </c>
      <c r="L1674" s="25">
        <f>IFERROR(__xludf.DUMMYFUNCTION("""COMPUTED_VALUE"""),539.53)</f>
        <v>539.53</v>
      </c>
      <c r="M1674" s="25">
        <f>IFERROR(__xludf.DUMMYFUNCTION("""COMPUTED_VALUE"""),2935831.0)</f>
        <v>2935831</v>
      </c>
    </row>
    <row r="1675">
      <c r="A1675" s="26">
        <f>IFERROR(__xludf.DUMMYFUNCTION("""COMPUTED_VALUE"""),40829.645833333336)</f>
        <v>40829.64583</v>
      </c>
      <c r="B1675" s="9">
        <f>IFERROR(__xludf.DUMMYFUNCTION("""COMPUTED_VALUE"""),339.88)</f>
        <v>339.88</v>
      </c>
      <c r="C1675" s="9">
        <f>IFERROR(__xludf.DUMMYFUNCTION("""COMPUTED_VALUE"""),341.13)</f>
        <v>341.13</v>
      </c>
      <c r="D1675" s="9">
        <f>IFERROR(__xludf.DUMMYFUNCTION("""COMPUTED_VALUE"""),335.63)</f>
        <v>335.63</v>
      </c>
      <c r="E1675" s="9">
        <f>IFERROR(__xludf.DUMMYFUNCTION("""COMPUTED_VALUE"""),337.09)</f>
        <v>337.09</v>
      </c>
      <c r="F1675" s="9">
        <f>IFERROR(__xludf.DUMMYFUNCTION("""COMPUTED_VALUE"""),2255192.0)</f>
        <v>2255192</v>
      </c>
      <c r="H1675" s="27">
        <f>IFERROR(__xludf.DUMMYFUNCTION("""COMPUTED_VALUE"""),40829.645833333336)</f>
        <v>40829.64583</v>
      </c>
      <c r="I1675" s="25">
        <f>IFERROR(__xludf.DUMMYFUNCTION("""COMPUTED_VALUE"""),548.25)</f>
        <v>548.25</v>
      </c>
      <c r="J1675" s="25">
        <f>IFERROR(__xludf.DUMMYFUNCTION("""COMPUTED_VALUE"""),552.48)</f>
        <v>552.48</v>
      </c>
      <c r="K1675" s="25">
        <f>IFERROR(__xludf.DUMMYFUNCTION("""COMPUTED_VALUE"""),540.05)</f>
        <v>540.05</v>
      </c>
      <c r="L1675" s="25">
        <f>IFERROR(__xludf.DUMMYFUNCTION("""COMPUTED_VALUE"""),546.38)</f>
        <v>546.38</v>
      </c>
      <c r="M1675" s="25">
        <f>IFERROR(__xludf.DUMMYFUNCTION("""COMPUTED_VALUE"""),2704459.0)</f>
        <v>2704459</v>
      </c>
    </row>
    <row r="1676">
      <c r="A1676" s="26">
        <f>IFERROR(__xludf.DUMMYFUNCTION("""COMPUTED_VALUE"""),40830.645833333336)</f>
        <v>40830.64583</v>
      </c>
      <c r="B1676" s="9">
        <f>IFERROR(__xludf.DUMMYFUNCTION("""COMPUTED_VALUE"""),338.89)</f>
        <v>338.89</v>
      </c>
      <c r="C1676" s="9">
        <f>IFERROR(__xludf.DUMMYFUNCTION("""COMPUTED_VALUE"""),344.59)</f>
        <v>344.59</v>
      </c>
      <c r="D1676" s="9">
        <f>IFERROR(__xludf.DUMMYFUNCTION("""COMPUTED_VALUE"""),335.79)</f>
        <v>335.79</v>
      </c>
      <c r="E1676" s="9">
        <f>IFERROR(__xludf.DUMMYFUNCTION("""COMPUTED_VALUE"""),342.97)</f>
        <v>342.97</v>
      </c>
      <c r="F1676" s="9">
        <f>IFERROR(__xludf.DUMMYFUNCTION("""COMPUTED_VALUE"""),2450124.0)</f>
        <v>2450124</v>
      </c>
      <c r="H1676" s="27">
        <f>IFERROR(__xludf.DUMMYFUNCTION("""COMPUTED_VALUE"""),40830.645833333336)</f>
        <v>40830.64583</v>
      </c>
      <c r="I1676" s="25">
        <f>IFERROR(__xludf.DUMMYFUNCTION("""COMPUTED_VALUE"""),544.7)</f>
        <v>544.7</v>
      </c>
      <c r="J1676" s="25">
        <f>IFERROR(__xludf.DUMMYFUNCTION("""COMPUTED_VALUE"""),570.38)</f>
        <v>570.38</v>
      </c>
      <c r="K1676" s="25">
        <f>IFERROR(__xludf.DUMMYFUNCTION("""COMPUTED_VALUE"""),544.45)</f>
        <v>544.45</v>
      </c>
      <c r="L1676" s="25">
        <f>IFERROR(__xludf.DUMMYFUNCTION("""COMPUTED_VALUE"""),567.13)</f>
        <v>567.13</v>
      </c>
      <c r="M1676" s="25">
        <f>IFERROR(__xludf.DUMMYFUNCTION("""COMPUTED_VALUE"""),3355066.0)</f>
        <v>3355066</v>
      </c>
    </row>
    <row r="1677">
      <c r="A1677" s="26">
        <f>IFERROR(__xludf.DUMMYFUNCTION("""COMPUTED_VALUE"""),40833.645833333336)</f>
        <v>40833.64583</v>
      </c>
      <c r="B1677" s="9">
        <f>IFERROR(__xludf.DUMMYFUNCTION("""COMPUTED_VALUE"""),345.14)</f>
        <v>345.14</v>
      </c>
      <c r="C1677" s="9">
        <f>IFERROR(__xludf.DUMMYFUNCTION("""COMPUTED_VALUE"""),345.61)</f>
        <v>345.61</v>
      </c>
      <c r="D1677" s="9">
        <f>IFERROR(__xludf.DUMMYFUNCTION("""COMPUTED_VALUE"""),340.03)</f>
        <v>340.03</v>
      </c>
      <c r="E1677" s="9">
        <f>IFERROR(__xludf.DUMMYFUNCTION("""COMPUTED_VALUE"""),343.32)</f>
        <v>343.32</v>
      </c>
      <c r="F1677" s="9">
        <f>IFERROR(__xludf.DUMMYFUNCTION("""COMPUTED_VALUE"""),1768187.0)</f>
        <v>1768187</v>
      </c>
      <c r="H1677" s="27">
        <f>IFERROR(__xludf.DUMMYFUNCTION("""COMPUTED_VALUE"""),40833.645833333336)</f>
        <v>40833.64583</v>
      </c>
      <c r="I1677" s="25">
        <f>IFERROR(__xludf.DUMMYFUNCTION("""COMPUTED_VALUE"""),575.75)</f>
        <v>575.75</v>
      </c>
      <c r="J1677" s="25">
        <f>IFERROR(__xludf.DUMMYFUNCTION("""COMPUTED_VALUE"""),577.0)</f>
        <v>577</v>
      </c>
      <c r="K1677" s="25">
        <f>IFERROR(__xludf.DUMMYFUNCTION("""COMPUTED_VALUE"""),555.65)</f>
        <v>555.65</v>
      </c>
      <c r="L1677" s="25">
        <f>IFERROR(__xludf.DUMMYFUNCTION("""COMPUTED_VALUE"""),560.13)</f>
        <v>560.13</v>
      </c>
      <c r="M1677" s="25">
        <f>IFERROR(__xludf.DUMMYFUNCTION("""COMPUTED_VALUE"""),2179345.0)</f>
        <v>2179345</v>
      </c>
    </row>
    <row r="1678">
      <c r="A1678" s="26">
        <f>IFERROR(__xludf.DUMMYFUNCTION("""COMPUTED_VALUE"""),40834.645833333336)</f>
        <v>40834.64583</v>
      </c>
      <c r="B1678" s="9">
        <f>IFERROR(__xludf.DUMMYFUNCTION("""COMPUTED_VALUE"""),337.49)</f>
        <v>337.49</v>
      </c>
      <c r="C1678" s="9">
        <f>IFERROR(__xludf.DUMMYFUNCTION("""COMPUTED_VALUE"""),340.63)</f>
        <v>340.63</v>
      </c>
      <c r="D1678" s="9">
        <f>IFERROR(__xludf.DUMMYFUNCTION("""COMPUTED_VALUE"""),335.96)</f>
        <v>335.96</v>
      </c>
      <c r="E1678" s="9">
        <f>IFERROR(__xludf.DUMMYFUNCTION("""COMPUTED_VALUE"""),337.69)</f>
        <v>337.69</v>
      </c>
      <c r="F1678" s="9">
        <f>IFERROR(__xludf.DUMMYFUNCTION("""COMPUTED_VALUE"""),1314767.0)</f>
        <v>1314767</v>
      </c>
      <c r="H1678" s="27">
        <f>IFERROR(__xludf.DUMMYFUNCTION("""COMPUTED_VALUE"""),40834.645833333336)</f>
        <v>40834.64583</v>
      </c>
      <c r="I1678" s="25">
        <f>IFERROR(__xludf.DUMMYFUNCTION("""COMPUTED_VALUE"""),531.0)</f>
        <v>531</v>
      </c>
      <c r="J1678" s="25">
        <f>IFERROR(__xludf.DUMMYFUNCTION("""COMPUTED_VALUE"""),532.13)</f>
        <v>532.13</v>
      </c>
      <c r="K1678" s="25">
        <f>IFERROR(__xludf.DUMMYFUNCTION("""COMPUTED_VALUE"""),510.25)</f>
        <v>510.25</v>
      </c>
      <c r="L1678" s="25">
        <f>IFERROR(__xludf.DUMMYFUNCTION("""COMPUTED_VALUE"""),516.78)</f>
        <v>516.78</v>
      </c>
      <c r="M1678" s="25">
        <f>IFERROR(__xludf.DUMMYFUNCTION("""COMPUTED_VALUE"""),6003389.0)</f>
        <v>6003389</v>
      </c>
    </row>
    <row r="1679">
      <c r="A1679" s="26">
        <f>IFERROR(__xludf.DUMMYFUNCTION("""COMPUTED_VALUE"""),40835.645833333336)</f>
        <v>40835.64583</v>
      </c>
      <c r="B1679" s="9">
        <f>IFERROR(__xludf.DUMMYFUNCTION("""COMPUTED_VALUE"""),340.25)</f>
        <v>340.25</v>
      </c>
      <c r="C1679" s="9">
        <f>IFERROR(__xludf.DUMMYFUNCTION("""COMPUTED_VALUE"""),341.88)</f>
        <v>341.88</v>
      </c>
      <c r="D1679" s="9">
        <f>IFERROR(__xludf.DUMMYFUNCTION("""COMPUTED_VALUE"""),337.64)</f>
        <v>337.64</v>
      </c>
      <c r="E1679" s="9">
        <f>IFERROR(__xludf.DUMMYFUNCTION("""COMPUTED_VALUE"""),340.97)</f>
        <v>340.97</v>
      </c>
      <c r="F1679" s="9">
        <f>IFERROR(__xludf.DUMMYFUNCTION("""COMPUTED_VALUE"""),1266915.0)</f>
        <v>1266915</v>
      </c>
      <c r="H1679" s="27">
        <f>IFERROR(__xludf.DUMMYFUNCTION("""COMPUTED_VALUE"""),40835.645833333336)</f>
        <v>40835.64583</v>
      </c>
      <c r="I1679" s="25">
        <f>IFERROR(__xludf.DUMMYFUNCTION("""COMPUTED_VALUE"""),521.5)</f>
        <v>521.5</v>
      </c>
      <c r="J1679" s="25">
        <f>IFERROR(__xludf.DUMMYFUNCTION("""COMPUTED_VALUE"""),527.2)</f>
        <v>527.2</v>
      </c>
      <c r="K1679" s="25">
        <f>IFERROR(__xludf.DUMMYFUNCTION("""COMPUTED_VALUE"""),517.6)</f>
        <v>517.6</v>
      </c>
      <c r="L1679" s="25">
        <f>IFERROR(__xludf.DUMMYFUNCTION("""COMPUTED_VALUE"""),524.48)</f>
        <v>524.48</v>
      </c>
      <c r="M1679" s="25">
        <f>IFERROR(__xludf.DUMMYFUNCTION("""COMPUTED_VALUE"""),1913710.0)</f>
        <v>1913710</v>
      </c>
    </row>
    <row r="1680">
      <c r="A1680" s="26">
        <f>IFERROR(__xludf.DUMMYFUNCTION("""COMPUTED_VALUE"""),40836.645833333336)</f>
        <v>40836.64583</v>
      </c>
      <c r="B1680" s="9">
        <f>IFERROR(__xludf.DUMMYFUNCTION("""COMPUTED_VALUE"""),336.5)</f>
        <v>336.5</v>
      </c>
      <c r="C1680" s="9">
        <f>IFERROR(__xludf.DUMMYFUNCTION("""COMPUTED_VALUE"""),344.63)</f>
        <v>344.63</v>
      </c>
      <c r="D1680" s="9">
        <f>IFERROR(__xludf.DUMMYFUNCTION("""COMPUTED_VALUE"""),335.94)</f>
        <v>335.94</v>
      </c>
      <c r="E1680" s="9">
        <f>IFERROR(__xludf.DUMMYFUNCTION("""COMPUTED_VALUE"""),343.44)</f>
        <v>343.44</v>
      </c>
      <c r="F1680" s="9">
        <f>IFERROR(__xludf.DUMMYFUNCTION("""COMPUTED_VALUE"""),696710.0)</f>
        <v>696710</v>
      </c>
      <c r="H1680" s="27">
        <f>IFERROR(__xludf.DUMMYFUNCTION("""COMPUTED_VALUE"""),40836.645833333336)</f>
        <v>40836.64583</v>
      </c>
      <c r="I1680" s="25">
        <f>IFERROR(__xludf.DUMMYFUNCTION("""COMPUTED_VALUE"""),518.0)</f>
        <v>518</v>
      </c>
      <c r="J1680" s="25">
        <f>IFERROR(__xludf.DUMMYFUNCTION("""COMPUTED_VALUE"""),523.5)</f>
        <v>523.5</v>
      </c>
      <c r="K1680" s="25">
        <f>IFERROR(__xludf.DUMMYFUNCTION("""COMPUTED_VALUE"""),515.15)</f>
        <v>515.15</v>
      </c>
      <c r="L1680" s="25">
        <f>IFERROR(__xludf.DUMMYFUNCTION("""COMPUTED_VALUE"""),522.45)</f>
        <v>522.45</v>
      </c>
      <c r="M1680" s="25">
        <f>IFERROR(__xludf.DUMMYFUNCTION("""COMPUTED_VALUE"""),1122706.0)</f>
        <v>1122706</v>
      </c>
    </row>
    <row r="1681">
      <c r="A1681" s="26">
        <f>IFERROR(__xludf.DUMMYFUNCTION("""COMPUTED_VALUE"""),40837.645833333336)</f>
        <v>40837.64583</v>
      </c>
      <c r="B1681" s="9">
        <f>IFERROR(__xludf.DUMMYFUNCTION("""COMPUTED_VALUE"""),343.44)</f>
        <v>343.44</v>
      </c>
      <c r="C1681" s="9">
        <f>IFERROR(__xludf.DUMMYFUNCTION("""COMPUTED_VALUE"""),343.63)</f>
        <v>343.63</v>
      </c>
      <c r="D1681" s="9">
        <f>IFERROR(__xludf.DUMMYFUNCTION("""COMPUTED_VALUE"""),338.38)</f>
        <v>338.38</v>
      </c>
      <c r="E1681" s="9">
        <f>IFERROR(__xludf.DUMMYFUNCTION("""COMPUTED_VALUE"""),340.33)</f>
        <v>340.33</v>
      </c>
      <c r="F1681" s="9">
        <f>IFERROR(__xludf.DUMMYFUNCTION("""COMPUTED_VALUE"""),857289.0)</f>
        <v>857289</v>
      </c>
      <c r="H1681" s="27">
        <f>IFERROR(__xludf.DUMMYFUNCTION("""COMPUTED_VALUE"""),40837.645833333336)</f>
        <v>40837.64583</v>
      </c>
      <c r="I1681" s="25">
        <f>IFERROR(__xludf.DUMMYFUNCTION("""COMPUTED_VALUE"""),527.45)</f>
        <v>527.45</v>
      </c>
      <c r="J1681" s="25">
        <f>IFERROR(__xludf.DUMMYFUNCTION("""COMPUTED_VALUE"""),530.0)</f>
        <v>530</v>
      </c>
      <c r="K1681" s="25">
        <f>IFERROR(__xludf.DUMMYFUNCTION("""COMPUTED_VALUE"""),521.5)</f>
        <v>521.5</v>
      </c>
      <c r="L1681" s="25">
        <f>IFERROR(__xludf.DUMMYFUNCTION("""COMPUTED_VALUE"""),524.92)</f>
        <v>524.92</v>
      </c>
      <c r="M1681" s="25">
        <f>IFERROR(__xludf.DUMMYFUNCTION("""COMPUTED_VALUE"""),1230565.0)</f>
        <v>1230565</v>
      </c>
    </row>
    <row r="1682">
      <c r="A1682" s="26">
        <f>IFERROR(__xludf.DUMMYFUNCTION("""COMPUTED_VALUE"""),40840.645833333336)</f>
        <v>40840.64583</v>
      </c>
      <c r="B1682" s="9">
        <f>IFERROR(__xludf.DUMMYFUNCTION("""COMPUTED_VALUE"""),343.75)</f>
        <v>343.75</v>
      </c>
      <c r="C1682" s="9">
        <f>IFERROR(__xludf.DUMMYFUNCTION("""COMPUTED_VALUE"""),346.85)</f>
        <v>346.85</v>
      </c>
      <c r="D1682" s="9">
        <f>IFERROR(__xludf.DUMMYFUNCTION("""COMPUTED_VALUE"""),342.65)</f>
        <v>342.65</v>
      </c>
      <c r="E1682" s="9">
        <f>IFERROR(__xludf.DUMMYFUNCTION("""COMPUTED_VALUE"""),345.91)</f>
        <v>345.91</v>
      </c>
      <c r="F1682" s="9">
        <f>IFERROR(__xludf.DUMMYFUNCTION("""COMPUTED_VALUE"""),759449.0)</f>
        <v>759449</v>
      </c>
      <c r="H1682" s="27">
        <f>IFERROR(__xludf.DUMMYFUNCTION("""COMPUTED_VALUE"""),40840.645833333336)</f>
        <v>40840.64583</v>
      </c>
      <c r="I1682" s="25">
        <f>IFERROR(__xludf.DUMMYFUNCTION("""COMPUTED_VALUE"""),530.0)</f>
        <v>530</v>
      </c>
      <c r="J1682" s="25">
        <f>IFERROR(__xludf.DUMMYFUNCTION("""COMPUTED_VALUE"""),546.15)</f>
        <v>546.15</v>
      </c>
      <c r="K1682" s="25">
        <f>IFERROR(__xludf.DUMMYFUNCTION("""COMPUTED_VALUE"""),529.75)</f>
        <v>529.75</v>
      </c>
      <c r="L1682" s="25">
        <f>IFERROR(__xludf.DUMMYFUNCTION("""COMPUTED_VALUE"""),539.88)</f>
        <v>539.88</v>
      </c>
      <c r="M1682" s="25">
        <f>IFERROR(__xludf.DUMMYFUNCTION("""COMPUTED_VALUE"""),1635860.0)</f>
        <v>1635860</v>
      </c>
    </row>
    <row r="1683">
      <c r="A1683" s="26">
        <f>IFERROR(__xludf.DUMMYFUNCTION("""COMPUTED_VALUE"""),40841.645833333336)</f>
        <v>40841.64583</v>
      </c>
      <c r="B1683" s="9">
        <f>IFERROR(__xludf.DUMMYFUNCTION("""COMPUTED_VALUE"""),351.38)</f>
        <v>351.38</v>
      </c>
      <c r="C1683" s="9">
        <f>IFERROR(__xludf.DUMMYFUNCTION("""COMPUTED_VALUE"""),362.38)</f>
        <v>362.38</v>
      </c>
      <c r="D1683" s="9">
        <f>IFERROR(__xludf.DUMMYFUNCTION("""COMPUTED_VALUE"""),351.38)</f>
        <v>351.38</v>
      </c>
      <c r="E1683" s="9">
        <f>IFERROR(__xludf.DUMMYFUNCTION("""COMPUTED_VALUE"""),357.34)</f>
        <v>357.34</v>
      </c>
      <c r="F1683" s="9">
        <f>IFERROR(__xludf.DUMMYFUNCTION("""COMPUTED_VALUE"""),1959698.0)</f>
        <v>1959698</v>
      </c>
      <c r="H1683" s="27">
        <f>IFERROR(__xludf.DUMMYFUNCTION("""COMPUTED_VALUE"""),40841.645833333336)</f>
        <v>40841.64583</v>
      </c>
      <c r="I1683" s="25">
        <f>IFERROR(__xludf.DUMMYFUNCTION("""COMPUTED_VALUE"""),544.5)</f>
        <v>544.5</v>
      </c>
      <c r="J1683" s="25">
        <f>IFERROR(__xludf.DUMMYFUNCTION("""COMPUTED_VALUE"""),553.5)</f>
        <v>553.5</v>
      </c>
      <c r="K1683" s="25">
        <f>IFERROR(__xludf.DUMMYFUNCTION("""COMPUTED_VALUE"""),535.73)</f>
        <v>535.73</v>
      </c>
      <c r="L1683" s="25">
        <f>IFERROR(__xludf.DUMMYFUNCTION("""COMPUTED_VALUE"""),549.33)</f>
        <v>549.33</v>
      </c>
      <c r="M1683" s="25">
        <f>IFERROR(__xludf.DUMMYFUNCTION("""COMPUTED_VALUE"""),2079373.0)</f>
        <v>2079373</v>
      </c>
    </row>
    <row r="1684">
      <c r="A1684" s="26">
        <f>IFERROR(__xludf.DUMMYFUNCTION("""COMPUTED_VALUE"""),40842.645833333336)</f>
        <v>40842.64583</v>
      </c>
      <c r="B1684" s="9">
        <f>IFERROR(__xludf.DUMMYFUNCTION("""COMPUTED_VALUE"""),357.74)</f>
        <v>357.74</v>
      </c>
      <c r="C1684" s="9">
        <f>IFERROR(__xludf.DUMMYFUNCTION("""COMPUTED_VALUE"""),358.74)</f>
        <v>358.74</v>
      </c>
      <c r="D1684" s="9">
        <f>IFERROR(__xludf.DUMMYFUNCTION("""COMPUTED_VALUE"""),353.93)</f>
        <v>353.93</v>
      </c>
      <c r="E1684" s="9">
        <f>IFERROR(__xludf.DUMMYFUNCTION("""COMPUTED_VALUE"""),354.83)</f>
        <v>354.83</v>
      </c>
      <c r="F1684" s="9">
        <f>IFERROR(__xludf.DUMMYFUNCTION("""COMPUTED_VALUE"""),228612.0)</f>
        <v>228612</v>
      </c>
      <c r="H1684" s="27">
        <f>IFERROR(__xludf.DUMMYFUNCTION("""COMPUTED_VALUE"""),40842.645833333336)</f>
        <v>40842.64583</v>
      </c>
      <c r="I1684" s="25">
        <f>IFERROR(__xludf.DUMMYFUNCTION("""COMPUTED_VALUE"""),552.5)</f>
        <v>552.5</v>
      </c>
      <c r="J1684" s="25">
        <f>IFERROR(__xludf.DUMMYFUNCTION("""COMPUTED_VALUE"""),555.0)</f>
        <v>555</v>
      </c>
      <c r="K1684" s="25">
        <f>IFERROR(__xludf.DUMMYFUNCTION("""COMPUTED_VALUE"""),546.67)</f>
        <v>546.67</v>
      </c>
      <c r="L1684" s="25">
        <f>IFERROR(__xludf.DUMMYFUNCTION("""COMPUTED_VALUE"""),547.95)</f>
        <v>547.95</v>
      </c>
      <c r="M1684" s="25">
        <f>IFERROR(__xludf.DUMMYFUNCTION("""COMPUTED_VALUE"""),205962.0)</f>
        <v>205962</v>
      </c>
    </row>
    <row r="1685">
      <c r="A1685" s="26">
        <f>IFERROR(__xludf.DUMMYFUNCTION("""COMPUTED_VALUE"""),40844.645833333336)</f>
        <v>40844.64583</v>
      </c>
      <c r="B1685" s="9">
        <f>IFERROR(__xludf.DUMMYFUNCTION("""COMPUTED_VALUE"""),365.13)</f>
        <v>365.13</v>
      </c>
      <c r="C1685" s="9">
        <f>IFERROR(__xludf.DUMMYFUNCTION("""COMPUTED_VALUE"""),371.42)</f>
        <v>371.42</v>
      </c>
      <c r="D1685" s="9">
        <f>IFERROR(__xludf.DUMMYFUNCTION("""COMPUTED_VALUE"""),355.63)</f>
        <v>355.63</v>
      </c>
      <c r="E1685" s="9">
        <f>IFERROR(__xludf.DUMMYFUNCTION("""COMPUTED_VALUE"""),357.33)</f>
        <v>357.33</v>
      </c>
      <c r="F1685" s="9">
        <f>IFERROR(__xludf.DUMMYFUNCTION("""COMPUTED_VALUE"""),3108598.0)</f>
        <v>3108598</v>
      </c>
      <c r="H1685" s="27">
        <f>IFERROR(__xludf.DUMMYFUNCTION("""COMPUTED_VALUE"""),40844.645833333336)</f>
        <v>40844.64583</v>
      </c>
      <c r="I1685" s="25">
        <f>IFERROR(__xludf.DUMMYFUNCTION("""COMPUTED_VALUE"""),564.5)</f>
        <v>564.5</v>
      </c>
      <c r="J1685" s="25">
        <f>IFERROR(__xludf.DUMMYFUNCTION("""COMPUTED_VALUE"""),569.55)</f>
        <v>569.55</v>
      </c>
      <c r="K1685" s="25">
        <f>IFERROR(__xludf.DUMMYFUNCTION("""COMPUTED_VALUE"""),555.5)</f>
        <v>555.5</v>
      </c>
      <c r="L1685" s="25">
        <f>IFERROR(__xludf.DUMMYFUNCTION("""COMPUTED_VALUE"""),560.75)</f>
        <v>560.75</v>
      </c>
      <c r="M1685" s="25">
        <f>IFERROR(__xludf.DUMMYFUNCTION("""COMPUTED_VALUE"""),1629558.0)</f>
        <v>1629558</v>
      </c>
    </row>
    <row r="1686">
      <c r="A1686" s="26">
        <f>IFERROR(__xludf.DUMMYFUNCTION("""COMPUTED_VALUE"""),40847.645833333336)</f>
        <v>40847.64583</v>
      </c>
      <c r="B1686" s="9">
        <f>IFERROR(__xludf.DUMMYFUNCTION("""COMPUTED_VALUE"""),357.0)</f>
        <v>357</v>
      </c>
      <c r="C1686" s="9">
        <f>IFERROR(__xludf.DUMMYFUNCTION("""COMPUTED_VALUE"""),362.22)</f>
        <v>362.22</v>
      </c>
      <c r="D1686" s="9">
        <f>IFERROR(__xludf.DUMMYFUNCTION("""COMPUTED_VALUE"""),357.0)</f>
        <v>357</v>
      </c>
      <c r="E1686" s="9">
        <f>IFERROR(__xludf.DUMMYFUNCTION("""COMPUTED_VALUE"""),359.69)</f>
        <v>359.69</v>
      </c>
      <c r="F1686" s="9">
        <f>IFERROR(__xludf.DUMMYFUNCTION("""COMPUTED_VALUE"""),1286453.0)</f>
        <v>1286453</v>
      </c>
      <c r="H1686" s="27">
        <f>IFERROR(__xludf.DUMMYFUNCTION("""COMPUTED_VALUE"""),40847.645833333336)</f>
        <v>40847.64583</v>
      </c>
      <c r="I1686" s="25">
        <f>IFERROR(__xludf.DUMMYFUNCTION("""COMPUTED_VALUE"""),560.0)</f>
        <v>560</v>
      </c>
      <c r="J1686" s="25">
        <f>IFERROR(__xludf.DUMMYFUNCTION("""COMPUTED_VALUE"""),566.0)</f>
        <v>566</v>
      </c>
      <c r="K1686" s="25">
        <f>IFERROR(__xludf.DUMMYFUNCTION("""COMPUTED_VALUE"""),556.0)</f>
        <v>556</v>
      </c>
      <c r="L1686" s="25">
        <f>IFERROR(__xludf.DUMMYFUNCTION("""COMPUTED_VALUE"""),557.9)</f>
        <v>557.9</v>
      </c>
      <c r="M1686" s="25">
        <f>IFERROR(__xludf.DUMMYFUNCTION("""COMPUTED_VALUE"""),889370.0)</f>
        <v>889370</v>
      </c>
    </row>
    <row r="1687">
      <c r="A1687" s="26">
        <f>IFERROR(__xludf.DUMMYFUNCTION("""COMPUTED_VALUE"""),40848.645833333336)</f>
        <v>40848.64583</v>
      </c>
      <c r="B1687" s="9">
        <f>IFERROR(__xludf.DUMMYFUNCTION("""COMPUTED_VALUE"""),355.0)</f>
        <v>355</v>
      </c>
      <c r="C1687" s="9">
        <f>IFERROR(__xludf.DUMMYFUNCTION("""COMPUTED_VALUE"""),359.26)</f>
        <v>359.26</v>
      </c>
      <c r="D1687" s="9">
        <f>IFERROR(__xludf.DUMMYFUNCTION("""COMPUTED_VALUE"""),352.25)</f>
        <v>352.25</v>
      </c>
      <c r="E1687" s="9">
        <f>IFERROR(__xludf.DUMMYFUNCTION("""COMPUTED_VALUE"""),354.58)</f>
        <v>354.58</v>
      </c>
      <c r="F1687" s="9">
        <f>IFERROR(__xludf.DUMMYFUNCTION("""COMPUTED_VALUE"""),988274.0)</f>
        <v>988274</v>
      </c>
      <c r="H1687" s="27">
        <f>IFERROR(__xludf.DUMMYFUNCTION("""COMPUTED_VALUE"""),40848.645833333336)</f>
        <v>40848.64583</v>
      </c>
      <c r="I1687" s="25">
        <f>IFERROR(__xludf.DUMMYFUNCTION("""COMPUTED_VALUE"""),554.0)</f>
        <v>554</v>
      </c>
      <c r="J1687" s="25">
        <f>IFERROR(__xludf.DUMMYFUNCTION("""COMPUTED_VALUE"""),561.5)</f>
        <v>561.5</v>
      </c>
      <c r="K1687" s="25">
        <f>IFERROR(__xludf.DUMMYFUNCTION("""COMPUTED_VALUE"""),548.13)</f>
        <v>548.13</v>
      </c>
      <c r="L1687" s="25">
        <f>IFERROR(__xludf.DUMMYFUNCTION("""COMPUTED_VALUE"""),554.23)</f>
        <v>554.23</v>
      </c>
      <c r="M1687" s="25">
        <f>IFERROR(__xludf.DUMMYFUNCTION("""COMPUTED_VALUE"""),729105.0)</f>
        <v>729105</v>
      </c>
    </row>
    <row r="1688">
      <c r="A1688" s="26">
        <f>IFERROR(__xludf.DUMMYFUNCTION("""COMPUTED_VALUE"""),40849.645833333336)</f>
        <v>40849.64583</v>
      </c>
      <c r="B1688" s="9">
        <f>IFERROR(__xludf.DUMMYFUNCTION("""COMPUTED_VALUE"""),352.5)</f>
        <v>352.5</v>
      </c>
      <c r="C1688" s="9">
        <f>IFERROR(__xludf.DUMMYFUNCTION("""COMPUTED_VALUE"""),356.74)</f>
        <v>356.74</v>
      </c>
      <c r="D1688" s="9">
        <f>IFERROR(__xludf.DUMMYFUNCTION("""COMPUTED_VALUE"""),352.18)</f>
        <v>352.18</v>
      </c>
      <c r="E1688" s="9">
        <f>IFERROR(__xludf.DUMMYFUNCTION("""COMPUTED_VALUE"""),354.3)</f>
        <v>354.3</v>
      </c>
      <c r="F1688" s="9">
        <f>IFERROR(__xludf.DUMMYFUNCTION("""COMPUTED_VALUE"""),664732.0)</f>
        <v>664732</v>
      </c>
      <c r="H1688" s="27">
        <f>IFERROR(__xludf.DUMMYFUNCTION("""COMPUTED_VALUE"""),40849.645833333336)</f>
        <v>40849.64583</v>
      </c>
      <c r="I1688" s="25">
        <f>IFERROR(__xludf.DUMMYFUNCTION("""COMPUTED_VALUE"""),550.63)</f>
        <v>550.63</v>
      </c>
      <c r="J1688" s="25">
        <f>IFERROR(__xludf.DUMMYFUNCTION("""COMPUTED_VALUE"""),560.92)</f>
        <v>560.92</v>
      </c>
      <c r="K1688" s="25">
        <f>IFERROR(__xludf.DUMMYFUNCTION("""COMPUTED_VALUE"""),550.0)</f>
        <v>550</v>
      </c>
      <c r="L1688" s="25">
        <f>IFERROR(__xludf.DUMMYFUNCTION("""COMPUTED_VALUE"""),553.42)</f>
        <v>553.42</v>
      </c>
      <c r="M1688" s="25">
        <f>IFERROR(__xludf.DUMMYFUNCTION("""COMPUTED_VALUE"""),775422.0)</f>
        <v>775422</v>
      </c>
    </row>
    <row r="1689">
      <c r="A1689" s="26">
        <f>IFERROR(__xludf.DUMMYFUNCTION("""COMPUTED_VALUE"""),40850.645833333336)</f>
        <v>40850.64583</v>
      </c>
      <c r="B1689" s="9">
        <f>IFERROR(__xludf.DUMMYFUNCTION("""COMPUTED_VALUE"""),354.25)</f>
        <v>354.25</v>
      </c>
      <c r="C1689" s="9">
        <f>IFERROR(__xludf.DUMMYFUNCTION("""COMPUTED_VALUE"""),355.25)</f>
        <v>355.25</v>
      </c>
      <c r="D1689" s="9">
        <f>IFERROR(__xludf.DUMMYFUNCTION("""COMPUTED_VALUE"""),345.9)</f>
        <v>345.9</v>
      </c>
      <c r="E1689" s="9">
        <f>IFERROR(__xludf.DUMMYFUNCTION("""COMPUTED_VALUE"""),350.26)</f>
        <v>350.26</v>
      </c>
      <c r="F1689" s="9">
        <f>IFERROR(__xludf.DUMMYFUNCTION("""COMPUTED_VALUE"""),1347453.0)</f>
        <v>1347453</v>
      </c>
      <c r="H1689" s="27">
        <f>IFERROR(__xludf.DUMMYFUNCTION("""COMPUTED_VALUE"""),40850.645833333336)</f>
        <v>40850.64583</v>
      </c>
      <c r="I1689" s="25">
        <f>IFERROR(__xludf.DUMMYFUNCTION("""COMPUTED_VALUE"""),548.9)</f>
        <v>548.9</v>
      </c>
      <c r="J1689" s="25">
        <f>IFERROR(__xludf.DUMMYFUNCTION("""COMPUTED_VALUE"""),554.7)</f>
        <v>554.7</v>
      </c>
      <c r="K1689" s="25">
        <f>IFERROR(__xludf.DUMMYFUNCTION("""COMPUTED_VALUE"""),543.5)</f>
        <v>543.5</v>
      </c>
      <c r="L1689" s="25">
        <f>IFERROR(__xludf.DUMMYFUNCTION("""COMPUTED_VALUE"""),552.5)</f>
        <v>552.5</v>
      </c>
      <c r="M1689" s="25">
        <f>IFERROR(__xludf.DUMMYFUNCTION("""COMPUTED_VALUE"""),945634.0)</f>
        <v>945634</v>
      </c>
    </row>
    <row r="1690">
      <c r="A1690" s="26">
        <f>IFERROR(__xludf.DUMMYFUNCTION("""COMPUTED_VALUE"""),40851.645833333336)</f>
        <v>40851.64583</v>
      </c>
      <c r="B1690" s="9">
        <f>IFERROR(__xludf.DUMMYFUNCTION("""COMPUTED_VALUE"""),355.63)</f>
        <v>355.63</v>
      </c>
      <c r="C1690" s="9">
        <f>IFERROR(__xludf.DUMMYFUNCTION("""COMPUTED_VALUE"""),356.36)</f>
        <v>356.36</v>
      </c>
      <c r="D1690" s="9">
        <f>IFERROR(__xludf.DUMMYFUNCTION("""COMPUTED_VALUE"""),348.94)</f>
        <v>348.94</v>
      </c>
      <c r="E1690" s="9">
        <f>IFERROR(__xludf.DUMMYFUNCTION("""COMPUTED_VALUE"""),353.24)</f>
        <v>353.24</v>
      </c>
      <c r="F1690" s="9">
        <f>IFERROR(__xludf.DUMMYFUNCTION("""COMPUTED_VALUE"""),955461.0)</f>
        <v>955461</v>
      </c>
      <c r="H1690" s="27">
        <f>IFERROR(__xludf.DUMMYFUNCTION("""COMPUTED_VALUE"""),40851.645833333336)</f>
        <v>40851.64583</v>
      </c>
      <c r="I1690" s="25">
        <f>IFERROR(__xludf.DUMMYFUNCTION("""COMPUTED_VALUE"""),560.5)</f>
        <v>560.5</v>
      </c>
      <c r="J1690" s="25">
        <f>IFERROR(__xludf.DUMMYFUNCTION("""COMPUTED_VALUE"""),562.5)</f>
        <v>562.5</v>
      </c>
      <c r="K1690" s="25">
        <f>IFERROR(__xludf.DUMMYFUNCTION("""COMPUTED_VALUE"""),543.6)</f>
        <v>543.6</v>
      </c>
      <c r="L1690" s="25">
        <f>IFERROR(__xludf.DUMMYFUNCTION("""COMPUTED_VALUE"""),549.9)</f>
        <v>549.9</v>
      </c>
      <c r="M1690" s="25">
        <f>IFERROR(__xludf.DUMMYFUNCTION("""COMPUTED_VALUE"""),1358004.0)</f>
        <v>1358004</v>
      </c>
    </row>
    <row r="1691">
      <c r="A1691" s="26">
        <f>IFERROR(__xludf.DUMMYFUNCTION("""COMPUTED_VALUE"""),40855.645833333336)</f>
        <v>40855.64583</v>
      </c>
      <c r="B1691" s="9">
        <f>IFERROR(__xludf.DUMMYFUNCTION("""COMPUTED_VALUE"""),351.88)</f>
        <v>351.88</v>
      </c>
      <c r="C1691" s="9">
        <f>IFERROR(__xludf.DUMMYFUNCTION("""COMPUTED_VALUE"""),356.0)</f>
        <v>356</v>
      </c>
      <c r="D1691" s="9">
        <f>IFERROR(__xludf.DUMMYFUNCTION("""COMPUTED_VALUE"""),348.86)</f>
        <v>348.86</v>
      </c>
      <c r="E1691" s="9">
        <f>IFERROR(__xludf.DUMMYFUNCTION("""COMPUTED_VALUE"""),355.26)</f>
        <v>355.26</v>
      </c>
      <c r="F1691" s="9">
        <f>IFERROR(__xludf.DUMMYFUNCTION("""COMPUTED_VALUE"""),763417.0)</f>
        <v>763417</v>
      </c>
      <c r="H1691" s="27">
        <f>IFERROR(__xludf.DUMMYFUNCTION("""COMPUTED_VALUE"""),40855.645833333336)</f>
        <v>40855.64583</v>
      </c>
      <c r="I1691" s="25">
        <f>IFERROR(__xludf.DUMMYFUNCTION("""COMPUTED_VALUE"""),548.0)</f>
        <v>548</v>
      </c>
      <c r="J1691" s="25">
        <f>IFERROR(__xludf.DUMMYFUNCTION("""COMPUTED_VALUE"""),557.4)</f>
        <v>557.4</v>
      </c>
      <c r="K1691" s="25">
        <f>IFERROR(__xludf.DUMMYFUNCTION("""COMPUTED_VALUE"""),548.0)</f>
        <v>548</v>
      </c>
      <c r="L1691" s="25">
        <f>IFERROR(__xludf.DUMMYFUNCTION("""COMPUTED_VALUE"""),552.63)</f>
        <v>552.63</v>
      </c>
      <c r="M1691" s="25">
        <f>IFERROR(__xludf.DUMMYFUNCTION("""COMPUTED_VALUE"""),846052.0)</f>
        <v>846052</v>
      </c>
    </row>
    <row r="1692">
      <c r="A1692" s="26">
        <f>IFERROR(__xludf.DUMMYFUNCTION("""COMPUTED_VALUE"""),40856.645833333336)</f>
        <v>40856.64583</v>
      </c>
      <c r="B1692" s="9">
        <f>IFERROR(__xludf.DUMMYFUNCTION("""COMPUTED_VALUE"""),355.63)</f>
        <v>355.63</v>
      </c>
      <c r="C1692" s="9">
        <f>IFERROR(__xludf.DUMMYFUNCTION("""COMPUTED_VALUE"""),358.41)</f>
        <v>358.41</v>
      </c>
      <c r="D1692" s="9">
        <f>IFERROR(__xludf.DUMMYFUNCTION("""COMPUTED_VALUE"""),353.13)</f>
        <v>353.13</v>
      </c>
      <c r="E1692" s="9">
        <f>IFERROR(__xludf.DUMMYFUNCTION("""COMPUTED_VALUE"""),354.41)</f>
        <v>354.41</v>
      </c>
      <c r="F1692" s="9">
        <f>IFERROR(__xludf.DUMMYFUNCTION("""COMPUTED_VALUE"""),834956.0)</f>
        <v>834956</v>
      </c>
      <c r="H1692" s="27">
        <f>IFERROR(__xludf.DUMMYFUNCTION("""COMPUTED_VALUE"""),40856.645833333336)</f>
        <v>40856.64583</v>
      </c>
      <c r="I1692" s="25">
        <f>IFERROR(__xludf.DUMMYFUNCTION("""COMPUTED_VALUE"""),555.0)</f>
        <v>555</v>
      </c>
      <c r="J1692" s="25">
        <f>IFERROR(__xludf.DUMMYFUNCTION("""COMPUTED_VALUE"""),573.0)</f>
        <v>573</v>
      </c>
      <c r="K1692" s="25">
        <f>IFERROR(__xludf.DUMMYFUNCTION("""COMPUTED_VALUE"""),553.15)</f>
        <v>553.15</v>
      </c>
      <c r="L1692" s="25">
        <f>IFERROR(__xludf.DUMMYFUNCTION("""COMPUTED_VALUE"""),561.48)</f>
        <v>561.48</v>
      </c>
      <c r="M1692" s="25">
        <f>IFERROR(__xludf.DUMMYFUNCTION("""COMPUTED_VALUE"""),1960990.0)</f>
        <v>1960990</v>
      </c>
    </row>
    <row r="1693">
      <c r="A1693" s="26">
        <f>IFERROR(__xludf.DUMMYFUNCTION("""COMPUTED_VALUE"""),40858.645833333336)</f>
        <v>40858.64583</v>
      </c>
      <c r="B1693" s="9">
        <f>IFERROR(__xludf.DUMMYFUNCTION("""COMPUTED_VALUE"""),326.34)</f>
        <v>326.34</v>
      </c>
      <c r="C1693" s="9">
        <f>IFERROR(__xludf.DUMMYFUNCTION("""COMPUTED_VALUE"""),350.96)</f>
        <v>350.96</v>
      </c>
      <c r="D1693" s="9">
        <f>IFERROR(__xludf.DUMMYFUNCTION("""COMPUTED_VALUE"""),326.34)</f>
        <v>326.34</v>
      </c>
      <c r="E1693" s="9">
        <f>IFERROR(__xludf.DUMMYFUNCTION("""COMPUTED_VALUE"""),346.96)</f>
        <v>346.96</v>
      </c>
      <c r="F1693" s="9">
        <f>IFERROR(__xludf.DUMMYFUNCTION("""COMPUTED_VALUE"""),1180153.0)</f>
        <v>1180153</v>
      </c>
      <c r="H1693" s="27">
        <f>IFERROR(__xludf.DUMMYFUNCTION("""COMPUTED_VALUE"""),40858.645833333336)</f>
        <v>40858.64583</v>
      </c>
      <c r="I1693" s="25">
        <f>IFERROR(__xludf.DUMMYFUNCTION("""COMPUTED_VALUE"""),555.0)</f>
        <v>555</v>
      </c>
      <c r="J1693" s="25">
        <f>IFERROR(__xludf.DUMMYFUNCTION("""COMPUTED_VALUE"""),570.5)</f>
        <v>570.5</v>
      </c>
      <c r="K1693" s="25">
        <f>IFERROR(__xludf.DUMMYFUNCTION("""COMPUTED_VALUE"""),553.63)</f>
        <v>553.63</v>
      </c>
      <c r="L1693" s="25">
        <f>IFERROR(__xludf.DUMMYFUNCTION("""COMPUTED_VALUE"""),565.5)</f>
        <v>565.5</v>
      </c>
      <c r="M1693" s="25">
        <f>IFERROR(__xludf.DUMMYFUNCTION("""COMPUTED_VALUE"""),1814795.0)</f>
        <v>1814795</v>
      </c>
    </row>
    <row r="1694">
      <c r="A1694" s="26">
        <f>IFERROR(__xludf.DUMMYFUNCTION("""COMPUTED_VALUE"""),40861.645833333336)</f>
        <v>40861.64583</v>
      </c>
      <c r="B1694" s="9">
        <f>IFERROR(__xludf.DUMMYFUNCTION("""COMPUTED_VALUE"""),351.27)</f>
        <v>351.27</v>
      </c>
      <c r="C1694" s="9">
        <f>IFERROR(__xludf.DUMMYFUNCTION("""COMPUTED_VALUE"""),354.05)</f>
        <v>354.05</v>
      </c>
      <c r="D1694" s="9">
        <f>IFERROR(__xludf.DUMMYFUNCTION("""COMPUTED_VALUE"""),349.75)</f>
        <v>349.75</v>
      </c>
      <c r="E1694" s="9">
        <f>IFERROR(__xludf.DUMMYFUNCTION("""COMPUTED_VALUE"""),351.1)</f>
        <v>351.1</v>
      </c>
      <c r="F1694" s="9">
        <f>IFERROR(__xludf.DUMMYFUNCTION("""COMPUTED_VALUE"""),579130.0)</f>
        <v>579130</v>
      </c>
      <c r="H1694" s="27">
        <f>IFERROR(__xludf.DUMMYFUNCTION("""COMPUTED_VALUE"""),40861.645833333336)</f>
        <v>40861.64583</v>
      </c>
      <c r="I1694" s="25">
        <f>IFERROR(__xludf.DUMMYFUNCTION("""COMPUTED_VALUE"""),570.0)</f>
        <v>570</v>
      </c>
      <c r="J1694" s="25">
        <f>IFERROR(__xludf.DUMMYFUNCTION("""COMPUTED_VALUE"""),578.0)</f>
        <v>578</v>
      </c>
      <c r="K1694" s="25">
        <f>IFERROR(__xludf.DUMMYFUNCTION("""COMPUTED_VALUE"""),562.25)</f>
        <v>562.25</v>
      </c>
      <c r="L1694" s="25">
        <f>IFERROR(__xludf.DUMMYFUNCTION("""COMPUTED_VALUE"""),564.2)</f>
        <v>564.2</v>
      </c>
      <c r="M1694" s="25">
        <f>IFERROR(__xludf.DUMMYFUNCTION("""COMPUTED_VALUE"""),1164575.0)</f>
        <v>1164575</v>
      </c>
    </row>
    <row r="1695">
      <c r="A1695" s="26">
        <f>IFERROR(__xludf.DUMMYFUNCTION("""COMPUTED_VALUE"""),40862.645833333336)</f>
        <v>40862.64583</v>
      </c>
      <c r="B1695" s="9">
        <f>IFERROR(__xludf.DUMMYFUNCTION("""COMPUTED_VALUE"""),350.01)</f>
        <v>350.01</v>
      </c>
      <c r="C1695" s="9">
        <f>IFERROR(__xludf.DUMMYFUNCTION("""COMPUTED_VALUE"""),352.5)</f>
        <v>352.5</v>
      </c>
      <c r="D1695" s="9">
        <f>IFERROR(__xludf.DUMMYFUNCTION("""COMPUTED_VALUE"""),347.69)</f>
        <v>347.69</v>
      </c>
      <c r="E1695" s="9">
        <f>IFERROR(__xludf.DUMMYFUNCTION("""COMPUTED_VALUE"""),349.79)</f>
        <v>349.79</v>
      </c>
      <c r="F1695" s="9">
        <f>IFERROR(__xludf.DUMMYFUNCTION("""COMPUTED_VALUE"""),637253.0)</f>
        <v>637253</v>
      </c>
      <c r="H1695" s="27">
        <f>IFERROR(__xludf.DUMMYFUNCTION("""COMPUTED_VALUE"""),40862.645833333336)</f>
        <v>40862.64583</v>
      </c>
      <c r="I1695" s="25">
        <f>IFERROR(__xludf.DUMMYFUNCTION("""COMPUTED_VALUE"""),562.53)</f>
        <v>562.53</v>
      </c>
      <c r="J1695" s="25">
        <f>IFERROR(__xludf.DUMMYFUNCTION("""COMPUTED_VALUE"""),569.48)</f>
        <v>569.48</v>
      </c>
      <c r="K1695" s="25">
        <f>IFERROR(__xludf.DUMMYFUNCTION("""COMPUTED_VALUE"""),560.0)</f>
        <v>560</v>
      </c>
      <c r="L1695" s="25">
        <f>IFERROR(__xludf.DUMMYFUNCTION("""COMPUTED_VALUE"""),562.2)</f>
        <v>562.2</v>
      </c>
      <c r="M1695" s="25">
        <f>IFERROR(__xludf.DUMMYFUNCTION("""COMPUTED_VALUE"""),734239.0)</f>
        <v>734239</v>
      </c>
    </row>
    <row r="1696">
      <c r="A1696" s="26">
        <f>IFERROR(__xludf.DUMMYFUNCTION("""COMPUTED_VALUE"""),40863.645833333336)</f>
        <v>40863.64583</v>
      </c>
      <c r="B1696" s="9">
        <f>IFERROR(__xludf.DUMMYFUNCTION("""COMPUTED_VALUE"""),349.38)</f>
        <v>349.38</v>
      </c>
      <c r="C1696" s="9">
        <f>IFERROR(__xludf.DUMMYFUNCTION("""COMPUTED_VALUE"""),350.5)</f>
        <v>350.5</v>
      </c>
      <c r="D1696" s="9">
        <f>IFERROR(__xludf.DUMMYFUNCTION("""COMPUTED_VALUE"""),344.79)</f>
        <v>344.79</v>
      </c>
      <c r="E1696" s="9">
        <f>IFERROR(__xludf.DUMMYFUNCTION("""COMPUTED_VALUE"""),347.29)</f>
        <v>347.29</v>
      </c>
      <c r="F1696" s="9">
        <f>IFERROR(__xludf.DUMMYFUNCTION("""COMPUTED_VALUE"""),819081.0)</f>
        <v>819081</v>
      </c>
      <c r="H1696" s="27">
        <f>IFERROR(__xludf.DUMMYFUNCTION("""COMPUTED_VALUE"""),40863.645833333336)</f>
        <v>40863.64583</v>
      </c>
      <c r="I1696" s="25">
        <f>IFERROR(__xludf.DUMMYFUNCTION("""COMPUTED_VALUE"""),563.0)</f>
        <v>563</v>
      </c>
      <c r="J1696" s="25">
        <f>IFERROR(__xludf.DUMMYFUNCTION("""COMPUTED_VALUE"""),566.4)</f>
        <v>566.4</v>
      </c>
      <c r="K1696" s="25">
        <f>IFERROR(__xludf.DUMMYFUNCTION("""COMPUTED_VALUE"""),552.6)</f>
        <v>552.6</v>
      </c>
      <c r="L1696" s="25">
        <f>IFERROR(__xludf.DUMMYFUNCTION("""COMPUTED_VALUE"""),558.63)</f>
        <v>558.63</v>
      </c>
      <c r="M1696" s="25">
        <f>IFERROR(__xludf.DUMMYFUNCTION("""COMPUTED_VALUE"""),935801.0)</f>
        <v>935801</v>
      </c>
    </row>
    <row r="1697">
      <c r="A1697" s="26">
        <f>IFERROR(__xludf.DUMMYFUNCTION("""COMPUTED_VALUE"""),40864.645833333336)</f>
        <v>40864.64583</v>
      </c>
      <c r="B1697" s="9">
        <f>IFERROR(__xludf.DUMMYFUNCTION("""COMPUTED_VALUE"""),346.04)</f>
        <v>346.04</v>
      </c>
      <c r="C1697" s="9">
        <f>IFERROR(__xludf.DUMMYFUNCTION("""COMPUTED_VALUE"""),348.63)</f>
        <v>348.63</v>
      </c>
      <c r="D1697" s="9">
        <f>IFERROR(__xludf.DUMMYFUNCTION("""COMPUTED_VALUE"""),341.61)</f>
        <v>341.61</v>
      </c>
      <c r="E1697" s="9">
        <f>IFERROR(__xludf.DUMMYFUNCTION("""COMPUTED_VALUE"""),344.19)</f>
        <v>344.19</v>
      </c>
      <c r="F1697" s="9">
        <f>IFERROR(__xludf.DUMMYFUNCTION("""COMPUTED_VALUE"""),795873.0)</f>
        <v>795873</v>
      </c>
      <c r="H1697" s="27">
        <f>IFERROR(__xludf.DUMMYFUNCTION("""COMPUTED_VALUE"""),40864.645833333336)</f>
        <v>40864.64583</v>
      </c>
      <c r="I1697" s="25">
        <f>IFERROR(__xludf.DUMMYFUNCTION("""COMPUTED_VALUE"""),557.5)</f>
        <v>557.5</v>
      </c>
      <c r="J1697" s="25">
        <f>IFERROR(__xludf.DUMMYFUNCTION("""COMPUTED_VALUE"""),561.75)</f>
        <v>561.75</v>
      </c>
      <c r="K1697" s="25">
        <f>IFERROR(__xludf.DUMMYFUNCTION("""COMPUTED_VALUE"""),553.8)</f>
        <v>553.8</v>
      </c>
      <c r="L1697" s="25">
        <f>IFERROR(__xludf.DUMMYFUNCTION("""COMPUTED_VALUE"""),557.58)</f>
        <v>557.58</v>
      </c>
      <c r="M1697" s="25">
        <f>IFERROR(__xludf.DUMMYFUNCTION("""COMPUTED_VALUE"""),695994.0)</f>
        <v>695994</v>
      </c>
    </row>
    <row r="1698">
      <c r="A1698" s="26">
        <f>IFERROR(__xludf.DUMMYFUNCTION("""COMPUTED_VALUE"""),40865.645833333336)</f>
        <v>40865.64583</v>
      </c>
      <c r="B1698" s="9">
        <f>IFERROR(__xludf.DUMMYFUNCTION("""COMPUTED_VALUE"""),341.38)</f>
        <v>341.38</v>
      </c>
      <c r="C1698" s="9">
        <f>IFERROR(__xludf.DUMMYFUNCTION("""COMPUTED_VALUE"""),345.56)</f>
        <v>345.56</v>
      </c>
      <c r="D1698" s="9">
        <f>IFERROR(__xludf.DUMMYFUNCTION("""COMPUTED_VALUE"""),340.0)</f>
        <v>340</v>
      </c>
      <c r="E1698" s="9">
        <f>IFERROR(__xludf.DUMMYFUNCTION("""COMPUTED_VALUE"""),342.6)</f>
        <v>342.6</v>
      </c>
      <c r="F1698" s="9">
        <f>IFERROR(__xludf.DUMMYFUNCTION("""COMPUTED_VALUE"""),592237.0)</f>
        <v>592237</v>
      </c>
      <c r="H1698" s="27">
        <f>IFERROR(__xludf.DUMMYFUNCTION("""COMPUTED_VALUE"""),40865.645833333336)</f>
        <v>40865.64583</v>
      </c>
      <c r="I1698" s="25">
        <f>IFERROR(__xludf.DUMMYFUNCTION("""COMPUTED_VALUE"""),552.88)</f>
        <v>552.88</v>
      </c>
      <c r="J1698" s="25">
        <f>IFERROR(__xludf.DUMMYFUNCTION("""COMPUTED_VALUE"""),554.9)</f>
        <v>554.9</v>
      </c>
      <c r="K1698" s="25">
        <f>IFERROR(__xludf.DUMMYFUNCTION("""COMPUTED_VALUE"""),538.15)</f>
        <v>538.15</v>
      </c>
      <c r="L1698" s="25">
        <f>IFERROR(__xludf.DUMMYFUNCTION("""COMPUTED_VALUE"""),543.3)</f>
        <v>543.3</v>
      </c>
      <c r="M1698" s="25">
        <f>IFERROR(__xludf.DUMMYFUNCTION("""COMPUTED_VALUE"""),1394721.0)</f>
        <v>1394721</v>
      </c>
    </row>
    <row r="1699">
      <c r="A1699" s="26">
        <f>IFERROR(__xludf.DUMMYFUNCTION("""COMPUTED_VALUE"""),40868.645833333336)</f>
        <v>40868.64583</v>
      </c>
      <c r="B1699" s="9">
        <f>IFERROR(__xludf.DUMMYFUNCTION("""COMPUTED_VALUE"""),340.0)</f>
        <v>340</v>
      </c>
      <c r="C1699" s="9">
        <f>IFERROR(__xludf.DUMMYFUNCTION("""COMPUTED_VALUE"""),341.86)</f>
        <v>341.86</v>
      </c>
      <c r="D1699" s="9">
        <f>IFERROR(__xludf.DUMMYFUNCTION("""COMPUTED_VALUE"""),328.29)</f>
        <v>328.29</v>
      </c>
      <c r="E1699" s="9">
        <f>IFERROR(__xludf.DUMMYFUNCTION("""COMPUTED_VALUE"""),333.76)</f>
        <v>333.76</v>
      </c>
      <c r="F1699" s="9">
        <f>IFERROR(__xludf.DUMMYFUNCTION("""COMPUTED_VALUE"""),1170724.0)</f>
        <v>1170724</v>
      </c>
      <c r="H1699" s="27">
        <f>IFERROR(__xludf.DUMMYFUNCTION("""COMPUTED_VALUE"""),40868.645833333336)</f>
        <v>40868.64583</v>
      </c>
      <c r="I1699" s="25">
        <f>IFERROR(__xludf.DUMMYFUNCTION("""COMPUTED_VALUE"""),542.5)</f>
        <v>542.5</v>
      </c>
      <c r="J1699" s="25">
        <f>IFERROR(__xludf.DUMMYFUNCTION("""COMPUTED_VALUE"""),544.15)</f>
        <v>544.15</v>
      </c>
      <c r="K1699" s="25">
        <f>IFERROR(__xludf.DUMMYFUNCTION("""COMPUTED_VALUE"""),530.05)</f>
        <v>530.05</v>
      </c>
      <c r="L1699" s="25">
        <f>IFERROR(__xludf.DUMMYFUNCTION("""COMPUTED_VALUE"""),533.6)</f>
        <v>533.6</v>
      </c>
      <c r="M1699" s="25">
        <f>IFERROR(__xludf.DUMMYFUNCTION("""COMPUTED_VALUE"""),1435852.0)</f>
        <v>1435852</v>
      </c>
    </row>
    <row r="1700">
      <c r="A1700" s="26">
        <f>IFERROR(__xludf.DUMMYFUNCTION("""COMPUTED_VALUE"""),40869.645833333336)</f>
        <v>40869.64583</v>
      </c>
      <c r="B1700" s="9">
        <f>IFERROR(__xludf.DUMMYFUNCTION("""COMPUTED_VALUE"""),325.0)</f>
        <v>325</v>
      </c>
      <c r="C1700" s="9">
        <f>IFERROR(__xludf.DUMMYFUNCTION("""COMPUTED_VALUE"""),345.61)</f>
        <v>345.61</v>
      </c>
      <c r="D1700" s="9">
        <f>IFERROR(__xludf.DUMMYFUNCTION("""COMPUTED_VALUE"""),325.0)</f>
        <v>325</v>
      </c>
      <c r="E1700" s="9">
        <f>IFERROR(__xludf.DUMMYFUNCTION("""COMPUTED_VALUE"""),340.5)</f>
        <v>340.5</v>
      </c>
      <c r="F1700" s="9">
        <f>IFERROR(__xludf.DUMMYFUNCTION("""COMPUTED_VALUE"""),1857439.0)</f>
        <v>1857439</v>
      </c>
      <c r="H1700" s="27">
        <f>IFERROR(__xludf.DUMMYFUNCTION("""COMPUTED_VALUE"""),40869.645833333336)</f>
        <v>40869.64583</v>
      </c>
      <c r="I1700" s="25">
        <f>IFERROR(__xludf.DUMMYFUNCTION("""COMPUTED_VALUE"""),534.45)</f>
        <v>534.45</v>
      </c>
      <c r="J1700" s="25">
        <f>IFERROR(__xludf.DUMMYFUNCTION("""COMPUTED_VALUE"""),547.5)</f>
        <v>547.5</v>
      </c>
      <c r="K1700" s="25">
        <f>IFERROR(__xludf.DUMMYFUNCTION("""COMPUTED_VALUE"""),528.5)</f>
        <v>528.5</v>
      </c>
      <c r="L1700" s="25">
        <f>IFERROR(__xludf.DUMMYFUNCTION("""COMPUTED_VALUE"""),540.92)</f>
        <v>540.92</v>
      </c>
      <c r="M1700" s="25">
        <f>IFERROR(__xludf.DUMMYFUNCTION("""COMPUTED_VALUE"""),1861791.0)</f>
        <v>1861791</v>
      </c>
    </row>
    <row r="1701">
      <c r="A1701" s="26">
        <f>IFERROR(__xludf.DUMMYFUNCTION("""COMPUTED_VALUE"""),40870.645833333336)</f>
        <v>40870.64583</v>
      </c>
      <c r="B1701" s="9">
        <f>IFERROR(__xludf.DUMMYFUNCTION("""COMPUTED_VALUE"""),334.38)</f>
        <v>334.38</v>
      </c>
      <c r="C1701" s="9">
        <f>IFERROR(__xludf.DUMMYFUNCTION("""COMPUTED_VALUE"""),336.19)</f>
        <v>336.19</v>
      </c>
      <c r="D1701" s="9">
        <f>IFERROR(__xludf.DUMMYFUNCTION("""COMPUTED_VALUE"""),327.17)</f>
        <v>327.17</v>
      </c>
      <c r="E1701" s="9">
        <f>IFERROR(__xludf.DUMMYFUNCTION("""COMPUTED_VALUE"""),331.58)</f>
        <v>331.58</v>
      </c>
      <c r="F1701" s="9">
        <f>IFERROR(__xludf.DUMMYFUNCTION("""COMPUTED_VALUE"""),1599102.0)</f>
        <v>1599102</v>
      </c>
      <c r="H1701" s="27">
        <f>IFERROR(__xludf.DUMMYFUNCTION("""COMPUTED_VALUE"""),40870.645833333336)</f>
        <v>40870.64583</v>
      </c>
      <c r="I1701" s="25">
        <f>IFERROR(__xludf.DUMMYFUNCTION("""COMPUTED_VALUE"""),540.98)</f>
        <v>540.98</v>
      </c>
      <c r="J1701" s="25">
        <f>IFERROR(__xludf.DUMMYFUNCTION("""COMPUTED_VALUE"""),540.98)</f>
        <v>540.98</v>
      </c>
      <c r="K1701" s="25">
        <f>IFERROR(__xludf.DUMMYFUNCTION("""COMPUTED_VALUE"""),520.5)</f>
        <v>520.5</v>
      </c>
      <c r="L1701" s="25">
        <f>IFERROR(__xludf.DUMMYFUNCTION("""COMPUTED_VALUE"""),531.15)</f>
        <v>531.15</v>
      </c>
      <c r="M1701" s="25">
        <f>IFERROR(__xludf.DUMMYFUNCTION("""COMPUTED_VALUE"""),1177875.0)</f>
        <v>1177875</v>
      </c>
    </row>
    <row r="1702">
      <c r="A1702" s="26">
        <f>IFERROR(__xludf.DUMMYFUNCTION("""COMPUTED_VALUE"""),40871.645833333336)</f>
        <v>40871.64583</v>
      </c>
      <c r="B1702" s="9">
        <f>IFERROR(__xludf.DUMMYFUNCTION("""COMPUTED_VALUE"""),330.13)</f>
        <v>330.13</v>
      </c>
      <c r="C1702" s="9">
        <f>IFERROR(__xludf.DUMMYFUNCTION("""COMPUTED_VALUE"""),335.5)</f>
        <v>335.5</v>
      </c>
      <c r="D1702" s="9">
        <f>IFERROR(__xludf.DUMMYFUNCTION("""COMPUTED_VALUE"""),323.33)</f>
        <v>323.33</v>
      </c>
      <c r="E1702" s="9">
        <f>IFERROR(__xludf.DUMMYFUNCTION("""COMPUTED_VALUE"""),333.28)</f>
        <v>333.28</v>
      </c>
      <c r="F1702" s="9">
        <f>IFERROR(__xludf.DUMMYFUNCTION("""COMPUTED_VALUE"""),1653972.0)</f>
        <v>1653972</v>
      </c>
      <c r="H1702" s="27">
        <f>IFERROR(__xludf.DUMMYFUNCTION("""COMPUTED_VALUE"""),40871.645833333336)</f>
        <v>40871.64583</v>
      </c>
      <c r="I1702" s="25">
        <f>IFERROR(__xludf.DUMMYFUNCTION("""COMPUTED_VALUE"""),531.0)</f>
        <v>531</v>
      </c>
      <c r="J1702" s="25">
        <f>IFERROR(__xludf.DUMMYFUNCTION("""COMPUTED_VALUE"""),548.2)</f>
        <v>548.2</v>
      </c>
      <c r="K1702" s="25">
        <f>IFERROR(__xludf.DUMMYFUNCTION("""COMPUTED_VALUE"""),522.5)</f>
        <v>522.5</v>
      </c>
      <c r="L1702" s="25">
        <f>IFERROR(__xludf.DUMMYFUNCTION("""COMPUTED_VALUE"""),545.9)</f>
        <v>545.9</v>
      </c>
      <c r="M1702" s="25">
        <f>IFERROR(__xludf.DUMMYFUNCTION("""COMPUTED_VALUE"""),1883422.0)</f>
        <v>1883422</v>
      </c>
    </row>
    <row r="1703">
      <c r="A1703" s="26">
        <f>IFERROR(__xludf.DUMMYFUNCTION("""COMPUTED_VALUE"""),40872.645833333336)</f>
        <v>40872.64583</v>
      </c>
      <c r="B1703" s="9">
        <f>IFERROR(__xludf.DUMMYFUNCTION("""COMPUTED_VALUE"""),331.88)</f>
        <v>331.88</v>
      </c>
      <c r="C1703" s="9">
        <f>IFERROR(__xludf.DUMMYFUNCTION("""COMPUTED_VALUE"""),331.88)</f>
        <v>331.88</v>
      </c>
      <c r="D1703" s="9">
        <f>IFERROR(__xludf.DUMMYFUNCTION("""COMPUTED_VALUE"""),323.88)</f>
        <v>323.88</v>
      </c>
      <c r="E1703" s="9">
        <f>IFERROR(__xludf.DUMMYFUNCTION("""COMPUTED_VALUE"""),324.96)</f>
        <v>324.96</v>
      </c>
      <c r="F1703" s="9">
        <f>IFERROR(__xludf.DUMMYFUNCTION("""COMPUTED_VALUE"""),1002816.0)</f>
        <v>1002816</v>
      </c>
      <c r="H1703" s="27">
        <f>IFERROR(__xludf.DUMMYFUNCTION("""COMPUTED_VALUE"""),40872.645833333336)</f>
        <v>40872.64583</v>
      </c>
      <c r="I1703" s="25">
        <f>IFERROR(__xludf.DUMMYFUNCTION("""COMPUTED_VALUE"""),542.5)</f>
        <v>542.5</v>
      </c>
      <c r="J1703" s="25">
        <f>IFERROR(__xludf.DUMMYFUNCTION("""COMPUTED_VALUE"""),543.95)</f>
        <v>543.95</v>
      </c>
      <c r="K1703" s="25">
        <f>IFERROR(__xludf.DUMMYFUNCTION("""COMPUTED_VALUE"""),528.55)</f>
        <v>528.55</v>
      </c>
      <c r="L1703" s="25">
        <f>IFERROR(__xludf.DUMMYFUNCTION("""COMPUTED_VALUE"""),531.95)</f>
        <v>531.95</v>
      </c>
      <c r="M1703" s="25">
        <f>IFERROR(__xludf.DUMMYFUNCTION("""COMPUTED_VALUE"""),1070302.0)</f>
        <v>1070302</v>
      </c>
    </row>
    <row r="1704">
      <c r="A1704" s="26">
        <f>IFERROR(__xludf.DUMMYFUNCTION("""COMPUTED_VALUE"""),40875.645833333336)</f>
        <v>40875.64583</v>
      </c>
      <c r="B1704" s="9">
        <f>IFERROR(__xludf.DUMMYFUNCTION("""COMPUTED_VALUE"""),327.51)</f>
        <v>327.51</v>
      </c>
      <c r="C1704" s="9">
        <f>IFERROR(__xludf.DUMMYFUNCTION("""COMPUTED_VALUE"""),331.24)</f>
        <v>331.24</v>
      </c>
      <c r="D1704" s="9">
        <f>IFERROR(__xludf.DUMMYFUNCTION("""COMPUTED_VALUE"""),326.56)</f>
        <v>326.56</v>
      </c>
      <c r="E1704" s="9">
        <f>IFERROR(__xludf.DUMMYFUNCTION("""COMPUTED_VALUE"""),329.52)</f>
        <v>329.52</v>
      </c>
      <c r="F1704" s="9">
        <f>IFERROR(__xludf.DUMMYFUNCTION("""COMPUTED_VALUE"""),911276.0)</f>
        <v>911276</v>
      </c>
      <c r="H1704" s="27">
        <f>IFERROR(__xludf.DUMMYFUNCTION("""COMPUTED_VALUE"""),40875.645833333336)</f>
        <v>40875.64583</v>
      </c>
      <c r="I1704" s="25">
        <f>IFERROR(__xludf.DUMMYFUNCTION("""COMPUTED_VALUE"""),538.98)</f>
        <v>538.98</v>
      </c>
      <c r="J1704" s="25">
        <f>IFERROR(__xludf.DUMMYFUNCTION("""COMPUTED_VALUE"""),548.0)</f>
        <v>548</v>
      </c>
      <c r="K1704" s="25">
        <f>IFERROR(__xludf.DUMMYFUNCTION("""COMPUTED_VALUE"""),537.0)</f>
        <v>537</v>
      </c>
      <c r="L1704" s="25">
        <f>IFERROR(__xludf.DUMMYFUNCTION("""COMPUTED_VALUE"""),544.25)</f>
        <v>544.25</v>
      </c>
      <c r="M1704" s="25">
        <f>IFERROR(__xludf.DUMMYFUNCTION("""COMPUTED_VALUE"""),752243.0)</f>
        <v>752243</v>
      </c>
    </row>
    <row r="1705">
      <c r="A1705" s="26">
        <f>IFERROR(__xludf.DUMMYFUNCTION("""COMPUTED_VALUE"""),40876.645833333336)</f>
        <v>40876.64583</v>
      </c>
      <c r="B1705" s="9">
        <f>IFERROR(__xludf.DUMMYFUNCTION("""COMPUTED_VALUE"""),327.78)</f>
        <v>327.78</v>
      </c>
      <c r="C1705" s="9">
        <f>IFERROR(__xludf.DUMMYFUNCTION("""COMPUTED_VALUE"""),328.51)</f>
        <v>328.51</v>
      </c>
      <c r="D1705" s="9">
        <f>IFERROR(__xludf.DUMMYFUNCTION("""COMPUTED_VALUE"""),322.66)</f>
        <v>322.66</v>
      </c>
      <c r="E1705" s="9">
        <f>IFERROR(__xludf.DUMMYFUNCTION("""COMPUTED_VALUE"""),324.74)</f>
        <v>324.74</v>
      </c>
      <c r="F1705" s="9">
        <f>IFERROR(__xludf.DUMMYFUNCTION("""COMPUTED_VALUE"""),1332421.0)</f>
        <v>1332421</v>
      </c>
      <c r="H1705" s="27">
        <f>IFERROR(__xludf.DUMMYFUNCTION("""COMPUTED_VALUE"""),40876.645833333336)</f>
        <v>40876.64583</v>
      </c>
      <c r="I1705" s="25">
        <f>IFERROR(__xludf.DUMMYFUNCTION("""COMPUTED_VALUE"""),546.5)</f>
        <v>546.5</v>
      </c>
      <c r="J1705" s="25">
        <f>IFERROR(__xludf.DUMMYFUNCTION("""COMPUTED_VALUE"""),552.95)</f>
        <v>552.95</v>
      </c>
      <c r="K1705" s="25">
        <f>IFERROR(__xludf.DUMMYFUNCTION("""COMPUTED_VALUE"""),543.1)</f>
        <v>543.1</v>
      </c>
      <c r="L1705" s="25">
        <f>IFERROR(__xludf.DUMMYFUNCTION("""COMPUTED_VALUE"""),546.65)</f>
        <v>546.65</v>
      </c>
      <c r="M1705" s="25">
        <f>IFERROR(__xludf.DUMMYFUNCTION("""COMPUTED_VALUE"""),1277348.0)</f>
        <v>1277348</v>
      </c>
    </row>
    <row r="1706">
      <c r="A1706" s="26">
        <f>IFERROR(__xludf.DUMMYFUNCTION("""COMPUTED_VALUE"""),40877.645833333336)</f>
        <v>40877.64583</v>
      </c>
      <c r="B1706" s="9">
        <f>IFERROR(__xludf.DUMMYFUNCTION("""COMPUTED_VALUE"""),322.63)</f>
        <v>322.63</v>
      </c>
      <c r="C1706" s="9">
        <f>IFERROR(__xludf.DUMMYFUNCTION("""COMPUTED_VALUE"""),328.13)</f>
        <v>328.13</v>
      </c>
      <c r="D1706" s="9">
        <f>IFERROR(__xludf.DUMMYFUNCTION("""COMPUTED_VALUE"""),320.13)</f>
        <v>320.13</v>
      </c>
      <c r="E1706" s="9">
        <f>IFERROR(__xludf.DUMMYFUNCTION("""COMPUTED_VALUE"""),325.86)</f>
        <v>325.86</v>
      </c>
      <c r="F1706" s="9">
        <f>IFERROR(__xludf.DUMMYFUNCTION("""COMPUTED_VALUE"""),1455029.0)</f>
        <v>1455029</v>
      </c>
      <c r="H1706" s="27">
        <f>IFERROR(__xludf.DUMMYFUNCTION("""COMPUTED_VALUE"""),40877.645833333336)</f>
        <v>40877.64583</v>
      </c>
      <c r="I1706" s="25">
        <f>IFERROR(__xludf.DUMMYFUNCTION("""COMPUTED_VALUE"""),540.58)</f>
        <v>540.58</v>
      </c>
      <c r="J1706" s="25">
        <f>IFERROR(__xludf.DUMMYFUNCTION("""COMPUTED_VALUE"""),561.48)</f>
        <v>561.48</v>
      </c>
      <c r="K1706" s="25">
        <f>IFERROR(__xludf.DUMMYFUNCTION("""COMPUTED_VALUE"""),540.58)</f>
        <v>540.58</v>
      </c>
      <c r="L1706" s="25">
        <f>IFERROR(__xludf.DUMMYFUNCTION("""COMPUTED_VALUE"""),557.78)</f>
        <v>557.78</v>
      </c>
      <c r="M1706" s="25">
        <f>IFERROR(__xludf.DUMMYFUNCTION("""COMPUTED_VALUE"""),1740849.0)</f>
        <v>1740849</v>
      </c>
    </row>
    <row r="1707">
      <c r="A1707" s="26">
        <f>IFERROR(__xludf.DUMMYFUNCTION("""COMPUTED_VALUE"""),40878.645833333336)</f>
        <v>40878.64583</v>
      </c>
      <c r="B1707" s="9">
        <f>IFERROR(__xludf.DUMMYFUNCTION("""COMPUTED_VALUE"""),334.25)</f>
        <v>334.25</v>
      </c>
      <c r="C1707" s="9">
        <f>IFERROR(__xludf.DUMMYFUNCTION("""COMPUTED_VALUE"""),336.36)</f>
        <v>336.36</v>
      </c>
      <c r="D1707" s="9">
        <f>IFERROR(__xludf.DUMMYFUNCTION("""COMPUTED_VALUE"""),328.83)</f>
        <v>328.83</v>
      </c>
      <c r="E1707" s="9">
        <f>IFERROR(__xludf.DUMMYFUNCTION("""COMPUTED_VALUE"""),331.92)</f>
        <v>331.92</v>
      </c>
      <c r="F1707" s="9">
        <f>IFERROR(__xludf.DUMMYFUNCTION("""COMPUTED_VALUE"""),1015651.0)</f>
        <v>1015651</v>
      </c>
      <c r="H1707" s="27">
        <f>IFERROR(__xludf.DUMMYFUNCTION("""COMPUTED_VALUE"""),40878.645833333336)</f>
        <v>40878.64583</v>
      </c>
      <c r="I1707" s="25">
        <f>IFERROR(__xludf.DUMMYFUNCTION("""COMPUTED_VALUE"""),570.0)</f>
        <v>570</v>
      </c>
      <c r="J1707" s="25">
        <f>IFERROR(__xludf.DUMMYFUNCTION("""COMPUTED_VALUE"""),574.28)</f>
        <v>574.28</v>
      </c>
      <c r="K1707" s="25">
        <f>IFERROR(__xludf.DUMMYFUNCTION("""COMPUTED_VALUE"""),563.1)</f>
        <v>563.1</v>
      </c>
      <c r="L1707" s="25">
        <f>IFERROR(__xludf.DUMMYFUNCTION("""COMPUTED_VALUE"""),567.4)</f>
        <v>567.4</v>
      </c>
      <c r="M1707" s="25">
        <f>IFERROR(__xludf.DUMMYFUNCTION("""COMPUTED_VALUE"""),1240724.0)</f>
        <v>1240724</v>
      </c>
    </row>
    <row r="1708">
      <c r="A1708" s="26">
        <f>IFERROR(__xludf.DUMMYFUNCTION("""COMPUTED_VALUE"""),40879.645833333336)</f>
        <v>40879.64583</v>
      </c>
      <c r="B1708" s="9">
        <f>IFERROR(__xludf.DUMMYFUNCTION("""COMPUTED_VALUE"""),331.38)</f>
        <v>331.38</v>
      </c>
      <c r="C1708" s="9">
        <f>IFERROR(__xludf.DUMMYFUNCTION("""COMPUTED_VALUE"""),339.43)</f>
        <v>339.43</v>
      </c>
      <c r="D1708" s="9">
        <f>IFERROR(__xludf.DUMMYFUNCTION("""COMPUTED_VALUE"""),330.99)</f>
        <v>330.99</v>
      </c>
      <c r="E1708" s="9">
        <f>IFERROR(__xludf.DUMMYFUNCTION("""COMPUTED_VALUE"""),336.77)</f>
        <v>336.77</v>
      </c>
      <c r="F1708" s="9">
        <f>IFERROR(__xludf.DUMMYFUNCTION("""COMPUTED_VALUE"""),1181426.0)</f>
        <v>1181426</v>
      </c>
      <c r="H1708" s="27">
        <f>IFERROR(__xludf.DUMMYFUNCTION("""COMPUTED_VALUE"""),40879.645833333336)</f>
        <v>40879.64583</v>
      </c>
      <c r="I1708" s="25">
        <f>IFERROR(__xludf.DUMMYFUNCTION("""COMPUTED_VALUE"""),567.42)</f>
        <v>567.42</v>
      </c>
      <c r="J1708" s="25">
        <f>IFERROR(__xludf.DUMMYFUNCTION("""COMPUTED_VALUE"""),592.5)</f>
        <v>592.5</v>
      </c>
      <c r="K1708" s="25">
        <f>IFERROR(__xludf.DUMMYFUNCTION("""COMPUTED_VALUE"""),564.8)</f>
        <v>564.8</v>
      </c>
      <c r="L1708" s="25">
        <f>IFERROR(__xludf.DUMMYFUNCTION("""COMPUTED_VALUE"""),589.0)</f>
        <v>589</v>
      </c>
      <c r="M1708" s="25">
        <f>IFERROR(__xludf.DUMMYFUNCTION("""COMPUTED_VALUE"""),1984433.0)</f>
        <v>1984433</v>
      </c>
    </row>
    <row r="1709">
      <c r="A1709" s="26">
        <f>IFERROR(__xludf.DUMMYFUNCTION("""COMPUTED_VALUE"""),40882.645833333336)</f>
        <v>40882.64583</v>
      </c>
      <c r="B1709" s="9">
        <f>IFERROR(__xludf.DUMMYFUNCTION("""COMPUTED_VALUE"""),336.25)</f>
        <v>336.25</v>
      </c>
      <c r="C1709" s="9">
        <f>IFERROR(__xludf.DUMMYFUNCTION("""COMPUTED_VALUE"""),339.72)</f>
        <v>339.72</v>
      </c>
      <c r="D1709" s="9">
        <f>IFERROR(__xludf.DUMMYFUNCTION("""COMPUTED_VALUE"""),334.4)</f>
        <v>334.4</v>
      </c>
      <c r="E1709" s="9">
        <f>IFERROR(__xludf.DUMMYFUNCTION("""COMPUTED_VALUE"""),337.64)</f>
        <v>337.64</v>
      </c>
      <c r="F1709" s="9">
        <f>IFERROR(__xludf.DUMMYFUNCTION("""COMPUTED_VALUE"""),933523.0)</f>
        <v>933523</v>
      </c>
      <c r="H1709" s="27">
        <f>IFERROR(__xludf.DUMMYFUNCTION("""COMPUTED_VALUE"""),40882.645833333336)</f>
        <v>40882.64583</v>
      </c>
      <c r="I1709" s="25">
        <f>IFERROR(__xludf.DUMMYFUNCTION("""COMPUTED_VALUE"""),586.25)</f>
        <v>586.25</v>
      </c>
      <c r="J1709" s="25">
        <f>IFERROR(__xludf.DUMMYFUNCTION("""COMPUTED_VALUE"""),591.95)</f>
        <v>591.95</v>
      </c>
      <c r="K1709" s="25">
        <f>IFERROR(__xludf.DUMMYFUNCTION("""COMPUTED_VALUE"""),581.28)</f>
        <v>581.28</v>
      </c>
      <c r="L1709" s="25">
        <f>IFERROR(__xludf.DUMMYFUNCTION("""COMPUTED_VALUE"""),590.48)</f>
        <v>590.48</v>
      </c>
      <c r="M1709" s="25">
        <f>IFERROR(__xludf.DUMMYFUNCTION("""COMPUTED_VALUE"""),765238.0)</f>
        <v>765238</v>
      </c>
    </row>
    <row r="1710">
      <c r="A1710" s="26">
        <f>IFERROR(__xludf.DUMMYFUNCTION("""COMPUTED_VALUE"""),40884.645833333336)</f>
        <v>40884.64583</v>
      </c>
      <c r="B1710" s="9">
        <f>IFERROR(__xludf.DUMMYFUNCTION("""COMPUTED_VALUE"""),338.13)</f>
        <v>338.13</v>
      </c>
      <c r="C1710" s="9">
        <f>IFERROR(__xludf.DUMMYFUNCTION("""COMPUTED_VALUE"""),346.55)</f>
        <v>346.55</v>
      </c>
      <c r="D1710" s="9">
        <f>IFERROR(__xludf.DUMMYFUNCTION("""COMPUTED_VALUE"""),335.51)</f>
        <v>335.51</v>
      </c>
      <c r="E1710" s="9">
        <f>IFERROR(__xludf.DUMMYFUNCTION("""COMPUTED_VALUE"""),344.87)</f>
        <v>344.87</v>
      </c>
      <c r="F1710" s="9">
        <f>IFERROR(__xludf.DUMMYFUNCTION("""COMPUTED_VALUE"""),1008799.0)</f>
        <v>1008799</v>
      </c>
      <c r="H1710" s="27">
        <f>IFERROR(__xludf.DUMMYFUNCTION("""COMPUTED_VALUE"""),40884.645833333336)</f>
        <v>40884.64583</v>
      </c>
      <c r="I1710" s="25">
        <f>IFERROR(__xludf.DUMMYFUNCTION("""COMPUTED_VALUE"""),590.0)</f>
        <v>590</v>
      </c>
      <c r="J1710" s="25">
        <f>IFERROR(__xludf.DUMMYFUNCTION("""COMPUTED_VALUE"""),596.45)</f>
        <v>596.45</v>
      </c>
      <c r="K1710" s="25">
        <f>IFERROR(__xludf.DUMMYFUNCTION("""COMPUTED_VALUE"""),586.8)</f>
        <v>586.8</v>
      </c>
      <c r="L1710" s="25">
        <f>IFERROR(__xludf.DUMMYFUNCTION("""COMPUTED_VALUE"""),589.78)</f>
        <v>589.78</v>
      </c>
      <c r="M1710" s="25">
        <f>IFERROR(__xludf.DUMMYFUNCTION("""COMPUTED_VALUE"""),1318711.0)</f>
        <v>1318711</v>
      </c>
    </row>
    <row r="1711">
      <c r="A1711" s="26">
        <f>IFERROR(__xludf.DUMMYFUNCTION("""COMPUTED_VALUE"""),40885.645833333336)</f>
        <v>40885.64583</v>
      </c>
      <c r="B1711" s="9">
        <f>IFERROR(__xludf.DUMMYFUNCTION("""COMPUTED_VALUE"""),343.38)</f>
        <v>343.38</v>
      </c>
      <c r="C1711" s="9">
        <f>IFERROR(__xludf.DUMMYFUNCTION("""COMPUTED_VALUE"""),344.75)</f>
        <v>344.75</v>
      </c>
      <c r="D1711" s="9">
        <f>IFERROR(__xludf.DUMMYFUNCTION("""COMPUTED_VALUE"""),337.01)</f>
        <v>337.01</v>
      </c>
      <c r="E1711" s="9">
        <f>IFERROR(__xludf.DUMMYFUNCTION("""COMPUTED_VALUE"""),340.43)</f>
        <v>340.43</v>
      </c>
      <c r="F1711" s="9">
        <f>IFERROR(__xludf.DUMMYFUNCTION("""COMPUTED_VALUE"""),911948.0)</f>
        <v>911948</v>
      </c>
      <c r="H1711" s="27">
        <f>IFERROR(__xludf.DUMMYFUNCTION("""COMPUTED_VALUE"""),40885.645833333336)</f>
        <v>40885.64583</v>
      </c>
      <c r="I1711" s="25">
        <f>IFERROR(__xludf.DUMMYFUNCTION("""COMPUTED_VALUE"""),585.0)</f>
        <v>585</v>
      </c>
      <c r="J1711" s="25">
        <f>IFERROR(__xludf.DUMMYFUNCTION("""COMPUTED_VALUE"""),594.5)</f>
        <v>594.5</v>
      </c>
      <c r="K1711" s="25">
        <f>IFERROR(__xludf.DUMMYFUNCTION("""COMPUTED_VALUE"""),583.58)</f>
        <v>583.58</v>
      </c>
      <c r="L1711" s="25">
        <f>IFERROR(__xludf.DUMMYFUNCTION("""COMPUTED_VALUE"""),588.8)</f>
        <v>588.8</v>
      </c>
      <c r="M1711" s="25">
        <f>IFERROR(__xludf.DUMMYFUNCTION("""COMPUTED_VALUE"""),1663222.0)</f>
        <v>1663222</v>
      </c>
    </row>
    <row r="1712">
      <c r="A1712" s="26">
        <f>IFERROR(__xludf.DUMMYFUNCTION("""COMPUTED_VALUE"""),40886.645833333336)</f>
        <v>40886.64583</v>
      </c>
      <c r="B1712" s="9">
        <f>IFERROR(__xludf.DUMMYFUNCTION("""COMPUTED_VALUE"""),333.52)</f>
        <v>333.52</v>
      </c>
      <c r="C1712" s="9">
        <f>IFERROR(__xludf.DUMMYFUNCTION("""COMPUTED_VALUE"""),342.48)</f>
        <v>342.48</v>
      </c>
      <c r="D1712" s="9">
        <f>IFERROR(__xludf.DUMMYFUNCTION("""COMPUTED_VALUE"""),332.53)</f>
        <v>332.53</v>
      </c>
      <c r="E1712" s="9">
        <f>IFERROR(__xludf.DUMMYFUNCTION("""COMPUTED_VALUE"""),338.79)</f>
        <v>338.79</v>
      </c>
      <c r="F1712" s="9">
        <f>IFERROR(__xludf.DUMMYFUNCTION("""COMPUTED_VALUE"""),1321344.0)</f>
        <v>1321344</v>
      </c>
      <c r="H1712" s="27">
        <f>IFERROR(__xludf.DUMMYFUNCTION("""COMPUTED_VALUE"""),40886.645833333336)</f>
        <v>40886.64583</v>
      </c>
      <c r="I1712" s="25">
        <f>IFERROR(__xludf.DUMMYFUNCTION("""COMPUTED_VALUE"""),580.5)</f>
        <v>580.5</v>
      </c>
      <c r="J1712" s="25">
        <f>IFERROR(__xludf.DUMMYFUNCTION("""COMPUTED_VALUE"""),591.4)</f>
        <v>591.4</v>
      </c>
      <c r="K1712" s="25">
        <f>IFERROR(__xludf.DUMMYFUNCTION("""COMPUTED_VALUE"""),580.5)</f>
        <v>580.5</v>
      </c>
      <c r="L1712" s="25">
        <f>IFERROR(__xludf.DUMMYFUNCTION("""COMPUTED_VALUE"""),586.2)</f>
        <v>586.2</v>
      </c>
      <c r="M1712" s="25">
        <f>IFERROR(__xludf.DUMMYFUNCTION("""COMPUTED_VALUE"""),1381615.0)</f>
        <v>1381615</v>
      </c>
    </row>
    <row r="1713">
      <c r="A1713" s="26">
        <f>IFERROR(__xludf.DUMMYFUNCTION("""COMPUTED_VALUE"""),40889.645833333336)</f>
        <v>40889.64583</v>
      </c>
      <c r="B1713" s="9">
        <f>IFERROR(__xludf.DUMMYFUNCTION("""COMPUTED_VALUE"""),339.99)</f>
        <v>339.99</v>
      </c>
      <c r="C1713" s="9">
        <f>IFERROR(__xludf.DUMMYFUNCTION("""COMPUTED_VALUE"""),344.5)</f>
        <v>344.5</v>
      </c>
      <c r="D1713" s="9">
        <f>IFERROR(__xludf.DUMMYFUNCTION("""COMPUTED_VALUE"""),337.23)</f>
        <v>337.23</v>
      </c>
      <c r="E1713" s="9">
        <f>IFERROR(__xludf.DUMMYFUNCTION("""COMPUTED_VALUE"""),342.53)</f>
        <v>342.53</v>
      </c>
      <c r="F1713" s="9">
        <f>IFERROR(__xludf.DUMMYFUNCTION("""COMPUTED_VALUE"""),1378225.0)</f>
        <v>1378225</v>
      </c>
      <c r="H1713" s="27">
        <f>IFERROR(__xludf.DUMMYFUNCTION("""COMPUTED_VALUE"""),40889.645833333336)</f>
        <v>40889.64583</v>
      </c>
      <c r="I1713" s="25">
        <f>IFERROR(__xludf.DUMMYFUNCTION("""COMPUTED_VALUE"""),588.0)</f>
        <v>588</v>
      </c>
      <c r="J1713" s="25">
        <f>IFERROR(__xludf.DUMMYFUNCTION("""COMPUTED_VALUE"""),595.0)</f>
        <v>595</v>
      </c>
      <c r="K1713" s="25">
        <f>IFERROR(__xludf.DUMMYFUNCTION("""COMPUTED_VALUE"""),577.55)</f>
        <v>577.55</v>
      </c>
      <c r="L1713" s="25">
        <f>IFERROR(__xludf.DUMMYFUNCTION("""COMPUTED_VALUE"""),590.17)</f>
        <v>590.17</v>
      </c>
      <c r="M1713" s="25">
        <f>IFERROR(__xludf.DUMMYFUNCTION("""COMPUTED_VALUE"""),1586085.0)</f>
        <v>1586085</v>
      </c>
    </row>
    <row r="1714">
      <c r="A1714" s="26">
        <f>IFERROR(__xludf.DUMMYFUNCTION("""COMPUTED_VALUE"""),40890.645833333336)</f>
        <v>40890.64583</v>
      </c>
      <c r="B1714" s="9">
        <f>IFERROR(__xludf.DUMMYFUNCTION("""COMPUTED_VALUE"""),341.41)</f>
        <v>341.41</v>
      </c>
      <c r="C1714" s="9">
        <f>IFERROR(__xludf.DUMMYFUNCTION("""COMPUTED_VALUE"""),345.61)</f>
        <v>345.61</v>
      </c>
      <c r="D1714" s="9">
        <f>IFERROR(__xludf.DUMMYFUNCTION("""COMPUTED_VALUE"""),338.59)</f>
        <v>338.59</v>
      </c>
      <c r="E1714" s="9">
        <f>IFERROR(__xludf.DUMMYFUNCTION("""COMPUTED_VALUE"""),344.03)</f>
        <v>344.03</v>
      </c>
      <c r="F1714" s="9">
        <f>IFERROR(__xludf.DUMMYFUNCTION("""COMPUTED_VALUE"""),1206042.0)</f>
        <v>1206042</v>
      </c>
      <c r="H1714" s="27">
        <f>IFERROR(__xludf.DUMMYFUNCTION("""COMPUTED_VALUE"""),40890.645833333336)</f>
        <v>40890.64583</v>
      </c>
      <c r="I1714" s="25">
        <f>IFERROR(__xludf.DUMMYFUNCTION("""COMPUTED_VALUE"""),587.5)</f>
        <v>587.5</v>
      </c>
      <c r="J1714" s="25">
        <f>IFERROR(__xludf.DUMMYFUNCTION("""COMPUTED_VALUE"""),598.45)</f>
        <v>598.45</v>
      </c>
      <c r="K1714" s="25">
        <f>IFERROR(__xludf.DUMMYFUNCTION("""COMPUTED_VALUE"""),583.33)</f>
        <v>583.33</v>
      </c>
      <c r="L1714" s="25">
        <f>IFERROR(__xludf.DUMMYFUNCTION("""COMPUTED_VALUE"""),589.35)</f>
        <v>589.35</v>
      </c>
      <c r="M1714" s="25">
        <f>IFERROR(__xludf.DUMMYFUNCTION("""COMPUTED_VALUE"""),1637279.0)</f>
        <v>1637279</v>
      </c>
    </row>
    <row r="1715">
      <c r="A1715" s="26">
        <f>IFERROR(__xludf.DUMMYFUNCTION("""COMPUTED_VALUE"""),40891.645833333336)</f>
        <v>40891.64583</v>
      </c>
      <c r="B1715" s="9">
        <f>IFERROR(__xludf.DUMMYFUNCTION("""COMPUTED_VALUE"""),343.75)</f>
        <v>343.75</v>
      </c>
      <c r="C1715" s="9">
        <f>IFERROR(__xludf.DUMMYFUNCTION("""COMPUTED_VALUE"""),345.91)</f>
        <v>345.91</v>
      </c>
      <c r="D1715" s="9">
        <f>IFERROR(__xludf.DUMMYFUNCTION("""COMPUTED_VALUE"""),340.63)</f>
        <v>340.63</v>
      </c>
      <c r="E1715" s="9">
        <f>IFERROR(__xludf.DUMMYFUNCTION("""COMPUTED_VALUE"""),342.53)</f>
        <v>342.53</v>
      </c>
      <c r="F1715" s="9">
        <f>IFERROR(__xludf.DUMMYFUNCTION("""COMPUTED_VALUE"""),1232204.0)</f>
        <v>1232204</v>
      </c>
      <c r="H1715" s="27">
        <f>IFERROR(__xludf.DUMMYFUNCTION("""COMPUTED_VALUE"""),40891.645833333336)</f>
        <v>40891.64583</v>
      </c>
      <c r="I1715" s="25">
        <f>IFERROR(__xludf.DUMMYFUNCTION("""COMPUTED_VALUE"""),590.25)</f>
        <v>590.25</v>
      </c>
      <c r="J1715" s="25">
        <f>IFERROR(__xludf.DUMMYFUNCTION("""COMPUTED_VALUE"""),594.5)</f>
        <v>594.5</v>
      </c>
      <c r="K1715" s="25">
        <f>IFERROR(__xludf.DUMMYFUNCTION("""COMPUTED_VALUE"""),585.0)</f>
        <v>585</v>
      </c>
      <c r="L1715" s="25">
        <f>IFERROR(__xludf.DUMMYFUNCTION("""COMPUTED_VALUE"""),591.23)</f>
        <v>591.23</v>
      </c>
      <c r="M1715" s="25">
        <f>IFERROR(__xludf.DUMMYFUNCTION("""COMPUTED_VALUE"""),1673088.0)</f>
        <v>1673088</v>
      </c>
    </row>
    <row r="1716">
      <c r="A1716" s="26">
        <f>IFERROR(__xludf.DUMMYFUNCTION("""COMPUTED_VALUE"""),40892.645833333336)</f>
        <v>40892.64583</v>
      </c>
      <c r="B1716" s="9">
        <f>IFERROR(__xludf.DUMMYFUNCTION("""COMPUTED_VALUE"""),340.79)</f>
        <v>340.79</v>
      </c>
      <c r="C1716" s="9">
        <f>IFERROR(__xludf.DUMMYFUNCTION("""COMPUTED_VALUE"""),341.79)</f>
        <v>341.79</v>
      </c>
      <c r="D1716" s="9">
        <f>IFERROR(__xludf.DUMMYFUNCTION("""COMPUTED_VALUE"""),333.13)</f>
        <v>333.13</v>
      </c>
      <c r="E1716" s="9">
        <f>IFERROR(__xludf.DUMMYFUNCTION("""COMPUTED_VALUE"""),339.54)</f>
        <v>339.54</v>
      </c>
      <c r="F1716" s="9">
        <f>IFERROR(__xludf.DUMMYFUNCTION("""COMPUTED_VALUE"""),1256646.0)</f>
        <v>1256646</v>
      </c>
      <c r="H1716" s="27">
        <f>IFERROR(__xludf.DUMMYFUNCTION("""COMPUTED_VALUE"""),40892.645833333336)</f>
        <v>40892.64583</v>
      </c>
      <c r="I1716" s="25">
        <f>IFERROR(__xludf.DUMMYFUNCTION("""COMPUTED_VALUE"""),589.85)</f>
        <v>589.85</v>
      </c>
      <c r="J1716" s="25">
        <f>IFERROR(__xludf.DUMMYFUNCTION("""COMPUTED_VALUE"""),594.95)</f>
        <v>594.95</v>
      </c>
      <c r="K1716" s="25">
        <f>IFERROR(__xludf.DUMMYFUNCTION("""COMPUTED_VALUE"""),577.3)</f>
        <v>577.3</v>
      </c>
      <c r="L1716" s="25">
        <f>IFERROR(__xludf.DUMMYFUNCTION("""COMPUTED_VALUE"""),591.25)</f>
        <v>591.25</v>
      </c>
      <c r="M1716" s="25">
        <f>IFERROR(__xludf.DUMMYFUNCTION("""COMPUTED_VALUE"""),1834686.0)</f>
        <v>1834686</v>
      </c>
    </row>
    <row r="1717">
      <c r="A1717" s="26">
        <f>IFERROR(__xludf.DUMMYFUNCTION("""COMPUTED_VALUE"""),40893.645833333336)</f>
        <v>40893.64583</v>
      </c>
      <c r="B1717" s="9">
        <f>IFERROR(__xludf.DUMMYFUNCTION("""COMPUTED_VALUE"""),336.88)</f>
        <v>336.88</v>
      </c>
      <c r="C1717" s="9">
        <f>IFERROR(__xludf.DUMMYFUNCTION("""COMPUTED_VALUE"""),348.6)</f>
        <v>348.6</v>
      </c>
      <c r="D1717" s="9">
        <f>IFERROR(__xludf.DUMMYFUNCTION("""COMPUTED_VALUE"""),336.49)</f>
        <v>336.49</v>
      </c>
      <c r="E1717" s="9">
        <f>IFERROR(__xludf.DUMMYFUNCTION("""COMPUTED_VALUE"""),340.56)</f>
        <v>340.56</v>
      </c>
      <c r="F1717" s="9">
        <f>IFERROR(__xludf.DUMMYFUNCTION("""COMPUTED_VALUE"""),1708661.0)</f>
        <v>1708661</v>
      </c>
      <c r="H1717" s="27">
        <f>IFERROR(__xludf.DUMMYFUNCTION("""COMPUTED_VALUE"""),40893.645833333336)</f>
        <v>40893.64583</v>
      </c>
      <c r="I1717" s="25">
        <f>IFERROR(__xludf.DUMMYFUNCTION("""COMPUTED_VALUE"""),588.28)</f>
        <v>588.28</v>
      </c>
      <c r="J1717" s="25">
        <f>IFERROR(__xludf.DUMMYFUNCTION("""COMPUTED_VALUE"""),591.28)</f>
        <v>591.28</v>
      </c>
      <c r="K1717" s="25">
        <f>IFERROR(__xludf.DUMMYFUNCTION("""COMPUTED_VALUE"""),566.15)</f>
        <v>566.15</v>
      </c>
      <c r="L1717" s="25">
        <f>IFERROR(__xludf.DUMMYFUNCTION("""COMPUTED_VALUE"""),573.15)</f>
        <v>573.15</v>
      </c>
      <c r="M1717" s="25">
        <f>IFERROR(__xludf.DUMMYFUNCTION("""COMPUTED_VALUE"""),1775448.0)</f>
        <v>1775448</v>
      </c>
    </row>
    <row r="1718">
      <c r="A1718" s="26">
        <f>IFERROR(__xludf.DUMMYFUNCTION("""COMPUTED_VALUE"""),40896.645833333336)</f>
        <v>40896.64583</v>
      </c>
      <c r="B1718" s="9">
        <f>IFERROR(__xludf.DUMMYFUNCTION("""COMPUTED_VALUE"""),336.25)</f>
        <v>336.25</v>
      </c>
      <c r="C1718" s="9">
        <f>IFERROR(__xludf.DUMMYFUNCTION("""COMPUTED_VALUE"""),337.94)</f>
        <v>337.94</v>
      </c>
      <c r="D1718" s="9">
        <f>IFERROR(__xludf.DUMMYFUNCTION("""COMPUTED_VALUE"""),331.98)</f>
        <v>331.98</v>
      </c>
      <c r="E1718" s="9">
        <f>IFERROR(__xludf.DUMMYFUNCTION("""COMPUTED_VALUE"""),334.55)</f>
        <v>334.55</v>
      </c>
      <c r="F1718" s="9">
        <f>IFERROR(__xludf.DUMMYFUNCTION("""COMPUTED_VALUE"""),1508054.0)</f>
        <v>1508054</v>
      </c>
      <c r="H1718" s="27">
        <f>IFERROR(__xludf.DUMMYFUNCTION("""COMPUTED_VALUE"""),40896.645833333336)</f>
        <v>40896.64583</v>
      </c>
      <c r="I1718" s="25">
        <f>IFERROR(__xludf.DUMMYFUNCTION("""COMPUTED_VALUE"""),569.5)</f>
        <v>569.5</v>
      </c>
      <c r="J1718" s="25">
        <f>IFERROR(__xludf.DUMMYFUNCTION("""COMPUTED_VALUE"""),578.7)</f>
        <v>578.7</v>
      </c>
      <c r="K1718" s="25">
        <f>IFERROR(__xludf.DUMMYFUNCTION("""COMPUTED_VALUE"""),557.2)</f>
        <v>557.2</v>
      </c>
      <c r="L1718" s="25">
        <f>IFERROR(__xludf.DUMMYFUNCTION("""COMPUTED_VALUE"""),571.83)</f>
        <v>571.83</v>
      </c>
      <c r="M1718" s="25">
        <f>IFERROR(__xludf.DUMMYFUNCTION("""COMPUTED_VALUE"""),1833862.0)</f>
        <v>1833862</v>
      </c>
    </row>
    <row r="1719">
      <c r="A1719" s="26">
        <f>IFERROR(__xludf.DUMMYFUNCTION("""COMPUTED_VALUE"""),40897.645833333336)</f>
        <v>40897.64583</v>
      </c>
      <c r="B1719" s="9">
        <f>IFERROR(__xludf.DUMMYFUNCTION("""COMPUTED_VALUE"""),336.25)</f>
        <v>336.25</v>
      </c>
      <c r="C1719" s="9">
        <f>IFERROR(__xludf.DUMMYFUNCTION("""COMPUTED_VALUE"""),337.27)</f>
        <v>337.27</v>
      </c>
      <c r="D1719" s="9">
        <f>IFERROR(__xludf.DUMMYFUNCTION("""COMPUTED_VALUE"""),331.39)</f>
        <v>331.39</v>
      </c>
      <c r="E1719" s="9">
        <f>IFERROR(__xludf.DUMMYFUNCTION("""COMPUTED_VALUE"""),333.59)</f>
        <v>333.59</v>
      </c>
      <c r="F1719" s="9">
        <f>IFERROR(__xludf.DUMMYFUNCTION("""COMPUTED_VALUE"""),1310576.0)</f>
        <v>1310576</v>
      </c>
      <c r="H1719" s="27">
        <f>IFERROR(__xludf.DUMMYFUNCTION("""COMPUTED_VALUE"""),40897.645833333336)</f>
        <v>40897.64583</v>
      </c>
      <c r="I1719" s="25">
        <f>IFERROR(__xludf.DUMMYFUNCTION("""COMPUTED_VALUE"""),572.67)</f>
        <v>572.67</v>
      </c>
      <c r="J1719" s="25">
        <f>IFERROR(__xludf.DUMMYFUNCTION("""COMPUTED_VALUE"""),575.55)</f>
        <v>575.55</v>
      </c>
      <c r="K1719" s="25">
        <f>IFERROR(__xludf.DUMMYFUNCTION("""COMPUTED_VALUE"""),564.13)</f>
        <v>564.13</v>
      </c>
      <c r="L1719" s="25">
        <f>IFERROR(__xludf.DUMMYFUNCTION("""COMPUTED_VALUE"""),566.67)</f>
        <v>566.67</v>
      </c>
      <c r="M1719" s="25">
        <f>IFERROR(__xludf.DUMMYFUNCTION("""COMPUTED_VALUE"""),904698.0)</f>
        <v>904698</v>
      </c>
    </row>
    <row r="1720">
      <c r="A1720" s="26">
        <f>IFERROR(__xludf.DUMMYFUNCTION("""COMPUTED_VALUE"""),40898.645833333336)</f>
        <v>40898.64583</v>
      </c>
      <c r="B1720" s="9">
        <f>IFERROR(__xludf.DUMMYFUNCTION("""COMPUTED_VALUE"""),339.88)</f>
        <v>339.88</v>
      </c>
      <c r="C1720" s="9">
        <f>IFERROR(__xludf.DUMMYFUNCTION("""COMPUTED_VALUE"""),344.35)</f>
        <v>344.35</v>
      </c>
      <c r="D1720" s="9">
        <f>IFERROR(__xludf.DUMMYFUNCTION("""COMPUTED_VALUE"""),335.0)</f>
        <v>335</v>
      </c>
      <c r="E1720" s="9">
        <f>IFERROR(__xludf.DUMMYFUNCTION("""COMPUTED_VALUE"""),342.88)</f>
        <v>342.88</v>
      </c>
      <c r="F1720" s="9">
        <f>IFERROR(__xludf.DUMMYFUNCTION("""COMPUTED_VALUE"""),1052865.0)</f>
        <v>1052865</v>
      </c>
      <c r="H1720" s="27">
        <f>IFERROR(__xludf.DUMMYFUNCTION("""COMPUTED_VALUE"""),40898.645833333336)</f>
        <v>40898.64583</v>
      </c>
      <c r="I1720" s="25">
        <f>IFERROR(__xludf.DUMMYFUNCTION("""COMPUTED_VALUE"""),575.0)</f>
        <v>575</v>
      </c>
      <c r="J1720" s="25">
        <f>IFERROR(__xludf.DUMMYFUNCTION("""COMPUTED_VALUE"""),583.0)</f>
        <v>583</v>
      </c>
      <c r="K1720" s="25">
        <f>IFERROR(__xludf.DUMMYFUNCTION("""COMPUTED_VALUE"""),561.23)</f>
        <v>561.23</v>
      </c>
      <c r="L1720" s="25">
        <f>IFERROR(__xludf.DUMMYFUNCTION("""COMPUTED_VALUE"""),579.35)</f>
        <v>579.35</v>
      </c>
      <c r="M1720" s="25">
        <f>IFERROR(__xludf.DUMMYFUNCTION("""COMPUTED_VALUE"""),1558488.0)</f>
        <v>1558488</v>
      </c>
    </row>
    <row r="1721">
      <c r="A1721" s="26">
        <f>IFERROR(__xludf.DUMMYFUNCTION("""COMPUTED_VALUE"""),40899.645833333336)</f>
        <v>40899.64583</v>
      </c>
      <c r="B1721" s="9">
        <f>IFERROR(__xludf.DUMMYFUNCTION("""COMPUTED_VALUE"""),331.25)</f>
        <v>331.25</v>
      </c>
      <c r="C1721" s="9">
        <f>IFERROR(__xludf.DUMMYFUNCTION("""COMPUTED_VALUE"""),343.5)</f>
        <v>343.5</v>
      </c>
      <c r="D1721" s="9">
        <f>IFERROR(__xludf.DUMMYFUNCTION("""COMPUTED_VALUE"""),331.25)</f>
        <v>331.25</v>
      </c>
      <c r="E1721" s="9">
        <f>IFERROR(__xludf.DUMMYFUNCTION("""COMPUTED_VALUE"""),340.11)</f>
        <v>340.11</v>
      </c>
      <c r="F1721" s="9">
        <f>IFERROR(__xludf.DUMMYFUNCTION("""COMPUTED_VALUE"""),1588392.0)</f>
        <v>1588392</v>
      </c>
      <c r="H1721" s="27">
        <f>IFERROR(__xludf.DUMMYFUNCTION("""COMPUTED_VALUE"""),40899.645833333336)</f>
        <v>40899.64583</v>
      </c>
      <c r="I1721" s="25">
        <f>IFERROR(__xludf.DUMMYFUNCTION("""COMPUTED_VALUE"""),576.0)</f>
        <v>576</v>
      </c>
      <c r="J1721" s="25">
        <f>IFERROR(__xludf.DUMMYFUNCTION("""COMPUTED_VALUE"""),581.92)</f>
        <v>581.92</v>
      </c>
      <c r="K1721" s="25">
        <f>IFERROR(__xludf.DUMMYFUNCTION("""COMPUTED_VALUE"""),567.13)</f>
        <v>567.13</v>
      </c>
      <c r="L1721" s="25">
        <f>IFERROR(__xludf.DUMMYFUNCTION("""COMPUTED_VALUE"""),575.85)</f>
        <v>575.85</v>
      </c>
      <c r="M1721" s="25">
        <f>IFERROR(__xludf.DUMMYFUNCTION("""COMPUTED_VALUE"""),1043134.0)</f>
        <v>1043134</v>
      </c>
    </row>
    <row r="1722">
      <c r="A1722" s="26">
        <f>IFERROR(__xludf.DUMMYFUNCTION("""COMPUTED_VALUE"""),40900.645833333336)</f>
        <v>40900.64583</v>
      </c>
      <c r="B1722" s="9">
        <f>IFERROR(__xludf.DUMMYFUNCTION("""COMPUTED_VALUE"""),342.5)</f>
        <v>342.5</v>
      </c>
      <c r="C1722" s="9">
        <f>IFERROR(__xludf.DUMMYFUNCTION("""COMPUTED_VALUE"""),342.5)</f>
        <v>342.5</v>
      </c>
      <c r="D1722" s="9">
        <f>IFERROR(__xludf.DUMMYFUNCTION("""COMPUTED_VALUE"""),335.41)</f>
        <v>335.41</v>
      </c>
      <c r="E1722" s="9">
        <f>IFERROR(__xludf.DUMMYFUNCTION("""COMPUTED_VALUE"""),336.84)</f>
        <v>336.84</v>
      </c>
      <c r="F1722" s="9">
        <f>IFERROR(__xludf.DUMMYFUNCTION("""COMPUTED_VALUE"""),880662.0)</f>
        <v>880662</v>
      </c>
      <c r="H1722" s="27">
        <f>IFERROR(__xludf.DUMMYFUNCTION("""COMPUTED_VALUE"""),40900.645833333336)</f>
        <v>40900.64583</v>
      </c>
      <c r="I1722" s="25">
        <f>IFERROR(__xludf.DUMMYFUNCTION("""COMPUTED_VALUE"""),575.5)</f>
        <v>575.5</v>
      </c>
      <c r="J1722" s="25">
        <f>IFERROR(__xludf.DUMMYFUNCTION("""COMPUTED_VALUE"""),581.0)</f>
        <v>581</v>
      </c>
      <c r="K1722" s="25">
        <f>IFERROR(__xludf.DUMMYFUNCTION("""COMPUTED_VALUE"""),569.55)</f>
        <v>569.55</v>
      </c>
      <c r="L1722" s="25">
        <f>IFERROR(__xludf.DUMMYFUNCTION("""COMPUTED_VALUE"""),578.58)</f>
        <v>578.58</v>
      </c>
      <c r="M1722" s="25">
        <f>IFERROR(__xludf.DUMMYFUNCTION("""COMPUTED_VALUE"""),789295.0)</f>
        <v>789295</v>
      </c>
    </row>
    <row r="1723">
      <c r="A1723" s="26">
        <f>IFERROR(__xludf.DUMMYFUNCTION("""COMPUTED_VALUE"""),40903.645833333336)</f>
        <v>40903.64583</v>
      </c>
      <c r="B1723" s="9">
        <f>IFERROR(__xludf.DUMMYFUNCTION("""COMPUTED_VALUE"""),336.38)</f>
        <v>336.38</v>
      </c>
      <c r="C1723" s="9">
        <f>IFERROR(__xludf.DUMMYFUNCTION("""COMPUTED_VALUE"""),348.38)</f>
        <v>348.38</v>
      </c>
      <c r="D1723" s="9">
        <f>IFERROR(__xludf.DUMMYFUNCTION("""COMPUTED_VALUE"""),336.38)</f>
        <v>336.38</v>
      </c>
      <c r="E1723" s="9">
        <f>IFERROR(__xludf.DUMMYFUNCTION("""COMPUTED_VALUE"""),346.98)</f>
        <v>346.98</v>
      </c>
      <c r="F1723" s="9">
        <f>IFERROR(__xludf.DUMMYFUNCTION("""COMPUTED_VALUE"""),529571.0)</f>
        <v>529571</v>
      </c>
      <c r="H1723" s="27">
        <f>IFERROR(__xludf.DUMMYFUNCTION("""COMPUTED_VALUE"""),40903.645833333336)</f>
        <v>40903.64583</v>
      </c>
      <c r="I1723" s="25">
        <f>IFERROR(__xludf.DUMMYFUNCTION("""COMPUTED_VALUE"""),578.58)</f>
        <v>578.58</v>
      </c>
      <c r="J1723" s="25">
        <f>IFERROR(__xludf.DUMMYFUNCTION("""COMPUTED_VALUE"""),595.1)</f>
        <v>595.1</v>
      </c>
      <c r="K1723" s="25">
        <f>IFERROR(__xludf.DUMMYFUNCTION("""COMPUTED_VALUE"""),576.75)</f>
        <v>576.75</v>
      </c>
      <c r="L1723" s="25">
        <f>IFERROR(__xludf.DUMMYFUNCTION("""COMPUTED_VALUE"""),594.2)</f>
        <v>594.2</v>
      </c>
      <c r="M1723" s="25">
        <f>IFERROR(__xludf.DUMMYFUNCTION("""COMPUTED_VALUE"""),1114676.0)</f>
        <v>1114676</v>
      </c>
    </row>
    <row r="1724">
      <c r="A1724" s="26">
        <f>IFERROR(__xludf.DUMMYFUNCTION("""COMPUTED_VALUE"""),40904.645833333336)</f>
        <v>40904.64583</v>
      </c>
      <c r="B1724" s="9">
        <f>IFERROR(__xludf.DUMMYFUNCTION("""COMPUTED_VALUE"""),345.63)</f>
        <v>345.63</v>
      </c>
      <c r="C1724" s="9">
        <f>IFERROR(__xludf.DUMMYFUNCTION("""COMPUTED_VALUE"""),349.88)</f>
        <v>349.88</v>
      </c>
      <c r="D1724" s="9">
        <f>IFERROR(__xludf.DUMMYFUNCTION("""COMPUTED_VALUE"""),342.03)</f>
        <v>342.03</v>
      </c>
      <c r="E1724" s="9">
        <f>IFERROR(__xludf.DUMMYFUNCTION("""COMPUTED_VALUE"""),344.93)</f>
        <v>344.93</v>
      </c>
      <c r="F1724" s="9">
        <f>IFERROR(__xludf.DUMMYFUNCTION("""COMPUTED_VALUE"""),772275.0)</f>
        <v>772275</v>
      </c>
      <c r="H1724" s="27">
        <f>IFERROR(__xludf.DUMMYFUNCTION("""COMPUTED_VALUE"""),40904.645833333336)</f>
        <v>40904.64583</v>
      </c>
      <c r="I1724" s="25">
        <f>IFERROR(__xludf.DUMMYFUNCTION("""COMPUTED_VALUE"""),592.7)</f>
        <v>592.7</v>
      </c>
      <c r="J1724" s="25">
        <f>IFERROR(__xludf.DUMMYFUNCTION("""COMPUTED_VALUE"""),595.0)</f>
        <v>595</v>
      </c>
      <c r="K1724" s="25">
        <f>IFERROR(__xludf.DUMMYFUNCTION("""COMPUTED_VALUE"""),585.0)</f>
        <v>585</v>
      </c>
      <c r="L1724" s="25">
        <f>IFERROR(__xludf.DUMMYFUNCTION("""COMPUTED_VALUE"""),589.73)</f>
        <v>589.73</v>
      </c>
      <c r="M1724" s="25">
        <f>IFERROR(__xludf.DUMMYFUNCTION("""COMPUTED_VALUE"""),491951.0)</f>
        <v>491951</v>
      </c>
    </row>
    <row r="1725">
      <c r="A1725" s="26">
        <f>IFERROR(__xludf.DUMMYFUNCTION("""COMPUTED_VALUE"""),40905.645833333336)</f>
        <v>40905.64583</v>
      </c>
      <c r="B1725" s="9">
        <f>IFERROR(__xludf.DUMMYFUNCTION("""COMPUTED_VALUE"""),346.13)</f>
        <v>346.13</v>
      </c>
      <c r="C1725" s="9">
        <f>IFERROR(__xludf.DUMMYFUNCTION("""COMPUTED_VALUE"""),350.5)</f>
        <v>350.5</v>
      </c>
      <c r="D1725" s="9">
        <f>IFERROR(__xludf.DUMMYFUNCTION("""COMPUTED_VALUE"""),343.94)</f>
        <v>343.94</v>
      </c>
      <c r="E1725" s="9">
        <f>IFERROR(__xludf.DUMMYFUNCTION("""COMPUTED_VALUE"""),347.75)</f>
        <v>347.75</v>
      </c>
      <c r="F1725" s="9">
        <f>IFERROR(__xludf.DUMMYFUNCTION("""COMPUTED_VALUE"""),856406.0)</f>
        <v>856406</v>
      </c>
      <c r="H1725" s="27">
        <f>IFERROR(__xludf.DUMMYFUNCTION("""COMPUTED_VALUE"""),40905.645833333336)</f>
        <v>40905.64583</v>
      </c>
      <c r="I1725" s="25">
        <f>IFERROR(__xludf.DUMMYFUNCTION("""COMPUTED_VALUE"""),589.35)</f>
        <v>589.35</v>
      </c>
      <c r="J1725" s="25">
        <f>IFERROR(__xludf.DUMMYFUNCTION("""COMPUTED_VALUE"""),591.78)</f>
        <v>591.78</v>
      </c>
      <c r="K1725" s="25">
        <f>IFERROR(__xludf.DUMMYFUNCTION("""COMPUTED_VALUE"""),582.95)</f>
        <v>582.95</v>
      </c>
      <c r="L1725" s="25">
        <f>IFERROR(__xludf.DUMMYFUNCTION("""COMPUTED_VALUE"""),584.6)</f>
        <v>584.6</v>
      </c>
      <c r="M1725" s="25">
        <f>IFERROR(__xludf.DUMMYFUNCTION("""COMPUTED_VALUE"""),598955.0)</f>
        <v>598955</v>
      </c>
    </row>
    <row r="1726">
      <c r="A1726" s="26">
        <f>IFERROR(__xludf.DUMMYFUNCTION("""COMPUTED_VALUE"""),40906.645833333336)</f>
        <v>40906.64583</v>
      </c>
      <c r="B1726" s="9">
        <f>IFERROR(__xludf.DUMMYFUNCTION("""COMPUTED_VALUE"""),344.75)</f>
        <v>344.75</v>
      </c>
      <c r="C1726" s="9">
        <f>IFERROR(__xludf.DUMMYFUNCTION("""COMPUTED_VALUE"""),346.86)</f>
        <v>346.86</v>
      </c>
      <c r="D1726" s="9">
        <f>IFERROR(__xludf.DUMMYFUNCTION("""COMPUTED_VALUE"""),341.38)</f>
        <v>341.38</v>
      </c>
      <c r="E1726" s="9">
        <f>IFERROR(__xludf.DUMMYFUNCTION("""COMPUTED_VALUE"""),342.76)</f>
        <v>342.76</v>
      </c>
      <c r="F1726" s="9">
        <f>IFERROR(__xludf.DUMMYFUNCTION("""COMPUTED_VALUE"""),1104646.0)</f>
        <v>1104646</v>
      </c>
      <c r="H1726" s="27">
        <f>IFERROR(__xludf.DUMMYFUNCTION("""COMPUTED_VALUE"""),40906.645833333336)</f>
        <v>40906.64583</v>
      </c>
      <c r="I1726" s="25">
        <f>IFERROR(__xludf.DUMMYFUNCTION("""COMPUTED_VALUE"""),581.75)</f>
        <v>581.75</v>
      </c>
      <c r="J1726" s="25">
        <f>IFERROR(__xludf.DUMMYFUNCTION("""COMPUTED_VALUE"""),589.05)</f>
        <v>589.05</v>
      </c>
      <c r="K1726" s="25">
        <f>IFERROR(__xludf.DUMMYFUNCTION("""COMPUTED_VALUE"""),579.75)</f>
        <v>579.75</v>
      </c>
      <c r="L1726" s="25">
        <f>IFERROR(__xludf.DUMMYFUNCTION("""COMPUTED_VALUE"""),582.85)</f>
        <v>582.85</v>
      </c>
      <c r="M1726" s="25">
        <f>IFERROR(__xludf.DUMMYFUNCTION("""COMPUTED_VALUE"""),792864.0)</f>
        <v>792864</v>
      </c>
    </row>
    <row r="1727">
      <c r="A1727" s="26">
        <f>IFERROR(__xludf.DUMMYFUNCTION("""COMPUTED_VALUE"""),40907.645833333336)</f>
        <v>40907.64583</v>
      </c>
      <c r="B1727" s="9">
        <f>IFERROR(__xludf.DUMMYFUNCTION("""COMPUTED_VALUE"""),343.0)</f>
        <v>343</v>
      </c>
      <c r="C1727" s="9">
        <f>IFERROR(__xludf.DUMMYFUNCTION("""COMPUTED_VALUE"""),346.88)</f>
        <v>346.88</v>
      </c>
      <c r="D1727" s="9">
        <f>IFERROR(__xludf.DUMMYFUNCTION("""COMPUTED_VALUE"""),342.69)</f>
        <v>342.69</v>
      </c>
      <c r="E1727" s="9">
        <f>IFERROR(__xludf.DUMMYFUNCTION("""COMPUTED_VALUE"""),345.96)</f>
        <v>345.96</v>
      </c>
      <c r="F1727" s="9">
        <f>IFERROR(__xludf.DUMMYFUNCTION("""COMPUTED_VALUE"""),663602.0)</f>
        <v>663602</v>
      </c>
      <c r="H1727" s="27">
        <f>IFERROR(__xludf.DUMMYFUNCTION("""COMPUTED_VALUE"""),40907.645833333336)</f>
        <v>40907.64583</v>
      </c>
      <c r="I1727" s="25">
        <f>IFERROR(__xludf.DUMMYFUNCTION("""COMPUTED_VALUE"""),589.0)</f>
        <v>589</v>
      </c>
      <c r="J1727" s="25">
        <f>IFERROR(__xludf.DUMMYFUNCTION("""COMPUTED_VALUE"""),591.25)</f>
        <v>591.25</v>
      </c>
      <c r="K1727" s="25">
        <f>IFERROR(__xludf.DUMMYFUNCTION("""COMPUTED_VALUE"""),578.25)</f>
        <v>578.25</v>
      </c>
      <c r="L1727" s="25">
        <f>IFERROR(__xludf.DUMMYFUNCTION("""COMPUTED_VALUE"""),580.33)</f>
        <v>580.33</v>
      </c>
      <c r="M1727" s="25">
        <f>IFERROR(__xludf.DUMMYFUNCTION("""COMPUTED_VALUE"""),772705.0)</f>
        <v>772705</v>
      </c>
    </row>
    <row r="1728">
      <c r="A1728" s="26">
        <f>IFERROR(__xludf.DUMMYFUNCTION("""COMPUTED_VALUE"""),40910.645833333336)</f>
        <v>40910.64583</v>
      </c>
      <c r="B1728" s="9">
        <f>IFERROR(__xludf.DUMMYFUNCTION("""COMPUTED_VALUE"""),344.9)</f>
        <v>344.9</v>
      </c>
      <c r="C1728" s="9">
        <f>IFERROR(__xludf.DUMMYFUNCTION("""COMPUTED_VALUE"""),352.08)</f>
        <v>352.08</v>
      </c>
      <c r="D1728" s="9">
        <f>IFERROR(__xludf.DUMMYFUNCTION("""COMPUTED_VALUE"""),342.75)</f>
        <v>342.75</v>
      </c>
      <c r="E1728" s="9">
        <f>IFERROR(__xludf.DUMMYFUNCTION("""COMPUTED_VALUE"""),351.12)</f>
        <v>351.12</v>
      </c>
      <c r="F1728" s="9">
        <f>IFERROR(__xludf.DUMMYFUNCTION("""COMPUTED_VALUE"""),728272.0)</f>
        <v>728272</v>
      </c>
      <c r="H1728" s="27">
        <f>IFERROR(__xludf.DUMMYFUNCTION("""COMPUTED_VALUE"""),40910.645833333336)</f>
        <v>40910.64583</v>
      </c>
      <c r="I1728" s="25">
        <f>IFERROR(__xludf.DUMMYFUNCTION("""COMPUTED_VALUE"""),580.5)</f>
        <v>580.5</v>
      </c>
      <c r="J1728" s="25">
        <f>IFERROR(__xludf.DUMMYFUNCTION("""COMPUTED_VALUE"""),592.98)</f>
        <v>592.98</v>
      </c>
      <c r="K1728" s="25">
        <f>IFERROR(__xludf.DUMMYFUNCTION("""COMPUTED_VALUE"""),576.5)</f>
        <v>576.5</v>
      </c>
      <c r="L1728" s="25">
        <f>IFERROR(__xludf.DUMMYFUNCTION("""COMPUTED_VALUE"""),589.3)</f>
        <v>589.3</v>
      </c>
      <c r="M1728" s="25">
        <f>IFERROR(__xludf.DUMMYFUNCTION("""COMPUTED_VALUE"""),1124271.0)</f>
        <v>1124271</v>
      </c>
    </row>
    <row r="1729">
      <c r="A1729" s="26">
        <f>IFERROR(__xludf.DUMMYFUNCTION("""COMPUTED_VALUE"""),40911.645833333336)</f>
        <v>40911.64583</v>
      </c>
      <c r="B1729" s="9">
        <f>IFERROR(__xludf.DUMMYFUNCTION("""COMPUTED_VALUE"""),353.01)</f>
        <v>353.01</v>
      </c>
      <c r="C1729" s="9">
        <f>IFERROR(__xludf.DUMMYFUNCTION("""COMPUTED_VALUE"""),360.87)</f>
        <v>360.87</v>
      </c>
      <c r="D1729" s="9">
        <f>IFERROR(__xludf.DUMMYFUNCTION("""COMPUTED_VALUE"""),352.5)</f>
        <v>352.5</v>
      </c>
      <c r="E1729" s="9">
        <f>IFERROR(__xludf.DUMMYFUNCTION("""COMPUTED_VALUE"""),358.04)</f>
        <v>358.04</v>
      </c>
      <c r="F1729" s="9">
        <f>IFERROR(__xludf.DUMMYFUNCTION("""COMPUTED_VALUE"""),1112876.0)</f>
        <v>1112876</v>
      </c>
      <c r="H1729" s="27">
        <f>IFERROR(__xludf.DUMMYFUNCTION("""COMPUTED_VALUE"""),40911.645833333336)</f>
        <v>40911.64583</v>
      </c>
      <c r="I1729" s="25">
        <f>IFERROR(__xludf.DUMMYFUNCTION("""COMPUTED_VALUE"""),591.63)</f>
        <v>591.63</v>
      </c>
      <c r="J1729" s="25">
        <f>IFERROR(__xludf.DUMMYFUNCTION("""COMPUTED_VALUE"""),604.95)</f>
        <v>604.95</v>
      </c>
      <c r="K1729" s="25">
        <f>IFERROR(__xludf.DUMMYFUNCTION("""COMPUTED_VALUE"""),590.0)</f>
        <v>590</v>
      </c>
      <c r="L1729" s="25">
        <f>IFERROR(__xludf.DUMMYFUNCTION("""COMPUTED_VALUE"""),598.8)</f>
        <v>598.8</v>
      </c>
      <c r="M1729" s="25">
        <f>IFERROR(__xludf.DUMMYFUNCTION("""COMPUTED_VALUE"""),1354442.0)</f>
        <v>1354442</v>
      </c>
    </row>
    <row r="1730">
      <c r="A1730" s="26">
        <f>IFERROR(__xludf.DUMMYFUNCTION("""COMPUTED_VALUE"""),40912.645833333336)</f>
        <v>40912.64583</v>
      </c>
      <c r="B1730" s="9">
        <f>IFERROR(__xludf.DUMMYFUNCTION("""COMPUTED_VALUE"""),355.63)</f>
        <v>355.63</v>
      </c>
      <c r="C1730" s="9">
        <f>IFERROR(__xludf.DUMMYFUNCTION("""COMPUTED_VALUE"""),359.38)</f>
        <v>359.38</v>
      </c>
      <c r="D1730" s="9">
        <f>IFERROR(__xludf.DUMMYFUNCTION("""COMPUTED_VALUE"""),355.13)</f>
        <v>355.13</v>
      </c>
      <c r="E1730" s="9">
        <f>IFERROR(__xludf.DUMMYFUNCTION("""COMPUTED_VALUE"""),356.8)</f>
        <v>356.8</v>
      </c>
      <c r="F1730" s="9">
        <f>IFERROR(__xludf.DUMMYFUNCTION("""COMPUTED_VALUE"""),917678.0)</f>
        <v>917678</v>
      </c>
      <c r="H1730" s="27">
        <f>IFERROR(__xludf.DUMMYFUNCTION("""COMPUTED_VALUE"""),40912.645833333336)</f>
        <v>40912.64583</v>
      </c>
      <c r="I1730" s="25">
        <f>IFERROR(__xludf.DUMMYFUNCTION("""COMPUTED_VALUE"""),602.45)</f>
        <v>602.45</v>
      </c>
      <c r="J1730" s="25">
        <f>IFERROR(__xludf.DUMMYFUNCTION("""COMPUTED_VALUE"""),602.5)</f>
        <v>602.5</v>
      </c>
      <c r="K1730" s="25">
        <f>IFERROR(__xludf.DUMMYFUNCTION("""COMPUTED_VALUE"""),584.65)</f>
        <v>584.65</v>
      </c>
      <c r="L1730" s="25">
        <f>IFERROR(__xludf.DUMMYFUNCTION("""COMPUTED_VALUE"""),586.5)</f>
        <v>586.5</v>
      </c>
      <c r="M1730" s="25">
        <f>IFERROR(__xludf.DUMMYFUNCTION("""COMPUTED_VALUE"""),1193385.0)</f>
        <v>1193385</v>
      </c>
    </row>
    <row r="1731">
      <c r="A1731" s="26">
        <f>IFERROR(__xludf.DUMMYFUNCTION("""COMPUTED_VALUE"""),40913.645833333336)</f>
        <v>40913.64583</v>
      </c>
      <c r="B1731" s="9">
        <f>IFERROR(__xludf.DUMMYFUNCTION("""COMPUTED_VALUE"""),354.9)</f>
        <v>354.9</v>
      </c>
      <c r="C1731" s="9">
        <f>IFERROR(__xludf.DUMMYFUNCTION("""COMPUTED_VALUE"""),359.5)</f>
        <v>359.5</v>
      </c>
      <c r="D1731" s="9">
        <f>IFERROR(__xludf.DUMMYFUNCTION("""COMPUTED_VALUE"""),353.93)</f>
        <v>353.93</v>
      </c>
      <c r="E1731" s="9">
        <f>IFERROR(__xludf.DUMMYFUNCTION("""COMPUTED_VALUE"""),355.02)</f>
        <v>355.02</v>
      </c>
      <c r="F1731" s="9">
        <f>IFERROR(__xludf.DUMMYFUNCTION("""COMPUTED_VALUE"""),890659.0)</f>
        <v>890659</v>
      </c>
      <c r="H1731" s="27">
        <f>IFERROR(__xludf.DUMMYFUNCTION("""COMPUTED_VALUE"""),40913.645833333336)</f>
        <v>40913.64583</v>
      </c>
      <c r="I1731" s="25">
        <f>IFERROR(__xludf.DUMMYFUNCTION("""COMPUTED_VALUE"""),586.4)</f>
        <v>586.4</v>
      </c>
      <c r="J1731" s="25">
        <f>IFERROR(__xludf.DUMMYFUNCTION("""COMPUTED_VALUE"""),592.5)</f>
        <v>592.5</v>
      </c>
      <c r="K1731" s="25">
        <f>IFERROR(__xludf.DUMMYFUNCTION("""COMPUTED_VALUE"""),583.67)</f>
        <v>583.67</v>
      </c>
      <c r="L1731" s="25">
        <f>IFERROR(__xludf.DUMMYFUNCTION("""COMPUTED_VALUE"""),586.0)</f>
        <v>586</v>
      </c>
      <c r="M1731" s="25">
        <f>IFERROR(__xludf.DUMMYFUNCTION("""COMPUTED_VALUE"""),1273656.0)</f>
        <v>1273656</v>
      </c>
    </row>
    <row r="1732">
      <c r="A1732" s="26">
        <f>IFERROR(__xludf.DUMMYFUNCTION("""COMPUTED_VALUE"""),40914.645833333336)</f>
        <v>40914.64583</v>
      </c>
      <c r="B1732" s="9">
        <f>IFERROR(__xludf.DUMMYFUNCTION("""COMPUTED_VALUE"""),354.75)</f>
        <v>354.75</v>
      </c>
      <c r="C1732" s="9">
        <f>IFERROR(__xludf.DUMMYFUNCTION("""COMPUTED_VALUE"""),358.45)</f>
        <v>358.45</v>
      </c>
      <c r="D1732" s="9">
        <f>IFERROR(__xludf.DUMMYFUNCTION("""COMPUTED_VALUE"""),351.39)</f>
        <v>351.39</v>
      </c>
      <c r="E1732" s="9">
        <f>IFERROR(__xludf.DUMMYFUNCTION("""COMPUTED_VALUE"""),354.02)</f>
        <v>354.02</v>
      </c>
      <c r="F1732" s="9">
        <f>IFERROR(__xludf.DUMMYFUNCTION("""COMPUTED_VALUE"""),885954.0)</f>
        <v>885954</v>
      </c>
      <c r="H1732" s="27">
        <f>IFERROR(__xludf.DUMMYFUNCTION("""COMPUTED_VALUE"""),40914.645833333336)</f>
        <v>40914.64583</v>
      </c>
      <c r="I1732" s="25">
        <f>IFERROR(__xludf.DUMMYFUNCTION("""COMPUTED_VALUE"""),583.0)</f>
        <v>583</v>
      </c>
      <c r="J1732" s="25">
        <f>IFERROR(__xludf.DUMMYFUNCTION("""COMPUTED_VALUE"""),594.17)</f>
        <v>594.17</v>
      </c>
      <c r="K1732" s="25">
        <f>IFERROR(__xludf.DUMMYFUNCTION("""COMPUTED_VALUE"""),578.4)</f>
        <v>578.4</v>
      </c>
      <c r="L1732" s="25">
        <f>IFERROR(__xludf.DUMMYFUNCTION("""COMPUTED_VALUE"""),584.7)</f>
        <v>584.7</v>
      </c>
      <c r="M1732" s="25">
        <f>IFERROR(__xludf.DUMMYFUNCTION("""COMPUTED_VALUE"""),1059864.0)</f>
        <v>1059864</v>
      </c>
    </row>
    <row r="1733">
      <c r="A1733" s="26">
        <f>IFERROR(__xludf.DUMMYFUNCTION("""COMPUTED_VALUE"""),40917.645833333336)</f>
        <v>40917.64583</v>
      </c>
      <c r="B1733" s="9">
        <f>IFERROR(__xludf.DUMMYFUNCTION("""COMPUTED_VALUE"""),355.94)</f>
        <v>355.94</v>
      </c>
      <c r="C1733" s="9">
        <f>IFERROR(__xludf.DUMMYFUNCTION("""COMPUTED_VALUE"""),358.29)</f>
        <v>358.29</v>
      </c>
      <c r="D1733" s="9">
        <f>IFERROR(__xludf.DUMMYFUNCTION("""COMPUTED_VALUE"""),352.15)</f>
        <v>352.15</v>
      </c>
      <c r="E1733" s="9">
        <f>IFERROR(__xludf.DUMMYFUNCTION("""COMPUTED_VALUE"""),354.57)</f>
        <v>354.57</v>
      </c>
      <c r="F1733" s="9">
        <f>IFERROR(__xludf.DUMMYFUNCTION("""COMPUTED_VALUE"""),1033223.0)</f>
        <v>1033223</v>
      </c>
      <c r="H1733" s="27">
        <f>IFERROR(__xludf.DUMMYFUNCTION("""COMPUTED_VALUE"""),40917.645833333336)</f>
        <v>40917.64583</v>
      </c>
      <c r="I1733" s="25">
        <f>IFERROR(__xludf.DUMMYFUNCTION("""COMPUTED_VALUE"""),585.5)</f>
        <v>585.5</v>
      </c>
      <c r="J1733" s="25">
        <f>IFERROR(__xludf.DUMMYFUNCTION("""COMPUTED_VALUE"""),589.85)</f>
        <v>589.85</v>
      </c>
      <c r="K1733" s="25">
        <f>IFERROR(__xludf.DUMMYFUNCTION("""COMPUTED_VALUE"""),582.63)</f>
        <v>582.63</v>
      </c>
      <c r="L1733" s="25">
        <f>IFERROR(__xludf.DUMMYFUNCTION("""COMPUTED_VALUE"""),585.67)</f>
        <v>585.67</v>
      </c>
      <c r="M1733" s="25">
        <f>IFERROR(__xludf.DUMMYFUNCTION("""COMPUTED_VALUE"""),754514.0)</f>
        <v>754514</v>
      </c>
    </row>
    <row r="1734">
      <c r="A1734" s="26">
        <f>IFERROR(__xludf.DUMMYFUNCTION("""COMPUTED_VALUE"""),40918.645833333336)</f>
        <v>40918.64583</v>
      </c>
      <c r="B1734" s="9">
        <f>IFERROR(__xludf.DUMMYFUNCTION("""COMPUTED_VALUE"""),358.75)</f>
        <v>358.75</v>
      </c>
      <c r="C1734" s="9">
        <f>IFERROR(__xludf.DUMMYFUNCTION("""COMPUTED_VALUE"""),359.43)</f>
        <v>359.43</v>
      </c>
      <c r="D1734" s="9">
        <f>IFERROR(__xludf.DUMMYFUNCTION("""COMPUTED_VALUE"""),356.28)</f>
        <v>356.28</v>
      </c>
      <c r="E1734" s="9">
        <f>IFERROR(__xludf.DUMMYFUNCTION("""COMPUTED_VALUE"""),357.95)</f>
        <v>357.95</v>
      </c>
      <c r="F1734" s="9">
        <f>IFERROR(__xludf.DUMMYFUNCTION("""COMPUTED_VALUE"""),1397397.0)</f>
        <v>1397397</v>
      </c>
      <c r="H1734" s="27">
        <f>IFERROR(__xludf.DUMMYFUNCTION("""COMPUTED_VALUE"""),40918.645833333336)</f>
        <v>40918.64583</v>
      </c>
      <c r="I1734" s="25">
        <f>IFERROR(__xludf.DUMMYFUNCTION("""COMPUTED_VALUE"""),587.5)</f>
        <v>587.5</v>
      </c>
      <c r="J1734" s="25">
        <f>IFERROR(__xludf.DUMMYFUNCTION("""COMPUTED_VALUE"""),592.75)</f>
        <v>592.75</v>
      </c>
      <c r="K1734" s="25">
        <f>IFERROR(__xludf.DUMMYFUNCTION("""COMPUTED_VALUE"""),579.25)</f>
        <v>579.25</v>
      </c>
      <c r="L1734" s="25">
        <f>IFERROR(__xludf.DUMMYFUNCTION("""COMPUTED_VALUE"""),582.7)</f>
        <v>582.7</v>
      </c>
      <c r="M1734" s="25">
        <f>IFERROR(__xludf.DUMMYFUNCTION("""COMPUTED_VALUE"""),1795895.0)</f>
        <v>1795895</v>
      </c>
    </row>
    <row r="1735">
      <c r="A1735" s="26">
        <f>IFERROR(__xludf.DUMMYFUNCTION("""COMPUTED_VALUE"""),40919.645833333336)</f>
        <v>40919.64583</v>
      </c>
      <c r="B1735" s="9">
        <f>IFERROR(__xludf.DUMMYFUNCTION("""COMPUTED_VALUE"""),358.5)</f>
        <v>358.5</v>
      </c>
      <c r="C1735" s="9">
        <f>IFERROR(__xludf.DUMMYFUNCTION("""COMPUTED_VALUE"""),361.86)</f>
        <v>361.86</v>
      </c>
      <c r="D1735" s="9">
        <f>IFERROR(__xludf.DUMMYFUNCTION("""COMPUTED_VALUE"""),351.63)</f>
        <v>351.63</v>
      </c>
      <c r="E1735" s="9">
        <f>IFERROR(__xludf.DUMMYFUNCTION("""COMPUTED_VALUE"""),353.33)</f>
        <v>353.33</v>
      </c>
      <c r="F1735" s="9">
        <f>IFERROR(__xludf.DUMMYFUNCTION("""COMPUTED_VALUE"""),1724475.0)</f>
        <v>1724475</v>
      </c>
      <c r="H1735" s="27">
        <f>IFERROR(__xludf.DUMMYFUNCTION("""COMPUTED_VALUE"""),40919.645833333336)</f>
        <v>40919.64583</v>
      </c>
      <c r="I1735" s="25">
        <f>IFERROR(__xludf.DUMMYFUNCTION("""COMPUTED_VALUE"""),585.7)</f>
        <v>585.7</v>
      </c>
      <c r="J1735" s="25">
        <f>IFERROR(__xludf.DUMMYFUNCTION("""COMPUTED_VALUE"""),587.5)</f>
        <v>587.5</v>
      </c>
      <c r="K1735" s="25">
        <f>IFERROR(__xludf.DUMMYFUNCTION("""COMPUTED_VALUE"""),566.58)</f>
        <v>566.58</v>
      </c>
      <c r="L1735" s="25">
        <f>IFERROR(__xludf.DUMMYFUNCTION("""COMPUTED_VALUE"""),568.5)</f>
        <v>568.5</v>
      </c>
      <c r="M1735" s="25">
        <f>IFERROR(__xludf.DUMMYFUNCTION("""COMPUTED_VALUE"""),2837690.0)</f>
        <v>2837690</v>
      </c>
    </row>
    <row r="1736">
      <c r="A1736" s="26">
        <f>IFERROR(__xludf.DUMMYFUNCTION("""COMPUTED_VALUE"""),40920.645833333336)</f>
        <v>40920.64583</v>
      </c>
      <c r="B1736" s="9">
        <f>IFERROR(__xludf.DUMMYFUNCTION("""COMPUTED_VALUE"""),343.75)</f>
        <v>343.75</v>
      </c>
      <c r="C1736" s="9">
        <f>IFERROR(__xludf.DUMMYFUNCTION("""COMPUTED_VALUE"""),343.75)</f>
        <v>343.75</v>
      </c>
      <c r="D1736" s="9">
        <f>IFERROR(__xludf.DUMMYFUNCTION("""COMPUTED_VALUE"""),322.26)</f>
        <v>322.26</v>
      </c>
      <c r="E1736" s="9">
        <f>IFERROR(__xludf.DUMMYFUNCTION("""COMPUTED_VALUE"""),323.53)</f>
        <v>323.53</v>
      </c>
      <c r="F1736" s="9">
        <f>IFERROR(__xludf.DUMMYFUNCTION("""COMPUTED_VALUE"""),6121325.0)</f>
        <v>6121325</v>
      </c>
      <c r="H1736" s="27">
        <f>IFERROR(__xludf.DUMMYFUNCTION("""COMPUTED_VALUE"""),40920.645833333336)</f>
        <v>40920.64583</v>
      </c>
      <c r="I1736" s="25">
        <f>IFERROR(__xludf.DUMMYFUNCTION("""COMPUTED_VALUE"""),550.5)</f>
        <v>550.5</v>
      </c>
      <c r="J1736" s="25">
        <f>IFERROR(__xludf.DUMMYFUNCTION("""COMPUTED_VALUE"""),557.5)</f>
        <v>557.5</v>
      </c>
      <c r="K1736" s="25">
        <f>IFERROR(__xludf.DUMMYFUNCTION("""COMPUTED_VALUE"""),534.33)</f>
        <v>534.33</v>
      </c>
      <c r="L1736" s="25">
        <f>IFERROR(__xludf.DUMMYFUNCTION("""COMPUTED_VALUE"""),544.75)</f>
        <v>544.75</v>
      </c>
      <c r="M1736" s="25">
        <f>IFERROR(__xludf.DUMMYFUNCTION("""COMPUTED_VALUE"""),4764342.0)</f>
        <v>4764342</v>
      </c>
    </row>
    <row r="1737">
      <c r="A1737" s="26">
        <f>IFERROR(__xludf.DUMMYFUNCTION("""COMPUTED_VALUE"""),40921.645833333336)</f>
        <v>40921.64583</v>
      </c>
      <c r="B1737" s="9">
        <f>IFERROR(__xludf.DUMMYFUNCTION("""COMPUTED_VALUE"""),327.25)</f>
        <v>327.25</v>
      </c>
      <c r="C1737" s="9">
        <f>IFERROR(__xludf.DUMMYFUNCTION("""COMPUTED_VALUE"""),327.38)</f>
        <v>327.38</v>
      </c>
      <c r="D1737" s="9">
        <f>IFERROR(__xludf.DUMMYFUNCTION("""COMPUTED_VALUE"""),319.03)</f>
        <v>319.03</v>
      </c>
      <c r="E1737" s="9">
        <f>IFERROR(__xludf.DUMMYFUNCTION("""COMPUTED_VALUE"""),323.02)</f>
        <v>323.02</v>
      </c>
      <c r="F1737" s="9">
        <f>IFERROR(__xludf.DUMMYFUNCTION("""COMPUTED_VALUE"""),2612368.0)</f>
        <v>2612368</v>
      </c>
      <c r="H1737" s="27">
        <f>IFERROR(__xludf.DUMMYFUNCTION("""COMPUTED_VALUE"""),40921.645833333336)</f>
        <v>40921.64583</v>
      </c>
      <c r="I1737" s="25">
        <f>IFERROR(__xludf.DUMMYFUNCTION("""COMPUTED_VALUE"""),548.58)</f>
        <v>548.58</v>
      </c>
      <c r="J1737" s="25">
        <f>IFERROR(__xludf.DUMMYFUNCTION("""COMPUTED_VALUE"""),551.67)</f>
        <v>551.67</v>
      </c>
      <c r="K1737" s="25">
        <f>IFERROR(__xludf.DUMMYFUNCTION("""COMPUTED_VALUE"""),536.5)</f>
        <v>536.5</v>
      </c>
      <c r="L1737" s="25">
        <f>IFERROR(__xludf.DUMMYFUNCTION("""COMPUTED_VALUE"""),542.88)</f>
        <v>542.88</v>
      </c>
      <c r="M1737" s="25">
        <f>IFERROR(__xludf.DUMMYFUNCTION("""COMPUTED_VALUE"""),2009914.0)</f>
        <v>2009914</v>
      </c>
    </row>
    <row r="1738">
      <c r="A1738" s="26">
        <f>IFERROR(__xludf.DUMMYFUNCTION("""COMPUTED_VALUE"""),40924.645833333336)</f>
        <v>40924.64583</v>
      </c>
      <c r="B1738" s="9">
        <f>IFERROR(__xludf.DUMMYFUNCTION("""COMPUTED_VALUE"""),322.66)</f>
        <v>322.66</v>
      </c>
      <c r="C1738" s="9">
        <f>IFERROR(__xludf.DUMMYFUNCTION("""COMPUTED_VALUE"""),330.5)</f>
        <v>330.5</v>
      </c>
      <c r="D1738" s="9">
        <f>IFERROR(__xludf.DUMMYFUNCTION("""COMPUTED_VALUE"""),322.39)</f>
        <v>322.39</v>
      </c>
      <c r="E1738" s="9">
        <f>IFERROR(__xludf.DUMMYFUNCTION("""COMPUTED_VALUE"""),330.02)</f>
        <v>330.02</v>
      </c>
      <c r="F1738" s="9">
        <f>IFERROR(__xludf.DUMMYFUNCTION("""COMPUTED_VALUE"""),1648592.0)</f>
        <v>1648592</v>
      </c>
      <c r="H1738" s="27">
        <f>IFERROR(__xludf.DUMMYFUNCTION("""COMPUTED_VALUE"""),40924.645833333336)</f>
        <v>40924.64583</v>
      </c>
      <c r="I1738" s="25">
        <f>IFERROR(__xludf.DUMMYFUNCTION("""COMPUTED_VALUE"""),542.0)</f>
        <v>542</v>
      </c>
      <c r="J1738" s="25">
        <f>IFERROR(__xludf.DUMMYFUNCTION("""COMPUTED_VALUE"""),557.0)</f>
        <v>557</v>
      </c>
      <c r="K1738" s="25">
        <f>IFERROR(__xludf.DUMMYFUNCTION("""COMPUTED_VALUE"""),539.45)</f>
        <v>539.45</v>
      </c>
      <c r="L1738" s="25">
        <f>IFERROR(__xludf.DUMMYFUNCTION("""COMPUTED_VALUE"""),554.7)</f>
        <v>554.7</v>
      </c>
      <c r="M1738" s="25">
        <f>IFERROR(__xludf.DUMMYFUNCTION("""COMPUTED_VALUE"""),1523601.0)</f>
        <v>1523601</v>
      </c>
    </row>
    <row r="1739">
      <c r="A1739" s="26">
        <f>IFERROR(__xludf.DUMMYFUNCTION("""COMPUTED_VALUE"""),40925.645833333336)</f>
        <v>40925.64583</v>
      </c>
      <c r="B1739" s="9">
        <f>IFERROR(__xludf.DUMMYFUNCTION("""COMPUTED_VALUE"""),331.25)</f>
        <v>331.25</v>
      </c>
      <c r="C1739" s="9">
        <f>IFERROR(__xludf.DUMMYFUNCTION("""COMPUTED_VALUE"""),334.1)</f>
        <v>334.1</v>
      </c>
      <c r="D1739" s="9">
        <f>IFERROR(__xludf.DUMMYFUNCTION("""COMPUTED_VALUE"""),329.23)</f>
        <v>329.23</v>
      </c>
      <c r="E1739" s="9">
        <f>IFERROR(__xludf.DUMMYFUNCTION("""COMPUTED_VALUE"""),332.76)</f>
        <v>332.76</v>
      </c>
      <c r="F1739" s="9">
        <f>IFERROR(__xludf.DUMMYFUNCTION("""COMPUTED_VALUE"""),1092553.0)</f>
        <v>1092553</v>
      </c>
      <c r="H1739" s="27">
        <f>IFERROR(__xludf.DUMMYFUNCTION("""COMPUTED_VALUE"""),40925.645833333336)</f>
        <v>40925.64583</v>
      </c>
      <c r="I1739" s="25">
        <f>IFERROR(__xludf.DUMMYFUNCTION("""COMPUTED_VALUE"""),559.95)</f>
        <v>559.95</v>
      </c>
      <c r="J1739" s="25">
        <f>IFERROR(__xludf.DUMMYFUNCTION("""COMPUTED_VALUE"""),562.35)</f>
        <v>562.35</v>
      </c>
      <c r="K1739" s="25">
        <f>IFERROR(__xludf.DUMMYFUNCTION("""COMPUTED_VALUE"""),547.0)</f>
        <v>547</v>
      </c>
      <c r="L1739" s="25">
        <f>IFERROR(__xludf.DUMMYFUNCTION("""COMPUTED_VALUE"""),551.98)</f>
        <v>551.98</v>
      </c>
      <c r="M1739" s="25">
        <f>IFERROR(__xludf.DUMMYFUNCTION("""COMPUTED_VALUE"""),1852109.0)</f>
        <v>1852109</v>
      </c>
    </row>
    <row r="1740">
      <c r="A1740" s="26">
        <f>IFERROR(__xludf.DUMMYFUNCTION("""COMPUTED_VALUE"""),40926.645833333336)</f>
        <v>40926.64583</v>
      </c>
      <c r="B1740" s="9">
        <f>IFERROR(__xludf.DUMMYFUNCTION("""COMPUTED_VALUE"""),330.5)</f>
        <v>330.5</v>
      </c>
      <c r="C1740" s="9">
        <f>IFERROR(__xludf.DUMMYFUNCTION("""COMPUTED_VALUE"""),330.5)</f>
        <v>330.5</v>
      </c>
      <c r="D1740" s="9">
        <f>IFERROR(__xludf.DUMMYFUNCTION("""COMPUTED_VALUE"""),323.13)</f>
        <v>323.13</v>
      </c>
      <c r="E1740" s="9">
        <f>IFERROR(__xludf.DUMMYFUNCTION("""COMPUTED_VALUE"""),326.51)</f>
        <v>326.51</v>
      </c>
      <c r="F1740" s="9">
        <f>IFERROR(__xludf.DUMMYFUNCTION("""COMPUTED_VALUE"""),1212553.0)</f>
        <v>1212553</v>
      </c>
      <c r="H1740" s="27">
        <f>IFERROR(__xludf.DUMMYFUNCTION("""COMPUTED_VALUE"""),40926.645833333336)</f>
        <v>40926.64583</v>
      </c>
      <c r="I1740" s="25">
        <f>IFERROR(__xludf.DUMMYFUNCTION("""COMPUTED_VALUE"""),540.0)</f>
        <v>540</v>
      </c>
      <c r="J1740" s="25">
        <f>IFERROR(__xludf.DUMMYFUNCTION("""COMPUTED_VALUE"""),548.15)</f>
        <v>548.15</v>
      </c>
      <c r="K1740" s="25">
        <f>IFERROR(__xludf.DUMMYFUNCTION("""COMPUTED_VALUE"""),522.65)</f>
        <v>522.65</v>
      </c>
      <c r="L1740" s="25">
        <f>IFERROR(__xludf.DUMMYFUNCTION("""COMPUTED_VALUE"""),538.08)</f>
        <v>538.08</v>
      </c>
      <c r="M1740" s="25">
        <f>IFERROR(__xludf.DUMMYFUNCTION("""COMPUTED_VALUE"""),5832766.0)</f>
        <v>5832766</v>
      </c>
    </row>
    <row r="1741">
      <c r="A1741" s="26">
        <f>IFERROR(__xludf.DUMMYFUNCTION("""COMPUTED_VALUE"""),40927.645833333336)</f>
        <v>40927.64583</v>
      </c>
      <c r="B1741" s="9">
        <f>IFERROR(__xludf.DUMMYFUNCTION("""COMPUTED_VALUE"""),327.0)</f>
        <v>327</v>
      </c>
      <c r="C1741" s="9">
        <f>IFERROR(__xludf.DUMMYFUNCTION("""COMPUTED_VALUE"""),327.85)</f>
        <v>327.85</v>
      </c>
      <c r="D1741" s="9">
        <f>IFERROR(__xludf.DUMMYFUNCTION("""COMPUTED_VALUE"""),322.08)</f>
        <v>322.08</v>
      </c>
      <c r="E1741" s="9">
        <f>IFERROR(__xludf.DUMMYFUNCTION("""COMPUTED_VALUE"""),324.34)</f>
        <v>324.34</v>
      </c>
      <c r="F1741" s="9">
        <f>IFERROR(__xludf.DUMMYFUNCTION("""COMPUTED_VALUE"""),1206542.0)</f>
        <v>1206542</v>
      </c>
      <c r="H1741" s="27">
        <f>IFERROR(__xludf.DUMMYFUNCTION("""COMPUTED_VALUE"""),40927.645833333336)</f>
        <v>40927.64583</v>
      </c>
      <c r="I1741" s="25">
        <f>IFERROR(__xludf.DUMMYFUNCTION("""COMPUTED_VALUE"""),543.5)</f>
        <v>543.5</v>
      </c>
      <c r="J1741" s="25">
        <f>IFERROR(__xludf.DUMMYFUNCTION("""COMPUTED_VALUE"""),544.45)</f>
        <v>544.45</v>
      </c>
      <c r="K1741" s="25">
        <f>IFERROR(__xludf.DUMMYFUNCTION("""COMPUTED_VALUE"""),532.7)</f>
        <v>532.7</v>
      </c>
      <c r="L1741" s="25">
        <f>IFERROR(__xludf.DUMMYFUNCTION("""COMPUTED_VALUE"""),537.78)</f>
        <v>537.78</v>
      </c>
      <c r="M1741" s="25">
        <f>IFERROR(__xludf.DUMMYFUNCTION("""COMPUTED_VALUE"""),2081646.0)</f>
        <v>2081646</v>
      </c>
    </row>
    <row r="1742">
      <c r="A1742" s="26">
        <f>IFERROR(__xludf.DUMMYFUNCTION("""COMPUTED_VALUE"""),40928.645833333336)</f>
        <v>40928.64583</v>
      </c>
      <c r="B1742" s="9">
        <f>IFERROR(__xludf.DUMMYFUNCTION("""COMPUTED_VALUE"""),324.5)</f>
        <v>324.5</v>
      </c>
      <c r="C1742" s="9">
        <f>IFERROR(__xludf.DUMMYFUNCTION("""COMPUTED_VALUE"""),326.21)</f>
        <v>326.21</v>
      </c>
      <c r="D1742" s="9">
        <f>IFERROR(__xludf.DUMMYFUNCTION("""COMPUTED_VALUE"""),322.04)</f>
        <v>322.04</v>
      </c>
      <c r="E1742" s="9">
        <f>IFERROR(__xludf.DUMMYFUNCTION("""COMPUTED_VALUE"""),323.6)</f>
        <v>323.6</v>
      </c>
      <c r="F1742" s="9">
        <f>IFERROR(__xludf.DUMMYFUNCTION("""COMPUTED_VALUE"""),1454464.0)</f>
        <v>1454464</v>
      </c>
      <c r="H1742" s="27">
        <f>IFERROR(__xludf.DUMMYFUNCTION("""COMPUTED_VALUE"""),40928.645833333336)</f>
        <v>40928.64583</v>
      </c>
      <c r="I1742" s="25">
        <f>IFERROR(__xludf.DUMMYFUNCTION("""COMPUTED_VALUE"""),539.98)</f>
        <v>539.98</v>
      </c>
      <c r="J1742" s="25">
        <f>IFERROR(__xludf.DUMMYFUNCTION("""COMPUTED_VALUE"""),545.48)</f>
        <v>545.48</v>
      </c>
      <c r="K1742" s="25">
        <f>IFERROR(__xludf.DUMMYFUNCTION("""COMPUTED_VALUE"""),536.5)</f>
        <v>536.5</v>
      </c>
      <c r="L1742" s="25">
        <f>IFERROR(__xludf.DUMMYFUNCTION("""COMPUTED_VALUE"""),539.75)</f>
        <v>539.75</v>
      </c>
      <c r="M1742" s="25">
        <f>IFERROR(__xludf.DUMMYFUNCTION("""COMPUTED_VALUE"""),1286347.0)</f>
        <v>1286347</v>
      </c>
    </row>
    <row r="1743">
      <c r="A1743" s="26">
        <f>IFERROR(__xludf.DUMMYFUNCTION("""COMPUTED_VALUE"""),40931.645833333336)</f>
        <v>40931.64583</v>
      </c>
      <c r="B1743" s="9">
        <f>IFERROR(__xludf.DUMMYFUNCTION("""COMPUTED_VALUE"""),323.75)</f>
        <v>323.75</v>
      </c>
      <c r="C1743" s="9">
        <f>IFERROR(__xludf.DUMMYFUNCTION("""COMPUTED_VALUE"""),326.94)</f>
        <v>326.94</v>
      </c>
      <c r="D1743" s="9">
        <f>IFERROR(__xludf.DUMMYFUNCTION("""COMPUTED_VALUE"""),323.63)</f>
        <v>323.63</v>
      </c>
      <c r="E1743" s="9">
        <f>IFERROR(__xludf.DUMMYFUNCTION("""COMPUTED_VALUE"""),325.04)</f>
        <v>325.04</v>
      </c>
      <c r="F1743" s="9">
        <f>IFERROR(__xludf.DUMMYFUNCTION("""COMPUTED_VALUE"""),645108.0)</f>
        <v>645108</v>
      </c>
      <c r="H1743" s="27">
        <f>IFERROR(__xludf.DUMMYFUNCTION("""COMPUTED_VALUE"""),40931.645833333336)</f>
        <v>40931.64583</v>
      </c>
      <c r="I1743" s="25">
        <f>IFERROR(__xludf.DUMMYFUNCTION("""COMPUTED_VALUE"""),543.0)</f>
        <v>543</v>
      </c>
      <c r="J1743" s="25">
        <f>IFERROR(__xludf.DUMMYFUNCTION("""COMPUTED_VALUE"""),545.73)</f>
        <v>545.73</v>
      </c>
      <c r="K1743" s="25">
        <f>IFERROR(__xludf.DUMMYFUNCTION("""COMPUTED_VALUE"""),537.08)</f>
        <v>537.08</v>
      </c>
      <c r="L1743" s="25">
        <f>IFERROR(__xludf.DUMMYFUNCTION("""COMPUTED_VALUE"""),538.85)</f>
        <v>538.85</v>
      </c>
      <c r="M1743" s="25">
        <f>IFERROR(__xludf.DUMMYFUNCTION("""COMPUTED_VALUE"""),1065248.0)</f>
        <v>1065248</v>
      </c>
    </row>
    <row r="1744">
      <c r="A1744" s="26">
        <f>IFERROR(__xludf.DUMMYFUNCTION("""COMPUTED_VALUE"""),40932.645833333336)</f>
        <v>40932.64583</v>
      </c>
      <c r="B1744" s="9">
        <f>IFERROR(__xludf.DUMMYFUNCTION("""COMPUTED_VALUE"""),327.25)</f>
        <v>327.25</v>
      </c>
      <c r="C1744" s="9">
        <f>IFERROR(__xludf.DUMMYFUNCTION("""COMPUTED_VALUE"""),329.95)</f>
        <v>329.95</v>
      </c>
      <c r="D1744" s="9">
        <f>IFERROR(__xludf.DUMMYFUNCTION("""COMPUTED_VALUE"""),324.38)</f>
        <v>324.38</v>
      </c>
      <c r="E1744" s="9">
        <f>IFERROR(__xludf.DUMMYFUNCTION("""COMPUTED_VALUE"""),327.6)</f>
        <v>327.6</v>
      </c>
      <c r="F1744" s="9">
        <f>IFERROR(__xludf.DUMMYFUNCTION("""COMPUTED_VALUE"""),706651.0)</f>
        <v>706651</v>
      </c>
      <c r="H1744" s="27">
        <f>IFERROR(__xludf.DUMMYFUNCTION("""COMPUTED_VALUE"""),40932.645833333336)</f>
        <v>40932.64583</v>
      </c>
      <c r="I1744" s="25">
        <f>IFERROR(__xludf.DUMMYFUNCTION("""COMPUTED_VALUE"""),544.0)</f>
        <v>544</v>
      </c>
      <c r="J1744" s="25">
        <f>IFERROR(__xludf.DUMMYFUNCTION("""COMPUTED_VALUE"""),547.5)</f>
        <v>547.5</v>
      </c>
      <c r="K1744" s="25">
        <f>IFERROR(__xludf.DUMMYFUNCTION("""COMPUTED_VALUE"""),539.0)</f>
        <v>539</v>
      </c>
      <c r="L1744" s="25">
        <f>IFERROR(__xludf.DUMMYFUNCTION("""COMPUTED_VALUE"""),544.35)</f>
        <v>544.35</v>
      </c>
      <c r="M1744" s="25">
        <f>IFERROR(__xludf.DUMMYFUNCTION("""COMPUTED_VALUE"""),1320655.0)</f>
        <v>1320655</v>
      </c>
    </row>
    <row r="1745">
      <c r="A1745" s="26">
        <f>IFERROR(__xludf.DUMMYFUNCTION("""COMPUTED_VALUE"""),40933.645833333336)</f>
        <v>40933.64583</v>
      </c>
      <c r="B1745" s="9">
        <f>IFERROR(__xludf.DUMMYFUNCTION("""COMPUTED_VALUE"""),329.38)</f>
        <v>329.38</v>
      </c>
      <c r="C1745" s="9">
        <f>IFERROR(__xludf.DUMMYFUNCTION("""COMPUTED_VALUE"""),334.38)</f>
        <v>334.38</v>
      </c>
      <c r="D1745" s="9">
        <f>IFERROR(__xludf.DUMMYFUNCTION("""COMPUTED_VALUE"""),328.13)</f>
        <v>328.13</v>
      </c>
      <c r="E1745" s="9">
        <f>IFERROR(__xludf.DUMMYFUNCTION("""COMPUTED_VALUE"""),333.23)</f>
        <v>333.23</v>
      </c>
      <c r="F1745" s="9">
        <f>IFERROR(__xludf.DUMMYFUNCTION("""COMPUTED_VALUE"""),1318170.0)</f>
        <v>1318170</v>
      </c>
      <c r="H1745" s="27">
        <f>IFERROR(__xludf.DUMMYFUNCTION("""COMPUTED_VALUE"""),40933.645833333336)</f>
        <v>40933.64583</v>
      </c>
      <c r="I1745" s="25">
        <f>IFERROR(__xludf.DUMMYFUNCTION("""COMPUTED_VALUE"""),547.45)</f>
        <v>547.45</v>
      </c>
      <c r="J1745" s="25">
        <f>IFERROR(__xludf.DUMMYFUNCTION("""COMPUTED_VALUE"""),554.98)</f>
        <v>554.98</v>
      </c>
      <c r="K1745" s="25">
        <f>IFERROR(__xludf.DUMMYFUNCTION("""COMPUTED_VALUE"""),545.53)</f>
        <v>545.53</v>
      </c>
      <c r="L1745" s="25">
        <f>IFERROR(__xludf.DUMMYFUNCTION("""COMPUTED_VALUE"""),549.0)</f>
        <v>549</v>
      </c>
      <c r="M1745" s="25">
        <f>IFERROR(__xludf.DUMMYFUNCTION("""COMPUTED_VALUE"""),2922619.0)</f>
        <v>2922619</v>
      </c>
    </row>
    <row r="1746">
      <c r="A1746" s="26">
        <f>IFERROR(__xludf.DUMMYFUNCTION("""COMPUTED_VALUE"""),40935.645833333336)</f>
        <v>40935.64583</v>
      </c>
      <c r="B1746" s="9">
        <f>IFERROR(__xludf.DUMMYFUNCTION("""COMPUTED_VALUE"""),337.75)</f>
        <v>337.75</v>
      </c>
      <c r="C1746" s="9">
        <f>IFERROR(__xludf.DUMMYFUNCTION("""COMPUTED_VALUE"""),341.88)</f>
        <v>341.88</v>
      </c>
      <c r="D1746" s="9">
        <f>IFERROR(__xludf.DUMMYFUNCTION("""COMPUTED_VALUE"""),335.78)</f>
        <v>335.78</v>
      </c>
      <c r="E1746" s="9">
        <f>IFERROR(__xludf.DUMMYFUNCTION("""COMPUTED_VALUE"""),340.63)</f>
        <v>340.63</v>
      </c>
      <c r="F1746" s="9">
        <f>IFERROR(__xludf.DUMMYFUNCTION("""COMPUTED_VALUE"""),1527359.0)</f>
        <v>1527359</v>
      </c>
      <c r="H1746" s="27">
        <f>IFERROR(__xludf.DUMMYFUNCTION("""COMPUTED_VALUE"""),40935.645833333336)</f>
        <v>40935.64583</v>
      </c>
      <c r="I1746" s="25">
        <f>IFERROR(__xludf.DUMMYFUNCTION("""COMPUTED_VALUE"""),552.5)</f>
        <v>552.5</v>
      </c>
      <c r="J1746" s="25">
        <f>IFERROR(__xludf.DUMMYFUNCTION("""COMPUTED_VALUE"""),560.28)</f>
        <v>560.28</v>
      </c>
      <c r="K1746" s="25">
        <f>IFERROR(__xludf.DUMMYFUNCTION("""COMPUTED_VALUE"""),550.05)</f>
        <v>550.05</v>
      </c>
      <c r="L1746" s="25">
        <f>IFERROR(__xludf.DUMMYFUNCTION("""COMPUTED_VALUE"""),554.38)</f>
        <v>554.38</v>
      </c>
      <c r="M1746" s="25">
        <f>IFERROR(__xludf.DUMMYFUNCTION("""COMPUTED_VALUE"""),2604859.0)</f>
        <v>2604859</v>
      </c>
    </row>
    <row r="1747">
      <c r="A1747" s="26">
        <f>IFERROR(__xludf.DUMMYFUNCTION("""COMPUTED_VALUE"""),40938.645833333336)</f>
        <v>40938.64583</v>
      </c>
      <c r="B1747" s="9">
        <f>IFERROR(__xludf.DUMMYFUNCTION("""COMPUTED_VALUE"""),337.36)</f>
        <v>337.36</v>
      </c>
      <c r="C1747" s="9">
        <f>IFERROR(__xludf.DUMMYFUNCTION("""COMPUTED_VALUE"""),340.65)</f>
        <v>340.65</v>
      </c>
      <c r="D1747" s="9">
        <f>IFERROR(__xludf.DUMMYFUNCTION("""COMPUTED_VALUE"""),336.25)</f>
        <v>336.25</v>
      </c>
      <c r="E1747" s="9">
        <f>IFERROR(__xludf.DUMMYFUNCTION("""COMPUTED_VALUE"""),339.04)</f>
        <v>339.04</v>
      </c>
      <c r="F1747" s="9">
        <f>IFERROR(__xludf.DUMMYFUNCTION("""COMPUTED_VALUE"""),1198557.0)</f>
        <v>1198557</v>
      </c>
      <c r="H1747" s="27">
        <f>IFERROR(__xludf.DUMMYFUNCTION("""COMPUTED_VALUE"""),40938.645833333336)</f>
        <v>40938.64583</v>
      </c>
      <c r="I1747" s="25">
        <f>IFERROR(__xludf.DUMMYFUNCTION("""COMPUTED_VALUE"""),551.25)</f>
        <v>551.25</v>
      </c>
      <c r="J1747" s="25">
        <f>IFERROR(__xludf.DUMMYFUNCTION("""COMPUTED_VALUE"""),559.48)</f>
        <v>559.48</v>
      </c>
      <c r="K1747" s="25">
        <f>IFERROR(__xludf.DUMMYFUNCTION("""COMPUTED_VALUE"""),550.38)</f>
        <v>550.38</v>
      </c>
      <c r="L1747" s="25">
        <f>IFERROR(__xludf.DUMMYFUNCTION("""COMPUTED_VALUE"""),555.88)</f>
        <v>555.88</v>
      </c>
      <c r="M1747" s="25">
        <f>IFERROR(__xludf.DUMMYFUNCTION("""COMPUTED_VALUE"""),1297779.0)</f>
        <v>1297779</v>
      </c>
    </row>
    <row r="1748">
      <c r="A1748" s="26">
        <f>IFERROR(__xludf.DUMMYFUNCTION("""COMPUTED_VALUE"""),40939.645833333336)</f>
        <v>40939.64583</v>
      </c>
      <c r="B1748" s="9">
        <f>IFERROR(__xludf.DUMMYFUNCTION("""COMPUTED_VALUE"""),339.0)</f>
        <v>339</v>
      </c>
      <c r="C1748" s="9">
        <f>IFERROR(__xludf.DUMMYFUNCTION("""COMPUTED_VALUE"""),344.33)</f>
        <v>344.33</v>
      </c>
      <c r="D1748" s="9">
        <f>IFERROR(__xludf.DUMMYFUNCTION("""COMPUTED_VALUE"""),338.25)</f>
        <v>338.25</v>
      </c>
      <c r="E1748" s="9">
        <f>IFERROR(__xludf.DUMMYFUNCTION("""COMPUTED_VALUE"""),343.25)</f>
        <v>343.25</v>
      </c>
      <c r="F1748" s="9">
        <f>IFERROR(__xludf.DUMMYFUNCTION("""COMPUTED_VALUE"""),1082362.0)</f>
        <v>1082362</v>
      </c>
      <c r="H1748" s="27">
        <f>IFERROR(__xludf.DUMMYFUNCTION("""COMPUTED_VALUE"""),40939.645833333336)</f>
        <v>40939.64583</v>
      </c>
      <c r="I1748" s="25">
        <f>IFERROR(__xludf.DUMMYFUNCTION("""COMPUTED_VALUE"""),556.5)</f>
        <v>556.5</v>
      </c>
      <c r="J1748" s="25">
        <f>IFERROR(__xludf.DUMMYFUNCTION("""COMPUTED_VALUE"""),567.95)</f>
        <v>567.95</v>
      </c>
      <c r="K1748" s="25">
        <f>IFERROR(__xludf.DUMMYFUNCTION("""COMPUTED_VALUE"""),556.5)</f>
        <v>556.5</v>
      </c>
      <c r="L1748" s="25">
        <f>IFERROR(__xludf.DUMMYFUNCTION("""COMPUTED_VALUE"""),566.2)</f>
        <v>566.2</v>
      </c>
      <c r="M1748" s="25">
        <f>IFERROR(__xludf.DUMMYFUNCTION("""COMPUTED_VALUE"""),1769060.0)</f>
        <v>1769060</v>
      </c>
    </row>
    <row r="1749">
      <c r="A1749" s="26">
        <f>IFERROR(__xludf.DUMMYFUNCTION("""COMPUTED_VALUE"""),40940.645833333336)</f>
        <v>40940.64583</v>
      </c>
      <c r="B1749" s="9">
        <f>IFERROR(__xludf.DUMMYFUNCTION("""COMPUTED_VALUE"""),342.46)</f>
        <v>342.46</v>
      </c>
      <c r="C1749" s="9">
        <f>IFERROR(__xludf.DUMMYFUNCTION("""COMPUTED_VALUE"""),343.5)</f>
        <v>343.5</v>
      </c>
      <c r="D1749" s="9">
        <f>IFERROR(__xludf.DUMMYFUNCTION("""COMPUTED_VALUE"""),336.96)</f>
        <v>336.96</v>
      </c>
      <c r="E1749" s="9">
        <f>IFERROR(__xludf.DUMMYFUNCTION("""COMPUTED_VALUE"""),342.84)</f>
        <v>342.84</v>
      </c>
      <c r="F1749" s="9">
        <f>IFERROR(__xludf.DUMMYFUNCTION("""COMPUTED_VALUE"""),783667.0)</f>
        <v>783667</v>
      </c>
      <c r="H1749" s="27">
        <f>IFERROR(__xludf.DUMMYFUNCTION("""COMPUTED_VALUE"""),40940.645833333336)</f>
        <v>40940.64583</v>
      </c>
      <c r="I1749" s="25">
        <f>IFERROR(__xludf.DUMMYFUNCTION("""COMPUTED_VALUE"""),564.7)</f>
        <v>564.7</v>
      </c>
      <c r="J1749" s="25">
        <f>IFERROR(__xludf.DUMMYFUNCTION("""COMPUTED_VALUE"""),567.5)</f>
        <v>567.5</v>
      </c>
      <c r="K1749" s="25">
        <f>IFERROR(__xludf.DUMMYFUNCTION("""COMPUTED_VALUE"""),554.13)</f>
        <v>554.13</v>
      </c>
      <c r="L1749" s="25">
        <f>IFERROR(__xludf.DUMMYFUNCTION("""COMPUTED_VALUE"""),564.35)</f>
        <v>564.35</v>
      </c>
      <c r="M1749" s="25">
        <f>IFERROR(__xludf.DUMMYFUNCTION("""COMPUTED_VALUE"""),1144402.0)</f>
        <v>1144402</v>
      </c>
    </row>
    <row r="1750">
      <c r="A1750" s="26">
        <f>IFERROR(__xludf.DUMMYFUNCTION("""COMPUTED_VALUE"""),40941.645833333336)</f>
        <v>40941.64583</v>
      </c>
      <c r="B1750" s="9">
        <f>IFERROR(__xludf.DUMMYFUNCTION("""COMPUTED_VALUE"""),342.51)</f>
        <v>342.51</v>
      </c>
      <c r="C1750" s="9">
        <f>IFERROR(__xludf.DUMMYFUNCTION("""COMPUTED_VALUE"""),347.88)</f>
        <v>347.88</v>
      </c>
      <c r="D1750" s="9">
        <f>IFERROR(__xludf.DUMMYFUNCTION("""COMPUTED_VALUE"""),341.25)</f>
        <v>341.25</v>
      </c>
      <c r="E1750" s="9">
        <f>IFERROR(__xludf.DUMMYFUNCTION("""COMPUTED_VALUE"""),344.63)</f>
        <v>344.63</v>
      </c>
      <c r="F1750" s="9">
        <f>IFERROR(__xludf.DUMMYFUNCTION("""COMPUTED_VALUE"""),1442282.0)</f>
        <v>1442282</v>
      </c>
      <c r="H1750" s="27">
        <f>IFERROR(__xludf.DUMMYFUNCTION("""COMPUTED_VALUE"""),40941.645833333336)</f>
        <v>40941.64583</v>
      </c>
      <c r="I1750" s="25">
        <f>IFERROR(__xludf.DUMMYFUNCTION("""COMPUTED_VALUE"""),568.0)</f>
        <v>568</v>
      </c>
      <c r="J1750" s="25">
        <f>IFERROR(__xludf.DUMMYFUNCTION("""COMPUTED_VALUE"""),576.33)</f>
        <v>576.33</v>
      </c>
      <c r="K1750" s="25">
        <f>IFERROR(__xludf.DUMMYFUNCTION("""COMPUTED_VALUE"""),565.15)</f>
        <v>565.15</v>
      </c>
      <c r="L1750" s="25">
        <f>IFERROR(__xludf.DUMMYFUNCTION("""COMPUTED_VALUE"""),574.0)</f>
        <v>574</v>
      </c>
      <c r="M1750" s="25">
        <f>IFERROR(__xludf.DUMMYFUNCTION("""COMPUTED_VALUE"""),1693070.0)</f>
        <v>1693070</v>
      </c>
    </row>
    <row r="1751">
      <c r="A1751" s="26">
        <f>IFERROR(__xludf.DUMMYFUNCTION("""COMPUTED_VALUE"""),40942.645833333336)</f>
        <v>40942.64583</v>
      </c>
      <c r="B1751" s="9">
        <f>IFERROR(__xludf.DUMMYFUNCTION("""COMPUTED_VALUE"""),342.51)</f>
        <v>342.51</v>
      </c>
      <c r="C1751" s="9">
        <f>IFERROR(__xludf.DUMMYFUNCTION("""COMPUTED_VALUE"""),349.0)</f>
        <v>349</v>
      </c>
      <c r="D1751" s="9">
        <f>IFERROR(__xludf.DUMMYFUNCTION("""COMPUTED_VALUE"""),342.51)</f>
        <v>342.51</v>
      </c>
      <c r="E1751" s="9">
        <f>IFERROR(__xludf.DUMMYFUNCTION("""COMPUTED_VALUE"""),347.91)</f>
        <v>347.91</v>
      </c>
      <c r="F1751" s="9">
        <f>IFERROR(__xludf.DUMMYFUNCTION("""COMPUTED_VALUE"""),1454650.0)</f>
        <v>1454650</v>
      </c>
      <c r="H1751" s="27">
        <f>IFERROR(__xludf.DUMMYFUNCTION("""COMPUTED_VALUE"""),40942.645833333336)</f>
        <v>40942.64583</v>
      </c>
      <c r="I1751" s="25">
        <f>IFERROR(__xludf.DUMMYFUNCTION("""COMPUTED_VALUE"""),572.5)</f>
        <v>572.5</v>
      </c>
      <c r="J1751" s="25">
        <f>IFERROR(__xludf.DUMMYFUNCTION("""COMPUTED_VALUE"""),588.0)</f>
        <v>588</v>
      </c>
      <c r="K1751" s="25">
        <f>IFERROR(__xludf.DUMMYFUNCTION("""COMPUTED_VALUE"""),570.5)</f>
        <v>570.5</v>
      </c>
      <c r="L1751" s="25">
        <f>IFERROR(__xludf.DUMMYFUNCTION("""COMPUTED_VALUE"""),585.78)</f>
        <v>585.78</v>
      </c>
      <c r="M1751" s="25">
        <f>IFERROR(__xludf.DUMMYFUNCTION("""COMPUTED_VALUE"""),1388779.0)</f>
        <v>1388779</v>
      </c>
    </row>
    <row r="1752">
      <c r="A1752" s="26">
        <f>IFERROR(__xludf.DUMMYFUNCTION("""COMPUTED_VALUE"""),40945.645833333336)</f>
        <v>40945.64583</v>
      </c>
      <c r="B1752" s="9">
        <f>IFERROR(__xludf.DUMMYFUNCTION("""COMPUTED_VALUE"""),350.64)</f>
        <v>350.64</v>
      </c>
      <c r="C1752" s="9">
        <f>IFERROR(__xludf.DUMMYFUNCTION("""COMPUTED_VALUE"""),350.99)</f>
        <v>350.99</v>
      </c>
      <c r="D1752" s="9">
        <f>IFERROR(__xludf.DUMMYFUNCTION("""COMPUTED_VALUE"""),344.01)</f>
        <v>344.01</v>
      </c>
      <c r="E1752" s="9">
        <f>IFERROR(__xludf.DUMMYFUNCTION("""COMPUTED_VALUE"""),347.14)</f>
        <v>347.14</v>
      </c>
      <c r="F1752" s="9">
        <f>IFERROR(__xludf.DUMMYFUNCTION("""COMPUTED_VALUE"""),992210.0)</f>
        <v>992210</v>
      </c>
      <c r="H1752" s="27">
        <f>IFERROR(__xludf.DUMMYFUNCTION("""COMPUTED_VALUE"""),40945.645833333336)</f>
        <v>40945.64583</v>
      </c>
      <c r="I1752" s="25">
        <f>IFERROR(__xludf.DUMMYFUNCTION("""COMPUTED_VALUE"""),591.85)</f>
        <v>591.85</v>
      </c>
      <c r="J1752" s="25">
        <f>IFERROR(__xludf.DUMMYFUNCTION("""COMPUTED_VALUE"""),600.03)</f>
        <v>600.03</v>
      </c>
      <c r="K1752" s="25">
        <f>IFERROR(__xludf.DUMMYFUNCTION("""COMPUTED_VALUE"""),586.67)</f>
        <v>586.67</v>
      </c>
      <c r="L1752" s="25">
        <f>IFERROR(__xludf.DUMMYFUNCTION("""COMPUTED_VALUE"""),596.92)</f>
        <v>596.92</v>
      </c>
      <c r="M1752" s="25">
        <f>IFERROR(__xludf.DUMMYFUNCTION("""COMPUTED_VALUE"""),1713598.0)</f>
        <v>1713598</v>
      </c>
    </row>
    <row r="1753">
      <c r="A1753" s="26">
        <f>IFERROR(__xludf.DUMMYFUNCTION("""COMPUTED_VALUE"""),40946.645833333336)</f>
        <v>40946.64583</v>
      </c>
      <c r="B1753" s="9">
        <f>IFERROR(__xludf.DUMMYFUNCTION("""COMPUTED_VALUE"""),350.63)</f>
        <v>350.63</v>
      </c>
      <c r="C1753" s="9">
        <f>IFERROR(__xludf.DUMMYFUNCTION("""COMPUTED_VALUE"""),350.63)</f>
        <v>350.63</v>
      </c>
      <c r="D1753" s="9">
        <f>IFERROR(__xludf.DUMMYFUNCTION("""COMPUTED_VALUE"""),339.21)</f>
        <v>339.21</v>
      </c>
      <c r="E1753" s="9">
        <f>IFERROR(__xludf.DUMMYFUNCTION("""COMPUTED_VALUE"""),340.94)</f>
        <v>340.94</v>
      </c>
      <c r="F1753" s="9">
        <f>IFERROR(__xludf.DUMMYFUNCTION("""COMPUTED_VALUE"""),902705.0)</f>
        <v>902705</v>
      </c>
      <c r="H1753" s="27">
        <f>IFERROR(__xludf.DUMMYFUNCTION("""COMPUTED_VALUE"""),40946.645833333336)</f>
        <v>40946.64583</v>
      </c>
      <c r="I1753" s="25">
        <f>IFERROR(__xludf.DUMMYFUNCTION("""COMPUTED_VALUE"""),604.85)</f>
        <v>604.85</v>
      </c>
      <c r="J1753" s="25">
        <f>IFERROR(__xludf.DUMMYFUNCTION("""COMPUTED_VALUE"""),604.85)</f>
        <v>604.85</v>
      </c>
      <c r="K1753" s="25">
        <f>IFERROR(__xludf.DUMMYFUNCTION("""COMPUTED_VALUE"""),595.95)</f>
        <v>595.95</v>
      </c>
      <c r="L1753" s="25">
        <f>IFERROR(__xludf.DUMMYFUNCTION("""COMPUTED_VALUE"""),599.0)</f>
        <v>599</v>
      </c>
      <c r="M1753" s="25">
        <f>IFERROR(__xludf.DUMMYFUNCTION("""COMPUTED_VALUE"""),1703828.0)</f>
        <v>1703828</v>
      </c>
    </row>
    <row r="1754">
      <c r="A1754" s="26">
        <f>IFERROR(__xludf.DUMMYFUNCTION("""COMPUTED_VALUE"""),40947.645833333336)</f>
        <v>40947.64583</v>
      </c>
      <c r="B1754" s="9">
        <f>IFERROR(__xludf.DUMMYFUNCTION("""COMPUTED_VALUE"""),343.5)</f>
        <v>343.5</v>
      </c>
      <c r="C1754" s="9">
        <f>IFERROR(__xludf.DUMMYFUNCTION("""COMPUTED_VALUE"""),347.75)</f>
        <v>347.75</v>
      </c>
      <c r="D1754" s="9">
        <f>IFERROR(__xludf.DUMMYFUNCTION("""COMPUTED_VALUE"""),342.67)</f>
        <v>342.67</v>
      </c>
      <c r="E1754" s="9">
        <f>IFERROR(__xludf.DUMMYFUNCTION("""COMPUTED_VALUE"""),346.14)</f>
        <v>346.14</v>
      </c>
      <c r="F1754" s="9">
        <f>IFERROR(__xludf.DUMMYFUNCTION("""COMPUTED_VALUE"""),833937.0)</f>
        <v>833937</v>
      </c>
      <c r="H1754" s="27">
        <f>IFERROR(__xludf.DUMMYFUNCTION("""COMPUTED_VALUE"""),40947.645833333336)</f>
        <v>40947.64583</v>
      </c>
      <c r="I1754" s="25">
        <f>IFERROR(__xludf.DUMMYFUNCTION("""COMPUTED_VALUE"""),608.2)</f>
        <v>608.2</v>
      </c>
      <c r="J1754" s="25">
        <f>IFERROR(__xludf.DUMMYFUNCTION("""COMPUTED_VALUE"""),613.42)</f>
        <v>613.42</v>
      </c>
      <c r="K1754" s="25">
        <f>IFERROR(__xludf.DUMMYFUNCTION("""COMPUTED_VALUE"""),605.5)</f>
        <v>605.5</v>
      </c>
      <c r="L1754" s="25">
        <f>IFERROR(__xludf.DUMMYFUNCTION("""COMPUTED_VALUE"""),609.83)</f>
        <v>609.83</v>
      </c>
      <c r="M1754" s="25">
        <f>IFERROR(__xludf.DUMMYFUNCTION("""COMPUTED_VALUE"""),1813592.0)</f>
        <v>1813592</v>
      </c>
    </row>
    <row r="1755">
      <c r="A1755" s="26">
        <f>IFERROR(__xludf.DUMMYFUNCTION("""COMPUTED_VALUE"""),40948.645833333336)</f>
        <v>40948.64583</v>
      </c>
      <c r="B1755" s="9">
        <f>IFERROR(__xludf.DUMMYFUNCTION("""COMPUTED_VALUE"""),343.63)</f>
        <v>343.63</v>
      </c>
      <c r="C1755" s="9">
        <f>IFERROR(__xludf.DUMMYFUNCTION("""COMPUTED_VALUE"""),352.76)</f>
        <v>352.76</v>
      </c>
      <c r="D1755" s="9">
        <f>IFERROR(__xludf.DUMMYFUNCTION("""COMPUTED_VALUE"""),341.48)</f>
        <v>341.48</v>
      </c>
      <c r="E1755" s="9">
        <f>IFERROR(__xludf.DUMMYFUNCTION("""COMPUTED_VALUE"""),351.24)</f>
        <v>351.24</v>
      </c>
      <c r="F1755" s="9">
        <f>IFERROR(__xludf.DUMMYFUNCTION("""COMPUTED_VALUE"""),1269605.0)</f>
        <v>1269605</v>
      </c>
      <c r="H1755" s="27">
        <f>IFERROR(__xludf.DUMMYFUNCTION("""COMPUTED_VALUE"""),40948.645833333336)</f>
        <v>40948.64583</v>
      </c>
      <c r="I1755" s="25">
        <f>IFERROR(__xludf.DUMMYFUNCTION("""COMPUTED_VALUE"""),605.55)</f>
        <v>605.55</v>
      </c>
      <c r="J1755" s="25">
        <f>IFERROR(__xludf.DUMMYFUNCTION("""COMPUTED_VALUE"""),616.0)</f>
        <v>616</v>
      </c>
      <c r="K1755" s="25">
        <f>IFERROR(__xludf.DUMMYFUNCTION("""COMPUTED_VALUE"""),594.0)</f>
        <v>594</v>
      </c>
      <c r="L1755" s="25">
        <f>IFERROR(__xludf.DUMMYFUNCTION("""COMPUTED_VALUE"""),614.3)</f>
        <v>614.3</v>
      </c>
      <c r="M1755" s="25">
        <f>IFERROR(__xludf.DUMMYFUNCTION("""COMPUTED_VALUE"""),1519031.0)</f>
        <v>1519031</v>
      </c>
    </row>
    <row r="1756">
      <c r="A1756" s="26">
        <f>IFERROR(__xludf.DUMMYFUNCTION("""COMPUTED_VALUE"""),40949.645833333336)</f>
        <v>40949.64583</v>
      </c>
      <c r="B1756" s="9">
        <f>IFERROR(__xludf.DUMMYFUNCTION("""COMPUTED_VALUE"""),349.88)</f>
        <v>349.88</v>
      </c>
      <c r="C1756" s="9">
        <f>IFERROR(__xludf.DUMMYFUNCTION("""COMPUTED_VALUE"""),350.25)</f>
        <v>350.25</v>
      </c>
      <c r="D1756" s="9">
        <f>IFERROR(__xludf.DUMMYFUNCTION("""COMPUTED_VALUE"""),343.89)</f>
        <v>343.89</v>
      </c>
      <c r="E1756" s="9">
        <f>IFERROR(__xludf.DUMMYFUNCTION("""COMPUTED_VALUE"""),348.8)</f>
        <v>348.8</v>
      </c>
      <c r="F1756" s="9">
        <f>IFERROR(__xludf.DUMMYFUNCTION("""COMPUTED_VALUE"""),647202.0)</f>
        <v>647202</v>
      </c>
      <c r="H1756" s="27">
        <f>IFERROR(__xludf.DUMMYFUNCTION("""COMPUTED_VALUE"""),40949.645833333336)</f>
        <v>40949.64583</v>
      </c>
      <c r="I1756" s="25">
        <f>IFERROR(__xludf.DUMMYFUNCTION("""COMPUTED_VALUE"""),614.0)</f>
        <v>614</v>
      </c>
      <c r="J1756" s="25">
        <f>IFERROR(__xludf.DUMMYFUNCTION("""COMPUTED_VALUE"""),619.0)</f>
        <v>619</v>
      </c>
      <c r="K1756" s="25">
        <f>IFERROR(__xludf.DUMMYFUNCTION("""COMPUTED_VALUE"""),606.0)</f>
        <v>606</v>
      </c>
      <c r="L1756" s="25">
        <f>IFERROR(__xludf.DUMMYFUNCTION("""COMPUTED_VALUE"""),616.7)</f>
        <v>616.7</v>
      </c>
      <c r="M1756" s="25">
        <f>IFERROR(__xludf.DUMMYFUNCTION("""COMPUTED_VALUE"""),1162151.0)</f>
        <v>1162151</v>
      </c>
    </row>
    <row r="1757">
      <c r="A1757" s="26">
        <f>IFERROR(__xludf.DUMMYFUNCTION("""COMPUTED_VALUE"""),40952.645833333336)</f>
        <v>40952.64583</v>
      </c>
      <c r="B1757" s="9">
        <f>IFERROR(__xludf.DUMMYFUNCTION("""COMPUTED_VALUE"""),346.91)</f>
        <v>346.91</v>
      </c>
      <c r="C1757" s="9">
        <f>IFERROR(__xludf.DUMMYFUNCTION("""COMPUTED_VALUE"""),350.06)</f>
        <v>350.06</v>
      </c>
      <c r="D1757" s="9">
        <f>IFERROR(__xludf.DUMMYFUNCTION("""COMPUTED_VALUE"""),344.64)</f>
        <v>344.64</v>
      </c>
      <c r="E1757" s="9">
        <f>IFERROR(__xludf.DUMMYFUNCTION("""COMPUTED_VALUE"""),348.55)</f>
        <v>348.55</v>
      </c>
      <c r="F1757" s="9">
        <f>IFERROR(__xludf.DUMMYFUNCTION("""COMPUTED_VALUE"""),716751.0)</f>
        <v>716751</v>
      </c>
      <c r="H1757" s="27">
        <f>IFERROR(__xludf.DUMMYFUNCTION("""COMPUTED_VALUE"""),40952.645833333336)</f>
        <v>40952.64583</v>
      </c>
      <c r="I1757" s="25">
        <f>IFERROR(__xludf.DUMMYFUNCTION("""COMPUTED_VALUE"""),611.1)</f>
        <v>611.1</v>
      </c>
      <c r="J1757" s="25">
        <f>IFERROR(__xludf.DUMMYFUNCTION("""COMPUTED_VALUE"""),618.98)</f>
        <v>618.98</v>
      </c>
      <c r="K1757" s="25">
        <f>IFERROR(__xludf.DUMMYFUNCTION("""COMPUTED_VALUE"""),607.0)</f>
        <v>607</v>
      </c>
      <c r="L1757" s="25">
        <f>IFERROR(__xludf.DUMMYFUNCTION("""COMPUTED_VALUE"""),612.85)</f>
        <v>612.85</v>
      </c>
      <c r="M1757" s="25">
        <f>IFERROR(__xludf.DUMMYFUNCTION("""COMPUTED_VALUE"""),815885.0)</f>
        <v>815885</v>
      </c>
    </row>
    <row r="1758">
      <c r="A1758" s="26">
        <f>IFERROR(__xludf.DUMMYFUNCTION("""COMPUTED_VALUE"""),40953.645833333336)</f>
        <v>40953.64583</v>
      </c>
      <c r="B1758" s="9">
        <f>IFERROR(__xludf.DUMMYFUNCTION("""COMPUTED_VALUE"""),347.0)</f>
        <v>347</v>
      </c>
      <c r="C1758" s="9">
        <f>IFERROR(__xludf.DUMMYFUNCTION("""COMPUTED_VALUE"""),351.24)</f>
        <v>351.24</v>
      </c>
      <c r="D1758" s="9">
        <f>IFERROR(__xludf.DUMMYFUNCTION("""COMPUTED_VALUE"""),345.5)</f>
        <v>345.5</v>
      </c>
      <c r="E1758" s="9">
        <f>IFERROR(__xludf.DUMMYFUNCTION("""COMPUTED_VALUE"""),350.13)</f>
        <v>350.13</v>
      </c>
      <c r="F1758" s="9">
        <f>IFERROR(__xludf.DUMMYFUNCTION("""COMPUTED_VALUE"""),684721.0)</f>
        <v>684721</v>
      </c>
      <c r="H1758" s="27">
        <f>IFERROR(__xludf.DUMMYFUNCTION("""COMPUTED_VALUE"""),40953.645833333336)</f>
        <v>40953.64583</v>
      </c>
      <c r="I1758" s="25">
        <f>IFERROR(__xludf.DUMMYFUNCTION("""COMPUTED_VALUE"""),612.5)</f>
        <v>612.5</v>
      </c>
      <c r="J1758" s="25">
        <f>IFERROR(__xludf.DUMMYFUNCTION("""COMPUTED_VALUE"""),614.78)</f>
        <v>614.78</v>
      </c>
      <c r="K1758" s="25">
        <f>IFERROR(__xludf.DUMMYFUNCTION("""COMPUTED_VALUE"""),607.5)</f>
        <v>607.5</v>
      </c>
      <c r="L1758" s="25">
        <f>IFERROR(__xludf.DUMMYFUNCTION("""COMPUTED_VALUE"""),610.0)</f>
        <v>610</v>
      </c>
      <c r="M1758" s="25">
        <f>IFERROR(__xludf.DUMMYFUNCTION("""COMPUTED_VALUE"""),913323.0)</f>
        <v>913323</v>
      </c>
    </row>
    <row r="1759">
      <c r="A1759" s="26">
        <f>IFERROR(__xludf.DUMMYFUNCTION("""COMPUTED_VALUE"""),40954.645833333336)</f>
        <v>40954.64583</v>
      </c>
      <c r="B1759" s="9">
        <f>IFERROR(__xludf.DUMMYFUNCTION("""COMPUTED_VALUE"""),351.88)</f>
        <v>351.88</v>
      </c>
      <c r="C1759" s="9">
        <f>IFERROR(__xludf.DUMMYFUNCTION("""COMPUTED_VALUE"""),359.38)</f>
        <v>359.38</v>
      </c>
      <c r="D1759" s="9">
        <f>IFERROR(__xludf.DUMMYFUNCTION("""COMPUTED_VALUE"""),351.88)</f>
        <v>351.88</v>
      </c>
      <c r="E1759" s="9">
        <f>IFERROR(__xludf.DUMMYFUNCTION("""COMPUTED_VALUE"""),358.01)</f>
        <v>358.01</v>
      </c>
      <c r="F1759" s="9">
        <f>IFERROR(__xludf.DUMMYFUNCTION("""COMPUTED_VALUE"""),897291.0)</f>
        <v>897291</v>
      </c>
      <c r="H1759" s="27">
        <f>IFERROR(__xludf.DUMMYFUNCTION("""COMPUTED_VALUE"""),40954.645833333336)</f>
        <v>40954.64583</v>
      </c>
      <c r="I1759" s="25">
        <f>IFERROR(__xludf.DUMMYFUNCTION("""COMPUTED_VALUE"""),613.58)</f>
        <v>613.58</v>
      </c>
      <c r="J1759" s="25">
        <f>IFERROR(__xludf.DUMMYFUNCTION("""COMPUTED_VALUE"""),624.4)</f>
        <v>624.4</v>
      </c>
      <c r="K1759" s="25">
        <f>IFERROR(__xludf.DUMMYFUNCTION("""COMPUTED_VALUE"""),609.75)</f>
        <v>609.75</v>
      </c>
      <c r="L1759" s="25">
        <f>IFERROR(__xludf.DUMMYFUNCTION("""COMPUTED_VALUE"""),620.8)</f>
        <v>620.8</v>
      </c>
      <c r="M1759" s="25">
        <f>IFERROR(__xludf.DUMMYFUNCTION("""COMPUTED_VALUE"""),1083583.0)</f>
        <v>1083583</v>
      </c>
    </row>
    <row r="1760">
      <c r="A1760" s="26">
        <f>IFERROR(__xludf.DUMMYFUNCTION("""COMPUTED_VALUE"""),40955.645833333336)</f>
        <v>40955.64583</v>
      </c>
      <c r="B1760" s="9">
        <f>IFERROR(__xludf.DUMMYFUNCTION("""COMPUTED_VALUE"""),358.0)</f>
        <v>358</v>
      </c>
      <c r="C1760" s="9">
        <f>IFERROR(__xludf.DUMMYFUNCTION("""COMPUTED_VALUE"""),364.71)</f>
        <v>364.71</v>
      </c>
      <c r="D1760" s="9">
        <f>IFERROR(__xludf.DUMMYFUNCTION("""COMPUTED_VALUE"""),357.57)</f>
        <v>357.57</v>
      </c>
      <c r="E1760" s="9">
        <f>IFERROR(__xludf.DUMMYFUNCTION("""COMPUTED_VALUE"""),363.62)</f>
        <v>363.62</v>
      </c>
      <c r="F1760" s="9">
        <f>IFERROR(__xludf.DUMMYFUNCTION("""COMPUTED_VALUE"""),1032069.0)</f>
        <v>1032069</v>
      </c>
      <c r="H1760" s="27">
        <f>IFERROR(__xludf.DUMMYFUNCTION("""COMPUTED_VALUE"""),40955.645833333336)</f>
        <v>40955.64583</v>
      </c>
      <c r="I1760" s="25">
        <f>IFERROR(__xludf.DUMMYFUNCTION("""COMPUTED_VALUE"""),619.0)</f>
        <v>619</v>
      </c>
      <c r="J1760" s="25">
        <f>IFERROR(__xludf.DUMMYFUNCTION("""COMPUTED_VALUE"""),621.0)</f>
        <v>621</v>
      </c>
      <c r="K1760" s="25">
        <f>IFERROR(__xludf.DUMMYFUNCTION("""COMPUTED_VALUE"""),609.0)</f>
        <v>609</v>
      </c>
      <c r="L1760" s="25">
        <f>IFERROR(__xludf.DUMMYFUNCTION("""COMPUTED_VALUE"""),612.67)</f>
        <v>612.67</v>
      </c>
      <c r="M1760" s="25">
        <f>IFERROR(__xludf.DUMMYFUNCTION("""COMPUTED_VALUE"""),943330.0)</f>
        <v>943330</v>
      </c>
    </row>
    <row r="1761">
      <c r="A1761" s="26">
        <f>IFERROR(__xludf.DUMMYFUNCTION("""COMPUTED_VALUE"""),40956.645833333336)</f>
        <v>40956.64583</v>
      </c>
      <c r="B1761" s="9">
        <f>IFERROR(__xludf.DUMMYFUNCTION("""COMPUTED_VALUE"""),364.53)</f>
        <v>364.53</v>
      </c>
      <c r="C1761" s="9">
        <f>IFERROR(__xludf.DUMMYFUNCTION("""COMPUTED_VALUE"""),372.25)</f>
        <v>372.25</v>
      </c>
      <c r="D1761" s="9">
        <f>IFERROR(__xludf.DUMMYFUNCTION("""COMPUTED_VALUE"""),362.52)</f>
        <v>362.52</v>
      </c>
      <c r="E1761" s="9">
        <f>IFERROR(__xludf.DUMMYFUNCTION("""COMPUTED_VALUE"""),368.48)</f>
        <v>368.48</v>
      </c>
      <c r="F1761" s="9">
        <f>IFERROR(__xludf.DUMMYFUNCTION("""COMPUTED_VALUE"""),1432160.0)</f>
        <v>1432160</v>
      </c>
      <c r="H1761" s="27">
        <f>IFERROR(__xludf.DUMMYFUNCTION("""COMPUTED_VALUE"""),40956.645833333336)</f>
        <v>40956.64583</v>
      </c>
      <c r="I1761" s="25">
        <f>IFERROR(__xludf.DUMMYFUNCTION("""COMPUTED_VALUE"""),617.42)</f>
        <v>617.42</v>
      </c>
      <c r="J1761" s="25">
        <f>IFERROR(__xludf.DUMMYFUNCTION("""COMPUTED_VALUE"""),627.0)</f>
        <v>627</v>
      </c>
      <c r="K1761" s="25">
        <f>IFERROR(__xludf.DUMMYFUNCTION("""COMPUTED_VALUE"""),610.5)</f>
        <v>610.5</v>
      </c>
      <c r="L1761" s="25">
        <f>IFERROR(__xludf.DUMMYFUNCTION("""COMPUTED_VALUE"""),614.38)</f>
        <v>614.38</v>
      </c>
      <c r="M1761" s="25">
        <f>IFERROR(__xludf.DUMMYFUNCTION("""COMPUTED_VALUE"""),2048284.0)</f>
        <v>2048284</v>
      </c>
    </row>
    <row r="1762">
      <c r="A1762" s="26">
        <f>IFERROR(__xludf.DUMMYFUNCTION("""COMPUTED_VALUE"""),40960.645833333336)</f>
        <v>40960.64583</v>
      </c>
      <c r="B1762" s="9">
        <f>IFERROR(__xludf.DUMMYFUNCTION("""COMPUTED_VALUE"""),366.25)</f>
        <v>366.25</v>
      </c>
      <c r="C1762" s="9">
        <f>IFERROR(__xludf.DUMMYFUNCTION("""COMPUTED_VALUE"""),369.99)</f>
        <v>369.99</v>
      </c>
      <c r="D1762" s="9">
        <f>IFERROR(__xludf.DUMMYFUNCTION("""COMPUTED_VALUE"""),363.91)</f>
        <v>363.91</v>
      </c>
      <c r="E1762" s="9">
        <f>IFERROR(__xludf.DUMMYFUNCTION("""COMPUTED_VALUE"""),367.28)</f>
        <v>367.28</v>
      </c>
      <c r="F1762" s="9">
        <f>IFERROR(__xludf.DUMMYFUNCTION("""COMPUTED_VALUE"""),756153.0)</f>
        <v>756153</v>
      </c>
      <c r="H1762" s="27">
        <f>IFERROR(__xludf.DUMMYFUNCTION("""COMPUTED_VALUE"""),40960.645833333336)</f>
        <v>40960.64583</v>
      </c>
      <c r="I1762" s="25">
        <f>IFERROR(__xludf.DUMMYFUNCTION("""COMPUTED_VALUE"""),611.78)</f>
        <v>611.78</v>
      </c>
      <c r="J1762" s="25">
        <f>IFERROR(__xludf.DUMMYFUNCTION("""COMPUTED_VALUE"""),620.0)</f>
        <v>620</v>
      </c>
      <c r="K1762" s="25">
        <f>IFERROR(__xludf.DUMMYFUNCTION("""COMPUTED_VALUE"""),602.38)</f>
        <v>602.38</v>
      </c>
      <c r="L1762" s="25">
        <f>IFERROR(__xludf.DUMMYFUNCTION("""COMPUTED_VALUE"""),618.53)</f>
        <v>618.53</v>
      </c>
      <c r="M1762" s="25">
        <f>IFERROR(__xludf.DUMMYFUNCTION("""COMPUTED_VALUE"""),1244752.0)</f>
        <v>1244752</v>
      </c>
    </row>
    <row r="1763">
      <c r="A1763" s="26">
        <f>IFERROR(__xludf.DUMMYFUNCTION("""COMPUTED_VALUE"""),40961.645833333336)</f>
        <v>40961.64583</v>
      </c>
      <c r="B1763" s="9">
        <f>IFERROR(__xludf.DUMMYFUNCTION("""COMPUTED_VALUE"""),363.15)</f>
        <v>363.15</v>
      </c>
      <c r="C1763" s="9">
        <f>IFERROR(__xludf.DUMMYFUNCTION("""COMPUTED_VALUE"""),374.25)</f>
        <v>374.25</v>
      </c>
      <c r="D1763" s="9">
        <f>IFERROR(__xludf.DUMMYFUNCTION("""COMPUTED_VALUE"""),363.15)</f>
        <v>363.15</v>
      </c>
      <c r="E1763" s="9">
        <f>IFERROR(__xludf.DUMMYFUNCTION("""COMPUTED_VALUE"""),369.03)</f>
        <v>369.03</v>
      </c>
      <c r="F1763" s="9">
        <f>IFERROR(__xludf.DUMMYFUNCTION("""COMPUTED_VALUE"""),1301640.0)</f>
        <v>1301640</v>
      </c>
      <c r="H1763" s="27">
        <f>IFERROR(__xludf.DUMMYFUNCTION("""COMPUTED_VALUE"""),40961.645833333336)</f>
        <v>40961.64583</v>
      </c>
      <c r="I1763" s="25">
        <f>IFERROR(__xludf.DUMMYFUNCTION("""COMPUTED_VALUE"""),617.5)</f>
        <v>617.5</v>
      </c>
      <c r="J1763" s="25">
        <f>IFERROR(__xludf.DUMMYFUNCTION("""COMPUTED_VALUE"""),633.42)</f>
        <v>633.42</v>
      </c>
      <c r="K1763" s="25">
        <f>IFERROR(__xludf.DUMMYFUNCTION("""COMPUTED_VALUE"""),614.5)</f>
        <v>614.5</v>
      </c>
      <c r="L1763" s="25">
        <f>IFERROR(__xludf.DUMMYFUNCTION("""COMPUTED_VALUE"""),626.17)</f>
        <v>626.17</v>
      </c>
      <c r="M1763" s="25">
        <f>IFERROR(__xludf.DUMMYFUNCTION("""COMPUTED_VALUE"""),1570913.0)</f>
        <v>1570913</v>
      </c>
    </row>
    <row r="1764">
      <c r="A1764" s="26">
        <f>IFERROR(__xludf.DUMMYFUNCTION("""COMPUTED_VALUE"""),40962.645833333336)</f>
        <v>40962.64583</v>
      </c>
      <c r="B1764" s="9">
        <f>IFERROR(__xludf.DUMMYFUNCTION("""COMPUTED_VALUE"""),367.38)</f>
        <v>367.38</v>
      </c>
      <c r="C1764" s="9">
        <f>IFERROR(__xludf.DUMMYFUNCTION("""COMPUTED_VALUE"""),372.83)</f>
        <v>372.83</v>
      </c>
      <c r="D1764" s="9">
        <f>IFERROR(__xludf.DUMMYFUNCTION("""COMPUTED_VALUE"""),364.53)</f>
        <v>364.53</v>
      </c>
      <c r="E1764" s="9">
        <f>IFERROR(__xludf.DUMMYFUNCTION("""COMPUTED_VALUE"""),366.64)</f>
        <v>366.64</v>
      </c>
      <c r="F1764" s="9">
        <f>IFERROR(__xludf.DUMMYFUNCTION("""COMPUTED_VALUE"""),1309370.0)</f>
        <v>1309370</v>
      </c>
      <c r="H1764" s="27">
        <f>IFERROR(__xludf.DUMMYFUNCTION("""COMPUTED_VALUE"""),40962.645833333336)</f>
        <v>40962.64583</v>
      </c>
      <c r="I1764" s="25">
        <f>IFERROR(__xludf.DUMMYFUNCTION("""COMPUTED_VALUE"""),624.53)</f>
        <v>624.53</v>
      </c>
      <c r="J1764" s="25">
        <f>IFERROR(__xludf.DUMMYFUNCTION("""COMPUTED_VALUE"""),637.45)</f>
        <v>637.45</v>
      </c>
      <c r="K1764" s="25">
        <f>IFERROR(__xludf.DUMMYFUNCTION("""COMPUTED_VALUE"""),622.0)</f>
        <v>622</v>
      </c>
      <c r="L1764" s="25">
        <f>IFERROR(__xludf.DUMMYFUNCTION("""COMPUTED_VALUE"""),629.9)</f>
        <v>629.9</v>
      </c>
      <c r="M1764" s="25">
        <f>IFERROR(__xludf.DUMMYFUNCTION("""COMPUTED_VALUE"""),2043440.0)</f>
        <v>2043440</v>
      </c>
    </row>
    <row r="1765">
      <c r="A1765" s="26">
        <f>IFERROR(__xludf.DUMMYFUNCTION("""COMPUTED_VALUE"""),40963.645833333336)</f>
        <v>40963.64583</v>
      </c>
      <c r="B1765" s="9">
        <f>IFERROR(__xludf.DUMMYFUNCTION("""COMPUTED_VALUE"""),366.5)</f>
        <v>366.5</v>
      </c>
      <c r="C1765" s="9">
        <f>IFERROR(__xludf.DUMMYFUNCTION("""COMPUTED_VALUE"""),371.75)</f>
        <v>371.75</v>
      </c>
      <c r="D1765" s="9">
        <f>IFERROR(__xludf.DUMMYFUNCTION("""COMPUTED_VALUE"""),365.44)</f>
        <v>365.44</v>
      </c>
      <c r="E1765" s="9">
        <f>IFERROR(__xludf.DUMMYFUNCTION("""COMPUTED_VALUE"""),368.51)</f>
        <v>368.51</v>
      </c>
      <c r="F1765" s="9">
        <f>IFERROR(__xludf.DUMMYFUNCTION("""COMPUTED_VALUE"""),1067055.0)</f>
        <v>1067055</v>
      </c>
      <c r="H1765" s="27">
        <f>IFERROR(__xludf.DUMMYFUNCTION("""COMPUTED_VALUE"""),40963.645833333336)</f>
        <v>40963.64583</v>
      </c>
      <c r="I1765" s="25">
        <f>IFERROR(__xludf.DUMMYFUNCTION("""COMPUTED_VALUE"""),629.5)</f>
        <v>629.5</v>
      </c>
      <c r="J1765" s="25">
        <f>IFERROR(__xludf.DUMMYFUNCTION("""COMPUTED_VALUE"""),640.42)</f>
        <v>640.42</v>
      </c>
      <c r="K1765" s="25">
        <f>IFERROR(__xludf.DUMMYFUNCTION("""COMPUTED_VALUE"""),628.63)</f>
        <v>628.63</v>
      </c>
      <c r="L1765" s="25">
        <f>IFERROR(__xludf.DUMMYFUNCTION("""COMPUTED_VALUE"""),635.0)</f>
        <v>635</v>
      </c>
      <c r="M1765" s="25">
        <f>IFERROR(__xludf.DUMMYFUNCTION("""COMPUTED_VALUE"""),1173200.0)</f>
        <v>1173200</v>
      </c>
    </row>
    <row r="1766">
      <c r="A1766" s="26">
        <f>IFERROR(__xludf.DUMMYFUNCTION("""COMPUTED_VALUE"""),40966.645833333336)</f>
        <v>40966.64583</v>
      </c>
      <c r="B1766" s="9">
        <f>IFERROR(__xludf.DUMMYFUNCTION("""COMPUTED_VALUE"""),370.63)</f>
        <v>370.63</v>
      </c>
      <c r="C1766" s="9">
        <f>IFERROR(__xludf.DUMMYFUNCTION("""COMPUTED_VALUE"""),370.63)</f>
        <v>370.63</v>
      </c>
      <c r="D1766" s="9">
        <f>IFERROR(__xludf.DUMMYFUNCTION("""COMPUTED_VALUE"""),359.0)</f>
        <v>359</v>
      </c>
      <c r="E1766" s="9">
        <f>IFERROR(__xludf.DUMMYFUNCTION("""COMPUTED_VALUE"""),360.42)</f>
        <v>360.42</v>
      </c>
      <c r="F1766" s="9">
        <f>IFERROR(__xludf.DUMMYFUNCTION("""COMPUTED_VALUE"""),863821.0)</f>
        <v>863821</v>
      </c>
      <c r="H1766" s="27">
        <f>IFERROR(__xludf.DUMMYFUNCTION("""COMPUTED_VALUE"""),40966.645833333336)</f>
        <v>40966.64583</v>
      </c>
      <c r="I1766" s="25">
        <f>IFERROR(__xludf.DUMMYFUNCTION("""COMPUTED_VALUE"""),639.5)</f>
        <v>639.5</v>
      </c>
      <c r="J1766" s="25">
        <f>IFERROR(__xludf.DUMMYFUNCTION("""COMPUTED_VALUE"""),639.98)</f>
        <v>639.98</v>
      </c>
      <c r="K1766" s="25">
        <f>IFERROR(__xludf.DUMMYFUNCTION("""COMPUTED_VALUE"""),622.8)</f>
        <v>622.8</v>
      </c>
      <c r="L1766" s="25">
        <f>IFERROR(__xludf.DUMMYFUNCTION("""COMPUTED_VALUE"""),626.03)</f>
        <v>626.03</v>
      </c>
      <c r="M1766" s="25">
        <f>IFERROR(__xludf.DUMMYFUNCTION("""COMPUTED_VALUE"""),930685.0)</f>
        <v>930685</v>
      </c>
    </row>
    <row r="1767">
      <c r="A1767" s="26">
        <f>IFERROR(__xludf.DUMMYFUNCTION("""COMPUTED_VALUE"""),40967.645833333336)</f>
        <v>40967.64583</v>
      </c>
      <c r="B1767" s="9">
        <f>IFERROR(__xludf.DUMMYFUNCTION("""COMPUTED_VALUE"""),360.75)</f>
        <v>360.75</v>
      </c>
      <c r="C1767" s="9">
        <f>IFERROR(__xludf.DUMMYFUNCTION("""COMPUTED_VALUE"""),363.75)</f>
        <v>363.75</v>
      </c>
      <c r="D1767" s="9">
        <f>IFERROR(__xludf.DUMMYFUNCTION("""COMPUTED_VALUE"""),356.87)</f>
        <v>356.87</v>
      </c>
      <c r="E1767" s="9">
        <f>IFERROR(__xludf.DUMMYFUNCTION("""COMPUTED_VALUE"""),359.05)</f>
        <v>359.05</v>
      </c>
      <c r="F1767" s="9">
        <f>IFERROR(__xludf.DUMMYFUNCTION("""COMPUTED_VALUE"""),993775.0)</f>
        <v>993775</v>
      </c>
      <c r="H1767" s="27">
        <f>IFERROR(__xludf.DUMMYFUNCTION("""COMPUTED_VALUE"""),40967.645833333336)</f>
        <v>40967.64583</v>
      </c>
      <c r="I1767" s="25">
        <f>IFERROR(__xludf.DUMMYFUNCTION("""COMPUTED_VALUE"""),627.63)</f>
        <v>627.63</v>
      </c>
      <c r="J1767" s="25">
        <f>IFERROR(__xludf.DUMMYFUNCTION("""COMPUTED_VALUE"""),630.2)</f>
        <v>630.2</v>
      </c>
      <c r="K1767" s="25">
        <f>IFERROR(__xludf.DUMMYFUNCTION("""COMPUTED_VALUE"""),609.55)</f>
        <v>609.55</v>
      </c>
      <c r="L1767" s="25">
        <f>IFERROR(__xludf.DUMMYFUNCTION("""COMPUTED_VALUE"""),613.28)</f>
        <v>613.28</v>
      </c>
      <c r="M1767" s="25">
        <f>IFERROR(__xludf.DUMMYFUNCTION("""COMPUTED_VALUE"""),1986745.0)</f>
        <v>1986745</v>
      </c>
    </row>
    <row r="1768">
      <c r="A1768" s="26">
        <f>IFERROR(__xludf.DUMMYFUNCTION("""COMPUTED_VALUE"""),40968.645833333336)</f>
        <v>40968.64583</v>
      </c>
      <c r="B1768" s="9">
        <f>IFERROR(__xludf.DUMMYFUNCTION("""COMPUTED_VALUE"""),361.75)</f>
        <v>361.75</v>
      </c>
      <c r="C1768" s="9">
        <f>IFERROR(__xludf.DUMMYFUNCTION("""COMPUTED_VALUE"""),363.51)</f>
        <v>363.51</v>
      </c>
      <c r="D1768" s="9">
        <f>IFERROR(__xludf.DUMMYFUNCTION("""COMPUTED_VALUE"""),358.03)</f>
        <v>358.03</v>
      </c>
      <c r="E1768" s="9">
        <f>IFERROR(__xludf.DUMMYFUNCTION("""COMPUTED_VALUE"""),360.43)</f>
        <v>360.43</v>
      </c>
      <c r="F1768" s="9">
        <f>IFERROR(__xludf.DUMMYFUNCTION("""COMPUTED_VALUE"""),1108551.0)</f>
        <v>1108551</v>
      </c>
      <c r="H1768" s="27">
        <f>IFERROR(__xludf.DUMMYFUNCTION("""COMPUTED_VALUE"""),40968.645833333336)</f>
        <v>40968.64583</v>
      </c>
      <c r="I1768" s="25">
        <f>IFERROR(__xludf.DUMMYFUNCTION("""COMPUTED_VALUE"""),620.0)</f>
        <v>620</v>
      </c>
      <c r="J1768" s="25">
        <f>IFERROR(__xludf.DUMMYFUNCTION("""COMPUTED_VALUE"""),620.0)</f>
        <v>620</v>
      </c>
      <c r="K1768" s="25">
        <f>IFERROR(__xludf.DUMMYFUNCTION("""COMPUTED_VALUE"""),606.13)</f>
        <v>606.13</v>
      </c>
      <c r="L1768" s="25">
        <f>IFERROR(__xludf.DUMMYFUNCTION("""COMPUTED_VALUE"""),610.98)</f>
        <v>610.98</v>
      </c>
      <c r="M1768" s="25">
        <f>IFERROR(__xludf.DUMMYFUNCTION("""COMPUTED_VALUE"""),1530108.0)</f>
        <v>1530108</v>
      </c>
    </row>
    <row r="1769">
      <c r="A1769" s="26">
        <f>IFERROR(__xludf.DUMMYFUNCTION("""COMPUTED_VALUE"""),40969.645833333336)</f>
        <v>40969.64583</v>
      </c>
      <c r="B1769" s="9">
        <f>IFERROR(__xludf.DUMMYFUNCTION("""COMPUTED_VALUE"""),356.44)</f>
        <v>356.44</v>
      </c>
      <c r="C1769" s="9">
        <f>IFERROR(__xludf.DUMMYFUNCTION("""COMPUTED_VALUE"""),359.38)</f>
        <v>359.38</v>
      </c>
      <c r="D1769" s="9">
        <f>IFERROR(__xludf.DUMMYFUNCTION("""COMPUTED_VALUE"""),350.63)</f>
        <v>350.63</v>
      </c>
      <c r="E1769" s="9">
        <f>IFERROR(__xludf.DUMMYFUNCTION("""COMPUTED_VALUE"""),357.08)</f>
        <v>357.08</v>
      </c>
      <c r="F1769" s="9">
        <f>IFERROR(__xludf.DUMMYFUNCTION("""COMPUTED_VALUE"""),1225829.0)</f>
        <v>1225829</v>
      </c>
      <c r="H1769" s="27">
        <f>IFERROR(__xludf.DUMMYFUNCTION("""COMPUTED_VALUE"""),40969.645833333336)</f>
        <v>40969.64583</v>
      </c>
      <c r="I1769" s="25">
        <f>IFERROR(__xludf.DUMMYFUNCTION("""COMPUTED_VALUE"""),611.5)</f>
        <v>611.5</v>
      </c>
      <c r="J1769" s="25">
        <f>IFERROR(__xludf.DUMMYFUNCTION("""COMPUTED_VALUE"""),613.48)</f>
        <v>613.48</v>
      </c>
      <c r="K1769" s="25">
        <f>IFERROR(__xludf.DUMMYFUNCTION("""COMPUTED_VALUE"""),605.03)</f>
        <v>605.03</v>
      </c>
      <c r="L1769" s="25">
        <f>IFERROR(__xludf.DUMMYFUNCTION("""COMPUTED_VALUE"""),609.8)</f>
        <v>609.8</v>
      </c>
      <c r="M1769" s="25">
        <f>IFERROR(__xludf.DUMMYFUNCTION("""COMPUTED_VALUE"""),784297.0)</f>
        <v>784297</v>
      </c>
    </row>
    <row r="1770">
      <c r="A1770" s="26">
        <f>IFERROR(__xludf.DUMMYFUNCTION("""COMPUTED_VALUE"""),40970.645833333336)</f>
        <v>40970.64583</v>
      </c>
      <c r="B1770" s="9">
        <f>IFERROR(__xludf.DUMMYFUNCTION("""COMPUTED_VALUE"""),358.13)</f>
        <v>358.13</v>
      </c>
      <c r="C1770" s="9">
        <f>IFERROR(__xludf.DUMMYFUNCTION("""COMPUTED_VALUE"""),358.13)</f>
        <v>358.13</v>
      </c>
      <c r="D1770" s="9">
        <f>IFERROR(__xludf.DUMMYFUNCTION("""COMPUTED_VALUE"""),351.64)</f>
        <v>351.64</v>
      </c>
      <c r="E1770" s="9">
        <f>IFERROR(__xludf.DUMMYFUNCTION("""COMPUTED_VALUE"""),355.71)</f>
        <v>355.71</v>
      </c>
      <c r="F1770" s="9">
        <f>IFERROR(__xludf.DUMMYFUNCTION("""COMPUTED_VALUE"""),759707.0)</f>
        <v>759707</v>
      </c>
      <c r="H1770" s="27">
        <f>IFERROR(__xludf.DUMMYFUNCTION("""COMPUTED_VALUE"""),40970.645833333336)</f>
        <v>40970.64583</v>
      </c>
      <c r="I1770" s="25">
        <f>IFERROR(__xludf.DUMMYFUNCTION("""COMPUTED_VALUE"""),613.0)</f>
        <v>613</v>
      </c>
      <c r="J1770" s="25">
        <f>IFERROR(__xludf.DUMMYFUNCTION("""COMPUTED_VALUE"""),613.5)</f>
        <v>613.5</v>
      </c>
      <c r="K1770" s="25">
        <f>IFERROR(__xludf.DUMMYFUNCTION("""COMPUTED_VALUE"""),603.5)</f>
        <v>603.5</v>
      </c>
      <c r="L1770" s="25">
        <f>IFERROR(__xludf.DUMMYFUNCTION("""COMPUTED_VALUE"""),608.63)</f>
        <v>608.63</v>
      </c>
      <c r="M1770" s="25">
        <f>IFERROR(__xludf.DUMMYFUNCTION("""COMPUTED_VALUE"""),1154616.0)</f>
        <v>1154616</v>
      </c>
    </row>
    <row r="1771">
      <c r="A1771" s="26">
        <f>IFERROR(__xludf.DUMMYFUNCTION("""COMPUTED_VALUE"""),40973.645833333336)</f>
        <v>40973.64583</v>
      </c>
      <c r="B1771" s="9">
        <f>IFERROR(__xludf.DUMMYFUNCTION("""COMPUTED_VALUE"""),357.26)</f>
        <v>357.26</v>
      </c>
      <c r="C1771" s="9">
        <f>IFERROR(__xludf.DUMMYFUNCTION("""COMPUTED_VALUE"""),357.98)</f>
        <v>357.98</v>
      </c>
      <c r="D1771" s="9">
        <f>IFERROR(__xludf.DUMMYFUNCTION("""COMPUTED_VALUE"""),349.59)</f>
        <v>349.59</v>
      </c>
      <c r="E1771" s="9">
        <f>IFERROR(__xludf.DUMMYFUNCTION("""COMPUTED_VALUE"""),351.23)</f>
        <v>351.23</v>
      </c>
      <c r="F1771" s="9">
        <f>IFERROR(__xludf.DUMMYFUNCTION("""COMPUTED_VALUE"""),722557.0)</f>
        <v>722557</v>
      </c>
      <c r="H1771" s="27">
        <f>IFERROR(__xludf.DUMMYFUNCTION("""COMPUTED_VALUE"""),40973.645833333336)</f>
        <v>40973.64583</v>
      </c>
      <c r="I1771" s="25">
        <f>IFERROR(__xludf.DUMMYFUNCTION("""COMPUTED_VALUE"""),607.0)</f>
        <v>607</v>
      </c>
      <c r="J1771" s="25">
        <f>IFERROR(__xludf.DUMMYFUNCTION("""COMPUTED_VALUE"""),611.23)</f>
        <v>611.23</v>
      </c>
      <c r="K1771" s="25">
        <f>IFERROR(__xludf.DUMMYFUNCTION("""COMPUTED_VALUE"""),600.5)</f>
        <v>600.5</v>
      </c>
      <c r="L1771" s="25">
        <f>IFERROR(__xludf.DUMMYFUNCTION("""COMPUTED_VALUE"""),603.65)</f>
        <v>603.65</v>
      </c>
      <c r="M1771" s="25">
        <f>IFERROR(__xludf.DUMMYFUNCTION("""COMPUTED_VALUE"""),770439.0)</f>
        <v>770439</v>
      </c>
    </row>
    <row r="1772">
      <c r="A1772" s="26">
        <f>IFERROR(__xludf.DUMMYFUNCTION("""COMPUTED_VALUE"""),40974.645833333336)</f>
        <v>40974.64583</v>
      </c>
      <c r="B1772" s="9">
        <f>IFERROR(__xludf.DUMMYFUNCTION("""COMPUTED_VALUE"""),350.64)</f>
        <v>350.64</v>
      </c>
      <c r="C1772" s="9">
        <f>IFERROR(__xludf.DUMMYFUNCTION("""COMPUTED_VALUE"""),360.0)</f>
        <v>360</v>
      </c>
      <c r="D1772" s="9">
        <f>IFERROR(__xludf.DUMMYFUNCTION("""COMPUTED_VALUE"""),350.14)</f>
        <v>350.14</v>
      </c>
      <c r="E1772" s="9">
        <f>IFERROR(__xludf.DUMMYFUNCTION("""COMPUTED_VALUE"""),356.56)</f>
        <v>356.56</v>
      </c>
      <c r="F1772" s="9">
        <f>IFERROR(__xludf.DUMMYFUNCTION("""COMPUTED_VALUE"""),1293711.0)</f>
        <v>1293711</v>
      </c>
      <c r="H1772" s="27">
        <f>IFERROR(__xludf.DUMMYFUNCTION("""COMPUTED_VALUE"""),40974.645833333336)</f>
        <v>40974.64583</v>
      </c>
      <c r="I1772" s="25">
        <f>IFERROR(__xludf.DUMMYFUNCTION("""COMPUTED_VALUE"""),601.5)</f>
        <v>601.5</v>
      </c>
      <c r="J1772" s="25">
        <f>IFERROR(__xludf.DUMMYFUNCTION("""COMPUTED_VALUE"""),610.65)</f>
        <v>610.65</v>
      </c>
      <c r="K1772" s="25">
        <f>IFERROR(__xludf.DUMMYFUNCTION("""COMPUTED_VALUE"""),594.5)</f>
        <v>594.5</v>
      </c>
      <c r="L1772" s="25">
        <f>IFERROR(__xludf.DUMMYFUNCTION("""COMPUTED_VALUE"""),601.0)</f>
        <v>601</v>
      </c>
      <c r="M1772" s="25">
        <f>IFERROR(__xludf.DUMMYFUNCTION("""COMPUTED_VALUE"""),858861.0)</f>
        <v>858861</v>
      </c>
    </row>
    <row r="1773">
      <c r="A1773" s="26">
        <f>IFERROR(__xludf.DUMMYFUNCTION("""COMPUTED_VALUE"""),40975.645833333336)</f>
        <v>40975.64583</v>
      </c>
      <c r="B1773" s="9">
        <f>IFERROR(__xludf.DUMMYFUNCTION("""COMPUTED_VALUE"""),355.25)</f>
        <v>355.25</v>
      </c>
      <c r="C1773" s="9">
        <f>IFERROR(__xludf.DUMMYFUNCTION("""COMPUTED_VALUE"""),361.88)</f>
        <v>361.88</v>
      </c>
      <c r="D1773" s="9">
        <f>IFERROR(__xludf.DUMMYFUNCTION("""COMPUTED_VALUE"""),354.39)</f>
        <v>354.39</v>
      </c>
      <c r="E1773" s="9">
        <f>IFERROR(__xludf.DUMMYFUNCTION("""COMPUTED_VALUE"""),360.48)</f>
        <v>360.48</v>
      </c>
      <c r="F1773" s="9">
        <f>IFERROR(__xludf.DUMMYFUNCTION("""COMPUTED_VALUE"""),988571.0)</f>
        <v>988571</v>
      </c>
      <c r="H1773" s="27">
        <f>IFERROR(__xludf.DUMMYFUNCTION("""COMPUTED_VALUE"""),40975.645833333336)</f>
        <v>40975.64583</v>
      </c>
      <c r="I1773" s="25">
        <f>IFERROR(__xludf.DUMMYFUNCTION("""COMPUTED_VALUE"""),597.5)</f>
        <v>597.5</v>
      </c>
      <c r="J1773" s="25">
        <f>IFERROR(__xludf.DUMMYFUNCTION("""COMPUTED_VALUE"""),603.0)</f>
        <v>603</v>
      </c>
      <c r="K1773" s="25">
        <f>IFERROR(__xludf.DUMMYFUNCTION("""COMPUTED_VALUE"""),593.28)</f>
        <v>593.28</v>
      </c>
      <c r="L1773" s="25">
        <f>IFERROR(__xludf.DUMMYFUNCTION("""COMPUTED_VALUE"""),596.42)</f>
        <v>596.42</v>
      </c>
      <c r="M1773" s="25">
        <f>IFERROR(__xludf.DUMMYFUNCTION("""COMPUTED_VALUE"""),972833.0)</f>
        <v>972833</v>
      </c>
    </row>
    <row r="1774">
      <c r="A1774" s="26">
        <f>IFERROR(__xludf.DUMMYFUNCTION("""COMPUTED_VALUE"""),40977.645833333336)</f>
        <v>40977.64583</v>
      </c>
      <c r="B1774" s="9">
        <f>IFERROR(__xludf.DUMMYFUNCTION("""COMPUTED_VALUE"""),361.75)</f>
        <v>361.75</v>
      </c>
      <c r="C1774" s="9">
        <f>IFERROR(__xludf.DUMMYFUNCTION("""COMPUTED_VALUE"""),362.88)</f>
        <v>362.88</v>
      </c>
      <c r="D1774" s="9">
        <f>IFERROR(__xludf.DUMMYFUNCTION("""COMPUTED_VALUE"""),356.0)</f>
        <v>356</v>
      </c>
      <c r="E1774" s="9">
        <f>IFERROR(__xludf.DUMMYFUNCTION("""COMPUTED_VALUE"""),356.91)</f>
        <v>356.91</v>
      </c>
      <c r="F1774" s="9">
        <f>IFERROR(__xludf.DUMMYFUNCTION("""COMPUTED_VALUE"""),830601.0)</f>
        <v>830601</v>
      </c>
      <c r="H1774" s="27">
        <f>IFERROR(__xludf.DUMMYFUNCTION("""COMPUTED_VALUE"""),40977.645833333336)</f>
        <v>40977.64583</v>
      </c>
      <c r="I1774" s="25">
        <f>IFERROR(__xludf.DUMMYFUNCTION("""COMPUTED_VALUE"""),613.5)</f>
        <v>613.5</v>
      </c>
      <c r="J1774" s="25">
        <f>IFERROR(__xludf.DUMMYFUNCTION("""COMPUTED_VALUE"""),613.5)</f>
        <v>613.5</v>
      </c>
      <c r="K1774" s="25">
        <f>IFERROR(__xludf.DUMMYFUNCTION("""COMPUTED_VALUE"""),601.48)</f>
        <v>601.48</v>
      </c>
      <c r="L1774" s="25">
        <f>IFERROR(__xludf.DUMMYFUNCTION("""COMPUTED_VALUE"""),604.28)</f>
        <v>604.28</v>
      </c>
      <c r="M1774" s="25">
        <f>IFERROR(__xludf.DUMMYFUNCTION("""COMPUTED_VALUE"""),1112879.0)</f>
        <v>1112879</v>
      </c>
    </row>
    <row r="1775">
      <c r="A1775" s="26">
        <f>IFERROR(__xludf.DUMMYFUNCTION("""COMPUTED_VALUE"""),40980.645833333336)</f>
        <v>40980.64583</v>
      </c>
      <c r="B1775" s="9">
        <f>IFERROR(__xludf.DUMMYFUNCTION("""COMPUTED_VALUE"""),364.38)</f>
        <v>364.38</v>
      </c>
      <c r="C1775" s="9">
        <f>IFERROR(__xludf.DUMMYFUNCTION("""COMPUTED_VALUE"""),364.38)</f>
        <v>364.38</v>
      </c>
      <c r="D1775" s="9">
        <f>IFERROR(__xludf.DUMMYFUNCTION("""COMPUTED_VALUE"""),347.63)</f>
        <v>347.63</v>
      </c>
      <c r="E1775" s="9">
        <f>IFERROR(__xludf.DUMMYFUNCTION("""COMPUTED_VALUE"""),352.18)</f>
        <v>352.18</v>
      </c>
      <c r="F1775" s="9">
        <f>IFERROR(__xludf.DUMMYFUNCTION("""COMPUTED_VALUE"""),911809.0)</f>
        <v>911809</v>
      </c>
      <c r="H1775" s="27">
        <f>IFERROR(__xludf.DUMMYFUNCTION("""COMPUTED_VALUE"""),40980.645833333336)</f>
        <v>40980.64583</v>
      </c>
      <c r="I1775" s="25">
        <f>IFERROR(__xludf.DUMMYFUNCTION("""COMPUTED_VALUE"""),607.95)</f>
        <v>607.95</v>
      </c>
      <c r="J1775" s="25">
        <f>IFERROR(__xludf.DUMMYFUNCTION("""COMPUTED_VALUE"""),609.42)</f>
        <v>609.42</v>
      </c>
      <c r="K1775" s="25">
        <f>IFERROR(__xludf.DUMMYFUNCTION("""COMPUTED_VALUE"""),591.6)</f>
        <v>591.6</v>
      </c>
      <c r="L1775" s="25">
        <f>IFERROR(__xludf.DUMMYFUNCTION("""COMPUTED_VALUE"""),594.53)</f>
        <v>594.53</v>
      </c>
      <c r="M1775" s="25">
        <f>IFERROR(__xludf.DUMMYFUNCTION("""COMPUTED_VALUE"""),1120139.0)</f>
        <v>1120139</v>
      </c>
    </row>
    <row r="1776">
      <c r="A1776" s="26">
        <f>IFERROR(__xludf.DUMMYFUNCTION("""COMPUTED_VALUE"""),40981.645833333336)</f>
        <v>40981.64583</v>
      </c>
      <c r="B1776" s="9">
        <f>IFERROR(__xludf.DUMMYFUNCTION("""COMPUTED_VALUE"""),355.49)</f>
        <v>355.49</v>
      </c>
      <c r="C1776" s="9">
        <f>IFERROR(__xludf.DUMMYFUNCTION("""COMPUTED_VALUE"""),358.73)</f>
        <v>358.73</v>
      </c>
      <c r="D1776" s="9">
        <f>IFERROR(__xludf.DUMMYFUNCTION("""COMPUTED_VALUE"""),355.25)</f>
        <v>355.25</v>
      </c>
      <c r="E1776" s="9">
        <f>IFERROR(__xludf.DUMMYFUNCTION("""COMPUTED_VALUE"""),357.48)</f>
        <v>357.48</v>
      </c>
      <c r="F1776" s="9">
        <f>IFERROR(__xludf.DUMMYFUNCTION("""COMPUTED_VALUE"""),963803.0)</f>
        <v>963803</v>
      </c>
      <c r="H1776" s="27">
        <f>IFERROR(__xludf.DUMMYFUNCTION("""COMPUTED_VALUE"""),40981.645833333336)</f>
        <v>40981.64583</v>
      </c>
      <c r="I1776" s="25">
        <f>IFERROR(__xludf.DUMMYFUNCTION("""COMPUTED_VALUE"""),595.0)</f>
        <v>595</v>
      </c>
      <c r="J1776" s="25">
        <f>IFERROR(__xludf.DUMMYFUNCTION("""COMPUTED_VALUE"""),607.48)</f>
        <v>607.48</v>
      </c>
      <c r="K1776" s="25">
        <f>IFERROR(__xludf.DUMMYFUNCTION("""COMPUTED_VALUE"""),595.0)</f>
        <v>595</v>
      </c>
      <c r="L1776" s="25">
        <f>IFERROR(__xludf.DUMMYFUNCTION("""COMPUTED_VALUE"""),598.5)</f>
        <v>598.5</v>
      </c>
      <c r="M1776" s="25">
        <f>IFERROR(__xludf.DUMMYFUNCTION("""COMPUTED_VALUE"""),1246232.0)</f>
        <v>1246232</v>
      </c>
    </row>
    <row r="1777">
      <c r="A1777" s="26">
        <f>IFERROR(__xludf.DUMMYFUNCTION("""COMPUTED_VALUE"""),40982.645833333336)</f>
        <v>40982.64583</v>
      </c>
      <c r="B1777" s="9">
        <f>IFERROR(__xludf.DUMMYFUNCTION("""COMPUTED_VALUE"""),361.25)</f>
        <v>361.25</v>
      </c>
      <c r="C1777" s="9">
        <f>IFERROR(__xludf.DUMMYFUNCTION("""COMPUTED_VALUE"""),364.38)</f>
        <v>364.38</v>
      </c>
      <c r="D1777" s="9">
        <f>IFERROR(__xludf.DUMMYFUNCTION("""COMPUTED_VALUE"""),356.74)</f>
        <v>356.74</v>
      </c>
      <c r="E1777" s="9">
        <f>IFERROR(__xludf.DUMMYFUNCTION("""COMPUTED_VALUE"""),359.86)</f>
        <v>359.86</v>
      </c>
      <c r="F1777" s="9">
        <f>IFERROR(__xludf.DUMMYFUNCTION("""COMPUTED_VALUE"""),1325261.0)</f>
        <v>1325261</v>
      </c>
      <c r="H1777" s="27">
        <f>IFERROR(__xludf.DUMMYFUNCTION("""COMPUTED_VALUE"""),40982.645833333336)</f>
        <v>40982.64583</v>
      </c>
      <c r="I1777" s="25">
        <f>IFERROR(__xludf.DUMMYFUNCTION("""COMPUTED_VALUE"""),605.05)</f>
        <v>605.05</v>
      </c>
      <c r="J1777" s="25">
        <f>IFERROR(__xludf.DUMMYFUNCTION("""COMPUTED_VALUE"""),607.0)</f>
        <v>607</v>
      </c>
      <c r="K1777" s="25">
        <f>IFERROR(__xludf.DUMMYFUNCTION("""COMPUTED_VALUE"""),575.5)</f>
        <v>575.5</v>
      </c>
      <c r="L1777" s="25">
        <f>IFERROR(__xludf.DUMMYFUNCTION("""COMPUTED_VALUE"""),577.28)</f>
        <v>577.28</v>
      </c>
      <c r="M1777" s="25">
        <f>IFERROR(__xludf.DUMMYFUNCTION("""COMPUTED_VALUE"""),4032657.0)</f>
        <v>4032657</v>
      </c>
    </row>
    <row r="1778">
      <c r="A1778" s="26">
        <f>IFERROR(__xludf.DUMMYFUNCTION("""COMPUTED_VALUE"""),40983.645833333336)</f>
        <v>40983.64583</v>
      </c>
      <c r="B1778" s="9">
        <f>IFERROR(__xludf.DUMMYFUNCTION("""COMPUTED_VALUE"""),361.88)</f>
        <v>361.88</v>
      </c>
      <c r="C1778" s="9">
        <f>IFERROR(__xludf.DUMMYFUNCTION("""COMPUTED_VALUE"""),363.14)</f>
        <v>363.14</v>
      </c>
      <c r="D1778" s="9">
        <f>IFERROR(__xludf.DUMMYFUNCTION("""COMPUTED_VALUE"""),358.81)</f>
        <v>358.81</v>
      </c>
      <c r="E1778" s="9">
        <f>IFERROR(__xludf.DUMMYFUNCTION("""COMPUTED_VALUE"""),360.24)</f>
        <v>360.24</v>
      </c>
      <c r="F1778" s="9">
        <f>IFERROR(__xludf.DUMMYFUNCTION("""COMPUTED_VALUE"""),781420.0)</f>
        <v>781420</v>
      </c>
      <c r="H1778" s="27">
        <f>IFERROR(__xludf.DUMMYFUNCTION("""COMPUTED_VALUE"""),40983.645833333336)</f>
        <v>40983.64583</v>
      </c>
      <c r="I1778" s="25">
        <f>IFERROR(__xludf.DUMMYFUNCTION("""COMPUTED_VALUE"""),579.5)</f>
        <v>579.5</v>
      </c>
      <c r="J1778" s="25">
        <f>IFERROR(__xludf.DUMMYFUNCTION("""COMPUTED_VALUE"""),585.48)</f>
        <v>585.48</v>
      </c>
      <c r="K1778" s="25">
        <f>IFERROR(__xludf.DUMMYFUNCTION("""COMPUTED_VALUE"""),572.5)</f>
        <v>572.5</v>
      </c>
      <c r="L1778" s="25">
        <f>IFERROR(__xludf.DUMMYFUNCTION("""COMPUTED_VALUE"""),581.85)</f>
        <v>581.85</v>
      </c>
      <c r="M1778" s="25">
        <f>IFERROR(__xludf.DUMMYFUNCTION("""COMPUTED_VALUE"""),2142118.0)</f>
        <v>2142118</v>
      </c>
    </row>
    <row r="1779">
      <c r="A1779" s="26">
        <f>IFERROR(__xludf.DUMMYFUNCTION("""COMPUTED_VALUE"""),40984.645833333336)</f>
        <v>40984.64583</v>
      </c>
      <c r="B1779" s="9">
        <f>IFERROR(__xludf.DUMMYFUNCTION("""COMPUTED_VALUE"""),363.13)</f>
        <v>363.13</v>
      </c>
      <c r="C1779" s="9">
        <f>IFERROR(__xludf.DUMMYFUNCTION("""COMPUTED_VALUE"""),364.13)</f>
        <v>364.13</v>
      </c>
      <c r="D1779" s="9">
        <f>IFERROR(__xludf.DUMMYFUNCTION("""COMPUTED_VALUE"""),355.89)</f>
        <v>355.89</v>
      </c>
      <c r="E1779" s="9">
        <f>IFERROR(__xludf.DUMMYFUNCTION("""COMPUTED_VALUE"""),358.12)</f>
        <v>358.12</v>
      </c>
      <c r="F1779" s="9">
        <f>IFERROR(__xludf.DUMMYFUNCTION("""COMPUTED_VALUE"""),1128876.0)</f>
        <v>1128876</v>
      </c>
      <c r="H1779" s="27">
        <f>IFERROR(__xludf.DUMMYFUNCTION("""COMPUTED_VALUE"""),40984.645833333336)</f>
        <v>40984.64583</v>
      </c>
      <c r="I1779" s="25">
        <f>IFERROR(__xludf.DUMMYFUNCTION("""COMPUTED_VALUE"""),584.98)</f>
        <v>584.98</v>
      </c>
      <c r="J1779" s="25">
        <f>IFERROR(__xludf.DUMMYFUNCTION("""COMPUTED_VALUE"""),590.0)</f>
        <v>590</v>
      </c>
      <c r="K1779" s="25">
        <f>IFERROR(__xludf.DUMMYFUNCTION("""COMPUTED_VALUE"""),579.0)</f>
        <v>579</v>
      </c>
      <c r="L1779" s="25">
        <f>IFERROR(__xludf.DUMMYFUNCTION("""COMPUTED_VALUE"""),584.78)</f>
        <v>584.78</v>
      </c>
      <c r="M1779" s="25">
        <f>IFERROR(__xludf.DUMMYFUNCTION("""COMPUTED_VALUE"""),1027362.0)</f>
        <v>1027362</v>
      </c>
    </row>
    <row r="1780">
      <c r="A1780" s="26">
        <f>IFERROR(__xludf.DUMMYFUNCTION("""COMPUTED_VALUE"""),40987.645833333336)</f>
        <v>40987.64583</v>
      </c>
      <c r="B1780" s="9">
        <f>IFERROR(__xludf.DUMMYFUNCTION("""COMPUTED_VALUE"""),361.88)</f>
        <v>361.88</v>
      </c>
      <c r="C1780" s="9">
        <f>IFERROR(__xludf.DUMMYFUNCTION("""COMPUTED_VALUE"""),362.5)</f>
        <v>362.5</v>
      </c>
      <c r="D1780" s="9">
        <f>IFERROR(__xludf.DUMMYFUNCTION("""COMPUTED_VALUE"""),351.41)</f>
        <v>351.41</v>
      </c>
      <c r="E1780" s="9">
        <f>IFERROR(__xludf.DUMMYFUNCTION("""COMPUTED_VALUE"""),354.69)</f>
        <v>354.69</v>
      </c>
      <c r="F1780" s="9">
        <f>IFERROR(__xludf.DUMMYFUNCTION("""COMPUTED_VALUE"""),757691.0)</f>
        <v>757691</v>
      </c>
      <c r="H1780" s="27">
        <f>IFERROR(__xludf.DUMMYFUNCTION("""COMPUTED_VALUE"""),40987.645833333336)</f>
        <v>40987.64583</v>
      </c>
      <c r="I1780" s="25">
        <f>IFERROR(__xludf.DUMMYFUNCTION("""COMPUTED_VALUE"""),584.78)</f>
        <v>584.78</v>
      </c>
      <c r="J1780" s="25">
        <f>IFERROR(__xludf.DUMMYFUNCTION("""COMPUTED_VALUE"""),584.78)</f>
        <v>584.78</v>
      </c>
      <c r="K1780" s="25">
        <f>IFERROR(__xludf.DUMMYFUNCTION("""COMPUTED_VALUE"""),555.9)</f>
        <v>555.9</v>
      </c>
      <c r="L1780" s="25">
        <f>IFERROR(__xludf.DUMMYFUNCTION("""COMPUTED_VALUE"""),561.0)</f>
        <v>561</v>
      </c>
      <c r="M1780" s="25">
        <f>IFERROR(__xludf.DUMMYFUNCTION("""COMPUTED_VALUE"""),2566432.0)</f>
        <v>2566432</v>
      </c>
    </row>
    <row r="1781">
      <c r="A1781" s="26">
        <f>IFERROR(__xludf.DUMMYFUNCTION("""COMPUTED_VALUE"""),40988.645833333336)</f>
        <v>40988.64583</v>
      </c>
      <c r="B1781" s="9">
        <f>IFERROR(__xludf.DUMMYFUNCTION("""COMPUTED_VALUE"""),353.25)</f>
        <v>353.25</v>
      </c>
      <c r="C1781" s="9">
        <f>IFERROR(__xludf.DUMMYFUNCTION("""COMPUTED_VALUE"""),356.65)</f>
        <v>356.65</v>
      </c>
      <c r="D1781" s="9">
        <f>IFERROR(__xludf.DUMMYFUNCTION("""COMPUTED_VALUE"""),350.38)</f>
        <v>350.38</v>
      </c>
      <c r="E1781" s="9">
        <f>IFERROR(__xludf.DUMMYFUNCTION("""COMPUTED_VALUE"""),353.92)</f>
        <v>353.92</v>
      </c>
      <c r="F1781" s="9">
        <f>IFERROR(__xludf.DUMMYFUNCTION("""COMPUTED_VALUE"""),1153173.0)</f>
        <v>1153173</v>
      </c>
      <c r="H1781" s="27">
        <f>IFERROR(__xludf.DUMMYFUNCTION("""COMPUTED_VALUE"""),40988.645833333336)</f>
        <v>40988.64583</v>
      </c>
      <c r="I1781" s="25">
        <f>IFERROR(__xludf.DUMMYFUNCTION("""COMPUTED_VALUE"""),564.5)</f>
        <v>564.5</v>
      </c>
      <c r="J1781" s="25">
        <f>IFERROR(__xludf.DUMMYFUNCTION("""COMPUTED_VALUE"""),572.5)</f>
        <v>572.5</v>
      </c>
      <c r="K1781" s="25">
        <f>IFERROR(__xludf.DUMMYFUNCTION("""COMPUTED_VALUE"""),560.0)</f>
        <v>560</v>
      </c>
      <c r="L1781" s="25">
        <f>IFERROR(__xludf.DUMMYFUNCTION("""COMPUTED_VALUE"""),567.42)</f>
        <v>567.42</v>
      </c>
      <c r="M1781" s="25">
        <f>IFERROR(__xludf.DUMMYFUNCTION("""COMPUTED_VALUE"""),1841602.0)</f>
        <v>1841602</v>
      </c>
    </row>
    <row r="1782">
      <c r="A1782" s="26">
        <f>IFERROR(__xludf.DUMMYFUNCTION("""COMPUTED_VALUE"""),40989.645833333336)</f>
        <v>40989.64583</v>
      </c>
      <c r="B1782" s="9">
        <f>IFERROR(__xludf.DUMMYFUNCTION("""COMPUTED_VALUE"""),354.06)</f>
        <v>354.06</v>
      </c>
      <c r="C1782" s="9">
        <f>IFERROR(__xludf.DUMMYFUNCTION("""COMPUTED_VALUE"""),361.25)</f>
        <v>361.25</v>
      </c>
      <c r="D1782" s="9">
        <f>IFERROR(__xludf.DUMMYFUNCTION("""COMPUTED_VALUE"""),352.63)</f>
        <v>352.63</v>
      </c>
      <c r="E1782" s="9">
        <f>IFERROR(__xludf.DUMMYFUNCTION("""COMPUTED_VALUE"""),358.41)</f>
        <v>358.41</v>
      </c>
      <c r="F1782" s="9">
        <f>IFERROR(__xludf.DUMMYFUNCTION("""COMPUTED_VALUE"""),781333.0)</f>
        <v>781333</v>
      </c>
      <c r="H1782" s="27">
        <f>IFERROR(__xludf.DUMMYFUNCTION("""COMPUTED_VALUE"""),40989.645833333336)</f>
        <v>40989.64583</v>
      </c>
      <c r="I1782" s="25">
        <f>IFERROR(__xludf.DUMMYFUNCTION("""COMPUTED_VALUE"""),568.48)</f>
        <v>568.48</v>
      </c>
      <c r="J1782" s="25">
        <f>IFERROR(__xludf.DUMMYFUNCTION("""COMPUTED_VALUE"""),589.9)</f>
        <v>589.9</v>
      </c>
      <c r="K1782" s="25">
        <f>IFERROR(__xludf.DUMMYFUNCTION("""COMPUTED_VALUE"""),568.28)</f>
        <v>568.28</v>
      </c>
      <c r="L1782" s="25">
        <f>IFERROR(__xludf.DUMMYFUNCTION("""COMPUTED_VALUE"""),587.88)</f>
        <v>587.88</v>
      </c>
      <c r="M1782" s="25">
        <f>IFERROR(__xludf.DUMMYFUNCTION("""COMPUTED_VALUE"""),2276621.0)</f>
        <v>2276621</v>
      </c>
    </row>
    <row r="1783">
      <c r="A1783" s="26">
        <f>IFERROR(__xludf.DUMMYFUNCTION("""COMPUTED_VALUE"""),40990.645833333336)</f>
        <v>40990.64583</v>
      </c>
      <c r="B1783" s="9">
        <f>IFERROR(__xludf.DUMMYFUNCTION("""COMPUTED_VALUE"""),359.25)</f>
        <v>359.25</v>
      </c>
      <c r="C1783" s="9">
        <f>IFERROR(__xludf.DUMMYFUNCTION("""COMPUTED_VALUE"""),359.32)</f>
        <v>359.32</v>
      </c>
      <c r="D1783" s="9">
        <f>IFERROR(__xludf.DUMMYFUNCTION("""COMPUTED_VALUE"""),351.79)</f>
        <v>351.79</v>
      </c>
      <c r="E1783" s="9">
        <f>IFERROR(__xludf.DUMMYFUNCTION("""COMPUTED_VALUE"""),353.54)</f>
        <v>353.54</v>
      </c>
      <c r="F1783" s="9">
        <f>IFERROR(__xludf.DUMMYFUNCTION("""COMPUTED_VALUE"""),708080.0)</f>
        <v>708080</v>
      </c>
      <c r="H1783" s="27">
        <f>IFERROR(__xludf.DUMMYFUNCTION("""COMPUTED_VALUE"""),40990.645833333336)</f>
        <v>40990.64583</v>
      </c>
      <c r="I1783" s="25">
        <f>IFERROR(__xludf.DUMMYFUNCTION("""COMPUTED_VALUE"""),587.35)</f>
        <v>587.35</v>
      </c>
      <c r="J1783" s="25">
        <f>IFERROR(__xludf.DUMMYFUNCTION("""COMPUTED_VALUE"""),594.85)</f>
        <v>594.85</v>
      </c>
      <c r="K1783" s="25">
        <f>IFERROR(__xludf.DUMMYFUNCTION("""COMPUTED_VALUE"""),580.0)</f>
        <v>580</v>
      </c>
      <c r="L1783" s="25">
        <f>IFERROR(__xludf.DUMMYFUNCTION("""COMPUTED_VALUE"""),583.88)</f>
        <v>583.88</v>
      </c>
      <c r="M1783" s="25">
        <f>IFERROR(__xludf.DUMMYFUNCTION("""COMPUTED_VALUE"""),1710847.0)</f>
        <v>1710847</v>
      </c>
    </row>
    <row r="1784">
      <c r="A1784" s="26">
        <f>IFERROR(__xludf.DUMMYFUNCTION("""COMPUTED_VALUE"""),40991.645833333336)</f>
        <v>40991.64583</v>
      </c>
      <c r="B1784" s="9">
        <f>IFERROR(__xludf.DUMMYFUNCTION("""COMPUTED_VALUE"""),354.13)</f>
        <v>354.13</v>
      </c>
      <c r="C1784" s="9">
        <f>IFERROR(__xludf.DUMMYFUNCTION("""COMPUTED_VALUE"""),360.34)</f>
        <v>360.34</v>
      </c>
      <c r="D1784" s="9">
        <f>IFERROR(__xludf.DUMMYFUNCTION("""COMPUTED_VALUE"""),353.8)</f>
        <v>353.8</v>
      </c>
      <c r="E1784" s="9">
        <f>IFERROR(__xludf.DUMMYFUNCTION("""COMPUTED_VALUE"""),359.09)</f>
        <v>359.09</v>
      </c>
      <c r="F1784" s="9">
        <f>IFERROR(__xludf.DUMMYFUNCTION("""COMPUTED_VALUE"""),687217.0)</f>
        <v>687217</v>
      </c>
      <c r="H1784" s="27">
        <f>IFERROR(__xludf.DUMMYFUNCTION("""COMPUTED_VALUE"""),40991.645833333336)</f>
        <v>40991.64583</v>
      </c>
      <c r="I1784" s="25">
        <f>IFERROR(__xludf.DUMMYFUNCTION("""COMPUTED_VALUE"""),587.5)</f>
        <v>587.5</v>
      </c>
      <c r="J1784" s="25">
        <f>IFERROR(__xludf.DUMMYFUNCTION("""COMPUTED_VALUE"""),595.95)</f>
        <v>595.95</v>
      </c>
      <c r="K1784" s="25">
        <f>IFERROR(__xludf.DUMMYFUNCTION("""COMPUTED_VALUE"""),582.4)</f>
        <v>582.4</v>
      </c>
      <c r="L1784" s="25">
        <f>IFERROR(__xludf.DUMMYFUNCTION("""COMPUTED_VALUE"""),592.33)</f>
        <v>592.33</v>
      </c>
      <c r="M1784" s="25">
        <f>IFERROR(__xludf.DUMMYFUNCTION("""COMPUTED_VALUE"""),1579218.0)</f>
        <v>1579218</v>
      </c>
    </row>
    <row r="1785">
      <c r="A1785" s="26">
        <f>IFERROR(__xludf.DUMMYFUNCTION("""COMPUTED_VALUE"""),40994.645833333336)</f>
        <v>40994.64583</v>
      </c>
      <c r="B1785" s="9">
        <f>IFERROR(__xludf.DUMMYFUNCTION("""COMPUTED_VALUE"""),358.63)</f>
        <v>358.63</v>
      </c>
      <c r="C1785" s="9">
        <f>IFERROR(__xludf.DUMMYFUNCTION("""COMPUTED_VALUE"""),358.63)</f>
        <v>358.63</v>
      </c>
      <c r="D1785" s="9">
        <f>IFERROR(__xludf.DUMMYFUNCTION("""COMPUTED_VALUE"""),352.64)</f>
        <v>352.64</v>
      </c>
      <c r="E1785" s="9">
        <f>IFERROR(__xludf.DUMMYFUNCTION("""COMPUTED_VALUE"""),353.84)</f>
        <v>353.84</v>
      </c>
      <c r="F1785" s="9">
        <f>IFERROR(__xludf.DUMMYFUNCTION("""COMPUTED_VALUE"""),615333.0)</f>
        <v>615333</v>
      </c>
      <c r="H1785" s="27">
        <f>IFERROR(__xludf.DUMMYFUNCTION("""COMPUTED_VALUE"""),40994.645833333336)</f>
        <v>40994.64583</v>
      </c>
      <c r="I1785" s="25">
        <f>IFERROR(__xludf.DUMMYFUNCTION("""COMPUTED_VALUE"""),588.5)</f>
        <v>588.5</v>
      </c>
      <c r="J1785" s="25">
        <f>IFERROR(__xludf.DUMMYFUNCTION("""COMPUTED_VALUE"""),592.5)</f>
        <v>592.5</v>
      </c>
      <c r="K1785" s="25">
        <f>IFERROR(__xludf.DUMMYFUNCTION("""COMPUTED_VALUE"""),577.0)</f>
        <v>577</v>
      </c>
      <c r="L1785" s="25">
        <f>IFERROR(__xludf.DUMMYFUNCTION("""COMPUTED_VALUE"""),580.8)</f>
        <v>580.8</v>
      </c>
      <c r="M1785" s="25">
        <f>IFERROR(__xludf.DUMMYFUNCTION("""COMPUTED_VALUE"""),1526692.0)</f>
        <v>1526692</v>
      </c>
    </row>
    <row r="1786">
      <c r="A1786" s="26">
        <f>IFERROR(__xludf.DUMMYFUNCTION("""COMPUTED_VALUE"""),40995.645833333336)</f>
        <v>40995.64583</v>
      </c>
      <c r="B1786" s="9">
        <f>IFERROR(__xludf.DUMMYFUNCTION("""COMPUTED_VALUE"""),357.5)</f>
        <v>357.5</v>
      </c>
      <c r="C1786" s="9">
        <f>IFERROR(__xludf.DUMMYFUNCTION("""COMPUTED_VALUE"""),362.97)</f>
        <v>362.97</v>
      </c>
      <c r="D1786" s="9">
        <f>IFERROR(__xludf.DUMMYFUNCTION("""COMPUTED_VALUE"""),354.04)</f>
        <v>354.04</v>
      </c>
      <c r="E1786" s="9">
        <f>IFERROR(__xludf.DUMMYFUNCTION("""COMPUTED_VALUE"""),359.49)</f>
        <v>359.49</v>
      </c>
      <c r="F1786" s="9">
        <f>IFERROR(__xludf.DUMMYFUNCTION("""COMPUTED_VALUE"""),948844.0)</f>
        <v>948844</v>
      </c>
      <c r="H1786" s="27">
        <f>IFERROR(__xludf.DUMMYFUNCTION("""COMPUTED_VALUE"""),40995.645833333336)</f>
        <v>40995.64583</v>
      </c>
      <c r="I1786" s="25">
        <f>IFERROR(__xludf.DUMMYFUNCTION("""COMPUTED_VALUE"""),586.5)</f>
        <v>586.5</v>
      </c>
      <c r="J1786" s="25">
        <f>IFERROR(__xludf.DUMMYFUNCTION("""COMPUTED_VALUE"""),589.83)</f>
        <v>589.83</v>
      </c>
      <c r="K1786" s="25">
        <f>IFERROR(__xludf.DUMMYFUNCTION("""COMPUTED_VALUE"""),575.98)</f>
        <v>575.98</v>
      </c>
      <c r="L1786" s="25">
        <f>IFERROR(__xludf.DUMMYFUNCTION("""COMPUTED_VALUE"""),587.38)</f>
        <v>587.38</v>
      </c>
      <c r="M1786" s="25">
        <f>IFERROR(__xludf.DUMMYFUNCTION("""COMPUTED_VALUE"""),794123.0)</f>
        <v>794123</v>
      </c>
    </row>
    <row r="1787">
      <c r="A1787" s="26">
        <f>IFERROR(__xludf.DUMMYFUNCTION("""COMPUTED_VALUE"""),40996.645833333336)</f>
        <v>40996.64583</v>
      </c>
      <c r="B1787" s="9">
        <f>IFERROR(__xludf.DUMMYFUNCTION("""COMPUTED_VALUE"""),358.25)</f>
        <v>358.25</v>
      </c>
      <c r="C1787" s="9">
        <f>IFERROR(__xludf.DUMMYFUNCTION("""COMPUTED_VALUE"""),359.34)</f>
        <v>359.34</v>
      </c>
      <c r="D1787" s="9">
        <f>IFERROR(__xludf.DUMMYFUNCTION("""COMPUTED_VALUE"""),353.0)</f>
        <v>353</v>
      </c>
      <c r="E1787" s="9">
        <f>IFERROR(__xludf.DUMMYFUNCTION("""COMPUTED_VALUE"""),355.39)</f>
        <v>355.39</v>
      </c>
      <c r="F1787" s="9">
        <f>IFERROR(__xludf.DUMMYFUNCTION("""COMPUTED_VALUE"""),739990.0)</f>
        <v>739990</v>
      </c>
      <c r="H1787" s="27">
        <f>IFERROR(__xludf.DUMMYFUNCTION("""COMPUTED_VALUE"""),40996.645833333336)</f>
        <v>40996.64583</v>
      </c>
      <c r="I1787" s="25">
        <f>IFERROR(__xludf.DUMMYFUNCTION("""COMPUTED_VALUE"""),587.0)</f>
        <v>587</v>
      </c>
      <c r="J1787" s="25">
        <f>IFERROR(__xludf.DUMMYFUNCTION("""COMPUTED_VALUE"""),587.33)</f>
        <v>587.33</v>
      </c>
      <c r="K1787" s="25">
        <f>IFERROR(__xludf.DUMMYFUNCTION("""COMPUTED_VALUE"""),577.23)</f>
        <v>577.23</v>
      </c>
      <c r="L1787" s="25">
        <f>IFERROR(__xludf.DUMMYFUNCTION("""COMPUTED_VALUE"""),582.55)</f>
        <v>582.55</v>
      </c>
      <c r="M1787" s="25">
        <f>IFERROR(__xludf.DUMMYFUNCTION("""COMPUTED_VALUE"""),1025548.0)</f>
        <v>1025548</v>
      </c>
    </row>
    <row r="1788">
      <c r="A1788" s="26">
        <f>IFERROR(__xludf.DUMMYFUNCTION("""COMPUTED_VALUE"""),40997.645833333336)</f>
        <v>40997.64583</v>
      </c>
      <c r="B1788" s="9">
        <f>IFERROR(__xludf.DUMMYFUNCTION("""COMPUTED_VALUE"""),352.56)</f>
        <v>352.56</v>
      </c>
      <c r="C1788" s="9">
        <f>IFERROR(__xludf.DUMMYFUNCTION("""COMPUTED_VALUE"""),354.79)</f>
        <v>354.79</v>
      </c>
      <c r="D1788" s="9">
        <f>IFERROR(__xludf.DUMMYFUNCTION("""COMPUTED_VALUE"""),345.98)</f>
        <v>345.98</v>
      </c>
      <c r="E1788" s="9">
        <f>IFERROR(__xludf.DUMMYFUNCTION("""COMPUTED_VALUE"""),349.0)</f>
        <v>349</v>
      </c>
      <c r="F1788" s="9">
        <f>IFERROR(__xludf.DUMMYFUNCTION("""COMPUTED_VALUE"""),1750026.0)</f>
        <v>1750026</v>
      </c>
      <c r="H1788" s="27">
        <f>IFERROR(__xludf.DUMMYFUNCTION("""COMPUTED_VALUE"""),40997.645833333336)</f>
        <v>40997.64583</v>
      </c>
      <c r="I1788" s="25">
        <f>IFERROR(__xludf.DUMMYFUNCTION("""COMPUTED_VALUE"""),575.5)</f>
        <v>575.5</v>
      </c>
      <c r="J1788" s="25">
        <f>IFERROR(__xludf.DUMMYFUNCTION("""COMPUTED_VALUE"""),582.0)</f>
        <v>582</v>
      </c>
      <c r="K1788" s="25">
        <f>IFERROR(__xludf.DUMMYFUNCTION("""COMPUTED_VALUE"""),566.2)</f>
        <v>566.2</v>
      </c>
      <c r="L1788" s="25">
        <f>IFERROR(__xludf.DUMMYFUNCTION("""COMPUTED_VALUE"""),570.6)</f>
        <v>570.6</v>
      </c>
      <c r="M1788" s="25">
        <f>IFERROR(__xludf.DUMMYFUNCTION("""COMPUTED_VALUE"""),1340607.0)</f>
        <v>1340607</v>
      </c>
    </row>
    <row r="1789">
      <c r="A1789" s="26">
        <f>IFERROR(__xludf.DUMMYFUNCTION("""COMPUTED_VALUE"""),40998.645833333336)</f>
        <v>40998.64583</v>
      </c>
      <c r="B1789" s="9">
        <f>IFERROR(__xludf.DUMMYFUNCTION("""COMPUTED_VALUE"""),351.24)</f>
        <v>351.24</v>
      </c>
      <c r="C1789" s="9">
        <f>IFERROR(__xludf.DUMMYFUNCTION("""COMPUTED_VALUE"""),359.13)</f>
        <v>359.13</v>
      </c>
      <c r="D1789" s="9">
        <f>IFERROR(__xludf.DUMMYFUNCTION("""COMPUTED_VALUE"""),350.38)</f>
        <v>350.38</v>
      </c>
      <c r="E1789" s="9">
        <f>IFERROR(__xludf.DUMMYFUNCTION("""COMPUTED_VALUE"""),358.29)</f>
        <v>358.29</v>
      </c>
      <c r="F1789" s="9">
        <f>IFERROR(__xludf.DUMMYFUNCTION("""COMPUTED_VALUE"""),995450.0)</f>
        <v>995450</v>
      </c>
      <c r="H1789" s="27">
        <f>IFERROR(__xludf.DUMMYFUNCTION("""COMPUTED_VALUE"""),40998.645833333336)</f>
        <v>40998.64583</v>
      </c>
      <c r="I1789" s="25">
        <f>IFERROR(__xludf.DUMMYFUNCTION("""COMPUTED_VALUE"""),572.75)</f>
        <v>572.75</v>
      </c>
      <c r="J1789" s="25">
        <f>IFERROR(__xludf.DUMMYFUNCTION("""COMPUTED_VALUE"""),587.88)</f>
        <v>587.88</v>
      </c>
      <c r="K1789" s="25">
        <f>IFERROR(__xludf.DUMMYFUNCTION("""COMPUTED_VALUE"""),572.75)</f>
        <v>572.75</v>
      </c>
      <c r="L1789" s="25">
        <f>IFERROR(__xludf.DUMMYFUNCTION("""COMPUTED_VALUE"""),584.4)</f>
        <v>584.4</v>
      </c>
      <c r="M1789" s="25">
        <f>IFERROR(__xludf.DUMMYFUNCTION("""COMPUTED_VALUE"""),1271671.0)</f>
        <v>1271671</v>
      </c>
    </row>
    <row r="1790">
      <c r="A1790" s="26">
        <f>IFERROR(__xludf.DUMMYFUNCTION("""COMPUTED_VALUE"""),41001.645833333336)</f>
        <v>41001.64583</v>
      </c>
      <c r="B1790" s="9">
        <f>IFERROR(__xludf.DUMMYFUNCTION("""COMPUTED_VALUE"""),358.0)</f>
        <v>358</v>
      </c>
      <c r="C1790" s="9">
        <f>IFERROR(__xludf.DUMMYFUNCTION("""COMPUTED_VALUE"""),361.09)</f>
        <v>361.09</v>
      </c>
      <c r="D1790" s="9">
        <f>IFERROR(__xludf.DUMMYFUNCTION("""COMPUTED_VALUE"""),355.13)</f>
        <v>355.13</v>
      </c>
      <c r="E1790" s="9">
        <f>IFERROR(__xludf.DUMMYFUNCTION("""COMPUTED_VALUE"""),356.28)</f>
        <v>356.28</v>
      </c>
      <c r="F1790" s="9">
        <f>IFERROR(__xludf.DUMMYFUNCTION("""COMPUTED_VALUE"""),606448.0)</f>
        <v>606448</v>
      </c>
      <c r="H1790" s="27">
        <f>IFERROR(__xludf.DUMMYFUNCTION("""COMPUTED_VALUE"""),41001.645833333336)</f>
        <v>41001.64583</v>
      </c>
      <c r="I1790" s="25">
        <f>IFERROR(__xludf.DUMMYFUNCTION("""COMPUTED_VALUE"""),585.0)</f>
        <v>585</v>
      </c>
      <c r="J1790" s="25">
        <f>IFERROR(__xludf.DUMMYFUNCTION("""COMPUTED_VALUE"""),599.5)</f>
        <v>599.5</v>
      </c>
      <c r="K1790" s="25">
        <f>IFERROR(__xludf.DUMMYFUNCTION("""COMPUTED_VALUE"""),585.0)</f>
        <v>585</v>
      </c>
      <c r="L1790" s="25">
        <f>IFERROR(__xludf.DUMMYFUNCTION("""COMPUTED_VALUE"""),597.13)</f>
        <v>597.13</v>
      </c>
      <c r="M1790" s="25">
        <f>IFERROR(__xludf.DUMMYFUNCTION("""COMPUTED_VALUE"""),1163494.0)</f>
        <v>1163494</v>
      </c>
    </row>
    <row r="1791">
      <c r="A1791" s="26">
        <f>IFERROR(__xludf.DUMMYFUNCTION("""COMPUTED_VALUE"""),41002.645833333336)</f>
        <v>41002.64583</v>
      </c>
      <c r="B1791" s="9">
        <f>IFERROR(__xludf.DUMMYFUNCTION("""COMPUTED_VALUE"""),358.29)</f>
        <v>358.29</v>
      </c>
      <c r="C1791" s="9">
        <f>IFERROR(__xludf.DUMMYFUNCTION("""COMPUTED_VALUE"""),359.71)</f>
        <v>359.71</v>
      </c>
      <c r="D1791" s="9">
        <f>IFERROR(__xludf.DUMMYFUNCTION("""COMPUTED_VALUE"""),355.32)</f>
        <v>355.32</v>
      </c>
      <c r="E1791" s="9">
        <f>IFERROR(__xludf.DUMMYFUNCTION("""COMPUTED_VALUE"""),357.31)</f>
        <v>357.31</v>
      </c>
      <c r="F1791" s="9">
        <f>IFERROR(__xludf.DUMMYFUNCTION("""COMPUTED_VALUE"""),681448.0)</f>
        <v>681448</v>
      </c>
      <c r="H1791" s="27">
        <f>IFERROR(__xludf.DUMMYFUNCTION("""COMPUTED_VALUE"""),41002.645833333336)</f>
        <v>41002.64583</v>
      </c>
      <c r="I1791" s="25">
        <f>IFERROR(__xludf.DUMMYFUNCTION("""COMPUTED_VALUE"""),600.1)</f>
        <v>600.1</v>
      </c>
      <c r="J1791" s="25">
        <f>IFERROR(__xludf.DUMMYFUNCTION("""COMPUTED_VALUE"""),603.67)</f>
        <v>603.67</v>
      </c>
      <c r="K1791" s="25">
        <f>IFERROR(__xludf.DUMMYFUNCTION("""COMPUTED_VALUE"""),587.65)</f>
        <v>587.65</v>
      </c>
      <c r="L1791" s="25">
        <f>IFERROR(__xludf.DUMMYFUNCTION("""COMPUTED_VALUE"""),589.0)</f>
        <v>589</v>
      </c>
      <c r="M1791" s="25">
        <f>IFERROR(__xludf.DUMMYFUNCTION("""COMPUTED_VALUE"""),1134577.0)</f>
        <v>1134577</v>
      </c>
    </row>
    <row r="1792">
      <c r="A1792" s="26">
        <f>IFERROR(__xludf.DUMMYFUNCTION("""COMPUTED_VALUE"""),41003.645833333336)</f>
        <v>41003.64583</v>
      </c>
      <c r="B1792" s="9">
        <f>IFERROR(__xludf.DUMMYFUNCTION("""COMPUTED_VALUE"""),356.13)</f>
        <v>356.13</v>
      </c>
      <c r="C1792" s="9">
        <f>IFERROR(__xludf.DUMMYFUNCTION("""COMPUTED_VALUE"""),359.37)</f>
        <v>359.37</v>
      </c>
      <c r="D1792" s="9">
        <f>IFERROR(__xludf.DUMMYFUNCTION("""COMPUTED_VALUE"""),355.5)</f>
        <v>355.5</v>
      </c>
      <c r="E1792" s="9">
        <f>IFERROR(__xludf.DUMMYFUNCTION("""COMPUTED_VALUE"""),356.39)</f>
        <v>356.39</v>
      </c>
      <c r="F1792" s="9">
        <f>IFERROR(__xludf.DUMMYFUNCTION("""COMPUTED_VALUE"""),656768.0)</f>
        <v>656768</v>
      </c>
      <c r="H1792" s="27">
        <f>IFERROR(__xludf.DUMMYFUNCTION("""COMPUTED_VALUE"""),41003.645833333336)</f>
        <v>41003.64583</v>
      </c>
      <c r="I1792" s="25">
        <f>IFERROR(__xludf.DUMMYFUNCTION("""COMPUTED_VALUE"""),584.5)</f>
        <v>584.5</v>
      </c>
      <c r="J1792" s="25">
        <f>IFERROR(__xludf.DUMMYFUNCTION("""COMPUTED_VALUE"""),594.9)</f>
        <v>594.9</v>
      </c>
      <c r="K1792" s="25">
        <f>IFERROR(__xludf.DUMMYFUNCTION("""COMPUTED_VALUE"""),583.5)</f>
        <v>583.5</v>
      </c>
      <c r="L1792" s="25">
        <f>IFERROR(__xludf.DUMMYFUNCTION("""COMPUTED_VALUE"""),589.23)</f>
        <v>589.23</v>
      </c>
      <c r="M1792" s="25">
        <f>IFERROR(__xludf.DUMMYFUNCTION("""COMPUTED_VALUE"""),1082527.0)</f>
        <v>1082527</v>
      </c>
    </row>
    <row r="1793">
      <c r="A1793" s="26">
        <f>IFERROR(__xludf.DUMMYFUNCTION("""COMPUTED_VALUE"""),41008.645833333336)</f>
        <v>41008.64583</v>
      </c>
      <c r="B1793" s="9">
        <f>IFERROR(__xludf.DUMMYFUNCTION("""COMPUTED_VALUE"""),354.69)</f>
        <v>354.69</v>
      </c>
      <c r="C1793" s="9">
        <f>IFERROR(__xludf.DUMMYFUNCTION("""COMPUTED_VALUE"""),357.42)</f>
        <v>357.42</v>
      </c>
      <c r="D1793" s="9">
        <f>IFERROR(__xludf.DUMMYFUNCTION("""COMPUTED_VALUE"""),351.55)</f>
        <v>351.55</v>
      </c>
      <c r="E1793" s="9">
        <f>IFERROR(__xludf.DUMMYFUNCTION("""COMPUTED_VALUE"""),352.84)</f>
        <v>352.84</v>
      </c>
      <c r="F1793" s="9">
        <f>IFERROR(__xludf.DUMMYFUNCTION("""COMPUTED_VALUE"""),817696.0)</f>
        <v>817696</v>
      </c>
      <c r="H1793" s="27">
        <f>IFERROR(__xludf.DUMMYFUNCTION("""COMPUTED_VALUE"""),41008.645833333336)</f>
        <v>41008.64583</v>
      </c>
      <c r="I1793" s="25">
        <f>IFERROR(__xludf.DUMMYFUNCTION("""COMPUTED_VALUE"""),585.0)</f>
        <v>585</v>
      </c>
      <c r="J1793" s="25">
        <f>IFERROR(__xludf.DUMMYFUNCTION("""COMPUTED_VALUE"""),594.0)</f>
        <v>594</v>
      </c>
      <c r="K1793" s="25">
        <f>IFERROR(__xludf.DUMMYFUNCTION("""COMPUTED_VALUE"""),579.13)</f>
        <v>579.13</v>
      </c>
      <c r="L1793" s="25">
        <f>IFERROR(__xludf.DUMMYFUNCTION("""COMPUTED_VALUE"""),582.05)</f>
        <v>582.05</v>
      </c>
      <c r="M1793" s="25">
        <f>IFERROR(__xludf.DUMMYFUNCTION("""COMPUTED_VALUE"""),788314.0)</f>
        <v>788314</v>
      </c>
    </row>
    <row r="1794">
      <c r="A1794" s="26">
        <f>IFERROR(__xludf.DUMMYFUNCTION("""COMPUTED_VALUE"""),41009.645833333336)</f>
        <v>41009.64583</v>
      </c>
      <c r="B1794" s="9">
        <f>IFERROR(__xludf.DUMMYFUNCTION("""COMPUTED_VALUE"""),355.25)</f>
        <v>355.25</v>
      </c>
      <c r="C1794" s="9">
        <f>IFERROR(__xludf.DUMMYFUNCTION("""COMPUTED_VALUE"""),355.96)</f>
        <v>355.96</v>
      </c>
      <c r="D1794" s="9">
        <f>IFERROR(__xludf.DUMMYFUNCTION("""COMPUTED_VALUE"""),342.13)</f>
        <v>342.13</v>
      </c>
      <c r="E1794" s="9">
        <f>IFERROR(__xludf.DUMMYFUNCTION("""COMPUTED_VALUE"""),346.43)</f>
        <v>346.43</v>
      </c>
      <c r="F1794" s="9">
        <f>IFERROR(__xludf.DUMMYFUNCTION("""COMPUTED_VALUE"""),905382.0)</f>
        <v>905382</v>
      </c>
      <c r="H1794" s="27">
        <f>IFERROR(__xludf.DUMMYFUNCTION("""COMPUTED_VALUE"""),41009.645833333336)</f>
        <v>41009.64583</v>
      </c>
      <c r="I1794" s="25">
        <f>IFERROR(__xludf.DUMMYFUNCTION("""COMPUTED_VALUE"""),583.15)</f>
        <v>583.15</v>
      </c>
      <c r="J1794" s="25">
        <f>IFERROR(__xludf.DUMMYFUNCTION("""COMPUTED_VALUE"""),587.83)</f>
        <v>587.83</v>
      </c>
      <c r="K1794" s="25">
        <f>IFERROR(__xludf.DUMMYFUNCTION("""COMPUTED_VALUE"""),576.13)</f>
        <v>576.13</v>
      </c>
      <c r="L1794" s="25">
        <f>IFERROR(__xludf.DUMMYFUNCTION("""COMPUTED_VALUE"""),578.1)</f>
        <v>578.1</v>
      </c>
      <c r="M1794" s="25">
        <f>IFERROR(__xludf.DUMMYFUNCTION("""COMPUTED_VALUE"""),766496.0)</f>
        <v>766496</v>
      </c>
    </row>
    <row r="1795">
      <c r="A1795" s="26">
        <f>IFERROR(__xludf.DUMMYFUNCTION("""COMPUTED_VALUE"""),41010.645833333336)</f>
        <v>41010.64583</v>
      </c>
      <c r="B1795" s="9">
        <f>IFERROR(__xludf.DUMMYFUNCTION("""COMPUTED_VALUE"""),346.12)</f>
        <v>346.12</v>
      </c>
      <c r="C1795" s="9">
        <f>IFERROR(__xludf.DUMMYFUNCTION("""COMPUTED_VALUE"""),353.13)</f>
        <v>353.13</v>
      </c>
      <c r="D1795" s="9">
        <f>IFERROR(__xludf.DUMMYFUNCTION("""COMPUTED_VALUE"""),342.9)</f>
        <v>342.9</v>
      </c>
      <c r="E1795" s="9">
        <f>IFERROR(__xludf.DUMMYFUNCTION("""COMPUTED_VALUE"""),350.55)</f>
        <v>350.55</v>
      </c>
      <c r="F1795" s="9">
        <f>IFERROR(__xludf.DUMMYFUNCTION("""COMPUTED_VALUE"""),1022455.0)</f>
        <v>1022455</v>
      </c>
      <c r="H1795" s="27">
        <f>IFERROR(__xludf.DUMMYFUNCTION("""COMPUTED_VALUE"""),41010.645833333336)</f>
        <v>41010.64583</v>
      </c>
      <c r="I1795" s="25">
        <f>IFERROR(__xludf.DUMMYFUNCTION("""COMPUTED_VALUE"""),574.85)</f>
        <v>574.85</v>
      </c>
      <c r="J1795" s="25">
        <f>IFERROR(__xludf.DUMMYFUNCTION("""COMPUTED_VALUE"""),577.5)</f>
        <v>577.5</v>
      </c>
      <c r="K1795" s="25">
        <f>IFERROR(__xludf.DUMMYFUNCTION("""COMPUTED_VALUE"""),567.6)</f>
        <v>567.6</v>
      </c>
      <c r="L1795" s="25">
        <f>IFERROR(__xludf.DUMMYFUNCTION("""COMPUTED_VALUE"""),569.05)</f>
        <v>569.05</v>
      </c>
      <c r="M1795" s="25">
        <f>IFERROR(__xludf.DUMMYFUNCTION("""COMPUTED_VALUE"""),890793.0)</f>
        <v>890793</v>
      </c>
    </row>
    <row r="1796">
      <c r="A1796" s="26">
        <f>IFERROR(__xludf.DUMMYFUNCTION("""COMPUTED_VALUE"""),41011.645833333336)</f>
        <v>41011.64583</v>
      </c>
      <c r="B1796" s="9">
        <f>IFERROR(__xludf.DUMMYFUNCTION("""COMPUTED_VALUE"""),352.84)</f>
        <v>352.84</v>
      </c>
      <c r="C1796" s="9">
        <f>IFERROR(__xludf.DUMMYFUNCTION("""COMPUTED_VALUE"""),353.98)</f>
        <v>353.98</v>
      </c>
      <c r="D1796" s="9">
        <f>IFERROR(__xludf.DUMMYFUNCTION("""COMPUTED_VALUE"""),342.31)</f>
        <v>342.31</v>
      </c>
      <c r="E1796" s="9">
        <f>IFERROR(__xludf.DUMMYFUNCTION("""COMPUTED_VALUE"""),343.83)</f>
        <v>343.83</v>
      </c>
      <c r="F1796" s="9">
        <f>IFERROR(__xludf.DUMMYFUNCTION("""COMPUTED_VALUE"""),1475701.0)</f>
        <v>1475701</v>
      </c>
      <c r="H1796" s="27">
        <f>IFERROR(__xludf.DUMMYFUNCTION("""COMPUTED_VALUE"""),41011.645833333336)</f>
        <v>41011.64583</v>
      </c>
      <c r="I1796" s="25">
        <f>IFERROR(__xludf.DUMMYFUNCTION("""COMPUTED_VALUE"""),570.13)</f>
        <v>570.13</v>
      </c>
      <c r="J1796" s="25">
        <f>IFERROR(__xludf.DUMMYFUNCTION("""COMPUTED_VALUE"""),574.0)</f>
        <v>574</v>
      </c>
      <c r="K1796" s="25">
        <f>IFERROR(__xludf.DUMMYFUNCTION("""COMPUTED_VALUE"""),564.55)</f>
        <v>564.55</v>
      </c>
      <c r="L1796" s="25">
        <f>IFERROR(__xludf.DUMMYFUNCTION("""COMPUTED_VALUE"""),565.83)</f>
        <v>565.83</v>
      </c>
      <c r="M1796" s="25">
        <f>IFERROR(__xludf.DUMMYFUNCTION("""COMPUTED_VALUE"""),1057343.0)</f>
        <v>1057343</v>
      </c>
    </row>
    <row r="1797">
      <c r="A1797" s="26">
        <f>IFERROR(__xludf.DUMMYFUNCTION("""COMPUTED_VALUE"""),41012.645833333336)</f>
        <v>41012.64583</v>
      </c>
      <c r="B1797" s="9">
        <f>IFERROR(__xludf.DUMMYFUNCTION("""COMPUTED_VALUE"""),314.75)</f>
        <v>314.75</v>
      </c>
      <c r="C1797" s="9">
        <f>IFERROR(__xludf.DUMMYFUNCTION("""COMPUTED_VALUE"""),315.34)</f>
        <v>315.34</v>
      </c>
      <c r="D1797" s="9">
        <f>IFERROR(__xludf.DUMMYFUNCTION("""COMPUTED_VALUE"""),298.64)</f>
        <v>298.64</v>
      </c>
      <c r="E1797" s="9">
        <f>IFERROR(__xludf.DUMMYFUNCTION("""COMPUTED_VALUE"""),300.32)</f>
        <v>300.32</v>
      </c>
      <c r="F1797" s="9">
        <f>IFERROR(__xludf.DUMMYFUNCTION("""COMPUTED_VALUE"""),9406946.0)</f>
        <v>9406946</v>
      </c>
      <c r="H1797" s="27">
        <f>IFERROR(__xludf.DUMMYFUNCTION("""COMPUTED_VALUE"""),41012.645833333336)</f>
        <v>41012.64583</v>
      </c>
      <c r="I1797" s="25">
        <f>IFERROR(__xludf.DUMMYFUNCTION("""COMPUTED_VALUE"""),545.67)</f>
        <v>545.67</v>
      </c>
      <c r="J1797" s="25">
        <f>IFERROR(__xludf.DUMMYFUNCTION("""COMPUTED_VALUE"""),552.35)</f>
        <v>552.35</v>
      </c>
      <c r="K1797" s="25">
        <f>IFERROR(__xludf.DUMMYFUNCTION("""COMPUTED_VALUE"""),530.63)</f>
        <v>530.63</v>
      </c>
      <c r="L1797" s="25">
        <f>IFERROR(__xludf.DUMMYFUNCTION("""COMPUTED_VALUE"""),534.17)</f>
        <v>534.17</v>
      </c>
      <c r="M1797" s="25">
        <f>IFERROR(__xludf.DUMMYFUNCTION("""COMPUTED_VALUE"""),4497340.0)</f>
        <v>4497340</v>
      </c>
    </row>
    <row r="1798">
      <c r="A1798" s="26">
        <f>IFERROR(__xludf.DUMMYFUNCTION("""COMPUTED_VALUE"""),41015.645833333336)</f>
        <v>41015.64583</v>
      </c>
      <c r="B1798" s="9">
        <f>IFERROR(__xludf.DUMMYFUNCTION("""COMPUTED_VALUE"""),300.0)</f>
        <v>300</v>
      </c>
      <c r="C1798" s="9">
        <f>IFERROR(__xludf.DUMMYFUNCTION("""COMPUTED_VALUE"""),303.32)</f>
        <v>303.32</v>
      </c>
      <c r="D1798" s="9">
        <f>IFERROR(__xludf.DUMMYFUNCTION("""COMPUTED_VALUE"""),291.63)</f>
        <v>291.63</v>
      </c>
      <c r="E1798" s="9">
        <f>IFERROR(__xludf.DUMMYFUNCTION("""COMPUTED_VALUE"""),295.57)</f>
        <v>295.57</v>
      </c>
      <c r="F1798" s="9">
        <f>IFERROR(__xludf.DUMMYFUNCTION("""COMPUTED_VALUE"""),4186435.0)</f>
        <v>4186435</v>
      </c>
      <c r="H1798" s="27">
        <f>IFERROR(__xludf.DUMMYFUNCTION("""COMPUTED_VALUE"""),41015.645833333336)</f>
        <v>41015.64583</v>
      </c>
      <c r="I1798" s="25">
        <f>IFERROR(__xludf.DUMMYFUNCTION("""COMPUTED_VALUE"""),532.63)</f>
        <v>532.63</v>
      </c>
      <c r="J1798" s="25">
        <f>IFERROR(__xludf.DUMMYFUNCTION("""COMPUTED_VALUE"""),537.15)</f>
        <v>537.15</v>
      </c>
      <c r="K1798" s="25">
        <f>IFERROR(__xludf.DUMMYFUNCTION("""COMPUTED_VALUE"""),526.65)</f>
        <v>526.65</v>
      </c>
      <c r="L1798" s="25">
        <f>IFERROR(__xludf.DUMMYFUNCTION("""COMPUTED_VALUE"""),534.88)</f>
        <v>534.88</v>
      </c>
      <c r="M1798" s="25">
        <f>IFERROR(__xludf.DUMMYFUNCTION("""COMPUTED_VALUE"""),2508055.0)</f>
        <v>2508055</v>
      </c>
    </row>
    <row r="1799">
      <c r="A1799" s="26">
        <f>IFERROR(__xludf.DUMMYFUNCTION("""COMPUTED_VALUE"""),41016.645833333336)</f>
        <v>41016.64583</v>
      </c>
      <c r="B1799" s="9">
        <f>IFERROR(__xludf.DUMMYFUNCTION("""COMPUTED_VALUE"""),299.88)</f>
        <v>299.88</v>
      </c>
      <c r="C1799" s="9">
        <f>IFERROR(__xludf.DUMMYFUNCTION("""COMPUTED_VALUE"""),299.88)</f>
        <v>299.88</v>
      </c>
      <c r="D1799" s="9">
        <f>IFERROR(__xludf.DUMMYFUNCTION("""COMPUTED_VALUE"""),292.01)</f>
        <v>292.01</v>
      </c>
      <c r="E1799" s="9">
        <f>IFERROR(__xludf.DUMMYFUNCTION("""COMPUTED_VALUE"""),297.59)</f>
        <v>297.59</v>
      </c>
      <c r="F1799" s="9">
        <f>IFERROR(__xludf.DUMMYFUNCTION("""COMPUTED_VALUE"""),2960886.0)</f>
        <v>2960886</v>
      </c>
      <c r="H1799" s="27">
        <f>IFERROR(__xludf.DUMMYFUNCTION("""COMPUTED_VALUE"""),41016.645833333336)</f>
        <v>41016.64583</v>
      </c>
      <c r="I1799" s="25">
        <f>IFERROR(__xludf.DUMMYFUNCTION("""COMPUTED_VALUE"""),542.5)</f>
        <v>542.5</v>
      </c>
      <c r="J1799" s="25">
        <f>IFERROR(__xludf.DUMMYFUNCTION("""COMPUTED_VALUE"""),547.48)</f>
        <v>547.48</v>
      </c>
      <c r="K1799" s="25">
        <f>IFERROR(__xludf.DUMMYFUNCTION("""COMPUTED_VALUE"""),536.9)</f>
        <v>536.9</v>
      </c>
      <c r="L1799" s="25">
        <f>IFERROR(__xludf.DUMMYFUNCTION("""COMPUTED_VALUE"""),545.42)</f>
        <v>545.42</v>
      </c>
      <c r="M1799" s="25">
        <f>IFERROR(__xludf.DUMMYFUNCTION("""COMPUTED_VALUE"""),1236832.0)</f>
        <v>1236832</v>
      </c>
    </row>
    <row r="1800">
      <c r="A1800" s="26">
        <f>IFERROR(__xludf.DUMMYFUNCTION("""COMPUTED_VALUE"""),41017.645833333336)</f>
        <v>41017.64583</v>
      </c>
      <c r="B1800" s="9">
        <f>IFERROR(__xludf.DUMMYFUNCTION("""COMPUTED_VALUE"""),300.0)</f>
        <v>300</v>
      </c>
      <c r="C1800" s="9">
        <f>IFERROR(__xludf.DUMMYFUNCTION("""COMPUTED_VALUE"""),300.32)</f>
        <v>300.32</v>
      </c>
      <c r="D1800" s="9">
        <f>IFERROR(__xludf.DUMMYFUNCTION("""COMPUTED_VALUE"""),294.38)</f>
        <v>294.38</v>
      </c>
      <c r="E1800" s="9">
        <f>IFERROR(__xludf.DUMMYFUNCTION("""COMPUTED_VALUE"""),296.41)</f>
        <v>296.41</v>
      </c>
      <c r="F1800" s="9">
        <f>IFERROR(__xludf.DUMMYFUNCTION("""COMPUTED_VALUE"""),2395666.0)</f>
        <v>2395666</v>
      </c>
      <c r="H1800" s="27">
        <f>IFERROR(__xludf.DUMMYFUNCTION("""COMPUTED_VALUE"""),41017.645833333336)</f>
        <v>41017.64583</v>
      </c>
      <c r="I1800" s="25">
        <f>IFERROR(__xludf.DUMMYFUNCTION("""COMPUTED_VALUE"""),550.0)</f>
        <v>550</v>
      </c>
      <c r="J1800" s="25">
        <f>IFERROR(__xludf.DUMMYFUNCTION("""COMPUTED_VALUE"""),557.35)</f>
        <v>557.35</v>
      </c>
      <c r="K1800" s="25">
        <f>IFERROR(__xludf.DUMMYFUNCTION("""COMPUTED_VALUE"""),546.92)</f>
        <v>546.92</v>
      </c>
      <c r="L1800" s="25">
        <f>IFERROR(__xludf.DUMMYFUNCTION("""COMPUTED_VALUE"""),548.78)</f>
        <v>548.78</v>
      </c>
      <c r="M1800" s="25">
        <f>IFERROR(__xludf.DUMMYFUNCTION("""COMPUTED_VALUE"""),1441132.0)</f>
        <v>1441132</v>
      </c>
    </row>
    <row r="1801">
      <c r="A1801" s="26">
        <f>IFERROR(__xludf.DUMMYFUNCTION("""COMPUTED_VALUE"""),41018.645833333336)</f>
        <v>41018.64583</v>
      </c>
      <c r="B1801" s="9">
        <f>IFERROR(__xludf.DUMMYFUNCTION("""COMPUTED_VALUE"""),297.49)</f>
        <v>297.49</v>
      </c>
      <c r="C1801" s="9">
        <f>IFERROR(__xludf.DUMMYFUNCTION("""COMPUTED_VALUE"""),301.87)</f>
        <v>301.87</v>
      </c>
      <c r="D1801" s="9">
        <f>IFERROR(__xludf.DUMMYFUNCTION("""COMPUTED_VALUE"""),296.0)</f>
        <v>296</v>
      </c>
      <c r="E1801" s="9">
        <f>IFERROR(__xludf.DUMMYFUNCTION("""COMPUTED_VALUE"""),300.68)</f>
        <v>300.68</v>
      </c>
      <c r="F1801" s="9">
        <f>IFERROR(__xludf.DUMMYFUNCTION("""COMPUTED_VALUE"""),2139189.0)</f>
        <v>2139189</v>
      </c>
      <c r="H1801" s="27">
        <f>IFERROR(__xludf.DUMMYFUNCTION("""COMPUTED_VALUE"""),41018.645833333336)</f>
        <v>41018.64583</v>
      </c>
      <c r="I1801" s="25">
        <f>IFERROR(__xludf.DUMMYFUNCTION("""COMPUTED_VALUE"""),550.45)</f>
        <v>550.45</v>
      </c>
      <c r="J1801" s="25">
        <f>IFERROR(__xludf.DUMMYFUNCTION("""COMPUTED_VALUE"""),553.4)</f>
        <v>553.4</v>
      </c>
      <c r="K1801" s="25">
        <f>IFERROR(__xludf.DUMMYFUNCTION("""COMPUTED_VALUE"""),545.55)</f>
        <v>545.55</v>
      </c>
      <c r="L1801" s="25">
        <f>IFERROR(__xludf.DUMMYFUNCTION("""COMPUTED_VALUE"""),551.48)</f>
        <v>551.48</v>
      </c>
      <c r="M1801" s="25">
        <f>IFERROR(__xludf.DUMMYFUNCTION("""COMPUTED_VALUE"""),883708.0)</f>
        <v>883708</v>
      </c>
    </row>
    <row r="1802">
      <c r="A1802" s="26">
        <f>IFERROR(__xludf.DUMMYFUNCTION("""COMPUTED_VALUE"""),41019.645833333336)</f>
        <v>41019.64583</v>
      </c>
      <c r="B1802" s="9">
        <f>IFERROR(__xludf.DUMMYFUNCTION("""COMPUTED_VALUE"""),299.34)</f>
        <v>299.34</v>
      </c>
      <c r="C1802" s="9">
        <f>IFERROR(__xludf.DUMMYFUNCTION("""COMPUTED_VALUE"""),303.55)</f>
        <v>303.55</v>
      </c>
      <c r="D1802" s="9">
        <f>IFERROR(__xludf.DUMMYFUNCTION("""COMPUTED_VALUE"""),295.31)</f>
        <v>295.31</v>
      </c>
      <c r="E1802" s="9">
        <f>IFERROR(__xludf.DUMMYFUNCTION("""COMPUTED_VALUE"""),300.93)</f>
        <v>300.93</v>
      </c>
      <c r="F1802" s="9">
        <f>IFERROR(__xludf.DUMMYFUNCTION("""COMPUTED_VALUE"""),1438440.0)</f>
        <v>1438440</v>
      </c>
      <c r="H1802" s="27">
        <f>IFERROR(__xludf.DUMMYFUNCTION("""COMPUTED_VALUE"""),41019.645833333336)</f>
        <v>41019.64583</v>
      </c>
      <c r="I1802" s="25">
        <f>IFERROR(__xludf.DUMMYFUNCTION("""COMPUTED_VALUE"""),546.63)</f>
        <v>546.63</v>
      </c>
      <c r="J1802" s="25">
        <f>IFERROR(__xludf.DUMMYFUNCTION("""COMPUTED_VALUE"""),553.98)</f>
        <v>553.98</v>
      </c>
      <c r="K1802" s="25">
        <f>IFERROR(__xludf.DUMMYFUNCTION("""COMPUTED_VALUE"""),538.7)</f>
        <v>538.7</v>
      </c>
      <c r="L1802" s="25">
        <f>IFERROR(__xludf.DUMMYFUNCTION("""COMPUTED_VALUE"""),544.23)</f>
        <v>544.23</v>
      </c>
      <c r="M1802" s="25">
        <f>IFERROR(__xludf.DUMMYFUNCTION("""COMPUTED_VALUE"""),1225012.0)</f>
        <v>1225012</v>
      </c>
    </row>
    <row r="1803">
      <c r="A1803" s="26">
        <f>IFERROR(__xludf.DUMMYFUNCTION("""COMPUTED_VALUE"""),41022.645833333336)</f>
        <v>41022.64583</v>
      </c>
      <c r="B1803" s="9">
        <f>IFERROR(__xludf.DUMMYFUNCTION("""COMPUTED_VALUE"""),298.75)</f>
        <v>298.75</v>
      </c>
      <c r="C1803" s="9">
        <f>IFERROR(__xludf.DUMMYFUNCTION("""COMPUTED_VALUE"""),298.75)</f>
        <v>298.75</v>
      </c>
      <c r="D1803" s="9">
        <f>IFERROR(__xludf.DUMMYFUNCTION("""COMPUTED_VALUE"""),288.13)</f>
        <v>288.13</v>
      </c>
      <c r="E1803" s="9">
        <f>IFERROR(__xludf.DUMMYFUNCTION("""COMPUTED_VALUE"""),288.86)</f>
        <v>288.86</v>
      </c>
      <c r="F1803" s="9">
        <f>IFERROR(__xludf.DUMMYFUNCTION("""COMPUTED_VALUE"""),2267087.0)</f>
        <v>2267087</v>
      </c>
      <c r="H1803" s="27">
        <f>IFERROR(__xludf.DUMMYFUNCTION("""COMPUTED_VALUE"""),41022.645833333336)</f>
        <v>41022.64583</v>
      </c>
      <c r="I1803" s="25">
        <f>IFERROR(__xludf.DUMMYFUNCTION("""COMPUTED_VALUE"""),546.98)</f>
        <v>546.98</v>
      </c>
      <c r="J1803" s="25">
        <f>IFERROR(__xludf.DUMMYFUNCTION("""COMPUTED_VALUE"""),551.2)</f>
        <v>551.2</v>
      </c>
      <c r="K1803" s="25">
        <f>IFERROR(__xludf.DUMMYFUNCTION("""COMPUTED_VALUE"""),523.83)</f>
        <v>523.83</v>
      </c>
      <c r="L1803" s="25">
        <f>IFERROR(__xludf.DUMMYFUNCTION("""COMPUTED_VALUE"""),532.13)</f>
        <v>532.13</v>
      </c>
      <c r="M1803" s="25">
        <f>IFERROR(__xludf.DUMMYFUNCTION("""COMPUTED_VALUE"""),1421934.0)</f>
        <v>1421934</v>
      </c>
    </row>
    <row r="1804">
      <c r="A1804" s="26">
        <f>IFERROR(__xludf.DUMMYFUNCTION("""COMPUTED_VALUE"""),41023.645833333336)</f>
        <v>41023.64583</v>
      </c>
      <c r="B1804" s="9">
        <f>IFERROR(__xludf.DUMMYFUNCTION("""COMPUTED_VALUE"""),288.83)</f>
        <v>288.83</v>
      </c>
      <c r="C1804" s="9">
        <f>IFERROR(__xludf.DUMMYFUNCTION("""COMPUTED_VALUE"""),295.6)</f>
        <v>295.6</v>
      </c>
      <c r="D1804" s="9">
        <f>IFERROR(__xludf.DUMMYFUNCTION("""COMPUTED_VALUE"""),274.79)</f>
        <v>274.79</v>
      </c>
      <c r="E1804" s="9">
        <f>IFERROR(__xludf.DUMMYFUNCTION("""COMPUTED_VALUE"""),293.69)</f>
        <v>293.69</v>
      </c>
      <c r="F1804" s="9">
        <f>IFERROR(__xludf.DUMMYFUNCTION("""COMPUTED_VALUE"""),6629739.0)</f>
        <v>6629739</v>
      </c>
      <c r="H1804" s="27">
        <f>IFERROR(__xludf.DUMMYFUNCTION("""COMPUTED_VALUE"""),41023.645833333336)</f>
        <v>41023.64583</v>
      </c>
      <c r="I1804" s="25">
        <f>IFERROR(__xludf.DUMMYFUNCTION("""COMPUTED_VALUE"""),561.0)</f>
        <v>561</v>
      </c>
      <c r="J1804" s="25">
        <f>IFERROR(__xludf.DUMMYFUNCTION("""COMPUTED_VALUE"""),602.5)</f>
        <v>602.5</v>
      </c>
      <c r="K1804" s="25">
        <f>IFERROR(__xludf.DUMMYFUNCTION("""COMPUTED_VALUE"""),558.65)</f>
        <v>558.65</v>
      </c>
      <c r="L1804" s="25">
        <f>IFERROR(__xludf.DUMMYFUNCTION("""COMPUTED_VALUE"""),597.1)</f>
        <v>597.1</v>
      </c>
      <c r="M1804" s="25">
        <f>IFERROR(__xludf.DUMMYFUNCTION("""COMPUTED_VALUE"""),9056891.0)</f>
        <v>9056891</v>
      </c>
    </row>
    <row r="1805">
      <c r="A1805" s="26">
        <f>IFERROR(__xludf.DUMMYFUNCTION("""COMPUTED_VALUE"""),41024.645833333336)</f>
        <v>41024.64583</v>
      </c>
      <c r="B1805" s="9">
        <f>IFERROR(__xludf.DUMMYFUNCTION("""COMPUTED_VALUE"""),293.71)</f>
        <v>293.71</v>
      </c>
      <c r="C1805" s="9">
        <f>IFERROR(__xludf.DUMMYFUNCTION("""COMPUTED_VALUE"""),295.63)</f>
        <v>295.63</v>
      </c>
      <c r="D1805" s="9">
        <f>IFERROR(__xludf.DUMMYFUNCTION("""COMPUTED_VALUE"""),287.91)</f>
        <v>287.91</v>
      </c>
      <c r="E1805" s="9">
        <f>IFERROR(__xludf.DUMMYFUNCTION("""COMPUTED_VALUE"""),293.74)</f>
        <v>293.74</v>
      </c>
      <c r="F1805" s="9">
        <f>IFERROR(__xludf.DUMMYFUNCTION("""COMPUTED_VALUE"""),3079813.0)</f>
        <v>3079813</v>
      </c>
      <c r="H1805" s="27">
        <f>IFERROR(__xludf.DUMMYFUNCTION("""COMPUTED_VALUE"""),41024.645833333336)</f>
        <v>41024.64583</v>
      </c>
      <c r="I1805" s="25">
        <f>IFERROR(__xludf.DUMMYFUNCTION("""COMPUTED_VALUE"""),594.5)</f>
        <v>594.5</v>
      </c>
      <c r="J1805" s="25">
        <f>IFERROR(__xludf.DUMMYFUNCTION("""COMPUTED_VALUE"""),595.0)</f>
        <v>595</v>
      </c>
      <c r="K1805" s="25">
        <f>IFERROR(__xludf.DUMMYFUNCTION("""COMPUTED_VALUE"""),583.75)</f>
        <v>583.75</v>
      </c>
      <c r="L1805" s="25">
        <f>IFERROR(__xludf.DUMMYFUNCTION("""COMPUTED_VALUE"""),585.53)</f>
        <v>585.53</v>
      </c>
      <c r="M1805" s="25">
        <f>IFERROR(__xludf.DUMMYFUNCTION("""COMPUTED_VALUE"""),2708949.0)</f>
        <v>2708949</v>
      </c>
    </row>
    <row r="1806">
      <c r="A1806" s="26">
        <f>IFERROR(__xludf.DUMMYFUNCTION("""COMPUTED_VALUE"""),41025.645833333336)</f>
        <v>41025.64583</v>
      </c>
      <c r="B1806" s="9">
        <f>IFERROR(__xludf.DUMMYFUNCTION("""COMPUTED_VALUE"""),293.75)</f>
        <v>293.75</v>
      </c>
      <c r="C1806" s="9">
        <f>IFERROR(__xludf.DUMMYFUNCTION("""COMPUTED_VALUE"""),297.35)</f>
        <v>297.35</v>
      </c>
      <c r="D1806" s="9">
        <f>IFERROR(__xludf.DUMMYFUNCTION("""COMPUTED_VALUE"""),292.79)</f>
        <v>292.79</v>
      </c>
      <c r="E1806" s="9">
        <f>IFERROR(__xludf.DUMMYFUNCTION("""COMPUTED_VALUE"""),294.52)</f>
        <v>294.52</v>
      </c>
      <c r="F1806" s="9">
        <f>IFERROR(__xludf.DUMMYFUNCTION("""COMPUTED_VALUE"""),2142133.0)</f>
        <v>2142133</v>
      </c>
      <c r="H1806" s="27">
        <f>IFERROR(__xludf.DUMMYFUNCTION("""COMPUTED_VALUE"""),41025.645833333336)</f>
        <v>41025.64583</v>
      </c>
      <c r="I1806" s="25">
        <f>IFERROR(__xludf.DUMMYFUNCTION("""COMPUTED_VALUE"""),585.0)</f>
        <v>585</v>
      </c>
      <c r="J1806" s="25">
        <f>IFERROR(__xludf.DUMMYFUNCTION("""COMPUTED_VALUE"""),600.95)</f>
        <v>600.95</v>
      </c>
      <c r="K1806" s="25">
        <f>IFERROR(__xludf.DUMMYFUNCTION("""COMPUTED_VALUE"""),582.25)</f>
        <v>582.25</v>
      </c>
      <c r="L1806" s="25">
        <f>IFERROR(__xludf.DUMMYFUNCTION("""COMPUTED_VALUE"""),597.33)</f>
        <v>597.33</v>
      </c>
      <c r="M1806" s="25">
        <f>IFERROR(__xludf.DUMMYFUNCTION("""COMPUTED_VALUE"""),2738146.0)</f>
        <v>2738146</v>
      </c>
    </row>
    <row r="1807">
      <c r="A1807" s="26">
        <f>IFERROR(__xludf.DUMMYFUNCTION("""COMPUTED_VALUE"""),41026.645833333336)</f>
        <v>41026.64583</v>
      </c>
      <c r="B1807" s="9">
        <f>IFERROR(__xludf.DUMMYFUNCTION("""COMPUTED_VALUE"""),294.63)</f>
        <v>294.63</v>
      </c>
      <c r="C1807" s="9">
        <f>IFERROR(__xludf.DUMMYFUNCTION("""COMPUTED_VALUE"""),299.75)</f>
        <v>299.75</v>
      </c>
      <c r="D1807" s="9">
        <f>IFERROR(__xludf.DUMMYFUNCTION("""COMPUTED_VALUE"""),294.38)</f>
        <v>294.38</v>
      </c>
      <c r="E1807" s="9">
        <f>IFERROR(__xludf.DUMMYFUNCTION("""COMPUTED_VALUE"""),298.88)</f>
        <v>298.88</v>
      </c>
      <c r="F1807" s="9">
        <f>IFERROR(__xludf.DUMMYFUNCTION("""COMPUTED_VALUE"""),1757808.0)</f>
        <v>1757808</v>
      </c>
      <c r="H1807" s="27">
        <f>IFERROR(__xludf.DUMMYFUNCTION("""COMPUTED_VALUE"""),41026.645833333336)</f>
        <v>41026.64583</v>
      </c>
      <c r="I1807" s="25">
        <f>IFERROR(__xludf.DUMMYFUNCTION("""COMPUTED_VALUE"""),595.0)</f>
        <v>595</v>
      </c>
      <c r="J1807" s="25">
        <f>IFERROR(__xludf.DUMMYFUNCTION("""COMPUTED_VALUE"""),606.0)</f>
        <v>606</v>
      </c>
      <c r="K1807" s="25">
        <f>IFERROR(__xludf.DUMMYFUNCTION("""COMPUTED_VALUE"""),595.0)</f>
        <v>595</v>
      </c>
      <c r="L1807" s="25">
        <f>IFERROR(__xludf.DUMMYFUNCTION("""COMPUTED_VALUE"""),602.0)</f>
        <v>602</v>
      </c>
      <c r="M1807" s="25">
        <f>IFERROR(__xludf.DUMMYFUNCTION("""COMPUTED_VALUE"""),1855573.0)</f>
        <v>1855573</v>
      </c>
    </row>
    <row r="1808">
      <c r="A1808" s="26">
        <f>IFERROR(__xludf.DUMMYFUNCTION("""COMPUTED_VALUE"""),41029.645833333336)</f>
        <v>41029.64583</v>
      </c>
      <c r="B1808" s="9">
        <f>IFERROR(__xludf.DUMMYFUNCTION("""COMPUTED_VALUE"""),299.0)</f>
        <v>299</v>
      </c>
      <c r="C1808" s="9">
        <f>IFERROR(__xludf.DUMMYFUNCTION("""COMPUTED_VALUE"""),308.5)</f>
        <v>308.5</v>
      </c>
      <c r="D1808" s="9">
        <f>IFERROR(__xludf.DUMMYFUNCTION("""COMPUTED_VALUE"""),298.79)</f>
        <v>298.79</v>
      </c>
      <c r="E1808" s="9">
        <f>IFERROR(__xludf.DUMMYFUNCTION("""COMPUTED_VALUE"""),307.76)</f>
        <v>307.76</v>
      </c>
      <c r="F1808" s="9">
        <f>IFERROR(__xludf.DUMMYFUNCTION("""COMPUTED_VALUE"""),1358701.0)</f>
        <v>1358701</v>
      </c>
      <c r="H1808" s="27">
        <f>IFERROR(__xludf.DUMMYFUNCTION("""COMPUTED_VALUE"""),41029.645833333336)</f>
        <v>41029.64583</v>
      </c>
      <c r="I1808" s="25">
        <f>IFERROR(__xludf.DUMMYFUNCTION("""COMPUTED_VALUE"""),602.0)</f>
        <v>602</v>
      </c>
      <c r="J1808" s="25">
        <f>IFERROR(__xludf.DUMMYFUNCTION("""COMPUTED_VALUE"""),625.0)</f>
        <v>625</v>
      </c>
      <c r="K1808" s="25">
        <f>IFERROR(__xludf.DUMMYFUNCTION("""COMPUTED_VALUE"""),602.0)</f>
        <v>602</v>
      </c>
      <c r="L1808" s="25">
        <f>IFERROR(__xludf.DUMMYFUNCTION("""COMPUTED_VALUE"""),623.3)</f>
        <v>623.3</v>
      </c>
      <c r="M1808" s="25">
        <f>IFERROR(__xludf.DUMMYFUNCTION("""COMPUTED_VALUE"""),2302411.0)</f>
        <v>2302411</v>
      </c>
    </row>
    <row r="1809">
      <c r="A1809" s="26">
        <f>IFERROR(__xludf.DUMMYFUNCTION("""COMPUTED_VALUE"""),41031.645833333336)</f>
        <v>41031.64583</v>
      </c>
      <c r="B1809" s="9">
        <f>IFERROR(__xludf.DUMMYFUNCTION("""COMPUTED_VALUE"""),308.13)</f>
        <v>308.13</v>
      </c>
      <c r="C1809" s="9">
        <f>IFERROR(__xludf.DUMMYFUNCTION("""COMPUTED_VALUE"""),311.0)</f>
        <v>311</v>
      </c>
      <c r="D1809" s="9">
        <f>IFERROR(__xludf.DUMMYFUNCTION("""COMPUTED_VALUE"""),307.72)</f>
        <v>307.72</v>
      </c>
      <c r="E1809" s="9">
        <f>IFERROR(__xludf.DUMMYFUNCTION("""COMPUTED_VALUE"""),309.0)</f>
        <v>309</v>
      </c>
      <c r="F1809" s="9">
        <f>IFERROR(__xludf.DUMMYFUNCTION("""COMPUTED_VALUE"""),1265586.0)</f>
        <v>1265586</v>
      </c>
      <c r="H1809" s="27">
        <f>IFERROR(__xludf.DUMMYFUNCTION("""COMPUTED_VALUE"""),41031.645833333336)</f>
        <v>41031.64583</v>
      </c>
      <c r="I1809" s="25">
        <f>IFERROR(__xludf.DUMMYFUNCTION("""COMPUTED_VALUE"""),621.05)</f>
        <v>621.05</v>
      </c>
      <c r="J1809" s="25">
        <f>IFERROR(__xludf.DUMMYFUNCTION("""COMPUTED_VALUE"""),637.2)</f>
        <v>637.2</v>
      </c>
      <c r="K1809" s="25">
        <f>IFERROR(__xludf.DUMMYFUNCTION("""COMPUTED_VALUE"""),621.05)</f>
        <v>621.05</v>
      </c>
      <c r="L1809" s="25">
        <f>IFERROR(__xludf.DUMMYFUNCTION("""COMPUTED_VALUE"""),633.63)</f>
        <v>633.63</v>
      </c>
      <c r="M1809" s="25">
        <f>IFERROR(__xludf.DUMMYFUNCTION("""COMPUTED_VALUE"""),1990724.0)</f>
        <v>1990724</v>
      </c>
    </row>
    <row r="1810">
      <c r="A1810" s="26">
        <f>IFERROR(__xludf.DUMMYFUNCTION("""COMPUTED_VALUE"""),41032.645833333336)</f>
        <v>41032.64583</v>
      </c>
      <c r="B1810" s="9">
        <f>IFERROR(__xludf.DUMMYFUNCTION("""COMPUTED_VALUE"""),307.5)</f>
        <v>307.5</v>
      </c>
      <c r="C1810" s="9">
        <f>IFERROR(__xludf.DUMMYFUNCTION("""COMPUTED_VALUE"""),312.16)</f>
        <v>312.16</v>
      </c>
      <c r="D1810" s="9">
        <f>IFERROR(__xludf.DUMMYFUNCTION("""COMPUTED_VALUE"""),307.5)</f>
        <v>307.5</v>
      </c>
      <c r="E1810" s="9">
        <f>IFERROR(__xludf.DUMMYFUNCTION("""COMPUTED_VALUE"""),310.36)</f>
        <v>310.36</v>
      </c>
      <c r="F1810" s="9">
        <f>IFERROR(__xludf.DUMMYFUNCTION("""COMPUTED_VALUE"""),1425091.0)</f>
        <v>1425091</v>
      </c>
      <c r="H1810" s="27">
        <f>IFERROR(__xludf.DUMMYFUNCTION("""COMPUTED_VALUE"""),41032.645833333336)</f>
        <v>41032.64583</v>
      </c>
      <c r="I1810" s="25">
        <f>IFERROR(__xludf.DUMMYFUNCTION("""COMPUTED_VALUE"""),631.35)</f>
        <v>631.35</v>
      </c>
      <c r="J1810" s="25">
        <f>IFERROR(__xludf.DUMMYFUNCTION("""COMPUTED_VALUE"""),642.05)</f>
        <v>642.05</v>
      </c>
      <c r="K1810" s="25">
        <f>IFERROR(__xludf.DUMMYFUNCTION("""COMPUTED_VALUE"""),629.28)</f>
        <v>629.28</v>
      </c>
      <c r="L1810" s="25">
        <f>IFERROR(__xludf.DUMMYFUNCTION("""COMPUTED_VALUE"""),639.75)</f>
        <v>639.75</v>
      </c>
      <c r="M1810" s="25">
        <f>IFERROR(__xludf.DUMMYFUNCTION("""COMPUTED_VALUE"""),1679461.0)</f>
        <v>1679461</v>
      </c>
    </row>
    <row r="1811">
      <c r="A1811" s="26">
        <f>IFERROR(__xludf.DUMMYFUNCTION("""COMPUTED_VALUE"""),41033.645833333336)</f>
        <v>41033.64583</v>
      </c>
      <c r="B1811" s="9">
        <f>IFERROR(__xludf.DUMMYFUNCTION("""COMPUTED_VALUE"""),310.25)</f>
        <v>310.25</v>
      </c>
      <c r="C1811" s="9">
        <f>IFERROR(__xludf.DUMMYFUNCTION("""COMPUTED_VALUE"""),312.25)</f>
        <v>312.25</v>
      </c>
      <c r="D1811" s="9">
        <f>IFERROR(__xludf.DUMMYFUNCTION("""COMPUTED_VALUE"""),302.93)</f>
        <v>302.93</v>
      </c>
      <c r="E1811" s="9">
        <f>IFERROR(__xludf.DUMMYFUNCTION("""COMPUTED_VALUE"""),305.24)</f>
        <v>305.24</v>
      </c>
      <c r="F1811" s="9">
        <f>IFERROR(__xludf.DUMMYFUNCTION("""COMPUTED_VALUE"""),1350111.0)</f>
        <v>1350111</v>
      </c>
      <c r="H1811" s="27">
        <f>IFERROR(__xludf.DUMMYFUNCTION("""COMPUTED_VALUE"""),41033.645833333336)</f>
        <v>41033.64583</v>
      </c>
      <c r="I1811" s="25">
        <f>IFERROR(__xludf.DUMMYFUNCTION("""COMPUTED_VALUE"""),640.0)</f>
        <v>640</v>
      </c>
      <c r="J1811" s="25">
        <f>IFERROR(__xludf.DUMMYFUNCTION("""COMPUTED_VALUE"""),647.63)</f>
        <v>647.63</v>
      </c>
      <c r="K1811" s="25">
        <f>IFERROR(__xludf.DUMMYFUNCTION("""COMPUTED_VALUE"""),631.53)</f>
        <v>631.53</v>
      </c>
      <c r="L1811" s="25">
        <f>IFERROR(__xludf.DUMMYFUNCTION("""COMPUTED_VALUE"""),638.4)</f>
        <v>638.4</v>
      </c>
      <c r="M1811" s="25">
        <f>IFERROR(__xludf.DUMMYFUNCTION("""COMPUTED_VALUE"""),1785859.0)</f>
        <v>1785859</v>
      </c>
    </row>
    <row r="1812">
      <c r="A1812" s="26">
        <f>IFERROR(__xludf.DUMMYFUNCTION("""COMPUTED_VALUE"""),41036.645833333336)</f>
        <v>41036.64583</v>
      </c>
      <c r="B1812" s="9">
        <f>IFERROR(__xludf.DUMMYFUNCTION("""COMPUTED_VALUE"""),301.13)</f>
        <v>301.13</v>
      </c>
      <c r="C1812" s="9">
        <f>IFERROR(__xludf.DUMMYFUNCTION("""COMPUTED_VALUE"""),306.1)</f>
        <v>306.1</v>
      </c>
      <c r="D1812" s="9">
        <f>IFERROR(__xludf.DUMMYFUNCTION("""COMPUTED_VALUE"""),295.99)</f>
        <v>295.99</v>
      </c>
      <c r="E1812" s="9">
        <f>IFERROR(__xludf.DUMMYFUNCTION("""COMPUTED_VALUE"""),304.7)</f>
        <v>304.7</v>
      </c>
      <c r="F1812" s="9">
        <f>IFERROR(__xludf.DUMMYFUNCTION("""COMPUTED_VALUE"""),1338750.0)</f>
        <v>1338750</v>
      </c>
      <c r="H1812" s="27">
        <f>IFERROR(__xludf.DUMMYFUNCTION("""COMPUTED_VALUE"""),41036.645833333336)</f>
        <v>41036.64583</v>
      </c>
      <c r="I1812" s="25">
        <f>IFERROR(__xludf.DUMMYFUNCTION("""COMPUTED_VALUE"""),630.0)</f>
        <v>630</v>
      </c>
      <c r="J1812" s="25">
        <f>IFERROR(__xludf.DUMMYFUNCTION("""COMPUTED_VALUE"""),639.25)</f>
        <v>639.25</v>
      </c>
      <c r="K1812" s="25">
        <f>IFERROR(__xludf.DUMMYFUNCTION("""COMPUTED_VALUE"""),624.2)</f>
        <v>624.2</v>
      </c>
      <c r="L1812" s="25">
        <f>IFERROR(__xludf.DUMMYFUNCTION("""COMPUTED_VALUE"""),636.63)</f>
        <v>636.63</v>
      </c>
      <c r="M1812" s="25">
        <f>IFERROR(__xludf.DUMMYFUNCTION("""COMPUTED_VALUE"""),1313881.0)</f>
        <v>1313881</v>
      </c>
    </row>
    <row r="1813">
      <c r="A1813" s="26">
        <f>IFERROR(__xludf.DUMMYFUNCTION("""COMPUTED_VALUE"""),41037.645833333336)</f>
        <v>41037.64583</v>
      </c>
      <c r="B1813" s="9">
        <f>IFERROR(__xludf.DUMMYFUNCTION("""COMPUTED_VALUE"""),299.38)</f>
        <v>299.38</v>
      </c>
      <c r="C1813" s="9">
        <f>IFERROR(__xludf.DUMMYFUNCTION("""COMPUTED_VALUE"""),300.97)</f>
        <v>300.97</v>
      </c>
      <c r="D1813" s="9">
        <f>IFERROR(__xludf.DUMMYFUNCTION("""COMPUTED_VALUE"""),291.14)</f>
        <v>291.14</v>
      </c>
      <c r="E1813" s="9">
        <f>IFERROR(__xludf.DUMMYFUNCTION("""COMPUTED_VALUE"""),299.24)</f>
        <v>299.24</v>
      </c>
      <c r="F1813" s="9">
        <f>IFERROR(__xludf.DUMMYFUNCTION("""COMPUTED_VALUE"""),1440830.0)</f>
        <v>1440830</v>
      </c>
      <c r="H1813" s="27">
        <f>IFERROR(__xludf.DUMMYFUNCTION("""COMPUTED_VALUE"""),41037.645833333336)</f>
        <v>41037.64583</v>
      </c>
      <c r="I1813" s="25">
        <f>IFERROR(__xludf.DUMMYFUNCTION("""COMPUTED_VALUE"""),612.5)</f>
        <v>612.5</v>
      </c>
      <c r="J1813" s="25">
        <f>IFERROR(__xludf.DUMMYFUNCTION("""COMPUTED_VALUE"""),617.35)</f>
        <v>617.35</v>
      </c>
      <c r="K1813" s="25">
        <f>IFERROR(__xludf.DUMMYFUNCTION("""COMPUTED_VALUE"""),597.83)</f>
        <v>597.83</v>
      </c>
      <c r="L1813" s="25">
        <f>IFERROR(__xludf.DUMMYFUNCTION("""COMPUTED_VALUE"""),600.35)</f>
        <v>600.35</v>
      </c>
      <c r="M1813" s="25">
        <f>IFERROR(__xludf.DUMMYFUNCTION("""COMPUTED_VALUE"""),4815789.0)</f>
        <v>4815789</v>
      </c>
    </row>
    <row r="1814">
      <c r="A1814" s="26">
        <f>IFERROR(__xludf.DUMMYFUNCTION("""COMPUTED_VALUE"""),41038.645833333336)</f>
        <v>41038.64583</v>
      </c>
      <c r="B1814" s="9">
        <f>IFERROR(__xludf.DUMMYFUNCTION("""COMPUTED_VALUE"""),296.0)</f>
        <v>296</v>
      </c>
      <c r="C1814" s="9">
        <f>IFERROR(__xludf.DUMMYFUNCTION("""COMPUTED_VALUE"""),299.35)</f>
        <v>299.35</v>
      </c>
      <c r="D1814" s="9">
        <f>IFERROR(__xludf.DUMMYFUNCTION("""COMPUTED_VALUE"""),294.08)</f>
        <v>294.08</v>
      </c>
      <c r="E1814" s="9">
        <f>IFERROR(__xludf.DUMMYFUNCTION("""COMPUTED_VALUE"""),295.78)</f>
        <v>295.78</v>
      </c>
      <c r="F1814" s="9">
        <f>IFERROR(__xludf.DUMMYFUNCTION("""COMPUTED_VALUE"""),1312268.0)</f>
        <v>1312268</v>
      </c>
      <c r="H1814" s="27">
        <f>IFERROR(__xludf.DUMMYFUNCTION("""COMPUTED_VALUE"""),41038.645833333336)</f>
        <v>41038.64583</v>
      </c>
      <c r="I1814" s="25">
        <f>IFERROR(__xludf.DUMMYFUNCTION("""COMPUTED_VALUE"""),597.5)</f>
        <v>597.5</v>
      </c>
      <c r="J1814" s="25">
        <f>IFERROR(__xludf.DUMMYFUNCTION("""COMPUTED_VALUE"""),617.3)</f>
        <v>617.3</v>
      </c>
      <c r="K1814" s="25">
        <f>IFERROR(__xludf.DUMMYFUNCTION("""COMPUTED_VALUE"""),597.05)</f>
        <v>597.05</v>
      </c>
      <c r="L1814" s="25">
        <f>IFERROR(__xludf.DUMMYFUNCTION("""COMPUTED_VALUE"""),612.78)</f>
        <v>612.78</v>
      </c>
      <c r="M1814" s="25">
        <f>IFERROR(__xludf.DUMMYFUNCTION("""COMPUTED_VALUE"""),4635772.0)</f>
        <v>4635772</v>
      </c>
    </row>
    <row r="1815">
      <c r="A1815" s="26">
        <f>IFERROR(__xludf.DUMMYFUNCTION("""COMPUTED_VALUE"""),41039.645833333336)</f>
        <v>41039.64583</v>
      </c>
      <c r="B1815" s="9">
        <f>IFERROR(__xludf.DUMMYFUNCTION("""COMPUTED_VALUE"""),296.0)</f>
        <v>296</v>
      </c>
      <c r="C1815" s="9">
        <f>IFERROR(__xludf.DUMMYFUNCTION("""COMPUTED_VALUE"""),298.11)</f>
        <v>298.11</v>
      </c>
      <c r="D1815" s="9">
        <f>IFERROR(__xludf.DUMMYFUNCTION("""COMPUTED_VALUE"""),290.29)</f>
        <v>290.29</v>
      </c>
      <c r="E1815" s="9">
        <f>IFERROR(__xludf.DUMMYFUNCTION("""COMPUTED_VALUE"""),293.02)</f>
        <v>293.02</v>
      </c>
      <c r="F1815" s="9">
        <f>IFERROR(__xludf.DUMMYFUNCTION("""COMPUTED_VALUE"""),1135503.0)</f>
        <v>1135503</v>
      </c>
      <c r="H1815" s="27">
        <f>IFERROR(__xludf.DUMMYFUNCTION("""COMPUTED_VALUE"""),41039.645833333336)</f>
        <v>41039.64583</v>
      </c>
      <c r="I1815" s="25">
        <f>IFERROR(__xludf.DUMMYFUNCTION("""COMPUTED_VALUE"""),612.78)</f>
        <v>612.78</v>
      </c>
      <c r="J1815" s="25">
        <f>IFERROR(__xludf.DUMMYFUNCTION("""COMPUTED_VALUE"""),620.9)</f>
        <v>620.9</v>
      </c>
      <c r="K1815" s="25">
        <f>IFERROR(__xludf.DUMMYFUNCTION("""COMPUTED_VALUE"""),612.5)</f>
        <v>612.5</v>
      </c>
      <c r="L1815" s="25">
        <f>IFERROR(__xludf.DUMMYFUNCTION("""COMPUTED_VALUE"""),616.28)</f>
        <v>616.28</v>
      </c>
      <c r="M1815" s="25">
        <f>IFERROR(__xludf.DUMMYFUNCTION("""COMPUTED_VALUE"""),1496310.0)</f>
        <v>1496310</v>
      </c>
    </row>
    <row r="1816">
      <c r="A1816" s="26">
        <f>IFERROR(__xludf.DUMMYFUNCTION("""COMPUTED_VALUE"""),41040.645833333336)</f>
        <v>41040.64583</v>
      </c>
      <c r="B1816" s="9">
        <f>IFERROR(__xludf.DUMMYFUNCTION("""COMPUTED_VALUE"""),293.0)</f>
        <v>293</v>
      </c>
      <c r="C1816" s="9">
        <f>IFERROR(__xludf.DUMMYFUNCTION("""COMPUTED_VALUE"""),295.0)</f>
        <v>295</v>
      </c>
      <c r="D1816" s="9">
        <f>IFERROR(__xludf.DUMMYFUNCTION("""COMPUTED_VALUE"""),286.51)</f>
        <v>286.51</v>
      </c>
      <c r="E1816" s="9">
        <f>IFERROR(__xludf.DUMMYFUNCTION("""COMPUTED_VALUE"""),288.91)</f>
        <v>288.91</v>
      </c>
      <c r="F1816" s="9">
        <f>IFERROR(__xludf.DUMMYFUNCTION("""COMPUTED_VALUE"""),1112664.0)</f>
        <v>1112664</v>
      </c>
      <c r="H1816" s="27">
        <f>IFERROR(__xludf.DUMMYFUNCTION("""COMPUTED_VALUE"""),41040.645833333336)</f>
        <v>41040.64583</v>
      </c>
      <c r="I1816" s="25">
        <f>IFERROR(__xludf.DUMMYFUNCTION("""COMPUTED_VALUE"""),612.0)</f>
        <v>612</v>
      </c>
      <c r="J1816" s="25">
        <f>IFERROR(__xludf.DUMMYFUNCTION("""COMPUTED_VALUE"""),618.45)</f>
        <v>618.45</v>
      </c>
      <c r="K1816" s="25">
        <f>IFERROR(__xludf.DUMMYFUNCTION("""COMPUTED_VALUE"""),610.6)</f>
        <v>610.6</v>
      </c>
      <c r="L1816" s="25">
        <f>IFERROR(__xludf.DUMMYFUNCTION("""COMPUTED_VALUE"""),615.38)</f>
        <v>615.38</v>
      </c>
      <c r="M1816" s="25">
        <f>IFERROR(__xludf.DUMMYFUNCTION("""COMPUTED_VALUE"""),1372595.0)</f>
        <v>1372595</v>
      </c>
    </row>
    <row r="1817">
      <c r="A1817" s="26">
        <f>IFERROR(__xludf.DUMMYFUNCTION("""COMPUTED_VALUE"""),41043.645833333336)</f>
        <v>41043.64583</v>
      </c>
      <c r="B1817" s="9">
        <f>IFERROR(__xludf.DUMMYFUNCTION("""COMPUTED_VALUE"""),290.02)</f>
        <v>290.02</v>
      </c>
      <c r="C1817" s="9">
        <f>IFERROR(__xludf.DUMMYFUNCTION("""COMPUTED_VALUE"""),293.19)</f>
        <v>293.19</v>
      </c>
      <c r="D1817" s="9">
        <f>IFERROR(__xludf.DUMMYFUNCTION("""COMPUTED_VALUE"""),288.01)</f>
        <v>288.01</v>
      </c>
      <c r="E1817" s="9">
        <f>IFERROR(__xludf.DUMMYFUNCTION("""COMPUTED_VALUE"""),292.37)</f>
        <v>292.37</v>
      </c>
      <c r="F1817" s="9">
        <f>IFERROR(__xludf.DUMMYFUNCTION("""COMPUTED_VALUE"""),989802.0)</f>
        <v>989802</v>
      </c>
      <c r="H1817" s="27">
        <f>IFERROR(__xludf.DUMMYFUNCTION("""COMPUTED_VALUE"""),41043.645833333336)</f>
        <v>41043.64583</v>
      </c>
      <c r="I1817" s="25">
        <f>IFERROR(__xludf.DUMMYFUNCTION("""COMPUTED_VALUE"""),613.65)</f>
        <v>613.65</v>
      </c>
      <c r="J1817" s="25">
        <f>IFERROR(__xludf.DUMMYFUNCTION("""COMPUTED_VALUE"""),617.0)</f>
        <v>617</v>
      </c>
      <c r="K1817" s="25">
        <f>IFERROR(__xludf.DUMMYFUNCTION("""COMPUTED_VALUE"""),610.0)</f>
        <v>610</v>
      </c>
      <c r="L1817" s="25">
        <f>IFERROR(__xludf.DUMMYFUNCTION("""COMPUTED_VALUE"""),612.98)</f>
        <v>612.98</v>
      </c>
      <c r="M1817" s="25">
        <f>IFERROR(__xludf.DUMMYFUNCTION("""COMPUTED_VALUE"""),1286876.0)</f>
        <v>1286876</v>
      </c>
    </row>
    <row r="1818">
      <c r="A1818" s="26">
        <f>IFERROR(__xludf.DUMMYFUNCTION("""COMPUTED_VALUE"""),41044.645833333336)</f>
        <v>41044.64583</v>
      </c>
      <c r="B1818" s="9">
        <f>IFERROR(__xludf.DUMMYFUNCTION("""COMPUTED_VALUE"""),288.13)</f>
        <v>288.13</v>
      </c>
      <c r="C1818" s="9">
        <f>IFERROR(__xludf.DUMMYFUNCTION("""COMPUTED_VALUE"""),303.63)</f>
        <v>303.63</v>
      </c>
      <c r="D1818" s="9">
        <f>IFERROR(__xludf.DUMMYFUNCTION("""COMPUTED_VALUE"""),288.13)</f>
        <v>288.13</v>
      </c>
      <c r="E1818" s="9">
        <f>IFERROR(__xludf.DUMMYFUNCTION("""COMPUTED_VALUE"""),301.9)</f>
        <v>301.9</v>
      </c>
      <c r="F1818" s="9">
        <f>IFERROR(__xludf.DUMMYFUNCTION("""COMPUTED_VALUE"""),1283394.0)</f>
        <v>1283394</v>
      </c>
      <c r="H1818" s="27">
        <f>IFERROR(__xludf.DUMMYFUNCTION("""COMPUTED_VALUE"""),41044.645833333336)</f>
        <v>41044.64583</v>
      </c>
      <c r="I1818" s="25">
        <f>IFERROR(__xludf.DUMMYFUNCTION("""COMPUTED_VALUE"""),612.0)</f>
        <v>612</v>
      </c>
      <c r="J1818" s="25">
        <f>IFERROR(__xludf.DUMMYFUNCTION("""COMPUTED_VALUE"""),616.5)</f>
        <v>616.5</v>
      </c>
      <c r="K1818" s="25">
        <f>IFERROR(__xludf.DUMMYFUNCTION("""COMPUTED_VALUE"""),609.9)</f>
        <v>609.9</v>
      </c>
      <c r="L1818" s="25">
        <f>IFERROR(__xludf.DUMMYFUNCTION("""COMPUTED_VALUE"""),613.15)</f>
        <v>613.15</v>
      </c>
      <c r="M1818" s="25">
        <f>IFERROR(__xludf.DUMMYFUNCTION("""COMPUTED_VALUE"""),937755.0)</f>
        <v>937755</v>
      </c>
    </row>
    <row r="1819">
      <c r="A1819" s="26">
        <f>IFERROR(__xludf.DUMMYFUNCTION("""COMPUTED_VALUE"""),41045.645833333336)</f>
        <v>41045.64583</v>
      </c>
      <c r="B1819" s="9">
        <f>IFERROR(__xludf.DUMMYFUNCTION("""COMPUTED_VALUE"""),297.25)</f>
        <v>297.25</v>
      </c>
      <c r="C1819" s="9">
        <f>IFERROR(__xludf.DUMMYFUNCTION("""COMPUTED_VALUE"""),298.13)</f>
        <v>298.13</v>
      </c>
      <c r="D1819" s="9">
        <f>IFERROR(__xludf.DUMMYFUNCTION("""COMPUTED_VALUE"""),294.25)</f>
        <v>294.25</v>
      </c>
      <c r="E1819" s="9">
        <f>IFERROR(__xludf.DUMMYFUNCTION("""COMPUTED_VALUE"""),296.06)</f>
        <v>296.06</v>
      </c>
      <c r="F1819" s="9">
        <f>IFERROR(__xludf.DUMMYFUNCTION("""COMPUTED_VALUE"""),1073661.0)</f>
        <v>1073661</v>
      </c>
      <c r="H1819" s="27">
        <f>IFERROR(__xludf.DUMMYFUNCTION("""COMPUTED_VALUE"""),41045.645833333336)</f>
        <v>41045.64583</v>
      </c>
      <c r="I1819" s="25">
        <f>IFERROR(__xludf.DUMMYFUNCTION("""COMPUTED_VALUE"""),610.0)</f>
        <v>610</v>
      </c>
      <c r="J1819" s="25">
        <f>IFERROR(__xludf.DUMMYFUNCTION("""COMPUTED_VALUE"""),620.95)</f>
        <v>620.95</v>
      </c>
      <c r="K1819" s="25">
        <f>IFERROR(__xludf.DUMMYFUNCTION("""COMPUTED_VALUE"""),603.38)</f>
        <v>603.38</v>
      </c>
      <c r="L1819" s="25">
        <f>IFERROR(__xludf.DUMMYFUNCTION("""COMPUTED_VALUE"""),611.7)</f>
        <v>611.7</v>
      </c>
      <c r="M1819" s="25">
        <f>IFERROR(__xludf.DUMMYFUNCTION("""COMPUTED_VALUE"""),2283968.0)</f>
        <v>2283968</v>
      </c>
    </row>
    <row r="1820">
      <c r="A1820" s="26">
        <f>IFERROR(__xludf.DUMMYFUNCTION("""COMPUTED_VALUE"""),41046.645833333336)</f>
        <v>41046.64583</v>
      </c>
      <c r="B1820" s="9">
        <f>IFERROR(__xludf.DUMMYFUNCTION("""COMPUTED_VALUE"""),296.06)</f>
        <v>296.06</v>
      </c>
      <c r="C1820" s="9">
        <f>IFERROR(__xludf.DUMMYFUNCTION("""COMPUTED_VALUE"""),297.18)</f>
        <v>297.18</v>
      </c>
      <c r="D1820" s="9">
        <f>IFERROR(__xludf.DUMMYFUNCTION("""COMPUTED_VALUE"""),293.3)</f>
        <v>293.3</v>
      </c>
      <c r="E1820" s="9">
        <f>IFERROR(__xludf.DUMMYFUNCTION("""COMPUTED_VALUE"""),296.32)</f>
        <v>296.32</v>
      </c>
      <c r="F1820" s="9">
        <f>IFERROR(__xludf.DUMMYFUNCTION("""COMPUTED_VALUE"""),725927.0)</f>
        <v>725927</v>
      </c>
      <c r="H1820" s="27">
        <f>IFERROR(__xludf.DUMMYFUNCTION("""COMPUTED_VALUE"""),41046.645833333336)</f>
        <v>41046.64583</v>
      </c>
      <c r="I1820" s="25">
        <f>IFERROR(__xludf.DUMMYFUNCTION("""COMPUTED_VALUE"""),611.0)</f>
        <v>611</v>
      </c>
      <c r="J1820" s="25">
        <f>IFERROR(__xludf.DUMMYFUNCTION("""COMPUTED_VALUE"""),617.5)</f>
        <v>617.5</v>
      </c>
      <c r="K1820" s="25">
        <f>IFERROR(__xludf.DUMMYFUNCTION("""COMPUTED_VALUE"""),599.53)</f>
        <v>599.53</v>
      </c>
      <c r="L1820" s="25">
        <f>IFERROR(__xludf.DUMMYFUNCTION("""COMPUTED_VALUE"""),611.0)</f>
        <v>611</v>
      </c>
      <c r="M1820" s="25">
        <f>IFERROR(__xludf.DUMMYFUNCTION("""COMPUTED_VALUE"""),2068762.0)</f>
        <v>2068762</v>
      </c>
    </row>
    <row r="1821">
      <c r="A1821" s="26">
        <f>IFERROR(__xludf.DUMMYFUNCTION("""COMPUTED_VALUE"""),41047.645833333336)</f>
        <v>41047.64583</v>
      </c>
      <c r="B1821" s="9">
        <f>IFERROR(__xludf.DUMMYFUNCTION("""COMPUTED_VALUE"""),290.67)</f>
        <v>290.67</v>
      </c>
      <c r="C1821" s="9">
        <f>IFERROR(__xludf.DUMMYFUNCTION("""COMPUTED_VALUE"""),300.63)</f>
        <v>300.63</v>
      </c>
      <c r="D1821" s="9">
        <f>IFERROR(__xludf.DUMMYFUNCTION("""COMPUTED_VALUE"""),287.77)</f>
        <v>287.77</v>
      </c>
      <c r="E1821" s="9">
        <f>IFERROR(__xludf.DUMMYFUNCTION("""COMPUTED_VALUE"""),297.86)</f>
        <v>297.86</v>
      </c>
      <c r="F1821" s="9">
        <f>IFERROR(__xludf.DUMMYFUNCTION("""COMPUTED_VALUE"""),742270.0)</f>
        <v>742270</v>
      </c>
      <c r="H1821" s="27">
        <f>IFERROR(__xludf.DUMMYFUNCTION("""COMPUTED_VALUE"""),41047.645833333336)</f>
        <v>41047.64583</v>
      </c>
      <c r="I1821" s="25">
        <f>IFERROR(__xludf.DUMMYFUNCTION("""COMPUTED_VALUE"""),602.4)</f>
        <v>602.4</v>
      </c>
      <c r="J1821" s="25">
        <f>IFERROR(__xludf.DUMMYFUNCTION("""COMPUTED_VALUE"""),612.45)</f>
        <v>612.45</v>
      </c>
      <c r="K1821" s="25">
        <f>IFERROR(__xludf.DUMMYFUNCTION("""COMPUTED_VALUE"""),601.33)</f>
        <v>601.33</v>
      </c>
      <c r="L1821" s="25">
        <f>IFERROR(__xludf.DUMMYFUNCTION("""COMPUTED_VALUE"""),605.33)</f>
        <v>605.33</v>
      </c>
      <c r="M1821" s="25">
        <f>IFERROR(__xludf.DUMMYFUNCTION("""COMPUTED_VALUE"""),1328335.0)</f>
        <v>1328335</v>
      </c>
    </row>
    <row r="1822">
      <c r="A1822" s="26">
        <f>IFERROR(__xludf.DUMMYFUNCTION("""COMPUTED_VALUE"""),41050.645833333336)</f>
        <v>41050.64583</v>
      </c>
      <c r="B1822" s="9">
        <f>IFERROR(__xludf.DUMMYFUNCTION("""COMPUTED_VALUE"""),298.11)</f>
        <v>298.11</v>
      </c>
      <c r="C1822" s="9">
        <f>IFERROR(__xludf.DUMMYFUNCTION("""COMPUTED_VALUE"""),298.19)</f>
        <v>298.19</v>
      </c>
      <c r="D1822" s="9">
        <f>IFERROR(__xludf.DUMMYFUNCTION("""COMPUTED_VALUE"""),290.5)</f>
        <v>290.5</v>
      </c>
      <c r="E1822" s="9">
        <f>IFERROR(__xludf.DUMMYFUNCTION("""COMPUTED_VALUE"""),292.56)</f>
        <v>292.56</v>
      </c>
      <c r="F1822" s="9">
        <f>IFERROR(__xludf.DUMMYFUNCTION("""COMPUTED_VALUE"""),597095.0)</f>
        <v>597095</v>
      </c>
      <c r="H1822" s="27">
        <f>IFERROR(__xludf.DUMMYFUNCTION("""COMPUTED_VALUE"""),41050.645833333336)</f>
        <v>41050.64583</v>
      </c>
      <c r="I1822" s="25">
        <f>IFERROR(__xludf.DUMMYFUNCTION("""COMPUTED_VALUE"""),605.5)</f>
        <v>605.5</v>
      </c>
      <c r="J1822" s="25">
        <f>IFERROR(__xludf.DUMMYFUNCTION("""COMPUTED_VALUE"""),612.5)</f>
        <v>612.5</v>
      </c>
      <c r="K1822" s="25">
        <f>IFERROR(__xludf.DUMMYFUNCTION("""COMPUTED_VALUE"""),602.03)</f>
        <v>602.03</v>
      </c>
      <c r="L1822" s="25">
        <f>IFERROR(__xludf.DUMMYFUNCTION("""COMPUTED_VALUE"""),604.6)</f>
        <v>604.6</v>
      </c>
      <c r="M1822" s="25">
        <f>IFERROR(__xludf.DUMMYFUNCTION("""COMPUTED_VALUE"""),1113544.0)</f>
        <v>1113544</v>
      </c>
    </row>
    <row r="1823">
      <c r="A1823" s="26">
        <f>IFERROR(__xludf.DUMMYFUNCTION("""COMPUTED_VALUE"""),41051.645833333336)</f>
        <v>41051.64583</v>
      </c>
      <c r="B1823" s="9">
        <f>IFERROR(__xludf.DUMMYFUNCTION("""COMPUTED_VALUE"""),294.38)</f>
        <v>294.38</v>
      </c>
      <c r="C1823" s="9">
        <f>IFERROR(__xludf.DUMMYFUNCTION("""COMPUTED_VALUE"""),296.01)</f>
        <v>296.01</v>
      </c>
      <c r="D1823" s="9">
        <f>IFERROR(__xludf.DUMMYFUNCTION("""COMPUTED_VALUE"""),290.46)</f>
        <v>290.46</v>
      </c>
      <c r="E1823" s="9">
        <f>IFERROR(__xludf.DUMMYFUNCTION("""COMPUTED_VALUE"""),292.64)</f>
        <v>292.64</v>
      </c>
      <c r="F1823" s="9">
        <f>IFERROR(__xludf.DUMMYFUNCTION("""COMPUTED_VALUE"""),727901.0)</f>
        <v>727901</v>
      </c>
      <c r="H1823" s="27">
        <f>IFERROR(__xludf.DUMMYFUNCTION("""COMPUTED_VALUE"""),41051.645833333336)</f>
        <v>41051.64583</v>
      </c>
      <c r="I1823" s="25">
        <f>IFERROR(__xludf.DUMMYFUNCTION("""COMPUTED_VALUE"""),610.5)</f>
        <v>610.5</v>
      </c>
      <c r="J1823" s="25">
        <f>IFERROR(__xludf.DUMMYFUNCTION("""COMPUTED_VALUE"""),620.0)</f>
        <v>620</v>
      </c>
      <c r="K1823" s="25">
        <f>IFERROR(__xludf.DUMMYFUNCTION("""COMPUTED_VALUE"""),606.5)</f>
        <v>606.5</v>
      </c>
      <c r="L1823" s="25">
        <f>IFERROR(__xludf.DUMMYFUNCTION("""COMPUTED_VALUE"""),612.03)</f>
        <v>612.03</v>
      </c>
      <c r="M1823" s="25">
        <f>IFERROR(__xludf.DUMMYFUNCTION("""COMPUTED_VALUE"""),1180458.0)</f>
        <v>1180458</v>
      </c>
    </row>
    <row r="1824">
      <c r="A1824" s="26">
        <f>IFERROR(__xludf.DUMMYFUNCTION("""COMPUTED_VALUE"""),41052.645833333336)</f>
        <v>41052.64583</v>
      </c>
      <c r="B1824" s="9">
        <f>IFERROR(__xludf.DUMMYFUNCTION("""COMPUTED_VALUE"""),294.38)</f>
        <v>294.38</v>
      </c>
      <c r="C1824" s="9">
        <f>IFERROR(__xludf.DUMMYFUNCTION("""COMPUTED_VALUE"""),295.6)</f>
        <v>295.6</v>
      </c>
      <c r="D1824" s="9">
        <f>IFERROR(__xludf.DUMMYFUNCTION("""COMPUTED_VALUE"""),288.4)</f>
        <v>288.4</v>
      </c>
      <c r="E1824" s="9">
        <f>IFERROR(__xludf.DUMMYFUNCTION("""COMPUTED_VALUE"""),293.52)</f>
        <v>293.52</v>
      </c>
      <c r="F1824" s="9">
        <f>IFERROR(__xludf.DUMMYFUNCTION("""COMPUTED_VALUE"""),675254.0)</f>
        <v>675254</v>
      </c>
      <c r="H1824" s="27">
        <f>IFERROR(__xludf.DUMMYFUNCTION("""COMPUTED_VALUE"""),41052.645833333336)</f>
        <v>41052.64583</v>
      </c>
      <c r="I1824" s="25">
        <f>IFERROR(__xludf.DUMMYFUNCTION("""COMPUTED_VALUE"""),616.5)</f>
        <v>616.5</v>
      </c>
      <c r="J1824" s="25">
        <f>IFERROR(__xludf.DUMMYFUNCTION("""COMPUTED_VALUE"""),617.78)</f>
        <v>617.78</v>
      </c>
      <c r="K1824" s="25">
        <f>IFERROR(__xludf.DUMMYFUNCTION("""COMPUTED_VALUE"""),607.05)</f>
        <v>607.05</v>
      </c>
      <c r="L1824" s="25">
        <f>IFERROR(__xludf.DUMMYFUNCTION("""COMPUTED_VALUE"""),612.58)</f>
        <v>612.58</v>
      </c>
      <c r="M1824" s="25">
        <f>IFERROR(__xludf.DUMMYFUNCTION("""COMPUTED_VALUE"""),1081403.0)</f>
        <v>1081403</v>
      </c>
    </row>
    <row r="1825">
      <c r="A1825" s="26">
        <f>IFERROR(__xludf.DUMMYFUNCTION("""COMPUTED_VALUE"""),41053.645833333336)</f>
        <v>41053.64583</v>
      </c>
      <c r="B1825" s="9">
        <f>IFERROR(__xludf.DUMMYFUNCTION("""COMPUTED_VALUE"""),293.63)</f>
        <v>293.63</v>
      </c>
      <c r="C1825" s="9">
        <f>IFERROR(__xludf.DUMMYFUNCTION("""COMPUTED_VALUE"""),298.61)</f>
        <v>298.61</v>
      </c>
      <c r="D1825" s="9">
        <f>IFERROR(__xludf.DUMMYFUNCTION("""COMPUTED_VALUE"""),289.13)</f>
        <v>289.13</v>
      </c>
      <c r="E1825" s="9">
        <f>IFERROR(__xludf.DUMMYFUNCTION("""COMPUTED_VALUE"""),297.6)</f>
        <v>297.6</v>
      </c>
      <c r="F1825" s="9">
        <f>IFERROR(__xludf.DUMMYFUNCTION("""COMPUTED_VALUE"""),951506.0)</f>
        <v>951506</v>
      </c>
      <c r="H1825" s="27">
        <f>IFERROR(__xludf.DUMMYFUNCTION("""COMPUTED_VALUE"""),41053.645833333336)</f>
        <v>41053.64583</v>
      </c>
      <c r="I1825" s="25">
        <f>IFERROR(__xludf.DUMMYFUNCTION("""COMPUTED_VALUE"""),612.5)</f>
        <v>612.5</v>
      </c>
      <c r="J1825" s="25">
        <f>IFERROR(__xludf.DUMMYFUNCTION("""COMPUTED_VALUE"""),614.48)</f>
        <v>614.48</v>
      </c>
      <c r="K1825" s="25">
        <f>IFERROR(__xludf.DUMMYFUNCTION("""COMPUTED_VALUE"""),603.55)</f>
        <v>603.55</v>
      </c>
      <c r="L1825" s="25">
        <f>IFERROR(__xludf.DUMMYFUNCTION("""COMPUTED_VALUE"""),610.73)</f>
        <v>610.73</v>
      </c>
      <c r="M1825" s="25">
        <f>IFERROR(__xludf.DUMMYFUNCTION("""COMPUTED_VALUE"""),602837.0)</f>
        <v>602837</v>
      </c>
    </row>
    <row r="1826">
      <c r="A1826" s="26">
        <f>IFERROR(__xludf.DUMMYFUNCTION("""COMPUTED_VALUE"""),41054.645833333336)</f>
        <v>41054.64583</v>
      </c>
      <c r="B1826" s="9">
        <f>IFERROR(__xludf.DUMMYFUNCTION("""COMPUTED_VALUE"""),295.38)</f>
        <v>295.38</v>
      </c>
      <c r="C1826" s="9">
        <f>IFERROR(__xludf.DUMMYFUNCTION("""COMPUTED_VALUE"""),298.13)</f>
        <v>298.13</v>
      </c>
      <c r="D1826" s="9">
        <f>IFERROR(__xludf.DUMMYFUNCTION("""COMPUTED_VALUE"""),293.88)</f>
        <v>293.88</v>
      </c>
      <c r="E1826" s="9">
        <f>IFERROR(__xludf.DUMMYFUNCTION("""COMPUTED_VALUE"""),296.61)</f>
        <v>296.61</v>
      </c>
      <c r="F1826" s="9">
        <f>IFERROR(__xludf.DUMMYFUNCTION("""COMPUTED_VALUE"""),539216.0)</f>
        <v>539216</v>
      </c>
      <c r="H1826" s="27">
        <f>IFERROR(__xludf.DUMMYFUNCTION("""COMPUTED_VALUE"""),41054.645833333336)</f>
        <v>41054.64583</v>
      </c>
      <c r="I1826" s="25">
        <f>IFERROR(__xludf.DUMMYFUNCTION("""COMPUTED_VALUE"""),606.05)</f>
        <v>606.05</v>
      </c>
      <c r="J1826" s="25">
        <f>IFERROR(__xludf.DUMMYFUNCTION("""COMPUTED_VALUE"""),612.5)</f>
        <v>612.5</v>
      </c>
      <c r="K1826" s="25">
        <f>IFERROR(__xludf.DUMMYFUNCTION("""COMPUTED_VALUE"""),604.55)</f>
        <v>604.55</v>
      </c>
      <c r="L1826" s="25">
        <f>IFERROR(__xludf.DUMMYFUNCTION("""COMPUTED_VALUE"""),610.4)</f>
        <v>610.4</v>
      </c>
      <c r="M1826" s="25">
        <f>IFERROR(__xludf.DUMMYFUNCTION("""COMPUTED_VALUE"""),457523.0)</f>
        <v>457523</v>
      </c>
    </row>
    <row r="1827">
      <c r="A1827" s="26">
        <f>IFERROR(__xludf.DUMMYFUNCTION("""COMPUTED_VALUE"""),41057.645833333336)</f>
        <v>41057.64583</v>
      </c>
      <c r="B1827" s="9">
        <f>IFERROR(__xludf.DUMMYFUNCTION("""COMPUTED_VALUE"""),299.25)</f>
        <v>299.25</v>
      </c>
      <c r="C1827" s="9">
        <f>IFERROR(__xludf.DUMMYFUNCTION("""COMPUTED_VALUE"""),299.75)</f>
        <v>299.75</v>
      </c>
      <c r="D1827" s="9">
        <f>IFERROR(__xludf.DUMMYFUNCTION("""COMPUTED_VALUE"""),295.33)</f>
        <v>295.33</v>
      </c>
      <c r="E1827" s="9">
        <f>IFERROR(__xludf.DUMMYFUNCTION("""COMPUTED_VALUE"""),298.23)</f>
        <v>298.23</v>
      </c>
      <c r="F1827" s="9">
        <f>IFERROR(__xludf.DUMMYFUNCTION("""COMPUTED_VALUE"""),590723.0)</f>
        <v>590723</v>
      </c>
      <c r="H1827" s="27">
        <f>IFERROR(__xludf.DUMMYFUNCTION("""COMPUTED_VALUE"""),41057.645833333336)</f>
        <v>41057.64583</v>
      </c>
      <c r="I1827" s="25">
        <f>IFERROR(__xludf.DUMMYFUNCTION("""COMPUTED_VALUE"""),612.0)</f>
        <v>612</v>
      </c>
      <c r="J1827" s="25">
        <f>IFERROR(__xludf.DUMMYFUNCTION("""COMPUTED_VALUE"""),615.0)</f>
        <v>615</v>
      </c>
      <c r="K1827" s="25">
        <f>IFERROR(__xludf.DUMMYFUNCTION("""COMPUTED_VALUE"""),607.53)</f>
        <v>607.53</v>
      </c>
      <c r="L1827" s="25">
        <f>IFERROR(__xludf.DUMMYFUNCTION("""COMPUTED_VALUE"""),612.35)</f>
        <v>612.35</v>
      </c>
      <c r="M1827" s="25">
        <f>IFERROR(__xludf.DUMMYFUNCTION("""COMPUTED_VALUE"""),395097.0)</f>
        <v>395097</v>
      </c>
    </row>
    <row r="1828">
      <c r="A1828" s="26">
        <f>IFERROR(__xludf.DUMMYFUNCTION("""COMPUTED_VALUE"""),41058.645833333336)</f>
        <v>41058.64583</v>
      </c>
      <c r="B1828" s="9">
        <f>IFERROR(__xludf.DUMMYFUNCTION("""COMPUTED_VALUE"""),298.88)</f>
        <v>298.88</v>
      </c>
      <c r="C1828" s="9">
        <f>IFERROR(__xludf.DUMMYFUNCTION("""COMPUTED_VALUE"""),303.13)</f>
        <v>303.13</v>
      </c>
      <c r="D1828" s="9">
        <f>IFERROR(__xludf.DUMMYFUNCTION("""COMPUTED_VALUE"""),297.25)</f>
        <v>297.25</v>
      </c>
      <c r="E1828" s="9">
        <f>IFERROR(__xludf.DUMMYFUNCTION("""COMPUTED_VALUE"""),301.19)</f>
        <v>301.19</v>
      </c>
      <c r="F1828" s="9">
        <f>IFERROR(__xludf.DUMMYFUNCTION("""COMPUTED_VALUE"""),643095.0)</f>
        <v>643095</v>
      </c>
      <c r="H1828" s="27">
        <f>IFERROR(__xludf.DUMMYFUNCTION("""COMPUTED_VALUE"""),41058.645833333336)</f>
        <v>41058.64583</v>
      </c>
      <c r="I1828" s="25">
        <f>IFERROR(__xludf.DUMMYFUNCTION("""COMPUTED_VALUE"""),614.0)</f>
        <v>614</v>
      </c>
      <c r="J1828" s="25">
        <f>IFERROR(__xludf.DUMMYFUNCTION("""COMPUTED_VALUE"""),624.0)</f>
        <v>624</v>
      </c>
      <c r="K1828" s="25">
        <f>IFERROR(__xludf.DUMMYFUNCTION("""COMPUTED_VALUE"""),609.2)</f>
        <v>609.2</v>
      </c>
      <c r="L1828" s="25">
        <f>IFERROR(__xludf.DUMMYFUNCTION("""COMPUTED_VALUE"""),620.17)</f>
        <v>620.17</v>
      </c>
      <c r="M1828" s="25">
        <f>IFERROR(__xludf.DUMMYFUNCTION("""COMPUTED_VALUE"""),787516.0)</f>
        <v>787516</v>
      </c>
    </row>
    <row r="1829">
      <c r="A1829" s="26">
        <f>IFERROR(__xludf.DUMMYFUNCTION("""COMPUTED_VALUE"""),41059.645833333336)</f>
        <v>41059.64583</v>
      </c>
      <c r="B1829" s="9">
        <f>IFERROR(__xludf.DUMMYFUNCTION("""COMPUTED_VALUE"""),300.88)</f>
        <v>300.88</v>
      </c>
      <c r="C1829" s="9">
        <f>IFERROR(__xludf.DUMMYFUNCTION("""COMPUTED_VALUE"""),307.35)</f>
        <v>307.35</v>
      </c>
      <c r="D1829" s="9">
        <f>IFERROR(__xludf.DUMMYFUNCTION("""COMPUTED_VALUE"""),299.09)</f>
        <v>299.09</v>
      </c>
      <c r="E1829" s="9">
        <f>IFERROR(__xludf.DUMMYFUNCTION("""COMPUTED_VALUE"""),304.04)</f>
        <v>304.04</v>
      </c>
      <c r="F1829" s="9">
        <f>IFERROR(__xludf.DUMMYFUNCTION("""COMPUTED_VALUE"""),1006436.0)</f>
        <v>1006436</v>
      </c>
      <c r="H1829" s="27">
        <f>IFERROR(__xludf.DUMMYFUNCTION("""COMPUTED_VALUE"""),41059.645833333336)</f>
        <v>41059.64583</v>
      </c>
      <c r="I1829" s="25">
        <f>IFERROR(__xludf.DUMMYFUNCTION("""COMPUTED_VALUE"""),615.63)</f>
        <v>615.63</v>
      </c>
      <c r="J1829" s="25">
        <f>IFERROR(__xludf.DUMMYFUNCTION("""COMPUTED_VALUE"""),628.5)</f>
        <v>628.5</v>
      </c>
      <c r="K1829" s="25">
        <f>IFERROR(__xludf.DUMMYFUNCTION("""COMPUTED_VALUE"""),615.63)</f>
        <v>615.63</v>
      </c>
      <c r="L1829" s="25">
        <f>IFERROR(__xludf.DUMMYFUNCTION("""COMPUTED_VALUE"""),620.28)</f>
        <v>620.28</v>
      </c>
      <c r="M1829" s="25">
        <f>IFERROR(__xludf.DUMMYFUNCTION("""COMPUTED_VALUE"""),790757.0)</f>
        <v>790757</v>
      </c>
    </row>
    <row r="1830">
      <c r="A1830" s="26">
        <f>IFERROR(__xludf.DUMMYFUNCTION("""COMPUTED_VALUE"""),41060.645833333336)</f>
        <v>41060.64583</v>
      </c>
      <c r="B1830" s="9">
        <f>IFERROR(__xludf.DUMMYFUNCTION("""COMPUTED_VALUE"""),301.0)</f>
        <v>301</v>
      </c>
      <c r="C1830" s="9">
        <f>IFERROR(__xludf.DUMMYFUNCTION("""COMPUTED_VALUE"""),319.0)</f>
        <v>319</v>
      </c>
      <c r="D1830" s="9">
        <f>IFERROR(__xludf.DUMMYFUNCTION("""COMPUTED_VALUE"""),298.89)</f>
        <v>298.89</v>
      </c>
      <c r="E1830" s="9">
        <f>IFERROR(__xludf.DUMMYFUNCTION("""COMPUTED_VALUE"""),303.67)</f>
        <v>303.67</v>
      </c>
      <c r="F1830" s="9">
        <f>IFERROR(__xludf.DUMMYFUNCTION("""COMPUTED_VALUE"""),2703294.0)</f>
        <v>2703294</v>
      </c>
      <c r="H1830" s="27">
        <f>IFERROR(__xludf.DUMMYFUNCTION("""COMPUTED_VALUE"""),41060.645833333336)</f>
        <v>41060.64583</v>
      </c>
      <c r="I1830" s="25">
        <f>IFERROR(__xludf.DUMMYFUNCTION("""COMPUTED_VALUE"""),610.5)</f>
        <v>610.5</v>
      </c>
      <c r="J1830" s="25">
        <f>IFERROR(__xludf.DUMMYFUNCTION("""COMPUTED_VALUE"""),627.95)</f>
        <v>627.95</v>
      </c>
      <c r="K1830" s="25">
        <f>IFERROR(__xludf.DUMMYFUNCTION("""COMPUTED_VALUE"""),610.5)</f>
        <v>610.5</v>
      </c>
      <c r="L1830" s="25">
        <f>IFERROR(__xludf.DUMMYFUNCTION("""COMPUTED_VALUE"""),622.67)</f>
        <v>622.67</v>
      </c>
      <c r="M1830" s="25">
        <f>IFERROR(__xludf.DUMMYFUNCTION("""COMPUTED_VALUE"""),2205801.0)</f>
        <v>2205801</v>
      </c>
    </row>
    <row r="1831">
      <c r="A1831" s="26">
        <f>IFERROR(__xludf.DUMMYFUNCTION("""COMPUTED_VALUE"""),41061.645833333336)</f>
        <v>41061.64583</v>
      </c>
      <c r="B1831" s="9">
        <f>IFERROR(__xludf.DUMMYFUNCTION("""COMPUTED_VALUE"""),301.88)</f>
        <v>301.88</v>
      </c>
      <c r="C1831" s="9">
        <f>IFERROR(__xludf.DUMMYFUNCTION("""COMPUTED_VALUE"""),303.94)</f>
        <v>303.94</v>
      </c>
      <c r="D1831" s="9">
        <f>IFERROR(__xludf.DUMMYFUNCTION("""COMPUTED_VALUE"""),297.88)</f>
        <v>297.88</v>
      </c>
      <c r="E1831" s="9">
        <f>IFERROR(__xludf.DUMMYFUNCTION("""COMPUTED_VALUE"""),298.65)</f>
        <v>298.65</v>
      </c>
      <c r="F1831" s="9">
        <f>IFERROR(__xludf.DUMMYFUNCTION("""COMPUTED_VALUE"""),817880.0)</f>
        <v>817880</v>
      </c>
      <c r="H1831" s="27">
        <f>IFERROR(__xludf.DUMMYFUNCTION("""COMPUTED_VALUE"""),41061.645833333336)</f>
        <v>41061.64583</v>
      </c>
      <c r="I1831" s="25">
        <f>IFERROR(__xludf.DUMMYFUNCTION("""COMPUTED_VALUE"""),620.0)</f>
        <v>620</v>
      </c>
      <c r="J1831" s="25">
        <f>IFERROR(__xludf.DUMMYFUNCTION("""COMPUTED_VALUE"""),622.5)</f>
        <v>622.5</v>
      </c>
      <c r="K1831" s="25">
        <f>IFERROR(__xludf.DUMMYFUNCTION("""COMPUTED_VALUE"""),609.25)</f>
        <v>609.25</v>
      </c>
      <c r="L1831" s="25">
        <f>IFERROR(__xludf.DUMMYFUNCTION("""COMPUTED_VALUE"""),612.3)</f>
        <v>612.3</v>
      </c>
      <c r="M1831" s="25">
        <f>IFERROR(__xludf.DUMMYFUNCTION("""COMPUTED_VALUE"""),739764.0)</f>
        <v>739764</v>
      </c>
    </row>
    <row r="1832">
      <c r="A1832" s="26">
        <f>IFERROR(__xludf.DUMMYFUNCTION("""COMPUTED_VALUE"""),41064.645833333336)</f>
        <v>41064.64583</v>
      </c>
      <c r="B1832" s="9">
        <f>IFERROR(__xludf.DUMMYFUNCTION("""COMPUTED_VALUE"""),296.75)</f>
        <v>296.75</v>
      </c>
      <c r="C1832" s="9">
        <f>IFERROR(__xludf.DUMMYFUNCTION("""COMPUTED_VALUE"""),299.54)</f>
        <v>299.54</v>
      </c>
      <c r="D1832" s="9">
        <f>IFERROR(__xludf.DUMMYFUNCTION("""COMPUTED_VALUE"""),293.13)</f>
        <v>293.13</v>
      </c>
      <c r="E1832" s="9">
        <f>IFERROR(__xludf.DUMMYFUNCTION("""COMPUTED_VALUE"""),298.2)</f>
        <v>298.2</v>
      </c>
      <c r="F1832" s="9">
        <f>IFERROR(__xludf.DUMMYFUNCTION("""COMPUTED_VALUE"""),601511.0)</f>
        <v>601511</v>
      </c>
      <c r="H1832" s="27">
        <f>IFERROR(__xludf.DUMMYFUNCTION("""COMPUTED_VALUE"""),41064.645833333336)</f>
        <v>41064.64583</v>
      </c>
      <c r="I1832" s="25">
        <f>IFERROR(__xludf.DUMMYFUNCTION("""COMPUTED_VALUE"""),605.0)</f>
        <v>605</v>
      </c>
      <c r="J1832" s="25">
        <f>IFERROR(__xludf.DUMMYFUNCTION("""COMPUTED_VALUE"""),608.0)</f>
        <v>608</v>
      </c>
      <c r="K1832" s="25">
        <f>IFERROR(__xludf.DUMMYFUNCTION("""COMPUTED_VALUE"""),598.1)</f>
        <v>598.1</v>
      </c>
      <c r="L1832" s="25">
        <f>IFERROR(__xludf.DUMMYFUNCTION("""COMPUTED_VALUE"""),606.63)</f>
        <v>606.63</v>
      </c>
      <c r="M1832" s="25">
        <f>IFERROR(__xludf.DUMMYFUNCTION("""COMPUTED_VALUE"""),602215.0)</f>
        <v>602215</v>
      </c>
    </row>
    <row r="1833">
      <c r="A1833" s="26">
        <f>IFERROR(__xludf.DUMMYFUNCTION("""COMPUTED_VALUE"""),41065.645833333336)</f>
        <v>41065.64583</v>
      </c>
      <c r="B1833" s="9">
        <f>IFERROR(__xludf.DUMMYFUNCTION("""COMPUTED_VALUE"""),298.13)</f>
        <v>298.13</v>
      </c>
      <c r="C1833" s="9">
        <f>IFERROR(__xludf.DUMMYFUNCTION("""COMPUTED_VALUE"""),301.49)</f>
        <v>301.49</v>
      </c>
      <c r="D1833" s="9">
        <f>IFERROR(__xludf.DUMMYFUNCTION("""COMPUTED_VALUE"""),296.84)</f>
        <v>296.84</v>
      </c>
      <c r="E1833" s="9">
        <f>IFERROR(__xludf.DUMMYFUNCTION("""COMPUTED_VALUE"""),298.61)</f>
        <v>298.61</v>
      </c>
      <c r="F1833" s="9">
        <f>IFERROR(__xludf.DUMMYFUNCTION("""COMPUTED_VALUE"""),749090.0)</f>
        <v>749090</v>
      </c>
      <c r="H1833" s="27">
        <f>IFERROR(__xludf.DUMMYFUNCTION("""COMPUTED_VALUE"""),41065.645833333336)</f>
        <v>41065.64583</v>
      </c>
      <c r="I1833" s="25">
        <f>IFERROR(__xludf.DUMMYFUNCTION("""COMPUTED_VALUE"""),607.0)</f>
        <v>607</v>
      </c>
      <c r="J1833" s="25">
        <f>IFERROR(__xludf.DUMMYFUNCTION("""COMPUTED_VALUE"""),615.45)</f>
        <v>615.45</v>
      </c>
      <c r="K1833" s="25">
        <f>IFERROR(__xludf.DUMMYFUNCTION("""COMPUTED_VALUE"""),607.0)</f>
        <v>607</v>
      </c>
      <c r="L1833" s="25">
        <f>IFERROR(__xludf.DUMMYFUNCTION("""COMPUTED_VALUE"""),613.25)</f>
        <v>613.25</v>
      </c>
      <c r="M1833" s="25">
        <f>IFERROR(__xludf.DUMMYFUNCTION("""COMPUTED_VALUE"""),1031699.0)</f>
        <v>1031699</v>
      </c>
    </row>
    <row r="1834">
      <c r="A1834" s="26">
        <f>IFERROR(__xludf.DUMMYFUNCTION("""COMPUTED_VALUE"""),41066.645833333336)</f>
        <v>41066.64583</v>
      </c>
      <c r="B1834" s="9">
        <f>IFERROR(__xludf.DUMMYFUNCTION("""COMPUTED_VALUE"""),299.65)</f>
        <v>299.65</v>
      </c>
      <c r="C1834" s="9">
        <f>IFERROR(__xludf.DUMMYFUNCTION("""COMPUTED_VALUE"""),304.17)</f>
        <v>304.17</v>
      </c>
      <c r="D1834" s="9">
        <f>IFERROR(__xludf.DUMMYFUNCTION("""COMPUTED_VALUE"""),299.55)</f>
        <v>299.55</v>
      </c>
      <c r="E1834" s="9">
        <f>IFERROR(__xludf.DUMMYFUNCTION("""COMPUTED_VALUE"""),301.94)</f>
        <v>301.94</v>
      </c>
      <c r="F1834" s="9">
        <f>IFERROR(__xludf.DUMMYFUNCTION("""COMPUTED_VALUE"""),1097148.0)</f>
        <v>1097148</v>
      </c>
      <c r="H1834" s="27">
        <f>IFERROR(__xludf.DUMMYFUNCTION("""COMPUTED_VALUE"""),41066.645833333336)</f>
        <v>41066.64583</v>
      </c>
      <c r="I1834" s="25">
        <f>IFERROR(__xludf.DUMMYFUNCTION("""COMPUTED_VALUE"""),615.0)</f>
        <v>615</v>
      </c>
      <c r="J1834" s="25">
        <f>IFERROR(__xludf.DUMMYFUNCTION("""COMPUTED_VALUE"""),631.88)</f>
        <v>631.88</v>
      </c>
      <c r="K1834" s="25">
        <f>IFERROR(__xludf.DUMMYFUNCTION("""COMPUTED_VALUE"""),614.55)</f>
        <v>614.55</v>
      </c>
      <c r="L1834" s="25">
        <f>IFERROR(__xludf.DUMMYFUNCTION("""COMPUTED_VALUE"""),625.58)</f>
        <v>625.58</v>
      </c>
      <c r="M1834" s="25">
        <f>IFERROR(__xludf.DUMMYFUNCTION("""COMPUTED_VALUE"""),1645954.0)</f>
        <v>1645954</v>
      </c>
    </row>
    <row r="1835">
      <c r="A1835" s="26">
        <f>IFERROR(__xludf.DUMMYFUNCTION("""COMPUTED_VALUE"""),41067.645833333336)</f>
        <v>41067.64583</v>
      </c>
      <c r="B1835" s="9">
        <f>IFERROR(__xludf.DUMMYFUNCTION("""COMPUTED_VALUE"""),306.0)</f>
        <v>306</v>
      </c>
      <c r="C1835" s="9">
        <f>IFERROR(__xludf.DUMMYFUNCTION("""COMPUTED_VALUE"""),308.11)</f>
        <v>308.11</v>
      </c>
      <c r="D1835" s="9">
        <f>IFERROR(__xludf.DUMMYFUNCTION("""COMPUTED_VALUE"""),304.52)</f>
        <v>304.52</v>
      </c>
      <c r="E1835" s="9">
        <f>IFERROR(__xludf.DUMMYFUNCTION("""COMPUTED_VALUE"""),306.62)</f>
        <v>306.62</v>
      </c>
      <c r="F1835" s="9">
        <f>IFERROR(__xludf.DUMMYFUNCTION("""COMPUTED_VALUE"""),830886.0)</f>
        <v>830886</v>
      </c>
      <c r="H1835" s="27">
        <f>IFERROR(__xludf.DUMMYFUNCTION("""COMPUTED_VALUE"""),41067.645833333336)</f>
        <v>41067.64583</v>
      </c>
      <c r="I1835" s="25">
        <f>IFERROR(__xludf.DUMMYFUNCTION("""COMPUTED_VALUE"""),623.5)</f>
        <v>623.5</v>
      </c>
      <c r="J1835" s="25">
        <f>IFERROR(__xludf.DUMMYFUNCTION("""COMPUTED_VALUE"""),624.95)</f>
        <v>624.95</v>
      </c>
      <c r="K1835" s="25">
        <f>IFERROR(__xludf.DUMMYFUNCTION("""COMPUTED_VALUE"""),615.78)</f>
        <v>615.78</v>
      </c>
      <c r="L1835" s="25">
        <f>IFERROR(__xludf.DUMMYFUNCTION("""COMPUTED_VALUE"""),620.1)</f>
        <v>620.1</v>
      </c>
      <c r="M1835" s="25">
        <f>IFERROR(__xludf.DUMMYFUNCTION("""COMPUTED_VALUE"""),1074864.0)</f>
        <v>1074864</v>
      </c>
    </row>
    <row r="1836">
      <c r="A1836" s="26">
        <f>IFERROR(__xludf.DUMMYFUNCTION("""COMPUTED_VALUE"""),41068.645833333336)</f>
        <v>41068.64583</v>
      </c>
      <c r="B1836" s="9">
        <f>IFERROR(__xludf.DUMMYFUNCTION("""COMPUTED_VALUE"""),311.11)</f>
        <v>311.11</v>
      </c>
      <c r="C1836" s="9">
        <f>IFERROR(__xludf.DUMMYFUNCTION("""COMPUTED_VALUE"""),311.11)</f>
        <v>311.11</v>
      </c>
      <c r="D1836" s="9">
        <f>IFERROR(__xludf.DUMMYFUNCTION("""COMPUTED_VALUE"""),299.1)</f>
        <v>299.1</v>
      </c>
      <c r="E1836" s="9">
        <f>IFERROR(__xludf.DUMMYFUNCTION("""COMPUTED_VALUE"""),302.41)</f>
        <v>302.41</v>
      </c>
      <c r="F1836" s="9">
        <f>IFERROR(__xludf.DUMMYFUNCTION("""COMPUTED_VALUE"""),695603.0)</f>
        <v>695603</v>
      </c>
      <c r="H1836" s="27">
        <f>IFERROR(__xludf.DUMMYFUNCTION("""COMPUTED_VALUE"""),41068.645833333336)</f>
        <v>41068.64583</v>
      </c>
      <c r="I1836" s="25">
        <f>IFERROR(__xludf.DUMMYFUNCTION("""COMPUTED_VALUE"""),615.6)</f>
        <v>615.6</v>
      </c>
      <c r="J1836" s="25">
        <f>IFERROR(__xludf.DUMMYFUNCTION("""COMPUTED_VALUE"""),621.3)</f>
        <v>621.3</v>
      </c>
      <c r="K1836" s="25">
        <f>IFERROR(__xludf.DUMMYFUNCTION("""COMPUTED_VALUE"""),612.08)</f>
        <v>612.08</v>
      </c>
      <c r="L1836" s="25">
        <f>IFERROR(__xludf.DUMMYFUNCTION("""COMPUTED_VALUE"""),615.45)</f>
        <v>615.45</v>
      </c>
      <c r="M1836" s="25">
        <f>IFERROR(__xludf.DUMMYFUNCTION("""COMPUTED_VALUE"""),1200122.0)</f>
        <v>1200122</v>
      </c>
    </row>
    <row r="1837">
      <c r="A1837" s="26">
        <f>IFERROR(__xludf.DUMMYFUNCTION("""COMPUTED_VALUE"""),41071.645833333336)</f>
        <v>41071.64583</v>
      </c>
      <c r="B1837" s="9">
        <f>IFERROR(__xludf.DUMMYFUNCTION("""COMPUTED_VALUE"""),303.38)</f>
        <v>303.38</v>
      </c>
      <c r="C1837" s="9">
        <f>IFERROR(__xludf.DUMMYFUNCTION("""COMPUTED_VALUE"""),306.59)</f>
        <v>306.59</v>
      </c>
      <c r="D1837" s="9">
        <f>IFERROR(__xludf.DUMMYFUNCTION("""COMPUTED_VALUE"""),301.86)</f>
        <v>301.86</v>
      </c>
      <c r="E1837" s="9">
        <f>IFERROR(__xludf.DUMMYFUNCTION("""COMPUTED_VALUE"""),303.21)</f>
        <v>303.21</v>
      </c>
      <c r="F1837" s="9">
        <f>IFERROR(__xludf.DUMMYFUNCTION("""COMPUTED_VALUE"""),444223.0)</f>
        <v>444223</v>
      </c>
      <c r="H1837" s="27">
        <f>IFERROR(__xludf.DUMMYFUNCTION("""COMPUTED_VALUE"""),41071.645833333336)</f>
        <v>41071.64583</v>
      </c>
      <c r="I1837" s="25">
        <f>IFERROR(__xludf.DUMMYFUNCTION("""COMPUTED_VALUE"""),616.5)</f>
        <v>616.5</v>
      </c>
      <c r="J1837" s="25">
        <f>IFERROR(__xludf.DUMMYFUNCTION("""COMPUTED_VALUE"""),623.03)</f>
        <v>623.03</v>
      </c>
      <c r="K1837" s="25">
        <f>IFERROR(__xludf.DUMMYFUNCTION("""COMPUTED_VALUE"""),613.55)</f>
        <v>613.55</v>
      </c>
      <c r="L1837" s="25">
        <f>IFERROR(__xludf.DUMMYFUNCTION("""COMPUTED_VALUE"""),616.78)</f>
        <v>616.78</v>
      </c>
      <c r="M1837" s="25">
        <f>IFERROR(__xludf.DUMMYFUNCTION("""COMPUTED_VALUE"""),772524.0)</f>
        <v>772524</v>
      </c>
    </row>
    <row r="1838">
      <c r="A1838" s="26">
        <f>IFERROR(__xludf.DUMMYFUNCTION("""COMPUTED_VALUE"""),41072.645833333336)</f>
        <v>41072.64583</v>
      </c>
      <c r="B1838" s="9">
        <f>IFERROR(__xludf.DUMMYFUNCTION("""COMPUTED_VALUE"""),300.27)</f>
        <v>300.27</v>
      </c>
      <c r="C1838" s="9">
        <f>IFERROR(__xludf.DUMMYFUNCTION("""COMPUTED_VALUE"""),308.75)</f>
        <v>308.75</v>
      </c>
      <c r="D1838" s="9">
        <f>IFERROR(__xludf.DUMMYFUNCTION("""COMPUTED_VALUE"""),300.27)</f>
        <v>300.27</v>
      </c>
      <c r="E1838" s="9">
        <f>IFERROR(__xludf.DUMMYFUNCTION("""COMPUTED_VALUE"""),307.26)</f>
        <v>307.26</v>
      </c>
      <c r="F1838" s="9">
        <f>IFERROR(__xludf.DUMMYFUNCTION("""COMPUTED_VALUE"""),516835.0)</f>
        <v>516835</v>
      </c>
      <c r="H1838" s="27">
        <f>IFERROR(__xludf.DUMMYFUNCTION("""COMPUTED_VALUE"""),41072.645833333336)</f>
        <v>41072.64583</v>
      </c>
      <c r="I1838" s="25">
        <f>IFERROR(__xludf.DUMMYFUNCTION("""COMPUTED_VALUE"""),610.55)</f>
        <v>610.55</v>
      </c>
      <c r="J1838" s="25">
        <f>IFERROR(__xludf.DUMMYFUNCTION("""COMPUTED_VALUE"""),626.5)</f>
        <v>626.5</v>
      </c>
      <c r="K1838" s="25">
        <f>IFERROR(__xludf.DUMMYFUNCTION("""COMPUTED_VALUE"""),610.55)</f>
        <v>610.55</v>
      </c>
      <c r="L1838" s="25">
        <f>IFERROR(__xludf.DUMMYFUNCTION("""COMPUTED_VALUE"""),624.05)</f>
        <v>624.05</v>
      </c>
      <c r="M1838" s="25">
        <f>IFERROR(__xludf.DUMMYFUNCTION("""COMPUTED_VALUE"""),546071.0)</f>
        <v>546071</v>
      </c>
    </row>
    <row r="1839">
      <c r="A1839" s="26">
        <f>IFERROR(__xludf.DUMMYFUNCTION("""COMPUTED_VALUE"""),41073.645833333336)</f>
        <v>41073.64583</v>
      </c>
      <c r="B1839" s="9">
        <f>IFERROR(__xludf.DUMMYFUNCTION("""COMPUTED_VALUE"""),306.41)</f>
        <v>306.41</v>
      </c>
      <c r="C1839" s="9">
        <f>IFERROR(__xludf.DUMMYFUNCTION("""COMPUTED_VALUE"""),311.21)</f>
        <v>311.21</v>
      </c>
      <c r="D1839" s="9">
        <f>IFERROR(__xludf.DUMMYFUNCTION("""COMPUTED_VALUE"""),305.25)</f>
        <v>305.25</v>
      </c>
      <c r="E1839" s="9">
        <f>IFERROR(__xludf.DUMMYFUNCTION("""COMPUTED_VALUE"""),308.76)</f>
        <v>308.76</v>
      </c>
      <c r="F1839" s="9">
        <f>IFERROR(__xludf.DUMMYFUNCTION("""COMPUTED_VALUE"""),769723.0)</f>
        <v>769723</v>
      </c>
      <c r="H1839" s="27">
        <f>IFERROR(__xludf.DUMMYFUNCTION("""COMPUTED_VALUE"""),41073.645833333336)</f>
        <v>41073.64583</v>
      </c>
      <c r="I1839" s="25">
        <f>IFERROR(__xludf.DUMMYFUNCTION("""COMPUTED_VALUE"""),624.5)</f>
        <v>624.5</v>
      </c>
      <c r="J1839" s="25">
        <f>IFERROR(__xludf.DUMMYFUNCTION("""COMPUTED_VALUE"""),630.0)</f>
        <v>630</v>
      </c>
      <c r="K1839" s="25">
        <f>IFERROR(__xludf.DUMMYFUNCTION("""COMPUTED_VALUE"""),621.3)</f>
        <v>621.3</v>
      </c>
      <c r="L1839" s="25">
        <f>IFERROR(__xludf.DUMMYFUNCTION("""COMPUTED_VALUE"""),625.2)</f>
        <v>625.2</v>
      </c>
      <c r="M1839" s="25">
        <f>IFERROR(__xludf.DUMMYFUNCTION("""COMPUTED_VALUE"""),725429.0)</f>
        <v>725429</v>
      </c>
    </row>
    <row r="1840">
      <c r="A1840" s="26">
        <f>IFERROR(__xludf.DUMMYFUNCTION("""COMPUTED_VALUE"""),41074.645833333336)</f>
        <v>41074.64583</v>
      </c>
      <c r="B1840" s="9">
        <f>IFERROR(__xludf.DUMMYFUNCTION("""COMPUTED_VALUE"""),307.63)</f>
        <v>307.63</v>
      </c>
      <c r="C1840" s="9">
        <f>IFERROR(__xludf.DUMMYFUNCTION("""COMPUTED_VALUE"""),313.75)</f>
        <v>313.75</v>
      </c>
      <c r="D1840" s="9">
        <f>IFERROR(__xludf.DUMMYFUNCTION("""COMPUTED_VALUE"""),307.63)</f>
        <v>307.63</v>
      </c>
      <c r="E1840" s="9">
        <f>IFERROR(__xludf.DUMMYFUNCTION("""COMPUTED_VALUE"""),312.29)</f>
        <v>312.29</v>
      </c>
      <c r="F1840" s="9">
        <f>IFERROR(__xludf.DUMMYFUNCTION("""COMPUTED_VALUE"""),985417.0)</f>
        <v>985417</v>
      </c>
      <c r="H1840" s="27">
        <f>IFERROR(__xludf.DUMMYFUNCTION("""COMPUTED_VALUE"""),41074.645833333336)</f>
        <v>41074.64583</v>
      </c>
      <c r="I1840" s="25">
        <f>IFERROR(__xludf.DUMMYFUNCTION("""COMPUTED_VALUE"""),624.5)</f>
        <v>624.5</v>
      </c>
      <c r="J1840" s="25">
        <f>IFERROR(__xludf.DUMMYFUNCTION("""COMPUTED_VALUE"""),630.75)</f>
        <v>630.75</v>
      </c>
      <c r="K1840" s="25">
        <f>IFERROR(__xludf.DUMMYFUNCTION("""COMPUTED_VALUE"""),622.5)</f>
        <v>622.5</v>
      </c>
      <c r="L1840" s="25">
        <f>IFERROR(__xludf.DUMMYFUNCTION("""COMPUTED_VALUE"""),627.0)</f>
        <v>627</v>
      </c>
      <c r="M1840" s="25">
        <f>IFERROR(__xludf.DUMMYFUNCTION("""COMPUTED_VALUE"""),735562.0)</f>
        <v>735562</v>
      </c>
    </row>
    <row r="1841">
      <c r="A1841" s="26">
        <f>IFERROR(__xludf.DUMMYFUNCTION("""COMPUTED_VALUE"""),41075.645833333336)</f>
        <v>41075.64583</v>
      </c>
      <c r="B1841" s="9">
        <f>IFERROR(__xludf.DUMMYFUNCTION("""COMPUTED_VALUE"""),313.76)</f>
        <v>313.76</v>
      </c>
      <c r="C1841" s="9">
        <f>IFERROR(__xludf.DUMMYFUNCTION("""COMPUTED_VALUE"""),316.5)</f>
        <v>316.5</v>
      </c>
      <c r="D1841" s="9">
        <f>IFERROR(__xludf.DUMMYFUNCTION("""COMPUTED_VALUE"""),312.84)</f>
        <v>312.84</v>
      </c>
      <c r="E1841" s="9">
        <f>IFERROR(__xludf.DUMMYFUNCTION("""COMPUTED_VALUE"""),315.32)</f>
        <v>315.32</v>
      </c>
      <c r="F1841" s="9">
        <f>IFERROR(__xludf.DUMMYFUNCTION("""COMPUTED_VALUE"""),788939.0)</f>
        <v>788939</v>
      </c>
      <c r="H1841" s="27">
        <f>IFERROR(__xludf.DUMMYFUNCTION("""COMPUTED_VALUE"""),41075.645833333336)</f>
        <v>41075.64583</v>
      </c>
      <c r="I1841" s="25">
        <f>IFERROR(__xludf.DUMMYFUNCTION("""COMPUTED_VALUE"""),627.03)</f>
        <v>627.03</v>
      </c>
      <c r="J1841" s="25">
        <f>IFERROR(__xludf.DUMMYFUNCTION("""COMPUTED_VALUE"""),640.0)</f>
        <v>640</v>
      </c>
      <c r="K1841" s="25">
        <f>IFERROR(__xludf.DUMMYFUNCTION("""COMPUTED_VALUE"""),624.5)</f>
        <v>624.5</v>
      </c>
      <c r="L1841" s="25">
        <f>IFERROR(__xludf.DUMMYFUNCTION("""COMPUTED_VALUE"""),636.23)</f>
        <v>636.23</v>
      </c>
      <c r="M1841" s="25">
        <f>IFERROR(__xludf.DUMMYFUNCTION("""COMPUTED_VALUE"""),993020.0)</f>
        <v>993020</v>
      </c>
    </row>
    <row r="1842">
      <c r="A1842" s="26">
        <f>IFERROR(__xludf.DUMMYFUNCTION("""COMPUTED_VALUE"""),41078.645833333336)</f>
        <v>41078.64583</v>
      </c>
      <c r="B1842" s="9">
        <f>IFERROR(__xludf.DUMMYFUNCTION("""COMPUTED_VALUE"""),316.88)</f>
        <v>316.88</v>
      </c>
      <c r="C1842" s="9">
        <f>IFERROR(__xludf.DUMMYFUNCTION("""COMPUTED_VALUE"""),318.04)</f>
        <v>318.04</v>
      </c>
      <c r="D1842" s="9">
        <f>IFERROR(__xludf.DUMMYFUNCTION("""COMPUTED_VALUE"""),312.06)</f>
        <v>312.06</v>
      </c>
      <c r="E1842" s="9">
        <f>IFERROR(__xludf.DUMMYFUNCTION("""COMPUTED_VALUE"""),313.96)</f>
        <v>313.96</v>
      </c>
      <c r="F1842" s="9">
        <f>IFERROR(__xludf.DUMMYFUNCTION("""COMPUTED_VALUE"""),889629.0)</f>
        <v>889629</v>
      </c>
      <c r="H1842" s="27">
        <f>IFERROR(__xludf.DUMMYFUNCTION("""COMPUTED_VALUE"""),41078.645833333336)</f>
        <v>41078.64583</v>
      </c>
      <c r="I1842" s="25">
        <f>IFERROR(__xludf.DUMMYFUNCTION("""COMPUTED_VALUE"""),638.0)</f>
        <v>638</v>
      </c>
      <c r="J1842" s="25">
        <f>IFERROR(__xludf.DUMMYFUNCTION("""COMPUTED_VALUE"""),643.17)</f>
        <v>643.17</v>
      </c>
      <c r="K1842" s="25">
        <f>IFERROR(__xludf.DUMMYFUNCTION("""COMPUTED_VALUE"""),625.0)</f>
        <v>625</v>
      </c>
      <c r="L1842" s="25">
        <f>IFERROR(__xludf.DUMMYFUNCTION("""COMPUTED_VALUE"""),628.58)</f>
        <v>628.58</v>
      </c>
      <c r="M1842" s="25">
        <f>IFERROR(__xludf.DUMMYFUNCTION("""COMPUTED_VALUE"""),747694.0)</f>
        <v>747694</v>
      </c>
    </row>
    <row r="1843">
      <c r="A1843" s="26">
        <f>IFERROR(__xludf.DUMMYFUNCTION("""COMPUTED_VALUE"""),41079.645833333336)</f>
        <v>41079.64583</v>
      </c>
      <c r="B1843" s="9">
        <f>IFERROR(__xludf.DUMMYFUNCTION("""COMPUTED_VALUE"""),312.5)</f>
        <v>312.5</v>
      </c>
      <c r="C1843" s="9">
        <f>IFERROR(__xludf.DUMMYFUNCTION("""COMPUTED_VALUE"""),313.13)</f>
        <v>313.13</v>
      </c>
      <c r="D1843" s="9">
        <f>IFERROR(__xludf.DUMMYFUNCTION("""COMPUTED_VALUE"""),307.24)</f>
        <v>307.24</v>
      </c>
      <c r="E1843" s="9">
        <f>IFERROR(__xludf.DUMMYFUNCTION("""COMPUTED_VALUE"""),309.63)</f>
        <v>309.63</v>
      </c>
      <c r="F1843" s="9">
        <f>IFERROR(__xludf.DUMMYFUNCTION("""COMPUTED_VALUE"""),801760.0)</f>
        <v>801760</v>
      </c>
      <c r="H1843" s="27">
        <f>IFERROR(__xludf.DUMMYFUNCTION("""COMPUTED_VALUE"""),41079.645833333336)</f>
        <v>41079.64583</v>
      </c>
      <c r="I1843" s="25">
        <f>IFERROR(__xludf.DUMMYFUNCTION("""COMPUTED_VALUE"""),628.45)</f>
        <v>628.45</v>
      </c>
      <c r="J1843" s="25">
        <f>IFERROR(__xludf.DUMMYFUNCTION("""COMPUTED_VALUE"""),639.63)</f>
        <v>639.63</v>
      </c>
      <c r="K1843" s="25">
        <f>IFERROR(__xludf.DUMMYFUNCTION("""COMPUTED_VALUE"""),627.55)</f>
        <v>627.55</v>
      </c>
      <c r="L1843" s="25">
        <f>IFERROR(__xludf.DUMMYFUNCTION("""COMPUTED_VALUE"""),636.98)</f>
        <v>636.98</v>
      </c>
      <c r="M1843" s="25">
        <f>IFERROR(__xludf.DUMMYFUNCTION("""COMPUTED_VALUE"""),884529.0)</f>
        <v>884529</v>
      </c>
    </row>
    <row r="1844">
      <c r="A1844" s="26">
        <f>IFERROR(__xludf.DUMMYFUNCTION("""COMPUTED_VALUE"""),41080.645833333336)</f>
        <v>41080.64583</v>
      </c>
      <c r="B1844" s="9">
        <f>IFERROR(__xludf.DUMMYFUNCTION("""COMPUTED_VALUE"""),310.0)</f>
        <v>310</v>
      </c>
      <c r="C1844" s="9">
        <f>IFERROR(__xludf.DUMMYFUNCTION("""COMPUTED_VALUE"""),310.63)</f>
        <v>310.63</v>
      </c>
      <c r="D1844" s="9">
        <f>IFERROR(__xludf.DUMMYFUNCTION("""COMPUTED_VALUE"""),306.62)</f>
        <v>306.62</v>
      </c>
      <c r="E1844" s="9">
        <f>IFERROR(__xludf.DUMMYFUNCTION("""COMPUTED_VALUE"""),308.76)</f>
        <v>308.76</v>
      </c>
      <c r="F1844" s="9">
        <f>IFERROR(__xludf.DUMMYFUNCTION("""COMPUTED_VALUE"""),816997.0)</f>
        <v>816997</v>
      </c>
      <c r="H1844" s="27">
        <f>IFERROR(__xludf.DUMMYFUNCTION("""COMPUTED_VALUE"""),41080.645833333336)</f>
        <v>41080.64583</v>
      </c>
      <c r="I1844" s="25">
        <f>IFERROR(__xludf.DUMMYFUNCTION("""COMPUTED_VALUE"""),637.0)</f>
        <v>637</v>
      </c>
      <c r="J1844" s="25">
        <f>IFERROR(__xludf.DUMMYFUNCTION("""COMPUTED_VALUE"""),637.0)</f>
        <v>637</v>
      </c>
      <c r="K1844" s="25">
        <f>IFERROR(__xludf.DUMMYFUNCTION("""COMPUTED_VALUE"""),621.65)</f>
        <v>621.65</v>
      </c>
      <c r="L1844" s="25">
        <f>IFERROR(__xludf.DUMMYFUNCTION("""COMPUTED_VALUE"""),626.4)</f>
        <v>626.4</v>
      </c>
      <c r="M1844" s="25">
        <f>IFERROR(__xludf.DUMMYFUNCTION("""COMPUTED_VALUE"""),876870.0)</f>
        <v>876870</v>
      </c>
    </row>
    <row r="1845">
      <c r="A1845" s="26">
        <f>IFERROR(__xludf.DUMMYFUNCTION("""COMPUTED_VALUE"""),41081.645833333336)</f>
        <v>41081.64583</v>
      </c>
      <c r="B1845" s="9">
        <f>IFERROR(__xludf.DUMMYFUNCTION("""COMPUTED_VALUE"""),307.0)</f>
        <v>307</v>
      </c>
      <c r="C1845" s="9">
        <f>IFERROR(__xludf.DUMMYFUNCTION("""COMPUTED_VALUE"""),312.88)</f>
        <v>312.88</v>
      </c>
      <c r="D1845" s="9">
        <f>IFERROR(__xludf.DUMMYFUNCTION("""COMPUTED_VALUE"""),305.02)</f>
        <v>305.02</v>
      </c>
      <c r="E1845" s="9">
        <f>IFERROR(__xludf.DUMMYFUNCTION("""COMPUTED_VALUE"""),311.41)</f>
        <v>311.41</v>
      </c>
      <c r="F1845" s="9">
        <f>IFERROR(__xludf.DUMMYFUNCTION("""COMPUTED_VALUE"""),817077.0)</f>
        <v>817077</v>
      </c>
      <c r="H1845" s="27">
        <f>IFERROR(__xludf.DUMMYFUNCTION("""COMPUTED_VALUE"""),41081.645833333336)</f>
        <v>41081.64583</v>
      </c>
      <c r="I1845" s="25">
        <f>IFERROR(__xludf.DUMMYFUNCTION("""COMPUTED_VALUE"""),622.53)</f>
        <v>622.53</v>
      </c>
      <c r="J1845" s="25">
        <f>IFERROR(__xludf.DUMMYFUNCTION("""COMPUTED_VALUE"""),626.0)</f>
        <v>626</v>
      </c>
      <c r="K1845" s="25">
        <f>IFERROR(__xludf.DUMMYFUNCTION("""COMPUTED_VALUE"""),604.5)</f>
        <v>604.5</v>
      </c>
      <c r="L1845" s="25">
        <f>IFERROR(__xludf.DUMMYFUNCTION("""COMPUTED_VALUE"""),612.03)</f>
        <v>612.03</v>
      </c>
      <c r="M1845" s="25">
        <f>IFERROR(__xludf.DUMMYFUNCTION("""COMPUTED_VALUE"""),2077990.0)</f>
        <v>2077990</v>
      </c>
    </row>
    <row r="1846">
      <c r="A1846" s="26">
        <f>IFERROR(__xludf.DUMMYFUNCTION("""COMPUTED_VALUE"""),41082.645833333336)</f>
        <v>41082.64583</v>
      </c>
      <c r="B1846" s="9">
        <f>IFERROR(__xludf.DUMMYFUNCTION("""COMPUTED_VALUE"""),306.22)</f>
        <v>306.22</v>
      </c>
      <c r="C1846" s="9">
        <f>IFERROR(__xludf.DUMMYFUNCTION("""COMPUTED_VALUE"""),310.56)</f>
        <v>310.56</v>
      </c>
      <c r="D1846" s="9">
        <f>IFERROR(__xludf.DUMMYFUNCTION("""COMPUTED_VALUE"""),303.31)</f>
        <v>303.31</v>
      </c>
      <c r="E1846" s="9">
        <f>IFERROR(__xludf.DUMMYFUNCTION("""COMPUTED_VALUE"""),309.31)</f>
        <v>309.31</v>
      </c>
      <c r="F1846" s="9">
        <f>IFERROR(__xludf.DUMMYFUNCTION("""COMPUTED_VALUE"""),801791.0)</f>
        <v>801791</v>
      </c>
      <c r="H1846" s="27">
        <f>IFERROR(__xludf.DUMMYFUNCTION("""COMPUTED_VALUE"""),41082.645833333336)</f>
        <v>41082.64583</v>
      </c>
      <c r="I1846" s="25">
        <f>IFERROR(__xludf.DUMMYFUNCTION("""COMPUTED_VALUE"""),607.13)</f>
        <v>607.13</v>
      </c>
      <c r="J1846" s="25">
        <f>IFERROR(__xludf.DUMMYFUNCTION("""COMPUTED_VALUE"""),619.95)</f>
        <v>619.95</v>
      </c>
      <c r="K1846" s="25">
        <f>IFERROR(__xludf.DUMMYFUNCTION("""COMPUTED_VALUE"""),607.13)</f>
        <v>607.13</v>
      </c>
      <c r="L1846" s="25">
        <f>IFERROR(__xludf.DUMMYFUNCTION("""COMPUTED_VALUE"""),616.73)</f>
        <v>616.73</v>
      </c>
      <c r="M1846" s="25">
        <f>IFERROR(__xludf.DUMMYFUNCTION("""COMPUTED_VALUE"""),959780.0)</f>
        <v>959780</v>
      </c>
    </row>
    <row r="1847">
      <c r="A1847" s="26">
        <f>IFERROR(__xludf.DUMMYFUNCTION("""COMPUTED_VALUE"""),41085.645833333336)</f>
        <v>41085.64583</v>
      </c>
      <c r="B1847" s="9">
        <f>IFERROR(__xludf.DUMMYFUNCTION("""COMPUTED_VALUE"""),309.36)</f>
        <v>309.36</v>
      </c>
      <c r="C1847" s="9">
        <f>IFERROR(__xludf.DUMMYFUNCTION("""COMPUTED_VALUE"""),311.0)</f>
        <v>311</v>
      </c>
      <c r="D1847" s="9">
        <f>IFERROR(__xludf.DUMMYFUNCTION("""COMPUTED_VALUE"""),307.28)</f>
        <v>307.28</v>
      </c>
      <c r="E1847" s="9">
        <f>IFERROR(__xludf.DUMMYFUNCTION("""COMPUTED_VALUE"""),308.52)</f>
        <v>308.52</v>
      </c>
      <c r="F1847" s="9">
        <f>IFERROR(__xludf.DUMMYFUNCTION("""COMPUTED_VALUE"""),993681.0)</f>
        <v>993681</v>
      </c>
      <c r="H1847" s="27">
        <f>IFERROR(__xludf.DUMMYFUNCTION("""COMPUTED_VALUE"""),41085.645833333336)</f>
        <v>41085.64583</v>
      </c>
      <c r="I1847" s="25">
        <f>IFERROR(__xludf.DUMMYFUNCTION("""COMPUTED_VALUE"""),618.5)</f>
        <v>618.5</v>
      </c>
      <c r="J1847" s="25">
        <f>IFERROR(__xludf.DUMMYFUNCTION("""COMPUTED_VALUE"""),619.25)</f>
        <v>619.25</v>
      </c>
      <c r="K1847" s="25">
        <f>IFERROR(__xludf.DUMMYFUNCTION("""COMPUTED_VALUE"""),605.5)</f>
        <v>605.5</v>
      </c>
      <c r="L1847" s="25">
        <f>IFERROR(__xludf.DUMMYFUNCTION("""COMPUTED_VALUE"""),608.38)</f>
        <v>608.38</v>
      </c>
      <c r="M1847" s="25">
        <f>IFERROR(__xludf.DUMMYFUNCTION("""COMPUTED_VALUE"""),794379.0)</f>
        <v>794379</v>
      </c>
    </row>
    <row r="1848">
      <c r="A1848" s="26">
        <f>IFERROR(__xludf.DUMMYFUNCTION("""COMPUTED_VALUE"""),41086.645833333336)</f>
        <v>41086.64583</v>
      </c>
      <c r="B1848" s="9">
        <f>IFERROR(__xludf.DUMMYFUNCTION("""COMPUTED_VALUE"""),306.64)</f>
        <v>306.64</v>
      </c>
      <c r="C1848" s="9">
        <f>IFERROR(__xludf.DUMMYFUNCTION("""COMPUTED_VALUE"""),307.49)</f>
        <v>307.49</v>
      </c>
      <c r="D1848" s="9">
        <f>IFERROR(__xludf.DUMMYFUNCTION("""COMPUTED_VALUE"""),303.69)</f>
        <v>303.69</v>
      </c>
      <c r="E1848" s="9">
        <f>IFERROR(__xludf.DUMMYFUNCTION("""COMPUTED_VALUE"""),305.05)</f>
        <v>305.05</v>
      </c>
      <c r="F1848" s="9">
        <f>IFERROR(__xludf.DUMMYFUNCTION("""COMPUTED_VALUE"""),1291270.0)</f>
        <v>1291270</v>
      </c>
      <c r="H1848" s="27">
        <f>IFERROR(__xludf.DUMMYFUNCTION("""COMPUTED_VALUE"""),41086.645833333336)</f>
        <v>41086.64583</v>
      </c>
      <c r="I1848" s="25">
        <f>IFERROR(__xludf.DUMMYFUNCTION("""COMPUTED_VALUE"""),608.75)</f>
        <v>608.75</v>
      </c>
      <c r="J1848" s="25">
        <f>IFERROR(__xludf.DUMMYFUNCTION("""COMPUTED_VALUE"""),618.5)</f>
        <v>618.5</v>
      </c>
      <c r="K1848" s="25">
        <f>IFERROR(__xludf.DUMMYFUNCTION("""COMPUTED_VALUE"""),608.53)</f>
        <v>608.53</v>
      </c>
      <c r="L1848" s="25">
        <f>IFERROR(__xludf.DUMMYFUNCTION("""COMPUTED_VALUE"""),617.55)</f>
        <v>617.55</v>
      </c>
      <c r="M1848" s="25">
        <f>IFERROR(__xludf.DUMMYFUNCTION("""COMPUTED_VALUE"""),554857.0)</f>
        <v>554857</v>
      </c>
    </row>
    <row r="1849">
      <c r="A1849" s="26">
        <f>IFERROR(__xludf.DUMMYFUNCTION("""COMPUTED_VALUE"""),41087.645833333336)</f>
        <v>41087.64583</v>
      </c>
      <c r="B1849" s="9">
        <f>IFERROR(__xludf.DUMMYFUNCTION("""COMPUTED_VALUE"""),306.5)</f>
        <v>306.5</v>
      </c>
      <c r="C1849" s="9">
        <f>IFERROR(__xludf.DUMMYFUNCTION("""COMPUTED_VALUE"""),309.38)</f>
        <v>309.38</v>
      </c>
      <c r="D1849" s="9">
        <f>IFERROR(__xludf.DUMMYFUNCTION("""COMPUTED_VALUE"""),306.06)</f>
        <v>306.06</v>
      </c>
      <c r="E1849" s="9">
        <f>IFERROR(__xludf.DUMMYFUNCTION("""COMPUTED_VALUE"""),308.51)</f>
        <v>308.51</v>
      </c>
      <c r="F1849" s="9">
        <f>IFERROR(__xludf.DUMMYFUNCTION("""COMPUTED_VALUE"""),1084673.0)</f>
        <v>1084673</v>
      </c>
      <c r="H1849" s="27">
        <f>IFERROR(__xludf.DUMMYFUNCTION("""COMPUTED_VALUE"""),41087.645833333336)</f>
        <v>41087.64583</v>
      </c>
      <c r="I1849" s="25">
        <f>IFERROR(__xludf.DUMMYFUNCTION("""COMPUTED_VALUE"""),618.13)</f>
        <v>618.13</v>
      </c>
      <c r="J1849" s="25">
        <f>IFERROR(__xludf.DUMMYFUNCTION("""COMPUTED_VALUE"""),629.4)</f>
        <v>629.4</v>
      </c>
      <c r="K1849" s="25">
        <f>IFERROR(__xludf.DUMMYFUNCTION("""COMPUTED_VALUE"""),618.13)</f>
        <v>618.13</v>
      </c>
      <c r="L1849" s="25">
        <f>IFERROR(__xludf.DUMMYFUNCTION("""COMPUTED_VALUE"""),623.35)</f>
        <v>623.35</v>
      </c>
      <c r="M1849" s="25">
        <f>IFERROR(__xludf.DUMMYFUNCTION("""COMPUTED_VALUE"""),1152931.0)</f>
        <v>1152931</v>
      </c>
    </row>
    <row r="1850">
      <c r="A1850" s="26">
        <f>IFERROR(__xludf.DUMMYFUNCTION("""COMPUTED_VALUE"""),41088.645833333336)</f>
        <v>41088.64583</v>
      </c>
      <c r="B1850" s="9">
        <f>IFERROR(__xludf.DUMMYFUNCTION("""COMPUTED_VALUE"""),308.13)</f>
        <v>308.13</v>
      </c>
      <c r="C1850" s="9">
        <f>IFERROR(__xludf.DUMMYFUNCTION("""COMPUTED_VALUE"""),312.13)</f>
        <v>312.13</v>
      </c>
      <c r="D1850" s="9">
        <f>IFERROR(__xludf.DUMMYFUNCTION("""COMPUTED_VALUE"""),306.04)</f>
        <v>306.04</v>
      </c>
      <c r="E1850" s="9">
        <f>IFERROR(__xludf.DUMMYFUNCTION("""COMPUTED_VALUE"""),309.16)</f>
        <v>309.16</v>
      </c>
      <c r="F1850" s="9">
        <f>IFERROR(__xludf.DUMMYFUNCTION("""COMPUTED_VALUE"""),951622.0)</f>
        <v>951622</v>
      </c>
      <c r="H1850" s="27">
        <f>IFERROR(__xludf.DUMMYFUNCTION("""COMPUTED_VALUE"""),41088.645833333336)</f>
        <v>41088.64583</v>
      </c>
      <c r="I1850" s="25">
        <f>IFERROR(__xludf.DUMMYFUNCTION("""COMPUTED_VALUE"""),623.48)</f>
        <v>623.48</v>
      </c>
      <c r="J1850" s="25">
        <f>IFERROR(__xludf.DUMMYFUNCTION("""COMPUTED_VALUE"""),631.95)</f>
        <v>631.95</v>
      </c>
      <c r="K1850" s="25">
        <f>IFERROR(__xludf.DUMMYFUNCTION("""COMPUTED_VALUE"""),618.13)</f>
        <v>618.13</v>
      </c>
      <c r="L1850" s="25">
        <f>IFERROR(__xludf.DUMMYFUNCTION("""COMPUTED_VALUE"""),629.42)</f>
        <v>629.42</v>
      </c>
      <c r="M1850" s="25">
        <f>IFERROR(__xludf.DUMMYFUNCTION("""COMPUTED_VALUE"""),947114.0)</f>
        <v>947114</v>
      </c>
    </row>
    <row r="1851">
      <c r="A1851" s="26">
        <f>IFERROR(__xludf.DUMMYFUNCTION("""COMPUTED_VALUE"""),41089.645833333336)</f>
        <v>41089.64583</v>
      </c>
      <c r="B1851" s="9">
        <f>IFERROR(__xludf.DUMMYFUNCTION("""COMPUTED_VALUE"""),311.75)</f>
        <v>311.75</v>
      </c>
      <c r="C1851" s="9">
        <f>IFERROR(__xludf.DUMMYFUNCTION("""COMPUTED_VALUE"""),314.88)</f>
        <v>314.88</v>
      </c>
      <c r="D1851" s="9">
        <f>IFERROR(__xludf.DUMMYFUNCTION("""COMPUTED_VALUE"""),309.52)</f>
        <v>309.52</v>
      </c>
      <c r="E1851" s="9">
        <f>IFERROR(__xludf.DUMMYFUNCTION("""COMPUTED_VALUE"""),313.65)</f>
        <v>313.65</v>
      </c>
      <c r="F1851" s="9">
        <f>IFERROR(__xludf.DUMMYFUNCTION("""COMPUTED_VALUE"""),1170621.0)</f>
        <v>1170621</v>
      </c>
      <c r="H1851" s="27">
        <f>IFERROR(__xludf.DUMMYFUNCTION("""COMPUTED_VALUE"""),41089.645833333336)</f>
        <v>41089.64583</v>
      </c>
      <c r="I1851" s="25">
        <f>IFERROR(__xludf.DUMMYFUNCTION("""COMPUTED_VALUE"""),631.67)</f>
        <v>631.67</v>
      </c>
      <c r="J1851" s="25">
        <f>IFERROR(__xludf.DUMMYFUNCTION("""COMPUTED_VALUE"""),643.5)</f>
        <v>643.5</v>
      </c>
      <c r="K1851" s="25">
        <f>IFERROR(__xludf.DUMMYFUNCTION("""COMPUTED_VALUE"""),631.45)</f>
        <v>631.45</v>
      </c>
      <c r="L1851" s="25">
        <f>IFERROR(__xludf.DUMMYFUNCTION("""COMPUTED_VALUE"""),638.73)</f>
        <v>638.73</v>
      </c>
      <c r="M1851" s="25">
        <f>IFERROR(__xludf.DUMMYFUNCTION("""COMPUTED_VALUE"""),995075.0)</f>
        <v>995075</v>
      </c>
    </row>
    <row r="1852">
      <c r="A1852" s="26">
        <f>IFERROR(__xludf.DUMMYFUNCTION("""COMPUTED_VALUE"""),41092.645833333336)</f>
        <v>41092.64583</v>
      </c>
      <c r="B1852" s="9">
        <f>IFERROR(__xludf.DUMMYFUNCTION("""COMPUTED_VALUE"""),312.88)</f>
        <v>312.88</v>
      </c>
      <c r="C1852" s="9">
        <f>IFERROR(__xludf.DUMMYFUNCTION("""COMPUTED_VALUE"""),314.85)</f>
        <v>314.85</v>
      </c>
      <c r="D1852" s="9">
        <f>IFERROR(__xludf.DUMMYFUNCTION("""COMPUTED_VALUE"""),311.34)</f>
        <v>311.34</v>
      </c>
      <c r="E1852" s="9">
        <f>IFERROR(__xludf.DUMMYFUNCTION("""COMPUTED_VALUE"""),312.43)</f>
        <v>312.43</v>
      </c>
      <c r="F1852" s="9">
        <f>IFERROR(__xludf.DUMMYFUNCTION("""COMPUTED_VALUE"""),646902.0)</f>
        <v>646902</v>
      </c>
      <c r="H1852" s="27">
        <f>IFERROR(__xludf.DUMMYFUNCTION("""COMPUTED_VALUE"""),41092.645833333336)</f>
        <v>41092.64583</v>
      </c>
      <c r="I1852" s="25">
        <f>IFERROR(__xludf.DUMMYFUNCTION("""COMPUTED_VALUE"""),639.5)</f>
        <v>639.5</v>
      </c>
      <c r="J1852" s="25">
        <f>IFERROR(__xludf.DUMMYFUNCTION("""COMPUTED_VALUE"""),639.5)</f>
        <v>639.5</v>
      </c>
      <c r="K1852" s="25">
        <f>IFERROR(__xludf.DUMMYFUNCTION("""COMPUTED_VALUE"""),628.23)</f>
        <v>628.23</v>
      </c>
      <c r="L1852" s="25">
        <f>IFERROR(__xludf.DUMMYFUNCTION("""COMPUTED_VALUE"""),629.73)</f>
        <v>629.73</v>
      </c>
      <c r="M1852" s="25">
        <f>IFERROR(__xludf.DUMMYFUNCTION("""COMPUTED_VALUE"""),1055550.0)</f>
        <v>1055550</v>
      </c>
    </row>
    <row r="1853">
      <c r="A1853" s="26">
        <f>IFERROR(__xludf.DUMMYFUNCTION("""COMPUTED_VALUE"""),41093.645833333336)</f>
        <v>41093.64583</v>
      </c>
      <c r="B1853" s="9">
        <f>IFERROR(__xludf.DUMMYFUNCTION("""COMPUTED_VALUE"""),314.53)</f>
        <v>314.53</v>
      </c>
      <c r="C1853" s="9">
        <f>IFERROR(__xludf.DUMMYFUNCTION("""COMPUTED_VALUE"""),314.53)</f>
        <v>314.53</v>
      </c>
      <c r="D1853" s="9">
        <f>IFERROR(__xludf.DUMMYFUNCTION("""COMPUTED_VALUE"""),309.58)</f>
        <v>309.58</v>
      </c>
      <c r="E1853" s="9">
        <f>IFERROR(__xludf.DUMMYFUNCTION("""COMPUTED_VALUE"""),311.32)</f>
        <v>311.32</v>
      </c>
      <c r="F1853" s="9">
        <f>IFERROR(__xludf.DUMMYFUNCTION("""COMPUTED_VALUE"""),803601.0)</f>
        <v>803601</v>
      </c>
      <c r="H1853" s="27">
        <f>IFERROR(__xludf.DUMMYFUNCTION("""COMPUTED_VALUE"""),41093.645833333336)</f>
        <v>41093.64583</v>
      </c>
      <c r="I1853" s="25">
        <f>IFERROR(__xludf.DUMMYFUNCTION("""COMPUTED_VALUE"""),632.5)</f>
        <v>632.5</v>
      </c>
      <c r="J1853" s="25">
        <f>IFERROR(__xludf.DUMMYFUNCTION("""COMPUTED_VALUE"""),634.9)</f>
        <v>634.9</v>
      </c>
      <c r="K1853" s="25">
        <f>IFERROR(__xludf.DUMMYFUNCTION("""COMPUTED_VALUE"""),615.15)</f>
        <v>615.15</v>
      </c>
      <c r="L1853" s="25">
        <f>IFERROR(__xludf.DUMMYFUNCTION("""COMPUTED_VALUE"""),619.7)</f>
        <v>619.7</v>
      </c>
      <c r="M1853" s="25">
        <f>IFERROR(__xludf.DUMMYFUNCTION("""COMPUTED_VALUE"""),1113646.0)</f>
        <v>1113646</v>
      </c>
    </row>
    <row r="1854">
      <c r="A1854" s="26">
        <f>IFERROR(__xludf.DUMMYFUNCTION("""COMPUTED_VALUE"""),41094.645833333336)</f>
        <v>41094.64583</v>
      </c>
      <c r="B1854" s="9">
        <f>IFERROR(__xludf.DUMMYFUNCTION("""COMPUTED_VALUE"""),312.5)</f>
        <v>312.5</v>
      </c>
      <c r="C1854" s="9">
        <f>IFERROR(__xludf.DUMMYFUNCTION("""COMPUTED_VALUE"""),313.11)</f>
        <v>313.11</v>
      </c>
      <c r="D1854" s="9">
        <f>IFERROR(__xludf.DUMMYFUNCTION("""COMPUTED_VALUE"""),308.63)</f>
        <v>308.63</v>
      </c>
      <c r="E1854" s="9">
        <f>IFERROR(__xludf.DUMMYFUNCTION("""COMPUTED_VALUE"""),309.93)</f>
        <v>309.93</v>
      </c>
      <c r="F1854" s="9">
        <f>IFERROR(__xludf.DUMMYFUNCTION("""COMPUTED_VALUE"""),798852.0)</f>
        <v>798852</v>
      </c>
      <c r="H1854" s="27">
        <f>IFERROR(__xludf.DUMMYFUNCTION("""COMPUTED_VALUE"""),41094.645833333336)</f>
        <v>41094.64583</v>
      </c>
      <c r="I1854" s="25">
        <f>IFERROR(__xludf.DUMMYFUNCTION("""COMPUTED_VALUE"""),621.75)</f>
        <v>621.75</v>
      </c>
      <c r="J1854" s="25">
        <f>IFERROR(__xludf.DUMMYFUNCTION("""COMPUTED_VALUE"""),624.75)</f>
        <v>624.75</v>
      </c>
      <c r="K1854" s="25">
        <f>IFERROR(__xludf.DUMMYFUNCTION("""COMPUTED_VALUE"""),615.78)</f>
        <v>615.78</v>
      </c>
      <c r="L1854" s="25">
        <f>IFERROR(__xludf.DUMMYFUNCTION("""COMPUTED_VALUE"""),623.92)</f>
        <v>623.92</v>
      </c>
      <c r="M1854" s="25">
        <f>IFERROR(__xludf.DUMMYFUNCTION("""COMPUTED_VALUE"""),650903.0)</f>
        <v>650903</v>
      </c>
    </row>
    <row r="1855">
      <c r="A1855" s="26">
        <f>IFERROR(__xludf.DUMMYFUNCTION("""COMPUTED_VALUE"""),41095.645833333336)</f>
        <v>41095.64583</v>
      </c>
      <c r="B1855" s="9">
        <f>IFERROR(__xludf.DUMMYFUNCTION("""COMPUTED_VALUE"""),310.03)</f>
        <v>310.03</v>
      </c>
      <c r="C1855" s="9">
        <f>IFERROR(__xludf.DUMMYFUNCTION("""COMPUTED_VALUE"""),311.0)</f>
        <v>311</v>
      </c>
      <c r="D1855" s="9">
        <f>IFERROR(__xludf.DUMMYFUNCTION("""COMPUTED_VALUE"""),307.81)</f>
        <v>307.81</v>
      </c>
      <c r="E1855" s="9">
        <f>IFERROR(__xludf.DUMMYFUNCTION("""COMPUTED_VALUE"""),310.03)</f>
        <v>310.03</v>
      </c>
      <c r="F1855" s="9">
        <f>IFERROR(__xludf.DUMMYFUNCTION("""COMPUTED_VALUE"""),722558.0)</f>
        <v>722558</v>
      </c>
      <c r="H1855" s="27">
        <f>IFERROR(__xludf.DUMMYFUNCTION("""COMPUTED_VALUE"""),41095.645833333336)</f>
        <v>41095.64583</v>
      </c>
      <c r="I1855" s="25">
        <f>IFERROR(__xludf.DUMMYFUNCTION("""COMPUTED_VALUE"""),623.92)</f>
        <v>623.92</v>
      </c>
      <c r="J1855" s="25">
        <f>IFERROR(__xludf.DUMMYFUNCTION("""COMPUTED_VALUE"""),623.92)</f>
        <v>623.92</v>
      </c>
      <c r="K1855" s="25">
        <f>IFERROR(__xludf.DUMMYFUNCTION("""COMPUTED_VALUE"""),617.6)</f>
        <v>617.6</v>
      </c>
      <c r="L1855" s="25">
        <f>IFERROR(__xludf.DUMMYFUNCTION("""COMPUTED_VALUE"""),620.3)</f>
        <v>620.3</v>
      </c>
      <c r="M1855" s="25">
        <f>IFERROR(__xludf.DUMMYFUNCTION("""COMPUTED_VALUE"""),760438.0)</f>
        <v>760438</v>
      </c>
    </row>
    <row r="1856">
      <c r="A1856" s="26">
        <f>IFERROR(__xludf.DUMMYFUNCTION("""COMPUTED_VALUE"""),41096.645833333336)</f>
        <v>41096.64583</v>
      </c>
      <c r="B1856" s="9">
        <f>IFERROR(__xludf.DUMMYFUNCTION("""COMPUTED_VALUE"""),309.5)</f>
        <v>309.5</v>
      </c>
      <c r="C1856" s="9">
        <f>IFERROR(__xludf.DUMMYFUNCTION("""COMPUTED_VALUE"""),310.63)</f>
        <v>310.63</v>
      </c>
      <c r="D1856" s="9">
        <f>IFERROR(__xludf.DUMMYFUNCTION("""COMPUTED_VALUE"""),305.0)</f>
        <v>305</v>
      </c>
      <c r="E1856" s="9">
        <f>IFERROR(__xludf.DUMMYFUNCTION("""COMPUTED_VALUE"""),305.58)</f>
        <v>305.58</v>
      </c>
      <c r="F1856" s="9">
        <f>IFERROR(__xludf.DUMMYFUNCTION("""COMPUTED_VALUE"""),610930.0)</f>
        <v>610930</v>
      </c>
      <c r="H1856" s="27">
        <f>IFERROR(__xludf.DUMMYFUNCTION("""COMPUTED_VALUE"""),41096.645833333336)</f>
        <v>41096.64583</v>
      </c>
      <c r="I1856" s="25">
        <f>IFERROR(__xludf.DUMMYFUNCTION("""COMPUTED_VALUE"""),620.0)</f>
        <v>620</v>
      </c>
      <c r="J1856" s="25">
        <f>IFERROR(__xludf.DUMMYFUNCTION("""COMPUTED_VALUE"""),626.4)</f>
        <v>626.4</v>
      </c>
      <c r="K1856" s="25">
        <f>IFERROR(__xludf.DUMMYFUNCTION("""COMPUTED_VALUE"""),613.5)</f>
        <v>613.5</v>
      </c>
      <c r="L1856" s="25">
        <f>IFERROR(__xludf.DUMMYFUNCTION("""COMPUTED_VALUE"""),623.88)</f>
        <v>623.88</v>
      </c>
      <c r="M1856" s="25">
        <f>IFERROR(__xludf.DUMMYFUNCTION("""COMPUTED_VALUE"""),964964.0)</f>
        <v>964964</v>
      </c>
    </row>
    <row r="1857">
      <c r="A1857" s="26">
        <f>IFERROR(__xludf.DUMMYFUNCTION("""COMPUTED_VALUE"""),41099.645833333336)</f>
        <v>41099.64583</v>
      </c>
      <c r="B1857" s="9">
        <f>IFERROR(__xludf.DUMMYFUNCTION("""COMPUTED_VALUE"""),302.64)</f>
        <v>302.64</v>
      </c>
      <c r="C1857" s="9">
        <f>IFERROR(__xludf.DUMMYFUNCTION("""COMPUTED_VALUE"""),308.61)</f>
        <v>308.61</v>
      </c>
      <c r="D1857" s="9">
        <f>IFERROR(__xludf.DUMMYFUNCTION("""COMPUTED_VALUE"""),300.25)</f>
        <v>300.25</v>
      </c>
      <c r="E1857" s="9">
        <f>IFERROR(__xludf.DUMMYFUNCTION("""COMPUTED_VALUE"""),304.74)</f>
        <v>304.74</v>
      </c>
      <c r="F1857" s="9">
        <f>IFERROR(__xludf.DUMMYFUNCTION("""COMPUTED_VALUE"""),914335.0)</f>
        <v>914335</v>
      </c>
      <c r="H1857" s="27">
        <f>IFERROR(__xludf.DUMMYFUNCTION("""COMPUTED_VALUE"""),41099.645833333336)</f>
        <v>41099.64583</v>
      </c>
      <c r="I1857" s="25">
        <f>IFERROR(__xludf.DUMMYFUNCTION("""COMPUTED_VALUE"""),622.5)</f>
        <v>622.5</v>
      </c>
      <c r="J1857" s="25">
        <f>IFERROR(__xludf.DUMMYFUNCTION("""COMPUTED_VALUE"""),632.28)</f>
        <v>632.28</v>
      </c>
      <c r="K1857" s="25">
        <f>IFERROR(__xludf.DUMMYFUNCTION("""COMPUTED_VALUE"""),621.67)</f>
        <v>621.67</v>
      </c>
      <c r="L1857" s="25">
        <f>IFERROR(__xludf.DUMMYFUNCTION("""COMPUTED_VALUE"""),629.7)</f>
        <v>629.7</v>
      </c>
      <c r="M1857" s="25">
        <f>IFERROR(__xludf.DUMMYFUNCTION("""COMPUTED_VALUE"""),956384.0)</f>
        <v>956384</v>
      </c>
    </row>
    <row r="1858">
      <c r="A1858" s="26">
        <f>IFERROR(__xludf.DUMMYFUNCTION("""COMPUTED_VALUE"""),41100.645833333336)</f>
        <v>41100.64583</v>
      </c>
      <c r="B1858" s="9">
        <f>IFERROR(__xludf.DUMMYFUNCTION("""COMPUTED_VALUE"""),305.5)</f>
        <v>305.5</v>
      </c>
      <c r="C1858" s="9">
        <f>IFERROR(__xludf.DUMMYFUNCTION("""COMPUTED_VALUE"""),307.91)</f>
        <v>307.91</v>
      </c>
      <c r="D1858" s="9">
        <f>IFERROR(__xludf.DUMMYFUNCTION("""COMPUTED_VALUE"""),305.17)</f>
        <v>305.17</v>
      </c>
      <c r="E1858" s="9">
        <f>IFERROR(__xludf.DUMMYFUNCTION("""COMPUTED_VALUE"""),307.43)</f>
        <v>307.43</v>
      </c>
      <c r="F1858" s="9">
        <f>IFERROR(__xludf.DUMMYFUNCTION("""COMPUTED_VALUE"""),881840.0)</f>
        <v>881840</v>
      </c>
      <c r="H1858" s="27">
        <f>IFERROR(__xludf.DUMMYFUNCTION("""COMPUTED_VALUE"""),41100.645833333336)</f>
        <v>41100.64583</v>
      </c>
      <c r="I1858" s="25">
        <f>IFERROR(__xludf.DUMMYFUNCTION("""COMPUTED_VALUE"""),632.5)</f>
        <v>632.5</v>
      </c>
      <c r="J1858" s="25">
        <f>IFERROR(__xludf.DUMMYFUNCTION("""COMPUTED_VALUE"""),635.13)</f>
        <v>635.13</v>
      </c>
      <c r="K1858" s="25">
        <f>IFERROR(__xludf.DUMMYFUNCTION("""COMPUTED_VALUE"""),624.78)</f>
        <v>624.78</v>
      </c>
      <c r="L1858" s="25">
        <f>IFERROR(__xludf.DUMMYFUNCTION("""COMPUTED_VALUE"""),630.85)</f>
        <v>630.85</v>
      </c>
      <c r="M1858" s="25">
        <f>IFERROR(__xludf.DUMMYFUNCTION("""COMPUTED_VALUE"""),1258799.0)</f>
        <v>1258799</v>
      </c>
    </row>
    <row r="1859">
      <c r="A1859" s="26">
        <f>IFERROR(__xludf.DUMMYFUNCTION("""COMPUTED_VALUE"""),41101.645833333336)</f>
        <v>41101.64583</v>
      </c>
      <c r="B1859" s="9">
        <f>IFERROR(__xludf.DUMMYFUNCTION("""COMPUTED_VALUE"""),306.25)</f>
        <v>306.25</v>
      </c>
      <c r="C1859" s="9">
        <f>IFERROR(__xludf.DUMMYFUNCTION("""COMPUTED_VALUE"""),312.8)</f>
        <v>312.8</v>
      </c>
      <c r="D1859" s="9">
        <f>IFERROR(__xludf.DUMMYFUNCTION("""COMPUTED_VALUE"""),305.63)</f>
        <v>305.63</v>
      </c>
      <c r="E1859" s="9">
        <f>IFERROR(__xludf.DUMMYFUNCTION("""COMPUTED_VALUE"""),308.88)</f>
        <v>308.88</v>
      </c>
      <c r="F1859" s="9">
        <f>IFERROR(__xludf.DUMMYFUNCTION("""COMPUTED_VALUE"""),2118235.0)</f>
        <v>2118235</v>
      </c>
      <c r="H1859" s="27">
        <f>IFERROR(__xludf.DUMMYFUNCTION("""COMPUTED_VALUE"""),41101.645833333336)</f>
        <v>41101.64583</v>
      </c>
      <c r="I1859" s="25">
        <f>IFERROR(__xludf.DUMMYFUNCTION("""COMPUTED_VALUE"""),626.63)</f>
        <v>626.63</v>
      </c>
      <c r="J1859" s="25">
        <f>IFERROR(__xludf.DUMMYFUNCTION("""COMPUTED_VALUE"""),637.25)</f>
        <v>637.25</v>
      </c>
      <c r="K1859" s="25">
        <f>IFERROR(__xludf.DUMMYFUNCTION("""COMPUTED_VALUE"""),626.63)</f>
        <v>626.63</v>
      </c>
      <c r="L1859" s="25">
        <f>IFERROR(__xludf.DUMMYFUNCTION("""COMPUTED_VALUE"""),629.15)</f>
        <v>629.15</v>
      </c>
      <c r="M1859" s="25">
        <f>IFERROR(__xludf.DUMMYFUNCTION("""COMPUTED_VALUE"""),1017269.0)</f>
        <v>1017269</v>
      </c>
    </row>
    <row r="1860">
      <c r="A1860" s="26">
        <f>IFERROR(__xludf.DUMMYFUNCTION("""COMPUTED_VALUE"""),41102.645833333336)</f>
        <v>41102.64583</v>
      </c>
      <c r="B1860" s="9">
        <f>IFERROR(__xludf.DUMMYFUNCTION("""COMPUTED_VALUE"""),281.25)</f>
        <v>281.25</v>
      </c>
      <c r="C1860" s="9">
        <f>IFERROR(__xludf.DUMMYFUNCTION("""COMPUTED_VALUE"""),285.0)</f>
        <v>285</v>
      </c>
      <c r="D1860" s="9">
        <f>IFERROR(__xludf.DUMMYFUNCTION("""COMPUTED_VALUE"""),277.38)</f>
        <v>277.38</v>
      </c>
      <c r="E1860" s="9">
        <f>IFERROR(__xludf.DUMMYFUNCTION("""COMPUTED_VALUE"""),283.05)</f>
        <v>283.05</v>
      </c>
      <c r="F1860" s="9">
        <f>IFERROR(__xludf.DUMMYFUNCTION("""COMPUTED_VALUE"""),6783983.0)</f>
        <v>6783983</v>
      </c>
      <c r="H1860" s="27">
        <f>IFERROR(__xludf.DUMMYFUNCTION("""COMPUTED_VALUE"""),41102.645833333336)</f>
        <v>41102.64583</v>
      </c>
      <c r="I1860" s="25">
        <f>IFERROR(__xludf.DUMMYFUNCTION("""COMPUTED_VALUE"""),612.5)</f>
        <v>612.5</v>
      </c>
      <c r="J1860" s="25">
        <f>IFERROR(__xludf.DUMMYFUNCTION("""COMPUTED_VALUE"""),625.0)</f>
        <v>625</v>
      </c>
      <c r="K1860" s="25">
        <f>IFERROR(__xludf.DUMMYFUNCTION("""COMPUTED_VALUE"""),609.65)</f>
        <v>609.65</v>
      </c>
      <c r="L1860" s="25">
        <f>IFERROR(__xludf.DUMMYFUNCTION("""COMPUTED_VALUE"""),618.0)</f>
        <v>618</v>
      </c>
      <c r="M1860" s="25">
        <f>IFERROR(__xludf.DUMMYFUNCTION("""COMPUTED_VALUE"""),3929540.0)</f>
        <v>3929540</v>
      </c>
    </row>
    <row r="1861">
      <c r="A1861" s="26">
        <f>IFERROR(__xludf.DUMMYFUNCTION("""COMPUTED_VALUE"""),41103.645833333336)</f>
        <v>41103.64583</v>
      </c>
      <c r="B1861" s="9">
        <f>IFERROR(__xludf.DUMMYFUNCTION("""COMPUTED_VALUE"""),277.25)</f>
        <v>277.25</v>
      </c>
      <c r="C1861" s="9">
        <f>IFERROR(__xludf.DUMMYFUNCTION("""COMPUTED_VALUE"""),282.35)</f>
        <v>282.35</v>
      </c>
      <c r="D1861" s="9">
        <f>IFERROR(__xludf.DUMMYFUNCTION("""COMPUTED_VALUE"""),277.25)</f>
        <v>277.25</v>
      </c>
      <c r="E1861" s="9">
        <f>IFERROR(__xludf.DUMMYFUNCTION("""COMPUTED_VALUE"""),278.73)</f>
        <v>278.73</v>
      </c>
      <c r="F1861" s="9">
        <f>IFERROR(__xludf.DUMMYFUNCTION("""COMPUTED_VALUE"""),3344563.0)</f>
        <v>3344563</v>
      </c>
      <c r="H1861" s="27">
        <f>IFERROR(__xludf.DUMMYFUNCTION("""COMPUTED_VALUE"""),41103.645833333336)</f>
        <v>41103.64583</v>
      </c>
      <c r="I1861" s="25">
        <f>IFERROR(__xludf.DUMMYFUNCTION("""COMPUTED_VALUE"""),636.9)</f>
        <v>636.9</v>
      </c>
      <c r="J1861" s="25">
        <f>IFERROR(__xludf.DUMMYFUNCTION("""COMPUTED_VALUE"""),642.0)</f>
        <v>642</v>
      </c>
      <c r="K1861" s="25">
        <f>IFERROR(__xludf.DUMMYFUNCTION("""COMPUTED_VALUE"""),621.5)</f>
        <v>621.5</v>
      </c>
      <c r="L1861" s="25">
        <f>IFERROR(__xludf.DUMMYFUNCTION("""COMPUTED_VALUE"""),624.7)</f>
        <v>624.7</v>
      </c>
      <c r="M1861" s="25">
        <f>IFERROR(__xludf.DUMMYFUNCTION("""COMPUTED_VALUE"""),3608577.0)</f>
        <v>3608577</v>
      </c>
    </row>
    <row r="1862">
      <c r="A1862" s="26">
        <f>IFERROR(__xludf.DUMMYFUNCTION("""COMPUTED_VALUE"""),41106.645833333336)</f>
        <v>41106.64583</v>
      </c>
      <c r="B1862" s="9">
        <f>IFERROR(__xludf.DUMMYFUNCTION("""COMPUTED_VALUE"""),278.75)</f>
        <v>278.75</v>
      </c>
      <c r="C1862" s="9">
        <f>IFERROR(__xludf.DUMMYFUNCTION("""COMPUTED_VALUE"""),280.18)</f>
        <v>280.18</v>
      </c>
      <c r="D1862" s="9">
        <f>IFERROR(__xludf.DUMMYFUNCTION("""COMPUTED_VALUE"""),270.41)</f>
        <v>270.41</v>
      </c>
      <c r="E1862" s="9">
        <f>IFERROR(__xludf.DUMMYFUNCTION("""COMPUTED_VALUE"""),271.41)</f>
        <v>271.41</v>
      </c>
      <c r="F1862" s="9">
        <f>IFERROR(__xludf.DUMMYFUNCTION("""COMPUTED_VALUE"""),2305137.0)</f>
        <v>2305137</v>
      </c>
      <c r="H1862" s="27">
        <f>IFERROR(__xludf.DUMMYFUNCTION("""COMPUTED_VALUE"""),41106.645833333336)</f>
        <v>41106.64583</v>
      </c>
      <c r="I1862" s="25">
        <f>IFERROR(__xludf.DUMMYFUNCTION("""COMPUTED_VALUE"""),624.5)</f>
        <v>624.5</v>
      </c>
      <c r="J1862" s="25">
        <f>IFERROR(__xludf.DUMMYFUNCTION("""COMPUTED_VALUE"""),629.63)</f>
        <v>629.63</v>
      </c>
      <c r="K1862" s="25">
        <f>IFERROR(__xludf.DUMMYFUNCTION("""COMPUTED_VALUE"""),601.45)</f>
        <v>601.45</v>
      </c>
      <c r="L1862" s="25">
        <f>IFERROR(__xludf.DUMMYFUNCTION("""COMPUTED_VALUE"""),603.67)</f>
        <v>603.67</v>
      </c>
      <c r="M1862" s="25">
        <f>IFERROR(__xludf.DUMMYFUNCTION("""COMPUTED_VALUE"""),1810313.0)</f>
        <v>1810313</v>
      </c>
    </row>
    <row r="1863">
      <c r="A1863" s="26">
        <f>IFERROR(__xludf.DUMMYFUNCTION("""COMPUTED_VALUE"""),41107.645833333336)</f>
        <v>41107.64583</v>
      </c>
      <c r="B1863" s="9">
        <f>IFERROR(__xludf.DUMMYFUNCTION("""COMPUTED_VALUE"""),273.11)</f>
        <v>273.11</v>
      </c>
      <c r="C1863" s="9">
        <f>IFERROR(__xludf.DUMMYFUNCTION("""COMPUTED_VALUE"""),274.75)</f>
        <v>274.75</v>
      </c>
      <c r="D1863" s="9">
        <f>IFERROR(__xludf.DUMMYFUNCTION("""COMPUTED_VALUE"""),270.29)</f>
        <v>270.29</v>
      </c>
      <c r="E1863" s="9">
        <f>IFERROR(__xludf.DUMMYFUNCTION("""COMPUTED_VALUE"""),271.41)</f>
        <v>271.41</v>
      </c>
      <c r="F1863" s="9">
        <f>IFERROR(__xludf.DUMMYFUNCTION("""COMPUTED_VALUE"""),1687891.0)</f>
        <v>1687891</v>
      </c>
      <c r="H1863" s="27">
        <f>IFERROR(__xludf.DUMMYFUNCTION("""COMPUTED_VALUE"""),41107.645833333336)</f>
        <v>41107.64583</v>
      </c>
      <c r="I1863" s="25">
        <f>IFERROR(__xludf.DUMMYFUNCTION("""COMPUTED_VALUE"""),609.0)</f>
        <v>609</v>
      </c>
      <c r="J1863" s="25">
        <f>IFERROR(__xludf.DUMMYFUNCTION("""COMPUTED_VALUE"""),612.0)</f>
        <v>612</v>
      </c>
      <c r="K1863" s="25">
        <f>IFERROR(__xludf.DUMMYFUNCTION("""COMPUTED_VALUE"""),587.6)</f>
        <v>587.6</v>
      </c>
      <c r="L1863" s="25">
        <f>IFERROR(__xludf.DUMMYFUNCTION("""COMPUTED_VALUE"""),592.95)</f>
        <v>592.95</v>
      </c>
      <c r="M1863" s="25">
        <f>IFERROR(__xludf.DUMMYFUNCTION("""COMPUTED_VALUE"""),3191908.0)</f>
        <v>3191908</v>
      </c>
    </row>
    <row r="1864">
      <c r="A1864" s="26">
        <f>IFERROR(__xludf.DUMMYFUNCTION("""COMPUTED_VALUE"""),41108.645833333336)</f>
        <v>41108.64583</v>
      </c>
      <c r="B1864" s="9">
        <f>IFERROR(__xludf.DUMMYFUNCTION("""COMPUTED_VALUE"""),271.41)</f>
        <v>271.41</v>
      </c>
      <c r="C1864" s="9">
        <f>IFERROR(__xludf.DUMMYFUNCTION("""COMPUTED_VALUE"""),273.61)</f>
        <v>273.61</v>
      </c>
      <c r="D1864" s="9">
        <f>IFERROR(__xludf.DUMMYFUNCTION("""COMPUTED_VALUE"""),270.38)</f>
        <v>270.38</v>
      </c>
      <c r="E1864" s="9">
        <f>IFERROR(__xludf.DUMMYFUNCTION("""COMPUTED_VALUE"""),272.36)</f>
        <v>272.36</v>
      </c>
      <c r="F1864" s="9">
        <f>IFERROR(__xludf.DUMMYFUNCTION("""COMPUTED_VALUE"""),984158.0)</f>
        <v>984158</v>
      </c>
      <c r="H1864" s="27">
        <f>IFERROR(__xludf.DUMMYFUNCTION("""COMPUTED_VALUE"""),41108.645833333336)</f>
        <v>41108.64583</v>
      </c>
      <c r="I1864" s="25">
        <f>IFERROR(__xludf.DUMMYFUNCTION("""COMPUTED_VALUE"""),597.5)</f>
        <v>597.5</v>
      </c>
      <c r="J1864" s="25">
        <f>IFERROR(__xludf.DUMMYFUNCTION("""COMPUTED_VALUE"""),602.2)</f>
        <v>602.2</v>
      </c>
      <c r="K1864" s="25">
        <f>IFERROR(__xludf.DUMMYFUNCTION("""COMPUTED_VALUE"""),589.25)</f>
        <v>589.25</v>
      </c>
      <c r="L1864" s="25">
        <f>IFERROR(__xludf.DUMMYFUNCTION("""COMPUTED_VALUE"""),597.65)</f>
        <v>597.65</v>
      </c>
      <c r="M1864" s="25">
        <f>IFERROR(__xludf.DUMMYFUNCTION("""COMPUTED_VALUE"""),1487643.0)</f>
        <v>1487643</v>
      </c>
    </row>
    <row r="1865">
      <c r="A1865" s="26">
        <f>IFERROR(__xludf.DUMMYFUNCTION("""COMPUTED_VALUE"""),41109.645833333336)</f>
        <v>41109.64583</v>
      </c>
      <c r="B1865" s="9">
        <f>IFERROR(__xludf.DUMMYFUNCTION("""COMPUTED_VALUE"""),275.0)</f>
        <v>275</v>
      </c>
      <c r="C1865" s="9">
        <f>IFERROR(__xludf.DUMMYFUNCTION("""COMPUTED_VALUE"""),281.25)</f>
        <v>281.25</v>
      </c>
      <c r="D1865" s="9">
        <f>IFERROR(__xludf.DUMMYFUNCTION("""COMPUTED_VALUE"""),274.16)</f>
        <v>274.16</v>
      </c>
      <c r="E1865" s="9">
        <f>IFERROR(__xludf.DUMMYFUNCTION("""COMPUTED_VALUE"""),280.65)</f>
        <v>280.65</v>
      </c>
      <c r="F1865" s="9">
        <f>IFERROR(__xludf.DUMMYFUNCTION("""COMPUTED_VALUE"""),1364049.0)</f>
        <v>1364049</v>
      </c>
      <c r="H1865" s="27">
        <f>IFERROR(__xludf.DUMMYFUNCTION("""COMPUTED_VALUE"""),41109.645833333336)</f>
        <v>41109.64583</v>
      </c>
      <c r="I1865" s="25">
        <f>IFERROR(__xludf.DUMMYFUNCTION("""COMPUTED_VALUE"""),601.5)</f>
        <v>601.5</v>
      </c>
      <c r="J1865" s="25">
        <f>IFERROR(__xludf.DUMMYFUNCTION("""COMPUTED_VALUE"""),605.0)</f>
        <v>605</v>
      </c>
      <c r="K1865" s="25">
        <f>IFERROR(__xludf.DUMMYFUNCTION("""COMPUTED_VALUE"""),597.63)</f>
        <v>597.63</v>
      </c>
      <c r="L1865" s="25">
        <f>IFERROR(__xludf.DUMMYFUNCTION("""COMPUTED_VALUE"""),600.5)</f>
        <v>600.5</v>
      </c>
      <c r="M1865" s="25">
        <f>IFERROR(__xludf.DUMMYFUNCTION("""COMPUTED_VALUE"""),667676.0)</f>
        <v>667676</v>
      </c>
    </row>
    <row r="1866">
      <c r="A1866" s="26">
        <f>IFERROR(__xludf.DUMMYFUNCTION("""COMPUTED_VALUE"""),41110.645833333336)</f>
        <v>41110.64583</v>
      </c>
      <c r="B1866" s="9">
        <f>IFERROR(__xludf.DUMMYFUNCTION("""COMPUTED_VALUE"""),280.61)</f>
        <v>280.61</v>
      </c>
      <c r="C1866" s="9">
        <f>IFERROR(__xludf.DUMMYFUNCTION("""COMPUTED_VALUE"""),280.61)</f>
        <v>280.61</v>
      </c>
      <c r="D1866" s="9">
        <f>IFERROR(__xludf.DUMMYFUNCTION("""COMPUTED_VALUE"""),275.66)</f>
        <v>275.66</v>
      </c>
      <c r="E1866" s="9">
        <f>IFERROR(__xludf.DUMMYFUNCTION("""COMPUTED_VALUE"""),277.34)</f>
        <v>277.34</v>
      </c>
      <c r="F1866" s="9">
        <f>IFERROR(__xludf.DUMMYFUNCTION("""COMPUTED_VALUE"""),644229.0)</f>
        <v>644229</v>
      </c>
      <c r="H1866" s="27">
        <f>IFERROR(__xludf.DUMMYFUNCTION("""COMPUTED_VALUE"""),41110.645833333336)</f>
        <v>41110.64583</v>
      </c>
      <c r="I1866" s="25">
        <f>IFERROR(__xludf.DUMMYFUNCTION("""COMPUTED_VALUE"""),600.5)</f>
        <v>600.5</v>
      </c>
      <c r="J1866" s="25">
        <f>IFERROR(__xludf.DUMMYFUNCTION("""COMPUTED_VALUE"""),614.0)</f>
        <v>614</v>
      </c>
      <c r="K1866" s="25">
        <f>IFERROR(__xludf.DUMMYFUNCTION("""COMPUTED_VALUE"""),600.15)</f>
        <v>600.15</v>
      </c>
      <c r="L1866" s="25">
        <f>IFERROR(__xludf.DUMMYFUNCTION("""COMPUTED_VALUE"""),611.53)</f>
        <v>611.53</v>
      </c>
      <c r="M1866" s="25">
        <f>IFERROR(__xludf.DUMMYFUNCTION("""COMPUTED_VALUE"""),1689113.0)</f>
        <v>1689113</v>
      </c>
    </row>
    <row r="1867">
      <c r="A1867" s="26">
        <f>IFERROR(__xludf.DUMMYFUNCTION("""COMPUTED_VALUE"""),41113.645833333336)</f>
        <v>41113.64583</v>
      </c>
      <c r="B1867" s="9">
        <f>IFERROR(__xludf.DUMMYFUNCTION("""COMPUTED_VALUE"""),275.0)</f>
        <v>275</v>
      </c>
      <c r="C1867" s="9">
        <f>IFERROR(__xludf.DUMMYFUNCTION("""COMPUTED_VALUE"""),276.24)</f>
        <v>276.24</v>
      </c>
      <c r="D1867" s="9">
        <f>IFERROR(__xludf.DUMMYFUNCTION("""COMPUTED_VALUE"""),272.83)</f>
        <v>272.83</v>
      </c>
      <c r="E1867" s="9">
        <f>IFERROR(__xludf.DUMMYFUNCTION("""COMPUTED_VALUE"""),273.64)</f>
        <v>273.64</v>
      </c>
      <c r="F1867" s="9">
        <f>IFERROR(__xludf.DUMMYFUNCTION("""COMPUTED_VALUE"""),486350.0)</f>
        <v>486350</v>
      </c>
      <c r="H1867" s="27">
        <f>IFERROR(__xludf.DUMMYFUNCTION("""COMPUTED_VALUE"""),41113.645833333336)</f>
        <v>41113.64583</v>
      </c>
      <c r="I1867" s="25">
        <f>IFERROR(__xludf.DUMMYFUNCTION("""COMPUTED_VALUE"""),604.0)</f>
        <v>604</v>
      </c>
      <c r="J1867" s="25">
        <f>IFERROR(__xludf.DUMMYFUNCTION("""COMPUTED_VALUE"""),613.6)</f>
        <v>613.6</v>
      </c>
      <c r="K1867" s="25">
        <f>IFERROR(__xludf.DUMMYFUNCTION("""COMPUTED_VALUE"""),600.5)</f>
        <v>600.5</v>
      </c>
      <c r="L1867" s="25">
        <f>IFERROR(__xludf.DUMMYFUNCTION("""COMPUTED_VALUE"""),607.13)</f>
        <v>607.13</v>
      </c>
      <c r="M1867" s="25">
        <f>IFERROR(__xludf.DUMMYFUNCTION("""COMPUTED_VALUE"""),1451599.0)</f>
        <v>1451599</v>
      </c>
    </row>
    <row r="1868">
      <c r="A1868" s="26">
        <f>IFERROR(__xludf.DUMMYFUNCTION("""COMPUTED_VALUE"""),41114.645833333336)</f>
        <v>41114.64583</v>
      </c>
      <c r="B1868" s="9">
        <f>IFERROR(__xludf.DUMMYFUNCTION("""COMPUTED_VALUE"""),273.81)</f>
        <v>273.81</v>
      </c>
      <c r="C1868" s="9">
        <f>IFERROR(__xludf.DUMMYFUNCTION("""COMPUTED_VALUE"""),276.5)</f>
        <v>276.5</v>
      </c>
      <c r="D1868" s="9">
        <f>IFERROR(__xludf.DUMMYFUNCTION("""COMPUTED_VALUE"""),270.64)</f>
        <v>270.64</v>
      </c>
      <c r="E1868" s="9">
        <f>IFERROR(__xludf.DUMMYFUNCTION("""COMPUTED_VALUE"""),271.08)</f>
        <v>271.08</v>
      </c>
      <c r="F1868" s="9">
        <f>IFERROR(__xludf.DUMMYFUNCTION("""COMPUTED_VALUE"""),894189.0)</f>
        <v>894189</v>
      </c>
      <c r="H1868" s="27">
        <f>IFERROR(__xludf.DUMMYFUNCTION("""COMPUTED_VALUE"""),41114.645833333336)</f>
        <v>41114.64583</v>
      </c>
      <c r="I1868" s="25">
        <f>IFERROR(__xludf.DUMMYFUNCTION("""COMPUTED_VALUE"""),604.05)</f>
        <v>604.05</v>
      </c>
      <c r="J1868" s="25">
        <f>IFERROR(__xludf.DUMMYFUNCTION("""COMPUTED_VALUE"""),609.33)</f>
        <v>609.33</v>
      </c>
      <c r="K1868" s="25">
        <f>IFERROR(__xludf.DUMMYFUNCTION("""COMPUTED_VALUE"""),598.55)</f>
        <v>598.55</v>
      </c>
      <c r="L1868" s="25">
        <f>IFERROR(__xludf.DUMMYFUNCTION("""COMPUTED_VALUE"""),604.58)</f>
        <v>604.58</v>
      </c>
      <c r="M1868" s="25">
        <f>IFERROR(__xludf.DUMMYFUNCTION("""COMPUTED_VALUE"""),824046.0)</f>
        <v>824046</v>
      </c>
    </row>
    <row r="1869">
      <c r="A1869" s="26">
        <f>IFERROR(__xludf.DUMMYFUNCTION("""COMPUTED_VALUE"""),41115.645833333336)</f>
        <v>41115.64583</v>
      </c>
      <c r="B1869" s="9">
        <f>IFERROR(__xludf.DUMMYFUNCTION("""COMPUTED_VALUE"""),271.75)</f>
        <v>271.75</v>
      </c>
      <c r="C1869" s="9">
        <f>IFERROR(__xludf.DUMMYFUNCTION("""COMPUTED_VALUE"""),272.5)</f>
        <v>272.5</v>
      </c>
      <c r="D1869" s="9">
        <f>IFERROR(__xludf.DUMMYFUNCTION("""COMPUTED_VALUE"""),268.75)</f>
        <v>268.75</v>
      </c>
      <c r="E1869" s="9">
        <f>IFERROR(__xludf.DUMMYFUNCTION("""COMPUTED_VALUE"""),271.07)</f>
        <v>271.07</v>
      </c>
      <c r="F1869" s="9">
        <f>IFERROR(__xludf.DUMMYFUNCTION("""COMPUTED_VALUE"""),879568.0)</f>
        <v>879568</v>
      </c>
      <c r="H1869" s="27">
        <f>IFERROR(__xludf.DUMMYFUNCTION("""COMPUTED_VALUE"""),41115.645833333336)</f>
        <v>41115.64583</v>
      </c>
      <c r="I1869" s="25">
        <f>IFERROR(__xludf.DUMMYFUNCTION("""COMPUTED_VALUE"""),602.0)</f>
        <v>602</v>
      </c>
      <c r="J1869" s="25">
        <f>IFERROR(__xludf.DUMMYFUNCTION("""COMPUTED_VALUE"""),608.5)</f>
        <v>608.5</v>
      </c>
      <c r="K1869" s="25">
        <f>IFERROR(__xludf.DUMMYFUNCTION("""COMPUTED_VALUE"""),598.45)</f>
        <v>598.45</v>
      </c>
      <c r="L1869" s="25">
        <f>IFERROR(__xludf.DUMMYFUNCTION("""COMPUTED_VALUE"""),606.58)</f>
        <v>606.58</v>
      </c>
      <c r="M1869" s="25">
        <f>IFERROR(__xludf.DUMMYFUNCTION("""COMPUTED_VALUE"""),833015.0)</f>
        <v>833015</v>
      </c>
    </row>
    <row r="1870">
      <c r="A1870" s="26">
        <f>IFERROR(__xludf.DUMMYFUNCTION("""COMPUTED_VALUE"""),41116.645833333336)</f>
        <v>41116.64583</v>
      </c>
      <c r="B1870" s="9">
        <f>IFERROR(__xludf.DUMMYFUNCTION("""COMPUTED_VALUE"""),270.88)</f>
        <v>270.88</v>
      </c>
      <c r="C1870" s="9">
        <f>IFERROR(__xludf.DUMMYFUNCTION("""COMPUTED_VALUE"""),270.88)</f>
        <v>270.88</v>
      </c>
      <c r="D1870" s="9">
        <f>IFERROR(__xludf.DUMMYFUNCTION("""COMPUTED_VALUE"""),262.66)</f>
        <v>262.66</v>
      </c>
      <c r="E1870" s="9">
        <f>IFERROR(__xludf.DUMMYFUNCTION("""COMPUTED_VALUE"""),265.48)</f>
        <v>265.48</v>
      </c>
      <c r="F1870" s="9">
        <f>IFERROR(__xludf.DUMMYFUNCTION("""COMPUTED_VALUE"""),1496917.0)</f>
        <v>1496917</v>
      </c>
      <c r="H1870" s="27">
        <f>IFERROR(__xludf.DUMMYFUNCTION("""COMPUTED_VALUE"""),41116.645833333336)</f>
        <v>41116.64583</v>
      </c>
      <c r="I1870" s="25">
        <f>IFERROR(__xludf.DUMMYFUNCTION("""COMPUTED_VALUE"""),606.5)</f>
        <v>606.5</v>
      </c>
      <c r="J1870" s="25">
        <f>IFERROR(__xludf.DUMMYFUNCTION("""COMPUTED_VALUE"""),610.5)</f>
        <v>610.5</v>
      </c>
      <c r="K1870" s="25">
        <f>IFERROR(__xludf.DUMMYFUNCTION("""COMPUTED_VALUE"""),595.1)</f>
        <v>595.1</v>
      </c>
      <c r="L1870" s="25">
        <f>IFERROR(__xludf.DUMMYFUNCTION("""COMPUTED_VALUE"""),599.23)</f>
        <v>599.23</v>
      </c>
      <c r="M1870" s="25">
        <f>IFERROR(__xludf.DUMMYFUNCTION("""COMPUTED_VALUE"""),1472873.0)</f>
        <v>1472873</v>
      </c>
    </row>
    <row r="1871">
      <c r="A1871" s="26">
        <f>IFERROR(__xludf.DUMMYFUNCTION("""COMPUTED_VALUE"""),41117.645833333336)</f>
        <v>41117.64583</v>
      </c>
      <c r="B1871" s="9">
        <f>IFERROR(__xludf.DUMMYFUNCTION("""COMPUTED_VALUE"""),270.25)</f>
        <v>270.25</v>
      </c>
      <c r="C1871" s="9">
        <f>IFERROR(__xludf.DUMMYFUNCTION("""COMPUTED_VALUE"""),270.5)</f>
        <v>270.5</v>
      </c>
      <c r="D1871" s="9">
        <f>IFERROR(__xludf.DUMMYFUNCTION("""COMPUTED_VALUE"""),263.66)</f>
        <v>263.66</v>
      </c>
      <c r="E1871" s="9">
        <f>IFERROR(__xludf.DUMMYFUNCTION("""COMPUTED_VALUE"""),268.58)</f>
        <v>268.58</v>
      </c>
      <c r="F1871" s="9">
        <f>IFERROR(__xludf.DUMMYFUNCTION("""COMPUTED_VALUE"""),1232811.0)</f>
        <v>1232811</v>
      </c>
      <c r="H1871" s="27">
        <f>IFERROR(__xludf.DUMMYFUNCTION("""COMPUTED_VALUE"""),41117.645833333336)</f>
        <v>41117.64583</v>
      </c>
      <c r="I1871" s="25">
        <f>IFERROR(__xludf.DUMMYFUNCTION("""COMPUTED_VALUE"""),607.5)</f>
        <v>607.5</v>
      </c>
      <c r="J1871" s="25">
        <f>IFERROR(__xludf.DUMMYFUNCTION("""COMPUTED_VALUE"""),615.1)</f>
        <v>615.1</v>
      </c>
      <c r="K1871" s="25">
        <f>IFERROR(__xludf.DUMMYFUNCTION("""COMPUTED_VALUE"""),601.63)</f>
        <v>601.63</v>
      </c>
      <c r="L1871" s="25">
        <f>IFERROR(__xludf.DUMMYFUNCTION("""COMPUTED_VALUE"""),612.65)</f>
        <v>612.65</v>
      </c>
      <c r="M1871" s="25">
        <f>IFERROR(__xludf.DUMMYFUNCTION("""COMPUTED_VALUE"""),921488.0)</f>
        <v>921488</v>
      </c>
    </row>
    <row r="1872">
      <c r="A1872" s="26">
        <f>IFERROR(__xludf.DUMMYFUNCTION("""COMPUTED_VALUE"""),41120.645833333336)</f>
        <v>41120.64583</v>
      </c>
      <c r="B1872" s="9">
        <f>IFERROR(__xludf.DUMMYFUNCTION("""COMPUTED_VALUE"""),270.0)</f>
        <v>270</v>
      </c>
      <c r="C1872" s="9">
        <f>IFERROR(__xludf.DUMMYFUNCTION("""COMPUTED_VALUE"""),276.88)</f>
        <v>276.88</v>
      </c>
      <c r="D1872" s="9">
        <f>IFERROR(__xludf.DUMMYFUNCTION("""COMPUTED_VALUE"""),269.69)</f>
        <v>269.69</v>
      </c>
      <c r="E1872" s="9">
        <f>IFERROR(__xludf.DUMMYFUNCTION("""COMPUTED_VALUE"""),276.21)</f>
        <v>276.21</v>
      </c>
      <c r="F1872" s="9">
        <f>IFERROR(__xludf.DUMMYFUNCTION("""COMPUTED_VALUE"""),895865.0)</f>
        <v>895865</v>
      </c>
      <c r="H1872" s="27">
        <f>IFERROR(__xludf.DUMMYFUNCTION("""COMPUTED_VALUE"""),41120.645833333336)</f>
        <v>41120.64583</v>
      </c>
      <c r="I1872" s="25">
        <f>IFERROR(__xludf.DUMMYFUNCTION("""COMPUTED_VALUE"""),617.45)</f>
        <v>617.45</v>
      </c>
      <c r="J1872" s="25">
        <f>IFERROR(__xludf.DUMMYFUNCTION("""COMPUTED_VALUE"""),621.42)</f>
        <v>621.42</v>
      </c>
      <c r="K1872" s="25">
        <f>IFERROR(__xludf.DUMMYFUNCTION("""COMPUTED_VALUE"""),607.28)</f>
        <v>607.28</v>
      </c>
      <c r="L1872" s="25">
        <f>IFERROR(__xludf.DUMMYFUNCTION("""COMPUTED_VALUE"""),615.5)</f>
        <v>615.5</v>
      </c>
      <c r="M1872" s="25">
        <f>IFERROR(__xludf.DUMMYFUNCTION("""COMPUTED_VALUE"""),1312856.0)</f>
        <v>1312856</v>
      </c>
    </row>
    <row r="1873">
      <c r="A1873" s="26">
        <f>IFERROR(__xludf.DUMMYFUNCTION("""COMPUTED_VALUE"""),41121.645833333336)</f>
        <v>41121.64583</v>
      </c>
      <c r="B1873" s="9">
        <f>IFERROR(__xludf.DUMMYFUNCTION("""COMPUTED_VALUE"""),276.88)</f>
        <v>276.88</v>
      </c>
      <c r="C1873" s="9">
        <f>IFERROR(__xludf.DUMMYFUNCTION("""COMPUTED_VALUE"""),279.5)</f>
        <v>279.5</v>
      </c>
      <c r="D1873" s="9">
        <f>IFERROR(__xludf.DUMMYFUNCTION("""COMPUTED_VALUE"""),273.13)</f>
        <v>273.13</v>
      </c>
      <c r="E1873" s="9">
        <f>IFERROR(__xludf.DUMMYFUNCTION("""COMPUTED_VALUE"""),278.37)</f>
        <v>278.37</v>
      </c>
      <c r="F1873" s="9">
        <f>IFERROR(__xludf.DUMMYFUNCTION("""COMPUTED_VALUE"""),864305.0)</f>
        <v>864305</v>
      </c>
      <c r="H1873" s="27">
        <f>IFERROR(__xludf.DUMMYFUNCTION("""COMPUTED_VALUE"""),41121.645833333336)</f>
        <v>41121.64583</v>
      </c>
      <c r="I1873" s="25">
        <f>IFERROR(__xludf.DUMMYFUNCTION("""COMPUTED_VALUE"""),617.5)</f>
        <v>617.5</v>
      </c>
      <c r="J1873" s="25">
        <f>IFERROR(__xludf.DUMMYFUNCTION("""COMPUTED_VALUE"""),624.63)</f>
        <v>624.63</v>
      </c>
      <c r="K1873" s="25">
        <f>IFERROR(__xludf.DUMMYFUNCTION("""COMPUTED_VALUE"""),613.13)</f>
        <v>613.13</v>
      </c>
      <c r="L1873" s="25">
        <f>IFERROR(__xludf.DUMMYFUNCTION("""COMPUTED_VALUE"""),621.83)</f>
        <v>621.83</v>
      </c>
      <c r="M1873" s="25">
        <f>IFERROR(__xludf.DUMMYFUNCTION("""COMPUTED_VALUE"""),989982.0)</f>
        <v>989982</v>
      </c>
    </row>
    <row r="1874">
      <c r="A1874" s="26">
        <f>IFERROR(__xludf.DUMMYFUNCTION("""COMPUTED_VALUE"""),41122.645833333336)</f>
        <v>41122.64583</v>
      </c>
      <c r="B1874" s="9">
        <f>IFERROR(__xludf.DUMMYFUNCTION("""COMPUTED_VALUE"""),276.88)</f>
        <v>276.88</v>
      </c>
      <c r="C1874" s="9">
        <f>IFERROR(__xludf.DUMMYFUNCTION("""COMPUTED_VALUE"""),278.8)</f>
        <v>278.8</v>
      </c>
      <c r="D1874" s="9">
        <f>IFERROR(__xludf.DUMMYFUNCTION("""COMPUTED_VALUE"""),275.09)</f>
        <v>275.09</v>
      </c>
      <c r="E1874" s="9">
        <f>IFERROR(__xludf.DUMMYFUNCTION("""COMPUTED_VALUE"""),277.32)</f>
        <v>277.32</v>
      </c>
      <c r="F1874" s="9">
        <f>IFERROR(__xludf.DUMMYFUNCTION("""COMPUTED_VALUE"""),380998.0)</f>
        <v>380998</v>
      </c>
      <c r="H1874" s="27">
        <f>IFERROR(__xludf.DUMMYFUNCTION("""COMPUTED_VALUE"""),41122.645833333336)</f>
        <v>41122.64583</v>
      </c>
      <c r="I1874" s="25">
        <f>IFERROR(__xludf.DUMMYFUNCTION("""COMPUTED_VALUE"""),619.05)</f>
        <v>619.05</v>
      </c>
      <c r="J1874" s="25">
        <f>IFERROR(__xludf.DUMMYFUNCTION("""COMPUTED_VALUE"""),622.4)</f>
        <v>622.4</v>
      </c>
      <c r="K1874" s="25">
        <f>IFERROR(__xludf.DUMMYFUNCTION("""COMPUTED_VALUE"""),611.05)</f>
        <v>611.05</v>
      </c>
      <c r="L1874" s="25">
        <f>IFERROR(__xludf.DUMMYFUNCTION("""COMPUTED_VALUE"""),612.33)</f>
        <v>612.33</v>
      </c>
      <c r="M1874" s="25">
        <f>IFERROR(__xludf.DUMMYFUNCTION("""COMPUTED_VALUE"""),647875.0)</f>
        <v>647875</v>
      </c>
    </row>
    <row r="1875">
      <c r="A1875" s="26">
        <f>IFERROR(__xludf.DUMMYFUNCTION("""COMPUTED_VALUE"""),41123.645833333336)</f>
        <v>41123.64583</v>
      </c>
      <c r="B1875" s="9">
        <f>IFERROR(__xludf.DUMMYFUNCTION("""COMPUTED_VALUE"""),277.25)</f>
        <v>277.25</v>
      </c>
      <c r="C1875" s="9">
        <f>IFERROR(__xludf.DUMMYFUNCTION("""COMPUTED_VALUE"""),278.35)</f>
        <v>278.35</v>
      </c>
      <c r="D1875" s="9">
        <f>IFERROR(__xludf.DUMMYFUNCTION("""COMPUTED_VALUE"""),274.38)</f>
        <v>274.38</v>
      </c>
      <c r="E1875" s="9">
        <f>IFERROR(__xludf.DUMMYFUNCTION("""COMPUTED_VALUE"""),275.72)</f>
        <v>275.72</v>
      </c>
      <c r="F1875" s="9">
        <f>IFERROR(__xludf.DUMMYFUNCTION("""COMPUTED_VALUE"""),302504.0)</f>
        <v>302504</v>
      </c>
      <c r="H1875" s="27">
        <f>IFERROR(__xludf.DUMMYFUNCTION("""COMPUTED_VALUE"""),41123.645833333336)</f>
        <v>41123.64583</v>
      </c>
      <c r="I1875" s="25">
        <f>IFERROR(__xludf.DUMMYFUNCTION("""COMPUTED_VALUE"""),614.98)</f>
        <v>614.98</v>
      </c>
      <c r="J1875" s="25">
        <f>IFERROR(__xludf.DUMMYFUNCTION("""COMPUTED_VALUE"""),618.35)</f>
        <v>618.35</v>
      </c>
      <c r="K1875" s="25">
        <f>IFERROR(__xludf.DUMMYFUNCTION("""COMPUTED_VALUE"""),611.0)</f>
        <v>611</v>
      </c>
      <c r="L1875" s="25">
        <f>IFERROR(__xludf.DUMMYFUNCTION("""COMPUTED_VALUE"""),616.4)</f>
        <v>616.4</v>
      </c>
      <c r="M1875" s="25">
        <f>IFERROR(__xludf.DUMMYFUNCTION("""COMPUTED_VALUE"""),475529.0)</f>
        <v>475529</v>
      </c>
    </row>
    <row r="1876">
      <c r="A1876" s="26">
        <f>IFERROR(__xludf.DUMMYFUNCTION("""COMPUTED_VALUE"""),41124.645833333336)</f>
        <v>41124.64583</v>
      </c>
      <c r="B1876" s="9">
        <f>IFERROR(__xludf.DUMMYFUNCTION("""COMPUTED_VALUE"""),274.53)</f>
        <v>274.53</v>
      </c>
      <c r="C1876" s="9">
        <f>IFERROR(__xludf.DUMMYFUNCTION("""COMPUTED_VALUE"""),277.17)</f>
        <v>277.17</v>
      </c>
      <c r="D1876" s="9">
        <f>IFERROR(__xludf.DUMMYFUNCTION("""COMPUTED_VALUE"""),273.14)</f>
        <v>273.14</v>
      </c>
      <c r="E1876" s="9">
        <f>IFERROR(__xludf.DUMMYFUNCTION("""COMPUTED_VALUE"""),276.06)</f>
        <v>276.06</v>
      </c>
      <c r="F1876" s="9">
        <f>IFERROR(__xludf.DUMMYFUNCTION("""COMPUTED_VALUE"""),386949.0)</f>
        <v>386949</v>
      </c>
      <c r="H1876" s="27">
        <f>IFERROR(__xludf.DUMMYFUNCTION("""COMPUTED_VALUE"""),41124.645833333336)</f>
        <v>41124.64583</v>
      </c>
      <c r="I1876" s="25">
        <f>IFERROR(__xludf.DUMMYFUNCTION("""COMPUTED_VALUE"""),614.0)</f>
        <v>614</v>
      </c>
      <c r="J1876" s="25">
        <f>IFERROR(__xludf.DUMMYFUNCTION("""COMPUTED_VALUE"""),620.13)</f>
        <v>620.13</v>
      </c>
      <c r="K1876" s="25">
        <f>IFERROR(__xludf.DUMMYFUNCTION("""COMPUTED_VALUE"""),609.05)</f>
        <v>609.05</v>
      </c>
      <c r="L1876" s="25">
        <f>IFERROR(__xludf.DUMMYFUNCTION("""COMPUTED_VALUE"""),618.45)</f>
        <v>618.45</v>
      </c>
      <c r="M1876" s="25">
        <f>IFERROR(__xludf.DUMMYFUNCTION("""COMPUTED_VALUE"""),488868.0)</f>
        <v>488868</v>
      </c>
    </row>
    <row r="1877">
      <c r="A1877" s="26">
        <f>IFERROR(__xludf.DUMMYFUNCTION("""COMPUTED_VALUE"""),41127.645833333336)</f>
        <v>41127.64583</v>
      </c>
      <c r="B1877" s="9">
        <f>IFERROR(__xludf.DUMMYFUNCTION("""COMPUTED_VALUE"""),277.77)</f>
        <v>277.77</v>
      </c>
      <c r="C1877" s="9">
        <f>IFERROR(__xludf.DUMMYFUNCTION("""COMPUTED_VALUE"""),279.36)</f>
        <v>279.36</v>
      </c>
      <c r="D1877" s="9">
        <f>IFERROR(__xludf.DUMMYFUNCTION("""COMPUTED_VALUE"""),275.93)</f>
        <v>275.93</v>
      </c>
      <c r="E1877" s="9">
        <f>IFERROR(__xludf.DUMMYFUNCTION("""COMPUTED_VALUE"""),277.1)</f>
        <v>277.1</v>
      </c>
      <c r="F1877" s="9">
        <f>IFERROR(__xludf.DUMMYFUNCTION("""COMPUTED_VALUE"""),406348.0)</f>
        <v>406348</v>
      </c>
      <c r="H1877" s="27">
        <f>IFERROR(__xludf.DUMMYFUNCTION("""COMPUTED_VALUE"""),41127.645833333336)</f>
        <v>41127.64583</v>
      </c>
      <c r="I1877" s="25">
        <f>IFERROR(__xludf.DUMMYFUNCTION("""COMPUTED_VALUE"""),622.5)</f>
        <v>622.5</v>
      </c>
      <c r="J1877" s="25">
        <f>IFERROR(__xludf.DUMMYFUNCTION("""COMPUTED_VALUE"""),624.0)</f>
        <v>624</v>
      </c>
      <c r="K1877" s="25">
        <f>IFERROR(__xludf.DUMMYFUNCTION("""COMPUTED_VALUE"""),612.6)</f>
        <v>612.6</v>
      </c>
      <c r="L1877" s="25">
        <f>IFERROR(__xludf.DUMMYFUNCTION("""COMPUTED_VALUE"""),614.45)</f>
        <v>614.45</v>
      </c>
      <c r="M1877" s="25">
        <f>IFERROR(__xludf.DUMMYFUNCTION("""COMPUTED_VALUE"""),507770.0)</f>
        <v>507770</v>
      </c>
    </row>
    <row r="1878">
      <c r="A1878" s="26">
        <f>IFERROR(__xludf.DUMMYFUNCTION("""COMPUTED_VALUE"""),41128.645833333336)</f>
        <v>41128.64583</v>
      </c>
      <c r="B1878" s="9">
        <f>IFERROR(__xludf.DUMMYFUNCTION("""COMPUTED_VALUE"""),279.0)</f>
        <v>279</v>
      </c>
      <c r="C1878" s="9">
        <f>IFERROR(__xludf.DUMMYFUNCTION("""COMPUTED_VALUE"""),283.68)</f>
        <v>283.68</v>
      </c>
      <c r="D1878" s="9">
        <f>IFERROR(__xludf.DUMMYFUNCTION("""COMPUTED_VALUE"""),277.76)</f>
        <v>277.76</v>
      </c>
      <c r="E1878" s="9">
        <f>IFERROR(__xludf.DUMMYFUNCTION("""COMPUTED_VALUE"""),281.66)</f>
        <v>281.66</v>
      </c>
      <c r="F1878" s="9">
        <f>IFERROR(__xludf.DUMMYFUNCTION("""COMPUTED_VALUE"""),683168.0)</f>
        <v>683168</v>
      </c>
      <c r="H1878" s="27">
        <f>IFERROR(__xludf.DUMMYFUNCTION("""COMPUTED_VALUE"""),41128.645833333336)</f>
        <v>41128.64583</v>
      </c>
      <c r="I1878" s="25">
        <f>IFERROR(__xludf.DUMMYFUNCTION("""COMPUTED_VALUE"""),619.5)</f>
        <v>619.5</v>
      </c>
      <c r="J1878" s="25">
        <f>IFERROR(__xludf.DUMMYFUNCTION("""COMPUTED_VALUE"""),633.1)</f>
        <v>633.1</v>
      </c>
      <c r="K1878" s="25">
        <f>IFERROR(__xludf.DUMMYFUNCTION("""COMPUTED_VALUE"""),617.33)</f>
        <v>617.33</v>
      </c>
      <c r="L1878" s="25">
        <f>IFERROR(__xludf.DUMMYFUNCTION("""COMPUTED_VALUE"""),632.03)</f>
        <v>632.03</v>
      </c>
      <c r="M1878" s="25">
        <f>IFERROR(__xludf.DUMMYFUNCTION("""COMPUTED_VALUE"""),1049577.0)</f>
        <v>1049577</v>
      </c>
    </row>
    <row r="1879">
      <c r="A1879" s="26">
        <f>IFERROR(__xludf.DUMMYFUNCTION("""COMPUTED_VALUE"""),41129.645833333336)</f>
        <v>41129.64583</v>
      </c>
      <c r="B1879" s="9">
        <f>IFERROR(__xludf.DUMMYFUNCTION("""COMPUTED_VALUE"""),282.75)</f>
        <v>282.75</v>
      </c>
      <c r="C1879" s="9">
        <f>IFERROR(__xludf.DUMMYFUNCTION("""COMPUTED_VALUE"""),286.88)</f>
        <v>286.88</v>
      </c>
      <c r="D1879" s="9">
        <f>IFERROR(__xludf.DUMMYFUNCTION("""COMPUTED_VALUE"""),282.5)</f>
        <v>282.5</v>
      </c>
      <c r="E1879" s="9">
        <f>IFERROR(__xludf.DUMMYFUNCTION("""COMPUTED_VALUE"""),285.45)</f>
        <v>285.45</v>
      </c>
      <c r="F1879" s="9">
        <f>IFERROR(__xludf.DUMMYFUNCTION("""COMPUTED_VALUE"""),1004888.0)</f>
        <v>1004888</v>
      </c>
      <c r="H1879" s="27">
        <f>IFERROR(__xludf.DUMMYFUNCTION("""COMPUTED_VALUE"""),41129.645833333336)</f>
        <v>41129.64583</v>
      </c>
      <c r="I1879" s="25">
        <f>IFERROR(__xludf.DUMMYFUNCTION("""COMPUTED_VALUE"""),632.5)</f>
        <v>632.5</v>
      </c>
      <c r="J1879" s="25">
        <f>IFERROR(__xludf.DUMMYFUNCTION("""COMPUTED_VALUE"""),633.33)</f>
        <v>633.33</v>
      </c>
      <c r="K1879" s="25">
        <f>IFERROR(__xludf.DUMMYFUNCTION("""COMPUTED_VALUE"""),623.2)</f>
        <v>623.2</v>
      </c>
      <c r="L1879" s="25">
        <f>IFERROR(__xludf.DUMMYFUNCTION("""COMPUTED_VALUE"""),624.6)</f>
        <v>624.6</v>
      </c>
      <c r="M1879" s="25">
        <f>IFERROR(__xludf.DUMMYFUNCTION("""COMPUTED_VALUE"""),821500.0)</f>
        <v>821500</v>
      </c>
    </row>
    <row r="1880">
      <c r="A1880" s="26">
        <f>IFERROR(__xludf.DUMMYFUNCTION("""COMPUTED_VALUE"""),41130.645833333336)</f>
        <v>41130.64583</v>
      </c>
      <c r="B1880" s="9">
        <f>IFERROR(__xludf.DUMMYFUNCTION("""COMPUTED_VALUE"""),286.28)</f>
        <v>286.28</v>
      </c>
      <c r="C1880" s="9">
        <f>IFERROR(__xludf.DUMMYFUNCTION("""COMPUTED_VALUE"""),288.94)</f>
        <v>288.94</v>
      </c>
      <c r="D1880" s="9">
        <f>IFERROR(__xludf.DUMMYFUNCTION("""COMPUTED_VALUE"""),284.38)</f>
        <v>284.38</v>
      </c>
      <c r="E1880" s="9">
        <f>IFERROR(__xludf.DUMMYFUNCTION("""COMPUTED_VALUE"""),285.26)</f>
        <v>285.26</v>
      </c>
      <c r="F1880" s="9">
        <f>IFERROR(__xludf.DUMMYFUNCTION("""COMPUTED_VALUE"""),866387.0)</f>
        <v>866387</v>
      </c>
      <c r="H1880" s="27">
        <f>IFERROR(__xludf.DUMMYFUNCTION("""COMPUTED_VALUE"""),41130.645833333336)</f>
        <v>41130.64583</v>
      </c>
      <c r="I1880" s="25">
        <f>IFERROR(__xludf.DUMMYFUNCTION("""COMPUTED_VALUE"""),625.13)</f>
        <v>625.13</v>
      </c>
      <c r="J1880" s="25">
        <f>IFERROR(__xludf.DUMMYFUNCTION("""COMPUTED_VALUE"""),633.92)</f>
        <v>633.92</v>
      </c>
      <c r="K1880" s="25">
        <f>IFERROR(__xludf.DUMMYFUNCTION("""COMPUTED_VALUE"""),625.13)</f>
        <v>625.13</v>
      </c>
      <c r="L1880" s="25">
        <f>IFERROR(__xludf.DUMMYFUNCTION("""COMPUTED_VALUE"""),629.08)</f>
        <v>629.08</v>
      </c>
      <c r="M1880" s="25">
        <f>IFERROR(__xludf.DUMMYFUNCTION("""COMPUTED_VALUE"""),564737.0)</f>
        <v>564737</v>
      </c>
    </row>
    <row r="1881">
      <c r="A1881" s="26">
        <f>IFERROR(__xludf.DUMMYFUNCTION("""COMPUTED_VALUE"""),41131.645833333336)</f>
        <v>41131.64583</v>
      </c>
      <c r="B1881" s="9">
        <f>IFERROR(__xludf.DUMMYFUNCTION("""COMPUTED_VALUE"""),284.75)</f>
        <v>284.75</v>
      </c>
      <c r="C1881" s="9">
        <f>IFERROR(__xludf.DUMMYFUNCTION("""COMPUTED_VALUE"""),290.13)</f>
        <v>290.13</v>
      </c>
      <c r="D1881" s="9">
        <f>IFERROR(__xludf.DUMMYFUNCTION("""COMPUTED_VALUE"""),283.0)</f>
        <v>283</v>
      </c>
      <c r="E1881" s="9">
        <f>IFERROR(__xludf.DUMMYFUNCTION("""COMPUTED_VALUE"""),289.13)</f>
        <v>289.13</v>
      </c>
      <c r="F1881" s="9">
        <f>IFERROR(__xludf.DUMMYFUNCTION("""COMPUTED_VALUE"""),704461.0)</f>
        <v>704461</v>
      </c>
      <c r="H1881" s="27">
        <f>IFERROR(__xludf.DUMMYFUNCTION("""COMPUTED_VALUE"""),41131.645833333336)</f>
        <v>41131.64583</v>
      </c>
      <c r="I1881" s="25">
        <f>IFERROR(__xludf.DUMMYFUNCTION("""COMPUTED_VALUE"""),628.0)</f>
        <v>628</v>
      </c>
      <c r="J1881" s="25">
        <f>IFERROR(__xludf.DUMMYFUNCTION("""COMPUTED_VALUE"""),642.5)</f>
        <v>642.5</v>
      </c>
      <c r="K1881" s="25">
        <f>IFERROR(__xludf.DUMMYFUNCTION("""COMPUTED_VALUE"""),627.88)</f>
        <v>627.88</v>
      </c>
      <c r="L1881" s="25">
        <f>IFERROR(__xludf.DUMMYFUNCTION("""COMPUTED_VALUE"""),640.03)</f>
        <v>640.03</v>
      </c>
      <c r="M1881" s="25">
        <f>IFERROR(__xludf.DUMMYFUNCTION("""COMPUTED_VALUE"""),1541178.0)</f>
        <v>1541178</v>
      </c>
    </row>
    <row r="1882">
      <c r="A1882" s="26">
        <f>IFERROR(__xludf.DUMMYFUNCTION("""COMPUTED_VALUE"""),41134.645833333336)</f>
        <v>41134.64583</v>
      </c>
      <c r="B1882" s="9">
        <f>IFERROR(__xludf.DUMMYFUNCTION("""COMPUTED_VALUE"""),287.66)</f>
        <v>287.66</v>
      </c>
      <c r="C1882" s="9">
        <f>IFERROR(__xludf.DUMMYFUNCTION("""COMPUTED_VALUE"""),291.38)</f>
        <v>291.38</v>
      </c>
      <c r="D1882" s="9">
        <f>IFERROR(__xludf.DUMMYFUNCTION("""COMPUTED_VALUE"""),287.51)</f>
        <v>287.51</v>
      </c>
      <c r="E1882" s="9">
        <f>IFERROR(__xludf.DUMMYFUNCTION("""COMPUTED_VALUE"""),290.01)</f>
        <v>290.01</v>
      </c>
      <c r="F1882" s="9">
        <f>IFERROR(__xludf.DUMMYFUNCTION("""COMPUTED_VALUE"""),501741.0)</f>
        <v>501741</v>
      </c>
      <c r="H1882" s="27">
        <f>IFERROR(__xludf.DUMMYFUNCTION("""COMPUTED_VALUE"""),41134.645833333336)</f>
        <v>41134.64583</v>
      </c>
      <c r="I1882" s="25">
        <f>IFERROR(__xludf.DUMMYFUNCTION("""COMPUTED_VALUE"""),639.55)</f>
        <v>639.55</v>
      </c>
      <c r="J1882" s="25">
        <f>IFERROR(__xludf.DUMMYFUNCTION("""COMPUTED_VALUE"""),639.55)</f>
        <v>639.55</v>
      </c>
      <c r="K1882" s="25">
        <f>IFERROR(__xludf.DUMMYFUNCTION("""COMPUTED_VALUE"""),628.63)</f>
        <v>628.63</v>
      </c>
      <c r="L1882" s="25">
        <f>IFERROR(__xludf.DUMMYFUNCTION("""COMPUTED_VALUE"""),633.15)</f>
        <v>633.15</v>
      </c>
      <c r="M1882" s="25">
        <f>IFERROR(__xludf.DUMMYFUNCTION("""COMPUTED_VALUE"""),714019.0)</f>
        <v>714019</v>
      </c>
    </row>
    <row r="1883">
      <c r="A1883" s="26">
        <f>IFERROR(__xludf.DUMMYFUNCTION("""COMPUTED_VALUE"""),41135.645833333336)</f>
        <v>41135.64583</v>
      </c>
      <c r="B1883" s="9">
        <f>IFERROR(__xludf.DUMMYFUNCTION("""COMPUTED_VALUE"""),289.16)</f>
        <v>289.16</v>
      </c>
      <c r="C1883" s="9">
        <f>IFERROR(__xludf.DUMMYFUNCTION("""COMPUTED_VALUE"""),291.88)</f>
        <v>291.88</v>
      </c>
      <c r="D1883" s="9">
        <f>IFERROR(__xludf.DUMMYFUNCTION("""COMPUTED_VALUE"""),286.17)</f>
        <v>286.17</v>
      </c>
      <c r="E1883" s="9">
        <f>IFERROR(__xludf.DUMMYFUNCTION("""COMPUTED_VALUE"""),291.17)</f>
        <v>291.17</v>
      </c>
      <c r="F1883" s="9">
        <f>IFERROR(__xludf.DUMMYFUNCTION("""COMPUTED_VALUE"""),505602.0)</f>
        <v>505602</v>
      </c>
      <c r="H1883" s="27">
        <f>IFERROR(__xludf.DUMMYFUNCTION("""COMPUTED_VALUE"""),41135.645833333336)</f>
        <v>41135.64583</v>
      </c>
      <c r="I1883" s="25">
        <f>IFERROR(__xludf.DUMMYFUNCTION("""COMPUTED_VALUE"""),630.0)</f>
        <v>630</v>
      </c>
      <c r="J1883" s="25">
        <f>IFERROR(__xludf.DUMMYFUNCTION("""COMPUTED_VALUE"""),636.63)</f>
        <v>636.63</v>
      </c>
      <c r="K1883" s="25">
        <f>IFERROR(__xludf.DUMMYFUNCTION("""COMPUTED_VALUE"""),629.63)</f>
        <v>629.63</v>
      </c>
      <c r="L1883" s="25">
        <f>IFERROR(__xludf.DUMMYFUNCTION("""COMPUTED_VALUE"""),634.2)</f>
        <v>634.2</v>
      </c>
      <c r="M1883" s="25">
        <f>IFERROR(__xludf.DUMMYFUNCTION("""COMPUTED_VALUE"""),568465.0)</f>
        <v>568465</v>
      </c>
    </row>
    <row r="1884">
      <c r="A1884" s="26">
        <f>IFERROR(__xludf.DUMMYFUNCTION("""COMPUTED_VALUE"""),41137.645833333336)</f>
        <v>41137.64583</v>
      </c>
      <c r="B1884" s="9">
        <f>IFERROR(__xludf.DUMMYFUNCTION("""COMPUTED_VALUE"""),291.02)</f>
        <v>291.02</v>
      </c>
      <c r="C1884" s="9">
        <f>IFERROR(__xludf.DUMMYFUNCTION("""COMPUTED_VALUE"""),291.02)</f>
        <v>291.02</v>
      </c>
      <c r="D1884" s="9">
        <f>IFERROR(__xludf.DUMMYFUNCTION("""COMPUTED_VALUE"""),287.63)</f>
        <v>287.63</v>
      </c>
      <c r="E1884" s="9">
        <f>IFERROR(__xludf.DUMMYFUNCTION("""COMPUTED_VALUE"""),289.43)</f>
        <v>289.43</v>
      </c>
      <c r="F1884" s="9">
        <f>IFERROR(__xludf.DUMMYFUNCTION("""COMPUTED_VALUE"""),466203.0)</f>
        <v>466203</v>
      </c>
      <c r="H1884" s="27">
        <f>IFERROR(__xludf.DUMMYFUNCTION("""COMPUTED_VALUE"""),41137.645833333336)</f>
        <v>41137.64583</v>
      </c>
      <c r="I1884" s="25">
        <f>IFERROR(__xludf.DUMMYFUNCTION("""COMPUTED_VALUE"""),635.08)</f>
        <v>635.08</v>
      </c>
      <c r="J1884" s="25">
        <f>IFERROR(__xludf.DUMMYFUNCTION("""COMPUTED_VALUE"""),635.78)</f>
        <v>635.78</v>
      </c>
      <c r="K1884" s="25">
        <f>IFERROR(__xludf.DUMMYFUNCTION("""COMPUTED_VALUE"""),626.05)</f>
        <v>626.05</v>
      </c>
      <c r="L1884" s="25">
        <f>IFERROR(__xludf.DUMMYFUNCTION("""COMPUTED_VALUE"""),631.78)</f>
        <v>631.78</v>
      </c>
      <c r="M1884" s="25">
        <f>IFERROR(__xludf.DUMMYFUNCTION("""COMPUTED_VALUE"""),894146.0)</f>
        <v>894146</v>
      </c>
    </row>
    <row r="1885">
      <c r="A1885" s="26">
        <f>IFERROR(__xludf.DUMMYFUNCTION("""COMPUTED_VALUE"""),41138.645833333336)</f>
        <v>41138.64583</v>
      </c>
      <c r="B1885" s="9">
        <f>IFERROR(__xludf.DUMMYFUNCTION("""COMPUTED_VALUE"""),290.5)</f>
        <v>290.5</v>
      </c>
      <c r="C1885" s="9">
        <f>IFERROR(__xludf.DUMMYFUNCTION("""COMPUTED_VALUE"""),294.38)</f>
        <v>294.38</v>
      </c>
      <c r="D1885" s="9">
        <f>IFERROR(__xludf.DUMMYFUNCTION("""COMPUTED_VALUE"""),289.54)</f>
        <v>289.54</v>
      </c>
      <c r="E1885" s="9">
        <f>IFERROR(__xludf.DUMMYFUNCTION("""COMPUTED_VALUE"""),293.88)</f>
        <v>293.88</v>
      </c>
      <c r="F1885" s="9">
        <f>IFERROR(__xludf.DUMMYFUNCTION("""COMPUTED_VALUE"""),1061660.0)</f>
        <v>1061660</v>
      </c>
      <c r="H1885" s="27">
        <f>IFERROR(__xludf.DUMMYFUNCTION("""COMPUTED_VALUE"""),41138.645833333336)</f>
        <v>41138.64583</v>
      </c>
      <c r="I1885" s="25">
        <f>IFERROR(__xludf.DUMMYFUNCTION("""COMPUTED_VALUE"""),632.53)</f>
        <v>632.53</v>
      </c>
      <c r="J1885" s="25">
        <f>IFERROR(__xludf.DUMMYFUNCTION("""COMPUTED_VALUE"""),642.25)</f>
        <v>642.25</v>
      </c>
      <c r="K1885" s="25">
        <f>IFERROR(__xludf.DUMMYFUNCTION("""COMPUTED_VALUE"""),632.0)</f>
        <v>632</v>
      </c>
      <c r="L1885" s="25">
        <f>IFERROR(__xludf.DUMMYFUNCTION("""COMPUTED_VALUE"""),639.3)</f>
        <v>639.3</v>
      </c>
      <c r="M1885" s="25">
        <f>IFERROR(__xludf.DUMMYFUNCTION("""COMPUTED_VALUE"""),643788.0)</f>
        <v>643788</v>
      </c>
    </row>
    <row r="1886">
      <c r="A1886" s="26">
        <f>IFERROR(__xludf.DUMMYFUNCTION("""COMPUTED_VALUE"""),41142.645833333336)</f>
        <v>41142.64583</v>
      </c>
      <c r="B1886" s="9">
        <f>IFERROR(__xludf.DUMMYFUNCTION("""COMPUTED_VALUE"""),295.63)</f>
        <v>295.63</v>
      </c>
      <c r="C1886" s="9">
        <f>IFERROR(__xludf.DUMMYFUNCTION("""COMPUTED_VALUE"""),304.88)</f>
        <v>304.88</v>
      </c>
      <c r="D1886" s="9">
        <f>IFERROR(__xludf.DUMMYFUNCTION("""COMPUTED_VALUE"""),295.63)</f>
        <v>295.63</v>
      </c>
      <c r="E1886" s="9">
        <f>IFERROR(__xludf.DUMMYFUNCTION("""COMPUTED_VALUE"""),301.13)</f>
        <v>301.13</v>
      </c>
      <c r="F1886" s="9">
        <f>IFERROR(__xludf.DUMMYFUNCTION("""COMPUTED_VALUE"""),1525767.0)</f>
        <v>1525767</v>
      </c>
      <c r="H1886" s="27">
        <f>IFERROR(__xludf.DUMMYFUNCTION("""COMPUTED_VALUE"""),41142.645833333336)</f>
        <v>41142.64583</v>
      </c>
      <c r="I1886" s="25">
        <f>IFERROR(__xludf.DUMMYFUNCTION("""COMPUTED_VALUE"""),639.95)</f>
        <v>639.95</v>
      </c>
      <c r="J1886" s="25">
        <f>IFERROR(__xludf.DUMMYFUNCTION("""COMPUTED_VALUE"""),652.5)</f>
        <v>652.5</v>
      </c>
      <c r="K1886" s="25">
        <f>IFERROR(__xludf.DUMMYFUNCTION("""COMPUTED_VALUE"""),638.55)</f>
        <v>638.55</v>
      </c>
      <c r="L1886" s="25">
        <f>IFERROR(__xludf.DUMMYFUNCTION("""COMPUTED_VALUE"""),649.33)</f>
        <v>649.33</v>
      </c>
      <c r="M1886" s="25">
        <f>IFERROR(__xludf.DUMMYFUNCTION("""COMPUTED_VALUE"""),1025788.0)</f>
        <v>1025788</v>
      </c>
    </row>
    <row r="1887">
      <c r="A1887" s="26">
        <f>IFERROR(__xludf.DUMMYFUNCTION("""COMPUTED_VALUE"""),41143.645833333336)</f>
        <v>41143.64583</v>
      </c>
      <c r="B1887" s="9">
        <f>IFERROR(__xludf.DUMMYFUNCTION("""COMPUTED_VALUE"""),300.36)</f>
        <v>300.36</v>
      </c>
      <c r="C1887" s="9">
        <f>IFERROR(__xludf.DUMMYFUNCTION("""COMPUTED_VALUE"""),305.0)</f>
        <v>305</v>
      </c>
      <c r="D1887" s="9">
        <f>IFERROR(__xludf.DUMMYFUNCTION("""COMPUTED_VALUE"""),299.27)</f>
        <v>299.27</v>
      </c>
      <c r="E1887" s="9">
        <f>IFERROR(__xludf.DUMMYFUNCTION("""COMPUTED_VALUE"""),304.2)</f>
        <v>304.2</v>
      </c>
      <c r="F1887" s="9">
        <f>IFERROR(__xludf.DUMMYFUNCTION("""COMPUTED_VALUE"""),643646.0)</f>
        <v>643646</v>
      </c>
      <c r="H1887" s="27">
        <f>IFERROR(__xludf.DUMMYFUNCTION("""COMPUTED_VALUE"""),41143.645833333336)</f>
        <v>41143.64583</v>
      </c>
      <c r="I1887" s="25">
        <f>IFERROR(__xludf.DUMMYFUNCTION("""COMPUTED_VALUE"""),647.95)</f>
        <v>647.95</v>
      </c>
      <c r="J1887" s="25">
        <f>IFERROR(__xludf.DUMMYFUNCTION("""COMPUTED_VALUE"""),654.5)</f>
        <v>654.5</v>
      </c>
      <c r="K1887" s="25">
        <f>IFERROR(__xludf.DUMMYFUNCTION("""COMPUTED_VALUE"""),644.05)</f>
        <v>644.05</v>
      </c>
      <c r="L1887" s="25">
        <f>IFERROR(__xludf.DUMMYFUNCTION("""COMPUTED_VALUE"""),645.83)</f>
        <v>645.83</v>
      </c>
      <c r="M1887" s="25">
        <f>IFERROR(__xludf.DUMMYFUNCTION("""COMPUTED_VALUE"""),567048.0)</f>
        <v>567048</v>
      </c>
    </row>
    <row r="1888">
      <c r="A1888" s="26">
        <f>IFERROR(__xludf.DUMMYFUNCTION("""COMPUTED_VALUE"""),41144.645833333336)</f>
        <v>41144.64583</v>
      </c>
      <c r="B1888" s="9">
        <f>IFERROR(__xludf.DUMMYFUNCTION("""COMPUTED_VALUE"""),304.38)</f>
        <v>304.38</v>
      </c>
      <c r="C1888" s="9">
        <f>IFERROR(__xludf.DUMMYFUNCTION("""COMPUTED_VALUE"""),310.38)</f>
        <v>310.38</v>
      </c>
      <c r="D1888" s="9">
        <f>IFERROR(__xludf.DUMMYFUNCTION("""COMPUTED_VALUE"""),303.03)</f>
        <v>303.03</v>
      </c>
      <c r="E1888" s="9">
        <f>IFERROR(__xludf.DUMMYFUNCTION("""COMPUTED_VALUE"""),309.65)</f>
        <v>309.65</v>
      </c>
      <c r="F1888" s="9">
        <f>IFERROR(__xludf.DUMMYFUNCTION("""COMPUTED_VALUE"""),1840357.0)</f>
        <v>1840357</v>
      </c>
      <c r="H1888" s="27">
        <f>IFERROR(__xludf.DUMMYFUNCTION("""COMPUTED_VALUE"""),41144.645833333336)</f>
        <v>41144.64583</v>
      </c>
      <c r="I1888" s="25">
        <f>IFERROR(__xludf.DUMMYFUNCTION("""COMPUTED_VALUE"""),645.88)</f>
        <v>645.88</v>
      </c>
      <c r="J1888" s="25">
        <f>IFERROR(__xludf.DUMMYFUNCTION("""COMPUTED_VALUE"""),663.0)</f>
        <v>663</v>
      </c>
      <c r="K1888" s="25">
        <f>IFERROR(__xludf.DUMMYFUNCTION("""COMPUTED_VALUE"""),645.88)</f>
        <v>645.88</v>
      </c>
      <c r="L1888" s="25">
        <f>IFERROR(__xludf.DUMMYFUNCTION("""COMPUTED_VALUE"""),661.73)</f>
        <v>661.73</v>
      </c>
      <c r="M1888" s="25">
        <f>IFERROR(__xludf.DUMMYFUNCTION("""COMPUTED_VALUE"""),1168657.0)</f>
        <v>1168657</v>
      </c>
    </row>
    <row r="1889">
      <c r="A1889" s="26">
        <f>IFERROR(__xludf.DUMMYFUNCTION("""COMPUTED_VALUE"""),41145.645833333336)</f>
        <v>41145.64583</v>
      </c>
      <c r="B1889" s="9">
        <f>IFERROR(__xludf.DUMMYFUNCTION("""COMPUTED_VALUE"""),306.0)</f>
        <v>306</v>
      </c>
      <c r="C1889" s="9">
        <f>IFERROR(__xludf.DUMMYFUNCTION("""COMPUTED_VALUE"""),307.29)</f>
        <v>307.29</v>
      </c>
      <c r="D1889" s="9">
        <f>IFERROR(__xludf.DUMMYFUNCTION("""COMPUTED_VALUE"""),304.25)</f>
        <v>304.25</v>
      </c>
      <c r="E1889" s="9">
        <f>IFERROR(__xludf.DUMMYFUNCTION("""COMPUTED_VALUE"""),305.6)</f>
        <v>305.6</v>
      </c>
      <c r="F1889" s="9">
        <f>IFERROR(__xludf.DUMMYFUNCTION("""COMPUTED_VALUE"""),840564.0)</f>
        <v>840564</v>
      </c>
      <c r="H1889" s="27">
        <f>IFERROR(__xludf.DUMMYFUNCTION("""COMPUTED_VALUE"""),41145.645833333336)</f>
        <v>41145.64583</v>
      </c>
      <c r="I1889" s="25">
        <f>IFERROR(__xludf.DUMMYFUNCTION("""COMPUTED_VALUE"""),660.0)</f>
        <v>660</v>
      </c>
      <c r="J1889" s="25">
        <f>IFERROR(__xludf.DUMMYFUNCTION("""COMPUTED_VALUE"""),664.2)</f>
        <v>664.2</v>
      </c>
      <c r="K1889" s="25">
        <f>IFERROR(__xludf.DUMMYFUNCTION("""COMPUTED_VALUE"""),656.5)</f>
        <v>656.5</v>
      </c>
      <c r="L1889" s="25">
        <f>IFERROR(__xludf.DUMMYFUNCTION("""COMPUTED_VALUE"""),661.43)</f>
        <v>661.43</v>
      </c>
      <c r="M1889" s="25">
        <f>IFERROR(__xludf.DUMMYFUNCTION("""COMPUTED_VALUE"""),789469.0)</f>
        <v>789469</v>
      </c>
    </row>
    <row r="1890">
      <c r="A1890" s="26">
        <f>IFERROR(__xludf.DUMMYFUNCTION("""COMPUTED_VALUE"""),41148.645833333336)</f>
        <v>41148.64583</v>
      </c>
      <c r="B1890" s="9">
        <f>IFERROR(__xludf.DUMMYFUNCTION("""COMPUTED_VALUE"""),303.77)</f>
        <v>303.77</v>
      </c>
      <c r="C1890" s="9">
        <f>IFERROR(__xludf.DUMMYFUNCTION("""COMPUTED_VALUE"""),305.81)</f>
        <v>305.81</v>
      </c>
      <c r="D1890" s="9">
        <f>IFERROR(__xludf.DUMMYFUNCTION("""COMPUTED_VALUE"""),300.7)</f>
        <v>300.7</v>
      </c>
      <c r="E1890" s="9">
        <f>IFERROR(__xludf.DUMMYFUNCTION("""COMPUTED_VALUE"""),301.49)</f>
        <v>301.49</v>
      </c>
      <c r="F1890" s="9">
        <f>IFERROR(__xludf.DUMMYFUNCTION("""COMPUTED_VALUE"""),986420.0)</f>
        <v>986420</v>
      </c>
      <c r="H1890" s="27">
        <f>IFERROR(__xludf.DUMMYFUNCTION("""COMPUTED_VALUE"""),41148.645833333336)</f>
        <v>41148.64583</v>
      </c>
      <c r="I1890" s="25">
        <f>IFERROR(__xludf.DUMMYFUNCTION("""COMPUTED_VALUE"""),658.1)</f>
        <v>658.1</v>
      </c>
      <c r="J1890" s="25">
        <f>IFERROR(__xludf.DUMMYFUNCTION("""COMPUTED_VALUE"""),665.45)</f>
        <v>665.45</v>
      </c>
      <c r="K1890" s="25">
        <f>IFERROR(__xludf.DUMMYFUNCTION("""COMPUTED_VALUE"""),657.5)</f>
        <v>657.5</v>
      </c>
      <c r="L1890" s="25">
        <f>IFERROR(__xludf.DUMMYFUNCTION("""COMPUTED_VALUE"""),660.23)</f>
        <v>660.23</v>
      </c>
      <c r="M1890" s="25">
        <f>IFERROR(__xludf.DUMMYFUNCTION("""COMPUTED_VALUE"""),483600.0)</f>
        <v>483600</v>
      </c>
    </row>
    <row r="1891">
      <c r="A1891" s="26">
        <f>IFERROR(__xludf.DUMMYFUNCTION("""COMPUTED_VALUE"""),41149.645833333336)</f>
        <v>41149.64583</v>
      </c>
      <c r="B1891" s="9">
        <f>IFERROR(__xludf.DUMMYFUNCTION("""COMPUTED_VALUE"""),299.63)</f>
        <v>299.63</v>
      </c>
      <c r="C1891" s="9">
        <f>IFERROR(__xludf.DUMMYFUNCTION("""COMPUTED_VALUE"""),306.43)</f>
        <v>306.43</v>
      </c>
      <c r="D1891" s="9">
        <f>IFERROR(__xludf.DUMMYFUNCTION("""COMPUTED_VALUE"""),299.63)</f>
        <v>299.63</v>
      </c>
      <c r="E1891" s="9">
        <f>IFERROR(__xludf.DUMMYFUNCTION("""COMPUTED_VALUE"""),302.64)</f>
        <v>302.64</v>
      </c>
      <c r="F1891" s="9">
        <f>IFERROR(__xludf.DUMMYFUNCTION("""COMPUTED_VALUE"""),708257.0)</f>
        <v>708257</v>
      </c>
      <c r="H1891" s="27">
        <f>IFERROR(__xludf.DUMMYFUNCTION("""COMPUTED_VALUE"""),41149.645833333336)</f>
        <v>41149.64583</v>
      </c>
      <c r="I1891" s="25">
        <f>IFERROR(__xludf.DUMMYFUNCTION("""COMPUTED_VALUE"""),663.48)</f>
        <v>663.48</v>
      </c>
      <c r="J1891" s="25">
        <f>IFERROR(__xludf.DUMMYFUNCTION("""COMPUTED_VALUE"""),677.33)</f>
        <v>677.33</v>
      </c>
      <c r="K1891" s="25">
        <f>IFERROR(__xludf.DUMMYFUNCTION("""COMPUTED_VALUE"""),657.5)</f>
        <v>657.5</v>
      </c>
      <c r="L1891" s="25">
        <f>IFERROR(__xludf.DUMMYFUNCTION("""COMPUTED_VALUE"""),675.45)</f>
        <v>675.45</v>
      </c>
      <c r="M1891" s="25">
        <f>IFERROR(__xludf.DUMMYFUNCTION("""COMPUTED_VALUE"""),1133102.0)</f>
        <v>1133102</v>
      </c>
    </row>
    <row r="1892">
      <c r="A1892" s="26">
        <f>IFERROR(__xludf.DUMMYFUNCTION("""COMPUTED_VALUE"""),41150.645833333336)</f>
        <v>41150.64583</v>
      </c>
      <c r="B1892" s="9">
        <f>IFERROR(__xludf.DUMMYFUNCTION("""COMPUTED_VALUE"""),302.75)</f>
        <v>302.75</v>
      </c>
      <c r="C1892" s="9">
        <f>IFERROR(__xludf.DUMMYFUNCTION("""COMPUTED_VALUE"""),302.75)</f>
        <v>302.75</v>
      </c>
      <c r="D1892" s="9">
        <f>IFERROR(__xludf.DUMMYFUNCTION("""COMPUTED_VALUE"""),297.81)</f>
        <v>297.81</v>
      </c>
      <c r="E1892" s="9">
        <f>IFERROR(__xludf.DUMMYFUNCTION("""COMPUTED_VALUE"""),298.54)</f>
        <v>298.54</v>
      </c>
      <c r="F1892" s="9">
        <f>IFERROR(__xludf.DUMMYFUNCTION("""COMPUTED_VALUE"""),702052.0)</f>
        <v>702052</v>
      </c>
      <c r="H1892" s="27">
        <f>IFERROR(__xludf.DUMMYFUNCTION("""COMPUTED_VALUE"""),41150.645833333336)</f>
        <v>41150.64583</v>
      </c>
      <c r="I1892" s="25">
        <f>IFERROR(__xludf.DUMMYFUNCTION("""COMPUTED_VALUE"""),675.0)</f>
        <v>675</v>
      </c>
      <c r="J1892" s="25">
        <f>IFERROR(__xludf.DUMMYFUNCTION("""COMPUTED_VALUE"""),679.0)</f>
        <v>679</v>
      </c>
      <c r="K1892" s="25">
        <f>IFERROR(__xludf.DUMMYFUNCTION("""COMPUTED_VALUE"""),667.5)</f>
        <v>667.5</v>
      </c>
      <c r="L1892" s="25">
        <f>IFERROR(__xludf.DUMMYFUNCTION("""COMPUTED_VALUE"""),671.65)</f>
        <v>671.65</v>
      </c>
      <c r="M1892" s="25">
        <f>IFERROR(__xludf.DUMMYFUNCTION("""COMPUTED_VALUE"""),1069645.0)</f>
        <v>1069645</v>
      </c>
    </row>
    <row r="1893">
      <c r="A1893" s="26">
        <f>IFERROR(__xludf.DUMMYFUNCTION("""COMPUTED_VALUE"""),41151.645833333336)</f>
        <v>41151.64583</v>
      </c>
      <c r="B1893" s="9">
        <f>IFERROR(__xludf.DUMMYFUNCTION("""COMPUTED_VALUE"""),297.98)</f>
        <v>297.98</v>
      </c>
      <c r="C1893" s="9">
        <f>IFERROR(__xludf.DUMMYFUNCTION("""COMPUTED_VALUE"""),300.77)</f>
        <v>300.77</v>
      </c>
      <c r="D1893" s="9">
        <f>IFERROR(__xludf.DUMMYFUNCTION("""COMPUTED_VALUE"""),296.26)</f>
        <v>296.26</v>
      </c>
      <c r="E1893" s="9">
        <f>IFERROR(__xludf.DUMMYFUNCTION("""COMPUTED_VALUE"""),299.09)</f>
        <v>299.09</v>
      </c>
      <c r="F1893" s="9">
        <f>IFERROR(__xludf.DUMMYFUNCTION("""COMPUTED_VALUE"""),1396924.0)</f>
        <v>1396924</v>
      </c>
      <c r="H1893" s="27">
        <f>IFERROR(__xludf.DUMMYFUNCTION("""COMPUTED_VALUE"""),41151.645833333336)</f>
        <v>41151.64583</v>
      </c>
      <c r="I1893" s="25">
        <f>IFERROR(__xludf.DUMMYFUNCTION("""COMPUTED_VALUE"""),669.95)</f>
        <v>669.95</v>
      </c>
      <c r="J1893" s="25">
        <f>IFERROR(__xludf.DUMMYFUNCTION("""COMPUTED_VALUE"""),694.4)</f>
        <v>694.4</v>
      </c>
      <c r="K1893" s="25">
        <f>IFERROR(__xludf.DUMMYFUNCTION("""COMPUTED_VALUE"""),661.7)</f>
        <v>661.7</v>
      </c>
      <c r="L1893" s="25">
        <f>IFERROR(__xludf.DUMMYFUNCTION("""COMPUTED_VALUE"""),683.58)</f>
        <v>683.58</v>
      </c>
      <c r="M1893" s="25">
        <f>IFERROR(__xludf.DUMMYFUNCTION("""COMPUTED_VALUE"""),1666716.0)</f>
        <v>1666716</v>
      </c>
    </row>
    <row r="1894">
      <c r="A1894" s="26">
        <f>IFERROR(__xludf.DUMMYFUNCTION("""COMPUTED_VALUE"""),41152.645833333336)</f>
        <v>41152.64583</v>
      </c>
      <c r="B1894" s="9">
        <f>IFERROR(__xludf.DUMMYFUNCTION("""COMPUTED_VALUE"""),298.25)</f>
        <v>298.25</v>
      </c>
      <c r="C1894" s="9">
        <f>IFERROR(__xludf.DUMMYFUNCTION("""COMPUTED_VALUE"""),298.25)</f>
        <v>298.25</v>
      </c>
      <c r="D1894" s="9">
        <f>IFERROR(__xludf.DUMMYFUNCTION("""COMPUTED_VALUE"""),294.34)</f>
        <v>294.34</v>
      </c>
      <c r="E1894" s="9">
        <f>IFERROR(__xludf.DUMMYFUNCTION("""COMPUTED_VALUE"""),295.21)</f>
        <v>295.21</v>
      </c>
      <c r="F1894" s="9">
        <f>IFERROR(__xludf.DUMMYFUNCTION("""COMPUTED_VALUE"""),726383.0)</f>
        <v>726383</v>
      </c>
      <c r="H1894" s="27">
        <f>IFERROR(__xludf.DUMMYFUNCTION("""COMPUTED_VALUE"""),41152.645833333336)</f>
        <v>41152.64583</v>
      </c>
      <c r="I1894" s="25">
        <f>IFERROR(__xludf.DUMMYFUNCTION("""COMPUTED_VALUE"""),678.5)</f>
        <v>678.5</v>
      </c>
      <c r="J1894" s="25">
        <f>IFERROR(__xludf.DUMMYFUNCTION("""COMPUTED_VALUE"""),679.5)</f>
        <v>679.5</v>
      </c>
      <c r="K1894" s="25">
        <f>IFERROR(__xludf.DUMMYFUNCTION("""COMPUTED_VALUE"""),667.33)</f>
        <v>667.33</v>
      </c>
      <c r="L1894" s="25">
        <f>IFERROR(__xludf.DUMMYFUNCTION("""COMPUTED_VALUE"""),671.88)</f>
        <v>671.88</v>
      </c>
      <c r="M1894" s="25">
        <f>IFERROR(__xludf.DUMMYFUNCTION("""COMPUTED_VALUE"""),886924.0)</f>
        <v>886924</v>
      </c>
    </row>
    <row r="1895">
      <c r="A1895" s="26">
        <f>IFERROR(__xludf.DUMMYFUNCTION("""COMPUTED_VALUE"""),41155.645833333336)</f>
        <v>41155.64583</v>
      </c>
      <c r="B1895" s="9">
        <f>IFERROR(__xludf.DUMMYFUNCTION("""COMPUTED_VALUE"""),295.75)</f>
        <v>295.75</v>
      </c>
      <c r="C1895" s="9">
        <f>IFERROR(__xludf.DUMMYFUNCTION("""COMPUTED_VALUE"""),299.86)</f>
        <v>299.86</v>
      </c>
      <c r="D1895" s="9">
        <f>IFERROR(__xludf.DUMMYFUNCTION("""COMPUTED_VALUE"""),294.75)</f>
        <v>294.75</v>
      </c>
      <c r="E1895" s="9">
        <f>IFERROR(__xludf.DUMMYFUNCTION("""COMPUTED_VALUE"""),295.64)</f>
        <v>295.64</v>
      </c>
      <c r="F1895" s="9">
        <f>IFERROR(__xludf.DUMMYFUNCTION("""COMPUTED_VALUE"""),540189.0)</f>
        <v>540189</v>
      </c>
      <c r="H1895" s="27">
        <f>IFERROR(__xludf.DUMMYFUNCTION("""COMPUTED_VALUE"""),41155.645833333336)</f>
        <v>41155.64583</v>
      </c>
      <c r="I1895" s="25">
        <f>IFERROR(__xludf.DUMMYFUNCTION("""COMPUTED_VALUE"""),675.0)</f>
        <v>675</v>
      </c>
      <c r="J1895" s="25">
        <f>IFERROR(__xludf.DUMMYFUNCTION("""COMPUTED_VALUE"""),677.45)</f>
        <v>677.45</v>
      </c>
      <c r="K1895" s="25">
        <f>IFERROR(__xludf.DUMMYFUNCTION("""COMPUTED_VALUE"""),666.5)</f>
        <v>666.5</v>
      </c>
      <c r="L1895" s="25">
        <f>IFERROR(__xludf.DUMMYFUNCTION("""COMPUTED_VALUE"""),668.93)</f>
        <v>668.93</v>
      </c>
      <c r="M1895" s="25">
        <f>IFERROR(__xludf.DUMMYFUNCTION("""COMPUTED_VALUE"""),611913.0)</f>
        <v>611913</v>
      </c>
    </row>
    <row r="1896">
      <c r="A1896" s="26">
        <f>IFERROR(__xludf.DUMMYFUNCTION("""COMPUTED_VALUE"""),41156.645833333336)</f>
        <v>41156.64583</v>
      </c>
      <c r="B1896" s="9">
        <f>IFERROR(__xludf.DUMMYFUNCTION("""COMPUTED_VALUE"""),295.04)</f>
        <v>295.04</v>
      </c>
      <c r="C1896" s="9">
        <f>IFERROR(__xludf.DUMMYFUNCTION("""COMPUTED_VALUE"""),296.5)</f>
        <v>296.5</v>
      </c>
      <c r="D1896" s="9">
        <f>IFERROR(__xludf.DUMMYFUNCTION("""COMPUTED_VALUE"""),293.01)</f>
        <v>293.01</v>
      </c>
      <c r="E1896" s="9">
        <f>IFERROR(__xludf.DUMMYFUNCTION("""COMPUTED_VALUE"""),295.1)</f>
        <v>295.1</v>
      </c>
      <c r="F1896" s="9">
        <f>IFERROR(__xludf.DUMMYFUNCTION("""COMPUTED_VALUE"""),291666.0)</f>
        <v>291666</v>
      </c>
      <c r="H1896" s="27">
        <f>IFERROR(__xludf.DUMMYFUNCTION("""COMPUTED_VALUE"""),41156.645833333336)</f>
        <v>41156.64583</v>
      </c>
      <c r="I1896" s="25">
        <f>IFERROR(__xludf.DUMMYFUNCTION("""COMPUTED_VALUE"""),666.45)</f>
        <v>666.45</v>
      </c>
      <c r="J1896" s="25">
        <f>IFERROR(__xludf.DUMMYFUNCTION("""COMPUTED_VALUE"""),673.5)</f>
        <v>673.5</v>
      </c>
      <c r="K1896" s="25">
        <f>IFERROR(__xludf.DUMMYFUNCTION("""COMPUTED_VALUE"""),661.03)</f>
        <v>661.03</v>
      </c>
      <c r="L1896" s="25">
        <f>IFERROR(__xludf.DUMMYFUNCTION("""COMPUTED_VALUE"""),670.43)</f>
        <v>670.43</v>
      </c>
      <c r="M1896" s="25">
        <f>IFERROR(__xludf.DUMMYFUNCTION("""COMPUTED_VALUE"""),754009.0)</f>
        <v>754009</v>
      </c>
    </row>
    <row r="1897">
      <c r="A1897" s="26">
        <f>IFERROR(__xludf.DUMMYFUNCTION("""COMPUTED_VALUE"""),41157.645833333336)</f>
        <v>41157.64583</v>
      </c>
      <c r="B1897" s="9">
        <f>IFERROR(__xludf.DUMMYFUNCTION("""COMPUTED_VALUE"""),293.38)</f>
        <v>293.38</v>
      </c>
      <c r="C1897" s="9">
        <f>IFERROR(__xludf.DUMMYFUNCTION("""COMPUTED_VALUE"""),294.63)</f>
        <v>294.63</v>
      </c>
      <c r="D1897" s="9">
        <f>IFERROR(__xludf.DUMMYFUNCTION("""COMPUTED_VALUE"""),291.52)</f>
        <v>291.52</v>
      </c>
      <c r="E1897" s="9">
        <f>IFERROR(__xludf.DUMMYFUNCTION("""COMPUTED_VALUE"""),292.43)</f>
        <v>292.43</v>
      </c>
      <c r="F1897" s="9">
        <f>IFERROR(__xludf.DUMMYFUNCTION("""COMPUTED_VALUE"""),501653.0)</f>
        <v>501653</v>
      </c>
      <c r="H1897" s="27">
        <f>IFERROR(__xludf.DUMMYFUNCTION("""COMPUTED_VALUE"""),41157.645833333336)</f>
        <v>41157.64583</v>
      </c>
      <c r="I1897" s="25">
        <f>IFERROR(__xludf.DUMMYFUNCTION("""COMPUTED_VALUE"""),669.75)</f>
        <v>669.75</v>
      </c>
      <c r="J1897" s="25">
        <f>IFERROR(__xludf.DUMMYFUNCTION("""COMPUTED_VALUE"""),685.5)</f>
        <v>685.5</v>
      </c>
      <c r="K1897" s="25">
        <f>IFERROR(__xludf.DUMMYFUNCTION("""COMPUTED_VALUE"""),666.0)</f>
        <v>666</v>
      </c>
      <c r="L1897" s="25">
        <f>IFERROR(__xludf.DUMMYFUNCTION("""COMPUTED_VALUE"""),682.25)</f>
        <v>682.25</v>
      </c>
      <c r="M1897" s="25">
        <f>IFERROR(__xludf.DUMMYFUNCTION("""COMPUTED_VALUE"""),1014480.0)</f>
        <v>1014480</v>
      </c>
    </row>
    <row r="1898">
      <c r="A1898" s="26">
        <f>IFERROR(__xludf.DUMMYFUNCTION("""COMPUTED_VALUE"""),41158.645833333336)</f>
        <v>41158.64583</v>
      </c>
      <c r="B1898" s="9">
        <f>IFERROR(__xludf.DUMMYFUNCTION("""COMPUTED_VALUE"""),293.81)</f>
        <v>293.81</v>
      </c>
      <c r="C1898" s="9">
        <f>IFERROR(__xludf.DUMMYFUNCTION("""COMPUTED_VALUE"""),303.49)</f>
        <v>303.49</v>
      </c>
      <c r="D1898" s="9">
        <f>IFERROR(__xludf.DUMMYFUNCTION("""COMPUTED_VALUE"""),293.81)</f>
        <v>293.81</v>
      </c>
      <c r="E1898" s="9">
        <f>IFERROR(__xludf.DUMMYFUNCTION("""COMPUTED_VALUE"""),302.75)</f>
        <v>302.75</v>
      </c>
      <c r="F1898" s="9">
        <f>IFERROR(__xludf.DUMMYFUNCTION("""COMPUTED_VALUE"""),952923.0)</f>
        <v>952923</v>
      </c>
      <c r="H1898" s="27">
        <f>IFERROR(__xludf.DUMMYFUNCTION("""COMPUTED_VALUE"""),41158.645833333336)</f>
        <v>41158.64583</v>
      </c>
      <c r="I1898" s="25">
        <f>IFERROR(__xludf.DUMMYFUNCTION("""COMPUTED_VALUE"""),682.05)</f>
        <v>682.05</v>
      </c>
      <c r="J1898" s="25">
        <f>IFERROR(__xludf.DUMMYFUNCTION("""COMPUTED_VALUE"""),689.95)</f>
        <v>689.95</v>
      </c>
      <c r="K1898" s="25">
        <f>IFERROR(__xludf.DUMMYFUNCTION("""COMPUTED_VALUE"""),676.83)</f>
        <v>676.83</v>
      </c>
      <c r="L1898" s="25">
        <f>IFERROR(__xludf.DUMMYFUNCTION("""COMPUTED_VALUE"""),687.8)</f>
        <v>687.8</v>
      </c>
      <c r="M1898" s="25">
        <f>IFERROR(__xludf.DUMMYFUNCTION("""COMPUTED_VALUE"""),1145842.0)</f>
        <v>1145842</v>
      </c>
    </row>
    <row r="1899">
      <c r="A1899" s="26">
        <f>IFERROR(__xludf.DUMMYFUNCTION("""COMPUTED_VALUE"""),41159.645833333336)</f>
        <v>41159.64583</v>
      </c>
      <c r="B1899" s="9">
        <f>IFERROR(__xludf.DUMMYFUNCTION("""COMPUTED_VALUE"""),306.88)</f>
        <v>306.88</v>
      </c>
      <c r="C1899" s="9">
        <f>IFERROR(__xludf.DUMMYFUNCTION("""COMPUTED_VALUE"""),311.75)</f>
        <v>311.75</v>
      </c>
      <c r="D1899" s="9">
        <f>IFERROR(__xludf.DUMMYFUNCTION("""COMPUTED_VALUE"""),306.39)</f>
        <v>306.39</v>
      </c>
      <c r="E1899" s="9">
        <f>IFERROR(__xludf.DUMMYFUNCTION("""COMPUTED_VALUE"""),310.91)</f>
        <v>310.91</v>
      </c>
      <c r="F1899" s="9">
        <f>IFERROR(__xludf.DUMMYFUNCTION("""COMPUTED_VALUE"""),759462.0)</f>
        <v>759462</v>
      </c>
      <c r="H1899" s="27">
        <f>IFERROR(__xludf.DUMMYFUNCTION("""COMPUTED_VALUE"""),41159.645833333336)</f>
        <v>41159.64583</v>
      </c>
      <c r="I1899" s="25">
        <f>IFERROR(__xludf.DUMMYFUNCTION("""COMPUTED_VALUE"""),695.0)</f>
        <v>695</v>
      </c>
      <c r="J1899" s="25">
        <f>IFERROR(__xludf.DUMMYFUNCTION("""COMPUTED_VALUE"""),698.4)</f>
        <v>698.4</v>
      </c>
      <c r="K1899" s="25">
        <f>IFERROR(__xludf.DUMMYFUNCTION("""COMPUTED_VALUE"""),689.45)</f>
        <v>689.45</v>
      </c>
      <c r="L1899" s="25">
        <f>IFERROR(__xludf.DUMMYFUNCTION("""COMPUTED_VALUE"""),693.35)</f>
        <v>693.35</v>
      </c>
      <c r="M1899" s="25">
        <f>IFERROR(__xludf.DUMMYFUNCTION("""COMPUTED_VALUE"""),1318328.0)</f>
        <v>1318328</v>
      </c>
    </row>
    <row r="1900">
      <c r="A1900" s="26">
        <f>IFERROR(__xludf.DUMMYFUNCTION("""COMPUTED_VALUE"""),41162.645833333336)</f>
        <v>41162.64583</v>
      </c>
      <c r="B1900" s="9">
        <f>IFERROR(__xludf.DUMMYFUNCTION("""COMPUTED_VALUE"""),312.0)</f>
        <v>312</v>
      </c>
      <c r="C1900" s="9">
        <f>IFERROR(__xludf.DUMMYFUNCTION("""COMPUTED_VALUE"""),315.88)</f>
        <v>315.88</v>
      </c>
      <c r="D1900" s="9">
        <f>IFERROR(__xludf.DUMMYFUNCTION("""COMPUTED_VALUE"""),309.84)</f>
        <v>309.84</v>
      </c>
      <c r="E1900" s="9">
        <f>IFERROR(__xludf.DUMMYFUNCTION("""COMPUTED_VALUE"""),314.04)</f>
        <v>314.04</v>
      </c>
      <c r="F1900" s="9">
        <f>IFERROR(__xludf.DUMMYFUNCTION("""COMPUTED_VALUE"""),917165.0)</f>
        <v>917165</v>
      </c>
      <c r="H1900" s="27">
        <f>IFERROR(__xludf.DUMMYFUNCTION("""COMPUTED_VALUE"""),41162.645833333336)</f>
        <v>41162.64583</v>
      </c>
      <c r="I1900" s="25">
        <f>IFERROR(__xludf.DUMMYFUNCTION("""COMPUTED_VALUE"""),691.6)</f>
        <v>691.6</v>
      </c>
      <c r="J1900" s="25">
        <f>IFERROR(__xludf.DUMMYFUNCTION("""COMPUTED_VALUE"""),691.95)</f>
        <v>691.95</v>
      </c>
      <c r="K1900" s="25">
        <f>IFERROR(__xludf.DUMMYFUNCTION("""COMPUTED_VALUE"""),682.98)</f>
        <v>682.98</v>
      </c>
      <c r="L1900" s="25">
        <f>IFERROR(__xludf.DUMMYFUNCTION("""COMPUTED_VALUE"""),685.73)</f>
        <v>685.73</v>
      </c>
      <c r="M1900" s="25">
        <f>IFERROR(__xludf.DUMMYFUNCTION("""COMPUTED_VALUE"""),738012.0)</f>
        <v>738012</v>
      </c>
    </row>
    <row r="1901">
      <c r="A1901" s="26">
        <f>IFERROR(__xludf.DUMMYFUNCTION("""COMPUTED_VALUE"""),41163.645833333336)</f>
        <v>41163.64583</v>
      </c>
      <c r="B1901" s="9">
        <f>IFERROR(__xludf.DUMMYFUNCTION("""COMPUTED_VALUE"""),312.5)</f>
        <v>312.5</v>
      </c>
      <c r="C1901" s="9">
        <f>IFERROR(__xludf.DUMMYFUNCTION("""COMPUTED_VALUE"""),316.99)</f>
        <v>316.99</v>
      </c>
      <c r="D1901" s="9">
        <f>IFERROR(__xludf.DUMMYFUNCTION("""COMPUTED_VALUE"""),309.33)</f>
        <v>309.33</v>
      </c>
      <c r="E1901" s="9">
        <f>IFERROR(__xludf.DUMMYFUNCTION("""COMPUTED_VALUE"""),316.19)</f>
        <v>316.19</v>
      </c>
      <c r="F1901" s="9">
        <f>IFERROR(__xludf.DUMMYFUNCTION("""COMPUTED_VALUE"""),680238.0)</f>
        <v>680238</v>
      </c>
      <c r="H1901" s="27">
        <f>IFERROR(__xludf.DUMMYFUNCTION("""COMPUTED_VALUE"""),41163.645833333336)</f>
        <v>41163.64583</v>
      </c>
      <c r="I1901" s="25">
        <f>IFERROR(__xludf.DUMMYFUNCTION("""COMPUTED_VALUE"""),684.5)</f>
        <v>684.5</v>
      </c>
      <c r="J1901" s="25">
        <f>IFERROR(__xludf.DUMMYFUNCTION("""COMPUTED_VALUE"""),697.8)</f>
        <v>697.8</v>
      </c>
      <c r="K1901" s="25">
        <f>IFERROR(__xludf.DUMMYFUNCTION("""COMPUTED_VALUE"""),682.03)</f>
        <v>682.03</v>
      </c>
      <c r="L1901" s="25">
        <f>IFERROR(__xludf.DUMMYFUNCTION("""COMPUTED_VALUE"""),696.33)</f>
        <v>696.33</v>
      </c>
      <c r="M1901" s="25">
        <f>IFERROR(__xludf.DUMMYFUNCTION("""COMPUTED_VALUE"""),637090.0)</f>
        <v>637090</v>
      </c>
    </row>
    <row r="1902">
      <c r="A1902" s="26">
        <f>IFERROR(__xludf.DUMMYFUNCTION("""COMPUTED_VALUE"""),41164.645833333336)</f>
        <v>41164.64583</v>
      </c>
      <c r="B1902" s="9">
        <f>IFERROR(__xludf.DUMMYFUNCTION("""COMPUTED_VALUE"""),316.38)</f>
        <v>316.38</v>
      </c>
      <c r="C1902" s="9">
        <f>IFERROR(__xludf.DUMMYFUNCTION("""COMPUTED_VALUE"""),318.74)</f>
        <v>318.74</v>
      </c>
      <c r="D1902" s="9">
        <f>IFERROR(__xludf.DUMMYFUNCTION("""COMPUTED_VALUE"""),315.14)</f>
        <v>315.14</v>
      </c>
      <c r="E1902" s="9">
        <f>IFERROR(__xludf.DUMMYFUNCTION("""COMPUTED_VALUE"""),317.46)</f>
        <v>317.46</v>
      </c>
      <c r="F1902" s="9">
        <f>IFERROR(__xludf.DUMMYFUNCTION("""COMPUTED_VALUE"""),635416.0)</f>
        <v>635416</v>
      </c>
      <c r="H1902" s="27">
        <f>IFERROR(__xludf.DUMMYFUNCTION("""COMPUTED_VALUE"""),41164.645833333336)</f>
        <v>41164.64583</v>
      </c>
      <c r="I1902" s="25">
        <f>IFERROR(__xludf.DUMMYFUNCTION("""COMPUTED_VALUE"""),698.48)</f>
        <v>698.48</v>
      </c>
      <c r="J1902" s="25">
        <f>IFERROR(__xludf.DUMMYFUNCTION("""COMPUTED_VALUE"""),710.5)</f>
        <v>710.5</v>
      </c>
      <c r="K1902" s="25">
        <f>IFERROR(__xludf.DUMMYFUNCTION("""COMPUTED_VALUE"""),694.95)</f>
        <v>694.95</v>
      </c>
      <c r="L1902" s="25">
        <f>IFERROR(__xludf.DUMMYFUNCTION("""COMPUTED_VALUE"""),707.45)</f>
        <v>707.45</v>
      </c>
      <c r="M1902" s="25">
        <f>IFERROR(__xludf.DUMMYFUNCTION("""COMPUTED_VALUE"""),1057233.0)</f>
        <v>1057233</v>
      </c>
    </row>
    <row r="1903">
      <c r="A1903" s="26">
        <f>IFERROR(__xludf.DUMMYFUNCTION("""COMPUTED_VALUE"""),41165.645833333336)</f>
        <v>41165.64583</v>
      </c>
      <c r="B1903" s="9">
        <f>IFERROR(__xludf.DUMMYFUNCTION("""COMPUTED_VALUE"""),317.35)</f>
        <v>317.35</v>
      </c>
      <c r="C1903" s="9">
        <f>IFERROR(__xludf.DUMMYFUNCTION("""COMPUTED_VALUE"""),320.86)</f>
        <v>320.86</v>
      </c>
      <c r="D1903" s="9">
        <f>IFERROR(__xludf.DUMMYFUNCTION("""COMPUTED_VALUE"""),314.75)</f>
        <v>314.75</v>
      </c>
      <c r="E1903" s="9">
        <f>IFERROR(__xludf.DUMMYFUNCTION("""COMPUTED_VALUE"""),319.38)</f>
        <v>319.38</v>
      </c>
      <c r="F1903" s="9">
        <f>IFERROR(__xludf.DUMMYFUNCTION("""COMPUTED_VALUE"""),656213.0)</f>
        <v>656213</v>
      </c>
      <c r="H1903" s="27">
        <f>IFERROR(__xludf.DUMMYFUNCTION("""COMPUTED_VALUE"""),41165.645833333336)</f>
        <v>41165.64583</v>
      </c>
      <c r="I1903" s="25">
        <f>IFERROR(__xludf.DUMMYFUNCTION("""COMPUTED_VALUE"""),706.5)</f>
        <v>706.5</v>
      </c>
      <c r="J1903" s="25">
        <f>IFERROR(__xludf.DUMMYFUNCTION("""COMPUTED_VALUE"""),711.98)</f>
        <v>711.98</v>
      </c>
      <c r="K1903" s="25">
        <f>IFERROR(__xludf.DUMMYFUNCTION("""COMPUTED_VALUE"""),704.78)</f>
        <v>704.78</v>
      </c>
      <c r="L1903" s="25">
        <f>IFERROR(__xludf.DUMMYFUNCTION("""COMPUTED_VALUE"""),708.85)</f>
        <v>708.85</v>
      </c>
      <c r="M1903" s="25">
        <f>IFERROR(__xludf.DUMMYFUNCTION("""COMPUTED_VALUE"""),940605.0)</f>
        <v>940605</v>
      </c>
    </row>
    <row r="1904">
      <c r="A1904" s="26">
        <f>IFERROR(__xludf.DUMMYFUNCTION("""COMPUTED_VALUE"""),41166.645833333336)</f>
        <v>41166.64583</v>
      </c>
      <c r="B1904" s="9">
        <f>IFERROR(__xludf.DUMMYFUNCTION("""COMPUTED_VALUE"""),323.5)</f>
        <v>323.5</v>
      </c>
      <c r="C1904" s="9">
        <f>IFERROR(__xludf.DUMMYFUNCTION("""COMPUTED_VALUE"""),330.59)</f>
        <v>330.59</v>
      </c>
      <c r="D1904" s="9">
        <f>IFERROR(__xludf.DUMMYFUNCTION("""COMPUTED_VALUE"""),323.26)</f>
        <v>323.26</v>
      </c>
      <c r="E1904" s="9">
        <f>IFERROR(__xludf.DUMMYFUNCTION("""COMPUTED_VALUE"""),329.01)</f>
        <v>329.01</v>
      </c>
      <c r="F1904" s="9">
        <f>IFERROR(__xludf.DUMMYFUNCTION("""COMPUTED_VALUE"""),1328481.0)</f>
        <v>1328481</v>
      </c>
      <c r="H1904" s="27">
        <f>IFERROR(__xludf.DUMMYFUNCTION("""COMPUTED_VALUE"""),41166.645833333336)</f>
        <v>41166.64583</v>
      </c>
      <c r="I1904" s="25">
        <f>IFERROR(__xludf.DUMMYFUNCTION("""COMPUTED_VALUE"""),714.0)</f>
        <v>714</v>
      </c>
      <c r="J1904" s="25">
        <f>IFERROR(__xludf.DUMMYFUNCTION("""COMPUTED_VALUE"""),719.9)</f>
        <v>719.9</v>
      </c>
      <c r="K1904" s="25">
        <f>IFERROR(__xludf.DUMMYFUNCTION("""COMPUTED_VALUE"""),701.08)</f>
        <v>701.08</v>
      </c>
      <c r="L1904" s="25">
        <f>IFERROR(__xludf.DUMMYFUNCTION("""COMPUTED_VALUE"""),706.55)</f>
        <v>706.55</v>
      </c>
      <c r="M1904" s="25">
        <f>IFERROR(__xludf.DUMMYFUNCTION("""COMPUTED_VALUE"""),1407420.0)</f>
        <v>1407420</v>
      </c>
    </row>
    <row r="1905">
      <c r="A1905" s="26">
        <f>IFERROR(__xludf.DUMMYFUNCTION("""COMPUTED_VALUE"""),41169.645833333336)</f>
        <v>41169.64583</v>
      </c>
      <c r="B1905" s="9">
        <f>IFERROR(__xludf.DUMMYFUNCTION("""COMPUTED_VALUE"""),331.13)</f>
        <v>331.13</v>
      </c>
      <c r="C1905" s="9">
        <f>IFERROR(__xludf.DUMMYFUNCTION("""COMPUTED_VALUE"""),331.13)</f>
        <v>331.13</v>
      </c>
      <c r="D1905" s="9">
        <f>IFERROR(__xludf.DUMMYFUNCTION("""COMPUTED_VALUE"""),318.38)</f>
        <v>318.38</v>
      </c>
      <c r="E1905" s="9">
        <f>IFERROR(__xludf.DUMMYFUNCTION("""COMPUTED_VALUE"""),320.56)</f>
        <v>320.56</v>
      </c>
      <c r="F1905" s="9">
        <f>IFERROR(__xludf.DUMMYFUNCTION("""COMPUTED_VALUE"""),1232409.0)</f>
        <v>1232409</v>
      </c>
      <c r="H1905" s="27">
        <f>IFERROR(__xludf.DUMMYFUNCTION("""COMPUTED_VALUE"""),41169.645833333336)</f>
        <v>41169.64583</v>
      </c>
      <c r="I1905" s="25">
        <f>IFERROR(__xludf.DUMMYFUNCTION("""COMPUTED_VALUE"""),709.13)</f>
        <v>709.13</v>
      </c>
      <c r="J1905" s="25">
        <f>IFERROR(__xludf.DUMMYFUNCTION("""COMPUTED_VALUE"""),710.78)</f>
        <v>710.78</v>
      </c>
      <c r="K1905" s="25">
        <f>IFERROR(__xludf.DUMMYFUNCTION("""COMPUTED_VALUE"""),667.75)</f>
        <v>667.75</v>
      </c>
      <c r="L1905" s="25">
        <f>IFERROR(__xludf.DUMMYFUNCTION("""COMPUTED_VALUE"""),671.05)</f>
        <v>671.05</v>
      </c>
      <c r="M1905" s="25">
        <f>IFERROR(__xludf.DUMMYFUNCTION("""COMPUTED_VALUE"""),2547195.0)</f>
        <v>2547195</v>
      </c>
    </row>
    <row r="1906">
      <c r="A1906" s="26">
        <f>IFERROR(__xludf.DUMMYFUNCTION("""COMPUTED_VALUE"""),41170.645833333336)</f>
        <v>41170.64583</v>
      </c>
      <c r="B1906" s="9">
        <f>IFERROR(__xludf.DUMMYFUNCTION("""COMPUTED_VALUE"""),322.5)</f>
        <v>322.5</v>
      </c>
      <c r="C1906" s="9">
        <f>IFERROR(__xludf.DUMMYFUNCTION("""COMPUTED_VALUE"""),327.38)</f>
        <v>327.38</v>
      </c>
      <c r="D1906" s="9">
        <f>IFERROR(__xludf.DUMMYFUNCTION("""COMPUTED_VALUE"""),322.25)</f>
        <v>322.25</v>
      </c>
      <c r="E1906" s="9">
        <f>IFERROR(__xludf.DUMMYFUNCTION("""COMPUTED_VALUE"""),325.1)</f>
        <v>325.1</v>
      </c>
      <c r="F1906" s="9">
        <f>IFERROR(__xludf.DUMMYFUNCTION("""COMPUTED_VALUE"""),898025.0)</f>
        <v>898025</v>
      </c>
      <c r="H1906" s="27">
        <f>IFERROR(__xludf.DUMMYFUNCTION("""COMPUTED_VALUE"""),41170.645833333336)</f>
        <v>41170.64583</v>
      </c>
      <c r="I1906" s="25">
        <f>IFERROR(__xludf.DUMMYFUNCTION("""COMPUTED_VALUE"""),672.5)</f>
        <v>672.5</v>
      </c>
      <c r="J1906" s="25">
        <f>IFERROR(__xludf.DUMMYFUNCTION("""COMPUTED_VALUE"""),672.5)</f>
        <v>672.5</v>
      </c>
      <c r="K1906" s="25">
        <f>IFERROR(__xludf.DUMMYFUNCTION("""COMPUTED_VALUE"""),646.28)</f>
        <v>646.28</v>
      </c>
      <c r="L1906" s="25">
        <f>IFERROR(__xludf.DUMMYFUNCTION("""COMPUTED_VALUE"""),649.9)</f>
        <v>649.9</v>
      </c>
      <c r="M1906" s="25">
        <f>IFERROR(__xludf.DUMMYFUNCTION("""COMPUTED_VALUE"""),3610103.0)</f>
        <v>3610103</v>
      </c>
    </row>
    <row r="1907">
      <c r="A1907" s="26">
        <f>IFERROR(__xludf.DUMMYFUNCTION("""COMPUTED_VALUE"""),41172.645833333336)</f>
        <v>41172.64583</v>
      </c>
      <c r="B1907" s="9">
        <f>IFERROR(__xludf.DUMMYFUNCTION("""COMPUTED_VALUE"""),319.58)</f>
        <v>319.58</v>
      </c>
      <c r="C1907" s="9">
        <f>IFERROR(__xludf.DUMMYFUNCTION("""COMPUTED_VALUE"""),330.63)</f>
        <v>330.63</v>
      </c>
      <c r="D1907" s="9">
        <f>IFERROR(__xludf.DUMMYFUNCTION("""COMPUTED_VALUE"""),319.58)</f>
        <v>319.58</v>
      </c>
      <c r="E1907" s="9">
        <f>IFERROR(__xludf.DUMMYFUNCTION("""COMPUTED_VALUE"""),327.15)</f>
        <v>327.15</v>
      </c>
      <c r="F1907" s="9">
        <f>IFERROR(__xludf.DUMMYFUNCTION("""COMPUTED_VALUE"""),1453142.0)</f>
        <v>1453142</v>
      </c>
      <c r="H1907" s="27">
        <f>IFERROR(__xludf.DUMMYFUNCTION("""COMPUTED_VALUE"""),41172.645833333336)</f>
        <v>41172.64583</v>
      </c>
      <c r="I1907" s="25">
        <f>IFERROR(__xludf.DUMMYFUNCTION("""COMPUTED_VALUE"""),647.5)</f>
        <v>647.5</v>
      </c>
      <c r="J1907" s="25">
        <f>IFERROR(__xludf.DUMMYFUNCTION("""COMPUTED_VALUE"""),668.45)</f>
        <v>668.45</v>
      </c>
      <c r="K1907" s="25">
        <f>IFERROR(__xludf.DUMMYFUNCTION("""COMPUTED_VALUE"""),645.8)</f>
        <v>645.8</v>
      </c>
      <c r="L1907" s="25">
        <f>IFERROR(__xludf.DUMMYFUNCTION("""COMPUTED_VALUE"""),661.0)</f>
        <v>661</v>
      </c>
      <c r="M1907" s="25">
        <f>IFERROR(__xludf.DUMMYFUNCTION("""COMPUTED_VALUE"""),2021253.0)</f>
        <v>2021253</v>
      </c>
    </row>
    <row r="1908">
      <c r="A1908" s="26">
        <f>IFERROR(__xludf.DUMMYFUNCTION("""COMPUTED_VALUE"""),41173.645833333336)</f>
        <v>41173.64583</v>
      </c>
      <c r="B1908" s="9">
        <f>IFERROR(__xludf.DUMMYFUNCTION("""COMPUTED_VALUE"""),326.92)</f>
        <v>326.92</v>
      </c>
      <c r="C1908" s="9">
        <f>IFERROR(__xludf.DUMMYFUNCTION("""COMPUTED_VALUE"""),331.25)</f>
        <v>331.25</v>
      </c>
      <c r="D1908" s="9">
        <f>IFERROR(__xludf.DUMMYFUNCTION("""COMPUTED_VALUE"""),322.95)</f>
        <v>322.95</v>
      </c>
      <c r="E1908" s="9">
        <f>IFERROR(__xludf.DUMMYFUNCTION("""COMPUTED_VALUE"""),324.16)</f>
        <v>324.16</v>
      </c>
      <c r="F1908" s="9">
        <f>IFERROR(__xludf.DUMMYFUNCTION("""COMPUTED_VALUE"""),1536734.0)</f>
        <v>1536734</v>
      </c>
      <c r="H1908" s="27">
        <f>IFERROR(__xludf.DUMMYFUNCTION("""COMPUTED_VALUE"""),41173.645833333336)</f>
        <v>41173.64583</v>
      </c>
      <c r="I1908" s="25">
        <f>IFERROR(__xludf.DUMMYFUNCTION("""COMPUTED_VALUE"""),662.45)</f>
        <v>662.45</v>
      </c>
      <c r="J1908" s="25">
        <f>IFERROR(__xludf.DUMMYFUNCTION("""COMPUTED_VALUE"""),666.15)</f>
        <v>666.15</v>
      </c>
      <c r="K1908" s="25">
        <f>IFERROR(__xludf.DUMMYFUNCTION("""COMPUTED_VALUE"""),649.15)</f>
        <v>649.15</v>
      </c>
      <c r="L1908" s="25">
        <f>IFERROR(__xludf.DUMMYFUNCTION("""COMPUTED_VALUE"""),652.03)</f>
        <v>652.03</v>
      </c>
      <c r="M1908" s="25">
        <f>IFERROR(__xludf.DUMMYFUNCTION("""COMPUTED_VALUE"""),2123879.0)</f>
        <v>2123879</v>
      </c>
    </row>
    <row r="1909">
      <c r="A1909" s="26">
        <f>IFERROR(__xludf.DUMMYFUNCTION("""COMPUTED_VALUE"""),41176.645833333336)</f>
        <v>41176.64583</v>
      </c>
      <c r="B1909" s="9">
        <f>IFERROR(__xludf.DUMMYFUNCTION("""COMPUTED_VALUE"""),325.0)</f>
        <v>325</v>
      </c>
      <c r="C1909" s="9">
        <f>IFERROR(__xludf.DUMMYFUNCTION("""COMPUTED_VALUE"""),326.24)</f>
        <v>326.24</v>
      </c>
      <c r="D1909" s="9">
        <f>IFERROR(__xludf.DUMMYFUNCTION("""COMPUTED_VALUE"""),321.89)</f>
        <v>321.89</v>
      </c>
      <c r="E1909" s="9">
        <f>IFERROR(__xludf.DUMMYFUNCTION("""COMPUTED_VALUE"""),325.02)</f>
        <v>325.02</v>
      </c>
      <c r="F1909" s="9">
        <f>IFERROR(__xludf.DUMMYFUNCTION("""COMPUTED_VALUE"""),1106754.0)</f>
        <v>1106754</v>
      </c>
      <c r="H1909" s="27">
        <f>IFERROR(__xludf.DUMMYFUNCTION("""COMPUTED_VALUE"""),41176.645833333336)</f>
        <v>41176.64583</v>
      </c>
      <c r="I1909" s="25">
        <f>IFERROR(__xludf.DUMMYFUNCTION("""COMPUTED_VALUE"""),655.0)</f>
        <v>655</v>
      </c>
      <c r="J1909" s="25">
        <f>IFERROR(__xludf.DUMMYFUNCTION("""COMPUTED_VALUE"""),656.5)</f>
        <v>656.5</v>
      </c>
      <c r="K1909" s="25">
        <f>IFERROR(__xludf.DUMMYFUNCTION("""COMPUTED_VALUE"""),638.5)</f>
        <v>638.5</v>
      </c>
      <c r="L1909" s="25">
        <f>IFERROR(__xludf.DUMMYFUNCTION("""COMPUTED_VALUE"""),644.73)</f>
        <v>644.73</v>
      </c>
      <c r="M1909" s="25">
        <f>IFERROR(__xludf.DUMMYFUNCTION("""COMPUTED_VALUE"""),2468510.0)</f>
        <v>2468510</v>
      </c>
    </row>
    <row r="1910">
      <c r="A1910" s="26">
        <f>IFERROR(__xludf.DUMMYFUNCTION("""COMPUTED_VALUE"""),41177.645833333336)</f>
        <v>41177.64583</v>
      </c>
      <c r="B1910" s="9">
        <f>IFERROR(__xludf.DUMMYFUNCTION("""COMPUTED_VALUE"""),323.75)</f>
        <v>323.75</v>
      </c>
      <c r="C1910" s="9">
        <f>IFERROR(__xludf.DUMMYFUNCTION("""COMPUTED_VALUE"""),326.38)</f>
        <v>326.38</v>
      </c>
      <c r="D1910" s="9">
        <f>IFERROR(__xludf.DUMMYFUNCTION("""COMPUTED_VALUE"""),323.51)</f>
        <v>323.51</v>
      </c>
      <c r="E1910" s="9">
        <f>IFERROR(__xludf.DUMMYFUNCTION("""COMPUTED_VALUE"""),324.76)</f>
        <v>324.76</v>
      </c>
      <c r="F1910" s="9">
        <f>IFERROR(__xludf.DUMMYFUNCTION("""COMPUTED_VALUE"""),1106219.0)</f>
        <v>1106219</v>
      </c>
      <c r="H1910" s="27">
        <f>IFERROR(__xludf.DUMMYFUNCTION("""COMPUTED_VALUE"""),41177.645833333336)</f>
        <v>41177.64583</v>
      </c>
      <c r="I1910" s="25">
        <f>IFERROR(__xludf.DUMMYFUNCTION("""COMPUTED_VALUE"""),645.05)</f>
        <v>645.05</v>
      </c>
      <c r="J1910" s="25">
        <f>IFERROR(__xludf.DUMMYFUNCTION("""COMPUTED_VALUE"""),654.88)</f>
        <v>654.88</v>
      </c>
      <c r="K1910" s="25">
        <f>IFERROR(__xludf.DUMMYFUNCTION("""COMPUTED_VALUE"""),641.15)</f>
        <v>641.15</v>
      </c>
      <c r="L1910" s="25">
        <f>IFERROR(__xludf.DUMMYFUNCTION("""COMPUTED_VALUE"""),646.6)</f>
        <v>646.6</v>
      </c>
      <c r="M1910" s="25">
        <f>IFERROR(__xludf.DUMMYFUNCTION("""COMPUTED_VALUE"""),1911847.0)</f>
        <v>1911847</v>
      </c>
    </row>
    <row r="1911">
      <c r="A1911" s="26">
        <f>IFERROR(__xludf.DUMMYFUNCTION("""COMPUTED_VALUE"""),41178.645833333336)</f>
        <v>41178.64583</v>
      </c>
      <c r="B1911" s="9">
        <f>IFERROR(__xludf.DUMMYFUNCTION("""COMPUTED_VALUE"""),322.25)</f>
        <v>322.25</v>
      </c>
      <c r="C1911" s="9">
        <f>IFERROR(__xludf.DUMMYFUNCTION("""COMPUTED_VALUE"""),325.0)</f>
        <v>325</v>
      </c>
      <c r="D1911" s="9">
        <f>IFERROR(__xludf.DUMMYFUNCTION("""COMPUTED_VALUE"""),320.89)</f>
        <v>320.89</v>
      </c>
      <c r="E1911" s="9">
        <f>IFERROR(__xludf.DUMMYFUNCTION("""COMPUTED_VALUE"""),323.66)</f>
        <v>323.66</v>
      </c>
      <c r="F1911" s="9">
        <f>IFERROR(__xludf.DUMMYFUNCTION("""COMPUTED_VALUE"""),1061238.0)</f>
        <v>1061238</v>
      </c>
      <c r="H1911" s="27">
        <f>IFERROR(__xludf.DUMMYFUNCTION("""COMPUTED_VALUE"""),41178.645833333336)</f>
        <v>41178.64583</v>
      </c>
      <c r="I1911" s="25">
        <f>IFERROR(__xludf.DUMMYFUNCTION("""COMPUTED_VALUE"""),647.6)</f>
        <v>647.6</v>
      </c>
      <c r="J1911" s="25">
        <f>IFERROR(__xludf.DUMMYFUNCTION("""COMPUTED_VALUE"""),652.5)</f>
        <v>652.5</v>
      </c>
      <c r="K1911" s="25">
        <f>IFERROR(__xludf.DUMMYFUNCTION("""COMPUTED_VALUE"""),641.0)</f>
        <v>641</v>
      </c>
      <c r="L1911" s="25">
        <f>IFERROR(__xludf.DUMMYFUNCTION("""COMPUTED_VALUE"""),642.8)</f>
        <v>642.8</v>
      </c>
      <c r="M1911" s="25">
        <f>IFERROR(__xludf.DUMMYFUNCTION("""COMPUTED_VALUE"""),1646406.0)</f>
        <v>1646406</v>
      </c>
    </row>
    <row r="1912">
      <c r="A1912" s="26">
        <f>IFERROR(__xludf.DUMMYFUNCTION("""COMPUTED_VALUE"""),41179.645833333336)</f>
        <v>41179.64583</v>
      </c>
      <c r="B1912" s="9">
        <f>IFERROR(__xludf.DUMMYFUNCTION("""COMPUTED_VALUE"""),324.06)</f>
        <v>324.06</v>
      </c>
      <c r="C1912" s="9">
        <f>IFERROR(__xludf.DUMMYFUNCTION("""COMPUTED_VALUE"""),324.13)</f>
        <v>324.13</v>
      </c>
      <c r="D1912" s="9">
        <f>IFERROR(__xludf.DUMMYFUNCTION("""COMPUTED_VALUE"""),316.84)</f>
        <v>316.84</v>
      </c>
      <c r="E1912" s="9">
        <f>IFERROR(__xludf.DUMMYFUNCTION("""COMPUTED_VALUE"""),318.67)</f>
        <v>318.67</v>
      </c>
      <c r="F1912" s="9">
        <f>IFERROR(__xludf.DUMMYFUNCTION("""COMPUTED_VALUE"""),1727860.0)</f>
        <v>1727860</v>
      </c>
      <c r="H1912" s="27">
        <f>IFERROR(__xludf.DUMMYFUNCTION("""COMPUTED_VALUE"""),41179.645833333336)</f>
        <v>41179.64583</v>
      </c>
      <c r="I1912" s="25">
        <f>IFERROR(__xludf.DUMMYFUNCTION("""COMPUTED_VALUE"""),640.05)</f>
        <v>640.05</v>
      </c>
      <c r="J1912" s="25">
        <f>IFERROR(__xludf.DUMMYFUNCTION("""COMPUTED_VALUE"""),649.75)</f>
        <v>649.75</v>
      </c>
      <c r="K1912" s="25">
        <f>IFERROR(__xludf.DUMMYFUNCTION("""COMPUTED_VALUE"""),630.55)</f>
        <v>630.55</v>
      </c>
      <c r="L1912" s="25">
        <f>IFERROR(__xludf.DUMMYFUNCTION("""COMPUTED_VALUE"""),635.78)</f>
        <v>635.78</v>
      </c>
      <c r="M1912" s="25">
        <f>IFERROR(__xludf.DUMMYFUNCTION("""COMPUTED_VALUE"""),2802699.0)</f>
        <v>2802699</v>
      </c>
    </row>
    <row r="1913">
      <c r="A1913" s="26">
        <f>IFERROR(__xludf.DUMMYFUNCTION("""COMPUTED_VALUE"""),41180.645833333336)</f>
        <v>41180.64583</v>
      </c>
      <c r="B1913" s="9">
        <f>IFERROR(__xludf.DUMMYFUNCTION("""COMPUTED_VALUE"""),320.13)</f>
        <v>320.13</v>
      </c>
      <c r="C1913" s="9">
        <f>IFERROR(__xludf.DUMMYFUNCTION("""COMPUTED_VALUE"""),322.49)</f>
        <v>322.49</v>
      </c>
      <c r="D1913" s="9">
        <f>IFERROR(__xludf.DUMMYFUNCTION("""COMPUTED_VALUE"""),315.77)</f>
        <v>315.77</v>
      </c>
      <c r="E1913" s="9">
        <f>IFERROR(__xludf.DUMMYFUNCTION("""COMPUTED_VALUE"""),316.87)</f>
        <v>316.87</v>
      </c>
      <c r="F1913" s="9">
        <f>IFERROR(__xludf.DUMMYFUNCTION("""COMPUTED_VALUE"""),1210653.0)</f>
        <v>1210653</v>
      </c>
      <c r="H1913" s="27">
        <f>IFERROR(__xludf.DUMMYFUNCTION("""COMPUTED_VALUE"""),41180.645833333336)</f>
        <v>41180.64583</v>
      </c>
      <c r="I1913" s="25">
        <f>IFERROR(__xludf.DUMMYFUNCTION("""COMPUTED_VALUE"""),639.4)</f>
        <v>639.4</v>
      </c>
      <c r="J1913" s="25">
        <f>IFERROR(__xludf.DUMMYFUNCTION("""COMPUTED_VALUE"""),652.5)</f>
        <v>652.5</v>
      </c>
      <c r="K1913" s="25">
        <f>IFERROR(__xludf.DUMMYFUNCTION("""COMPUTED_VALUE"""),638.25)</f>
        <v>638.25</v>
      </c>
      <c r="L1913" s="25">
        <f>IFERROR(__xludf.DUMMYFUNCTION("""COMPUTED_VALUE"""),647.95)</f>
        <v>647.95</v>
      </c>
      <c r="M1913" s="25">
        <f>IFERROR(__xludf.DUMMYFUNCTION("""COMPUTED_VALUE"""),1456498.0)</f>
        <v>1456498</v>
      </c>
    </row>
    <row r="1914">
      <c r="A1914" s="26">
        <f>IFERROR(__xludf.DUMMYFUNCTION("""COMPUTED_VALUE"""),41183.645833333336)</f>
        <v>41183.64583</v>
      </c>
      <c r="B1914" s="9">
        <f>IFERROR(__xludf.DUMMYFUNCTION("""COMPUTED_VALUE"""),318.91)</f>
        <v>318.91</v>
      </c>
      <c r="C1914" s="9">
        <f>IFERROR(__xludf.DUMMYFUNCTION("""COMPUTED_VALUE"""),327.52)</f>
        <v>327.52</v>
      </c>
      <c r="D1914" s="9">
        <f>IFERROR(__xludf.DUMMYFUNCTION("""COMPUTED_VALUE"""),318.63)</f>
        <v>318.63</v>
      </c>
      <c r="E1914" s="9">
        <f>IFERROR(__xludf.DUMMYFUNCTION("""COMPUTED_VALUE"""),326.21)</f>
        <v>326.21</v>
      </c>
      <c r="F1914" s="9">
        <f>IFERROR(__xludf.DUMMYFUNCTION("""COMPUTED_VALUE"""),1103286.0)</f>
        <v>1103286</v>
      </c>
      <c r="H1914" s="27">
        <f>IFERROR(__xludf.DUMMYFUNCTION("""COMPUTED_VALUE"""),41183.645833333336)</f>
        <v>41183.64583</v>
      </c>
      <c r="I1914" s="25">
        <f>IFERROR(__xludf.DUMMYFUNCTION("""COMPUTED_VALUE"""),647.5)</f>
        <v>647.5</v>
      </c>
      <c r="J1914" s="25">
        <f>IFERROR(__xludf.DUMMYFUNCTION("""COMPUTED_VALUE"""),654.9)</f>
        <v>654.9</v>
      </c>
      <c r="K1914" s="25">
        <f>IFERROR(__xludf.DUMMYFUNCTION("""COMPUTED_VALUE"""),646.53)</f>
        <v>646.53</v>
      </c>
      <c r="L1914" s="25">
        <f>IFERROR(__xludf.DUMMYFUNCTION("""COMPUTED_VALUE"""),651.48)</f>
        <v>651.48</v>
      </c>
      <c r="M1914" s="25">
        <f>IFERROR(__xludf.DUMMYFUNCTION("""COMPUTED_VALUE"""),897809.0)</f>
        <v>897809</v>
      </c>
    </row>
    <row r="1915">
      <c r="A1915" s="26">
        <f>IFERROR(__xludf.DUMMYFUNCTION("""COMPUTED_VALUE"""),41185.645833333336)</f>
        <v>41185.64583</v>
      </c>
      <c r="B1915" s="9">
        <f>IFERROR(__xludf.DUMMYFUNCTION("""COMPUTED_VALUE"""),325.66)</f>
        <v>325.66</v>
      </c>
      <c r="C1915" s="9">
        <f>IFERROR(__xludf.DUMMYFUNCTION("""COMPUTED_VALUE"""),327.39)</f>
        <v>327.39</v>
      </c>
      <c r="D1915" s="9">
        <f>IFERROR(__xludf.DUMMYFUNCTION("""COMPUTED_VALUE"""),320.06)</f>
        <v>320.06</v>
      </c>
      <c r="E1915" s="9">
        <f>IFERROR(__xludf.DUMMYFUNCTION("""COMPUTED_VALUE"""),322.28)</f>
        <v>322.28</v>
      </c>
      <c r="F1915" s="9">
        <f>IFERROR(__xludf.DUMMYFUNCTION("""COMPUTED_VALUE"""),977953.0)</f>
        <v>977953</v>
      </c>
      <c r="H1915" s="27">
        <f>IFERROR(__xludf.DUMMYFUNCTION("""COMPUTED_VALUE"""),41185.645833333336)</f>
        <v>41185.64583</v>
      </c>
      <c r="I1915" s="25">
        <f>IFERROR(__xludf.DUMMYFUNCTION("""COMPUTED_VALUE"""),650.5)</f>
        <v>650.5</v>
      </c>
      <c r="J1915" s="25">
        <f>IFERROR(__xludf.DUMMYFUNCTION("""COMPUTED_VALUE"""),662.5)</f>
        <v>662.5</v>
      </c>
      <c r="K1915" s="25">
        <f>IFERROR(__xludf.DUMMYFUNCTION("""COMPUTED_VALUE"""),650.5)</f>
        <v>650.5</v>
      </c>
      <c r="L1915" s="25">
        <f>IFERROR(__xludf.DUMMYFUNCTION("""COMPUTED_VALUE"""),661.33)</f>
        <v>661.33</v>
      </c>
      <c r="M1915" s="25">
        <f>IFERROR(__xludf.DUMMYFUNCTION("""COMPUTED_VALUE"""),1159115.0)</f>
        <v>1159115</v>
      </c>
    </row>
    <row r="1916">
      <c r="A1916" s="26">
        <f>IFERROR(__xludf.DUMMYFUNCTION("""COMPUTED_VALUE"""),41186.645833333336)</f>
        <v>41186.64583</v>
      </c>
      <c r="B1916" s="9">
        <f>IFERROR(__xludf.DUMMYFUNCTION("""COMPUTED_VALUE"""),321.89)</f>
        <v>321.89</v>
      </c>
      <c r="C1916" s="9">
        <f>IFERROR(__xludf.DUMMYFUNCTION("""COMPUTED_VALUE"""),324.36)</f>
        <v>324.36</v>
      </c>
      <c r="D1916" s="9">
        <f>IFERROR(__xludf.DUMMYFUNCTION("""COMPUTED_VALUE"""),319.63)</f>
        <v>319.63</v>
      </c>
      <c r="E1916" s="9">
        <f>IFERROR(__xludf.DUMMYFUNCTION("""COMPUTED_VALUE"""),321.96)</f>
        <v>321.96</v>
      </c>
      <c r="F1916" s="9">
        <f>IFERROR(__xludf.DUMMYFUNCTION("""COMPUTED_VALUE"""),895535.0)</f>
        <v>895535</v>
      </c>
      <c r="H1916" s="27">
        <f>IFERROR(__xludf.DUMMYFUNCTION("""COMPUTED_VALUE"""),41186.645833333336)</f>
        <v>41186.64583</v>
      </c>
      <c r="I1916" s="25">
        <f>IFERROR(__xludf.DUMMYFUNCTION("""COMPUTED_VALUE"""),660.0)</f>
        <v>660</v>
      </c>
      <c r="J1916" s="25">
        <f>IFERROR(__xludf.DUMMYFUNCTION("""COMPUTED_VALUE"""),660.83)</f>
        <v>660.83</v>
      </c>
      <c r="K1916" s="25">
        <f>IFERROR(__xludf.DUMMYFUNCTION("""COMPUTED_VALUE"""),654.33)</f>
        <v>654.33</v>
      </c>
      <c r="L1916" s="25">
        <f>IFERROR(__xludf.DUMMYFUNCTION("""COMPUTED_VALUE"""),658.58)</f>
        <v>658.58</v>
      </c>
      <c r="M1916" s="25">
        <f>IFERROR(__xludf.DUMMYFUNCTION("""COMPUTED_VALUE"""),659642.0)</f>
        <v>659642</v>
      </c>
    </row>
    <row r="1917">
      <c r="A1917" s="26">
        <f>IFERROR(__xludf.DUMMYFUNCTION("""COMPUTED_VALUE"""),41187.645833333336)</f>
        <v>41187.64583</v>
      </c>
      <c r="B1917" s="9">
        <f>IFERROR(__xludf.DUMMYFUNCTION("""COMPUTED_VALUE"""),323.13)</f>
        <v>323.13</v>
      </c>
      <c r="C1917" s="9">
        <f>IFERROR(__xludf.DUMMYFUNCTION("""COMPUTED_VALUE"""),323.13)</f>
        <v>323.13</v>
      </c>
      <c r="D1917" s="9">
        <f>IFERROR(__xludf.DUMMYFUNCTION("""COMPUTED_VALUE"""),257.57)</f>
        <v>257.57</v>
      </c>
      <c r="E1917" s="9">
        <f>IFERROR(__xludf.DUMMYFUNCTION("""COMPUTED_VALUE"""),315.86)</f>
        <v>315.86</v>
      </c>
      <c r="F1917" s="9">
        <f>IFERROR(__xludf.DUMMYFUNCTION("""COMPUTED_VALUE"""),1454000.0)</f>
        <v>1454000</v>
      </c>
      <c r="H1917" s="27">
        <f>IFERROR(__xludf.DUMMYFUNCTION("""COMPUTED_VALUE"""),41187.645833333336)</f>
        <v>41187.64583</v>
      </c>
      <c r="I1917" s="25">
        <f>IFERROR(__xludf.DUMMYFUNCTION("""COMPUTED_VALUE"""),655.13)</f>
        <v>655.13</v>
      </c>
      <c r="J1917" s="25">
        <f>IFERROR(__xludf.DUMMYFUNCTION("""COMPUTED_VALUE"""),659.68)</f>
        <v>659.68</v>
      </c>
      <c r="K1917" s="25">
        <f>IFERROR(__xludf.DUMMYFUNCTION("""COMPUTED_VALUE"""),527.5)</f>
        <v>527.5</v>
      </c>
      <c r="L1917" s="25">
        <f>IFERROR(__xludf.DUMMYFUNCTION("""COMPUTED_VALUE"""),652.0)</f>
        <v>652</v>
      </c>
      <c r="M1917" s="25">
        <f>IFERROR(__xludf.DUMMYFUNCTION("""COMPUTED_VALUE"""),1918055.0)</f>
        <v>1918055</v>
      </c>
    </row>
    <row r="1918">
      <c r="A1918" s="26">
        <f>IFERROR(__xludf.DUMMYFUNCTION("""COMPUTED_VALUE"""),41190.645833333336)</f>
        <v>41190.64583</v>
      </c>
      <c r="B1918" s="9">
        <f>IFERROR(__xludf.DUMMYFUNCTION("""COMPUTED_VALUE"""),315.6)</f>
        <v>315.6</v>
      </c>
      <c r="C1918" s="9">
        <f>IFERROR(__xludf.DUMMYFUNCTION("""COMPUTED_VALUE"""),317.86)</f>
        <v>317.86</v>
      </c>
      <c r="D1918" s="9">
        <f>IFERROR(__xludf.DUMMYFUNCTION("""COMPUTED_VALUE"""),307.5)</f>
        <v>307.5</v>
      </c>
      <c r="E1918" s="9">
        <f>IFERROR(__xludf.DUMMYFUNCTION("""COMPUTED_VALUE"""),311.02)</f>
        <v>311.02</v>
      </c>
      <c r="F1918" s="9">
        <f>IFERROR(__xludf.DUMMYFUNCTION("""COMPUTED_VALUE"""),1009680.0)</f>
        <v>1009680</v>
      </c>
      <c r="H1918" s="27">
        <f>IFERROR(__xludf.DUMMYFUNCTION("""COMPUTED_VALUE"""),41190.645833333336)</f>
        <v>41190.64583</v>
      </c>
      <c r="I1918" s="25">
        <f>IFERROR(__xludf.DUMMYFUNCTION("""COMPUTED_VALUE"""),655.0)</f>
        <v>655</v>
      </c>
      <c r="J1918" s="25">
        <f>IFERROR(__xludf.DUMMYFUNCTION("""COMPUTED_VALUE"""),657.63)</f>
        <v>657.63</v>
      </c>
      <c r="K1918" s="25">
        <f>IFERROR(__xludf.DUMMYFUNCTION("""COMPUTED_VALUE"""),642.73)</f>
        <v>642.73</v>
      </c>
      <c r="L1918" s="25">
        <f>IFERROR(__xludf.DUMMYFUNCTION("""COMPUTED_VALUE"""),646.35)</f>
        <v>646.35</v>
      </c>
      <c r="M1918" s="25">
        <f>IFERROR(__xludf.DUMMYFUNCTION("""COMPUTED_VALUE"""),842704.0)</f>
        <v>842704</v>
      </c>
    </row>
    <row r="1919">
      <c r="A1919" s="26">
        <f>IFERROR(__xludf.DUMMYFUNCTION("""COMPUTED_VALUE"""),41191.645833333336)</f>
        <v>41191.64583</v>
      </c>
      <c r="B1919" s="9">
        <f>IFERROR(__xludf.DUMMYFUNCTION("""COMPUTED_VALUE"""),313.13)</f>
        <v>313.13</v>
      </c>
      <c r="C1919" s="9">
        <f>IFERROR(__xludf.DUMMYFUNCTION("""COMPUTED_VALUE"""),318.75)</f>
        <v>318.75</v>
      </c>
      <c r="D1919" s="9">
        <f>IFERROR(__xludf.DUMMYFUNCTION("""COMPUTED_VALUE"""),310.5)</f>
        <v>310.5</v>
      </c>
      <c r="E1919" s="9">
        <f>IFERROR(__xludf.DUMMYFUNCTION("""COMPUTED_VALUE"""),317.03)</f>
        <v>317.03</v>
      </c>
      <c r="F1919" s="9">
        <f>IFERROR(__xludf.DUMMYFUNCTION("""COMPUTED_VALUE"""),1135540.0)</f>
        <v>1135540</v>
      </c>
      <c r="H1919" s="27">
        <f>IFERROR(__xludf.DUMMYFUNCTION("""COMPUTED_VALUE"""),41191.645833333336)</f>
        <v>41191.64583</v>
      </c>
      <c r="I1919" s="25">
        <f>IFERROR(__xludf.DUMMYFUNCTION("""COMPUTED_VALUE"""),648.95)</f>
        <v>648.95</v>
      </c>
      <c r="J1919" s="25">
        <f>IFERROR(__xludf.DUMMYFUNCTION("""COMPUTED_VALUE"""),649.4)</f>
        <v>649.4</v>
      </c>
      <c r="K1919" s="25">
        <f>IFERROR(__xludf.DUMMYFUNCTION("""COMPUTED_VALUE"""),642.5)</f>
        <v>642.5</v>
      </c>
      <c r="L1919" s="25">
        <f>IFERROR(__xludf.DUMMYFUNCTION("""COMPUTED_VALUE"""),647.42)</f>
        <v>647.42</v>
      </c>
      <c r="M1919" s="25">
        <f>IFERROR(__xludf.DUMMYFUNCTION("""COMPUTED_VALUE"""),645577.0)</f>
        <v>645577</v>
      </c>
    </row>
    <row r="1920">
      <c r="A1920" s="26">
        <f>IFERROR(__xludf.DUMMYFUNCTION("""COMPUTED_VALUE"""),41192.645833333336)</f>
        <v>41192.64583</v>
      </c>
      <c r="B1920" s="9">
        <f>IFERROR(__xludf.DUMMYFUNCTION("""COMPUTED_VALUE"""),313.39)</f>
        <v>313.39</v>
      </c>
      <c r="C1920" s="9">
        <f>IFERROR(__xludf.DUMMYFUNCTION("""COMPUTED_VALUE"""),316.02)</f>
        <v>316.02</v>
      </c>
      <c r="D1920" s="9">
        <f>IFERROR(__xludf.DUMMYFUNCTION("""COMPUTED_VALUE"""),311.2)</f>
        <v>311.2</v>
      </c>
      <c r="E1920" s="9">
        <f>IFERROR(__xludf.DUMMYFUNCTION("""COMPUTED_VALUE"""),313.02)</f>
        <v>313.02</v>
      </c>
      <c r="F1920" s="9">
        <f>IFERROR(__xludf.DUMMYFUNCTION("""COMPUTED_VALUE"""),741513.0)</f>
        <v>741513</v>
      </c>
      <c r="H1920" s="27">
        <f>IFERROR(__xludf.DUMMYFUNCTION("""COMPUTED_VALUE"""),41192.645833333336)</f>
        <v>41192.64583</v>
      </c>
      <c r="I1920" s="25">
        <f>IFERROR(__xludf.DUMMYFUNCTION("""COMPUTED_VALUE"""),643.0)</f>
        <v>643</v>
      </c>
      <c r="J1920" s="25">
        <f>IFERROR(__xludf.DUMMYFUNCTION("""COMPUTED_VALUE"""),650.88)</f>
        <v>650.88</v>
      </c>
      <c r="K1920" s="25">
        <f>IFERROR(__xludf.DUMMYFUNCTION("""COMPUTED_VALUE"""),642.5)</f>
        <v>642.5</v>
      </c>
      <c r="L1920" s="25">
        <f>IFERROR(__xludf.DUMMYFUNCTION("""COMPUTED_VALUE"""),644.67)</f>
        <v>644.67</v>
      </c>
      <c r="M1920" s="25">
        <f>IFERROR(__xludf.DUMMYFUNCTION("""COMPUTED_VALUE"""),581989.0)</f>
        <v>581989</v>
      </c>
    </row>
    <row r="1921">
      <c r="A1921" s="26">
        <f>IFERROR(__xludf.DUMMYFUNCTION("""COMPUTED_VALUE"""),41193.645833333336)</f>
        <v>41193.64583</v>
      </c>
      <c r="B1921" s="9">
        <f>IFERROR(__xludf.DUMMYFUNCTION("""COMPUTED_VALUE"""),312.0)</f>
        <v>312</v>
      </c>
      <c r="C1921" s="9">
        <f>IFERROR(__xludf.DUMMYFUNCTION("""COMPUTED_VALUE"""),322.51)</f>
        <v>322.51</v>
      </c>
      <c r="D1921" s="9">
        <f>IFERROR(__xludf.DUMMYFUNCTION("""COMPUTED_VALUE"""),310.15)</f>
        <v>310.15</v>
      </c>
      <c r="E1921" s="9">
        <f>IFERROR(__xludf.DUMMYFUNCTION("""COMPUTED_VALUE"""),316.65)</f>
        <v>316.65</v>
      </c>
      <c r="F1921" s="9">
        <f>IFERROR(__xludf.DUMMYFUNCTION("""COMPUTED_VALUE"""),1870800.0)</f>
        <v>1870800</v>
      </c>
      <c r="H1921" s="27">
        <f>IFERROR(__xludf.DUMMYFUNCTION("""COMPUTED_VALUE"""),41193.645833333336)</f>
        <v>41193.64583</v>
      </c>
      <c r="I1921" s="25">
        <f>IFERROR(__xludf.DUMMYFUNCTION("""COMPUTED_VALUE"""),645.13)</f>
        <v>645.13</v>
      </c>
      <c r="J1921" s="25">
        <f>IFERROR(__xludf.DUMMYFUNCTION("""COMPUTED_VALUE"""),650.78)</f>
        <v>650.78</v>
      </c>
      <c r="K1921" s="25">
        <f>IFERROR(__xludf.DUMMYFUNCTION("""COMPUTED_VALUE"""),643.03)</f>
        <v>643.03</v>
      </c>
      <c r="L1921" s="25">
        <f>IFERROR(__xludf.DUMMYFUNCTION("""COMPUTED_VALUE"""),644.73)</f>
        <v>644.73</v>
      </c>
      <c r="M1921" s="25">
        <f>IFERROR(__xludf.DUMMYFUNCTION("""COMPUTED_VALUE"""),817763.0)</f>
        <v>817763</v>
      </c>
    </row>
    <row r="1922">
      <c r="A1922" s="26">
        <f>IFERROR(__xludf.DUMMYFUNCTION("""COMPUTED_VALUE"""),41194.645833333336)</f>
        <v>41194.64583</v>
      </c>
      <c r="B1922" s="9">
        <f>IFERROR(__xludf.DUMMYFUNCTION("""COMPUTED_VALUE"""),293.75)</f>
        <v>293.75</v>
      </c>
      <c r="C1922" s="9">
        <f>IFERROR(__xludf.DUMMYFUNCTION("""COMPUTED_VALUE"""),305.98)</f>
        <v>305.98</v>
      </c>
      <c r="D1922" s="9">
        <f>IFERROR(__xludf.DUMMYFUNCTION("""COMPUTED_VALUE"""),288.88)</f>
        <v>288.88</v>
      </c>
      <c r="E1922" s="9">
        <f>IFERROR(__xludf.DUMMYFUNCTION("""COMPUTED_VALUE"""),299.42)</f>
        <v>299.42</v>
      </c>
      <c r="F1922" s="9">
        <f>IFERROR(__xludf.DUMMYFUNCTION("""COMPUTED_VALUE"""),7087722.0)</f>
        <v>7087722</v>
      </c>
      <c r="H1922" s="27">
        <f>IFERROR(__xludf.DUMMYFUNCTION("""COMPUTED_VALUE"""),41194.645833333336)</f>
        <v>41194.64583</v>
      </c>
      <c r="I1922" s="25">
        <f>IFERROR(__xludf.DUMMYFUNCTION("""COMPUTED_VALUE"""),639.4)</f>
        <v>639.4</v>
      </c>
      <c r="J1922" s="25">
        <f>IFERROR(__xludf.DUMMYFUNCTION("""COMPUTED_VALUE"""),656.83)</f>
        <v>656.83</v>
      </c>
      <c r="K1922" s="25">
        <f>IFERROR(__xludf.DUMMYFUNCTION("""COMPUTED_VALUE"""),636.6)</f>
        <v>636.6</v>
      </c>
      <c r="L1922" s="25">
        <f>IFERROR(__xludf.DUMMYFUNCTION("""COMPUTED_VALUE"""),649.23)</f>
        <v>649.23</v>
      </c>
      <c r="M1922" s="25">
        <f>IFERROR(__xludf.DUMMYFUNCTION("""COMPUTED_VALUE"""),1234771.0)</f>
        <v>1234771</v>
      </c>
    </row>
    <row r="1923">
      <c r="A1923" s="26">
        <f>IFERROR(__xludf.DUMMYFUNCTION("""COMPUTED_VALUE"""),41197.645833333336)</f>
        <v>41197.64583</v>
      </c>
      <c r="B1923" s="9">
        <f>IFERROR(__xludf.DUMMYFUNCTION("""COMPUTED_VALUE"""),298.21)</f>
        <v>298.21</v>
      </c>
      <c r="C1923" s="9">
        <f>IFERROR(__xludf.DUMMYFUNCTION("""COMPUTED_VALUE"""),301.5)</f>
        <v>301.5</v>
      </c>
      <c r="D1923" s="9">
        <f>IFERROR(__xludf.DUMMYFUNCTION("""COMPUTED_VALUE"""),294.1)</f>
        <v>294.1</v>
      </c>
      <c r="E1923" s="9">
        <f>IFERROR(__xludf.DUMMYFUNCTION("""COMPUTED_VALUE"""),295.7)</f>
        <v>295.7</v>
      </c>
      <c r="F1923" s="9">
        <f>IFERROR(__xludf.DUMMYFUNCTION("""COMPUTED_VALUE"""),1848765.0)</f>
        <v>1848765</v>
      </c>
      <c r="H1923" s="27">
        <f>IFERROR(__xludf.DUMMYFUNCTION("""COMPUTED_VALUE"""),41197.645833333336)</f>
        <v>41197.64583</v>
      </c>
      <c r="I1923" s="25">
        <f>IFERROR(__xludf.DUMMYFUNCTION("""COMPUTED_VALUE"""),647.0)</f>
        <v>647</v>
      </c>
      <c r="J1923" s="25">
        <f>IFERROR(__xludf.DUMMYFUNCTION("""COMPUTED_VALUE"""),651.2)</f>
        <v>651.2</v>
      </c>
      <c r="K1923" s="25">
        <f>IFERROR(__xludf.DUMMYFUNCTION("""COMPUTED_VALUE"""),643.75)</f>
        <v>643.75</v>
      </c>
      <c r="L1923" s="25">
        <f>IFERROR(__xludf.DUMMYFUNCTION("""COMPUTED_VALUE"""),647.33)</f>
        <v>647.33</v>
      </c>
      <c r="M1923" s="25">
        <f>IFERROR(__xludf.DUMMYFUNCTION("""COMPUTED_VALUE"""),407264.0)</f>
        <v>407264</v>
      </c>
    </row>
    <row r="1924">
      <c r="A1924" s="26">
        <f>IFERROR(__xludf.DUMMYFUNCTION("""COMPUTED_VALUE"""),41198.645833333336)</f>
        <v>41198.64583</v>
      </c>
      <c r="B1924" s="9">
        <f>IFERROR(__xludf.DUMMYFUNCTION("""COMPUTED_VALUE"""),297.49)</f>
        <v>297.49</v>
      </c>
      <c r="C1924" s="9">
        <f>IFERROR(__xludf.DUMMYFUNCTION("""COMPUTED_VALUE"""),298.63)</f>
        <v>298.63</v>
      </c>
      <c r="D1924" s="9">
        <f>IFERROR(__xludf.DUMMYFUNCTION("""COMPUTED_VALUE"""),293.38)</f>
        <v>293.38</v>
      </c>
      <c r="E1924" s="9">
        <f>IFERROR(__xludf.DUMMYFUNCTION("""COMPUTED_VALUE"""),294.46)</f>
        <v>294.46</v>
      </c>
      <c r="F1924" s="9">
        <f>IFERROR(__xludf.DUMMYFUNCTION("""COMPUTED_VALUE"""),910256.0)</f>
        <v>910256</v>
      </c>
      <c r="H1924" s="27">
        <f>IFERROR(__xludf.DUMMYFUNCTION("""COMPUTED_VALUE"""),41198.645833333336)</f>
        <v>41198.64583</v>
      </c>
      <c r="I1924" s="25">
        <f>IFERROR(__xludf.DUMMYFUNCTION("""COMPUTED_VALUE"""),648.5)</f>
        <v>648.5</v>
      </c>
      <c r="J1924" s="25">
        <f>IFERROR(__xludf.DUMMYFUNCTION("""COMPUTED_VALUE"""),655.1)</f>
        <v>655.1</v>
      </c>
      <c r="K1924" s="25">
        <f>IFERROR(__xludf.DUMMYFUNCTION("""COMPUTED_VALUE"""),643.9)</f>
        <v>643.9</v>
      </c>
      <c r="L1924" s="25">
        <f>IFERROR(__xludf.DUMMYFUNCTION("""COMPUTED_VALUE"""),647.95)</f>
        <v>647.95</v>
      </c>
      <c r="M1924" s="25">
        <f>IFERROR(__xludf.DUMMYFUNCTION("""COMPUTED_VALUE"""),641372.0)</f>
        <v>641372</v>
      </c>
    </row>
    <row r="1925">
      <c r="A1925" s="26">
        <f>IFERROR(__xludf.DUMMYFUNCTION("""COMPUTED_VALUE"""),41199.645833333336)</f>
        <v>41199.64583</v>
      </c>
      <c r="B1925" s="9">
        <f>IFERROR(__xludf.DUMMYFUNCTION("""COMPUTED_VALUE"""),297.01)</f>
        <v>297.01</v>
      </c>
      <c r="C1925" s="9">
        <f>IFERROR(__xludf.DUMMYFUNCTION("""COMPUTED_VALUE"""),297.38)</f>
        <v>297.38</v>
      </c>
      <c r="D1925" s="9">
        <f>IFERROR(__xludf.DUMMYFUNCTION("""COMPUTED_VALUE"""),294.66)</f>
        <v>294.66</v>
      </c>
      <c r="E1925" s="9">
        <f>IFERROR(__xludf.DUMMYFUNCTION("""COMPUTED_VALUE"""),296.27)</f>
        <v>296.27</v>
      </c>
      <c r="F1925" s="9">
        <f>IFERROR(__xludf.DUMMYFUNCTION("""COMPUTED_VALUE"""),713415.0)</f>
        <v>713415</v>
      </c>
      <c r="H1925" s="27">
        <f>IFERROR(__xludf.DUMMYFUNCTION("""COMPUTED_VALUE"""),41199.645833333336)</f>
        <v>41199.64583</v>
      </c>
      <c r="I1925" s="25">
        <f>IFERROR(__xludf.DUMMYFUNCTION("""COMPUTED_VALUE"""),650.65)</f>
        <v>650.65</v>
      </c>
      <c r="J1925" s="25">
        <f>IFERROR(__xludf.DUMMYFUNCTION("""COMPUTED_VALUE"""),652.45)</f>
        <v>652.45</v>
      </c>
      <c r="K1925" s="25">
        <f>IFERROR(__xludf.DUMMYFUNCTION("""COMPUTED_VALUE"""),636.0)</f>
        <v>636</v>
      </c>
      <c r="L1925" s="25">
        <f>IFERROR(__xludf.DUMMYFUNCTION("""COMPUTED_VALUE"""),641.58)</f>
        <v>641.58</v>
      </c>
      <c r="M1925" s="25">
        <f>IFERROR(__xludf.DUMMYFUNCTION("""COMPUTED_VALUE"""),798740.0)</f>
        <v>798740</v>
      </c>
    </row>
    <row r="1926">
      <c r="A1926" s="26">
        <f>IFERROR(__xludf.DUMMYFUNCTION("""COMPUTED_VALUE"""),41200.645833333336)</f>
        <v>41200.64583</v>
      </c>
      <c r="B1926" s="9">
        <f>IFERROR(__xludf.DUMMYFUNCTION("""COMPUTED_VALUE"""),295.5)</f>
        <v>295.5</v>
      </c>
      <c r="C1926" s="9">
        <f>IFERROR(__xludf.DUMMYFUNCTION("""COMPUTED_VALUE"""),299.63)</f>
        <v>299.63</v>
      </c>
      <c r="D1926" s="9">
        <f>IFERROR(__xludf.DUMMYFUNCTION("""COMPUTED_VALUE"""),293.14)</f>
        <v>293.14</v>
      </c>
      <c r="E1926" s="9">
        <f>IFERROR(__xludf.DUMMYFUNCTION("""COMPUTED_VALUE"""),297.2)</f>
        <v>297.2</v>
      </c>
      <c r="F1926" s="9">
        <f>IFERROR(__xludf.DUMMYFUNCTION("""COMPUTED_VALUE"""),1274072.0)</f>
        <v>1274072</v>
      </c>
      <c r="H1926" s="27">
        <f>IFERROR(__xludf.DUMMYFUNCTION("""COMPUTED_VALUE"""),41200.645833333336)</f>
        <v>41200.64583</v>
      </c>
      <c r="I1926" s="25">
        <f>IFERROR(__xludf.DUMMYFUNCTION("""COMPUTED_VALUE"""),643.13)</f>
        <v>643.13</v>
      </c>
      <c r="J1926" s="25">
        <f>IFERROR(__xludf.DUMMYFUNCTION("""COMPUTED_VALUE"""),655.5)</f>
        <v>655.5</v>
      </c>
      <c r="K1926" s="25">
        <f>IFERROR(__xludf.DUMMYFUNCTION("""COMPUTED_VALUE"""),640.1)</f>
        <v>640.1</v>
      </c>
      <c r="L1926" s="25">
        <f>IFERROR(__xludf.DUMMYFUNCTION("""COMPUTED_VALUE"""),653.67)</f>
        <v>653.67</v>
      </c>
      <c r="M1926" s="25">
        <f>IFERROR(__xludf.DUMMYFUNCTION("""COMPUTED_VALUE"""),723564.0)</f>
        <v>723564</v>
      </c>
    </row>
    <row r="1927">
      <c r="A1927" s="26">
        <f>IFERROR(__xludf.DUMMYFUNCTION("""COMPUTED_VALUE"""),41201.645833333336)</f>
        <v>41201.64583</v>
      </c>
      <c r="B1927" s="9">
        <f>IFERROR(__xludf.DUMMYFUNCTION("""COMPUTED_VALUE"""),295.75)</f>
        <v>295.75</v>
      </c>
      <c r="C1927" s="9">
        <f>IFERROR(__xludf.DUMMYFUNCTION("""COMPUTED_VALUE"""),299.63)</f>
        <v>299.63</v>
      </c>
      <c r="D1927" s="9">
        <f>IFERROR(__xludf.DUMMYFUNCTION("""COMPUTED_VALUE"""),295.75)</f>
        <v>295.75</v>
      </c>
      <c r="E1927" s="9">
        <f>IFERROR(__xludf.DUMMYFUNCTION("""COMPUTED_VALUE"""),297.92)</f>
        <v>297.92</v>
      </c>
      <c r="F1927" s="9">
        <f>IFERROR(__xludf.DUMMYFUNCTION("""COMPUTED_VALUE"""),1367150.0)</f>
        <v>1367150</v>
      </c>
      <c r="H1927" s="27">
        <f>IFERROR(__xludf.DUMMYFUNCTION("""COMPUTED_VALUE"""),41201.645833333336)</f>
        <v>41201.64583</v>
      </c>
      <c r="I1927" s="25">
        <f>IFERROR(__xludf.DUMMYFUNCTION("""COMPUTED_VALUE"""),654.5)</f>
        <v>654.5</v>
      </c>
      <c r="J1927" s="25">
        <f>IFERROR(__xludf.DUMMYFUNCTION("""COMPUTED_VALUE"""),655.7)</f>
        <v>655.7</v>
      </c>
      <c r="K1927" s="25">
        <f>IFERROR(__xludf.DUMMYFUNCTION("""COMPUTED_VALUE"""),641.0)</f>
        <v>641</v>
      </c>
      <c r="L1927" s="25">
        <f>IFERROR(__xludf.DUMMYFUNCTION("""COMPUTED_VALUE"""),644.85)</f>
        <v>644.85</v>
      </c>
      <c r="M1927" s="25">
        <f>IFERROR(__xludf.DUMMYFUNCTION("""COMPUTED_VALUE"""),1412808.0)</f>
        <v>1412808</v>
      </c>
    </row>
    <row r="1928">
      <c r="A1928" s="26">
        <f>IFERROR(__xludf.DUMMYFUNCTION("""COMPUTED_VALUE"""),41204.645833333336)</f>
        <v>41204.64583</v>
      </c>
      <c r="B1928" s="9">
        <f>IFERROR(__xludf.DUMMYFUNCTION("""COMPUTED_VALUE"""),296.03)</f>
        <v>296.03</v>
      </c>
      <c r="C1928" s="9">
        <f>IFERROR(__xludf.DUMMYFUNCTION("""COMPUTED_VALUE"""),299.75)</f>
        <v>299.75</v>
      </c>
      <c r="D1928" s="9">
        <f>IFERROR(__xludf.DUMMYFUNCTION("""COMPUTED_VALUE"""),296.03)</f>
        <v>296.03</v>
      </c>
      <c r="E1928" s="9">
        <f>IFERROR(__xludf.DUMMYFUNCTION("""COMPUTED_VALUE"""),298.19)</f>
        <v>298.19</v>
      </c>
      <c r="F1928" s="9">
        <f>IFERROR(__xludf.DUMMYFUNCTION("""COMPUTED_VALUE"""),570858.0)</f>
        <v>570858</v>
      </c>
      <c r="H1928" s="27">
        <f>IFERROR(__xludf.DUMMYFUNCTION("""COMPUTED_VALUE"""),41204.645833333336)</f>
        <v>41204.64583</v>
      </c>
      <c r="I1928" s="25">
        <f>IFERROR(__xludf.DUMMYFUNCTION("""COMPUTED_VALUE"""),662.55)</f>
        <v>662.55</v>
      </c>
      <c r="J1928" s="25">
        <f>IFERROR(__xludf.DUMMYFUNCTION("""COMPUTED_VALUE"""),667.45)</f>
        <v>667.45</v>
      </c>
      <c r="K1928" s="25">
        <f>IFERROR(__xludf.DUMMYFUNCTION("""COMPUTED_VALUE"""),651.5)</f>
        <v>651.5</v>
      </c>
      <c r="L1928" s="25">
        <f>IFERROR(__xludf.DUMMYFUNCTION("""COMPUTED_VALUE"""),659.45)</f>
        <v>659.45</v>
      </c>
      <c r="M1928" s="25">
        <f>IFERROR(__xludf.DUMMYFUNCTION("""COMPUTED_VALUE"""),2698671.0)</f>
        <v>2698671</v>
      </c>
    </row>
    <row r="1929">
      <c r="A1929" s="26">
        <f>IFERROR(__xludf.DUMMYFUNCTION("""COMPUTED_VALUE"""),41205.645833333336)</f>
        <v>41205.64583</v>
      </c>
      <c r="B1929" s="9">
        <f>IFERROR(__xludf.DUMMYFUNCTION("""COMPUTED_VALUE"""),295.25)</f>
        <v>295.25</v>
      </c>
      <c r="C1929" s="9">
        <f>IFERROR(__xludf.DUMMYFUNCTION("""COMPUTED_VALUE"""),298.0)</f>
        <v>298</v>
      </c>
      <c r="D1929" s="9">
        <f>IFERROR(__xludf.DUMMYFUNCTION("""COMPUTED_VALUE"""),293.75)</f>
        <v>293.75</v>
      </c>
      <c r="E1929" s="9">
        <f>IFERROR(__xludf.DUMMYFUNCTION("""COMPUTED_VALUE"""),294.14)</f>
        <v>294.14</v>
      </c>
      <c r="F1929" s="9">
        <f>IFERROR(__xludf.DUMMYFUNCTION("""COMPUTED_VALUE"""),592893.0)</f>
        <v>592893</v>
      </c>
      <c r="H1929" s="27">
        <f>IFERROR(__xludf.DUMMYFUNCTION("""COMPUTED_VALUE"""),41205.645833333336)</f>
        <v>41205.64583</v>
      </c>
      <c r="I1929" s="25">
        <f>IFERROR(__xludf.DUMMYFUNCTION("""COMPUTED_VALUE"""),662.0)</f>
        <v>662</v>
      </c>
      <c r="J1929" s="25">
        <f>IFERROR(__xludf.DUMMYFUNCTION("""COMPUTED_VALUE"""),662.0)</f>
        <v>662</v>
      </c>
      <c r="K1929" s="25">
        <f>IFERROR(__xludf.DUMMYFUNCTION("""COMPUTED_VALUE"""),655.95)</f>
        <v>655.95</v>
      </c>
      <c r="L1929" s="25">
        <f>IFERROR(__xludf.DUMMYFUNCTION("""COMPUTED_VALUE"""),657.3)</f>
        <v>657.3</v>
      </c>
      <c r="M1929" s="25">
        <f>IFERROR(__xludf.DUMMYFUNCTION("""COMPUTED_VALUE"""),568348.0)</f>
        <v>568348</v>
      </c>
    </row>
    <row r="1930">
      <c r="A1930" s="26">
        <f>IFERROR(__xludf.DUMMYFUNCTION("""COMPUTED_VALUE"""),41207.645833333336)</f>
        <v>41207.64583</v>
      </c>
      <c r="B1930" s="9">
        <f>IFERROR(__xludf.DUMMYFUNCTION("""COMPUTED_VALUE"""),292.88)</f>
        <v>292.88</v>
      </c>
      <c r="C1930" s="9">
        <f>IFERROR(__xludf.DUMMYFUNCTION("""COMPUTED_VALUE"""),294.64)</f>
        <v>294.64</v>
      </c>
      <c r="D1930" s="9">
        <f>IFERROR(__xludf.DUMMYFUNCTION("""COMPUTED_VALUE"""),291.27)</f>
        <v>291.27</v>
      </c>
      <c r="E1930" s="9">
        <f>IFERROR(__xludf.DUMMYFUNCTION("""COMPUTED_VALUE"""),293.09)</f>
        <v>293.09</v>
      </c>
      <c r="F1930" s="9">
        <f>IFERROR(__xludf.DUMMYFUNCTION("""COMPUTED_VALUE"""),1407097.0)</f>
        <v>1407097</v>
      </c>
      <c r="H1930" s="27">
        <f>IFERROR(__xludf.DUMMYFUNCTION("""COMPUTED_VALUE"""),41207.645833333336)</f>
        <v>41207.64583</v>
      </c>
      <c r="I1930" s="25">
        <f>IFERROR(__xludf.DUMMYFUNCTION("""COMPUTED_VALUE"""),657.5)</f>
        <v>657.5</v>
      </c>
      <c r="J1930" s="25">
        <f>IFERROR(__xludf.DUMMYFUNCTION("""COMPUTED_VALUE"""),661.95)</f>
        <v>661.95</v>
      </c>
      <c r="K1930" s="25">
        <f>IFERROR(__xludf.DUMMYFUNCTION("""COMPUTED_VALUE"""),652.13)</f>
        <v>652.13</v>
      </c>
      <c r="L1930" s="25">
        <f>IFERROR(__xludf.DUMMYFUNCTION("""COMPUTED_VALUE"""),657.68)</f>
        <v>657.68</v>
      </c>
      <c r="M1930" s="25">
        <f>IFERROR(__xludf.DUMMYFUNCTION("""COMPUTED_VALUE"""),1127235.0)</f>
        <v>1127235</v>
      </c>
    </row>
    <row r="1931">
      <c r="A1931" s="26">
        <f>IFERROR(__xludf.DUMMYFUNCTION("""COMPUTED_VALUE"""),41208.645833333336)</f>
        <v>41208.64583</v>
      </c>
      <c r="B1931" s="9">
        <f>IFERROR(__xludf.DUMMYFUNCTION("""COMPUTED_VALUE"""),291.84)</f>
        <v>291.84</v>
      </c>
      <c r="C1931" s="9">
        <f>IFERROR(__xludf.DUMMYFUNCTION("""COMPUTED_VALUE"""),293.1)</f>
        <v>293.1</v>
      </c>
      <c r="D1931" s="9">
        <f>IFERROR(__xludf.DUMMYFUNCTION("""COMPUTED_VALUE"""),290.13)</f>
        <v>290.13</v>
      </c>
      <c r="E1931" s="9">
        <f>IFERROR(__xludf.DUMMYFUNCTION("""COMPUTED_VALUE"""),291.2)</f>
        <v>291.2</v>
      </c>
      <c r="F1931" s="9">
        <f>IFERROR(__xludf.DUMMYFUNCTION("""COMPUTED_VALUE"""),427536.0)</f>
        <v>427536</v>
      </c>
      <c r="H1931" s="27">
        <f>IFERROR(__xludf.DUMMYFUNCTION("""COMPUTED_VALUE"""),41208.645833333336)</f>
        <v>41208.64583</v>
      </c>
      <c r="I1931" s="25">
        <f>IFERROR(__xludf.DUMMYFUNCTION("""COMPUTED_VALUE"""),653.1)</f>
        <v>653.1</v>
      </c>
      <c r="J1931" s="25">
        <f>IFERROR(__xludf.DUMMYFUNCTION("""COMPUTED_VALUE"""),661.0)</f>
        <v>661</v>
      </c>
      <c r="K1931" s="25">
        <f>IFERROR(__xludf.DUMMYFUNCTION("""COMPUTED_VALUE"""),653.1)</f>
        <v>653.1</v>
      </c>
      <c r="L1931" s="25">
        <f>IFERROR(__xludf.DUMMYFUNCTION("""COMPUTED_VALUE"""),657.65)</f>
        <v>657.65</v>
      </c>
      <c r="M1931" s="25">
        <f>IFERROR(__xludf.DUMMYFUNCTION("""COMPUTED_VALUE"""),523675.0)</f>
        <v>523675</v>
      </c>
    </row>
    <row r="1932">
      <c r="A1932" s="26">
        <f>IFERROR(__xludf.DUMMYFUNCTION("""COMPUTED_VALUE"""),41211.645833333336)</f>
        <v>41211.64583</v>
      </c>
      <c r="B1932" s="9">
        <f>IFERROR(__xludf.DUMMYFUNCTION("""COMPUTED_VALUE"""),290.13)</f>
        <v>290.13</v>
      </c>
      <c r="C1932" s="9">
        <f>IFERROR(__xludf.DUMMYFUNCTION("""COMPUTED_VALUE"""),292.38)</f>
        <v>292.38</v>
      </c>
      <c r="D1932" s="9">
        <f>IFERROR(__xludf.DUMMYFUNCTION("""COMPUTED_VALUE"""),288.41)</f>
        <v>288.41</v>
      </c>
      <c r="E1932" s="9">
        <f>IFERROR(__xludf.DUMMYFUNCTION("""COMPUTED_VALUE"""),291.94)</f>
        <v>291.94</v>
      </c>
      <c r="F1932" s="9">
        <f>IFERROR(__xludf.DUMMYFUNCTION("""COMPUTED_VALUE"""),592083.0)</f>
        <v>592083</v>
      </c>
      <c r="H1932" s="27">
        <f>IFERROR(__xludf.DUMMYFUNCTION("""COMPUTED_VALUE"""),41211.645833333336)</f>
        <v>41211.64583</v>
      </c>
      <c r="I1932" s="25">
        <f>IFERROR(__xludf.DUMMYFUNCTION("""COMPUTED_VALUE"""),655.5)</f>
        <v>655.5</v>
      </c>
      <c r="J1932" s="25">
        <f>IFERROR(__xludf.DUMMYFUNCTION("""COMPUTED_VALUE"""),659.9)</f>
        <v>659.9</v>
      </c>
      <c r="K1932" s="25">
        <f>IFERROR(__xludf.DUMMYFUNCTION("""COMPUTED_VALUE"""),650.4)</f>
        <v>650.4</v>
      </c>
      <c r="L1932" s="25">
        <f>IFERROR(__xludf.DUMMYFUNCTION("""COMPUTED_VALUE"""),654.2)</f>
        <v>654.2</v>
      </c>
      <c r="M1932" s="25">
        <f>IFERROR(__xludf.DUMMYFUNCTION("""COMPUTED_VALUE"""),407814.0)</f>
        <v>407814</v>
      </c>
    </row>
    <row r="1933">
      <c r="A1933" s="26">
        <f>IFERROR(__xludf.DUMMYFUNCTION("""COMPUTED_VALUE"""),41212.645833333336)</f>
        <v>41212.64583</v>
      </c>
      <c r="B1933" s="9">
        <f>IFERROR(__xludf.DUMMYFUNCTION("""COMPUTED_VALUE"""),290.75)</f>
        <v>290.75</v>
      </c>
      <c r="C1933" s="9">
        <f>IFERROR(__xludf.DUMMYFUNCTION("""COMPUTED_VALUE"""),295.63)</f>
        <v>295.63</v>
      </c>
      <c r="D1933" s="9">
        <f>IFERROR(__xludf.DUMMYFUNCTION("""COMPUTED_VALUE"""),290.75)</f>
        <v>290.75</v>
      </c>
      <c r="E1933" s="9">
        <f>IFERROR(__xludf.DUMMYFUNCTION("""COMPUTED_VALUE"""),294.79)</f>
        <v>294.79</v>
      </c>
      <c r="F1933" s="9">
        <f>IFERROR(__xludf.DUMMYFUNCTION("""COMPUTED_VALUE"""),716032.0)</f>
        <v>716032</v>
      </c>
      <c r="H1933" s="27">
        <f>IFERROR(__xludf.DUMMYFUNCTION("""COMPUTED_VALUE"""),41212.645833333336)</f>
        <v>41212.64583</v>
      </c>
      <c r="I1933" s="25">
        <f>IFERROR(__xludf.DUMMYFUNCTION("""COMPUTED_VALUE"""),652.2)</f>
        <v>652.2</v>
      </c>
      <c r="J1933" s="25">
        <f>IFERROR(__xludf.DUMMYFUNCTION("""COMPUTED_VALUE"""),661.0)</f>
        <v>661</v>
      </c>
      <c r="K1933" s="25">
        <f>IFERROR(__xludf.DUMMYFUNCTION("""COMPUTED_VALUE"""),652.2)</f>
        <v>652.2</v>
      </c>
      <c r="L1933" s="25">
        <f>IFERROR(__xludf.DUMMYFUNCTION("""COMPUTED_VALUE"""),655.75)</f>
        <v>655.75</v>
      </c>
      <c r="M1933" s="25">
        <f>IFERROR(__xludf.DUMMYFUNCTION("""COMPUTED_VALUE"""),402634.0)</f>
        <v>402634</v>
      </c>
    </row>
    <row r="1934">
      <c r="A1934" s="26">
        <f>IFERROR(__xludf.DUMMYFUNCTION("""COMPUTED_VALUE"""),41213.645833333336)</f>
        <v>41213.64583</v>
      </c>
      <c r="B1934" s="9">
        <f>IFERROR(__xludf.DUMMYFUNCTION("""COMPUTED_VALUE"""),293.75)</f>
        <v>293.75</v>
      </c>
      <c r="C1934" s="9">
        <f>IFERROR(__xludf.DUMMYFUNCTION("""COMPUTED_VALUE"""),296.81)</f>
        <v>296.81</v>
      </c>
      <c r="D1934" s="9">
        <f>IFERROR(__xludf.DUMMYFUNCTION("""COMPUTED_VALUE"""),293.19)</f>
        <v>293.19</v>
      </c>
      <c r="E1934" s="9">
        <f>IFERROR(__xludf.DUMMYFUNCTION("""COMPUTED_VALUE"""),295.38)</f>
        <v>295.38</v>
      </c>
      <c r="F1934" s="9">
        <f>IFERROR(__xludf.DUMMYFUNCTION("""COMPUTED_VALUE"""),814665.0)</f>
        <v>814665</v>
      </c>
      <c r="H1934" s="27">
        <f>IFERROR(__xludf.DUMMYFUNCTION("""COMPUTED_VALUE"""),41213.645833333336)</f>
        <v>41213.64583</v>
      </c>
      <c r="I1934" s="25">
        <f>IFERROR(__xludf.DUMMYFUNCTION("""COMPUTED_VALUE"""),654.55)</f>
        <v>654.55</v>
      </c>
      <c r="J1934" s="25">
        <f>IFERROR(__xludf.DUMMYFUNCTION("""COMPUTED_VALUE"""),658.4)</f>
        <v>658.4</v>
      </c>
      <c r="K1934" s="25">
        <f>IFERROR(__xludf.DUMMYFUNCTION("""COMPUTED_VALUE"""),652.0)</f>
        <v>652</v>
      </c>
      <c r="L1934" s="25">
        <f>IFERROR(__xludf.DUMMYFUNCTION("""COMPUTED_VALUE"""),657.75)</f>
        <v>657.75</v>
      </c>
      <c r="M1934" s="25">
        <f>IFERROR(__xludf.DUMMYFUNCTION("""COMPUTED_VALUE"""),499768.0)</f>
        <v>499768</v>
      </c>
    </row>
    <row r="1935">
      <c r="A1935" s="26">
        <f>IFERROR(__xludf.DUMMYFUNCTION("""COMPUTED_VALUE"""),41214.645833333336)</f>
        <v>41214.64583</v>
      </c>
      <c r="B1935" s="9">
        <f>IFERROR(__xludf.DUMMYFUNCTION("""COMPUTED_VALUE"""),295.25)</f>
        <v>295.25</v>
      </c>
      <c r="C1935" s="9">
        <f>IFERROR(__xludf.DUMMYFUNCTION("""COMPUTED_VALUE"""),296.25)</f>
        <v>296.25</v>
      </c>
      <c r="D1935" s="9">
        <f>IFERROR(__xludf.DUMMYFUNCTION("""COMPUTED_VALUE"""),292.64)</f>
        <v>292.64</v>
      </c>
      <c r="E1935" s="9">
        <f>IFERROR(__xludf.DUMMYFUNCTION("""COMPUTED_VALUE"""),295.58)</f>
        <v>295.58</v>
      </c>
      <c r="F1935" s="9">
        <f>IFERROR(__xludf.DUMMYFUNCTION("""COMPUTED_VALUE"""),876372.0)</f>
        <v>876372</v>
      </c>
      <c r="H1935" s="27">
        <f>IFERROR(__xludf.DUMMYFUNCTION("""COMPUTED_VALUE"""),41214.645833333336)</f>
        <v>41214.64583</v>
      </c>
      <c r="I1935" s="25">
        <f>IFERROR(__xludf.DUMMYFUNCTION("""COMPUTED_VALUE"""),657.45)</f>
        <v>657.45</v>
      </c>
      <c r="J1935" s="25">
        <f>IFERROR(__xludf.DUMMYFUNCTION("""COMPUTED_VALUE"""),660.18)</f>
        <v>660.18</v>
      </c>
      <c r="K1935" s="25">
        <f>IFERROR(__xludf.DUMMYFUNCTION("""COMPUTED_VALUE"""),655.1)</f>
        <v>655.1</v>
      </c>
      <c r="L1935" s="25">
        <f>IFERROR(__xludf.DUMMYFUNCTION("""COMPUTED_VALUE"""),657.63)</f>
        <v>657.63</v>
      </c>
      <c r="M1935" s="25">
        <f>IFERROR(__xludf.DUMMYFUNCTION("""COMPUTED_VALUE"""),789884.0)</f>
        <v>789884</v>
      </c>
    </row>
    <row r="1936">
      <c r="A1936" s="26">
        <f>IFERROR(__xludf.DUMMYFUNCTION("""COMPUTED_VALUE"""),41215.645833333336)</f>
        <v>41215.64583</v>
      </c>
      <c r="B1936" s="9">
        <f>IFERROR(__xludf.DUMMYFUNCTION("""COMPUTED_VALUE"""),296.38)</f>
        <v>296.38</v>
      </c>
      <c r="C1936" s="9">
        <f>IFERROR(__xludf.DUMMYFUNCTION("""COMPUTED_VALUE"""),300.58)</f>
        <v>300.58</v>
      </c>
      <c r="D1936" s="9">
        <f>IFERROR(__xludf.DUMMYFUNCTION("""COMPUTED_VALUE"""),296.14)</f>
        <v>296.14</v>
      </c>
      <c r="E1936" s="9">
        <f>IFERROR(__xludf.DUMMYFUNCTION("""COMPUTED_VALUE"""),298.51)</f>
        <v>298.51</v>
      </c>
      <c r="F1936" s="9">
        <f>IFERROR(__xludf.DUMMYFUNCTION("""COMPUTED_VALUE"""),881152.0)</f>
        <v>881152</v>
      </c>
      <c r="H1936" s="27">
        <f>IFERROR(__xludf.DUMMYFUNCTION("""COMPUTED_VALUE"""),41215.645833333336)</f>
        <v>41215.64583</v>
      </c>
      <c r="I1936" s="25">
        <f>IFERROR(__xludf.DUMMYFUNCTION("""COMPUTED_VALUE"""),662.45)</f>
        <v>662.45</v>
      </c>
      <c r="J1936" s="25">
        <f>IFERROR(__xludf.DUMMYFUNCTION("""COMPUTED_VALUE"""),669.0)</f>
        <v>669</v>
      </c>
      <c r="K1936" s="25">
        <f>IFERROR(__xludf.DUMMYFUNCTION("""COMPUTED_VALUE"""),659.2)</f>
        <v>659.2</v>
      </c>
      <c r="L1936" s="25">
        <f>IFERROR(__xludf.DUMMYFUNCTION("""COMPUTED_VALUE"""),665.6)</f>
        <v>665.6</v>
      </c>
      <c r="M1936" s="25">
        <f>IFERROR(__xludf.DUMMYFUNCTION("""COMPUTED_VALUE"""),836987.0)</f>
        <v>836987</v>
      </c>
    </row>
    <row r="1937">
      <c r="A1937" s="26">
        <f>IFERROR(__xludf.DUMMYFUNCTION("""COMPUTED_VALUE"""),41218.645833333336)</f>
        <v>41218.64583</v>
      </c>
      <c r="B1937" s="9">
        <f>IFERROR(__xludf.DUMMYFUNCTION("""COMPUTED_VALUE"""),297.89)</f>
        <v>297.89</v>
      </c>
      <c r="C1937" s="9">
        <f>IFERROR(__xludf.DUMMYFUNCTION("""COMPUTED_VALUE"""),298.83)</f>
        <v>298.83</v>
      </c>
      <c r="D1937" s="9">
        <f>IFERROR(__xludf.DUMMYFUNCTION("""COMPUTED_VALUE"""),295.94)</f>
        <v>295.94</v>
      </c>
      <c r="E1937" s="9">
        <f>IFERROR(__xludf.DUMMYFUNCTION("""COMPUTED_VALUE"""),297.31)</f>
        <v>297.31</v>
      </c>
      <c r="F1937" s="9">
        <f>IFERROR(__xludf.DUMMYFUNCTION("""COMPUTED_VALUE"""),619900.0)</f>
        <v>619900</v>
      </c>
      <c r="H1937" s="27">
        <f>IFERROR(__xludf.DUMMYFUNCTION("""COMPUTED_VALUE"""),41218.645833333336)</f>
        <v>41218.64583</v>
      </c>
      <c r="I1937" s="25">
        <f>IFERROR(__xludf.DUMMYFUNCTION("""COMPUTED_VALUE"""),667.95)</f>
        <v>667.95</v>
      </c>
      <c r="J1937" s="25">
        <f>IFERROR(__xludf.DUMMYFUNCTION("""COMPUTED_VALUE"""),671.68)</f>
        <v>671.68</v>
      </c>
      <c r="K1937" s="25">
        <f>IFERROR(__xludf.DUMMYFUNCTION("""COMPUTED_VALUE"""),662.65)</f>
        <v>662.65</v>
      </c>
      <c r="L1937" s="25">
        <f>IFERROR(__xludf.DUMMYFUNCTION("""COMPUTED_VALUE"""),664.8)</f>
        <v>664.8</v>
      </c>
      <c r="M1937" s="25">
        <f>IFERROR(__xludf.DUMMYFUNCTION("""COMPUTED_VALUE"""),611913.0)</f>
        <v>611913</v>
      </c>
    </row>
    <row r="1938">
      <c r="A1938" s="26">
        <f>IFERROR(__xludf.DUMMYFUNCTION("""COMPUTED_VALUE"""),41219.645833333336)</f>
        <v>41219.64583</v>
      </c>
      <c r="B1938" s="9">
        <f>IFERROR(__xludf.DUMMYFUNCTION("""COMPUTED_VALUE"""),298.0)</f>
        <v>298</v>
      </c>
      <c r="C1938" s="9">
        <f>IFERROR(__xludf.DUMMYFUNCTION("""COMPUTED_VALUE"""),300.81)</f>
        <v>300.81</v>
      </c>
      <c r="D1938" s="9">
        <f>IFERROR(__xludf.DUMMYFUNCTION("""COMPUTED_VALUE"""),296.41)</f>
        <v>296.41</v>
      </c>
      <c r="E1938" s="9">
        <f>IFERROR(__xludf.DUMMYFUNCTION("""COMPUTED_VALUE"""),297.71)</f>
        <v>297.71</v>
      </c>
      <c r="F1938" s="9">
        <f>IFERROR(__xludf.DUMMYFUNCTION("""COMPUTED_VALUE"""),851971.0)</f>
        <v>851971</v>
      </c>
      <c r="H1938" s="27">
        <f>IFERROR(__xludf.DUMMYFUNCTION("""COMPUTED_VALUE"""),41219.645833333336)</f>
        <v>41219.64583</v>
      </c>
      <c r="I1938" s="25">
        <f>IFERROR(__xludf.DUMMYFUNCTION("""COMPUTED_VALUE"""),662.5)</f>
        <v>662.5</v>
      </c>
      <c r="J1938" s="25">
        <f>IFERROR(__xludf.DUMMYFUNCTION("""COMPUTED_VALUE"""),668.7)</f>
        <v>668.7</v>
      </c>
      <c r="K1938" s="25">
        <f>IFERROR(__xludf.DUMMYFUNCTION("""COMPUTED_VALUE"""),659.73)</f>
        <v>659.73</v>
      </c>
      <c r="L1938" s="25">
        <f>IFERROR(__xludf.DUMMYFUNCTION("""COMPUTED_VALUE"""),660.28)</f>
        <v>660.28</v>
      </c>
      <c r="M1938" s="25">
        <f>IFERROR(__xludf.DUMMYFUNCTION("""COMPUTED_VALUE"""),648733.0)</f>
        <v>648733</v>
      </c>
    </row>
    <row r="1939">
      <c r="A1939" s="26">
        <f>IFERROR(__xludf.DUMMYFUNCTION("""COMPUTED_VALUE"""),41220.645833333336)</f>
        <v>41220.64583</v>
      </c>
      <c r="B1939" s="9">
        <f>IFERROR(__xludf.DUMMYFUNCTION("""COMPUTED_VALUE"""),297.75)</f>
        <v>297.75</v>
      </c>
      <c r="C1939" s="9">
        <f>IFERROR(__xludf.DUMMYFUNCTION("""COMPUTED_VALUE"""),301.75)</f>
        <v>301.75</v>
      </c>
      <c r="D1939" s="9">
        <f>IFERROR(__xludf.DUMMYFUNCTION("""COMPUTED_VALUE"""),296.88)</f>
        <v>296.88</v>
      </c>
      <c r="E1939" s="9">
        <f>IFERROR(__xludf.DUMMYFUNCTION("""COMPUTED_VALUE"""),300.55)</f>
        <v>300.55</v>
      </c>
      <c r="F1939" s="9">
        <f>IFERROR(__xludf.DUMMYFUNCTION("""COMPUTED_VALUE"""),586908.0)</f>
        <v>586908</v>
      </c>
      <c r="H1939" s="27">
        <f>IFERROR(__xludf.DUMMYFUNCTION("""COMPUTED_VALUE"""),41220.645833333336)</f>
        <v>41220.64583</v>
      </c>
      <c r="I1939" s="25">
        <f>IFERROR(__xludf.DUMMYFUNCTION("""COMPUTED_VALUE"""),662.5)</f>
        <v>662.5</v>
      </c>
      <c r="J1939" s="25">
        <f>IFERROR(__xludf.DUMMYFUNCTION("""COMPUTED_VALUE"""),666.68)</f>
        <v>666.68</v>
      </c>
      <c r="K1939" s="25">
        <f>IFERROR(__xludf.DUMMYFUNCTION("""COMPUTED_VALUE"""),660.75)</f>
        <v>660.75</v>
      </c>
      <c r="L1939" s="25">
        <f>IFERROR(__xludf.DUMMYFUNCTION("""COMPUTED_VALUE"""),665.75)</f>
        <v>665.75</v>
      </c>
      <c r="M1939" s="25">
        <f>IFERROR(__xludf.DUMMYFUNCTION("""COMPUTED_VALUE"""),529195.0)</f>
        <v>529195</v>
      </c>
    </row>
    <row r="1940">
      <c r="A1940" s="26">
        <f>IFERROR(__xludf.DUMMYFUNCTION("""COMPUTED_VALUE"""),41221.645833333336)</f>
        <v>41221.64583</v>
      </c>
      <c r="B1940" s="9">
        <f>IFERROR(__xludf.DUMMYFUNCTION("""COMPUTED_VALUE"""),296.5)</f>
        <v>296.5</v>
      </c>
      <c r="C1940" s="9">
        <f>IFERROR(__xludf.DUMMYFUNCTION("""COMPUTED_VALUE"""),298.07)</f>
        <v>298.07</v>
      </c>
      <c r="D1940" s="9">
        <f>IFERROR(__xludf.DUMMYFUNCTION("""COMPUTED_VALUE"""),295.63)</f>
        <v>295.63</v>
      </c>
      <c r="E1940" s="9">
        <f>IFERROR(__xludf.DUMMYFUNCTION("""COMPUTED_VALUE"""),296.91)</f>
        <v>296.91</v>
      </c>
      <c r="F1940" s="9">
        <f>IFERROR(__xludf.DUMMYFUNCTION("""COMPUTED_VALUE"""),653645.0)</f>
        <v>653645</v>
      </c>
      <c r="H1940" s="27">
        <f>IFERROR(__xludf.DUMMYFUNCTION("""COMPUTED_VALUE"""),41221.645833333336)</f>
        <v>41221.64583</v>
      </c>
      <c r="I1940" s="25">
        <f>IFERROR(__xludf.DUMMYFUNCTION("""COMPUTED_VALUE"""),662.0)</f>
        <v>662</v>
      </c>
      <c r="J1940" s="25">
        <f>IFERROR(__xludf.DUMMYFUNCTION("""COMPUTED_VALUE"""),667.35)</f>
        <v>667.35</v>
      </c>
      <c r="K1940" s="25">
        <f>IFERROR(__xludf.DUMMYFUNCTION("""COMPUTED_VALUE"""),658.3)</f>
        <v>658.3</v>
      </c>
      <c r="L1940" s="25">
        <f>IFERROR(__xludf.DUMMYFUNCTION("""COMPUTED_VALUE"""),665.6)</f>
        <v>665.6</v>
      </c>
      <c r="M1940" s="25">
        <f>IFERROR(__xludf.DUMMYFUNCTION("""COMPUTED_VALUE"""),619522.0)</f>
        <v>619522</v>
      </c>
    </row>
    <row r="1941">
      <c r="A1941" s="26">
        <f>IFERROR(__xludf.DUMMYFUNCTION("""COMPUTED_VALUE"""),41222.645833333336)</f>
        <v>41222.64583</v>
      </c>
      <c r="B1941" s="9">
        <f>IFERROR(__xludf.DUMMYFUNCTION("""COMPUTED_VALUE"""),295.63)</f>
        <v>295.63</v>
      </c>
      <c r="C1941" s="9">
        <f>IFERROR(__xludf.DUMMYFUNCTION("""COMPUTED_VALUE"""),295.63)</f>
        <v>295.63</v>
      </c>
      <c r="D1941" s="9">
        <f>IFERROR(__xludf.DUMMYFUNCTION("""COMPUTED_VALUE"""),293.13)</f>
        <v>293.13</v>
      </c>
      <c r="E1941" s="9">
        <f>IFERROR(__xludf.DUMMYFUNCTION("""COMPUTED_VALUE"""),293.59)</f>
        <v>293.59</v>
      </c>
      <c r="F1941" s="9">
        <f>IFERROR(__xludf.DUMMYFUNCTION("""COMPUTED_VALUE"""),742365.0)</f>
        <v>742365</v>
      </c>
      <c r="H1941" s="27">
        <f>IFERROR(__xludf.DUMMYFUNCTION("""COMPUTED_VALUE"""),41222.645833333336)</f>
        <v>41222.64583</v>
      </c>
      <c r="I1941" s="25">
        <f>IFERROR(__xludf.DUMMYFUNCTION("""COMPUTED_VALUE"""),665.0)</f>
        <v>665</v>
      </c>
      <c r="J1941" s="25">
        <f>IFERROR(__xludf.DUMMYFUNCTION("""COMPUTED_VALUE"""),666.63)</f>
        <v>666.63</v>
      </c>
      <c r="K1941" s="25">
        <f>IFERROR(__xludf.DUMMYFUNCTION("""COMPUTED_VALUE"""),660.45)</f>
        <v>660.45</v>
      </c>
      <c r="L1941" s="25">
        <f>IFERROR(__xludf.DUMMYFUNCTION("""COMPUTED_VALUE"""),662.48)</f>
        <v>662.48</v>
      </c>
      <c r="M1941" s="25">
        <f>IFERROR(__xludf.DUMMYFUNCTION("""COMPUTED_VALUE"""),355691.0)</f>
        <v>355691</v>
      </c>
    </row>
    <row r="1942">
      <c r="A1942" s="26">
        <f>IFERROR(__xludf.DUMMYFUNCTION("""COMPUTED_VALUE"""),41225.645833333336)</f>
        <v>41225.64583</v>
      </c>
      <c r="B1942" s="9">
        <f>IFERROR(__xludf.DUMMYFUNCTION("""COMPUTED_VALUE"""),294.38)</f>
        <v>294.38</v>
      </c>
      <c r="C1942" s="9">
        <f>IFERROR(__xludf.DUMMYFUNCTION("""COMPUTED_VALUE"""),296.13)</f>
        <v>296.13</v>
      </c>
      <c r="D1942" s="9">
        <f>IFERROR(__xludf.DUMMYFUNCTION("""COMPUTED_VALUE"""),291.69)</f>
        <v>291.69</v>
      </c>
      <c r="E1942" s="9">
        <f>IFERROR(__xludf.DUMMYFUNCTION("""COMPUTED_VALUE"""),294.87)</f>
        <v>294.87</v>
      </c>
      <c r="F1942" s="9">
        <f>IFERROR(__xludf.DUMMYFUNCTION("""COMPUTED_VALUE"""),462024.0)</f>
        <v>462024</v>
      </c>
      <c r="H1942" s="27">
        <f>IFERROR(__xludf.DUMMYFUNCTION("""COMPUTED_VALUE"""),41225.645833333336)</f>
        <v>41225.64583</v>
      </c>
      <c r="I1942" s="25">
        <f>IFERROR(__xludf.DUMMYFUNCTION("""COMPUTED_VALUE"""),660.0)</f>
        <v>660</v>
      </c>
      <c r="J1942" s="25">
        <f>IFERROR(__xludf.DUMMYFUNCTION("""COMPUTED_VALUE"""),674.0)</f>
        <v>674</v>
      </c>
      <c r="K1942" s="25">
        <f>IFERROR(__xludf.DUMMYFUNCTION("""COMPUTED_VALUE"""),660.0)</f>
        <v>660</v>
      </c>
      <c r="L1942" s="25">
        <f>IFERROR(__xludf.DUMMYFUNCTION("""COMPUTED_VALUE"""),667.25)</f>
        <v>667.25</v>
      </c>
      <c r="M1942" s="25">
        <f>IFERROR(__xludf.DUMMYFUNCTION("""COMPUTED_VALUE"""),733391.0)</f>
        <v>733391</v>
      </c>
    </row>
    <row r="1943">
      <c r="A1943" s="26">
        <f>IFERROR(__xludf.DUMMYFUNCTION("""COMPUTED_VALUE"""),41226.645833333336)</f>
        <v>41226.64583</v>
      </c>
      <c r="B1943" s="9">
        <f>IFERROR(__xludf.DUMMYFUNCTION("""COMPUTED_VALUE"""),294.25)</f>
        <v>294.25</v>
      </c>
      <c r="C1943" s="9">
        <f>IFERROR(__xludf.DUMMYFUNCTION("""COMPUTED_VALUE"""),295.0)</f>
        <v>295</v>
      </c>
      <c r="D1943" s="9">
        <f>IFERROR(__xludf.DUMMYFUNCTION("""COMPUTED_VALUE"""),291.63)</f>
        <v>291.63</v>
      </c>
      <c r="E1943" s="9">
        <f>IFERROR(__xludf.DUMMYFUNCTION("""COMPUTED_VALUE"""),292.29)</f>
        <v>292.29</v>
      </c>
      <c r="F1943" s="9">
        <f>IFERROR(__xludf.DUMMYFUNCTION("""COMPUTED_VALUE"""),70407.0)</f>
        <v>70407</v>
      </c>
      <c r="H1943" s="27">
        <f>IFERROR(__xludf.DUMMYFUNCTION("""COMPUTED_VALUE"""),41226.645833333336)</f>
        <v>41226.64583</v>
      </c>
      <c r="I1943" s="25">
        <f>IFERROR(__xludf.DUMMYFUNCTION("""COMPUTED_VALUE"""),667.58)</f>
        <v>667.58</v>
      </c>
      <c r="J1943" s="25">
        <f>IFERROR(__xludf.DUMMYFUNCTION("""COMPUTED_VALUE"""),668.6)</f>
        <v>668.6</v>
      </c>
      <c r="K1943" s="25">
        <f>IFERROR(__xludf.DUMMYFUNCTION("""COMPUTED_VALUE"""),661.03)</f>
        <v>661.03</v>
      </c>
      <c r="L1943" s="25">
        <f>IFERROR(__xludf.DUMMYFUNCTION("""COMPUTED_VALUE"""),662.65)</f>
        <v>662.65</v>
      </c>
      <c r="M1943" s="25">
        <f>IFERROR(__xludf.DUMMYFUNCTION("""COMPUTED_VALUE"""),71507.0)</f>
        <v>71507</v>
      </c>
    </row>
    <row r="1944">
      <c r="A1944" s="26">
        <f>IFERROR(__xludf.DUMMYFUNCTION("""COMPUTED_VALUE"""),41228.645833333336)</f>
        <v>41228.64583</v>
      </c>
      <c r="B1944" s="9">
        <f>IFERROR(__xludf.DUMMYFUNCTION("""COMPUTED_VALUE"""),291.89)</f>
        <v>291.89</v>
      </c>
      <c r="C1944" s="9">
        <f>IFERROR(__xludf.DUMMYFUNCTION("""COMPUTED_VALUE"""),292.13)</f>
        <v>292.13</v>
      </c>
      <c r="D1944" s="9">
        <f>IFERROR(__xludf.DUMMYFUNCTION("""COMPUTED_VALUE"""),284.85)</f>
        <v>284.85</v>
      </c>
      <c r="E1944" s="9">
        <f>IFERROR(__xludf.DUMMYFUNCTION("""COMPUTED_VALUE"""),287.04)</f>
        <v>287.04</v>
      </c>
      <c r="F1944" s="9">
        <f>IFERROR(__xludf.DUMMYFUNCTION("""COMPUTED_VALUE"""),1141631.0)</f>
        <v>1141631</v>
      </c>
      <c r="H1944" s="27">
        <f>IFERROR(__xludf.DUMMYFUNCTION("""COMPUTED_VALUE"""),41228.645833333336)</f>
        <v>41228.64583</v>
      </c>
      <c r="I1944" s="25">
        <f>IFERROR(__xludf.DUMMYFUNCTION("""COMPUTED_VALUE"""),660.05)</f>
        <v>660.05</v>
      </c>
      <c r="J1944" s="25">
        <f>IFERROR(__xludf.DUMMYFUNCTION("""COMPUTED_VALUE"""),661.0)</f>
        <v>661</v>
      </c>
      <c r="K1944" s="25">
        <f>IFERROR(__xludf.DUMMYFUNCTION("""COMPUTED_VALUE"""),645.5)</f>
        <v>645.5</v>
      </c>
      <c r="L1944" s="25">
        <f>IFERROR(__xludf.DUMMYFUNCTION("""COMPUTED_VALUE"""),647.08)</f>
        <v>647.08</v>
      </c>
      <c r="M1944" s="25">
        <f>IFERROR(__xludf.DUMMYFUNCTION("""COMPUTED_VALUE"""),867701.0)</f>
        <v>867701</v>
      </c>
    </row>
    <row r="1945">
      <c r="A1945" s="26">
        <f>IFERROR(__xludf.DUMMYFUNCTION("""COMPUTED_VALUE"""),41229.645833333336)</f>
        <v>41229.64583</v>
      </c>
      <c r="B1945" s="9">
        <f>IFERROR(__xludf.DUMMYFUNCTION("""COMPUTED_VALUE"""),286.38)</f>
        <v>286.38</v>
      </c>
      <c r="C1945" s="9">
        <f>IFERROR(__xludf.DUMMYFUNCTION("""COMPUTED_VALUE"""),298.38)</f>
        <v>298.38</v>
      </c>
      <c r="D1945" s="9">
        <f>IFERROR(__xludf.DUMMYFUNCTION("""COMPUTED_VALUE"""),286.38)</f>
        <v>286.38</v>
      </c>
      <c r="E1945" s="9">
        <f>IFERROR(__xludf.DUMMYFUNCTION("""COMPUTED_VALUE"""),292.92)</f>
        <v>292.92</v>
      </c>
      <c r="F1945" s="9">
        <f>IFERROR(__xludf.DUMMYFUNCTION("""COMPUTED_VALUE"""),1711638.0)</f>
        <v>1711638</v>
      </c>
      <c r="H1945" s="27">
        <f>IFERROR(__xludf.DUMMYFUNCTION("""COMPUTED_VALUE"""),41229.645833333336)</f>
        <v>41229.64583</v>
      </c>
      <c r="I1945" s="25">
        <f>IFERROR(__xludf.DUMMYFUNCTION("""COMPUTED_VALUE"""),649.9)</f>
        <v>649.9</v>
      </c>
      <c r="J1945" s="25">
        <f>IFERROR(__xludf.DUMMYFUNCTION("""COMPUTED_VALUE"""),653.4)</f>
        <v>653.4</v>
      </c>
      <c r="K1945" s="25">
        <f>IFERROR(__xludf.DUMMYFUNCTION("""COMPUTED_VALUE"""),640.05)</f>
        <v>640.05</v>
      </c>
      <c r="L1945" s="25">
        <f>IFERROR(__xludf.DUMMYFUNCTION("""COMPUTED_VALUE"""),643.4)</f>
        <v>643.4</v>
      </c>
      <c r="M1945" s="25">
        <f>IFERROR(__xludf.DUMMYFUNCTION("""COMPUTED_VALUE"""),799445.0)</f>
        <v>799445</v>
      </c>
    </row>
    <row r="1946">
      <c r="A1946" s="26">
        <f>IFERROR(__xludf.DUMMYFUNCTION("""COMPUTED_VALUE"""),41232.645833333336)</f>
        <v>41232.64583</v>
      </c>
      <c r="B1946" s="9">
        <f>IFERROR(__xludf.DUMMYFUNCTION("""COMPUTED_VALUE"""),293.0)</f>
        <v>293</v>
      </c>
      <c r="C1946" s="9">
        <f>IFERROR(__xludf.DUMMYFUNCTION("""COMPUTED_VALUE"""),297.65)</f>
        <v>297.65</v>
      </c>
      <c r="D1946" s="9">
        <f>IFERROR(__xludf.DUMMYFUNCTION("""COMPUTED_VALUE"""),292.08)</f>
        <v>292.08</v>
      </c>
      <c r="E1946" s="9">
        <f>IFERROR(__xludf.DUMMYFUNCTION("""COMPUTED_VALUE"""),294.82)</f>
        <v>294.82</v>
      </c>
      <c r="F1946" s="9">
        <f>IFERROR(__xludf.DUMMYFUNCTION("""COMPUTED_VALUE"""),504516.0)</f>
        <v>504516</v>
      </c>
      <c r="H1946" s="27">
        <f>IFERROR(__xludf.DUMMYFUNCTION("""COMPUTED_VALUE"""),41232.645833333336)</f>
        <v>41232.64583</v>
      </c>
      <c r="I1946" s="25">
        <f>IFERROR(__xludf.DUMMYFUNCTION("""COMPUTED_VALUE"""),645.05)</f>
        <v>645.05</v>
      </c>
      <c r="J1946" s="25">
        <f>IFERROR(__xludf.DUMMYFUNCTION("""COMPUTED_VALUE"""),647.5)</f>
        <v>647.5</v>
      </c>
      <c r="K1946" s="25">
        <f>IFERROR(__xludf.DUMMYFUNCTION("""COMPUTED_VALUE"""),629.25)</f>
        <v>629.25</v>
      </c>
      <c r="L1946" s="25">
        <f>IFERROR(__xludf.DUMMYFUNCTION("""COMPUTED_VALUE"""),631.17)</f>
        <v>631.17</v>
      </c>
      <c r="M1946" s="25">
        <f>IFERROR(__xludf.DUMMYFUNCTION("""COMPUTED_VALUE"""),838143.0)</f>
        <v>838143</v>
      </c>
    </row>
    <row r="1947">
      <c r="A1947" s="26">
        <f>IFERROR(__xludf.DUMMYFUNCTION("""COMPUTED_VALUE"""),41233.645833333336)</f>
        <v>41233.64583</v>
      </c>
      <c r="B1947" s="9">
        <f>IFERROR(__xludf.DUMMYFUNCTION("""COMPUTED_VALUE"""),297.14)</f>
        <v>297.14</v>
      </c>
      <c r="C1947" s="9">
        <f>IFERROR(__xludf.DUMMYFUNCTION("""COMPUTED_VALUE"""),297.14)</f>
        <v>297.14</v>
      </c>
      <c r="D1947" s="9">
        <f>IFERROR(__xludf.DUMMYFUNCTION("""COMPUTED_VALUE"""),289.1)</f>
        <v>289.1</v>
      </c>
      <c r="E1947" s="9">
        <f>IFERROR(__xludf.DUMMYFUNCTION("""COMPUTED_VALUE"""),290.59)</f>
        <v>290.59</v>
      </c>
      <c r="F1947" s="9">
        <f>IFERROR(__xludf.DUMMYFUNCTION("""COMPUTED_VALUE"""),680038.0)</f>
        <v>680038</v>
      </c>
      <c r="H1947" s="27">
        <f>IFERROR(__xludf.DUMMYFUNCTION("""COMPUTED_VALUE"""),41233.645833333336)</f>
        <v>41233.64583</v>
      </c>
      <c r="I1947" s="25">
        <f>IFERROR(__xludf.DUMMYFUNCTION("""COMPUTED_VALUE"""),637.5)</f>
        <v>637.5</v>
      </c>
      <c r="J1947" s="25">
        <f>IFERROR(__xludf.DUMMYFUNCTION("""COMPUTED_VALUE"""),641.45)</f>
        <v>641.45</v>
      </c>
      <c r="K1947" s="25">
        <f>IFERROR(__xludf.DUMMYFUNCTION("""COMPUTED_VALUE"""),628.03)</f>
        <v>628.03</v>
      </c>
      <c r="L1947" s="25">
        <f>IFERROR(__xludf.DUMMYFUNCTION("""COMPUTED_VALUE"""),636.4)</f>
        <v>636.4</v>
      </c>
      <c r="M1947" s="25">
        <f>IFERROR(__xludf.DUMMYFUNCTION("""COMPUTED_VALUE"""),628020.0)</f>
        <v>628020</v>
      </c>
    </row>
    <row r="1948">
      <c r="A1948" s="26">
        <f>IFERROR(__xludf.DUMMYFUNCTION("""COMPUTED_VALUE"""),41234.645833333336)</f>
        <v>41234.64583</v>
      </c>
      <c r="B1948" s="9">
        <f>IFERROR(__xludf.DUMMYFUNCTION("""COMPUTED_VALUE"""),291.21)</f>
        <v>291.21</v>
      </c>
      <c r="C1948" s="9">
        <f>IFERROR(__xludf.DUMMYFUNCTION("""COMPUTED_VALUE"""),295.49)</f>
        <v>295.49</v>
      </c>
      <c r="D1948" s="9">
        <f>IFERROR(__xludf.DUMMYFUNCTION("""COMPUTED_VALUE"""),290.18)</f>
        <v>290.18</v>
      </c>
      <c r="E1948" s="9">
        <f>IFERROR(__xludf.DUMMYFUNCTION("""COMPUTED_VALUE"""),293.73)</f>
        <v>293.73</v>
      </c>
      <c r="F1948" s="9">
        <f>IFERROR(__xludf.DUMMYFUNCTION("""COMPUTED_VALUE"""),873726.0)</f>
        <v>873726</v>
      </c>
      <c r="H1948" s="27">
        <f>IFERROR(__xludf.DUMMYFUNCTION("""COMPUTED_VALUE"""),41234.645833333336)</f>
        <v>41234.64583</v>
      </c>
      <c r="I1948" s="25">
        <f>IFERROR(__xludf.DUMMYFUNCTION("""COMPUTED_VALUE"""),638.13)</f>
        <v>638.13</v>
      </c>
      <c r="J1948" s="25">
        <f>IFERROR(__xludf.DUMMYFUNCTION("""COMPUTED_VALUE"""),647.35)</f>
        <v>647.35</v>
      </c>
      <c r="K1948" s="25">
        <f>IFERROR(__xludf.DUMMYFUNCTION("""COMPUTED_VALUE"""),638.13)</f>
        <v>638.13</v>
      </c>
      <c r="L1948" s="25">
        <f>IFERROR(__xludf.DUMMYFUNCTION("""COMPUTED_VALUE"""),641.1)</f>
        <v>641.1</v>
      </c>
      <c r="M1948" s="25">
        <f>IFERROR(__xludf.DUMMYFUNCTION("""COMPUTED_VALUE"""),470872.0)</f>
        <v>470872</v>
      </c>
    </row>
    <row r="1949">
      <c r="A1949" s="26">
        <f>IFERROR(__xludf.DUMMYFUNCTION("""COMPUTED_VALUE"""),41235.645833333336)</f>
        <v>41235.64583</v>
      </c>
      <c r="B1949" s="9">
        <f>IFERROR(__xludf.DUMMYFUNCTION("""COMPUTED_VALUE"""),293.5)</f>
        <v>293.5</v>
      </c>
      <c r="C1949" s="9">
        <f>IFERROR(__xludf.DUMMYFUNCTION("""COMPUTED_VALUE"""),299.0)</f>
        <v>299</v>
      </c>
      <c r="D1949" s="9">
        <f>IFERROR(__xludf.DUMMYFUNCTION("""COMPUTED_VALUE"""),291.88)</f>
        <v>291.88</v>
      </c>
      <c r="E1949" s="9">
        <f>IFERROR(__xludf.DUMMYFUNCTION("""COMPUTED_VALUE"""),297.83)</f>
        <v>297.83</v>
      </c>
      <c r="F1949" s="9">
        <f>IFERROR(__xludf.DUMMYFUNCTION("""COMPUTED_VALUE"""),728414.0)</f>
        <v>728414</v>
      </c>
      <c r="H1949" s="27">
        <f>IFERROR(__xludf.DUMMYFUNCTION("""COMPUTED_VALUE"""),41235.645833333336)</f>
        <v>41235.64583</v>
      </c>
      <c r="I1949" s="25">
        <f>IFERROR(__xludf.DUMMYFUNCTION("""COMPUTED_VALUE"""),641.05)</f>
        <v>641.05</v>
      </c>
      <c r="J1949" s="25">
        <f>IFERROR(__xludf.DUMMYFUNCTION("""COMPUTED_VALUE"""),642.05)</f>
        <v>642.05</v>
      </c>
      <c r="K1949" s="25">
        <f>IFERROR(__xludf.DUMMYFUNCTION("""COMPUTED_VALUE"""),635.5)</f>
        <v>635.5</v>
      </c>
      <c r="L1949" s="25">
        <f>IFERROR(__xludf.DUMMYFUNCTION("""COMPUTED_VALUE"""),638.23)</f>
        <v>638.23</v>
      </c>
      <c r="M1949" s="25">
        <f>IFERROR(__xludf.DUMMYFUNCTION("""COMPUTED_VALUE"""),305812.0)</f>
        <v>305812</v>
      </c>
    </row>
    <row r="1950">
      <c r="A1950" s="26">
        <f>IFERROR(__xludf.DUMMYFUNCTION("""COMPUTED_VALUE"""),41236.645833333336)</f>
        <v>41236.64583</v>
      </c>
      <c r="B1950" s="9">
        <f>IFERROR(__xludf.DUMMYFUNCTION("""COMPUTED_VALUE"""),297.75)</f>
        <v>297.75</v>
      </c>
      <c r="C1950" s="9">
        <f>IFERROR(__xludf.DUMMYFUNCTION("""COMPUTED_VALUE"""),299.88)</f>
        <v>299.88</v>
      </c>
      <c r="D1950" s="9">
        <f>IFERROR(__xludf.DUMMYFUNCTION("""COMPUTED_VALUE"""),294.63)</f>
        <v>294.63</v>
      </c>
      <c r="E1950" s="9">
        <f>IFERROR(__xludf.DUMMYFUNCTION("""COMPUTED_VALUE"""),297.19)</f>
        <v>297.19</v>
      </c>
      <c r="F1950" s="9">
        <f>IFERROR(__xludf.DUMMYFUNCTION("""COMPUTED_VALUE"""),434717.0)</f>
        <v>434717</v>
      </c>
      <c r="H1950" s="27">
        <f>IFERROR(__xludf.DUMMYFUNCTION("""COMPUTED_VALUE"""),41236.645833333336)</f>
        <v>41236.64583</v>
      </c>
      <c r="I1950" s="25">
        <f>IFERROR(__xludf.DUMMYFUNCTION("""COMPUTED_VALUE"""),641.0)</f>
        <v>641</v>
      </c>
      <c r="J1950" s="25">
        <f>IFERROR(__xludf.DUMMYFUNCTION("""COMPUTED_VALUE"""),645.7)</f>
        <v>645.7</v>
      </c>
      <c r="K1950" s="25">
        <f>IFERROR(__xludf.DUMMYFUNCTION("""COMPUTED_VALUE"""),635.63)</f>
        <v>635.63</v>
      </c>
      <c r="L1950" s="25">
        <f>IFERROR(__xludf.DUMMYFUNCTION("""COMPUTED_VALUE"""),644.3)</f>
        <v>644.3</v>
      </c>
      <c r="M1950" s="25">
        <f>IFERROR(__xludf.DUMMYFUNCTION("""COMPUTED_VALUE"""),374838.0)</f>
        <v>374838</v>
      </c>
    </row>
    <row r="1951">
      <c r="A1951" s="26">
        <f>IFERROR(__xludf.DUMMYFUNCTION("""COMPUTED_VALUE"""),41239.645833333336)</f>
        <v>41239.64583</v>
      </c>
      <c r="B1951" s="9">
        <f>IFERROR(__xludf.DUMMYFUNCTION("""COMPUTED_VALUE"""),298.84)</f>
        <v>298.84</v>
      </c>
      <c r="C1951" s="9">
        <f>IFERROR(__xludf.DUMMYFUNCTION("""COMPUTED_VALUE"""),302.63)</f>
        <v>302.63</v>
      </c>
      <c r="D1951" s="9">
        <f>IFERROR(__xludf.DUMMYFUNCTION("""COMPUTED_VALUE"""),298.84)</f>
        <v>298.84</v>
      </c>
      <c r="E1951" s="9">
        <f>IFERROR(__xludf.DUMMYFUNCTION("""COMPUTED_VALUE"""),302.18)</f>
        <v>302.18</v>
      </c>
      <c r="F1951" s="9">
        <f>IFERROR(__xludf.DUMMYFUNCTION("""COMPUTED_VALUE"""),473507.0)</f>
        <v>473507</v>
      </c>
      <c r="H1951" s="27">
        <f>IFERROR(__xludf.DUMMYFUNCTION("""COMPUTED_VALUE"""),41239.645833333336)</f>
        <v>41239.64583</v>
      </c>
      <c r="I1951" s="25">
        <f>IFERROR(__xludf.DUMMYFUNCTION("""COMPUTED_VALUE"""),644.0)</f>
        <v>644</v>
      </c>
      <c r="J1951" s="25">
        <f>IFERROR(__xludf.DUMMYFUNCTION("""COMPUTED_VALUE"""),647.85)</f>
        <v>647.85</v>
      </c>
      <c r="K1951" s="25">
        <f>IFERROR(__xludf.DUMMYFUNCTION("""COMPUTED_VALUE"""),642.5)</f>
        <v>642.5</v>
      </c>
      <c r="L1951" s="25">
        <f>IFERROR(__xludf.DUMMYFUNCTION("""COMPUTED_VALUE"""),646.85)</f>
        <v>646.85</v>
      </c>
      <c r="M1951" s="25">
        <f>IFERROR(__xludf.DUMMYFUNCTION("""COMPUTED_VALUE"""),228167.0)</f>
        <v>228167</v>
      </c>
    </row>
    <row r="1952">
      <c r="A1952" s="26">
        <f>IFERROR(__xludf.DUMMYFUNCTION("""COMPUTED_VALUE"""),41240.645833333336)</f>
        <v>41240.64583</v>
      </c>
      <c r="B1952" s="9">
        <f>IFERROR(__xludf.DUMMYFUNCTION("""COMPUTED_VALUE"""),302.75)</f>
        <v>302.75</v>
      </c>
      <c r="C1952" s="9">
        <f>IFERROR(__xludf.DUMMYFUNCTION("""COMPUTED_VALUE"""),310.0)</f>
        <v>310</v>
      </c>
      <c r="D1952" s="9">
        <f>IFERROR(__xludf.DUMMYFUNCTION("""COMPUTED_VALUE"""),302.73)</f>
        <v>302.73</v>
      </c>
      <c r="E1952" s="9">
        <f>IFERROR(__xludf.DUMMYFUNCTION("""COMPUTED_VALUE"""),308.83)</f>
        <v>308.83</v>
      </c>
      <c r="F1952" s="9">
        <f>IFERROR(__xludf.DUMMYFUNCTION("""COMPUTED_VALUE"""),714663.0)</f>
        <v>714663</v>
      </c>
      <c r="H1952" s="27">
        <f>IFERROR(__xludf.DUMMYFUNCTION("""COMPUTED_VALUE"""),41240.645833333336)</f>
        <v>41240.64583</v>
      </c>
      <c r="I1952" s="25">
        <f>IFERROR(__xludf.DUMMYFUNCTION("""COMPUTED_VALUE"""),649.95)</f>
        <v>649.95</v>
      </c>
      <c r="J1952" s="25">
        <f>IFERROR(__xludf.DUMMYFUNCTION("""COMPUTED_VALUE"""),649.95)</f>
        <v>649.95</v>
      </c>
      <c r="K1952" s="25">
        <f>IFERROR(__xludf.DUMMYFUNCTION("""COMPUTED_VALUE"""),644.15)</f>
        <v>644.15</v>
      </c>
      <c r="L1952" s="25">
        <f>IFERROR(__xludf.DUMMYFUNCTION("""COMPUTED_VALUE"""),647.6)</f>
        <v>647.6</v>
      </c>
      <c r="M1952" s="25">
        <f>IFERROR(__xludf.DUMMYFUNCTION("""COMPUTED_VALUE"""),669080.0)</f>
        <v>669080</v>
      </c>
    </row>
    <row r="1953">
      <c r="A1953" s="26">
        <f>IFERROR(__xludf.DUMMYFUNCTION("""COMPUTED_VALUE"""),41242.645833333336)</f>
        <v>41242.64583</v>
      </c>
      <c r="B1953" s="9">
        <f>IFERROR(__xludf.DUMMYFUNCTION("""COMPUTED_VALUE"""),306.25)</f>
        <v>306.25</v>
      </c>
      <c r="C1953" s="9">
        <f>IFERROR(__xludf.DUMMYFUNCTION("""COMPUTED_VALUE"""),307.41)</f>
        <v>307.41</v>
      </c>
      <c r="D1953" s="9">
        <f>IFERROR(__xludf.DUMMYFUNCTION("""COMPUTED_VALUE"""),303.31)</f>
        <v>303.31</v>
      </c>
      <c r="E1953" s="9">
        <f>IFERROR(__xludf.DUMMYFUNCTION("""COMPUTED_VALUE"""),305.66)</f>
        <v>305.66</v>
      </c>
      <c r="F1953" s="9">
        <f>IFERROR(__xludf.DUMMYFUNCTION("""COMPUTED_VALUE"""),1295637.0)</f>
        <v>1295637</v>
      </c>
      <c r="H1953" s="27">
        <f>IFERROR(__xludf.DUMMYFUNCTION("""COMPUTED_VALUE"""),41242.645833333336)</f>
        <v>41242.64583</v>
      </c>
      <c r="I1953" s="25">
        <f>IFERROR(__xludf.DUMMYFUNCTION("""COMPUTED_VALUE"""),655.0)</f>
        <v>655</v>
      </c>
      <c r="J1953" s="25">
        <f>IFERROR(__xludf.DUMMYFUNCTION("""COMPUTED_VALUE"""),656.0)</f>
        <v>656</v>
      </c>
      <c r="K1953" s="25">
        <f>IFERROR(__xludf.DUMMYFUNCTION("""COMPUTED_VALUE"""),646.17)</f>
        <v>646.17</v>
      </c>
      <c r="L1953" s="25">
        <f>IFERROR(__xludf.DUMMYFUNCTION("""COMPUTED_VALUE"""),649.05)</f>
        <v>649.05</v>
      </c>
      <c r="M1953" s="25">
        <f>IFERROR(__xludf.DUMMYFUNCTION("""COMPUTED_VALUE"""),1735289.0)</f>
        <v>1735289</v>
      </c>
    </row>
    <row r="1954">
      <c r="A1954" s="26">
        <f>IFERROR(__xludf.DUMMYFUNCTION("""COMPUTED_VALUE"""),41243.645833333336)</f>
        <v>41243.64583</v>
      </c>
      <c r="B1954" s="9">
        <f>IFERROR(__xludf.DUMMYFUNCTION("""COMPUTED_VALUE"""),305.2)</f>
        <v>305.2</v>
      </c>
      <c r="C1954" s="9">
        <f>IFERROR(__xludf.DUMMYFUNCTION("""COMPUTED_VALUE"""),309.56)</f>
        <v>309.56</v>
      </c>
      <c r="D1954" s="9">
        <f>IFERROR(__xludf.DUMMYFUNCTION("""COMPUTED_VALUE"""),303.13)</f>
        <v>303.13</v>
      </c>
      <c r="E1954" s="9">
        <f>IFERROR(__xludf.DUMMYFUNCTION("""COMPUTED_VALUE"""),304.61)</f>
        <v>304.61</v>
      </c>
      <c r="F1954" s="9">
        <f>IFERROR(__xludf.DUMMYFUNCTION("""COMPUTED_VALUE"""),881339.0)</f>
        <v>881339</v>
      </c>
      <c r="H1954" s="27">
        <f>IFERROR(__xludf.DUMMYFUNCTION("""COMPUTED_VALUE"""),41243.645833333336)</f>
        <v>41243.64583</v>
      </c>
      <c r="I1954" s="25">
        <f>IFERROR(__xludf.DUMMYFUNCTION("""COMPUTED_VALUE"""),647.5)</f>
        <v>647.5</v>
      </c>
      <c r="J1954" s="25">
        <f>IFERROR(__xludf.DUMMYFUNCTION("""COMPUTED_VALUE"""),662.5)</f>
        <v>662.5</v>
      </c>
      <c r="K1954" s="25">
        <f>IFERROR(__xludf.DUMMYFUNCTION("""COMPUTED_VALUE"""),645.55)</f>
        <v>645.55</v>
      </c>
      <c r="L1954" s="25">
        <f>IFERROR(__xludf.DUMMYFUNCTION("""COMPUTED_VALUE"""),657.0)</f>
        <v>657</v>
      </c>
      <c r="M1954" s="25">
        <f>IFERROR(__xludf.DUMMYFUNCTION("""COMPUTED_VALUE"""),1789647.0)</f>
        <v>1789647</v>
      </c>
    </row>
    <row r="1955">
      <c r="A1955" s="26">
        <f>IFERROR(__xludf.DUMMYFUNCTION("""COMPUTED_VALUE"""),41246.645833333336)</f>
        <v>41246.64583</v>
      </c>
      <c r="B1955" s="9">
        <f>IFERROR(__xludf.DUMMYFUNCTION("""COMPUTED_VALUE"""),304.63)</f>
        <v>304.63</v>
      </c>
      <c r="C1955" s="9">
        <f>IFERROR(__xludf.DUMMYFUNCTION("""COMPUTED_VALUE"""),306.63)</f>
        <v>306.63</v>
      </c>
      <c r="D1955" s="9">
        <f>IFERROR(__xludf.DUMMYFUNCTION("""COMPUTED_VALUE"""),303.04)</f>
        <v>303.04</v>
      </c>
      <c r="E1955" s="9">
        <f>IFERROR(__xludf.DUMMYFUNCTION("""COMPUTED_VALUE"""),304.89)</f>
        <v>304.89</v>
      </c>
      <c r="F1955" s="9">
        <f>IFERROR(__xludf.DUMMYFUNCTION("""COMPUTED_VALUE"""),650373.0)</f>
        <v>650373</v>
      </c>
      <c r="H1955" s="27">
        <f>IFERROR(__xludf.DUMMYFUNCTION("""COMPUTED_VALUE"""),41246.645833333336)</f>
        <v>41246.64583</v>
      </c>
      <c r="I1955" s="25">
        <f>IFERROR(__xludf.DUMMYFUNCTION("""COMPUTED_VALUE"""),657.5)</f>
        <v>657.5</v>
      </c>
      <c r="J1955" s="25">
        <f>IFERROR(__xludf.DUMMYFUNCTION("""COMPUTED_VALUE"""),661.0)</f>
        <v>661</v>
      </c>
      <c r="K1955" s="25">
        <f>IFERROR(__xludf.DUMMYFUNCTION("""COMPUTED_VALUE"""),652.6)</f>
        <v>652.6</v>
      </c>
      <c r="L1955" s="25">
        <f>IFERROR(__xludf.DUMMYFUNCTION("""COMPUTED_VALUE"""),658.4)</f>
        <v>658.4</v>
      </c>
      <c r="M1955" s="25">
        <f>IFERROR(__xludf.DUMMYFUNCTION("""COMPUTED_VALUE"""),659756.0)</f>
        <v>659756</v>
      </c>
    </row>
    <row r="1956">
      <c r="A1956" s="26">
        <f>IFERROR(__xludf.DUMMYFUNCTION("""COMPUTED_VALUE"""),41247.645833333336)</f>
        <v>41247.64583</v>
      </c>
      <c r="B1956" s="9">
        <f>IFERROR(__xludf.DUMMYFUNCTION("""COMPUTED_VALUE"""),303.63)</f>
        <v>303.63</v>
      </c>
      <c r="C1956" s="9">
        <f>IFERROR(__xludf.DUMMYFUNCTION("""COMPUTED_VALUE"""),305.88)</f>
        <v>305.88</v>
      </c>
      <c r="D1956" s="9">
        <f>IFERROR(__xludf.DUMMYFUNCTION("""COMPUTED_VALUE"""),301.88)</f>
        <v>301.88</v>
      </c>
      <c r="E1956" s="9">
        <f>IFERROR(__xludf.DUMMYFUNCTION("""COMPUTED_VALUE"""),304.68)</f>
        <v>304.68</v>
      </c>
      <c r="F1956" s="9">
        <f>IFERROR(__xludf.DUMMYFUNCTION("""COMPUTED_VALUE"""),563786.0)</f>
        <v>563786</v>
      </c>
      <c r="H1956" s="27">
        <f>IFERROR(__xludf.DUMMYFUNCTION("""COMPUTED_VALUE"""),41247.645833333336)</f>
        <v>41247.64583</v>
      </c>
      <c r="I1956" s="25">
        <f>IFERROR(__xludf.DUMMYFUNCTION("""COMPUTED_VALUE"""),657.55)</f>
        <v>657.55</v>
      </c>
      <c r="J1956" s="25">
        <f>IFERROR(__xludf.DUMMYFUNCTION("""COMPUTED_VALUE"""),660.9)</f>
        <v>660.9</v>
      </c>
      <c r="K1956" s="25">
        <f>IFERROR(__xludf.DUMMYFUNCTION("""COMPUTED_VALUE"""),646.45)</f>
        <v>646.45</v>
      </c>
      <c r="L1956" s="25">
        <f>IFERROR(__xludf.DUMMYFUNCTION("""COMPUTED_VALUE"""),649.73)</f>
        <v>649.73</v>
      </c>
      <c r="M1956" s="25">
        <f>IFERROR(__xludf.DUMMYFUNCTION("""COMPUTED_VALUE"""),797560.0)</f>
        <v>797560</v>
      </c>
    </row>
    <row r="1957">
      <c r="A1957" s="26">
        <f>IFERROR(__xludf.DUMMYFUNCTION("""COMPUTED_VALUE"""),41248.645833333336)</f>
        <v>41248.64583</v>
      </c>
      <c r="B1957" s="9">
        <f>IFERROR(__xludf.DUMMYFUNCTION("""COMPUTED_VALUE"""),303.63)</f>
        <v>303.63</v>
      </c>
      <c r="C1957" s="9">
        <f>IFERROR(__xludf.DUMMYFUNCTION("""COMPUTED_VALUE"""),303.75)</f>
        <v>303.75</v>
      </c>
      <c r="D1957" s="9">
        <f>IFERROR(__xludf.DUMMYFUNCTION("""COMPUTED_VALUE"""),297.19)</f>
        <v>297.19</v>
      </c>
      <c r="E1957" s="9">
        <f>IFERROR(__xludf.DUMMYFUNCTION("""COMPUTED_VALUE"""),297.81)</f>
        <v>297.81</v>
      </c>
      <c r="F1957" s="9">
        <f>IFERROR(__xludf.DUMMYFUNCTION("""COMPUTED_VALUE"""),1749378.0)</f>
        <v>1749378</v>
      </c>
      <c r="H1957" s="27">
        <f>IFERROR(__xludf.DUMMYFUNCTION("""COMPUTED_VALUE"""),41248.645833333336)</f>
        <v>41248.64583</v>
      </c>
      <c r="I1957" s="25">
        <f>IFERROR(__xludf.DUMMYFUNCTION("""COMPUTED_VALUE"""),650.0)</f>
        <v>650</v>
      </c>
      <c r="J1957" s="25">
        <f>IFERROR(__xludf.DUMMYFUNCTION("""COMPUTED_VALUE"""),653.78)</f>
        <v>653.78</v>
      </c>
      <c r="K1957" s="25">
        <f>IFERROR(__xludf.DUMMYFUNCTION("""COMPUTED_VALUE"""),644.3)</f>
        <v>644.3</v>
      </c>
      <c r="L1957" s="25">
        <f>IFERROR(__xludf.DUMMYFUNCTION("""COMPUTED_VALUE"""),648.95)</f>
        <v>648.95</v>
      </c>
      <c r="M1957" s="25">
        <f>IFERROR(__xludf.DUMMYFUNCTION("""COMPUTED_VALUE"""),895029.0)</f>
        <v>895029</v>
      </c>
    </row>
    <row r="1958">
      <c r="A1958" s="26">
        <f>IFERROR(__xludf.DUMMYFUNCTION("""COMPUTED_VALUE"""),41249.645833333336)</f>
        <v>41249.64583</v>
      </c>
      <c r="B1958" s="9">
        <f>IFERROR(__xludf.DUMMYFUNCTION("""COMPUTED_VALUE"""),299.25)</f>
        <v>299.25</v>
      </c>
      <c r="C1958" s="9">
        <f>IFERROR(__xludf.DUMMYFUNCTION("""COMPUTED_VALUE"""),299.25)</f>
        <v>299.25</v>
      </c>
      <c r="D1958" s="9">
        <f>IFERROR(__xludf.DUMMYFUNCTION("""COMPUTED_VALUE"""),289.24)</f>
        <v>289.24</v>
      </c>
      <c r="E1958" s="9">
        <f>IFERROR(__xludf.DUMMYFUNCTION("""COMPUTED_VALUE"""),292.29)</f>
        <v>292.29</v>
      </c>
      <c r="F1958" s="9">
        <f>IFERROR(__xludf.DUMMYFUNCTION("""COMPUTED_VALUE"""),1376491.0)</f>
        <v>1376491</v>
      </c>
      <c r="H1958" s="27">
        <f>IFERROR(__xludf.DUMMYFUNCTION("""COMPUTED_VALUE"""),41249.645833333336)</f>
        <v>41249.64583</v>
      </c>
      <c r="I1958" s="25">
        <f>IFERROR(__xludf.DUMMYFUNCTION("""COMPUTED_VALUE"""),647.5)</f>
        <v>647.5</v>
      </c>
      <c r="J1958" s="25">
        <f>IFERROR(__xludf.DUMMYFUNCTION("""COMPUTED_VALUE"""),647.5)</f>
        <v>647.5</v>
      </c>
      <c r="K1958" s="25">
        <f>IFERROR(__xludf.DUMMYFUNCTION("""COMPUTED_VALUE"""),634.5)</f>
        <v>634.5</v>
      </c>
      <c r="L1958" s="25">
        <f>IFERROR(__xludf.DUMMYFUNCTION("""COMPUTED_VALUE"""),640.35)</f>
        <v>640.35</v>
      </c>
      <c r="M1958" s="25">
        <f>IFERROR(__xludf.DUMMYFUNCTION("""COMPUTED_VALUE"""),1185046.0)</f>
        <v>1185046</v>
      </c>
    </row>
    <row r="1959">
      <c r="A1959" s="26">
        <f>IFERROR(__xludf.DUMMYFUNCTION("""COMPUTED_VALUE"""),41250.645833333336)</f>
        <v>41250.64583</v>
      </c>
      <c r="B1959" s="9">
        <f>IFERROR(__xludf.DUMMYFUNCTION("""COMPUTED_VALUE"""),290.13)</f>
        <v>290.13</v>
      </c>
      <c r="C1959" s="9">
        <f>IFERROR(__xludf.DUMMYFUNCTION("""COMPUTED_VALUE"""),293.56)</f>
        <v>293.56</v>
      </c>
      <c r="D1959" s="9">
        <f>IFERROR(__xludf.DUMMYFUNCTION("""COMPUTED_VALUE"""),288.89)</f>
        <v>288.89</v>
      </c>
      <c r="E1959" s="9">
        <f>IFERROR(__xludf.DUMMYFUNCTION("""COMPUTED_VALUE"""),290.14)</f>
        <v>290.14</v>
      </c>
      <c r="F1959" s="9">
        <f>IFERROR(__xludf.DUMMYFUNCTION("""COMPUTED_VALUE"""),1185739.0)</f>
        <v>1185739</v>
      </c>
      <c r="H1959" s="27">
        <f>IFERROR(__xludf.DUMMYFUNCTION("""COMPUTED_VALUE"""),41250.645833333336)</f>
        <v>41250.64583</v>
      </c>
      <c r="I1959" s="25">
        <f>IFERROR(__xludf.DUMMYFUNCTION("""COMPUTED_VALUE"""),638.33)</f>
        <v>638.33</v>
      </c>
      <c r="J1959" s="25">
        <f>IFERROR(__xludf.DUMMYFUNCTION("""COMPUTED_VALUE"""),640.35)</f>
        <v>640.35</v>
      </c>
      <c r="K1959" s="25">
        <f>IFERROR(__xludf.DUMMYFUNCTION("""COMPUTED_VALUE"""),628.53)</f>
        <v>628.53</v>
      </c>
      <c r="L1959" s="25">
        <f>IFERROR(__xludf.DUMMYFUNCTION("""COMPUTED_VALUE"""),632.08)</f>
        <v>632.08</v>
      </c>
      <c r="M1959" s="25">
        <f>IFERROR(__xludf.DUMMYFUNCTION("""COMPUTED_VALUE"""),978607.0)</f>
        <v>978607</v>
      </c>
    </row>
    <row r="1960">
      <c r="A1960" s="26">
        <f>IFERROR(__xludf.DUMMYFUNCTION("""COMPUTED_VALUE"""),41253.645833333336)</f>
        <v>41253.64583</v>
      </c>
      <c r="B1960" s="9">
        <f>IFERROR(__xludf.DUMMYFUNCTION("""COMPUTED_VALUE"""),290.12)</f>
        <v>290.12</v>
      </c>
      <c r="C1960" s="9">
        <f>IFERROR(__xludf.DUMMYFUNCTION("""COMPUTED_VALUE"""),293.0)</f>
        <v>293</v>
      </c>
      <c r="D1960" s="9">
        <f>IFERROR(__xludf.DUMMYFUNCTION("""COMPUTED_VALUE"""),287.38)</f>
        <v>287.38</v>
      </c>
      <c r="E1960" s="9">
        <f>IFERROR(__xludf.DUMMYFUNCTION("""COMPUTED_VALUE"""),289.19)</f>
        <v>289.19</v>
      </c>
      <c r="F1960" s="9">
        <f>IFERROR(__xludf.DUMMYFUNCTION("""COMPUTED_VALUE"""),853740.0)</f>
        <v>853740</v>
      </c>
      <c r="H1960" s="27">
        <f>IFERROR(__xludf.DUMMYFUNCTION("""COMPUTED_VALUE"""),41253.645833333336)</f>
        <v>41253.64583</v>
      </c>
      <c r="I1960" s="25">
        <f>IFERROR(__xludf.DUMMYFUNCTION("""COMPUTED_VALUE"""),631.05)</f>
        <v>631.05</v>
      </c>
      <c r="J1960" s="25">
        <f>IFERROR(__xludf.DUMMYFUNCTION("""COMPUTED_VALUE"""),633.4)</f>
        <v>633.4</v>
      </c>
      <c r="K1960" s="25">
        <f>IFERROR(__xludf.DUMMYFUNCTION("""COMPUTED_VALUE"""),615.6)</f>
        <v>615.6</v>
      </c>
      <c r="L1960" s="25">
        <f>IFERROR(__xludf.DUMMYFUNCTION("""COMPUTED_VALUE"""),618.6)</f>
        <v>618.6</v>
      </c>
      <c r="M1960" s="25">
        <f>IFERROR(__xludf.DUMMYFUNCTION("""COMPUTED_VALUE"""),1514715.0)</f>
        <v>1514715</v>
      </c>
    </row>
    <row r="1961">
      <c r="A1961" s="26">
        <f>IFERROR(__xludf.DUMMYFUNCTION("""COMPUTED_VALUE"""),41254.645833333336)</f>
        <v>41254.64583</v>
      </c>
      <c r="B1961" s="9">
        <f>IFERROR(__xludf.DUMMYFUNCTION("""COMPUTED_VALUE"""),289.5)</f>
        <v>289.5</v>
      </c>
      <c r="C1961" s="9">
        <f>IFERROR(__xludf.DUMMYFUNCTION("""COMPUTED_VALUE"""),292.01)</f>
        <v>292.01</v>
      </c>
      <c r="D1961" s="9">
        <f>IFERROR(__xludf.DUMMYFUNCTION("""COMPUTED_VALUE"""),285.36)</f>
        <v>285.36</v>
      </c>
      <c r="E1961" s="9">
        <f>IFERROR(__xludf.DUMMYFUNCTION("""COMPUTED_VALUE"""),286.76)</f>
        <v>286.76</v>
      </c>
      <c r="F1961" s="9">
        <f>IFERROR(__xludf.DUMMYFUNCTION("""COMPUTED_VALUE"""),1423053.0)</f>
        <v>1423053</v>
      </c>
      <c r="H1961" s="27">
        <f>IFERROR(__xludf.DUMMYFUNCTION("""COMPUTED_VALUE"""),41254.645833333336)</f>
        <v>41254.64583</v>
      </c>
      <c r="I1961" s="25">
        <f>IFERROR(__xludf.DUMMYFUNCTION("""COMPUTED_VALUE"""),617.5)</f>
        <v>617.5</v>
      </c>
      <c r="J1961" s="25">
        <f>IFERROR(__xludf.DUMMYFUNCTION("""COMPUTED_VALUE"""),621.5)</f>
        <v>621.5</v>
      </c>
      <c r="K1961" s="25">
        <f>IFERROR(__xludf.DUMMYFUNCTION("""COMPUTED_VALUE"""),605.17)</f>
        <v>605.17</v>
      </c>
      <c r="L1961" s="25">
        <f>IFERROR(__xludf.DUMMYFUNCTION("""COMPUTED_VALUE"""),609.85)</f>
        <v>609.85</v>
      </c>
      <c r="M1961" s="25">
        <f>IFERROR(__xludf.DUMMYFUNCTION("""COMPUTED_VALUE"""),2463457.0)</f>
        <v>2463457</v>
      </c>
    </row>
    <row r="1962">
      <c r="A1962" s="26">
        <f>IFERROR(__xludf.DUMMYFUNCTION("""COMPUTED_VALUE"""),41255.645833333336)</f>
        <v>41255.64583</v>
      </c>
      <c r="B1962" s="9">
        <f>IFERROR(__xludf.DUMMYFUNCTION("""COMPUTED_VALUE"""),288.75)</f>
        <v>288.75</v>
      </c>
      <c r="C1962" s="9">
        <f>IFERROR(__xludf.DUMMYFUNCTION("""COMPUTED_VALUE"""),290.48)</f>
        <v>290.48</v>
      </c>
      <c r="D1962" s="9">
        <f>IFERROR(__xludf.DUMMYFUNCTION("""COMPUTED_VALUE"""),285.78)</f>
        <v>285.78</v>
      </c>
      <c r="E1962" s="9">
        <f>IFERROR(__xludf.DUMMYFUNCTION("""COMPUTED_VALUE"""),287.23)</f>
        <v>287.23</v>
      </c>
      <c r="F1962" s="9">
        <f>IFERROR(__xludf.DUMMYFUNCTION("""COMPUTED_VALUE"""),1919961.0)</f>
        <v>1919961</v>
      </c>
      <c r="H1962" s="27">
        <f>IFERROR(__xludf.DUMMYFUNCTION("""COMPUTED_VALUE"""),41255.645833333336)</f>
        <v>41255.64583</v>
      </c>
      <c r="I1962" s="25">
        <f>IFERROR(__xludf.DUMMYFUNCTION("""COMPUTED_VALUE"""),612.45)</f>
        <v>612.45</v>
      </c>
      <c r="J1962" s="25">
        <f>IFERROR(__xludf.DUMMYFUNCTION("""COMPUTED_VALUE"""),620.5)</f>
        <v>620.5</v>
      </c>
      <c r="K1962" s="25">
        <f>IFERROR(__xludf.DUMMYFUNCTION("""COMPUTED_VALUE"""),610.55)</f>
        <v>610.55</v>
      </c>
      <c r="L1962" s="25">
        <f>IFERROR(__xludf.DUMMYFUNCTION("""COMPUTED_VALUE"""),612.9)</f>
        <v>612.9</v>
      </c>
      <c r="M1962" s="25">
        <f>IFERROR(__xludf.DUMMYFUNCTION("""COMPUTED_VALUE"""),1243974.0)</f>
        <v>1243974</v>
      </c>
    </row>
    <row r="1963">
      <c r="A1963" s="26">
        <f>IFERROR(__xludf.DUMMYFUNCTION("""COMPUTED_VALUE"""),41256.645833333336)</f>
        <v>41256.64583</v>
      </c>
      <c r="B1963" s="9">
        <f>IFERROR(__xludf.DUMMYFUNCTION("""COMPUTED_VALUE"""),288.12)</f>
        <v>288.12</v>
      </c>
      <c r="C1963" s="9">
        <f>IFERROR(__xludf.DUMMYFUNCTION("""COMPUTED_VALUE"""),289.21)</f>
        <v>289.21</v>
      </c>
      <c r="D1963" s="9">
        <f>IFERROR(__xludf.DUMMYFUNCTION("""COMPUTED_VALUE"""),284.05)</f>
        <v>284.05</v>
      </c>
      <c r="E1963" s="9">
        <f>IFERROR(__xludf.DUMMYFUNCTION("""COMPUTED_VALUE"""),285.44)</f>
        <v>285.44</v>
      </c>
      <c r="F1963" s="9">
        <f>IFERROR(__xludf.DUMMYFUNCTION("""COMPUTED_VALUE"""),1245889.0)</f>
        <v>1245889</v>
      </c>
      <c r="H1963" s="27">
        <f>IFERROR(__xludf.DUMMYFUNCTION("""COMPUTED_VALUE"""),41256.645833333336)</f>
        <v>41256.64583</v>
      </c>
      <c r="I1963" s="25">
        <f>IFERROR(__xludf.DUMMYFUNCTION("""COMPUTED_VALUE"""),615.05)</f>
        <v>615.05</v>
      </c>
      <c r="J1963" s="25">
        <f>IFERROR(__xludf.DUMMYFUNCTION("""COMPUTED_VALUE"""),617.3)</f>
        <v>617.3</v>
      </c>
      <c r="K1963" s="25">
        <f>IFERROR(__xludf.DUMMYFUNCTION("""COMPUTED_VALUE"""),608.55)</f>
        <v>608.55</v>
      </c>
      <c r="L1963" s="25">
        <f>IFERROR(__xludf.DUMMYFUNCTION("""COMPUTED_VALUE"""),611.28)</f>
        <v>611.28</v>
      </c>
      <c r="M1963" s="25">
        <f>IFERROR(__xludf.DUMMYFUNCTION("""COMPUTED_VALUE"""),1148581.0)</f>
        <v>1148581</v>
      </c>
    </row>
    <row r="1964">
      <c r="A1964" s="26">
        <f>IFERROR(__xludf.DUMMYFUNCTION("""COMPUTED_VALUE"""),41257.645833333336)</f>
        <v>41257.64583</v>
      </c>
      <c r="B1964" s="9">
        <f>IFERROR(__xludf.DUMMYFUNCTION("""COMPUTED_VALUE"""),284.13)</f>
        <v>284.13</v>
      </c>
      <c r="C1964" s="9">
        <f>IFERROR(__xludf.DUMMYFUNCTION("""COMPUTED_VALUE"""),286.88)</f>
        <v>286.88</v>
      </c>
      <c r="D1964" s="9">
        <f>IFERROR(__xludf.DUMMYFUNCTION("""COMPUTED_VALUE"""),283.25)</f>
        <v>283.25</v>
      </c>
      <c r="E1964" s="9">
        <f>IFERROR(__xludf.DUMMYFUNCTION("""COMPUTED_VALUE"""),284.85)</f>
        <v>284.85</v>
      </c>
      <c r="F1964" s="9">
        <f>IFERROR(__xludf.DUMMYFUNCTION("""COMPUTED_VALUE"""),1063499.0)</f>
        <v>1063499</v>
      </c>
      <c r="H1964" s="27">
        <f>IFERROR(__xludf.DUMMYFUNCTION("""COMPUTED_VALUE"""),41257.645833333336)</f>
        <v>41257.64583</v>
      </c>
      <c r="I1964" s="25">
        <f>IFERROR(__xludf.DUMMYFUNCTION("""COMPUTED_VALUE"""),608.5)</f>
        <v>608.5</v>
      </c>
      <c r="J1964" s="25">
        <f>IFERROR(__xludf.DUMMYFUNCTION("""COMPUTED_VALUE"""),622.5)</f>
        <v>622.5</v>
      </c>
      <c r="K1964" s="25">
        <f>IFERROR(__xludf.DUMMYFUNCTION("""COMPUTED_VALUE"""),608.08)</f>
        <v>608.08</v>
      </c>
      <c r="L1964" s="25">
        <f>IFERROR(__xludf.DUMMYFUNCTION("""COMPUTED_VALUE"""),621.45)</f>
        <v>621.45</v>
      </c>
      <c r="M1964" s="25">
        <f>IFERROR(__xludf.DUMMYFUNCTION("""COMPUTED_VALUE"""),1098407.0)</f>
        <v>1098407</v>
      </c>
    </row>
    <row r="1965">
      <c r="A1965" s="26">
        <f>IFERROR(__xludf.DUMMYFUNCTION("""COMPUTED_VALUE"""),41260.645833333336)</f>
        <v>41260.64583</v>
      </c>
      <c r="B1965" s="9">
        <f>IFERROR(__xludf.DUMMYFUNCTION("""COMPUTED_VALUE"""),283.38)</f>
        <v>283.38</v>
      </c>
      <c r="C1965" s="9">
        <f>IFERROR(__xludf.DUMMYFUNCTION("""COMPUTED_VALUE"""),286.48)</f>
        <v>286.48</v>
      </c>
      <c r="D1965" s="9">
        <f>IFERROR(__xludf.DUMMYFUNCTION("""COMPUTED_VALUE"""),282.12)</f>
        <v>282.12</v>
      </c>
      <c r="E1965" s="9">
        <f>IFERROR(__xludf.DUMMYFUNCTION("""COMPUTED_VALUE"""),283.28)</f>
        <v>283.28</v>
      </c>
      <c r="F1965" s="9">
        <f>IFERROR(__xludf.DUMMYFUNCTION("""COMPUTED_VALUE"""),1370205.0)</f>
        <v>1370205</v>
      </c>
      <c r="H1965" s="27">
        <f>IFERROR(__xludf.DUMMYFUNCTION("""COMPUTED_VALUE"""),41260.645833333336)</f>
        <v>41260.64583</v>
      </c>
      <c r="I1965" s="25">
        <f>IFERROR(__xludf.DUMMYFUNCTION("""COMPUTED_VALUE"""),619.58)</f>
        <v>619.58</v>
      </c>
      <c r="J1965" s="25">
        <f>IFERROR(__xludf.DUMMYFUNCTION("""COMPUTED_VALUE"""),624.45)</f>
        <v>624.45</v>
      </c>
      <c r="K1965" s="25">
        <f>IFERROR(__xludf.DUMMYFUNCTION("""COMPUTED_VALUE"""),601.05)</f>
        <v>601.05</v>
      </c>
      <c r="L1965" s="25">
        <f>IFERROR(__xludf.DUMMYFUNCTION("""COMPUTED_VALUE"""),602.75)</f>
        <v>602.75</v>
      </c>
      <c r="M1965" s="25">
        <f>IFERROR(__xludf.DUMMYFUNCTION("""COMPUTED_VALUE"""),2241449.0)</f>
        <v>2241449</v>
      </c>
    </row>
    <row r="1966">
      <c r="A1966" s="26">
        <f>IFERROR(__xludf.DUMMYFUNCTION("""COMPUTED_VALUE"""),41261.645833333336)</f>
        <v>41261.64583</v>
      </c>
      <c r="B1966" s="9">
        <f>IFERROR(__xludf.DUMMYFUNCTION("""COMPUTED_VALUE"""),282.5)</f>
        <v>282.5</v>
      </c>
      <c r="C1966" s="9">
        <f>IFERROR(__xludf.DUMMYFUNCTION("""COMPUTED_VALUE"""),284.27)</f>
        <v>284.27</v>
      </c>
      <c r="D1966" s="9">
        <f>IFERROR(__xludf.DUMMYFUNCTION("""COMPUTED_VALUE"""),280.63)</f>
        <v>280.63</v>
      </c>
      <c r="E1966" s="9">
        <f>IFERROR(__xludf.DUMMYFUNCTION("""COMPUTED_VALUE"""),283.88)</f>
        <v>283.88</v>
      </c>
      <c r="F1966" s="9">
        <f>IFERROR(__xludf.DUMMYFUNCTION("""COMPUTED_VALUE"""),1036500.0)</f>
        <v>1036500</v>
      </c>
      <c r="H1966" s="27">
        <f>IFERROR(__xludf.DUMMYFUNCTION("""COMPUTED_VALUE"""),41261.645833333336)</f>
        <v>41261.64583</v>
      </c>
      <c r="I1966" s="25">
        <f>IFERROR(__xludf.DUMMYFUNCTION("""COMPUTED_VALUE"""),607.35)</f>
        <v>607.35</v>
      </c>
      <c r="J1966" s="25">
        <f>IFERROR(__xludf.DUMMYFUNCTION("""COMPUTED_VALUE"""),612.5)</f>
        <v>612.5</v>
      </c>
      <c r="K1966" s="25">
        <f>IFERROR(__xludf.DUMMYFUNCTION("""COMPUTED_VALUE"""),598.5)</f>
        <v>598.5</v>
      </c>
      <c r="L1966" s="25">
        <f>IFERROR(__xludf.DUMMYFUNCTION("""COMPUTED_VALUE"""),605.33)</f>
        <v>605.33</v>
      </c>
      <c r="M1966" s="25">
        <f>IFERROR(__xludf.DUMMYFUNCTION("""COMPUTED_VALUE"""),2344241.0)</f>
        <v>2344241</v>
      </c>
    </row>
    <row r="1967">
      <c r="A1967" s="26">
        <f>IFERROR(__xludf.DUMMYFUNCTION("""COMPUTED_VALUE"""),41262.645833333336)</f>
        <v>41262.64583</v>
      </c>
      <c r="B1967" s="9">
        <f>IFERROR(__xludf.DUMMYFUNCTION("""COMPUTED_VALUE"""),284.25)</f>
        <v>284.25</v>
      </c>
      <c r="C1967" s="9">
        <f>IFERROR(__xludf.DUMMYFUNCTION("""COMPUTED_VALUE"""),287.49)</f>
        <v>287.49</v>
      </c>
      <c r="D1967" s="9">
        <f>IFERROR(__xludf.DUMMYFUNCTION("""COMPUTED_VALUE"""),283.76)</f>
        <v>283.76</v>
      </c>
      <c r="E1967" s="9">
        <f>IFERROR(__xludf.DUMMYFUNCTION("""COMPUTED_VALUE"""),287.02)</f>
        <v>287.02</v>
      </c>
      <c r="F1967" s="9">
        <f>IFERROR(__xludf.DUMMYFUNCTION("""COMPUTED_VALUE"""),1248987.0)</f>
        <v>1248987</v>
      </c>
      <c r="H1967" s="27">
        <f>IFERROR(__xludf.DUMMYFUNCTION("""COMPUTED_VALUE"""),41262.645833333336)</f>
        <v>41262.64583</v>
      </c>
      <c r="I1967" s="25">
        <f>IFERROR(__xludf.DUMMYFUNCTION("""COMPUTED_VALUE"""),608.05)</f>
        <v>608.05</v>
      </c>
      <c r="J1967" s="25">
        <f>IFERROR(__xludf.DUMMYFUNCTION("""COMPUTED_VALUE"""),618.28)</f>
        <v>618.28</v>
      </c>
      <c r="K1967" s="25">
        <f>IFERROR(__xludf.DUMMYFUNCTION("""COMPUTED_VALUE"""),608.05)</f>
        <v>608.05</v>
      </c>
      <c r="L1967" s="25">
        <f>IFERROR(__xludf.DUMMYFUNCTION("""COMPUTED_VALUE"""),616.33)</f>
        <v>616.33</v>
      </c>
      <c r="M1967" s="25">
        <f>IFERROR(__xludf.DUMMYFUNCTION("""COMPUTED_VALUE"""),3321030.0)</f>
        <v>3321030</v>
      </c>
    </row>
    <row r="1968">
      <c r="A1968" s="26">
        <f>IFERROR(__xludf.DUMMYFUNCTION("""COMPUTED_VALUE"""),41263.645833333336)</f>
        <v>41263.64583</v>
      </c>
      <c r="B1968" s="9">
        <f>IFERROR(__xludf.DUMMYFUNCTION("""COMPUTED_VALUE"""),288.26)</f>
        <v>288.26</v>
      </c>
      <c r="C1968" s="9">
        <f>IFERROR(__xludf.DUMMYFUNCTION("""COMPUTED_VALUE"""),288.75)</f>
        <v>288.75</v>
      </c>
      <c r="D1968" s="9">
        <f>IFERROR(__xludf.DUMMYFUNCTION("""COMPUTED_VALUE"""),284.75)</f>
        <v>284.75</v>
      </c>
      <c r="E1968" s="9">
        <f>IFERROR(__xludf.DUMMYFUNCTION("""COMPUTED_VALUE"""),287.45)</f>
        <v>287.45</v>
      </c>
      <c r="F1968" s="9">
        <f>IFERROR(__xludf.DUMMYFUNCTION("""COMPUTED_VALUE"""),1055216.0)</f>
        <v>1055216</v>
      </c>
      <c r="H1968" s="27">
        <f>IFERROR(__xludf.DUMMYFUNCTION("""COMPUTED_VALUE"""),41263.645833333336)</f>
        <v>41263.64583</v>
      </c>
      <c r="I1968" s="25">
        <f>IFERROR(__xludf.DUMMYFUNCTION("""COMPUTED_VALUE"""),613.58)</f>
        <v>613.58</v>
      </c>
      <c r="J1968" s="25">
        <f>IFERROR(__xludf.DUMMYFUNCTION("""COMPUTED_VALUE"""),627.5)</f>
        <v>627.5</v>
      </c>
      <c r="K1968" s="25">
        <f>IFERROR(__xludf.DUMMYFUNCTION("""COMPUTED_VALUE"""),613.58)</f>
        <v>613.58</v>
      </c>
      <c r="L1968" s="25">
        <f>IFERROR(__xludf.DUMMYFUNCTION("""COMPUTED_VALUE"""),626.03)</f>
        <v>626.03</v>
      </c>
      <c r="M1968" s="25">
        <f>IFERROR(__xludf.DUMMYFUNCTION("""COMPUTED_VALUE"""),1157015.0)</f>
        <v>1157015</v>
      </c>
    </row>
    <row r="1969">
      <c r="A1969" s="26">
        <f>IFERROR(__xludf.DUMMYFUNCTION("""COMPUTED_VALUE"""),41264.645833333336)</f>
        <v>41264.64583</v>
      </c>
      <c r="B1969" s="9">
        <f>IFERROR(__xludf.DUMMYFUNCTION("""COMPUTED_VALUE"""),287.38)</f>
        <v>287.38</v>
      </c>
      <c r="C1969" s="9">
        <f>IFERROR(__xludf.DUMMYFUNCTION("""COMPUTED_VALUE"""),290.16)</f>
        <v>290.16</v>
      </c>
      <c r="D1969" s="9">
        <f>IFERROR(__xludf.DUMMYFUNCTION("""COMPUTED_VALUE"""),285.85)</f>
        <v>285.85</v>
      </c>
      <c r="E1969" s="9">
        <f>IFERROR(__xludf.DUMMYFUNCTION("""COMPUTED_VALUE"""),287.11)</f>
        <v>287.11</v>
      </c>
      <c r="F1969" s="9">
        <f>IFERROR(__xludf.DUMMYFUNCTION("""COMPUTED_VALUE"""),865502.0)</f>
        <v>865502</v>
      </c>
      <c r="H1969" s="27">
        <f>IFERROR(__xludf.DUMMYFUNCTION("""COMPUTED_VALUE"""),41264.645833333336)</f>
        <v>41264.64583</v>
      </c>
      <c r="I1969" s="25">
        <f>IFERROR(__xludf.DUMMYFUNCTION("""COMPUTED_VALUE"""),625.0)</f>
        <v>625</v>
      </c>
      <c r="J1969" s="25">
        <f>IFERROR(__xludf.DUMMYFUNCTION("""COMPUTED_VALUE"""),632.2)</f>
        <v>632.2</v>
      </c>
      <c r="K1969" s="25">
        <f>IFERROR(__xludf.DUMMYFUNCTION("""COMPUTED_VALUE"""),618.85)</f>
        <v>618.85</v>
      </c>
      <c r="L1969" s="25">
        <f>IFERROR(__xludf.DUMMYFUNCTION("""COMPUTED_VALUE"""),629.35)</f>
        <v>629.35</v>
      </c>
      <c r="M1969" s="25">
        <f>IFERROR(__xludf.DUMMYFUNCTION("""COMPUTED_VALUE"""),1228984.0)</f>
        <v>1228984</v>
      </c>
    </row>
    <row r="1970">
      <c r="A1970" s="26">
        <f>IFERROR(__xludf.DUMMYFUNCTION("""COMPUTED_VALUE"""),41267.645833333336)</f>
        <v>41267.64583</v>
      </c>
      <c r="B1970" s="9">
        <f>IFERROR(__xludf.DUMMYFUNCTION("""COMPUTED_VALUE"""),290.14)</f>
        <v>290.14</v>
      </c>
      <c r="C1970" s="9">
        <f>IFERROR(__xludf.DUMMYFUNCTION("""COMPUTED_VALUE"""),291.05)</f>
        <v>291.05</v>
      </c>
      <c r="D1970" s="9">
        <f>IFERROR(__xludf.DUMMYFUNCTION("""COMPUTED_VALUE"""),289.13)</f>
        <v>289.13</v>
      </c>
      <c r="E1970" s="9">
        <f>IFERROR(__xludf.DUMMYFUNCTION("""COMPUTED_VALUE"""),290.29)</f>
        <v>290.29</v>
      </c>
      <c r="F1970" s="9">
        <f>IFERROR(__xludf.DUMMYFUNCTION("""COMPUTED_VALUE"""),540499.0)</f>
        <v>540499</v>
      </c>
      <c r="H1970" s="27">
        <f>IFERROR(__xludf.DUMMYFUNCTION("""COMPUTED_VALUE"""),41267.645833333336)</f>
        <v>41267.64583</v>
      </c>
      <c r="I1970" s="25">
        <f>IFERROR(__xludf.DUMMYFUNCTION("""COMPUTED_VALUE"""),631.0)</f>
        <v>631</v>
      </c>
      <c r="J1970" s="25">
        <f>IFERROR(__xludf.DUMMYFUNCTION("""COMPUTED_VALUE"""),635.55)</f>
        <v>635.55</v>
      </c>
      <c r="K1970" s="25">
        <f>IFERROR(__xludf.DUMMYFUNCTION("""COMPUTED_VALUE"""),630.05)</f>
        <v>630.05</v>
      </c>
      <c r="L1970" s="25">
        <f>IFERROR(__xludf.DUMMYFUNCTION("""COMPUTED_VALUE"""),633.1)</f>
        <v>633.1</v>
      </c>
      <c r="M1970" s="25">
        <f>IFERROR(__xludf.DUMMYFUNCTION("""COMPUTED_VALUE"""),627409.0)</f>
        <v>627409</v>
      </c>
    </row>
    <row r="1971">
      <c r="A1971" s="26">
        <f>IFERROR(__xludf.DUMMYFUNCTION("""COMPUTED_VALUE"""),41269.645833333336)</f>
        <v>41269.64583</v>
      </c>
      <c r="B1971" s="9">
        <f>IFERROR(__xludf.DUMMYFUNCTION("""COMPUTED_VALUE"""),290.38)</f>
        <v>290.38</v>
      </c>
      <c r="C1971" s="9">
        <f>IFERROR(__xludf.DUMMYFUNCTION("""COMPUTED_VALUE"""),291.36)</f>
        <v>291.36</v>
      </c>
      <c r="D1971" s="9">
        <f>IFERROR(__xludf.DUMMYFUNCTION("""COMPUTED_VALUE"""),288.04)</f>
        <v>288.04</v>
      </c>
      <c r="E1971" s="9">
        <f>IFERROR(__xludf.DUMMYFUNCTION("""COMPUTED_VALUE"""),289.41)</f>
        <v>289.41</v>
      </c>
      <c r="F1971" s="9">
        <f>IFERROR(__xludf.DUMMYFUNCTION("""COMPUTED_VALUE"""),407945.0)</f>
        <v>407945</v>
      </c>
      <c r="H1971" s="27">
        <f>IFERROR(__xludf.DUMMYFUNCTION("""COMPUTED_VALUE"""),41269.645833333336)</f>
        <v>41269.64583</v>
      </c>
      <c r="I1971" s="25">
        <f>IFERROR(__xludf.DUMMYFUNCTION("""COMPUTED_VALUE"""),633.5)</f>
        <v>633.5</v>
      </c>
      <c r="J1971" s="25">
        <f>IFERROR(__xludf.DUMMYFUNCTION("""COMPUTED_VALUE"""),634.58)</f>
        <v>634.58</v>
      </c>
      <c r="K1971" s="25">
        <f>IFERROR(__xludf.DUMMYFUNCTION("""COMPUTED_VALUE"""),627.65)</f>
        <v>627.65</v>
      </c>
      <c r="L1971" s="25">
        <f>IFERROR(__xludf.DUMMYFUNCTION("""COMPUTED_VALUE"""),631.1)</f>
        <v>631.1</v>
      </c>
      <c r="M1971" s="25">
        <f>IFERROR(__xludf.DUMMYFUNCTION("""COMPUTED_VALUE"""),717629.0)</f>
        <v>717629</v>
      </c>
    </row>
    <row r="1972">
      <c r="A1972" s="26">
        <f>IFERROR(__xludf.DUMMYFUNCTION("""COMPUTED_VALUE"""),41270.645833333336)</f>
        <v>41270.64583</v>
      </c>
      <c r="B1972" s="9">
        <f>IFERROR(__xludf.DUMMYFUNCTION("""COMPUTED_VALUE"""),290.98)</f>
        <v>290.98</v>
      </c>
      <c r="C1972" s="9">
        <f>IFERROR(__xludf.DUMMYFUNCTION("""COMPUTED_VALUE"""),291.13)</f>
        <v>291.13</v>
      </c>
      <c r="D1972" s="9">
        <f>IFERROR(__xludf.DUMMYFUNCTION("""COMPUTED_VALUE"""),284.58)</f>
        <v>284.58</v>
      </c>
      <c r="E1972" s="9">
        <f>IFERROR(__xludf.DUMMYFUNCTION("""COMPUTED_VALUE"""),285.97)</f>
        <v>285.97</v>
      </c>
      <c r="F1972" s="9">
        <f>IFERROR(__xludf.DUMMYFUNCTION("""COMPUTED_VALUE"""),1013779.0)</f>
        <v>1013779</v>
      </c>
      <c r="H1972" s="27">
        <f>IFERROR(__xludf.DUMMYFUNCTION("""COMPUTED_VALUE"""),41270.645833333336)</f>
        <v>41270.64583</v>
      </c>
      <c r="I1972" s="25">
        <f>IFERROR(__xludf.DUMMYFUNCTION("""COMPUTED_VALUE"""),632.45)</f>
        <v>632.45</v>
      </c>
      <c r="J1972" s="25">
        <f>IFERROR(__xludf.DUMMYFUNCTION("""COMPUTED_VALUE"""),632.45)</f>
        <v>632.45</v>
      </c>
      <c r="K1972" s="25">
        <f>IFERROR(__xludf.DUMMYFUNCTION("""COMPUTED_VALUE"""),623.83)</f>
        <v>623.83</v>
      </c>
      <c r="L1972" s="25">
        <f>IFERROR(__xludf.DUMMYFUNCTION("""COMPUTED_VALUE"""),625.48)</f>
        <v>625.48</v>
      </c>
      <c r="M1972" s="25">
        <f>IFERROR(__xludf.DUMMYFUNCTION("""COMPUTED_VALUE"""),997079.0)</f>
        <v>997079</v>
      </c>
    </row>
    <row r="1973">
      <c r="A1973" s="26">
        <f>IFERROR(__xludf.DUMMYFUNCTION("""COMPUTED_VALUE"""),41271.645833333336)</f>
        <v>41271.64583</v>
      </c>
      <c r="B1973" s="9">
        <f>IFERROR(__xludf.DUMMYFUNCTION("""COMPUTED_VALUE"""),287.76)</f>
        <v>287.76</v>
      </c>
      <c r="C1973" s="9">
        <f>IFERROR(__xludf.DUMMYFUNCTION("""COMPUTED_VALUE"""),290.69)</f>
        <v>290.69</v>
      </c>
      <c r="D1973" s="9">
        <f>IFERROR(__xludf.DUMMYFUNCTION("""COMPUTED_VALUE"""),286.06)</f>
        <v>286.06</v>
      </c>
      <c r="E1973" s="9">
        <f>IFERROR(__xludf.DUMMYFUNCTION("""COMPUTED_VALUE"""),290.4)</f>
        <v>290.4</v>
      </c>
      <c r="F1973" s="9">
        <f>IFERROR(__xludf.DUMMYFUNCTION("""COMPUTED_VALUE"""),883032.0)</f>
        <v>883032</v>
      </c>
      <c r="H1973" s="27">
        <f>IFERROR(__xludf.DUMMYFUNCTION("""COMPUTED_VALUE"""),41271.645833333336)</f>
        <v>41271.64583</v>
      </c>
      <c r="I1973" s="25">
        <f>IFERROR(__xludf.DUMMYFUNCTION("""COMPUTED_VALUE"""),627.0)</f>
        <v>627</v>
      </c>
      <c r="J1973" s="25">
        <f>IFERROR(__xludf.DUMMYFUNCTION("""COMPUTED_VALUE"""),636.0)</f>
        <v>636</v>
      </c>
      <c r="K1973" s="25">
        <f>IFERROR(__xludf.DUMMYFUNCTION("""COMPUTED_VALUE"""),625.38)</f>
        <v>625.38</v>
      </c>
      <c r="L1973" s="25">
        <f>IFERROR(__xludf.DUMMYFUNCTION("""COMPUTED_VALUE"""),633.75)</f>
        <v>633.75</v>
      </c>
      <c r="M1973" s="25">
        <f>IFERROR(__xludf.DUMMYFUNCTION("""COMPUTED_VALUE"""),750811.0)</f>
        <v>750811</v>
      </c>
    </row>
    <row r="1974">
      <c r="A1974" s="26">
        <f>IFERROR(__xludf.DUMMYFUNCTION("""COMPUTED_VALUE"""),41274.645833333336)</f>
        <v>41274.64583</v>
      </c>
      <c r="B1974" s="9">
        <f>IFERROR(__xludf.DUMMYFUNCTION("""COMPUTED_VALUE"""),289.38)</f>
        <v>289.38</v>
      </c>
      <c r="C1974" s="9">
        <f>IFERROR(__xludf.DUMMYFUNCTION("""COMPUTED_VALUE"""),290.51)</f>
        <v>290.51</v>
      </c>
      <c r="D1974" s="9">
        <f>IFERROR(__xludf.DUMMYFUNCTION("""COMPUTED_VALUE"""),287.96)</f>
        <v>287.96</v>
      </c>
      <c r="E1974" s="9">
        <f>IFERROR(__xludf.DUMMYFUNCTION("""COMPUTED_VALUE"""),289.84)</f>
        <v>289.84</v>
      </c>
      <c r="F1974" s="9">
        <f>IFERROR(__xludf.DUMMYFUNCTION("""COMPUTED_VALUE"""),431478.0)</f>
        <v>431478</v>
      </c>
      <c r="H1974" s="27">
        <f>IFERROR(__xludf.DUMMYFUNCTION("""COMPUTED_VALUE"""),41274.645833333336)</f>
        <v>41274.64583</v>
      </c>
      <c r="I1974" s="25">
        <f>IFERROR(__xludf.DUMMYFUNCTION("""COMPUTED_VALUE"""),630.5)</f>
        <v>630.5</v>
      </c>
      <c r="J1974" s="25">
        <f>IFERROR(__xludf.DUMMYFUNCTION("""COMPUTED_VALUE"""),632.8)</f>
        <v>632.8</v>
      </c>
      <c r="K1974" s="25">
        <f>IFERROR(__xludf.DUMMYFUNCTION("""COMPUTED_VALUE"""),626.0)</f>
        <v>626</v>
      </c>
      <c r="L1974" s="25">
        <f>IFERROR(__xludf.DUMMYFUNCTION("""COMPUTED_VALUE"""),627.92)</f>
        <v>627.92</v>
      </c>
      <c r="M1974" s="25">
        <f>IFERROR(__xludf.DUMMYFUNCTION("""COMPUTED_VALUE"""),352085.0)</f>
        <v>352085</v>
      </c>
    </row>
    <row r="1975">
      <c r="A1975" s="26">
        <f>IFERROR(__xludf.DUMMYFUNCTION("""COMPUTED_VALUE"""),41275.645833333336)</f>
        <v>41275.64583</v>
      </c>
      <c r="B1975" s="9">
        <f>IFERROR(__xludf.DUMMYFUNCTION("""COMPUTED_VALUE"""),290.95)</f>
        <v>290.95</v>
      </c>
      <c r="C1975" s="9">
        <f>IFERROR(__xludf.DUMMYFUNCTION("""COMPUTED_VALUE"""),291.24)</f>
        <v>291.24</v>
      </c>
      <c r="D1975" s="9">
        <f>IFERROR(__xludf.DUMMYFUNCTION("""COMPUTED_VALUE"""),288.19)</f>
        <v>288.19</v>
      </c>
      <c r="E1975" s="9">
        <f>IFERROR(__xludf.DUMMYFUNCTION("""COMPUTED_VALUE"""),288.61)</f>
        <v>288.61</v>
      </c>
      <c r="F1975" s="9">
        <f>IFERROR(__xludf.DUMMYFUNCTION("""COMPUTED_VALUE"""),369999.0)</f>
        <v>369999</v>
      </c>
      <c r="H1975" s="27">
        <f>IFERROR(__xludf.DUMMYFUNCTION("""COMPUTED_VALUE"""),41275.645833333336)</f>
        <v>41275.64583</v>
      </c>
      <c r="I1975" s="25">
        <f>IFERROR(__xludf.DUMMYFUNCTION("""COMPUTED_VALUE"""),633.48)</f>
        <v>633.48</v>
      </c>
      <c r="J1975" s="25">
        <f>IFERROR(__xludf.DUMMYFUNCTION("""COMPUTED_VALUE"""),633.95)</f>
        <v>633.95</v>
      </c>
      <c r="K1975" s="25">
        <f>IFERROR(__xludf.DUMMYFUNCTION("""COMPUTED_VALUE"""),630.0)</f>
        <v>630</v>
      </c>
      <c r="L1975" s="25">
        <f>IFERROR(__xludf.DUMMYFUNCTION("""COMPUTED_VALUE"""),632.08)</f>
        <v>632.08</v>
      </c>
      <c r="M1975" s="25">
        <f>IFERROR(__xludf.DUMMYFUNCTION("""COMPUTED_VALUE"""),254790.0)</f>
        <v>254790</v>
      </c>
    </row>
    <row r="1976">
      <c r="A1976" s="26">
        <f>IFERROR(__xludf.DUMMYFUNCTION("""COMPUTED_VALUE"""),41276.645833333336)</f>
        <v>41276.64583</v>
      </c>
      <c r="B1976" s="9">
        <f>IFERROR(__xludf.DUMMYFUNCTION("""COMPUTED_VALUE"""),289.52)</f>
        <v>289.52</v>
      </c>
      <c r="C1976" s="9">
        <f>IFERROR(__xludf.DUMMYFUNCTION("""COMPUTED_VALUE"""),291.0)</f>
        <v>291</v>
      </c>
      <c r="D1976" s="9">
        <f>IFERROR(__xludf.DUMMYFUNCTION("""COMPUTED_VALUE"""),287.94)</f>
        <v>287.94</v>
      </c>
      <c r="E1976" s="9">
        <f>IFERROR(__xludf.DUMMYFUNCTION("""COMPUTED_VALUE"""),288.65)</f>
        <v>288.65</v>
      </c>
      <c r="F1976" s="9">
        <f>IFERROR(__xludf.DUMMYFUNCTION("""COMPUTED_VALUE"""),543743.0)</f>
        <v>543743</v>
      </c>
      <c r="H1976" s="27">
        <f>IFERROR(__xludf.DUMMYFUNCTION("""COMPUTED_VALUE"""),41276.645833333336)</f>
        <v>41276.64583</v>
      </c>
      <c r="I1976" s="25">
        <f>IFERROR(__xludf.DUMMYFUNCTION("""COMPUTED_VALUE"""),633.5)</f>
        <v>633.5</v>
      </c>
      <c r="J1976" s="25">
        <f>IFERROR(__xludf.DUMMYFUNCTION("""COMPUTED_VALUE"""),636.2)</f>
        <v>636.2</v>
      </c>
      <c r="K1976" s="25">
        <f>IFERROR(__xludf.DUMMYFUNCTION("""COMPUTED_VALUE"""),627.78)</f>
        <v>627.78</v>
      </c>
      <c r="L1976" s="25">
        <f>IFERROR(__xludf.DUMMYFUNCTION("""COMPUTED_VALUE"""),631.65)</f>
        <v>631.65</v>
      </c>
      <c r="M1976" s="25">
        <f>IFERROR(__xludf.DUMMYFUNCTION("""COMPUTED_VALUE"""),940123.0)</f>
        <v>940123</v>
      </c>
    </row>
    <row r="1977">
      <c r="A1977" s="26">
        <f>IFERROR(__xludf.DUMMYFUNCTION("""COMPUTED_VALUE"""),41277.645833333336)</f>
        <v>41277.64583</v>
      </c>
      <c r="B1977" s="9">
        <f>IFERROR(__xludf.DUMMYFUNCTION("""COMPUTED_VALUE"""),289.38)</f>
        <v>289.38</v>
      </c>
      <c r="C1977" s="9">
        <f>IFERROR(__xludf.DUMMYFUNCTION("""COMPUTED_VALUE"""),293.61)</f>
        <v>293.61</v>
      </c>
      <c r="D1977" s="9">
        <f>IFERROR(__xludf.DUMMYFUNCTION("""COMPUTED_VALUE"""),288.88)</f>
        <v>288.88</v>
      </c>
      <c r="E1977" s="9">
        <f>IFERROR(__xludf.DUMMYFUNCTION("""COMPUTED_VALUE"""),292.24)</f>
        <v>292.24</v>
      </c>
      <c r="F1977" s="9">
        <f>IFERROR(__xludf.DUMMYFUNCTION("""COMPUTED_VALUE"""),1324911.0)</f>
        <v>1324911</v>
      </c>
      <c r="H1977" s="27">
        <f>IFERROR(__xludf.DUMMYFUNCTION("""COMPUTED_VALUE"""),41277.645833333336)</f>
        <v>41277.64583</v>
      </c>
      <c r="I1977" s="25">
        <f>IFERROR(__xludf.DUMMYFUNCTION("""COMPUTED_VALUE"""),632.5)</f>
        <v>632.5</v>
      </c>
      <c r="J1977" s="25">
        <f>IFERROR(__xludf.DUMMYFUNCTION("""COMPUTED_VALUE"""),642.0)</f>
        <v>642</v>
      </c>
      <c r="K1977" s="25">
        <f>IFERROR(__xludf.DUMMYFUNCTION("""COMPUTED_VALUE"""),629.98)</f>
        <v>629.98</v>
      </c>
      <c r="L1977" s="25">
        <f>IFERROR(__xludf.DUMMYFUNCTION("""COMPUTED_VALUE"""),640.3)</f>
        <v>640.3</v>
      </c>
      <c r="M1977" s="25">
        <f>IFERROR(__xludf.DUMMYFUNCTION("""COMPUTED_VALUE"""),1317565.0)</f>
        <v>1317565</v>
      </c>
    </row>
    <row r="1978">
      <c r="A1978" s="26">
        <f>IFERROR(__xludf.DUMMYFUNCTION("""COMPUTED_VALUE"""),41278.645833333336)</f>
        <v>41278.64583</v>
      </c>
      <c r="B1978" s="9">
        <f>IFERROR(__xludf.DUMMYFUNCTION("""COMPUTED_VALUE"""),293.55)</f>
        <v>293.55</v>
      </c>
      <c r="C1978" s="9">
        <f>IFERROR(__xludf.DUMMYFUNCTION("""COMPUTED_VALUE"""),294.37)</f>
        <v>294.37</v>
      </c>
      <c r="D1978" s="9">
        <f>IFERROR(__xludf.DUMMYFUNCTION("""COMPUTED_VALUE"""),291.5)</f>
        <v>291.5</v>
      </c>
      <c r="E1978" s="9">
        <f>IFERROR(__xludf.DUMMYFUNCTION("""COMPUTED_VALUE"""),293.69)</f>
        <v>293.69</v>
      </c>
      <c r="F1978" s="9">
        <f>IFERROR(__xludf.DUMMYFUNCTION("""COMPUTED_VALUE"""),1056751.0)</f>
        <v>1056751</v>
      </c>
      <c r="H1978" s="27">
        <f>IFERROR(__xludf.DUMMYFUNCTION("""COMPUTED_VALUE"""),41278.645833333336)</f>
        <v>41278.64583</v>
      </c>
      <c r="I1978" s="25">
        <f>IFERROR(__xludf.DUMMYFUNCTION("""COMPUTED_VALUE"""),642.5)</f>
        <v>642.5</v>
      </c>
      <c r="J1978" s="25">
        <f>IFERROR(__xludf.DUMMYFUNCTION("""COMPUTED_VALUE"""),650.5)</f>
        <v>650.5</v>
      </c>
      <c r="K1978" s="25">
        <f>IFERROR(__xludf.DUMMYFUNCTION("""COMPUTED_VALUE"""),640.45)</f>
        <v>640.45</v>
      </c>
      <c r="L1978" s="25">
        <f>IFERROR(__xludf.DUMMYFUNCTION("""COMPUTED_VALUE"""),649.6)</f>
        <v>649.6</v>
      </c>
      <c r="M1978" s="25">
        <f>IFERROR(__xludf.DUMMYFUNCTION("""COMPUTED_VALUE"""),2614380.0)</f>
        <v>2614380</v>
      </c>
    </row>
    <row r="1979">
      <c r="A1979" s="26">
        <f>IFERROR(__xludf.DUMMYFUNCTION("""COMPUTED_VALUE"""),41281.645833333336)</f>
        <v>41281.64583</v>
      </c>
      <c r="B1979" s="9">
        <f>IFERROR(__xludf.DUMMYFUNCTION("""COMPUTED_VALUE"""),293.89)</f>
        <v>293.89</v>
      </c>
      <c r="C1979" s="9">
        <f>IFERROR(__xludf.DUMMYFUNCTION("""COMPUTED_VALUE"""),297.49)</f>
        <v>297.49</v>
      </c>
      <c r="D1979" s="9">
        <f>IFERROR(__xludf.DUMMYFUNCTION("""COMPUTED_VALUE"""),291.94)</f>
        <v>291.94</v>
      </c>
      <c r="E1979" s="9">
        <f>IFERROR(__xludf.DUMMYFUNCTION("""COMPUTED_VALUE"""),296.85)</f>
        <v>296.85</v>
      </c>
      <c r="F1979" s="9">
        <f>IFERROR(__xludf.DUMMYFUNCTION("""COMPUTED_VALUE"""),1095203.0)</f>
        <v>1095203</v>
      </c>
      <c r="H1979" s="27">
        <f>IFERROR(__xludf.DUMMYFUNCTION("""COMPUTED_VALUE"""),41281.645833333336)</f>
        <v>41281.64583</v>
      </c>
      <c r="I1979" s="25">
        <f>IFERROR(__xludf.DUMMYFUNCTION("""COMPUTED_VALUE"""),650.0)</f>
        <v>650</v>
      </c>
      <c r="J1979" s="25">
        <f>IFERROR(__xludf.DUMMYFUNCTION("""COMPUTED_VALUE"""),652.0)</f>
        <v>652</v>
      </c>
      <c r="K1979" s="25">
        <f>IFERROR(__xludf.DUMMYFUNCTION("""COMPUTED_VALUE"""),645.13)</f>
        <v>645.13</v>
      </c>
      <c r="L1979" s="25">
        <f>IFERROR(__xludf.DUMMYFUNCTION("""COMPUTED_VALUE"""),647.42)</f>
        <v>647.42</v>
      </c>
      <c r="M1979" s="25">
        <f>IFERROR(__xludf.DUMMYFUNCTION("""COMPUTED_VALUE"""),910376.0)</f>
        <v>910376</v>
      </c>
    </row>
    <row r="1980">
      <c r="A1980" s="26">
        <f>IFERROR(__xludf.DUMMYFUNCTION("""COMPUTED_VALUE"""),41282.645833333336)</f>
        <v>41282.64583</v>
      </c>
      <c r="B1980" s="9">
        <f>IFERROR(__xludf.DUMMYFUNCTION("""COMPUTED_VALUE"""),295.63)</f>
        <v>295.63</v>
      </c>
      <c r="C1980" s="9">
        <f>IFERROR(__xludf.DUMMYFUNCTION("""COMPUTED_VALUE"""),295.99)</f>
        <v>295.99</v>
      </c>
      <c r="D1980" s="9">
        <f>IFERROR(__xludf.DUMMYFUNCTION("""COMPUTED_VALUE"""),290.44)</f>
        <v>290.44</v>
      </c>
      <c r="E1980" s="9">
        <f>IFERROR(__xludf.DUMMYFUNCTION("""COMPUTED_VALUE"""),293.0)</f>
        <v>293</v>
      </c>
      <c r="F1980" s="9">
        <f>IFERROR(__xludf.DUMMYFUNCTION("""COMPUTED_VALUE"""),1608428.0)</f>
        <v>1608428</v>
      </c>
      <c r="H1980" s="27">
        <f>IFERROR(__xludf.DUMMYFUNCTION("""COMPUTED_VALUE"""),41282.645833333336)</f>
        <v>41282.64583</v>
      </c>
      <c r="I1980" s="25">
        <f>IFERROR(__xludf.DUMMYFUNCTION("""COMPUTED_VALUE"""),647.5)</f>
        <v>647.5</v>
      </c>
      <c r="J1980" s="25">
        <f>IFERROR(__xludf.DUMMYFUNCTION("""COMPUTED_VALUE"""),652.15)</f>
        <v>652.15</v>
      </c>
      <c r="K1980" s="25">
        <f>IFERROR(__xludf.DUMMYFUNCTION("""COMPUTED_VALUE"""),647.15)</f>
        <v>647.15</v>
      </c>
      <c r="L1980" s="25">
        <f>IFERROR(__xludf.DUMMYFUNCTION("""COMPUTED_VALUE"""),650.13)</f>
        <v>650.13</v>
      </c>
      <c r="M1980" s="25">
        <f>IFERROR(__xludf.DUMMYFUNCTION("""COMPUTED_VALUE"""),1170935.0)</f>
        <v>1170935</v>
      </c>
    </row>
    <row r="1981">
      <c r="A1981" s="26">
        <f>IFERROR(__xludf.DUMMYFUNCTION("""COMPUTED_VALUE"""),41283.645833333336)</f>
        <v>41283.64583</v>
      </c>
      <c r="B1981" s="9">
        <f>IFERROR(__xludf.DUMMYFUNCTION("""COMPUTED_VALUE"""),292.52)</f>
        <v>292.52</v>
      </c>
      <c r="C1981" s="9">
        <f>IFERROR(__xludf.DUMMYFUNCTION("""COMPUTED_VALUE"""),295.23)</f>
        <v>295.23</v>
      </c>
      <c r="D1981" s="9">
        <f>IFERROR(__xludf.DUMMYFUNCTION("""COMPUTED_VALUE"""),290.41)</f>
        <v>290.41</v>
      </c>
      <c r="E1981" s="9">
        <f>IFERROR(__xludf.DUMMYFUNCTION("""COMPUTED_VALUE"""),291.38)</f>
        <v>291.38</v>
      </c>
      <c r="F1981" s="9">
        <f>IFERROR(__xludf.DUMMYFUNCTION("""COMPUTED_VALUE"""),768746.0)</f>
        <v>768746</v>
      </c>
      <c r="H1981" s="27">
        <f>IFERROR(__xludf.DUMMYFUNCTION("""COMPUTED_VALUE"""),41283.645833333336)</f>
        <v>41283.64583</v>
      </c>
      <c r="I1981" s="25">
        <f>IFERROR(__xludf.DUMMYFUNCTION("""COMPUTED_VALUE"""),650.5)</f>
        <v>650.5</v>
      </c>
      <c r="J1981" s="25">
        <f>IFERROR(__xludf.DUMMYFUNCTION("""COMPUTED_VALUE"""),653.7)</f>
        <v>653.7</v>
      </c>
      <c r="K1981" s="25">
        <f>IFERROR(__xludf.DUMMYFUNCTION("""COMPUTED_VALUE"""),636.58)</f>
        <v>636.58</v>
      </c>
      <c r="L1981" s="25">
        <f>IFERROR(__xludf.DUMMYFUNCTION("""COMPUTED_VALUE"""),638.3)</f>
        <v>638.3</v>
      </c>
      <c r="M1981" s="25">
        <f>IFERROR(__xludf.DUMMYFUNCTION("""COMPUTED_VALUE"""),1567949.0)</f>
        <v>1567949</v>
      </c>
    </row>
    <row r="1982">
      <c r="A1982" s="26">
        <f>IFERROR(__xludf.DUMMYFUNCTION("""COMPUTED_VALUE"""),41284.645833333336)</f>
        <v>41284.64583</v>
      </c>
      <c r="B1982" s="9">
        <f>IFERROR(__xludf.DUMMYFUNCTION("""COMPUTED_VALUE"""),291.38)</f>
        <v>291.38</v>
      </c>
      <c r="C1982" s="9">
        <f>IFERROR(__xludf.DUMMYFUNCTION("""COMPUTED_VALUE"""),292.83)</f>
        <v>292.83</v>
      </c>
      <c r="D1982" s="9">
        <f>IFERROR(__xludf.DUMMYFUNCTION("""COMPUTED_VALUE"""),288.65)</f>
        <v>288.65</v>
      </c>
      <c r="E1982" s="9">
        <f>IFERROR(__xludf.DUMMYFUNCTION("""COMPUTED_VALUE"""),290.29)</f>
        <v>290.29</v>
      </c>
      <c r="F1982" s="9">
        <f>IFERROR(__xludf.DUMMYFUNCTION("""COMPUTED_VALUE"""),1362627.0)</f>
        <v>1362627</v>
      </c>
      <c r="H1982" s="27">
        <f>IFERROR(__xludf.DUMMYFUNCTION("""COMPUTED_VALUE"""),41284.645833333336)</f>
        <v>41284.64583</v>
      </c>
      <c r="I1982" s="25">
        <f>IFERROR(__xludf.DUMMYFUNCTION("""COMPUTED_VALUE"""),639.95)</f>
        <v>639.95</v>
      </c>
      <c r="J1982" s="25">
        <f>IFERROR(__xludf.DUMMYFUNCTION("""COMPUTED_VALUE"""),641.05)</f>
        <v>641.05</v>
      </c>
      <c r="K1982" s="25">
        <f>IFERROR(__xludf.DUMMYFUNCTION("""COMPUTED_VALUE"""),627.65)</f>
        <v>627.65</v>
      </c>
      <c r="L1982" s="25">
        <f>IFERROR(__xludf.DUMMYFUNCTION("""COMPUTED_VALUE"""),629.2)</f>
        <v>629.2</v>
      </c>
      <c r="M1982" s="25">
        <f>IFERROR(__xludf.DUMMYFUNCTION("""COMPUTED_VALUE"""),2261419.0)</f>
        <v>2261419</v>
      </c>
    </row>
    <row r="1983">
      <c r="A1983" s="26">
        <f>IFERROR(__xludf.DUMMYFUNCTION("""COMPUTED_VALUE"""),41285.645833333336)</f>
        <v>41285.64583</v>
      </c>
      <c r="B1983" s="9">
        <f>IFERROR(__xludf.DUMMYFUNCTION("""COMPUTED_VALUE"""),315.13)</f>
        <v>315.13</v>
      </c>
      <c r="C1983" s="9">
        <f>IFERROR(__xludf.DUMMYFUNCTION("""COMPUTED_VALUE"""),340.25)</f>
        <v>340.25</v>
      </c>
      <c r="D1983" s="9">
        <f>IFERROR(__xludf.DUMMYFUNCTION("""COMPUTED_VALUE"""),315.13)</f>
        <v>315.13</v>
      </c>
      <c r="E1983" s="9">
        <f>IFERROR(__xludf.DUMMYFUNCTION("""COMPUTED_VALUE"""),339.01)</f>
        <v>339.01</v>
      </c>
      <c r="F1983" s="9">
        <f>IFERROR(__xludf.DUMMYFUNCTION("""COMPUTED_VALUE"""),1.1606571E7)</f>
        <v>11606571</v>
      </c>
      <c r="H1983" s="27">
        <f>IFERROR(__xludf.DUMMYFUNCTION("""COMPUTED_VALUE"""),41285.645833333336)</f>
        <v>41285.64583</v>
      </c>
      <c r="I1983" s="25">
        <f>IFERROR(__xludf.DUMMYFUNCTION("""COMPUTED_VALUE"""),645.0)</f>
        <v>645</v>
      </c>
      <c r="J1983" s="25">
        <f>IFERROR(__xludf.DUMMYFUNCTION("""COMPUTED_VALUE"""),661.25)</f>
        <v>661.25</v>
      </c>
      <c r="K1983" s="25">
        <f>IFERROR(__xludf.DUMMYFUNCTION("""COMPUTED_VALUE"""),645.0)</f>
        <v>645</v>
      </c>
      <c r="L1983" s="25">
        <f>IFERROR(__xludf.DUMMYFUNCTION("""COMPUTED_VALUE"""),653.17)</f>
        <v>653.17</v>
      </c>
      <c r="M1983" s="25">
        <f>IFERROR(__xludf.DUMMYFUNCTION("""COMPUTED_VALUE"""),3902503.0)</f>
        <v>3902503</v>
      </c>
    </row>
    <row r="1984">
      <c r="A1984" s="26">
        <f>IFERROR(__xludf.DUMMYFUNCTION("""COMPUTED_VALUE"""),41288.645833333336)</f>
        <v>41288.64583</v>
      </c>
      <c r="B1984" s="9">
        <f>IFERROR(__xludf.DUMMYFUNCTION("""COMPUTED_VALUE"""),344.98)</f>
        <v>344.98</v>
      </c>
      <c r="C1984" s="9">
        <f>IFERROR(__xludf.DUMMYFUNCTION("""COMPUTED_VALUE"""),354.62)</f>
        <v>354.62</v>
      </c>
      <c r="D1984" s="9">
        <f>IFERROR(__xludf.DUMMYFUNCTION("""COMPUTED_VALUE"""),344.03)</f>
        <v>344.03</v>
      </c>
      <c r="E1984" s="9">
        <f>IFERROR(__xludf.DUMMYFUNCTION("""COMPUTED_VALUE"""),350.81)</f>
        <v>350.81</v>
      </c>
      <c r="F1984" s="9">
        <f>IFERROR(__xludf.DUMMYFUNCTION("""COMPUTED_VALUE"""),6365595.0)</f>
        <v>6365595</v>
      </c>
      <c r="H1984" s="27">
        <f>IFERROR(__xludf.DUMMYFUNCTION("""COMPUTED_VALUE"""),41288.645833333336)</f>
        <v>41288.64583</v>
      </c>
      <c r="I1984" s="25">
        <f>IFERROR(__xludf.DUMMYFUNCTION("""COMPUTED_VALUE"""),659.5)</f>
        <v>659.5</v>
      </c>
      <c r="J1984" s="25">
        <f>IFERROR(__xludf.DUMMYFUNCTION("""COMPUTED_VALUE"""),674.23)</f>
        <v>674.23</v>
      </c>
      <c r="K1984" s="25">
        <f>IFERROR(__xludf.DUMMYFUNCTION("""COMPUTED_VALUE"""),653.67)</f>
        <v>653.67</v>
      </c>
      <c r="L1984" s="25">
        <f>IFERROR(__xludf.DUMMYFUNCTION("""COMPUTED_VALUE"""),667.25)</f>
        <v>667.25</v>
      </c>
      <c r="M1984" s="25">
        <f>IFERROR(__xludf.DUMMYFUNCTION("""COMPUTED_VALUE"""),2895112.0)</f>
        <v>2895112</v>
      </c>
    </row>
    <row r="1985">
      <c r="A1985" s="26">
        <f>IFERROR(__xludf.DUMMYFUNCTION("""COMPUTED_VALUE"""),41289.645833333336)</f>
        <v>41289.64583</v>
      </c>
      <c r="B1985" s="9">
        <f>IFERROR(__xludf.DUMMYFUNCTION("""COMPUTED_VALUE"""),350.75)</f>
        <v>350.75</v>
      </c>
      <c r="C1985" s="9">
        <f>IFERROR(__xludf.DUMMYFUNCTION("""COMPUTED_VALUE"""),351.18)</f>
        <v>351.18</v>
      </c>
      <c r="D1985" s="9">
        <f>IFERROR(__xludf.DUMMYFUNCTION("""COMPUTED_VALUE"""),346.81)</f>
        <v>346.81</v>
      </c>
      <c r="E1985" s="9">
        <f>IFERROR(__xludf.DUMMYFUNCTION("""COMPUTED_VALUE"""),348.38)</f>
        <v>348.38</v>
      </c>
      <c r="F1985" s="9">
        <f>IFERROR(__xludf.DUMMYFUNCTION("""COMPUTED_VALUE"""),2547235.0)</f>
        <v>2547235</v>
      </c>
      <c r="H1985" s="27">
        <f>IFERROR(__xludf.DUMMYFUNCTION("""COMPUTED_VALUE"""),41289.645833333336)</f>
        <v>41289.64583</v>
      </c>
      <c r="I1985" s="25">
        <f>IFERROR(__xludf.DUMMYFUNCTION("""COMPUTED_VALUE"""),695.0)</f>
        <v>695</v>
      </c>
      <c r="J1985" s="25">
        <f>IFERROR(__xludf.DUMMYFUNCTION("""COMPUTED_VALUE"""),700.0)</f>
        <v>700</v>
      </c>
      <c r="K1985" s="25">
        <f>IFERROR(__xludf.DUMMYFUNCTION("""COMPUTED_VALUE"""),663.5)</f>
        <v>663.5</v>
      </c>
      <c r="L1985" s="25">
        <f>IFERROR(__xludf.DUMMYFUNCTION("""COMPUTED_VALUE"""),668.73)</f>
        <v>668.73</v>
      </c>
      <c r="M1985" s="25">
        <f>IFERROR(__xludf.DUMMYFUNCTION("""COMPUTED_VALUE"""),4131489.0)</f>
        <v>4131489</v>
      </c>
    </row>
    <row r="1986">
      <c r="A1986" s="26">
        <f>IFERROR(__xludf.DUMMYFUNCTION("""COMPUTED_VALUE"""),41290.645833333336)</f>
        <v>41290.64583</v>
      </c>
      <c r="B1986" s="9">
        <f>IFERROR(__xludf.DUMMYFUNCTION("""COMPUTED_VALUE"""),347.63)</f>
        <v>347.63</v>
      </c>
      <c r="C1986" s="9">
        <f>IFERROR(__xludf.DUMMYFUNCTION("""COMPUTED_VALUE"""),348.6)</f>
        <v>348.6</v>
      </c>
      <c r="D1986" s="9">
        <f>IFERROR(__xludf.DUMMYFUNCTION("""COMPUTED_VALUE"""),344.44)</f>
        <v>344.44</v>
      </c>
      <c r="E1986" s="9">
        <f>IFERROR(__xludf.DUMMYFUNCTION("""COMPUTED_VALUE"""),345.93)</f>
        <v>345.93</v>
      </c>
      <c r="F1986" s="9">
        <f>IFERROR(__xludf.DUMMYFUNCTION("""COMPUTED_VALUE"""),1457603.0)</f>
        <v>1457603</v>
      </c>
      <c r="H1986" s="27">
        <f>IFERROR(__xludf.DUMMYFUNCTION("""COMPUTED_VALUE"""),41290.645833333336)</f>
        <v>41290.64583</v>
      </c>
      <c r="I1986" s="25">
        <f>IFERROR(__xludf.DUMMYFUNCTION("""COMPUTED_VALUE"""),668.45)</f>
        <v>668.45</v>
      </c>
      <c r="J1986" s="25">
        <f>IFERROR(__xludf.DUMMYFUNCTION("""COMPUTED_VALUE"""),677.5)</f>
        <v>677.5</v>
      </c>
      <c r="K1986" s="25">
        <f>IFERROR(__xludf.DUMMYFUNCTION("""COMPUTED_VALUE"""),654.5)</f>
        <v>654.5</v>
      </c>
      <c r="L1986" s="25">
        <f>IFERROR(__xludf.DUMMYFUNCTION("""COMPUTED_VALUE"""),673.88)</f>
        <v>673.88</v>
      </c>
      <c r="M1986" s="25">
        <f>IFERROR(__xludf.DUMMYFUNCTION("""COMPUTED_VALUE"""),2054746.0)</f>
        <v>2054746</v>
      </c>
    </row>
    <row r="1987">
      <c r="A1987" s="26">
        <f>IFERROR(__xludf.DUMMYFUNCTION("""COMPUTED_VALUE"""),41291.645833333336)</f>
        <v>41291.64583</v>
      </c>
      <c r="B1987" s="9">
        <f>IFERROR(__xludf.DUMMYFUNCTION("""COMPUTED_VALUE"""),349.0)</f>
        <v>349</v>
      </c>
      <c r="C1987" s="9">
        <f>IFERROR(__xludf.DUMMYFUNCTION("""COMPUTED_VALUE"""),350.83)</f>
        <v>350.83</v>
      </c>
      <c r="D1987" s="9">
        <f>IFERROR(__xludf.DUMMYFUNCTION("""COMPUTED_VALUE"""),347.4)</f>
        <v>347.4</v>
      </c>
      <c r="E1987" s="9">
        <f>IFERROR(__xludf.DUMMYFUNCTION("""COMPUTED_VALUE"""),349.74)</f>
        <v>349.74</v>
      </c>
      <c r="F1987" s="9">
        <f>IFERROR(__xludf.DUMMYFUNCTION("""COMPUTED_VALUE"""),1470884.0)</f>
        <v>1470884</v>
      </c>
      <c r="H1987" s="27">
        <f>IFERROR(__xludf.DUMMYFUNCTION("""COMPUTED_VALUE"""),41291.645833333336)</f>
        <v>41291.64583</v>
      </c>
      <c r="I1987" s="25">
        <f>IFERROR(__xludf.DUMMYFUNCTION("""COMPUTED_VALUE"""),674.85)</f>
        <v>674.85</v>
      </c>
      <c r="J1987" s="25">
        <f>IFERROR(__xludf.DUMMYFUNCTION("""COMPUTED_VALUE"""),685.9)</f>
        <v>685.9</v>
      </c>
      <c r="K1987" s="25">
        <f>IFERROR(__xludf.DUMMYFUNCTION("""COMPUTED_VALUE"""),671.5)</f>
        <v>671.5</v>
      </c>
      <c r="L1987" s="25">
        <f>IFERROR(__xludf.DUMMYFUNCTION("""COMPUTED_VALUE"""),681.0)</f>
        <v>681</v>
      </c>
      <c r="M1987" s="25">
        <f>IFERROR(__xludf.DUMMYFUNCTION("""COMPUTED_VALUE"""),1514272.0)</f>
        <v>1514272</v>
      </c>
    </row>
    <row r="1988">
      <c r="A1988" s="26">
        <f>IFERROR(__xludf.DUMMYFUNCTION("""COMPUTED_VALUE"""),41292.645833333336)</f>
        <v>41292.64583</v>
      </c>
      <c r="B1988" s="9">
        <f>IFERROR(__xludf.DUMMYFUNCTION("""COMPUTED_VALUE"""),350.63)</f>
        <v>350.63</v>
      </c>
      <c r="C1988" s="9">
        <f>IFERROR(__xludf.DUMMYFUNCTION("""COMPUTED_VALUE"""),351.25)</f>
        <v>351.25</v>
      </c>
      <c r="D1988" s="9">
        <f>IFERROR(__xludf.DUMMYFUNCTION("""COMPUTED_VALUE"""),347.18)</f>
        <v>347.18</v>
      </c>
      <c r="E1988" s="9">
        <f>IFERROR(__xludf.DUMMYFUNCTION("""COMPUTED_VALUE"""),348.51)</f>
        <v>348.51</v>
      </c>
      <c r="F1988" s="9">
        <f>IFERROR(__xludf.DUMMYFUNCTION("""COMPUTED_VALUE"""),911324.0)</f>
        <v>911324</v>
      </c>
      <c r="H1988" s="27">
        <f>IFERROR(__xludf.DUMMYFUNCTION("""COMPUTED_VALUE"""),41292.645833333336)</f>
        <v>41292.64583</v>
      </c>
      <c r="I1988" s="25">
        <f>IFERROR(__xludf.DUMMYFUNCTION("""COMPUTED_VALUE"""),681.25)</f>
        <v>681.25</v>
      </c>
      <c r="J1988" s="25">
        <f>IFERROR(__xludf.DUMMYFUNCTION("""COMPUTED_VALUE"""),683.03)</f>
        <v>683.03</v>
      </c>
      <c r="K1988" s="25">
        <f>IFERROR(__xludf.DUMMYFUNCTION("""COMPUTED_VALUE"""),669.03)</f>
        <v>669.03</v>
      </c>
      <c r="L1988" s="25">
        <f>IFERROR(__xludf.DUMMYFUNCTION("""COMPUTED_VALUE"""),675.5)</f>
        <v>675.5</v>
      </c>
      <c r="M1988" s="25">
        <f>IFERROR(__xludf.DUMMYFUNCTION("""COMPUTED_VALUE"""),720235.0)</f>
        <v>720235</v>
      </c>
    </row>
    <row r="1989">
      <c r="A1989" s="26">
        <f>IFERROR(__xludf.DUMMYFUNCTION("""COMPUTED_VALUE"""),41295.645833333336)</f>
        <v>41295.64583</v>
      </c>
      <c r="B1989" s="9">
        <f>IFERROR(__xludf.DUMMYFUNCTION("""COMPUTED_VALUE"""),345.38)</f>
        <v>345.38</v>
      </c>
      <c r="C1989" s="9">
        <f>IFERROR(__xludf.DUMMYFUNCTION("""COMPUTED_VALUE"""),351.33)</f>
        <v>351.33</v>
      </c>
      <c r="D1989" s="9">
        <f>IFERROR(__xludf.DUMMYFUNCTION("""COMPUTED_VALUE"""),345.38)</f>
        <v>345.38</v>
      </c>
      <c r="E1989" s="9">
        <f>IFERROR(__xludf.DUMMYFUNCTION("""COMPUTED_VALUE"""),349.54)</f>
        <v>349.54</v>
      </c>
      <c r="F1989" s="9">
        <f>IFERROR(__xludf.DUMMYFUNCTION("""COMPUTED_VALUE"""),737445.0)</f>
        <v>737445</v>
      </c>
      <c r="H1989" s="27">
        <f>IFERROR(__xludf.DUMMYFUNCTION("""COMPUTED_VALUE"""),41295.645833333336)</f>
        <v>41295.64583</v>
      </c>
      <c r="I1989" s="25">
        <f>IFERROR(__xludf.DUMMYFUNCTION("""COMPUTED_VALUE"""),676.25)</f>
        <v>676.25</v>
      </c>
      <c r="J1989" s="25">
        <f>IFERROR(__xludf.DUMMYFUNCTION("""COMPUTED_VALUE"""),677.45)</f>
        <v>677.45</v>
      </c>
      <c r="K1989" s="25">
        <f>IFERROR(__xludf.DUMMYFUNCTION("""COMPUTED_VALUE"""),663.55)</f>
        <v>663.55</v>
      </c>
      <c r="L1989" s="25">
        <f>IFERROR(__xludf.DUMMYFUNCTION("""COMPUTED_VALUE"""),665.0)</f>
        <v>665</v>
      </c>
      <c r="M1989" s="25">
        <f>IFERROR(__xludf.DUMMYFUNCTION("""COMPUTED_VALUE"""),630019.0)</f>
        <v>630019</v>
      </c>
    </row>
    <row r="1990">
      <c r="A1990" s="26">
        <f>IFERROR(__xludf.DUMMYFUNCTION("""COMPUTED_VALUE"""),41296.645833333336)</f>
        <v>41296.64583</v>
      </c>
      <c r="B1990" s="9">
        <f>IFERROR(__xludf.DUMMYFUNCTION("""COMPUTED_VALUE"""),349.2)</f>
        <v>349.2</v>
      </c>
      <c r="C1990" s="9">
        <f>IFERROR(__xludf.DUMMYFUNCTION("""COMPUTED_VALUE"""),349.83)</f>
        <v>349.83</v>
      </c>
      <c r="D1990" s="9">
        <f>IFERROR(__xludf.DUMMYFUNCTION("""COMPUTED_VALUE"""),347.13)</f>
        <v>347.13</v>
      </c>
      <c r="E1990" s="9">
        <f>IFERROR(__xludf.DUMMYFUNCTION("""COMPUTED_VALUE"""),347.94)</f>
        <v>347.94</v>
      </c>
      <c r="F1990" s="9">
        <f>IFERROR(__xludf.DUMMYFUNCTION("""COMPUTED_VALUE"""),638785.0)</f>
        <v>638785</v>
      </c>
      <c r="H1990" s="27">
        <f>IFERROR(__xludf.DUMMYFUNCTION("""COMPUTED_VALUE"""),41296.645833333336)</f>
        <v>41296.64583</v>
      </c>
      <c r="I1990" s="25">
        <f>IFERROR(__xludf.DUMMYFUNCTION("""COMPUTED_VALUE"""),663.0)</f>
        <v>663</v>
      </c>
      <c r="J1990" s="25">
        <f>IFERROR(__xludf.DUMMYFUNCTION("""COMPUTED_VALUE"""),665.85)</f>
        <v>665.85</v>
      </c>
      <c r="K1990" s="25">
        <f>IFERROR(__xludf.DUMMYFUNCTION("""COMPUTED_VALUE"""),654.05)</f>
        <v>654.05</v>
      </c>
      <c r="L1990" s="25">
        <f>IFERROR(__xludf.DUMMYFUNCTION("""COMPUTED_VALUE"""),658.75)</f>
        <v>658.75</v>
      </c>
      <c r="M1990" s="25">
        <f>IFERROR(__xludf.DUMMYFUNCTION("""COMPUTED_VALUE"""),693315.0)</f>
        <v>693315</v>
      </c>
    </row>
    <row r="1991">
      <c r="A1991" s="26">
        <f>IFERROR(__xludf.DUMMYFUNCTION("""COMPUTED_VALUE"""),41297.645833333336)</f>
        <v>41297.64583</v>
      </c>
      <c r="B1991" s="9">
        <f>IFERROR(__xludf.DUMMYFUNCTION("""COMPUTED_VALUE"""),347.63)</f>
        <v>347.63</v>
      </c>
      <c r="C1991" s="9">
        <f>IFERROR(__xludf.DUMMYFUNCTION("""COMPUTED_VALUE"""),349.75)</f>
        <v>349.75</v>
      </c>
      <c r="D1991" s="9">
        <f>IFERROR(__xludf.DUMMYFUNCTION("""COMPUTED_VALUE"""),347.63)</f>
        <v>347.63</v>
      </c>
      <c r="E1991" s="9">
        <f>IFERROR(__xludf.DUMMYFUNCTION("""COMPUTED_VALUE"""),348.7)</f>
        <v>348.7</v>
      </c>
      <c r="F1991" s="9">
        <f>IFERROR(__xludf.DUMMYFUNCTION("""COMPUTED_VALUE"""),932339.0)</f>
        <v>932339</v>
      </c>
      <c r="H1991" s="27">
        <f>IFERROR(__xludf.DUMMYFUNCTION("""COMPUTED_VALUE"""),41297.645833333336)</f>
        <v>41297.64583</v>
      </c>
      <c r="I1991" s="25">
        <f>IFERROR(__xludf.DUMMYFUNCTION("""COMPUTED_VALUE"""),657.88)</f>
        <v>657.88</v>
      </c>
      <c r="J1991" s="25">
        <f>IFERROR(__xludf.DUMMYFUNCTION("""COMPUTED_VALUE"""),661.88)</f>
        <v>661.88</v>
      </c>
      <c r="K1991" s="25">
        <f>IFERROR(__xludf.DUMMYFUNCTION("""COMPUTED_VALUE"""),649.2)</f>
        <v>649.2</v>
      </c>
      <c r="L1991" s="25">
        <f>IFERROR(__xludf.DUMMYFUNCTION("""COMPUTED_VALUE"""),655.98)</f>
        <v>655.98</v>
      </c>
      <c r="M1991" s="25">
        <f>IFERROR(__xludf.DUMMYFUNCTION("""COMPUTED_VALUE"""),938827.0)</f>
        <v>938827</v>
      </c>
    </row>
    <row r="1992">
      <c r="A1992" s="26">
        <f>IFERROR(__xludf.DUMMYFUNCTION("""COMPUTED_VALUE"""),41298.645833333336)</f>
        <v>41298.64583</v>
      </c>
      <c r="B1992" s="9">
        <f>IFERROR(__xludf.DUMMYFUNCTION("""COMPUTED_VALUE"""),351.25)</f>
        <v>351.25</v>
      </c>
      <c r="C1992" s="9">
        <f>IFERROR(__xludf.DUMMYFUNCTION("""COMPUTED_VALUE"""),353.5)</f>
        <v>353.5</v>
      </c>
      <c r="D1992" s="9">
        <f>IFERROR(__xludf.DUMMYFUNCTION("""COMPUTED_VALUE"""),348.84)</f>
        <v>348.84</v>
      </c>
      <c r="E1992" s="9">
        <f>IFERROR(__xludf.DUMMYFUNCTION("""COMPUTED_VALUE"""),349.78)</f>
        <v>349.78</v>
      </c>
      <c r="F1992" s="9">
        <f>IFERROR(__xludf.DUMMYFUNCTION("""COMPUTED_VALUE"""),1401412.0)</f>
        <v>1401412</v>
      </c>
      <c r="H1992" s="27">
        <f>IFERROR(__xludf.DUMMYFUNCTION("""COMPUTED_VALUE"""),41298.645833333336)</f>
        <v>41298.64583</v>
      </c>
      <c r="I1992" s="25">
        <f>IFERROR(__xludf.DUMMYFUNCTION("""COMPUTED_VALUE"""),652.5)</f>
        <v>652.5</v>
      </c>
      <c r="J1992" s="25">
        <f>IFERROR(__xludf.DUMMYFUNCTION("""COMPUTED_VALUE"""),668.45)</f>
        <v>668.45</v>
      </c>
      <c r="K1992" s="25">
        <f>IFERROR(__xludf.DUMMYFUNCTION("""COMPUTED_VALUE"""),652.5)</f>
        <v>652.5</v>
      </c>
      <c r="L1992" s="25">
        <f>IFERROR(__xludf.DUMMYFUNCTION("""COMPUTED_VALUE"""),664.28)</f>
        <v>664.28</v>
      </c>
      <c r="M1992" s="25">
        <f>IFERROR(__xludf.DUMMYFUNCTION("""COMPUTED_VALUE"""),1749235.0)</f>
        <v>1749235</v>
      </c>
    </row>
    <row r="1993">
      <c r="A1993" s="26">
        <f>IFERROR(__xludf.DUMMYFUNCTION("""COMPUTED_VALUE"""),41299.645833333336)</f>
        <v>41299.64583</v>
      </c>
      <c r="B1993" s="9">
        <f>IFERROR(__xludf.DUMMYFUNCTION("""COMPUTED_VALUE"""),351.25)</f>
        <v>351.25</v>
      </c>
      <c r="C1993" s="9">
        <f>IFERROR(__xludf.DUMMYFUNCTION("""COMPUTED_VALUE"""),353.5)</f>
        <v>353.5</v>
      </c>
      <c r="D1993" s="9">
        <f>IFERROR(__xludf.DUMMYFUNCTION("""COMPUTED_VALUE"""),348.89)</f>
        <v>348.89</v>
      </c>
      <c r="E1993" s="9">
        <f>IFERROR(__xludf.DUMMYFUNCTION("""COMPUTED_VALUE"""),351.83)</f>
        <v>351.83</v>
      </c>
      <c r="F1993" s="9">
        <f>IFERROR(__xludf.DUMMYFUNCTION("""COMPUTED_VALUE"""),1055317.0)</f>
        <v>1055317</v>
      </c>
      <c r="H1993" s="27">
        <f>IFERROR(__xludf.DUMMYFUNCTION("""COMPUTED_VALUE"""),41299.645833333336)</f>
        <v>41299.64583</v>
      </c>
      <c r="I1993" s="25">
        <f>IFERROR(__xludf.DUMMYFUNCTION("""COMPUTED_VALUE"""),661.88)</f>
        <v>661.88</v>
      </c>
      <c r="J1993" s="25">
        <f>IFERROR(__xludf.DUMMYFUNCTION("""COMPUTED_VALUE"""),672.5)</f>
        <v>672.5</v>
      </c>
      <c r="K1993" s="25">
        <f>IFERROR(__xludf.DUMMYFUNCTION("""COMPUTED_VALUE"""),661.88)</f>
        <v>661.88</v>
      </c>
      <c r="L1993" s="25">
        <f>IFERROR(__xludf.DUMMYFUNCTION("""COMPUTED_VALUE"""),670.25)</f>
        <v>670.25</v>
      </c>
      <c r="M1993" s="25">
        <f>IFERROR(__xludf.DUMMYFUNCTION("""COMPUTED_VALUE"""),760550.0)</f>
        <v>760550</v>
      </c>
    </row>
    <row r="1994">
      <c r="A1994" s="26">
        <f>IFERROR(__xludf.DUMMYFUNCTION("""COMPUTED_VALUE"""),41302.645833333336)</f>
        <v>41302.64583</v>
      </c>
      <c r="B1994" s="9">
        <f>IFERROR(__xludf.DUMMYFUNCTION("""COMPUTED_VALUE"""),351.5)</f>
        <v>351.5</v>
      </c>
      <c r="C1994" s="9">
        <f>IFERROR(__xludf.DUMMYFUNCTION("""COMPUTED_VALUE"""),353.45)</f>
        <v>353.45</v>
      </c>
      <c r="D1994" s="9">
        <f>IFERROR(__xludf.DUMMYFUNCTION("""COMPUTED_VALUE"""),350.13)</f>
        <v>350.13</v>
      </c>
      <c r="E1994" s="9">
        <f>IFERROR(__xludf.DUMMYFUNCTION("""COMPUTED_VALUE"""),351.33)</f>
        <v>351.33</v>
      </c>
      <c r="F1994" s="9">
        <f>IFERROR(__xludf.DUMMYFUNCTION("""COMPUTED_VALUE"""),840376.0)</f>
        <v>840376</v>
      </c>
      <c r="H1994" s="27">
        <f>IFERROR(__xludf.DUMMYFUNCTION("""COMPUTED_VALUE"""),41302.645833333336)</f>
        <v>41302.64583</v>
      </c>
      <c r="I1994" s="25">
        <f>IFERROR(__xludf.DUMMYFUNCTION("""COMPUTED_VALUE"""),670.15)</f>
        <v>670.15</v>
      </c>
      <c r="J1994" s="25">
        <f>IFERROR(__xludf.DUMMYFUNCTION("""COMPUTED_VALUE"""),674.98)</f>
        <v>674.98</v>
      </c>
      <c r="K1994" s="25">
        <f>IFERROR(__xludf.DUMMYFUNCTION("""COMPUTED_VALUE"""),668.98)</f>
        <v>668.98</v>
      </c>
      <c r="L1994" s="25">
        <f>IFERROR(__xludf.DUMMYFUNCTION("""COMPUTED_VALUE"""),672.53)</f>
        <v>672.53</v>
      </c>
      <c r="M1994" s="25">
        <f>IFERROR(__xludf.DUMMYFUNCTION("""COMPUTED_VALUE"""),1214077.0)</f>
        <v>1214077</v>
      </c>
    </row>
    <row r="1995">
      <c r="A1995" s="26">
        <f>IFERROR(__xludf.DUMMYFUNCTION("""COMPUTED_VALUE"""),41303.645833333336)</f>
        <v>41303.64583</v>
      </c>
      <c r="B1995" s="9">
        <f>IFERROR(__xludf.DUMMYFUNCTION("""COMPUTED_VALUE"""),350.75)</f>
        <v>350.75</v>
      </c>
      <c r="C1995" s="9">
        <f>IFERROR(__xludf.DUMMYFUNCTION("""COMPUTED_VALUE"""),353.13)</f>
        <v>353.13</v>
      </c>
      <c r="D1995" s="9">
        <f>IFERROR(__xludf.DUMMYFUNCTION("""COMPUTED_VALUE"""),348.57)</f>
        <v>348.57</v>
      </c>
      <c r="E1995" s="9">
        <f>IFERROR(__xludf.DUMMYFUNCTION("""COMPUTED_VALUE"""),349.88)</f>
        <v>349.88</v>
      </c>
      <c r="F1995" s="9">
        <f>IFERROR(__xludf.DUMMYFUNCTION("""COMPUTED_VALUE"""),774648.0)</f>
        <v>774648</v>
      </c>
      <c r="H1995" s="27">
        <f>IFERROR(__xludf.DUMMYFUNCTION("""COMPUTED_VALUE"""),41303.645833333336)</f>
        <v>41303.64583</v>
      </c>
      <c r="I1995" s="25">
        <f>IFERROR(__xludf.DUMMYFUNCTION("""COMPUTED_VALUE"""),670.6)</f>
        <v>670.6</v>
      </c>
      <c r="J1995" s="25">
        <f>IFERROR(__xludf.DUMMYFUNCTION("""COMPUTED_VALUE"""),678.28)</f>
        <v>678.28</v>
      </c>
      <c r="K1995" s="25">
        <f>IFERROR(__xludf.DUMMYFUNCTION("""COMPUTED_VALUE"""),670.15)</f>
        <v>670.15</v>
      </c>
      <c r="L1995" s="25">
        <f>IFERROR(__xludf.DUMMYFUNCTION("""COMPUTED_VALUE"""),672.48)</f>
        <v>672.48</v>
      </c>
      <c r="M1995" s="25">
        <f>IFERROR(__xludf.DUMMYFUNCTION("""COMPUTED_VALUE"""),865902.0)</f>
        <v>865902</v>
      </c>
    </row>
    <row r="1996">
      <c r="A1996" s="26">
        <f>IFERROR(__xludf.DUMMYFUNCTION("""COMPUTED_VALUE"""),41304.645833333336)</f>
        <v>41304.64583</v>
      </c>
      <c r="B1996" s="9">
        <f>IFERROR(__xludf.DUMMYFUNCTION("""COMPUTED_VALUE"""),350.59)</f>
        <v>350.59</v>
      </c>
      <c r="C1996" s="9">
        <f>IFERROR(__xludf.DUMMYFUNCTION("""COMPUTED_VALUE"""),350.74)</f>
        <v>350.74</v>
      </c>
      <c r="D1996" s="9">
        <f>IFERROR(__xludf.DUMMYFUNCTION("""COMPUTED_VALUE"""),347.57)</f>
        <v>347.57</v>
      </c>
      <c r="E1996" s="9">
        <f>IFERROR(__xludf.DUMMYFUNCTION("""COMPUTED_VALUE"""),348.83)</f>
        <v>348.83</v>
      </c>
      <c r="F1996" s="9">
        <f>IFERROR(__xludf.DUMMYFUNCTION("""COMPUTED_VALUE"""),850691.0)</f>
        <v>850691</v>
      </c>
      <c r="H1996" s="27">
        <f>IFERROR(__xludf.DUMMYFUNCTION("""COMPUTED_VALUE"""),41304.645833333336)</f>
        <v>41304.64583</v>
      </c>
      <c r="I1996" s="25">
        <f>IFERROR(__xludf.DUMMYFUNCTION("""COMPUTED_VALUE"""),670.5)</f>
        <v>670.5</v>
      </c>
      <c r="J1996" s="25">
        <f>IFERROR(__xludf.DUMMYFUNCTION("""COMPUTED_VALUE"""),674.93)</f>
        <v>674.93</v>
      </c>
      <c r="K1996" s="25">
        <f>IFERROR(__xludf.DUMMYFUNCTION("""COMPUTED_VALUE"""),667.9)</f>
        <v>667.9</v>
      </c>
      <c r="L1996" s="25">
        <f>IFERROR(__xludf.DUMMYFUNCTION("""COMPUTED_VALUE"""),673.08)</f>
        <v>673.08</v>
      </c>
      <c r="M1996" s="25">
        <f>IFERROR(__xludf.DUMMYFUNCTION("""COMPUTED_VALUE"""),1139572.0)</f>
        <v>1139572</v>
      </c>
    </row>
    <row r="1997">
      <c r="A1997" s="26">
        <f>IFERROR(__xludf.DUMMYFUNCTION("""COMPUTED_VALUE"""),41305.645833333336)</f>
        <v>41305.64583</v>
      </c>
      <c r="B1997" s="9">
        <f>IFERROR(__xludf.DUMMYFUNCTION("""COMPUTED_VALUE"""),349.0)</f>
        <v>349</v>
      </c>
      <c r="C1997" s="9">
        <f>IFERROR(__xludf.DUMMYFUNCTION("""COMPUTED_VALUE"""),350.89)</f>
        <v>350.89</v>
      </c>
      <c r="D1997" s="9">
        <f>IFERROR(__xludf.DUMMYFUNCTION("""COMPUTED_VALUE"""),346.25)</f>
        <v>346.25</v>
      </c>
      <c r="E1997" s="9">
        <f>IFERROR(__xludf.DUMMYFUNCTION("""COMPUTED_VALUE"""),348.69)</f>
        <v>348.69</v>
      </c>
      <c r="F1997" s="9">
        <f>IFERROR(__xludf.DUMMYFUNCTION("""COMPUTED_VALUE"""),2185055.0)</f>
        <v>2185055</v>
      </c>
      <c r="H1997" s="27">
        <f>IFERROR(__xludf.DUMMYFUNCTION("""COMPUTED_VALUE"""),41305.645833333336)</f>
        <v>41305.64583</v>
      </c>
      <c r="I1997" s="25">
        <f>IFERROR(__xludf.DUMMYFUNCTION("""COMPUTED_VALUE"""),674.43)</f>
        <v>674.43</v>
      </c>
      <c r="J1997" s="25">
        <f>IFERROR(__xludf.DUMMYFUNCTION("""COMPUTED_VALUE"""),676.23)</f>
        <v>676.23</v>
      </c>
      <c r="K1997" s="25">
        <f>IFERROR(__xludf.DUMMYFUNCTION("""COMPUTED_VALUE"""),663.2)</f>
        <v>663.2</v>
      </c>
      <c r="L1997" s="25">
        <f>IFERROR(__xludf.DUMMYFUNCTION("""COMPUTED_VALUE"""),672.08)</f>
        <v>672.08</v>
      </c>
      <c r="M1997" s="25">
        <f>IFERROR(__xludf.DUMMYFUNCTION("""COMPUTED_VALUE"""),2156584.0)</f>
        <v>2156584</v>
      </c>
    </row>
    <row r="1998">
      <c r="A1998" s="26">
        <f>IFERROR(__xludf.DUMMYFUNCTION("""COMPUTED_VALUE"""),41306.645833333336)</f>
        <v>41306.64583</v>
      </c>
      <c r="B1998" s="9">
        <f>IFERROR(__xludf.DUMMYFUNCTION("""COMPUTED_VALUE"""),348.89)</f>
        <v>348.89</v>
      </c>
      <c r="C1998" s="9">
        <f>IFERROR(__xludf.DUMMYFUNCTION("""COMPUTED_VALUE"""),350.24)</f>
        <v>350.24</v>
      </c>
      <c r="D1998" s="9">
        <f>IFERROR(__xludf.DUMMYFUNCTION("""COMPUTED_VALUE"""),344.0)</f>
        <v>344</v>
      </c>
      <c r="E1998" s="9">
        <f>IFERROR(__xludf.DUMMYFUNCTION("""COMPUTED_VALUE"""),346.37)</f>
        <v>346.37</v>
      </c>
      <c r="F1998" s="9">
        <f>IFERROR(__xludf.DUMMYFUNCTION("""COMPUTED_VALUE"""),987456.0)</f>
        <v>987456</v>
      </c>
      <c r="H1998" s="27">
        <f>IFERROR(__xludf.DUMMYFUNCTION("""COMPUTED_VALUE"""),41306.645833333336)</f>
        <v>41306.64583</v>
      </c>
      <c r="I1998" s="25">
        <f>IFERROR(__xludf.DUMMYFUNCTION("""COMPUTED_VALUE"""),672.0)</f>
        <v>672</v>
      </c>
      <c r="J1998" s="25">
        <f>IFERROR(__xludf.DUMMYFUNCTION("""COMPUTED_VALUE"""),676.0)</f>
        <v>676</v>
      </c>
      <c r="K1998" s="25">
        <f>IFERROR(__xludf.DUMMYFUNCTION("""COMPUTED_VALUE"""),671.08)</f>
        <v>671.08</v>
      </c>
      <c r="L1998" s="25">
        <f>IFERROR(__xludf.DUMMYFUNCTION("""COMPUTED_VALUE"""),674.05)</f>
        <v>674.05</v>
      </c>
      <c r="M1998" s="25">
        <f>IFERROR(__xludf.DUMMYFUNCTION("""COMPUTED_VALUE"""),742270.0)</f>
        <v>742270</v>
      </c>
    </row>
    <row r="1999">
      <c r="A1999" s="26">
        <f>IFERROR(__xludf.DUMMYFUNCTION("""COMPUTED_VALUE"""),41309.645833333336)</f>
        <v>41309.64583</v>
      </c>
      <c r="B1999" s="9">
        <f>IFERROR(__xludf.DUMMYFUNCTION("""COMPUTED_VALUE"""),347.63)</f>
        <v>347.63</v>
      </c>
      <c r="C1999" s="9">
        <f>IFERROR(__xludf.DUMMYFUNCTION("""COMPUTED_VALUE"""),348.75)</f>
        <v>348.75</v>
      </c>
      <c r="D1999" s="9">
        <f>IFERROR(__xludf.DUMMYFUNCTION("""COMPUTED_VALUE"""),343.13)</f>
        <v>343.13</v>
      </c>
      <c r="E1999" s="9">
        <f>IFERROR(__xludf.DUMMYFUNCTION("""COMPUTED_VALUE"""),345.95)</f>
        <v>345.95</v>
      </c>
      <c r="F1999" s="9">
        <f>IFERROR(__xludf.DUMMYFUNCTION("""COMPUTED_VALUE"""),937502.0)</f>
        <v>937502</v>
      </c>
      <c r="H1999" s="27">
        <f>IFERROR(__xludf.DUMMYFUNCTION("""COMPUTED_VALUE"""),41309.645833333336)</f>
        <v>41309.64583</v>
      </c>
      <c r="I1999" s="25">
        <f>IFERROR(__xludf.DUMMYFUNCTION("""COMPUTED_VALUE"""),674.5)</f>
        <v>674.5</v>
      </c>
      <c r="J1999" s="25">
        <f>IFERROR(__xludf.DUMMYFUNCTION("""COMPUTED_VALUE"""),683.9)</f>
        <v>683.9</v>
      </c>
      <c r="K1999" s="25">
        <f>IFERROR(__xludf.DUMMYFUNCTION("""COMPUTED_VALUE"""),672.58)</f>
        <v>672.58</v>
      </c>
      <c r="L1999" s="25">
        <f>IFERROR(__xludf.DUMMYFUNCTION("""COMPUTED_VALUE"""),678.18)</f>
        <v>678.18</v>
      </c>
      <c r="M1999" s="25">
        <f>IFERROR(__xludf.DUMMYFUNCTION("""COMPUTED_VALUE"""),1243652.0)</f>
        <v>1243652</v>
      </c>
    </row>
    <row r="2000">
      <c r="A2000" s="26">
        <f>IFERROR(__xludf.DUMMYFUNCTION("""COMPUTED_VALUE"""),41310.645833333336)</f>
        <v>41310.64583</v>
      </c>
      <c r="B2000" s="9">
        <f>IFERROR(__xludf.DUMMYFUNCTION("""COMPUTED_VALUE"""),345.41)</f>
        <v>345.41</v>
      </c>
      <c r="C2000" s="9">
        <f>IFERROR(__xludf.DUMMYFUNCTION("""COMPUTED_VALUE"""),347.79)</f>
        <v>347.79</v>
      </c>
      <c r="D2000" s="9">
        <f>IFERROR(__xludf.DUMMYFUNCTION("""COMPUTED_VALUE"""),343.19)</f>
        <v>343.19</v>
      </c>
      <c r="E2000" s="9">
        <f>IFERROR(__xludf.DUMMYFUNCTION("""COMPUTED_VALUE"""),344.49)</f>
        <v>344.49</v>
      </c>
      <c r="F2000" s="9">
        <f>IFERROR(__xludf.DUMMYFUNCTION("""COMPUTED_VALUE"""),770764.0)</f>
        <v>770764</v>
      </c>
      <c r="H2000" s="27">
        <f>IFERROR(__xludf.DUMMYFUNCTION("""COMPUTED_VALUE"""),41310.645833333336)</f>
        <v>41310.64583</v>
      </c>
      <c r="I2000" s="25">
        <f>IFERROR(__xludf.DUMMYFUNCTION("""COMPUTED_VALUE"""),672.55)</f>
        <v>672.55</v>
      </c>
      <c r="J2000" s="25">
        <f>IFERROR(__xludf.DUMMYFUNCTION("""COMPUTED_VALUE"""),682.5)</f>
        <v>682.5</v>
      </c>
      <c r="K2000" s="25">
        <f>IFERROR(__xludf.DUMMYFUNCTION("""COMPUTED_VALUE"""),672.55)</f>
        <v>672.55</v>
      </c>
      <c r="L2000" s="25">
        <f>IFERROR(__xludf.DUMMYFUNCTION("""COMPUTED_VALUE"""),680.03)</f>
        <v>680.03</v>
      </c>
      <c r="M2000" s="25">
        <f>IFERROR(__xludf.DUMMYFUNCTION("""COMPUTED_VALUE"""),1080997.0)</f>
        <v>1080997</v>
      </c>
    </row>
    <row r="2001">
      <c r="A2001" s="26">
        <f>IFERROR(__xludf.DUMMYFUNCTION("""COMPUTED_VALUE"""),41311.645833333336)</f>
        <v>41311.64583</v>
      </c>
      <c r="B2001" s="9">
        <f>IFERROR(__xludf.DUMMYFUNCTION("""COMPUTED_VALUE"""),346.91)</f>
        <v>346.91</v>
      </c>
      <c r="C2001" s="9">
        <f>IFERROR(__xludf.DUMMYFUNCTION("""COMPUTED_VALUE"""),348.51)</f>
        <v>348.51</v>
      </c>
      <c r="D2001" s="9">
        <f>IFERROR(__xludf.DUMMYFUNCTION("""COMPUTED_VALUE"""),344.48)</f>
        <v>344.48</v>
      </c>
      <c r="E2001" s="9">
        <f>IFERROR(__xludf.DUMMYFUNCTION("""COMPUTED_VALUE"""),347.0)</f>
        <v>347</v>
      </c>
      <c r="F2001" s="9">
        <f>IFERROR(__xludf.DUMMYFUNCTION("""COMPUTED_VALUE"""),1137168.0)</f>
        <v>1137168</v>
      </c>
      <c r="H2001" s="27">
        <f>IFERROR(__xludf.DUMMYFUNCTION("""COMPUTED_VALUE"""),41311.645833333336)</f>
        <v>41311.64583</v>
      </c>
      <c r="I2001" s="25">
        <f>IFERROR(__xludf.DUMMYFUNCTION("""COMPUTED_VALUE"""),681.25)</f>
        <v>681.25</v>
      </c>
      <c r="J2001" s="25">
        <f>IFERROR(__xludf.DUMMYFUNCTION("""COMPUTED_VALUE"""),687.95)</f>
        <v>687.95</v>
      </c>
      <c r="K2001" s="25">
        <f>IFERROR(__xludf.DUMMYFUNCTION("""COMPUTED_VALUE"""),681.0)</f>
        <v>681</v>
      </c>
      <c r="L2001" s="25">
        <f>IFERROR(__xludf.DUMMYFUNCTION("""COMPUTED_VALUE"""),685.28)</f>
        <v>685.28</v>
      </c>
      <c r="M2001" s="25">
        <f>IFERROR(__xludf.DUMMYFUNCTION("""COMPUTED_VALUE"""),1786853.0)</f>
        <v>1786853</v>
      </c>
    </row>
    <row r="2002">
      <c r="A2002" s="26">
        <f>IFERROR(__xludf.DUMMYFUNCTION("""COMPUTED_VALUE"""),41312.645833333336)</f>
        <v>41312.64583</v>
      </c>
      <c r="B2002" s="9">
        <f>IFERROR(__xludf.DUMMYFUNCTION("""COMPUTED_VALUE"""),348.25)</f>
        <v>348.25</v>
      </c>
      <c r="C2002" s="9">
        <f>IFERROR(__xludf.DUMMYFUNCTION("""COMPUTED_VALUE"""),349.88)</f>
        <v>349.88</v>
      </c>
      <c r="D2002" s="9">
        <f>IFERROR(__xludf.DUMMYFUNCTION("""COMPUTED_VALUE"""),347.51)</f>
        <v>347.51</v>
      </c>
      <c r="E2002" s="9">
        <f>IFERROR(__xludf.DUMMYFUNCTION("""COMPUTED_VALUE"""),348.69)</f>
        <v>348.69</v>
      </c>
      <c r="F2002" s="9">
        <f>IFERROR(__xludf.DUMMYFUNCTION("""COMPUTED_VALUE"""),1338059.0)</f>
        <v>1338059</v>
      </c>
      <c r="H2002" s="27">
        <f>IFERROR(__xludf.DUMMYFUNCTION("""COMPUTED_VALUE"""),41312.645833333336)</f>
        <v>41312.64583</v>
      </c>
      <c r="I2002" s="25">
        <f>IFERROR(__xludf.DUMMYFUNCTION("""COMPUTED_VALUE"""),680.5)</f>
        <v>680.5</v>
      </c>
      <c r="J2002" s="25">
        <f>IFERROR(__xludf.DUMMYFUNCTION("""COMPUTED_VALUE"""),695.0)</f>
        <v>695</v>
      </c>
      <c r="K2002" s="25">
        <f>IFERROR(__xludf.DUMMYFUNCTION("""COMPUTED_VALUE"""),680.5)</f>
        <v>680.5</v>
      </c>
      <c r="L2002" s="25">
        <f>IFERROR(__xludf.DUMMYFUNCTION("""COMPUTED_VALUE"""),693.58)</f>
        <v>693.58</v>
      </c>
      <c r="M2002" s="25">
        <f>IFERROR(__xludf.DUMMYFUNCTION("""COMPUTED_VALUE"""),1306391.0)</f>
        <v>1306391</v>
      </c>
    </row>
    <row r="2003">
      <c r="A2003" s="26">
        <f>IFERROR(__xludf.DUMMYFUNCTION("""COMPUTED_VALUE"""),41313.645833333336)</f>
        <v>41313.64583</v>
      </c>
      <c r="B2003" s="9">
        <f>IFERROR(__xludf.DUMMYFUNCTION("""COMPUTED_VALUE"""),347.89)</f>
        <v>347.89</v>
      </c>
      <c r="C2003" s="9">
        <f>IFERROR(__xludf.DUMMYFUNCTION("""COMPUTED_VALUE"""),352.09)</f>
        <v>352.09</v>
      </c>
      <c r="D2003" s="9">
        <f>IFERROR(__xludf.DUMMYFUNCTION("""COMPUTED_VALUE"""),346.53)</f>
        <v>346.53</v>
      </c>
      <c r="E2003" s="9">
        <f>IFERROR(__xludf.DUMMYFUNCTION("""COMPUTED_VALUE"""),348.68)</f>
        <v>348.68</v>
      </c>
      <c r="F2003" s="9">
        <f>IFERROR(__xludf.DUMMYFUNCTION("""COMPUTED_VALUE"""),685337.0)</f>
        <v>685337</v>
      </c>
      <c r="H2003" s="27">
        <f>IFERROR(__xludf.DUMMYFUNCTION("""COMPUTED_VALUE"""),41313.645833333336)</f>
        <v>41313.64583</v>
      </c>
      <c r="I2003" s="25">
        <f>IFERROR(__xludf.DUMMYFUNCTION("""COMPUTED_VALUE"""),693.0)</f>
        <v>693</v>
      </c>
      <c r="J2003" s="25">
        <f>IFERROR(__xludf.DUMMYFUNCTION("""COMPUTED_VALUE"""),718.5)</f>
        <v>718.5</v>
      </c>
      <c r="K2003" s="25">
        <f>IFERROR(__xludf.DUMMYFUNCTION("""COMPUTED_VALUE"""),692.55)</f>
        <v>692.55</v>
      </c>
      <c r="L2003" s="25">
        <f>IFERROR(__xludf.DUMMYFUNCTION("""COMPUTED_VALUE"""),711.3)</f>
        <v>711.3</v>
      </c>
      <c r="M2003" s="25">
        <f>IFERROR(__xludf.DUMMYFUNCTION("""COMPUTED_VALUE"""),3486809.0)</f>
        <v>3486809</v>
      </c>
    </row>
    <row r="2004">
      <c r="A2004" s="26">
        <f>IFERROR(__xludf.DUMMYFUNCTION("""COMPUTED_VALUE"""),41316.645833333336)</f>
        <v>41316.64583</v>
      </c>
      <c r="B2004" s="9">
        <f>IFERROR(__xludf.DUMMYFUNCTION("""COMPUTED_VALUE"""),350.16)</f>
        <v>350.16</v>
      </c>
      <c r="C2004" s="9">
        <f>IFERROR(__xludf.DUMMYFUNCTION("""COMPUTED_VALUE"""),351.87)</f>
        <v>351.87</v>
      </c>
      <c r="D2004" s="9">
        <f>IFERROR(__xludf.DUMMYFUNCTION("""COMPUTED_VALUE"""),348.11)</f>
        <v>348.11</v>
      </c>
      <c r="E2004" s="9">
        <f>IFERROR(__xludf.DUMMYFUNCTION("""COMPUTED_VALUE"""),349.01)</f>
        <v>349.01</v>
      </c>
      <c r="F2004" s="9">
        <f>IFERROR(__xludf.DUMMYFUNCTION("""COMPUTED_VALUE"""),924349.0)</f>
        <v>924349</v>
      </c>
      <c r="H2004" s="27">
        <f>IFERROR(__xludf.DUMMYFUNCTION("""COMPUTED_VALUE"""),41316.645833333336)</f>
        <v>41316.64583</v>
      </c>
      <c r="I2004" s="25">
        <f>IFERROR(__xludf.DUMMYFUNCTION("""COMPUTED_VALUE"""),712.0)</f>
        <v>712</v>
      </c>
      <c r="J2004" s="25">
        <f>IFERROR(__xludf.DUMMYFUNCTION("""COMPUTED_VALUE"""),714.45)</f>
        <v>714.45</v>
      </c>
      <c r="K2004" s="25">
        <f>IFERROR(__xludf.DUMMYFUNCTION("""COMPUTED_VALUE"""),706.13)</f>
        <v>706.13</v>
      </c>
      <c r="L2004" s="25">
        <f>IFERROR(__xludf.DUMMYFUNCTION("""COMPUTED_VALUE"""),707.35)</f>
        <v>707.35</v>
      </c>
      <c r="M2004" s="25">
        <f>IFERROR(__xludf.DUMMYFUNCTION("""COMPUTED_VALUE"""),1156063.0)</f>
        <v>1156063</v>
      </c>
    </row>
    <row r="2005">
      <c r="A2005" s="26">
        <f>IFERROR(__xludf.DUMMYFUNCTION("""COMPUTED_VALUE"""),41317.645833333336)</f>
        <v>41317.64583</v>
      </c>
      <c r="B2005" s="9">
        <f>IFERROR(__xludf.DUMMYFUNCTION("""COMPUTED_VALUE"""),346.25)</f>
        <v>346.25</v>
      </c>
      <c r="C2005" s="9">
        <f>IFERROR(__xludf.DUMMYFUNCTION("""COMPUTED_VALUE"""),346.76)</f>
        <v>346.76</v>
      </c>
      <c r="D2005" s="9">
        <f>IFERROR(__xludf.DUMMYFUNCTION("""COMPUTED_VALUE"""),342.72)</f>
        <v>342.72</v>
      </c>
      <c r="E2005" s="9">
        <f>IFERROR(__xludf.DUMMYFUNCTION("""COMPUTED_VALUE"""),344.41)</f>
        <v>344.41</v>
      </c>
      <c r="F2005" s="9">
        <f>IFERROR(__xludf.DUMMYFUNCTION("""COMPUTED_VALUE"""),555299.0)</f>
        <v>555299</v>
      </c>
      <c r="H2005" s="27">
        <f>IFERROR(__xludf.DUMMYFUNCTION("""COMPUTED_VALUE"""),41317.645833333336)</f>
        <v>41317.64583</v>
      </c>
      <c r="I2005" s="25">
        <f>IFERROR(__xludf.DUMMYFUNCTION("""COMPUTED_VALUE"""),704.53)</f>
        <v>704.53</v>
      </c>
      <c r="J2005" s="25">
        <f>IFERROR(__xludf.DUMMYFUNCTION("""COMPUTED_VALUE"""),707.5)</f>
        <v>707.5</v>
      </c>
      <c r="K2005" s="25">
        <f>IFERROR(__xludf.DUMMYFUNCTION("""COMPUTED_VALUE"""),700.93)</f>
        <v>700.93</v>
      </c>
      <c r="L2005" s="25">
        <f>IFERROR(__xludf.DUMMYFUNCTION("""COMPUTED_VALUE"""),705.03)</f>
        <v>705.03</v>
      </c>
      <c r="M2005" s="25">
        <f>IFERROR(__xludf.DUMMYFUNCTION("""COMPUTED_VALUE"""),1112751.0)</f>
        <v>1112751</v>
      </c>
    </row>
    <row r="2006">
      <c r="A2006" s="26">
        <f>IFERROR(__xludf.DUMMYFUNCTION("""COMPUTED_VALUE"""),41318.645833333336)</f>
        <v>41318.64583</v>
      </c>
      <c r="B2006" s="9">
        <f>IFERROR(__xludf.DUMMYFUNCTION("""COMPUTED_VALUE"""),344.63)</f>
        <v>344.63</v>
      </c>
      <c r="C2006" s="9">
        <f>IFERROR(__xludf.DUMMYFUNCTION("""COMPUTED_VALUE"""),349.64)</f>
        <v>349.64</v>
      </c>
      <c r="D2006" s="9">
        <f>IFERROR(__xludf.DUMMYFUNCTION("""COMPUTED_VALUE"""),343.13)</f>
        <v>343.13</v>
      </c>
      <c r="E2006" s="9">
        <f>IFERROR(__xludf.DUMMYFUNCTION("""COMPUTED_VALUE"""),348.69)</f>
        <v>348.69</v>
      </c>
      <c r="F2006" s="9">
        <f>IFERROR(__xludf.DUMMYFUNCTION("""COMPUTED_VALUE"""),790361.0)</f>
        <v>790361</v>
      </c>
      <c r="H2006" s="27">
        <f>IFERROR(__xludf.DUMMYFUNCTION("""COMPUTED_VALUE"""),41318.645833333336)</f>
        <v>41318.64583</v>
      </c>
      <c r="I2006" s="25">
        <f>IFERROR(__xludf.DUMMYFUNCTION("""COMPUTED_VALUE"""),704.9)</f>
        <v>704.9</v>
      </c>
      <c r="J2006" s="25">
        <f>IFERROR(__xludf.DUMMYFUNCTION("""COMPUTED_VALUE"""),720.83)</f>
        <v>720.83</v>
      </c>
      <c r="K2006" s="25">
        <f>IFERROR(__xludf.DUMMYFUNCTION("""COMPUTED_VALUE"""),702.55)</f>
        <v>702.55</v>
      </c>
      <c r="L2006" s="25">
        <f>IFERROR(__xludf.DUMMYFUNCTION("""COMPUTED_VALUE"""),717.7)</f>
        <v>717.7</v>
      </c>
      <c r="M2006" s="25">
        <f>IFERROR(__xludf.DUMMYFUNCTION("""COMPUTED_VALUE"""),1911333.0)</f>
        <v>1911333</v>
      </c>
    </row>
    <row r="2007">
      <c r="A2007" s="26">
        <f>IFERROR(__xludf.DUMMYFUNCTION("""COMPUTED_VALUE"""),41319.645833333336)</f>
        <v>41319.64583</v>
      </c>
      <c r="B2007" s="9">
        <f>IFERROR(__xludf.DUMMYFUNCTION("""COMPUTED_VALUE"""),349.3)</f>
        <v>349.3</v>
      </c>
      <c r="C2007" s="9">
        <f>IFERROR(__xludf.DUMMYFUNCTION("""COMPUTED_VALUE"""),353.5)</f>
        <v>353.5</v>
      </c>
      <c r="D2007" s="9">
        <f>IFERROR(__xludf.DUMMYFUNCTION("""COMPUTED_VALUE"""),349.29)</f>
        <v>349.29</v>
      </c>
      <c r="E2007" s="9">
        <f>IFERROR(__xludf.DUMMYFUNCTION("""COMPUTED_VALUE"""),351.59)</f>
        <v>351.59</v>
      </c>
      <c r="F2007" s="9">
        <f>IFERROR(__xludf.DUMMYFUNCTION("""COMPUTED_VALUE"""),861750.0)</f>
        <v>861750</v>
      </c>
      <c r="H2007" s="27">
        <f>IFERROR(__xludf.DUMMYFUNCTION("""COMPUTED_VALUE"""),41319.645833333336)</f>
        <v>41319.64583</v>
      </c>
      <c r="I2007" s="25">
        <f>IFERROR(__xludf.DUMMYFUNCTION("""COMPUTED_VALUE"""),715.05)</f>
        <v>715.05</v>
      </c>
      <c r="J2007" s="25">
        <f>IFERROR(__xludf.DUMMYFUNCTION("""COMPUTED_VALUE"""),727.9)</f>
        <v>727.9</v>
      </c>
      <c r="K2007" s="25">
        <f>IFERROR(__xludf.DUMMYFUNCTION("""COMPUTED_VALUE"""),714.5)</f>
        <v>714.5</v>
      </c>
      <c r="L2007" s="25">
        <f>IFERROR(__xludf.DUMMYFUNCTION("""COMPUTED_VALUE"""),723.85)</f>
        <v>723.85</v>
      </c>
      <c r="M2007" s="25">
        <f>IFERROR(__xludf.DUMMYFUNCTION("""COMPUTED_VALUE"""),1473479.0)</f>
        <v>1473479</v>
      </c>
    </row>
    <row r="2008">
      <c r="A2008" s="26">
        <f>IFERROR(__xludf.DUMMYFUNCTION("""COMPUTED_VALUE"""),41320.645833333336)</f>
        <v>41320.64583</v>
      </c>
      <c r="B2008" s="9">
        <f>IFERROR(__xludf.DUMMYFUNCTION("""COMPUTED_VALUE"""),348.75)</f>
        <v>348.75</v>
      </c>
      <c r="C2008" s="9">
        <f>IFERROR(__xludf.DUMMYFUNCTION("""COMPUTED_VALUE"""),351.06)</f>
        <v>351.06</v>
      </c>
      <c r="D2008" s="9">
        <f>IFERROR(__xludf.DUMMYFUNCTION("""COMPUTED_VALUE"""),347.04)</f>
        <v>347.04</v>
      </c>
      <c r="E2008" s="9">
        <f>IFERROR(__xludf.DUMMYFUNCTION("""COMPUTED_VALUE"""),348.58)</f>
        <v>348.58</v>
      </c>
      <c r="F2008" s="9">
        <f>IFERROR(__xludf.DUMMYFUNCTION("""COMPUTED_VALUE"""),649282.0)</f>
        <v>649282</v>
      </c>
      <c r="H2008" s="27">
        <f>IFERROR(__xludf.DUMMYFUNCTION("""COMPUTED_VALUE"""),41320.645833333336)</f>
        <v>41320.64583</v>
      </c>
      <c r="I2008" s="25">
        <f>IFERROR(__xludf.DUMMYFUNCTION("""COMPUTED_VALUE"""),722.0)</f>
        <v>722</v>
      </c>
      <c r="J2008" s="25">
        <f>IFERROR(__xludf.DUMMYFUNCTION("""COMPUTED_VALUE"""),725.9)</f>
        <v>725.9</v>
      </c>
      <c r="K2008" s="25">
        <f>IFERROR(__xludf.DUMMYFUNCTION("""COMPUTED_VALUE"""),715.33)</f>
        <v>715.33</v>
      </c>
      <c r="L2008" s="25">
        <f>IFERROR(__xludf.DUMMYFUNCTION("""COMPUTED_VALUE"""),721.08)</f>
        <v>721.08</v>
      </c>
      <c r="M2008" s="25">
        <f>IFERROR(__xludf.DUMMYFUNCTION("""COMPUTED_VALUE"""),910395.0)</f>
        <v>910395</v>
      </c>
    </row>
    <row r="2009">
      <c r="A2009" s="26">
        <f>IFERROR(__xludf.DUMMYFUNCTION("""COMPUTED_VALUE"""),41323.645833333336)</f>
        <v>41323.64583</v>
      </c>
      <c r="B2009" s="9">
        <f>IFERROR(__xludf.DUMMYFUNCTION("""COMPUTED_VALUE"""),347.88)</f>
        <v>347.88</v>
      </c>
      <c r="C2009" s="9">
        <f>IFERROR(__xludf.DUMMYFUNCTION("""COMPUTED_VALUE"""),348.34)</f>
        <v>348.34</v>
      </c>
      <c r="D2009" s="9">
        <f>IFERROR(__xludf.DUMMYFUNCTION("""COMPUTED_VALUE"""),345.38)</f>
        <v>345.38</v>
      </c>
      <c r="E2009" s="9">
        <f>IFERROR(__xludf.DUMMYFUNCTION("""COMPUTED_VALUE"""),347.51)</f>
        <v>347.51</v>
      </c>
      <c r="F2009" s="9">
        <f>IFERROR(__xludf.DUMMYFUNCTION("""COMPUTED_VALUE"""),344348.0)</f>
        <v>344348</v>
      </c>
      <c r="H2009" s="27">
        <f>IFERROR(__xludf.DUMMYFUNCTION("""COMPUTED_VALUE"""),41323.645833333336)</f>
        <v>41323.64583</v>
      </c>
      <c r="I2009" s="25">
        <f>IFERROR(__xludf.DUMMYFUNCTION("""COMPUTED_VALUE"""),720.05)</f>
        <v>720.05</v>
      </c>
      <c r="J2009" s="25">
        <f>IFERROR(__xludf.DUMMYFUNCTION("""COMPUTED_VALUE"""),720.95)</f>
        <v>720.95</v>
      </c>
      <c r="K2009" s="25">
        <f>IFERROR(__xludf.DUMMYFUNCTION("""COMPUTED_VALUE"""),710.0)</f>
        <v>710</v>
      </c>
      <c r="L2009" s="25">
        <f>IFERROR(__xludf.DUMMYFUNCTION("""COMPUTED_VALUE"""),712.68)</f>
        <v>712.68</v>
      </c>
      <c r="M2009" s="25">
        <f>IFERROR(__xludf.DUMMYFUNCTION("""COMPUTED_VALUE"""),476043.0)</f>
        <v>476043</v>
      </c>
    </row>
    <row r="2010">
      <c r="A2010" s="26">
        <f>IFERROR(__xludf.DUMMYFUNCTION("""COMPUTED_VALUE"""),41324.645833333336)</f>
        <v>41324.64583</v>
      </c>
      <c r="B2010" s="9">
        <f>IFERROR(__xludf.DUMMYFUNCTION("""COMPUTED_VALUE"""),347.51)</f>
        <v>347.51</v>
      </c>
      <c r="C2010" s="9">
        <f>IFERROR(__xludf.DUMMYFUNCTION("""COMPUTED_VALUE"""),353.13)</f>
        <v>353.13</v>
      </c>
      <c r="D2010" s="9">
        <f>IFERROR(__xludf.DUMMYFUNCTION("""COMPUTED_VALUE"""),345.88)</f>
        <v>345.88</v>
      </c>
      <c r="E2010" s="9">
        <f>IFERROR(__xludf.DUMMYFUNCTION("""COMPUTED_VALUE"""),352.56)</f>
        <v>352.56</v>
      </c>
      <c r="F2010" s="9">
        <f>IFERROR(__xludf.DUMMYFUNCTION("""COMPUTED_VALUE"""),580418.0)</f>
        <v>580418</v>
      </c>
      <c r="H2010" s="27">
        <f>IFERROR(__xludf.DUMMYFUNCTION("""COMPUTED_VALUE"""),41324.645833333336)</f>
        <v>41324.64583</v>
      </c>
      <c r="I2010" s="25">
        <f>IFERROR(__xludf.DUMMYFUNCTION("""COMPUTED_VALUE"""),710.8)</f>
        <v>710.8</v>
      </c>
      <c r="J2010" s="25">
        <f>IFERROR(__xludf.DUMMYFUNCTION("""COMPUTED_VALUE"""),724.45)</f>
        <v>724.45</v>
      </c>
      <c r="K2010" s="25">
        <f>IFERROR(__xludf.DUMMYFUNCTION("""COMPUTED_VALUE"""),706.35)</f>
        <v>706.35</v>
      </c>
      <c r="L2010" s="25">
        <f>IFERROR(__xludf.DUMMYFUNCTION("""COMPUTED_VALUE"""),721.78)</f>
        <v>721.78</v>
      </c>
      <c r="M2010" s="25">
        <f>IFERROR(__xludf.DUMMYFUNCTION("""COMPUTED_VALUE"""),372147.0)</f>
        <v>372147</v>
      </c>
    </row>
    <row r="2011">
      <c r="A2011" s="26">
        <f>IFERROR(__xludf.DUMMYFUNCTION("""COMPUTED_VALUE"""),41325.645833333336)</f>
        <v>41325.64583</v>
      </c>
      <c r="B2011" s="9">
        <f>IFERROR(__xludf.DUMMYFUNCTION("""COMPUTED_VALUE"""),353.16)</f>
        <v>353.16</v>
      </c>
      <c r="C2011" s="9">
        <f>IFERROR(__xludf.DUMMYFUNCTION("""COMPUTED_VALUE"""),354.04)</f>
        <v>354.04</v>
      </c>
      <c r="D2011" s="9">
        <f>IFERROR(__xludf.DUMMYFUNCTION("""COMPUTED_VALUE"""),351.06)</f>
        <v>351.06</v>
      </c>
      <c r="E2011" s="9">
        <f>IFERROR(__xludf.DUMMYFUNCTION("""COMPUTED_VALUE"""),352.43)</f>
        <v>352.43</v>
      </c>
      <c r="F2011" s="9">
        <f>IFERROR(__xludf.DUMMYFUNCTION("""COMPUTED_VALUE"""),693153.0)</f>
        <v>693153</v>
      </c>
      <c r="H2011" s="27">
        <f>IFERROR(__xludf.DUMMYFUNCTION("""COMPUTED_VALUE"""),41325.645833333336)</f>
        <v>41325.64583</v>
      </c>
      <c r="I2011" s="25">
        <f>IFERROR(__xludf.DUMMYFUNCTION("""COMPUTED_VALUE"""),720.75)</f>
        <v>720.75</v>
      </c>
      <c r="J2011" s="25">
        <f>IFERROR(__xludf.DUMMYFUNCTION("""COMPUTED_VALUE"""),728.5)</f>
        <v>728.5</v>
      </c>
      <c r="K2011" s="25">
        <f>IFERROR(__xludf.DUMMYFUNCTION("""COMPUTED_VALUE"""),720.75)</f>
        <v>720.75</v>
      </c>
      <c r="L2011" s="25">
        <f>IFERROR(__xludf.DUMMYFUNCTION("""COMPUTED_VALUE"""),726.4)</f>
        <v>726.4</v>
      </c>
      <c r="M2011" s="25">
        <f>IFERROR(__xludf.DUMMYFUNCTION("""COMPUTED_VALUE"""),1130759.0)</f>
        <v>1130759</v>
      </c>
    </row>
    <row r="2012">
      <c r="A2012" s="26">
        <f>IFERROR(__xludf.DUMMYFUNCTION("""COMPUTED_VALUE"""),41326.645833333336)</f>
        <v>41326.64583</v>
      </c>
      <c r="B2012" s="9">
        <f>IFERROR(__xludf.DUMMYFUNCTION("""COMPUTED_VALUE"""),350.2)</f>
        <v>350.2</v>
      </c>
      <c r="C2012" s="9">
        <f>IFERROR(__xludf.DUMMYFUNCTION("""COMPUTED_VALUE"""),352.49)</f>
        <v>352.49</v>
      </c>
      <c r="D2012" s="9">
        <f>IFERROR(__xludf.DUMMYFUNCTION("""COMPUTED_VALUE"""),349.14)</f>
        <v>349.14</v>
      </c>
      <c r="E2012" s="9">
        <f>IFERROR(__xludf.DUMMYFUNCTION("""COMPUTED_VALUE"""),350.98)</f>
        <v>350.98</v>
      </c>
      <c r="F2012" s="9">
        <f>IFERROR(__xludf.DUMMYFUNCTION("""COMPUTED_VALUE"""),694843.0)</f>
        <v>694843</v>
      </c>
      <c r="H2012" s="27">
        <f>IFERROR(__xludf.DUMMYFUNCTION("""COMPUTED_VALUE"""),41326.645833333336)</f>
        <v>41326.64583</v>
      </c>
      <c r="I2012" s="25">
        <f>IFERROR(__xludf.DUMMYFUNCTION("""COMPUTED_VALUE"""),720.35)</f>
        <v>720.35</v>
      </c>
      <c r="J2012" s="25">
        <f>IFERROR(__xludf.DUMMYFUNCTION("""COMPUTED_VALUE"""),728.43)</f>
        <v>728.43</v>
      </c>
      <c r="K2012" s="25">
        <f>IFERROR(__xludf.DUMMYFUNCTION("""COMPUTED_VALUE"""),720.35)</f>
        <v>720.35</v>
      </c>
      <c r="L2012" s="25">
        <f>IFERROR(__xludf.DUMMYFUNCTION("""COMPUTED_VALUE"""),725.53)</f>
        <v>725.53</v>
      </c>
      <c r="M2012" s="25">
        <f>IFERROR(__xludf.DUMMYFUNCTION("""COMPUTED_VALUE"""),1924573.0)</f>
        <v>1924573</v>
      </c>
    </row>
    <row r="2013">
      <c r="A2013" s="26">
        <f>IFERROR(__xludf.DUMMYFUNCTION("""COMPUTED_VALUE"""),41327.645833333336)</f>
        <v>41327.64583</v>
      </c>
      <c r="B2013" s="9">
        <f>IFERROR(__xludf.DUMMYFUNCTION("""COMPUTED_VALUE"""),349.84)</f>
        <v>349.84</v>
      </c>
      <c r="C2013" s="9">
        <f>IFERROR(__xludf.DUMMYFUNCTION("""COMPUTED_VALUE"""),356.88)</f>
        <v>356.88</v>
      </c>
      <c r="D2013" s="9">
        <f>IFERROR(__xludf.DUMMYFUNCTION("""COMPUTED_VALUE"""),349.64)</f>
        <v>349.64</v>
      </c>
      <c r="E2013" s="9">
        <f>IFERROR(__xludf.DUMMYFUNCTION("""COMPUTED_VALUE"""),355.07)</f>
        <v>355.07</v>
      </c>
      <c r="F2013" s="9">
        <f>IFERROR(__xludf.DUMMYFUNCTION("""COMPUTED_VALUE"""),1087942.0)</f>
        <v>1087942</v>
      </c>
      <c r="H2013" s="27">
        <f>IFERROR(__xludf.DUMMYFUNCTION("""COMPUTED_VALUE"""),41327.645833333336)</f>
        <v>41327.64583</v>
      </c>
      <c r="I2013" s="25">
        <f>IFERROR(__xludf.DUMMYFUNCTION("""COMPUTED_VALUE"""),725.0)</f>
        <v>725</v>
      </c>
      <c r="J2013" s="25">
        <f>IFERROR(__xludf.DUMMYFUNCTION("""COMPUTED_VALUE"""),732.03)</f>
        <v>732.03</v>
      </c>
      <c r="K2013" s="25">
        <f>IFERROR(__xludf.DUMMYFUNCTION("""COMPUTED_VALUE"""),721.15)</f>
        <v>721.15</v>
      </c>
      <c r="L2013" s="25">
        <f>IFERROR(__xludf.DUMMYFUNCTION("""COMPUTED_VALUE"""),727.55)</f>
        <v>727.55</v>
      </c>
      <c r="M2013" s="25">
        <f>IFERROR(__xludf.DUMMYFUNCTION("""COMPUTED_VALUE"""),655347.0)</f>
        <v>655347</v>
      </c>
    </row>
    <row r="2014">
      <c r="A2014" s="26">
        <f>IFERROR(__xludf.DUMMYFUNCTION("""COMPUTED_VALUE"""),41330.645833333336)</f>
        <v>41330.64583</v>
      </c>
      <c r="B2014" s="9">
        <f>IFERROR(__xludf.DUMMYFUNCTION("""COMPUTED_VALUE"""),358.75)</f>
        <v>358.75</v>
      </c>
      <c r="C2014" s="9">
        <f>IFERROR(__xludf.DUMMYFUNCTION("""COMPUTED_VALUE"""),365.25)</f>
        <v>365.25</v>
      </c>
      <c r="D2014" s="9">
        <f>IFERROR(__xludf.DUMMYFUNCTION("""COMPUTED_VALUE"""),358.45)</f>
        <v>358.45</v>
      </c>
      <c r="E2014" s="9">
        <f>IFERROR(__xludf.DUMMYFUNCTION("""COMPUTED_VALUE"""),364.73)</f>
        <v>364.73</v>
      </c>
      <c r="F2014" s="9">
        <f>IFERROR(__xludf.DUMMYFUNCTION("""COMPUTED_VALUE"""),1307206.0)</f>
        <v>1307206</v>
      </c>
      <c r="H2014" s="27">
        <f>IFERROR(__xludf.DUMMYFUNCTION("""COMPUTED_VALUE"""),41330.645833333336)</f>
        <v>41330.64583</v>
      </c>
      <c r="I2014" s="25">
        <f>IFERROR(__xludf.DUMMYFUNCTION("""COMPUTED_VALUE"""),726.5)</f>
        <v>726.5</v>
      </c>
      <c r="J2014" s="25">
        <f>IFERROR(__xludf.DUMMYFUNCTION("""COMPUTED_VALUE"""),737.5)</f>
        <v>737.5</v>
      </c>
      <c r="K2014" s="25">
        <f>IFERROR(__xludf.DUMMYFUNCTION("""COMPUTED_VALUE"""),725.75)</f>
        <v>725.75</v>
      </c>
      <c r="L2014" s="25">
        <f>IFERROR(__xludf.DUMMYFUNCTION("""COMPUTED_VALUE"""),736.85)</f>
        <v>736.85</v>
      </c>
      <c r="M2014" s="25">
        <f>IFERROR(__xludf.DUMMYFUNCTION("""COMPUTED_VALUE"""),865015.0)</f>
        <v>865015</v>
      </c>
    </row>
    <row r="2015">
      <c r="A2015" s="26">
        <f>IFERROR(__xludf.DUMMYFUNCTION("""COMPUTED_VALUE"""),41331.645833333336)</f>
        <v>41331.64583</v>
      </c>
      <c r="B2015" s="9">
        <f>IFERROR(__xludf.DUMMYFUNCTION("""COMPUTED_VALUE"""),364.5)</f>
        <v>364.5</v>
      </c>
      <c r="C2015" s="9">
        <f>IFERROR(__xludf.DUMMYFUNCTION("""COMPUTED_VALUE"""),371.18)</f>
        <v>371.18</v>
      </c>
      <c r="D2015" s="9">
        <f>IFERROR(__xludf.DUMMYFUNCTION("""COMPUTED_VALUE"""),364.5)</f>
        <v>364.5</v>
      </c>
      <c r="E2015" s="9">
        <f>IFERROR(__xludf.DUMMYFUNCTION("""COMPUTED_VALUE"""),369.98)</f>
        <v>369.98</v>
      </c>
      <c r="F2015" s="9">
        <f>IFERROR(__xludf.DUMMYFUNCTION("""COMPUTED_VALUE"""),1521693.0)</f>
        <v>1521693</v>
      </c>
      <c r="H2015" s="27">
        <f>IFERROR(__xludf.DUMMYFUNCTION("""COMPUTED_VALUE"""),41331.645833333336)</f>
        <v>41331.64583</v>
      </c>
      <c r="I2015" s="25">
        <f>IFERROR(__xludf.DUMMYFUNCTION("""COMPUTED_VALUE"""),733.5)</f>
        <v>733.5</v>
      </c>
      <c r="J2015" s="25">
        <f>IFERROR(__xludf.DUMMYFUNCTION("""COMPUTED_VALUE"""),749.98)</f>
        <v>749.98</v>
      </c>
      <c r="K2015" s="25">
        <f>IFERROR(__xludf.DUMMYFUNCTION("""COMPUTED_VALUE"""),733.0)</f>
        <v>733</v>
      </c>
      <c r="L2015" s="25">
        <f>IFERROR(__xludf.DUMMYFUNCTION("""COMPUTED_VALUE"""),748.2)</f>
        <v>748.2</v>
      </c>
      <c r="M2015" s="25">
        <f>IFERROR(__xludf.DUMMYFUNCTION("""COMPUTED_VALUE"""),1426835.0)</f>
        <v>1426835</v>
      </c>
    </row>
    <row r="2016">
      <c r="A2016" s="26">
        <f>IFERROR(__xludf.DUMMYFUNCTION("""COMPUTED_VALUE"""),41332.645833333336)</f>
        <v>41332.64583</v>
      </c>
      <c r="B2016" s="9">
        <f>IFERROR(__xludf.DUMMYFUNCTION("""COMPUTED_VALUE"""),368.5)</f>
        <v>368.5</v>
      </c>
      <c r="C2016" s="9">
        <f>IFERROR(__xludf.DUMMYFUNCTION("""COMPUTED_VALUE"""),368.5)</f>
        <v>368.5</v>
      </c>
      <c r="D2016" s="9">
        <f>IFERROR(__xludf.DUMMYFUNCTION("""COMPUTED_VALUE"""),362.76)</f>
        <v>362.76</v>
      </c>
      <c r="E2016" s="9">
        <f>IFERROR(__xludf.DUMMYFUNCTION("""COMPUTED_VALUE"""),363.82)</f>
        <v>363.82</v>
      </c>
      <c r="F2016" s="9">
        <f>IFERROR(__xludf.DUMMYFUNCTION("""COMPUTED_VALUE"""),878720.0)</f>
        <v>878720</v>
      </c>
      <c r="H2016" s="27">
        <f>IFERROR(__xludf.DUMMYFUNCTION("""COMPUTED_VALUE"""),41332.645833333336)</f>
        <v>41332.64583</v>
      </c>
      <c r="I2016" s="25">
        <f>IFERROR(__xludf.DUMMYFUNCTION("""COMPUTED_VALUE"""),747.63)</f>
        <v>747.63</v>
      </c>
      <c r="J2016" s="25">
        <f>IFERROR(__xludf.DUMMYFUNCTION("""COMPUTED_VALUE"""),751.53)</f>
        <v>751.53</v>
      </c>
      <c r="K2016" s="25">
        <f>IFERROR(__xludf.DUMMYFUNCTION("""COMPUTED_VALUE"""),738.65)</f>
        <v>738.65</v>
      </c>
      <c r="L2016" s="25">
        <f>IFERROR(__xludf.DUMMYFUNCTION("""COMPUTED_VALUE"""),741.6)</f>
        <v>741.6</v>
      </c>
      <c r="M2016" s="25">
        <f>IFERROR(__xludf.DUMMYFUNCTION("""COMPUTED_VALUE"""),1278341.0)</f>
        <v>1278341</v>
      </c>
    </row>
    <row r="2017">
      <c r="A2017" s="26">
        <f>IFERROR(__xludf.DUMMYFUNCTION("""COMPUTED_VALUE"""),41333.645833333336)</f>
        <v>41333.64583</v>
      </c>
      <c r="B2017" s="9">
        <f>IFERROR(__xludf.DUMMYFUNCTION("""COMPUTED_VALUE"""),364.41)</f>
        <v>364.41</v>
      </c>
      <c r="C2017" s="9">
        <f>IFERROR(__xludf.DUMMYFUNCTION("""COMPUTED_VALUE"""),366.98)</f>
        <v>366.98</v>
      </c>
      <c r="D2017" s="9">
        <f>IFERROR(__xludf.DUMMYFUNCTION("""COMPUTED_VALUE"""),360.68)</f>
        <v>360.68</v>
      </c>
      <c r="E2017" s="9">
        <f>IFERROR(__xludf.DUMMYFUNCTION("""COMPUTED_VALUE"""),363.38)</f>
        <v>363.38</v>
      </c>
      <c r="F2017" s="9">
        <f>IFERROR(__xludf.DUMMYFUNCTION("""COMPUTED_VALUE"""),1476013.0)</f>
        <v>1476013</v>
      </c>
      <c r="H2017" s="27">
        <f>IFERROR(__xludf.DUMMYFUNCTION("""COMPUTED_VALUE"""),41333.645833333336)</f>
        <v>41333.64583</v>
      </c>
      <c r="I2017" s="25">
        <f>IFERROR(__xludf.DUMMYFUNCTION("""COMPUTED_VALUE"""),743.13)</f>
        <v>743.13</v>
      </c>
      <c r="J2017" s="25">
        <f>IFERROR(__xludf.DUMMYFUNCTION("""COMPUTED_VALUE"""),762.5)</f>
        <v>762.5</v>
      </c>
      <c r="K2017" s="25">
        <f>IFERROR(__xludf.DUMMYFUNCTION("""COMPUTED_VALUE"""),742.63)</f>
        <v>742.63</v>
      </c>
      <c r="L2017" s="25">
        <f>IFERROR(__xludf.DUMMYFUNCTION("""COMPUTED_VALUE"""),758.5)</f>
        <v>758.5</v>
      </c>
      <c r="M2017" s="25">
        <f>IFERROR(__xludf.DUMMYFUNCTION("""COMPUTED_VALUE"""),2299712.0)</f>
        <v>2299712</v>
      </c>
    </row>
    <row r="2018">
      <c r="A2018" s="26">
        <f>IFERROR(__xludf.DUMMYFUNCTION("""COMPUTED_VALUE"""),41334.645833333336)</f>
        <v>41334.64583</v>
      </c>
      <c r="B2018" s="9">
        <f>IFERROR(__xludf.DUMMYFUNCTION("""COMPUTED_VALUE"""),364.25)</f>
        <v>364.25</v>
      </c>
      <c r="C2018" s="9">
        <f>IFERROR(__xludf.DUMMYFUNCTION("""COMPUTED_VALUE"""),370.18)</f>
        <v>370.18</v>
      </c>
      <c r="D2018" s="9">
        <f>IFERROR(__xludf.DUMMYFUNCTION("""COMPUTED_VALUE"""),361.5)</f>
        <v>361.5</v>
      </c>
      <c r="E2018" s="9">
        <f>IFERROR(__xludf.DUMMYFUNCTION("""COMPUTED_VALUE"""),364.23)</f>
        <v>364.23</v>
      </c>
      <c r="F2018" s="9">
        <f>IFERROR(__xludf.DUMMYFUNCTION("""COMPUTED_VALUE"""),1051829.0)</f>
        <v>1051829</v>
      </c>
      <c r="H2018" s="27">
        <f>IFERROR(__xludf.DUMMYFUNCTION("""COMPUTED_VALUE"""),41334.645833333336)</f>
        <v>41334.64583</v>
      </c>
      <c r="I2018" s="25">
        <f>IFERROR(__xludf.DUMMYFUNCTION("""COMPUTED_VALUE"""),757.55)</f>
        <v>757.55</v>
      </c>
      <c r="J2018" s="25">
        <f>IFERROR(__xludf.DUMMYFUNCTION("""COMPUTED_VALUE"""),758.0)</f>
        <v>758</v>
      </c>
      <c r="K2018" s="25">
        <f>IFERROR(__xludf.DUMMYFUNCTION("""COMPUTED_VALUE"""),749.0)</f>
        <v>749</v>
      </c>
      <c r="L2018" s="25">
        <f>IFERROR(__xludf.DUMMYFUNCTION("""COMPUTED_VALUE"""),750.93)</f>
        <v>750.93</v>
      </c>
      <c r="M2018" s="25">
        <f>IFERROR(__xludf.DUMMYFUNCTION("""COMPUTED_VALUE"""),1268663.0)</f>
        <v>1268663</v>
      </c>
    </row>
    <row r="2019">
      <c r="A2019" s="26">
        <f>IFERROR(__xludf.DUMMYFUNCTION("""COMPUTED_VALUE"""),41337.645833333336)</f>
        <v>41337.64583</v>
      </c>
      <c r="B2019" s="9">
        <f>IFERROR(__xludf.DUMMYFUNCTION("""COMPUTED_VALUE"""),365.75)</f>
        <v>365.75</v>
      </c>
      <c r="C2019" s="9">
        <f>IFERROR(__xludf.DUMMYFUNCTION("""COMPUTED_VALUE"""),367.81)</f>
        <v>367.81</v>
      </c>
      <c r="D2019" s="9">
        <f>IFERROR(__xludf.DUMMYFUNCTION("""COMPUTED_VALUE"""),359.02)</f>
        <v>359.02</v>
      </c>
      <c r="E2019" s="9">
        <f>IFERROR(__xludf.DUMMYFUNCTION("""COMPUTED_VALUE"""),362.93)</f>
        <v>362.93</v>
      </c>
      <c r="F2019" s="9">
        <f>IFERROR(__xludf.DUMMYFUNCTION("""COMPUTED_VALUE"""),1263540.0)</f>
        <v>1263540</v>
      </c>
      <c r="H2019" s="27">
        <f>IFERROR(__xludf.DUMMYFUNCTION("""COMPUTED_VALUE"""),41337.645833333336)</f>
        <v>41337.64583</v>
      </c>
      <c r="I2019" s="25">
        <f>IFERROR(__xludf.DUMMYFUNCTION("""COMPUTED_VALUE"""),745.5)</f>
        <v>745.5</v>
      </c>
      <c r="J2019" s="25">
        <f>IFERROR(__xludf.DUMMYFUNCTION("""COMPUTED_VALUE"""),759.95)</f>
        <v>759.95</v>
      </c>
      <c r="K2019" s="25">
        <f>IFERROR(__xludf.DUMMYFUNCTION("""COMPUTED_VALUE"""),745.5)</f>
        <v>745.5</v>
      </c>
      <c r="L2019" s="25">
        <f>IFERROR(__xludf.DUMMYFUNCTION("""COMPUTED_VALUE"""),756.6)</f>
        <v>756.6</v>
      </c>
      <c r="M2019" s="25">
        <f>IFERROR(__xludf.DUMMYFUNCTION("""COMPUTED_VALUE"""),1568038.0)</f>
        <v>1568038</v>
      </c>
    </row>
    <row r="2020">
      <c r="A2020" s="26">
        <f>IFERROR(__xludf.DUMMYFUNCTION("""COMPUTED_VALUE"""),41338.645833333336)</f>
        <v>41338.64583</v>
      </c>
      <c r="B2020" s="9">
        <f>IFERROR(__xludf.DUMMYFUNCTION("""COMPUTED_VALUE"""),365.57)</f>
        <v>365.57</v>
      </c>
      <c r="C2020" s="9">
        <f>IFERROR(__xludf.DUMMYFUNCTION("""COMPUTED_VALUE"""),367.43)</f>
        <v>367.43</v>
      </c>
      <c r="D2020" s="9">
        <f>IFERROR(__xludf.DUMMYFUNCTION("""COMPUTED_VALUE"""),364.16)</f>
        <v>364.16</v>
      </c>
      <c r="E2020" s="9">
        <f>IFERROR(__xludf.DUMMYFUNCTION("""COMPUTED_VALUE"""),365.16)</f>
        <v>365.16</v>
      </c>
      <c r="F2020" s="9">
        <f>IFERROR(__xludf.DUMMYFUNCTION("""COMPUTED_VALUE"""),896493.0)</f>
        <v>896493</v>
      </c>
      <c r="H2020" s="27">
        <f>IFERROR(__xludf.DUMMYFUNCTION("""COMPUTED_VALUE"""),41338.645833333336)</f>
        <v>41338.64583</v>
      </c>
      <c r="I2020" s="25">
        <f>IFERROR(__xludf.DUMMYFUNCTION("""COMPUTED_VALUE"""),758.5)</f>
        <v>758.5</v>
      </c>
      <c r="J2020" s="25">
        <f>IFERROR(__xludf.DUMMYFUNCTION("""COMPUTED_VALUE"""),771.5)</f>
        <v>771.5</v>
      </c>
      <c r="K2020" s="25">
        <f>IFERROR(__xludf.DUMMYFUNCTION("""COMPUTED_VALUE"""),754.3)</f>
        <v>754.3</v>
      </c>
      <c r="L2020" s="25">
        <f>IFERROR(__xludf.DUMMYFUNCTION("""COMPUTED_VALUE"""),770.08)</f>
        <v>770.08</v>
      </c>
      <c r="M2020" s="25">
        <f>IFERROR(__xludf.DUMMYFUNCTION("""COMPUTED_VALUE"""),1720027.0)</f>
        <v>1720027</v>
      </c>
    </row>
    <row r="2021">
      <c r="A2021" s="26">
        <f>IFERROR(__xludf.DUMMYFUNCTION("""COMPUTED_VALUE"""),41339.645833333336)</f>
        <v>41339.64583</v>
      </c>
      <c r="B2021" s="9">
        <f>IFERROR(__xludf.DUMMYFUNCTION("""COMPUTED_VALUE"""),368.38)</f>
        <v>368.38</v>
      </c>
      <c r="C2021" s="9">
        <f>IFERROR(__xludf.DUMMYFUNCTION("""COMPUTED_VALUE"""),372.09)</f>
        <v>372.09</v>
      </c>
      <c r="D2021" s="9">
        <f>IFERROR(__xludf.DUMMYFUNCTION("""COMPUTED_VALUE"""),365.78)</f>
        <v>365.78</v>
      </c>
      <c r="E2021" s="9">
        <f>IFERROR(__xludf.DUMMYFUNCTION("""COMPUTED_VALUE"""),371.26)</f>
        <v>371.26</v>
      </c>
      <c r="F2021" s="9">
        <f>IFERROR(__xludf.DUMMYFUNCTION("""COMPUTED_VALUE"""),1525685.0)</f>
        <v>1525685</v>
      </c>
      <c r="H2021" s="27">
        <f>IFERROR(__xludf.DUMMYFUNCTION("""COMPUTED_VALUE"""),41339.645833333336)</f>
        <v>41339.64583</v>
      </c>
      <c r="I2021" s="25">
        <f>IFERROR(__xludf.DUMMYFUNCTION("""COMPUTED_VALUE"""),768.08)</f>
        <v>768.08</v>
      </c>
      <c r="J2021" s="25">
        <f>IFERROR(__xludf.DUMMYFUNCTION("""COMPUTED_VALUE"""),782.75)</f>
        <v>782.75</v>
      </c>
      <c r="K2021" s="25">
        <f>IFERROR(__xludf.DUMMYFUNCTION("""COMPUTED_VALUE"""),768.08)</f>
        <v>768.08</v>
      </c>
      <c r="L2021" s="25">
        <f>IFERROR(__xludf.DUMMYFUNCTION("""COMPUTED_VALUE"""),780.6)</f>
        <v>780.6</v>
      </c>
      <c r="M2021" s="25">
        <f>IFERROR(__xludf.DUMMYFUNCTION("""COMPUTED_VALUE"""),1149755.0)</f>
        <v>1149755</v>
      </c>
    </row>
    <row r="2022">
      <c r="A2022" s="26">
        <f>IFERROR(__xludf.DUMMYFUNCTION("""COMPUTED_VALUE"""),41340.645833333336)</f>
        <v>41340.64583</v>
      </c>
      <c r="B2022" s="9">
        <f>IFERROR(__xludf.DUMMYFUNCTION("""COMPUTED_VALUE"""),372.66)</f>
        <v>372.66</v>
      </c>
      <c r="C2022" s="9">
        <f>IFERROR(__xludf.DUMMYFUNCTION("""COMPUTED_VALUE"""),376.23)</f>
        <v>376.23</v>
      </c>
      <c r="D2022" s="9">
        <f>IFERROR(__xludf.DUMMYFUNCTION("""COMPUTED_VALUE"""),372.5)</f>
        <v>372.5</v>
      </c>
      <c r="E2022" s="9">
        <f>IFERROR(__xludf.DUMMYFUNCTION("""COMPUTED_VALUE"""),375.54)</f>
        <v>375.54</v>
      </c>
      <c r="F2022" s="9">
        <f>IFERROR(__xludf.DUMMYFUNCTION("""COMPUTED_VALUE"""),1714420.0)</f>
        <v>1714420</v>
      </c>
      <c r="H2022" s="27">
        <f>IFERROR(__xludf.DUMMYFUNCTION("""COMPUTED_VALUE"""),41340.645833333336)</f>
        <v>41340.64583</v>
      </c>
      <c r="I2022" s="25">
        <f>IFERROR(__xludf.DUMMYFUNCTION("""COMPUTED_VALUE"""),780.5)</f>
        <v>780.5</v>
      </c>
      <c r="J2022" s="25">
        <f>IFERROR(__xludf.DUMMYFUNCTION("""COMPUTED_VALUE"""),798.8)</f>
        <v>798.8</v>
      </c>
      <c r="K2022" s="25">
        <f>IFERROR(__xludf.DUMMYFUNCTION("""COMPUTED_VALUE"""),779.68)</f>
        <v>779.68</v>
      </c>
      <c r="L2022" s="25">
        <f>IFERROR(__xludf.DUMMYFUNCTION("""COMPUTED_VALUE"""),794.95)</f>
        <v>794.95</v>
      </c>
      <c r="M2022" s="25">
        <f>IFERROR(__xludf.DUMMYFUNCTION("""COMPUTED_VALUE"""),1954351.0)</f>
        <v>1954351</v>
      </c>
    </row>
    <row r="2023">
      <c r="A2023" s="26">
        <f>IFERROR(__xludf.DUMMYFUNCTION("""COMPUTED_VALUE"""),41341.645833333336)</f>
        <v>41341.64583</v>
      </c>
      <c r="B2023" s="9">
        <f>IFERROR(__xludf.DUMMYFUNCTION("""COMPUTED_VALUE"""),373.5)</f>
        <v>373.5</v>
      </c>
      <c r="C2023" s="9">
        <f>IFERROR(__xludf.DUMMYFUNCTION("""COMPUTED_VALUE"""),373.63)</f>
        <v>373.63</v>
      </c>
      <c r="D2023" s="9">
        <f>IFERROR(__xludf.DUMMYFUNCTION("""COMPUTED_VALUE"""),369.66)</f>
        <v>369.66</v>
      </c>
      <c r="E2023" s="9">
        <f>IFERROR(__xludf.DUMMYFUNCTION("""COMPUTED_VALUE"""),371.28)</f>
        <v>371.28</v>
      </c>
      <c r="F2023" s="9">
        <f>IFERROR(__xludf.DUMMYFUNCTION("""COMPUTED_VALUE"""),770362.0)</f>
        <v>770362</v>
      </c>
      <c r="H2023" s="27">
        <f>IFERROR(__xludf.DUMMYFUNCTION("""COMPUTED_VALUE"""),41341.645833333336)</f>
        <v>41341.64583</v>
      </c>
      <c r="I2023" s="25">
        <f>IFERROR(__xludf.DUMMYFUNCTION("""COMPUTED_VALUE"""),795.0)</f>
        <v>795</v>
      </c>
      <c r="J2023" s="25">
        <f>IFERROR(__xludf.DUMMYFUNCTION("""COMPUTED_VALUE"""),797.83)</f>
        <v>797.83</v>
      </c>
      <c r="K2023" s="25">
        <f>IFERROR(__xludf.DUMMYFUNCTION("""COMPUTED_VALUE"""),787.45)</f>
        <v>787.45</v>
      </c>
      <c r="L2023" s="25">
        <f>IFERROR(__xludf.DUMMYFUNCTION("""COMPUTED_VALUE"""),791.58)</f>
        <v>791.58</v>
      </c>
      <c r="M2023" s="25">
        <f>IFERROR(__xludf.DUMMYFUNCTION("""COMPUTED_VALUE"""),2170751.0)</f>
        <v>2170751</v>
      </c>
    </row>
    <row r="2024">
      <c r="A2024" s="26">
        <f>IFERROR(__xludf.DUMMYFUNCTION("""COMPUTED_VALUE"""),41344.645833333336)</f>
        <v>41344.64583</v>
      </c>
      <c r="B2024" s="9">
        <f>IFERROR(__xludf.DUMMYFUNCTION("""COMPUTED_VALUE"""),372.73)</f>
        <v>372.73</v>
      </c>
      <c r="C2024" s="9">
        <f>IFERROR(__xludf.DUMMYFUNCTION("""COMPUTED_VALUE"""),373.75)</f>
        <v>373.75</v>
      </c>
      <c r="D2024" s="9">
        <f>IFERROR(__xludf.DUMMYFUNCTION("""COMPUTED_VALUE"""),366.25)</f>
        <v>366.25</v>
      </c>
      <c r="E2024" s="9">
        <f>IFERROR(__xludf.DUMMYFUNCTION("""COMPUTED_VALUE"""),368.22)</f>
        <v>368.22</v>
      </c>
      <c r="F2024" s="9">
        <f>IFERROR(__xludf.DUMMYFUNCTION("""COMPUTED_VALUE"""),608270.0)</f>
        <v>608270</v>
      </c>
      <c r="H2024" s="27">
        <f>IFERROR(__xludf.DUMMYFUNCTION("""COMPUTED_VALUE"""),41344.645833333336)</f>
        <v>41344.64583</v>
      </c>
      <c r="I2024" s="25">
        <f>IFERROR(__xludf.DUMMYFUNCTION("""COMPUTED_VALUE"""),787.5)</f>
        <v>787.5</v>
      </c>
      <c r="J2024" s="25">
        <f>IFERROR(__xludf.DUMMYFUNCTION("""COMPUTED_VALUE"""),794.78)</f>
        <v>794.78</v>
      </c>
      <c r="K2024" s="25">
        <f>IFERROR(__xludf.DUMMYFUNCTION("""COMPUTED_VALUE"""),778.33)</f>
        <v>778.33</v>
      </c>
      <c r="L2024" s="25">
        <f>IFERROR(__xludf.DUMMYFUNCTION("""COMPUTED_VALUE"""),783.1)</f>
        <v>783.1</v>
      </c>
      <c r="M2024" s="25">
        <f>IFERROR(__xludf.DUMMYFUNCTION("""COMPUTED_VALUE"""),1110665.0)</f>
        <v>1110665</v>
      </c>
    </row>
    <row r="2025">
      <c r="A2025" s="26">
        <f>IFERROR(__xludf.DUMMYFUNCTION("""COMPUTED_VALUE"""),41345.645833333336)</f>
        <v>41345.64583</v>
      </c>
      <c r="B2025" s="9">
        <f>IFERROR(__xludf.DUMMYFUNCTION("""COMPUTED_VALUE"""),367.5)</f>
        <v>367.5</v>
      </c>
      <c r="C2025" s="9">
        <f>IFERROR(__xludf.DUMMYFUNCTION("""COMPUTED_VALUE"""),368.09)</f>
        <v>368.09</v>
      </c>
      <c r="D2025" s="9">
        <f>IFERROR(__xludf.DUMMYFUNCTION("""COMPUTED_VALUE"""),364.0)</f>
        <v>364</v>
      </c>
      <c r="E2025" s="9">
        <f>IFERROR(__xludf.DUMMYFUNCTION("""COMPUTED_VALUE"""),364.76)</f>
        <v>364.76</v>
      </c>
      <c r="F2025" s="9">
        <f>IFERROR(__xludf.DUMMYFUNCTION("""COMPUTED_VALUE"""),714257.0)</f>
        <v>714257</v>
      </c>
      <c r="H2025" s="27">
        <f>IFERROR(__xludf.DUMMYFUNCTION("""COMPUTED_VALUE"""),41345.645833333336)</f>
        <v>41345.64583</v>
      </c>
      <c r="I2025" s="25">
        <f>IFERROR(__xludf.DUMMYFUNCTION("""COMPUTED_VALUE"""),779.0)</f>
        <v>779</v>
      </c>
      <c r="J2025" s="25">
        <f>IFERROR(__xludf.DUMMYFUNCTION("""COMPUTED_VALUE"""),783.98)</f>
        <v>783.98</v>
      </c>
      <c r="K2025" s="25">
        <f>IFERROR(__xludf.DUMMYFUNCTION("""COMPUTED_VALUE"""),774.0)</f>
        <v>774</v>
      </c>
      <c r="L2025" s="25">
        <f>IFERROR(__xludf.DUMMYFUNCTION("""COMPUTED_VALUE"""),780.25)</f>
        <v>780.25</v>
      </c>
      <c r="M2025" s="25">
        <f>IFERROR(__xludf.DUMMYFUNCTION("""COMPUTED_VALUE"""),904726.0)</f>
        <v>904726</v>
      </c>
    </row>
    <row r="2026">
      <c r="A2026" s="26">
        <f>IFERROR(__xludf.DUMMYFUNCTION("""COMPUTED_VALUE"""),41346.645833333336)</f>
        <v>41346.64583</v>
      </c>
      <c r="B2026" s="9">
        <f>IFERROR(__xludf.DUMMYFUNCTION("""COMPUTED_VALUE"""),361.25)</f>
        <v>361.25</v>
      </c>
      <c r="C2026" s="9">
        <f>IFERROR(__xludf.DUMMYFUNCTION("""COMPUTED_VALUE"""),361.25)</f>
        <v>361.25</v>
      </c>
      <c r="D2026" s="9">
        <f>IFERROR(__xludf.DUMMYFUNCTION("""COMPUTED_VALUE"""),356.26)</f>
        <v>356.26</v>
      </c>
      <c r="E2026" s="9">
        <f>IFERROR(__xludf.DUMMYFUNCTION("""COMPUTED_VALUE"""),357.93)</f>
        <v>357.93</v>
      </c>
      <c r="F2026" s="9">
        <f>IFERROR(__xludf.DUMMYFUNCTION("""COMPUTED_VALUE"""),1341267.0)</f>
        <v>1341267</v>
      </c>
      <c r="H2026" s="27">
        <f>IFERROR(__xludf.DUMMYFUNCTION("""COMPUTED_VALUE"""),41346.645833333336)</f>
        <v>41346.64583</v>
      </c>
      <c r="I2026" s="25">
        <f>IFERROR(__xludf.DUMMYFUNCTION("""COMPUTED_VALUE"""),778.03)</f>
        <v>778.03</v>
      </c>
      <c r="J2026" s="25">
        <f>IFERROR(__xludf.DUMMYFUNCTION("""COMPUTED_VALUE"""),779.35)</f>
        <v>779.35</v>
      </c>
      <c r="K2026" s="25">
        <f>IFERROR(__xludf.DUMMYFUNCTION("""COMPUTED_VALUE"""),774.0)</f>
        <v>774</v>
      </c>
      <c r="L2026" s="25">
        <f>IFERROR(__xludf.DUMMYFUNCTION("""COMPUTED_VALUE"""),775.85)</f>
        <v>775.85</v>
      </c>
      <c r="M2026" s="25">
        <f>IFERROR(__xludf.DUMMYFUNCTION("""COMPUTED_VALUE"""),897248.0)</f>
        <v>897248</v>
      </c>
    </row>
    <row r="2027">
      <c r="A2027" s="26">
        <f>IFERROR(__xludf.DUMMYFUNCTION("""COMPUTED_VALUE"""),41347.645833333336)</f>
        <v>41347.64583</v>
      </c>
      <c r="B2027" s="9">
        <f>IFERROR(__xludf.DUMMYFUNCTION("""COMPUTED_VALUE"""),358.25)</f>
        <v>358.25</v>
      </c>
      <c r="C2027" s="9">
        <f>IFERROR(__xludf.DUMMYFUNCTION("""COMPUTED_VALUE"""),361.11)</f>
        <v>361.11</v>
      </c>
      <c r="D2027" s="9">
        <f>IFERROR(__xludf.DUMMYFUNCTION("""COMPUTED_VALUE"""),355.36)</f>
        <v>355.36</v>
      </c>
      <c r="E2027" s="9">
        <f>IFERROR(__xludf.DUMMYFUNCTION("""COMPUTED_VALUE"""),359.26)</f>
        <v>359.26</v>
      </c>
      <c r="F2027" s="9">
        <f>IFERROR(__xludf.DUMMYFUNCTION("""COMPUTED_VALUE"""),1041540.0)</f>
        <v>1041540</v>
      </c>
      <c r="H2027" s="27">
        <f>IFERROR(__xludf.DUMMYFUNCTION("""COMPUTED_VALUE"""),41347.645833333336)</f>
        <v>41347.64583</v>
      </c>
      <c r="I2027" s="25">
        <f>IFERROR(__xludf.DUMMYFUNCTION("""COMPUTED_VALUE"""),778.5)</f>
        <v>778.5</v>
      </c>
      <c r="J2027" s="25">
        <f>IFERROR(__xludf.DUMMYFUNCTION("""COMPUTED_VALUE"""),788.5)</f>
        <v>788.5</v>
      </c>
      <c r="K2027" s="25">
        <f>IFERROR(__xludf.DUMMYFUNCTION("""COMPUTED_VALUE"""),771.9)</f>
        <v>771.9</v>
      </c>
      <c r="L2027" s="25">
        <f>IFERROR(__xludf.DUMMYFUNCTION("""COMPUTED_VALUE"""),783.85)</f>
        <v>783.85</v>
      </c>
      <c r="M2027" s="25">
        <f>IFERROR(__xludf.DUMMYFUNCTION("""COMPUTED_VALUE"""),1525609.0)</f>
        <v>1525609</v>
      </c>
    </row>
    <row r="2028">
      <c r="A2028" s="26">
        <f>IFERROR(__xludf.DUMMYFUNCTION("""COMPUTED_VALUE"""),41348.645833333336)</f>
        <v>41348.64583</v>
      </c>
      <c r="B2028" s="9">
        <f>IFERROR(__xludf.DUMMYFUNCTION("""COMPUTED_VALUE"""),359.54)</f>
        <v>359.54</v>
      </c>
      <c r="C2028" s="9">
        <f>IFERROR(__xludf.DUMMYFUNCTION("""COMPUTED_VALUE"""),363.96)</f>
        <v>363.96</v>
      </c>
      <c r="D2028" s="9">
        <f>IFERROR(__xludf.DUMMYFUNCTION("""COMPUTED_VALUE"""),358.51)</f>
        <v>358.51</v>
      </c>
      <c r="E2028" s="9">
        <f>IFERROR(__xludf.DUMMYFUNCTION("""COMPUTED_VALUE"""),359.78)</f>
        <v>359.78</v>
      </c>
      <c r="F2028" s="9">
        <f>IFERROR(__xludf.DUMMYFUNCTION("""COMPUTED_VALUE"""),907599.0)</f>
        <v>907599</v>
      </c>
      <c r="H2028" s="27">
        <f>IFERROR(__xludf.DUMMYFUNCTION("""COMPUTED_VALUE"""),41348.645833333336)</f>
        <v>41348.64583</v>
      </c>
      <c r="I2028" s="25">
        <f>IFERROR(__xludf.DUMMYFUNCTION("""COMPUTED_VALUE"""),786.0)</f>
        <v>786</v>
      </c>
      <c r="J2028" s="25">
        <f>IFERROR(__xludf.DUMMYFUNCTION("""COMPUTED_VALUE"""),790.2)</f>
        <v>790.2</v>
      </c>
      <c r="K2028" s="25">
        <f>IFERROR(__xludf.DUMMYFUNCTION("""COMPUTED_VALUE"""),780.3)</f>
        <v>780.3</v>
      </c>
      <c r="L2028" s="25">
        <f>IFERROR(__xludf.DUMMYFUNCTION("""COMPUTED_VALUE"""),785.13)</f>
        <v>785.13</v>
      </c>
      <c r="M2028" s="25">
        <f>IFERROR(__xludf.DUMMYFUNCTION("""COMPUTED_VALUE"""),2106199.0)</f>
        <v>2106199</v>
      </c>
    </row>
    <row r="2029">
      <c r="A2029" s="26">
        <f>IFERROR(__xludf.DUMMYFUNCTION("""COMPUTED_VALUE"""),41351.645833333336)</f>
        <v>41351.64583</v>
      </c>
      <c r="B2029" s="9">
        <f>IFERROR(__xludf.DUMMYFUNCTION("""COMPUTED_VALUE"""),358.28)</f>
        <v>358.28</v>
      </c>
      <c r="C2029" s="9">
        <f>IFERROR(__xludf.DUMMYFUNCTION("""COMPUTED_VALUE"""),361.25)</f>
        <v>361.25</v>
      </c>
      <c r="D2029" s="9">
        <f>IFERROR(__xludf.DUMMYFUNCTION("""COMPUTED_VALUE"""),356.38)</f>
        <v>356.38</v>
      </c>
      <c r="E2029" s="9">
        <f>IFERROR(__xludf.DUMMYFUNCTION("""COMPUTED_VALUE"""),357.59)</f>
        <v>357.59</v>
      </c>
      <c r="F2029" s="9">
        <f>IFERROR(__xludf.DUMMYFUNCTION("""COMPUTED_VALUE"""),805853.0)</f>
        <v>805853</v>
      </c>
      <c r="H2029" s="27">
        <f>IFERROR(__xludf.DUMMYFUNCTION("""COMPUTED_VALUE"""),41351.645833333336)</f>
        <v>41351.64583</v>
      </c>
      <c r="I2029" s="25">
        <f>IFERROR(__xludf.DUMMYFUNCTION("""COMPUTED_VALUE"""),779.93)</f>
        <v>779.93</v>
      </c>
      <c r="J2029" s="25">
        <f>IFERROR(__xludf.DUMMYFUNCTION("""COMPUTED_VALUE"""),786.83)</f>
        <v>786.83</v>
      </c>
      <c r="K2029" s="25">
        <f>IFERROR(__xludf.DUMMYFUNCTION("""COMPUTED_VALUE"""),777.2)</f>
        <v>777.2</v>
      </c>
      <c r="L2029" s="25">
        <f>IFERROR(__xludf.DUMMYFUNCTION("""COMPUTED_VALUE"""),783.48)</f>
        <v>783.48</v>
      </c>
      <c r="M2029" s="25">
        <f>IFERROR(__xludf.DUMMYFUNCTION("""COMPUTED_VALUE"""),847494.0)</f>
        <v>847494</v>
      </c>
    </row>
    <row r="2030">
      <c r="A2030" s="26">
        <f>IFERROR(__xludf.DUMMYFUNCTION("""COMPUTED_VALUE"""),41352.645833333336)</f>
        <v>41352.64583</v>
      </c>
      <c r="B2030" s="9">
        <f>IFERROR(__xludf.DUMMYFUNCTION("""COMPUTED_VALUE"""),359.38)</f>
        <v>359.38</v>
      </c>
      <c r="C2030" s="9">
        <f>IFERROR(__xludf.DUMMYFUNCTION("""COMPUTED_VALUE"""),360.78)</f>
        <v>360.78</v>
      </c>
      <c r="D2030" s="9">
        <f>IFERROR(__xludf.DUMMYFUNCTION("""COMPUTED_VALUE"""),355.14)</f>
        <v>355.14</v>
      </c>
      <c r="E2030" s="9">
        <f>IFERROR(__xludf.DUMMYFUNCTION("""COMPUTED_VALUE"""),357.0)</f>
        <v>357</v>
      </c>
      <c r="F2030" s="9">
        <f>IFERROR(__xludf.DUMMYFUNCTION("""COMPUTED_VALUE"""),1497018.0)</f>
        <v>1497018</v>
      </c>
      <c r="H2030" s="27">
        <f>IFERROR(__xludf.DUMMYFUNCTION("""COMPUTED_VALUE"""),41352.645833333336)</f>
        <v>41352.64583</v>
      </c>
      <c r="I2030" s="25">
        <f>IFERROR(__xludf.DUMMYFUNCTION("""COMPUTED_VALUE"""),782.25)</f>
        <v>782.25</v>
      </c>
      <c r="J2030" s="25">
        <f>IFERROR(__xludf.DUMMYFUNCTION("""COMPUTED_VALUE"""),782.25)</f>
        <v>782.25</v>
      </c>
      <c r="K2030" s="25">
        <f>IFERROR(__xludf.DUMMYFUNCTION("""COMPUTED_VALUE"""),770.23)</f>
        <v>770.23</v>
      </c>
      <c r="L2030" s="25">
        <f>IFERROR(__xludf.DUMMYFUNCTION("""COMPUTED_VALUE"""),773.38)</f>
        <v>773.38</v>
      </c>
      <c r="M2030" s="25">
        <f>IFERROR(__xludf.DUMMYFUNCTION("""COMPUTED_VALUE"""),1869955.0)</f>
        <v>1869955</v>
      </c>
    </row>
    <row r="2031">
      <c r="A2031" s="26">
        <f>IFERROR(__xludf.DUMMYFUNCTION("""COMPUTED_VALUE"""),41353.645833333336)</f>
        <v>41353.64583</v>
      </c>
      <c r="B2031" s="9">
        <f>IFERROR(__xludf.DUMMYFUNCTION("""COMPUTED_VALUE"""),358.1)</f>
        <v>358.1</v>
      </c>
      <c r="C2031" s="9">
        <f>IFERROR(__xludf.DUMMYFUNCTION("""COMPUTED_VALUE"""),359.34)</f>
        <v>359.34</v>
      </c>
      <c r="D2031" s="9">
        <f>IFERROR(__xludf.DUMMYFUNCTION("""COMPUTED_VALUE"""),353.44)</f>
        <v>353.44</v>
      </c>
      <c r="E2031" s="9">
        <f>IFERROR(__xludf.DUMMYFUNCTION("""COMPUTED_VALUE"""),358.21)</f>
        <v>358.21</v>
      </c>
      <c r="F2031" s="9">
        <f>IFERROR(__xludf.DUMMYFUNCTION("""COMPUTED_VALUE"""),1124330.0)</f>
        <v>1124330</v>
      </c>
      <c r="H2031" s="27">
        <f>IFERROR(__xludf.DUMMYFUNCTION("""COMPUTED_VALUE"""),41353.645833333336)</f>
        <v>41353.64583</v>
      </c>
      <c r="I2031" s="25">
        <f>IFERROR(__xludf.DUMMYFUNCTION("""COMPUTED_VALUE"""),770.0)</f>
        <v>770</v>
      </c>
      <c r="J2031" s="25">
        <f>IFERROR(__xludf.DUMMYFUNCTION("""COMPUTED_VALUE"""),786.33)</f>
        <v>786.33</v>
      </c>
      <c r="K2031" s="25">
        <f>IFERROR(__xludf.DUMMYFUNCTION("""COMPUTED_VALUE"""),769.98)</f>
        <v>769.98</v>
      </c>
      <c r="L2031" s="25">
        <f>IFERROR(__xludf.DUMMYFUNCTION("""COMPUTED_VALUE"""),778.83)</f>
        <v>778.83</v>
      </c>
      <c r="M2031" s="25">
        <f>IFERROR(__xludf.DUMMYFUNCTION("""COMPUTED_VALUE"""),2084068.0)</f>
        <v>2084068</v>
      </c>
    </row>
    <row r="2032">
      <c r="A2032" s="26">
        <f>IFERROR(__xludf.DUMMYFUNCTION("""COMPUTED_VALUE"""),41354.645833333336)</f>
        <v>41354.64583</v>
      </c>
      <c r="B2032" s="9">
        <f>IFERROR(__xludf.DUMMYFUNCTION("""COMPUTED_VALUE"""),360.38)</f>
        <v>360.38</v>
      </c>
      <c r="C2032" s="9">
        <f>IFERROR(__xludf.DUMMYFUNCTION("""COMPUTED_VALUE"""),361.81)</f>
        <v>361.81</v>
      </c>
      <c r="D2032" s="9">
        <f>IFERROR(__xludf.DUMMYFUNCTION("""COMPUTED_VALUE"""),357.75)</f>
        <v>357.75</v>
      </c>
      <c r="E2032" s="9">
        <f>IFERROR(__xludf.DUMMYFUNCTION("""COMPUTED_VALUE"""),359.1)</f>
        <v>359.1</v>
      </c>
      <c r="F2032" s="9">
        <f>IFERROR(__xludf.DUMMYFUNCTION("""COMPUTED_VALUE"""),1242510.0)</f>
        <v>1242510</v>
      </c>
      <c r="H2032" s="27">
        <f>IFERROR(__xludf.DUMMYFUNCTION("""COMPUTED_VALUE"""),41354.645833333336)</f>
        <v>41354.64583</v>
      </c>
      <c r="I2032" s="25">
        <f>IFERROR(__xludf.DUMMYFUNCTION("""COMPUTED_VALUE"""),781.5)</f>
        <v>781.5</v>
      </c>
      <c r="J2032" s="25">
        <f>IFERROR(__xludf.DUMMYFUNCTION("""COMPUTED_VALUE"""),787.2)</f>
        <v>787.2</v>
      </c>
      <c r="K2032" s="25">
        <f>IFERROR(__xludf.DUMMYFUNCTION("""COMPUTED_VALUE"""),776.85)</f>
        <v>776.85</v>
      </c>
      <c r="L2032" s="25">
        <f>IFERROR(__xludf.DUMMYFUNCTION("""COMPUTED_VALUE"""),779.98)</f>
        <v>779.98</v>
      </c>
      <c r="M2032" s="25">
        <f>IFERROR(__xludf.DUMMYFUNCTION("""COMPUTED_VALUE"""),832302.0)</f>
        <v>832302</v>
      </c>
    </row>
    <row r="2033">
      <c r="A2033" s="26">
        <f>IFERROR(__xludf.DUMMYFUNCTION("""COMPUTED_VALUE"""),41355.645833333336)</f>
        <v>41355.64583</v>
      </c>
      <c r="B2033" s="9">
        <f>IFERROR(__xludf.DUMMYFUNCTION("""COMPUTED_VALUE"""),356.24)</f>
        <v>356.24</v>
      </c>
      <c r="C2033" s="9">
        <f>IFERROR(__xludf.DUMMYFUNCTION("""COMPUTED_VALUE"""),359.44)</f>
        <v>359.44</v>
      </c>
      <c r="D2033" s="9">
        <f>IFERROR(__xludf.DUMMYFUNCTION("""COMPUTED_VALUE"""),353.75)</f>
        <v>353.75</v>
      </c>
      <c r="E2033" s="9">
        <f>IFERROR(__xludf.DUMMYFUNCTION("""COMPUTED_VALUE"""),357.9)</f>
        <v>357.9</v>
      </c>
      <c r="F2033" s="9">
        <f>IFERROR(__xludf.DUMMYFUNCTION("""COMPUTED_VALUE"""),921286.0)</f>
        <v>921286</v>
      </c>
      <c r="H2033" s="27">
        <f>IFERROR(__xludf.DUMMYFUNCTION("""COMPUTED_VALUE"""),41355.645833333336)</f>
        <v>41355.64583</v>
      </c>
      <c r="I2033" s="25">
        <f>IFERROR(__xludf.DUMMYFUNCTION("""COMPUTED_VALUE"""),780.7)</f>
        <v>780.7</v>
      </c>
      <c r="J2033" s="25">
        <f>IFERROR(__xludf.DUMMYFUNCTION("""COMPUTED_VALUE"""),781.05)</f>
        <v>781.05</v>
      </c>
      <c r="K2033" s="25">
        <f>IFERROR(__xludf.DUMMYFUNCTION("""COMPUTED_VALUE"""),766.0)</f>
        <v>766</v>
      </c>
      <c r="L2033" s="25">
        <f>IFERROR(__xludf.DUMMYFUNCTION("""COMPUTED_VALUE"""),771.08)</f>
        <v>771.08</v>
      </c>
      <c r="M2033" s="25">
        <f>IFERROR(__xludf.DUMMYFUNCTION("""COMPUTED_VALUE"""),1357228.0)</f>
        <v>1357228</v>
      </c>
    </row>
    <row r="2034">
      <c r="A2034" s="26">
        <f>IFERROR(__xludf.DUMMYFUNCTION("""COMPUTED_VALUE"""),41358.645833333336)</f>
        <v>41358.64583</v>
      </c>
      <c r="B2034" s="9">
        <f>IFERROR(__xludf.DUMMYFUNCTION("""COMPUTED_VALUE"""),355.65)</f>
        <v>355.65</v>
      </c>
      <c r="C2034" s="9">
        <f>IFERROR(__xludf.DUMMYFUNCTION("""COMPUTED_VALUE"""),358.13)</f>
        <v>358.13</v>
      </c>
      <c r="D2034" s="9">
        <f>IFERROR(__xludf.DUMMYFUNCTION("""COMPUTED_VALUE"""),354.08)</f>
        <v>354.08</v>
      </c>
      <c r="E2034" s="9">
        <f>IFERROR(__xludf.DUMMYFUNCTION("""COMPUTED_VALUE"""),356.59)</f>
        <v>356.59</v>
      </c>
      <c r="F2034" s="9">
        <f>IFERROR(__xludf.DUMMYFUNCTION("""COMPUTED_VALUE"""),629607.0)</f>
        <v>629607</v>
      </c>
      <c r="H2034" s="27">
        <f>IFERROR(__xludf.DUMMYFUNCTION("""COMPUTED_VALUE"""),41358.645833333336)</f>
        <v>41358.64583</v>
      </c>
      <c r="I2034" s="25">
        <f>IFERROR(__xludf.DUMMYFUNCTION("""COMPUTED_VALUE"""),774.25)</f>
        <v>774.25</v>
      </c>
      <c r="J2034" s="25">
        <f>IFERROR(__xludf.DUMMYFUNCTION("""COMPUTED_VALUE"""),776.0)</f>
        <v>776</v>
      </c>
      <c r="K2034" s="25">
        <f>IFERROR(__xludf.DUMMYFUNCTION("""COMPUTED_VALUE"""),764.2)</f>
        <v>764.2</v>
      </c>
      <c r="L2034" s="25">
        <f>IFERROR(__xludf.DUMMYFUNCTION("""COMPUTED_VALUE"""),771.68)</f>
        <v>771.68</v>
      </c>
      <c r="M2034" s="25">
        <f>IFERROR(__xludf.DUMMYFUNCTION("""COMPUTED_VALUE"""),928658.0)</f>
        <v>928658</v>
      </c>
    </row>
    <row r="2035">
      <c r="A2035" s="26">
        <f>IFERROR(__xludf.DUMMYFUNCTION("""COMPUTED_VALUE"""),41359.645833333336)</f>
        <v>41359.64583</v>
      </c>
      <c r="B2035" s="9">
        <f>IFERROR(__xludf.DUMMYFUNCTION("""COMPUTED_VALUE"""),355.63)</f>
        <v>355.63</v>
      </c>
      <c r="C2035" s="9">
        <f>IFERROR(__xludf.DUMMYFUNCTION("""COMPUTED_VALUE"""),358.71)</f>
        <v>358.71</v>
      </c>
      <c r="D2035" s="9">
        <f>IFERROR(__xludf.DUMMYFUNCTION("""COMPUTED_VALUE"""),354.25)</f>
        <v>354.25</v>
      </c>
      <c r="E2035" s="9">
        <f>IFERROR(__xludf.DUMMYFUNCTION("""COMPUTED_VALUE"""),356.82)</f>
        <v>356.82</v>
      </c>
      <c r="F2035" s="9">
        <f>IFERROR(__xludf.DUMMYFUNCTION("""COMPUTED_VALUE"""),426948.0)</f>
        <v>426948</v>
      </c>
      <c r="H2035" s="27">
        <f>IFERROR(__xludf.DUMMYFUNCTION("""COMPUTED_VALUE"""),41359.645833333336)</f>
        <v>41359.64583</v>
      </c>
      <c r="I2035" s="25">
        <f>IFERROR(__xludf.DUMMYFUNCTION("""COMPUTED_VALUE"""),770.05)</f>
        <v>770.05</v>
      </c>
      <c r="J2035" s="25">
        <f>IFERROR(__xludf.DUMMYFUNCTION("""COMPUTED_VALUE"""),785.0)</f>
        <v>785</v>
      </c>
      <c r="K2035" s="25">
        <f>IFERROR(__xludf.DUMMYFUNCTION("""COMPUTED_VALUE"""),768.08)</f>
        <v>768.08</v>
      </c>
      <c r="L2035" s="25">
        <f>IFERROR(__xludf.DUMMYFUNCTION("""COMPUTED_VALUE"""),778.18)</f>
        <v>778.18</v>
      </c>
      <c r="M2035" s="25">
        <f>IFERROR(__xludf.DUMMYFUNCTION("""COMPUTED_VALUE"""),890768.0)</f>
        <v>890768</v>
      </c>
    </row>
    <row r="2036">
      <c r="A2036" s="26">
        <f>IFERROR(__xludf.DUMMYFUNCTION("""COMPUTED_VALUE"""),41361.645833333336)</f>
        <v>41361.64583</v>
      </c>
      <c r="B2036" s="9">
        <f>IFERROR(__xludf.DUMMYFUNCTION("""COMPUTED_VALUE"""),358.13)</f>
        <v>358.13</v>
      </c>
      <c r="C2036" s="9">
        <f>IFERROR(__xludf.DUMMYFUNCTION("""COMPUTED_VALUE"""),362.12)</f>
        <v>362.12</v>
      </c>
      <c r="D2036" s="9">
        <f>IFERROR(__xludf.DUMMYFUNCTION("""COMPUTED_VALUE"""),356.4)</f>
        <v>356.4</v>
      </c>
      <c r="E2036" s="9">
        <f>IFERROR(__xludf.DUMMYFUNCTION("""COMPUTED_VALUE"""),361.17)</f>
        <v>361.17</v>
      </c>
      <c r="F2036" s="9">
        <f>IFERROR(__xludf.DUMMYFUNCTION("""COMPUTED_VALUE"""),1543506.0)</f>
        <v>1543506</v>
      </c>
      <c r="H2036" s="27">
        <f>IFERROR(__xludf.DUMMYFUNCTION("""COMPUTED_VALUE"""),41361.645833333336)</f>
        <v>41361.64583</v>
      </c>
      <c r="I2036" s="25">
        <f>IFERROR(__xludf.DUMMYFUNCTION("""COMPUTED_VALUE"""),778.0)</f>
        <v>778</v>
      </c>
      <c r="J2036" s="25">
        <f>IFERROR(__xludf.DUMMYFUNCTION("""COMPUTED_VALUE"""),791.7)</f>
        <v>791.7</v>
      </c>
      <c r="K2036" s="25">
        <f>IFERROR(__xludf.DUMMYFUNCTION("""COMPUTED_VALUE"""),770.83)</f>
        <v>770.83</v>
      </c>
      <c r="L2036" s="25">
        <f>IFERROR(__xludf.DUMMYFUNCTION("""COMPUTED_VALUE"""),787.88)</f>
        <v>787.88</v>
      </c>
      <c r="M2036" s="25">
        <f>IFERROR(__xludf.DUMMYFUNCTION("""COMPUTED_VALUE"""),1532831.0)</f>
        <v>1532831</v>
      </c>
    </row>
    <row r="2037">
      <c r="A2037" s="26">
        <f>IFERROR(__xludf.DUMMYFUNCTION("""COMPUTED_VALUE"""),41365.645833333336)</f>
        <v>41365.64583</v>
      </c>
      <c r="B2037" s="9">
        <f>IFERROR(__xludf.DUMMYFUNCTION("""COMPUTED_VALUE"""),363.84)</f>
        <v>363.84</v>
      </c>
      <c r="C2037" s="9">
        <f>IFERROR(__xludf.DUMMYFUNCTION("""COMPUTED_VALUE"""),369.19)</f>
        <v>369.19</v>
      </c>
      <c r="D2037" s="9">
        <f>IFERROR(__xludf.DUMMYFUNCTION("""COMPUTED_VALUE"""),363.84)</f>
        <v>363.84</v>
      </c>
      <c r="E2037" s="9">
        <f>IFERROR(__xludf.DUMMYFUNCTION("""COMPUTED_VALUE"""),368.03)</f>
        <v>368.03</v>
      </c>
      <c r="F2037" s="9">
        <f>IFERROR(__xludf.DUMMYFUNCTION("""COMPUTED_VALUE"""),927755.0)</f>
        <v>927755</v>
      </c>
      <c r="H2037" s="27">
        <f>IFERROR(__xludf.DUMMYFUNCTION("""COMPUTED_VALUE"""),41365.645833333336)</f>
        <v>41365.64583</v>
      </c>
      <c r="I2037" s="25">
        <f>IFERROR(__xludf.DUMMYFUNCTION("""COMPUTED_VALUE"""),782.5)</f>
        <v>782.5</v>
      </c>
      <c r="J2037" s="25">
        <f>IFERROR(__xludf.DUMMYFUNCTION("""COMPUTED_VALUE"""),786.85)</f>
        <v>786.85</v>
      </c>
      <c r="K2037" s="25">
        <f>IFERROR(__xludf.DUMMYFUNCTION("""COMPUTED_VALUE"""),775.63)</f>
        <v>775.63</v>
      </c>
      <c r="L2037" s="25">
        <f>IFERROR(__xludf.DUMMYFUNCTION("""COMPUTED_VALUE"""),778.43)</f>
        <v>778.43</v>
      </c>
      <c r="M2037" s="25">
        <f>IFERROR(__xludf.DUMMYFUNCTION("""COMPUTED_VALUE"""),484406.0)</f>
        <v>484406</v>
      </c>
    </row>
    <row r="2038">
      <c r="A2038" s="26">
        <f>IFERROR(__xludf.DUMMYFUNCTION("""COMPUTED_VALUE"""),41366.645833333336)</f>
        <v>41366.64583</v>
      </c>
      <c r="B2038" s="9">
        <f>IFERROR(__xludf.DUMMYFUNCTION("""COMPUTED_VALUE"""),366.25)</f>
        <v>366.25</v>
      </c>
      <c r="C2038" s="9">
        <f>IFERROR(__xludf.DUMMYFUNCTION("""COMPUTED_VALUE"""),373.71)</f>
        <v>373.71</v>
      </c>
      <c r="D2038" s="9">
        <f>IFERROR(__xludf.DUMMYFUNCTION("""COMPUTED_VALUE"""),364.36)</f>
        <v>364.36</v>
      </c>
      <c r="E2038" s="9">
        <f>IFERROR(__xludf.DUMMYFUNCTION("""COMPUTED_VALUE"""),371.13)</f>
        <v>371.13</v>
      </c>
      <c r="F2038" s="9">
        <f>IFERROR(__xludf.DUMMYFUNCTION("""COMPUTED_VALUE"""),1215111.0)</f>
        <v>1215111</v>
      </c>
      <c r="H2038" s="27">
        <f>IFERROR(__xludf.DUMMYFUNCTION("""COMPUTED_VALUE"""),41366.645833333336)</f>
        <v>41366.64583</v>
      </c>
      <c r="I2038" s="25">
        <f>IFERROR(__xludf.DUMMYFUNCTION("""COMPUTED_VALUE"""),778.0)</f>
        <v>778</v>
      </c>
      <c r="J2038" s="25">
        <f>IFERROR(__xludf.DUMMYFUNCTION("""COMPUTED_VALUE"""),785.6)</f>
        <v>785.6</v>
      </c>
      <c r="K2038" s="25">
        <f>IFERROR(__xludf.DUMMYFUNCTION("""COMPUTED_VALUE"""),770.63)</f>
        <v>770.63</v>
      </c>
      <c r="L2038" s="25">
        <f>IFERROR(__xludf.DUMMYFUNCTION("""COMPUTED_VALUE"""),783.68)</f>
        <v>783.68</v>
      </c>
      <c r="M2038" s="25">
        <f>IFERROR(__xludf.DUMMYFUNCTION("""COMPUTED_VALUE"""),565166.0)</f>
        <v>565166</v>
      </c>
    </row>
    <row r="2039">
      <c r="A2039" s="26">
        <f>IFERROR(__xludf.DUMMYFUNCTION("""COMPUTED_VALUE"""),41367.645833333336)</f>
        <v>41367.64583</v>
      </c>
      <c r="B2039" s="9">
        <f>IFERROR(__xludf.DUMMYFUNCTION("""COMPUTED_VALUE"""),368.61)</f>
        <v>368.61</v>
      </c>
      <c r="C2039" s="9">
        <f>IFERROR(__xludf.DUMMYFUNCTION("""COMPUTED_VALUE"""),374.94)</f>
        <v>374.94</v>
      </c>
      <c r="D2039" s="9">
        <f>IFERROR(__xludf.DUMMYFUNCTION("""COMPUTED_VALUE"""),368.5)</f>
        <v>368.5</v>
      </c>
      <c r="E2039" s="9">
        <f>IFERROR(__xludf.DUMMYFUNCTION("""COMPUTED_VALUE"""),371.06)</f>
        <v>371.06</v>
      </c>
      <c r="F2039" s="9">
        <f>IFERROR(__xludf.DUMMYFUNCTION("""COMPUTED_VALUE"""),1044434.0)</f>
        <v>1044434</v>
      </c>
      <c r="H2039" s="27">
        <f>IFERROR(__xludf.DUMMYFUNCTION("""COMPUTED_VALUE"""),41367.645833333336)</f>
        <v>41367.64583</v>
      </c>
      <c r="I2039" s="25">
        <f>IFERROR(__xludf.DUMMYFUNCTION("""COMPUTED_VALUE"""),785.0)</f>
        <v>785</v>
      </c>
      <c r="J2039" s="25">
        <f>IFERROR(__xludf.DUMMYFUNCTION("""COMPUTED_VALUE"""),787.5)</f>
        <v>787.5</v>
      </c>
      <c r="K2039" s="25">
        <f>IFERROR(__xludf.DUMMYFUNCTION("""COMPUTED_VALUE"""),765.5)</f>
        <v>765.5</v>
      </c>
      <c r="L2039" s="25">
        <f>IFERROR(__xludf.DUMMYFUNCTION("""COMPUTED_VALUE"""),771.7)</f>
        <v>771.7</v>
      </c>
      <c r="M2039" s="25">
        <f>IFERROR(__xludf.DUMMYFUNCTION("""COMPUTED_VALUE"""),479966.0)</f>
        <v>479966</v>
      </c>
    </row>
    <row r="2040">
      <c r="A2040" s="26">
        <f>IFERROR(__xludf.DUMMYFUNCTION("""COMPUTED_VALUE"""),41368.645833333336)</f>
        <v>41368.64583</v>
      </c>
      <c r="B2040" s="9">
        <f>IFERROR(__xludf.DUMMYFUNCTION("""COMPUTED_VALUE"""),368.13)</f>
        <v>368.13</v>
      </c>
      <c r="C2040" s="9">
        <f>IFERROR(__xludf.DUMMYFUNCTION("""COMPUTED_VALUE"""),368.64)</f>
        <v>368.64</v>
      </c>
      <c r="D2040" s="9">
        <f>IFERROR(__xludf.DUMMYFUNCTION("""COMPUTED_VALUE"""),359.01)</f>
        <v>359.01</v>
      </c>
      <c r="E2040" s="9">
        <f>IFERROR(__xludf.DUMMYFUNCTION("""COMPUTED_VALUE"""),360.01)</f>
        <v>360.01</v>
      </c>
      <c r="F2040" s="9">
        <f>IFERROR(__xludf.DUMMYFUNCTION("""COMPUTED_VALUE"""),937495.0)</f>
        <v>937495</v>
      </c>
      <c r="H2040" s="27">
        <f>IFERROR(__xludf.DUMMYFUNCTION("""COMPUTED_VALUE"""),41368.645833333336)</f>
        <v>41368.64583</v>
      </c>
      <c r="I2040" s="25">
        <f>IFERROR(__xludf.DUMMYFUNCTION("""COMPUTED_VALUE"""),770.05)</f>
        <v>770.05</v>
      </c>
      <c r="J2040" s="25">
        <f>IFERROR(__xludf.DUMMYFUNCTION("""COMPUTED_VALUE"""),770.05)</f>
        <v>770.05</v>
      </c>
      <c r="K2040" s="25">
        <f>IFERROR(__xludf.DUMMYFUNCTION("""COMPUTED_VALUE"""),750.5)</f>
        <v>750.5</v>
      </c>
      <c r="L2040" s="25">
        <f>IFERROR(__xludf.DUMMYFUNCTION("""COMPUTED_VALUE"""),753.9)</f>
        <v>753.9</v>
      </c>
      <c r="M2040" s="25">
        <f>IFERROR(__xludf.DUMMYFUNCTION("""COMPUTED_VALUE"""),563169.0)</f>
        <v>563169</v>
      </c>
    </row>
    <row r="2041">
      <c r="A2041" s="26">
        <f>IFERROR(__xludf.DUMMYFUNCTION("""COMPUTED_VALUE"""),41369.645833333336)</f>
        <v>41369.64583</v>
      </c>
      <c r="B2041" s="9">
        <f>IFERROR(__xludf.DUMMYFUNCTION("""COMPUTED_VALUE"""),359.88)</f>
        <v>359.88</v>
      </c>
      <c r="C2041" s="9">
        <f>IFERROR(__xludf.DUMMYFUNCTION("""COMPUTED_VALUE"""),362.38)</f>
        <v>362.38</v>
      </c>
      <c r="D2041" s="9">
        <f>IFERROR(__xludf.DUMMYFUNCTION("""COMPUTED_VALUE"""),356.25)</f>
        <v>356.25</v>
      </c>
      <c r="E2041" s="9">
        <f>IFERROR(__xludf.DUMMYFUNCTION("""COMPUTED_VALUE"""),358.23)</f>
        <v>358.23</v>
      </c>
      <c r="F2041" s="9">
        <f>IFERROR(__xludf.DUMMYFUNCTION("""COMPUTED_VALUE"""),546620.0)</f>
        <v>546620</v>
      </c>
      <c r="H2041" s="27">
        <f>IFERROR(__xludf.DUMMYFUNCTION("""COMPUTED_VALUE"""),41369.645833333336)</f>
        <v>41369.64583</v>
      </c>
      <c r="I2041" s="25">
        <f>IFERROR(__xludf.DUMMYFUNCTION("""COMPUTED_VALUE"""),752.5)</f>
        <v>752.5</v>
      </c>
      <c r="J2041" s="25">
        <f>IFERROR(__xludf.DUMMYFUNCTION("""COMPUTED_VALUE"""),754.68)</f>
        <v>754.68</v>
      </c>
      <c r="K2041" s="25">
        <f>IFERROR(__xludf.DUMMYFUNCTION("""COMPUTED_VALUE"""),742.05)</f>
        <v>742.05</v>
      </c>
      <c r="L2041" s="25">
        <f>IFERROR(__xludf.DUMMYFUNCTION("""COMPUTED_VALUE"""),749.18)</f>
        <v>749.18</v>
      </c>
      <c r="M2041" s="25">
        <f>IFERROR(__xludf.DUMMYFUNCTION("""COMPUTED_VALUE"""),932624.0)</f>
        <v>932624</v>
      </c>
    </row>
    <row r="2042">
      <c r="A2042" s="26">
        <f>IFERROR(__xludf.DUMMYFUNCTION("""COMPUTED_VALUE"""),41372.645833333336)</f>
        <v>41372.64583</v>
      </c>
      <c r="B2042" s="9">
        <f>IFERROR(__xludf.DUMMYFUNCTION("""COMPUTED_VALUE"""),356.25)</f>
        <v>356.25</v>
      </c>
      <c r="C2042" s="9">
        <f>IFERROR(__xludf.DUMMYFUNCTION("""COMPUTED_VALUE"""),359.21)</f>
        <v>359.21</v>
      </c>
      <c r="D2042" s="9">
        <f>IFERROR(__xludf.DUMMYFUNCTION("""COMPUTED_VALUE"""),353.41)</f>
        <v>353.41</v>
      </c>
      <c r="E2042" s="9">
        <f>IFERROR(__xludf.DUMMYFUNCTION("""COMPUTED_VALUE"""),353.99)</f>
        <v>353.99</v>
      </c>
      <c r="F2042" s="9">
        <f>IFERROR(__xludf.DUMMYFUNCTION("""COMPUTED_VALUE"""),464545.0)</f>
        <v>464545</v>
      </c>
      <c r="H2042" s="27">
        <f>IFERROR(__xludf.DUMMYFUNCTION("""COMPUTED_VALUE"""),41372.645833333336)</f>
        <v>41372.64583</v>
      </c>
      <c r="I2042" s="25">
        <f>IFERROR(__xludf.DUMMYFUNCTION("""COMPUTED_VALUE"""),749.45)</f>
        <v>749.45</v>
      </c>
      <c r="J2042" s="25">
        <f>IFERROR(__xludf.DUMMYFUNCTION("""COMPUTED_VALUE"""),749.45)</f>
        <v>749.45</v>
      </c>
      <c r="K2042" s="25">
        <f>IFERROR(__xludf.DUMMYFUNCTION("""COMPUTED_VALUE"""),737.5)</f>
        <v>737.5</v>
      </c>
      <c r="L2042" s="25">
        <f>IFERROR(__xludf.DUMMYFUNCTION("""COMPUTED_VALUE"""),740.38)</f>
        <v>740.38</v>
      </c>
      <c r="M2042" s="25">
        <f>IFERROR(__xludf.DUMMYFUNCTION("""COMPUTED_VALUE"""),448208.0)</f>
        <v>448208</v>
      </c>
    </row>
    <row r="2043">
      <c r="A2043" s="26">
        <f>IFERROR(__xludf.DUMMYFUNCTION("""COMPUTED_VALUE"""),41373.645833333336)</f>
        <v>41373.64583</v>
      </c>
      <c r="B2043" s="9">
        <f>IFERROR(__xludf.DUMMYFUNCTION("""COMPUTED_VALUE"""),354.19)</f>
        <v>354.19</v>
      </c>
      <c r="C2043" s="9">
        <f>IFERROR(__xludf.DUMMYFUNCTION("""COMPUTED_VALUE"""),354.87)</f>
        <v>354.87</v>
      </c>
      <c r="D2043" s="9">
        <f>IFERROR(__xludf.DUMMYFUNCTION("""COMPUTED_VALUE"""),344.53)</f>
        <v>344.53</v>
      </c>
      <c r="E2043" s="9">
        <f>IFERROR(__xludf.DUMMYFUNCTION("""COMPUTED_VALUE"""),345.79)</f>
        <v>345.79</v>
      </c>
      <c r="F2043" s="9">
        <f>IFERROR(__xludf.DUMMYFUNCTION("""COMPUTED_VALUE"""),1355082.0)</f>
        <v>1355082</v>
      </c>
      <c r="H2043" s="27">
        <f>IFERROR(__xludf.DUMMYFUNCTION("""COMPUTED_VALUE"""),41373.645833333336)</f>
        <v>41373.64583</v>
      </c>
      <c r="I2043" s="25">
        <f>IFERROR(__xludf.DUMMYFUNCTION("""COMPUTED_VALUE"""),740.0)</f>
        <v>740</v>
      </c>
      <c r="J2043" s="25">
        <f>IFERROR(__xludf.DUMMYFUNCTION("""COMPUTED_VALUE"""),756.5)</f>
        <v>756.5</v>
      </c>
      <c r="K2043" s="25">
        <f>IFERROR(__xludf.DUMMYFUNCTION("""COMPUTED_VALUE"""),738.8)</f>
        <v>738.8</v>
      </c>
      <c r="L2043" s="25">
        <f>IFERROR(__xludf.DUMMYFUNCTION("""COMPUTED_VALUE"""),748.7)</f>
        <v>748.7</v>
      </c>
      <c r="M2043" s="25">
        <f>IFERROR(__xludf.DUMMYFUNCTION("""COMPUTED_VALUE"""),836177.0)</f>
        <v>836177</v>
      </c>
    </row>
    <row r="2044">
      <c r="A2044" s="26">
        <f>IFERROR(__xludf.DUMMYFUNCTION("""COMPUTED_VALUE"""),41374.645833333336)</f>
        <v>41374.64583</v>
      </c>
      <c r="B2044" s="9">
        <f>IFERROR(__xludf.DUMMYFUNCTION("""COMPUTED_VALUE"""),350.38)</f>
        <v>350.38</v>
      </c>
      <c r="C2044" s="9">
        <f>IFERROR(__xludf.DUMMYFUNCTION("""COMPUTED_VALUE"""),353.48)</f>
        <v>353.48</v>
      </c>
      <c r="D2044" s="9">
        <f>IFERROR(__xludf.DUMMYFUNCTION("""COMPUTED_VALUE"""),347.03)</f>
        <v>347.03</v>
      </c>
      <c r="E2044" s="9">
        <f>IFERROR(__xludf.DUMMYFUNCTION("""COMPUTED_VALUE"""),351.96)</f>
        <v>351.96</v>
      </c>
      <c r="F2044" s="9">
        <f>IFERROR(__xludf.DUMMYFUNCTION("""COMPUTED_VALUE"""),818952.0)</f>
        <v>818952</v>
      </c>
      <c r="H2044" s="27">
        <f>IFERROR(__xludf.DUMMYFUNCTION("""COMPUTED_VALUE"""),41374.645833333336)</f>
        <v>41374.64583</v>
      </c>
      <c r="I2044" s="25">
        <f>IFERROR(__xludf.DUMMYFUNCTION("""COMPUTED_VALUE"""),754.95)</f>
        <v>754.95</v>
      </c>
      <c r="J2044" s="25">
        <f>IFERROR(__xludf.DUMMYFUNCTION("""COMPUTED_VALUE"""),769.45)</f>
        <v>769.45</v>
      </c>
      <c r="K2044" s="25">
        <f>IFERROR(__xludf.DUMMYFUNCTION("""COMPUTED_VALUE"""),750.5)</f>
        <v>750.5</v>
      </c>
      <c r="L2044" s="25">
        <f>IFERROR(__xludf.DUMMYFUNCTION("""COMPUTED_VALUE"""),765.23)</f>
        <v>765.23</v>
      </c>
      <c r="M2044" s="25">
        <f>IFERROR(__xludf.DUMMYFUNCTION("""COMPUTED_VALUE"""),1023142.0)</f>
        <v>1023142</v>
      </c>
    </row>
    <row r="2045">
      <c r="A2045" s="26">
        <f>IFERROR(__xludf.DUMMYFUNCTION("""COMPUTED_VALUE"""),41375.645833333336)</f>
        <v>41375.64583</v>
      </c>
      <c r="B2045" s="9">
        <f>IFERROR(__xludf.DUMMYFUNCTION("""COMPUTED_VALUE"""),358.31)</f>
        <v>358.31</v>
      </c>
      <c r="C2045" s="9">
        <f>IFERROR(__xludf.DUMMYFUNCTION("""COMPUTED_VALUE"""),366.95)</f>
        <v>366.95</v>
      </c>
      <c r="D2045" s="9">
        <f>IFERROR(__xludf.DUMMYFUNCTION("""COMPUTED_VALUE"""),354.36)</f>
        <v>354.36</v>
      </c>
      <c r="E2045" s="9">
        <f>IFERROR(__xludf.DUMMYFUNCTION("""COMPUTED_VALUE"""),364.59)</f>
        <v>364.59</v>
      </c>
      <c r="F2045" s="9">
        <f>IFERROR(__xludf.DUMMYFUNCTION("""COMPUTED_VALUE"""),2127334.0)</f>
        <v>2127334</v>
      </c>
      <c r="H2045" s="27">
        <f>IFERROR(__xludf.DUMMYFUNCTION("""COMPUTED_VALUE"""),41375.645833333336)</f>
        <v>41375.64583</v>
      </c>
      <c r="I2045" s="25">
        <f>IFERROR(__xludf.DUMMYFUNCTION("""COMPUTED_VALUE"""),770.0)</f>
        <v>770</v>
      </c>
      <c r="J2045" s="25">
        <f>IFERROR(__xludf.DUMMYFUNCTION("""COMPUTED_VALUE"""),775.05)</f>
        <v>775.05</v>
      </c>
      <c r="K2045" s="25">
        <f>IFERROR(__xludf.DUMMYFUNCTION("""COMPUTED_VALUE"""),760.35)</f>
        <v>760.35</v>
      </c>
      <c r="L2045" s="25">
        <f>IFERROR(__xludf.DUMMYFUNCTION("""COMPUTED_VALUE"""),768.45)</f>
        <v>768.45</v>
      </c>
      <c r="M2045" s="25">
        <f>IFERROR(__xludf.DUMMYFUNCTION("""COMPUTED_VALUE"""),1122329.0)</f>
        <v>1122329</v>
      </c>
    </row>
    <row r="2046">
      <c r="A2046" s="26">
        <f>IFERROR(__xludf.DUMMYFUNCTION("""COMPUTED_VALUE"""),41376.645833333336)</f>
        <v>41376.64583</v>
      </c>
      <c r="B2046" s="9">
        <f>IFERROR(__xludf.DUMMYFUNCTION("""COMPUTED_VALUE"""),328.13)</f>
        <v>328.13</v>
      </c>
      <c r="C2046" s="9">
        <f>IFERROR(__xludf.DUMMYFUNCTION("""COMPUTED_VALUE"""),328.13)</f>
        <v>328.13</v>
      </c>
      <c r="D2046" s="9">
        <f>IFERROR(__xludf.DUMMYFUNCTION("""COMPUTED_VALUE"""),283.59)</f>
        <v>283.59</v>
      </c>
      <c r="E2046" s="9">
        <f>IFERROR(__xludf.DUMMYFUNCTION("""COMPUTED_VALUE"""),287.08)</f>
        <v>287.08</v>
      </c>
      <c r="F2046" s="9">
        <f>IFERROR(__xludf.DUMMYFUNCTION("""COMPUTED_VALUE"""),1.2253468E7)</f>
        <v>12253468</v>
      </c>
      <c r="H2046" s="27">
        <f>IFERROR(__xludf.DUMMYFUNCTION("""COMPUTED_VALUE"""),41376.645833333336)</f>
        <v>41376.64583</v>
      </c>
      <c r="I2046" s="25">
        <f>IFERROR(__xludf.DUMMYFUNCTION("""COMPUTED_VALUE"""),740.95)</f>
        <v>740.95</v>
      </c>
      <c r="J2046" s="25">
        <f>IFERROR(__xludf.DUMMYFUNCTION("""COMPUTED_VALUE"""),762.25)</f>
        <v>762.25</v>
      </c>
      <c r="K2046" s="25">
        <f>IFERROR(__xludf.DUMMYFUNCTION("""COMPUTED_VALUE"""),739.18)</f>
        <v>739.18</v>
      </c>
      <c r="L2046" s="25">
        <f>IFERROR(__xludf.DUMMYFUNCTION("""COMPUTED_VALUE"""),755.88)</f>
        <v>755.88</v>
      </c>
      <c r="M2046" s="25">
        <f>IFERROR(__xludf.DUMMYFUNCTION("""COMPUTED_VALUE"""),2516030.0)</f>
        <v>2516030</v>
      </c>
    </row>
    <row r="2047">
      <c r="A2047" s="26">
        <f>IFERROR(__xludf.DUMMYFUNCTION("""COMPUTED_VALUE"""),41379.645833333336)</f>
        <v>41379.64583</v>
      </c>
      <c r="B2047" s="9">
        <f>IFERROR(__xludf.DUMMYFUNCTION("""COMPUTED_VALUE"""),286.25)</f>
        <v>286.25</v>
      </c>
      <c r="C2047" s="9">
        <f>IFERROR(__xludf.DUMMYFUNCTION("""COMPUTED_VALUE"""),294.63)</f>
        <v>294.63</v>
      </c>
      <c r="D2047" s="9">
        <f>IFERROR(__xludf.DUMMYFUNCTION("""COMPUTED_VALUE"""),275.5)</f>
        <v>275.5</v>
      </c>
      <c r="E2047" s="9">
        <f>IFERROR(__xludf.DUMMYFUNCTION("""COMPUTED_VALUE"""),292.38)</f>
        <v>292.38</v>
      </c>
      <c r="F2047" s="9">
        <f>IFERROR(__xludf.DUMMYFUNCTION("""COMPUTED_VALUE"""),8319997.0)</f>
        <v>8319997</v>
      </c>
      <c r="H2047" s="27">
        <f>IFERROR(__xludf.DUMMYFUNCTION("""COMPUTED_VALUE"""),41379.645833333336)</f>
        <v>41379.64583</v>
      </c>
      <c r="I2047" s="25">
        <f>IFERROR(__xludf.DUMMYFUNCTION("""COMPUTED_VALUE"""),756.75)</f>
        <v>756.75</v>
      </c>
      <c r="J2047" s="25">
        <f>IFERROR(__xludf.DUMMYFUNCTION("""COMPUTED_VALUE"""),757.0)</f>
        <v>757</v>
      </c>
      <c r="K2047" s="25">
        <f>IFERROR(__xludf.DUMMYFUNCTION("""COMPUTED_VALUE"""),724.18)</f>
        <v>724.18</v>
      </c>
      <c r="L2047" s="25">
        <f>IFERROR(__xludf.DUMMYFUNCTION("""COMPUTED_VALUE"""),736.23)</f>
        <v>736.23</v>
      </c>
      <c r="M2047" s="25">
        <f>IFERROR(__xludf.DUMMYFUNCTION("""COMPUTED_VALUE"""),2695748.0)</f>
        <v>2695748</v>
      </c>
    </row>
    <row r="2048">
      <c r="A2048" s="26">
        <f>IFERROR(__xludf.DUMMYFUNCTION("""COMPUTED_VALUE"""),41380.645833333336)</f>
        <v>41380.64583</v>
      </c>
      <c r="B2048" s="9">
        <f>IFERROR(__xludf.DUMMYFUNCTION("""COMPUTED_VALUE"""),289.88)</f>
        <v>289.88</v>
      </c>
      <c r="C2048" s="9">
        <f>IFERROR(__xludf.DUMMYFUNCTION("""COMPUTED_VALUE"""),290.75)</f>
        <v>290.75</v>
      </c>
      <c r="D2048" s="9">
        <f>IFERROR(__xludf.DUMMYFUNCTION("""COMPUTED_VALUE"""),285.88)</f>
        <v>285.88</v>
      </c>
      <c r="E2048" s="9">
        <f>IFERROR(__xludf.DUMMYFUNCTION("""COMPUTED_VALUE"""),287.03)</f>
        <v>287.03</v>
      </c>
      <c r="F2048" s="9">
        <f>IFERROR(__xludf.DUMMYFUNCTION("""COMPUTED_VALUE"""),1787717.0)</f>
        <v>1787717</v>
      </c>
      <c r="H2048" s="27">
        <f>IFERROR(__xludf.DUMMYFUNCTION("""COMPUTED_VALUE"""),41380.645833333336)</f>
        <v>41380.64583</v>
      </c>
      <c r="I2048" s="25">
        <f>IFERROR(__xludf.DUMMYFUNCTION("""COMPUTED_VALUE"""),735.0)</f>
        <v>735</v>
      </c>
      <c r="J2048" s="25">
        <f>IFERROR(__xludf.DUMMYFUNCTION("""COMPUTED_VALUE"""),746.73)</f>
        <v>746.73</v>
      </c>
      <c r="K2048" s="25">
        <f>IFERROR(__xludf.DUMMYFUNCTION("""COMPUTED_VALUE"""),728.98)</f>
        <v>728.98</v>
      </c>
      <c r="L2048" s="25">
        <f>IFERROR(__xludf.DUMMYFUNCTION("""COMPUTED_VALUE"""),741.58)</f>
        <v>741.58</v>
      </c>
      <c r="M2048" s="25">
        <f>IFERROR(__xludf.DUMMYFUNCTION("""COMPUTED_VALUE"""),1535791.0)</f>
        <v>1535791</v>
      </c>
    </row>
    <row r="2049">
      <c r="A2049" s="26">
        <f>IFERROR(__xludf.DUMMYFUNCTION("""COMPUTED_VALUE"""),41381.645833333336)</f>
        <v>41381.64583</v>
      </c>
      <c r="B2049" s="9">
        <f>IFERROR(__xludf.DUMMYFUNCTION("""COMPUTED_VALUE"""),287.5)</f>
        <v>287.5</v>
      </c>
      <c r="C2049" s="9">
        <f>IFERROR(__xludf.DUMMYFUNCTION("""COMPUTED_VALUE"""),288.99)</f>
        <v>288.99</v>
      </c>
      <c r="D2049" s="9">
        <f>IFERROR(__xludf.DUMMYFUNCTION("""COMPUTED_VALUE"""),281.25)</f>
        <v>281.25</v>
      </c>
      <c r="E2049" s="9">
        <f>IFERROR(__xludf.DUMMYFUNCTION("""COMPUTED_VALUE"""),285.48)</f>
        <v>285.48</v>
      </c>
      <c r="F2049" s="9">
        <f>IFERROR(__xludf.DUMMYFUNCTION("""COMPUTED_VALUE"""),1893643.0)</f>
        <v>1893643</v>
      </c>
      <c r="H2049" s="27">
        <f>IFERROR(__xludf.DUMMYFUNCTION("""COMPUTED_VALUE"""),41381.645833333336)</f>
        <v>41381.64583</v>
      </c>
      <c r="I2049" s="25">
        <f>IFERROR(__xludf.DUMMYFUNCTION("""COMPUTED_VALUE"""),747.5)</f>
        <v>747.5</v>
      </c>
      <c r="J2049" s="25">
        <f>IFERROR(__xludf.DUMMYFUNCTION("""COMPUTED_VALUE"""),749.5)</f>
        <v>749.5</v>
      </c>
      <c r="K2049" s="25">
        <f>IFERROR(__xludf.DUMMYFUNCTION("""COMPUTED_VALUE"""),715.5)</f>
        <v>715.5</v>
      </c>
      <c r="L2049" s="25">
        <f>IFERROR(__xludf.DUMMYFUNCTION("""COMPUTED_VALUE"""),728.33)</f>
        <v>728.33</v>
      </c>
      <c r="M2049" s="25">
        <f>IFERROR(__xludf.DUMMYFUNCTION("""COMPUTED_VALUE"""),2639502.0)</f>
        <v>2639502</v>
      </c>
    </row>
    <row r="2050">
      <c r="A2050" s="26">
        <f>IFERROR(__xludf.DUMMYFUNCTION("""COMPUTED_VALUE"""),41382.645833333336)</f>
        <v>41382.64583</v>
      </c>
      <c r="B2050" s="9">
        <f>IFERROR(__xludf.DUMMYFUNCTION("""COMPUTED_VALUE"""),285.8)</f>
        <v>285.8</v>
      </c>
      <c r="C2050" s="9">
        <f>IFERROR(__xludf.DUMMYFUNCTION("""COMPUTED_VALUE"""),290.38)</f>
        <v>290.38</v>
      </c>
      <c r="D2050" s="9">
        <f>IFERROR(__xludf.DUMMYFUNCTION("""COMPUTED_VALUE"""),285.16)</f>
        <v>285.16</v>
      </c>
      <c r="E2050" s="9">
        <f>IFERROR(__xludf.DUMMYFUNCTION("""COMPUTED_VALUE"""),286.96)</f>
        <v>286.96</v>
      </c>
      <c r="F2050" s="9">
        <f>IFERROR(__xludf.DUMMYFUNCTION("""COMPUTED_VALUE"""),1653046.0)</f>
        <v>1653046</v>
      </c>
      <c r="H2050" s="27">
        <f>IFERROR(__xludf.DUMMYFUNCTION("""COMPUTED_VALUE"""),41382.645833333336)</f>
        <v>41382.64583</v>
      </c>
      <c r="I2050" s="25">
        <f>IFERROR(__xludf.DUMMYFUNCTION("""COMPUTED_VALUE"""),743.98)</f>
        <v>743.98</v>
      </c>
      <c r="J2050" s="25">
        <f>IFERROR(__xludf.DUMMYFUNCTION("""COMPUTED_VALUE"""),747.45)</f>
        <v>747.45</v>
      </c>
      <c r="K2050" s="25">
        <f>IFERROR(__xludf.DUMMYFUNCTION("""COMPUTED_VALUE"""),713.73)</f>
        <v>713.73</v>
      </c>
      <c r="L2050" s="25">
        <f>IFERROR(__xludf.DUMMYFUNCTION("""COMPUTED_VALUE"""),726.38)</f>
        <v>726.38</v>
      </c>
      <c r="M2050" s="25">
        <f>IFERROR(__xludf.DUMMYFUNCTION("""COMPUTED_VALUE"""),4277229.0)</f>
        <v>4277229</v>
      </c>
    </row>
    <row r="2051">
      <c r="A2051" s="26">
        <f>IFERROR(__xludf.DUMMYFUNCTION("""COMPUTED_VALUE"""),41386.645833333336)</f>
        <v>41386.64583</v>
      </c>
      <c r="B2051" s="9">
        <f>IFERROR(__xludf.DUMMYFUNCTION("""COMPUTED_VALUE"""),286.45)</f>
        <v>286.45</v>
      </c>
      <c r="C2051" s="9">
        <f>IFERROR(__xludf.DUMMYFUNCTION("""COMPUTED_VALUE"""),286.63)</f>
        <v>286.63</v>
      </c>
      <c r="D2051" s="9">
        <f>IFERROR(__xludf.DUMMYFUNCTION("""COMPUTED_VALUE"""),277.94)</f>
        <v>277.94</v>
      </c>
      <c r="E2051" s="9">
        <f>IFERROR(__xludf.DUMMYFUNCTION("""COMPUTED_VALUE"""),280.57)</f>
        <v>280.57</v>
      </c>
      <c r="F2051" s="9">
        <f>IFERROR(__xludf.DUMMYFUNCTION("""COMPUTED_VALUE"""),1925161.0)</f>
        <v>1925161</v>
      </c>
      <c r="H2051" s="27">
        <f>IFERROR(__xludf.DUMMYFUNCTION("""COMPUTED_VALUE"""),41386.645833333336)</f>
        <v>41386.64583</v>
      </c>
      <c r="I2051" s="25">
        <f>IFERROR(__xludf.DUMMYFUNCTION("""COMPUTED_VALUE"""),723.0)</f>
        <v>723</v>
      </c>
      <c r="J2051" s="25">
        <f>IFERROR(__xludf.DUMMYFUNCTION("""COMPUTED_VALUE"""),729.9)</f>
        <v>729.9</v>
      </c>
      <c r="K2051" s="25">
        <f>IFERROR(__xludf.DUMMYFUNCTION("""COMPUTED_VALUE"""),712.5)</f>
        <v>712.5</v>
      </c>
      <c r="L2051" s="25">
        <f>IFERROR(__xludf.DUMMYFUNCTION("""COMPUTED_VALUE"""),712.65)</f>
        <v>712.65</v>
      </c>
      <c r="M2051" s="25">
        <f>IFERROR(__xludf.DUMMYFUNCTION("""COMPUTED_VALUE"""),1481242.0)</f>
        <v>1481242</v>
      </c>
    </row>
    <row r="2052">
      <c r="A2052" s="26">
        <f>IFERROR(__xludf.DUMMYFUNCTION("""COMPUTED_VALUE"""),41387.645833333336)</f>
        <v>41387.64583</v>
      </c>
      <c r="B2052" s="9">
        <f>IFERROR(__xludf.DUMMYFUNCTION("""COMPUTED_VALUE"""),281.25)</f>
        <v>281.25</v>
      </c>
      <c r="C2052" s="9">
        <f>IFERROR(__xludf.DUMMYFUNCTION("""COMPUTED_VALUE"""),283.83)</f>
        <v>283.83</v>
      </c>
      <c r="D2052" s="9">
        <f>IFERROR(__xludf.DUMMYFUNCTION("""COMPUTED_VALUE"""),280.55)</f>
        <v>280.55</v>
      </c>
      <c r="E2052" s="9">
        <f>IFERROR(__xludf.DUMMYFUNCTION("""COMPUTED_VALUE"""),282.78)</f>
        <v>282.78</v>
      </c>
      <c r="F2052" s="9">
        <f>IFERROR(__xludf.DUMMYFUNCTION("""COMPUTED_VALUE"""),983745.0)</f>
        <v>983745</v>
      </c>
      <c r="H2052" s="27">
        <f>IFERROR(__xludf.DUMMYFUNCTION("""COMPUTED_VALUE"""),41387.645833333336)</f>
        <v>41387.64583</v>
      </c>
      <c r="I2052" s="25">
        <f>IFERROR(__xludf.DUMMYFUNCTION("""COMPUTED_VALUE"""),712.23)</f>
        <v>712.23</v>
      </c>
      <c r="J2052" s="25">
        <f>IFERROR(__xludf.DUMMYFUNCTION("""COMPUTED_VALUE"""),724.0)</f>
        <v>724</v>
      </c>
      <c r="K2052" s="25">
        <f>IFERROR(__xludf.DUMMYFUNCTION("""COMPUTED_VALUE"""),712.0)</f>
        <v>712</v>
      </c>
      <c r="L2052" s="25">
        <f>IFERROR(__xludf.DUMMYFUNCTION("""COMPUTED_VALUE"""),715.28)</f>
        <v>715.28</v>
      </c>
      <c r="M2052" s="25">
        <f>IFERROR(__xludf.DUMMYFUNCTION("""COMPUTED_VALUE"""),1692085.0)</f>
        <v>1692085</v>
      </c>
    </row>
    <row r="2053">
      <c r="A2053" s="26">
        <f>IFERROR(__xludf.DUMMYFUNCTION("""COMPUTED_VALUE"""),41389.645833333336)</f>
        <v>41389.64583</v>
      </c>
      <c r="B2053" s="9">
        <f>IFERROR(__xludf.DUMMYFUNCTION("""COMPUTED_VALUE"""),281.0)</f>
        <v>281</v>
      </c>
      <c r="C2053" s="9">
        <f>IFERROR(__xludf.DUMMYFUNCTION("""COMPUTED_VALUE"""),281.25)</f>
        <v>281.25</v>
      </c>
      <c r="D2053" s="9">
        <f>IFERROR(__xludf.DUMMYFUNCTION("""COMPUTED_VALUE"""),277.89)</f>
        <v>277.89</v>
      </c>
      <c r="E2053" s="9">
        <f>IFERROR(__xludf.DUMMYFUNCTION("""COMPUTED_VALUE"""),278.46)</f>
        <v>278.46</v>
      </c>
      <c r="F2053" s="9">
        <f>IFERROR(__xludf.DUMMYFUNCTION("""COMPUTED_VALUE"""),1720293.0)</f>
        <v>1720293</v>
      </c>
      <c r="H2053" s="27">
        <f>IFERROR(__xludf.DUMMYFUNCTION("""COMPUTED_VALUE"""),41389.645833333336)</f>
        <v>41389.64583</v>
      </c>
      <c r="I2053" s="25">
        <f>IFERROR(__xludf.DUMMYFUNCTION("""COMPUTED_VALUE"""),715.28)</f>
        <v>715.28</v>
      </c>
      <c r="J2053" s="25">
        <f>IFERROR(__xludf.DUMMYFUNCTION("""COMPUTED_VALUE"""),715.28)</f>
        <v>715.28</v>
      </c>
      <c r="K2053" s="25">
        <f>IFERROR(__xludf.DUMMYFUNCTION("""COMPUTED_VALUE"""),699.33)</f>
        <v>699.33</v>
      </c>
      <c r="L2053" s="25">
        <f>IFERROR(__xludf.DUMMYFUNCTION("""COMPUTED_VALUE"""),701.15)</f>
        <v>701.15</v>
      </c>
      <c r="M2053" s="25">
        <f>IFERROR(__xludf.DUMMYFUNCTION("""COMPUTED_VALUE"""),3964597.0)</f>
        <v>3964597</v>
      </c>
    </row>
    <row r="2054">
      <c r="A2054" s="26">
        <f>IFERROR(__xludf.DUMMYFUNCTION("""COMPUTED_VALUE"""),41390.645833333336)</f>
        <v>41390.64583</v>
      </c>
      <c r="B2054" s="9">
        <f>IFERROR(__xludf.DUMMYFUNCTION("""COMPUTED_VALUE"""),277.51)</f>
        <v>277.51</v>
      </c>
      <c r="C2054" s="9">
        <f>IFERROR(__xludf.DUMMYFUNCTION("""COMPUTED_VALUE"""),279.73)</f>
        <v>279.73</v>
      </c>
      <c r="D2054" s="9">
        <f>IFERROR(__xludf.DUMMYFUNCTION("""COMPUTED_VALUE"""),275.31)</f>
        <v>275.31</v>
      </c>
      <c r="E2054" s="9">
        <f>IFERROR(__xludf.DUMMYFUNCTION("""COMPUTED_VALUE"""),276.5)</f>
        <v>276.5</v>
      </c>
      <c r="F2054" s="9">
        <f>IFERROR(__xludf.DUMMYFUNCTION("""COMPUTED_VALUE"""),1391198.0)</f>
        <v>1391198</v>
      </c>
      <c r="H2054" s="27">
        <f>IFERROR(__xludf.DUMMYFUNCTION("""COMPUTED_VALUE"""),41390.645833333336)</f>
        <v>41390.64583</v>
      </c>
      <c r="I2054" s="25">
        <f>IFERROR(__xludf.DUMMYFUNCTION("""COMPUTED_VALUE"""),696.5)</f>
        <v>696.5</v>
      </c>
      <c r="J2054" s="25">
        <f>IFERROR(__xludf.DUMMYFUNCTION("""COMPUTED_VALUE"""),696.73)</f>
        <v>696.73</v>
      </c>
      <c r="K2054" s="25">
        <f>IFERROR(__xludf.DUMMYFUNCTION("""COMPUTED_VALUE"""),682.55)</f>
        <v>682.55</v>
      </c>
      <c r="L2054" s="25">
        <f>IFERROR(__xludf.DUMMYFUNCTION("""COMPUTED_VALUE"""),684.68)</f>
        <v>684.68</v>
      </c>
      <c r="M2054" s="25">
        <f>IFERROR(__xludf.DUMMYFUNCTION("""COMPUTED_VALUE"""),2377038.0)</f>
        <v>2377038</v>
      </c>
    </row>
    <row r="2055">
      <c r="A2055" s="26">
        <f>IFERROR(__xludf.DUMMYFUNCTION("""COMPUTED_VALUE"""),41393.645833333336)</f>
        <v>41393.64583</v>
      </c>
      <c r="B2055" s="9">
        <f>IFERROR(__xludf.DUMMYFUNCTION("""COMPUTED_VALUE"""),275.75)</f>
        <v>275.75</v>
      </c>
      <c r="C2055" s="9">
        <f>IFERROR(__xludf.DUMMYFUNCTION("""COMPUTED_VALUE"""),281.1)</f>
        <v>281.1</v>
      </c>
      <c r="D2055" s="9">
        <f>IFERROR(__xludf.DUMMYFUNCTION("""COMPUTED_VALUE"""),273.25)</f>
        <v>273.25</v>
      </c>
      <c r="E2055" s="9">
        <f>IFERROR(__xludf.DUMMYFUNCTION("""COMPUTED_VALUE"""),278.66)</f>
        <v>278.66</v>
      </c>
      <c r="F2055" s="9">
        <f>IFERROR(__xludf.DUMMYFUNCTION("""COMPUTED_VALUE"""),1120710.0)</f>
        <v>1120710</v>
      </c>
      <c r="H2055" s="27">
        <f>IFERROR(__xludf.DUMMYFUNCTION("""COMPUTED_VALUE"""),41393.645833333336)</f>
        <v>41393.64583</v>
      </c>
      <c r="I2055" s="25">
        <f>IFERROR(__xludf.DUMMYFUNCTION("""COMPUTED_VALUE"""),682.5)</f>
        <v>682.5</v>
      </c>
      <c r="J2055" s="25">
        <f>IFERROR(__xludf.DUMMYFUNCTION("""COMPUTED_VALUE"""),692.35)</f>
        <v>692.35</v>
      </c>
      <c r="K2055" s="25">
        <f>IFERROR(__xludf.DUMMYFUNCTION("""COMPUTED_VALUE"""),682.5)</f>
        <v>682.5</v>
      </c>
      <c r="L2055" s="25">
        <f>IFERROR(__xludf.DUMMYFUNCTION("""COMPUTED_VALUE"""),685.38)</f>
        <v>685.38</v>
      </c>
      <c r="M2055" s="25">
        <f>IFERROR(__xludf.DUMMYFUNCTION("""COMPUTED_VALUE"""),1984458.0)</f>
        <v>1984458</v>
      </c>
    </row>
    <row r="2056">
      <c r="A2056" s="26">
        <f>IFERROR(__xludf.DUMMYFUNCTION("""COMPUTED_VALUE"""),41394.645833333336)</f>
        <v>41394.64583</v>
      </c>
      <c r="B2056" s="9">
        <f>IFERROR(__xludf.DUMMYFUNCTION("""COMPUTED_VALUE"""),279.25)</f>
        <v>279.25</v>
      </c>
      <c r="C2056" s="9">
        <f>IFERROR(__xludf.DUMMYFUNCTION("""COMPUTED_VALUE"""),280.29)</f>
        <v>280.29</v>
      </c>
      <c r="D2056" s="9">
        <f>IFERROR(__xludf.DUMMYFUNCTION("""COMPUTED_VALUE"""),277.77)</f>
        <v>277.77</v>
      </c>
      <c r="E2056" s="9">
        <f>IFERROR(__xludf.DUMMYFUNCTION("""COMPUTED_VALUE"""),279.43)</f>
        <v>279.43</v>
      </c>
      <c r="F2056" s="9">
        <f>IFERROR(__xludf.DUMMYFUNCTION("""COMPUTED_VALUE"""),1105090.0)</f>
        <v>1105090</v>
      </c>
      <c r="H2056" s="27">
        <f>IFERROR(__xludf.DUMMYFUNCTION("""COMPUTED_VALUE"""),41394.645833333336)</f>
        <v>41394.64583</v>
      </c>
      <c r="I2056" s="25">
        <f>IFERROR(__xludf.DUMMYFUNCTION("""COMPUTED_VALUE"""),684.0)</f>
        <v>684</v>
      </c>
      <c r="J2056" s="25">
        <f>IFERROR(__xludf.DUMMYFUNCTION("""COMPUTED_VALUE"""),691.0)</f>
        <v>691</v>
      </c>
      <c r="K2056" s="25">
        <f>IFERROR(__xludf.DUMMYFUNCTION("""COMPUTED_VALUE"""),682.5)</f>
        <v>682.5</v>
      </c>
      <c r="L2056" s="25">
        <f>IFERROR(__xludf.DUMMYFUNCTION("""COMPUTED_VALUE"""),689.2)</f>
        <v>689.2</v>
      </c>
      <c r="M2056" s="25">
        <f>IFERROR(__xludf.DUMMYFUNCTION("""COMPUTED_VALUE"""),2010285.0)</f>
        <v>2010285</v>
      </c>
    </row>
    <row r="2057">
      <c r="A2057" s="26">
        <f>IFERROR(__xludf.DUMMYFUNCTION("""COMPUTED_VALUE"""),41396.645833333336)</f>
        <v>41396.64583</v>
      </c>
      <c r="B2057" s="9">
        <f>IFERROR(__xludf.DUMMYFUNCTION("""COMPUTED_VALUE"""),279.5)</f>
        <v>279.5</v>
      </c>
      <c r="C2057" s="9">
        <f>IFERROR(__xludf.DUMMYFUNCTION("""COMPUTED_VALUE"""),286.43)</f>
        <v>286.43</v>
      </c>
      <c r="D2057" s="9">
        <f>IFERROR(__xludf.DUMMYFUNCTION("""COMPUTED_VALUE"""),279.5)</f>
        <v>279.5</v>
      </c>
      <c r="E2057" s="9">
        <f>IFERROR(__xludf.DUMMYFUNCTION("""COMPUTED_VALUE"""),285.84)</f>
        <v>285.84</v>
      </c>
      <c r="F2057" s="9">
        <f>IFERROR(__xludf.DUMMYFUNCTION("""COMPUTED_VALUE"""),1172023.0)</f>
        <v>1172023</v>
      </c>
      <c r="H2057" s="27">
        <f>IFERROR(__xludf.DUMMYFUNCTION("""COMPUTED_VALUE"""),41396.645833333336)</f>
        <v>41396.64583</v>
      </c>
      <c r="I2057" s="25">
        <f>IFERROR(__xludf.DUMMYFUNCTION("""COMPUTED_VALUE"""),686.75)</f>
        <v>686.75</v>
      </c>
      <c r="J2057" s="25">
        <f>IFERROR(__xludf.DUMMYFUNCTION("""COMPUTED_VALUE"""),719.4)</f>
        <v>719.4</v>
      </c>
      <c r="K2057" s="25">
        <f>IFERROR(__xludf.DUMMYFUNCTION("""COMPUTED_VALUE"""),686.75)</f>
        <v>686.75</v>
      </c>
      <c r="L2057" s="25">
        <f>IFERROR(__xludf.DUMMYFUNCTION("""COMPUTED_VALUE"""),716.95)</f>
        <v>716.95</v>
      </c>
      <c r="M2057" s="25">
        <f>IFERROR(__xludf.DUMMYFUNCTION("""COMPUTED_VALUE"""),2815163.0)</f>
        <v>2815163</v>
      </c>
    </row>
    <row r="2058">
      <c r="A2058" s="26">
        <f>IFERROR(__xludf.DUMMYFUNCTION("""COMPUTED_VALUE"""),41397.645833333336)</f>
        <v>41397.64583</v>
      </c>
      <c r="B2058" s="9">
        <f>IFERROR(__xludf.DUMMYFUNCTION("""COMPUTED_VALUE"""),287.09)</f>
        <v>287.09</v>
      </c>
      <c r="C2058" s="9">
        <f>IFERROR(__xludf.DUMMYFUNCTION("""COMPUTED_VALUE"""),290.5)</f>
        <v>290.5</v>
      </c>
      <c r="D2058" s="9">
        <f>IFERROR(__xludf.DUMMYFUNCTION("""COMPUTED_VALUE"""),284.77)</f>
        <v>284.77</v>
      </c>
      <c r="E2058" s="9">
        <f>IFERROR(__xludf.DUMMYFUNCTION("""COMPUTED_VALUE"""),288.49)</f>
        <v>288.49</v>
      </c>
      <c r="F2058" s="9">
        <f>IFERROR(__xludf.DUMMYFUNCTION("""COMPUTED_VALUE"""),1139649.0)</f>
        <v>1139649</v>
      </c>
      <c r="H2058" s="27">
        <f>IFERROR(__xludf.DUMMYFUNCTION("""COMPUTED_VALUE"""),41397.645833333336)</f>
        <v>41397.64583</v>
      </c>
      <c r="I2058" s="25">
        <f>IFERROR(__xludf.DUMMYFUNCTION("""COMPUTED_VALUE"""),713.0)</f>
        <v>713</v>
      </c>
      <c r="J2058" s="25">
        <f>IFERROR(__xludf.DUMMYFUNCTION("""COMPUTED_VALUE"""),723.63)</f>
        <v>723.63</v>
      </c>
      <c r="K2058" s="25">
        <f>IFERROR(__xludf.DUMMYFUNCTION("""COMPUTED_VALUE"""),703.95)</f>
        <v>703.95</v>
      </c>
      <c r="L2058" s="25">
        <f>IFERROR(__xludf.DUMMYFUNCTION("""COMPUTED_VALUE"""),709.25)</f>
        <v>709.25</v>
      </c>
      <c r="M2058" s="25">
        <f>IFERROR(__xludf.DUMMYFUNCTION("""COMPUTED_VALUE"""),1820895.0)</f>
        <v>1820895</v>
      </c>
    </row>
    <row r="2059">
      <c r="A2059" s="26">
        <f>IFERROR(__xludf.DUMMYFUNCTION("""COMPUTED_VALUE"""),41400.645833333336)</f>
        <v>41400.64583</v>
      </c>
      <c r="B2059" s="9">
        <f>IFERROR(__xludf.DUMMYFUNCTION("""COMPUTED_VALUE"""),289.38)</f>
        <v>289.38</v>
      </c>
      <c r="C2059" s="9">
        <f>IFERROR(__xludf.DUMMYFUNCTION("""COMPUTED_VALUE"""),293.13)</f>
        <v>293.13</v>
      </c>
      <c r="D2059" s="9">
        <f>IFERROR(__xludf.DUMMYFUNCTION("""COMPUTED_VALUE"""),289.38)</f>
        <v>289.38</v>
      </c>
      <c r="E2059" s="9">
        <f>IFERROR(__xludf.DUMMYFUNCTION("""COMPUTED_VALUE"""),292.64)</f>
        <v>292.64</v>
      </c>
      <c r="F2059" s="9">
        <f>IFERROR(__xludf.DUMMYFUNCTION("""COMPUTED_VALUE"""),750013.0)</f>
        <v>750013</v>
      </c>
      <c r="H2059" s="27">
        <f>IFERROR(__xludf.DUMMYFUNCTION("""COMPUTED_VALUE"""),41400.645833333336)</f>
        <v>41400.64583</v>
      </c>
      <c r="I2059" s="25">
        <f>IFERROR(__xludf.DUMMYFUNCTION("""COMPUTED_VALUE"""),710.0)</f>
        <v>710</v>
      </c>
      <c r="J2059" s="25">
        <f>IFERROR(__xludf.DUMMYFUNCTION("""COMPUTED_VALUE"""),736.2)</f>
        <v>736.2</v>
      </c>
      <c r="K2059" s="25">
        <f>IFERROR(__xludf.DUMMYFUNCTION("""COMPUTED_VALUE"""),710.0)</f>
        <v>710</v>
      </c>
      <c r="L2059" s="25">
        <f>IFERROR(__xludf.DUMMYFUNCTION("""COMPUTED_VALUE"""),733.6)</f>
        <v>733.6</v>
      </c>
      <c r="M2059" s="25">
        <f>IFERROR(__xludf.DUMMYFUNCTION("""COMPUTED_VALUE"""),1863559.0)</f>
        <v>1863559</v>
      </c>
    </row>
    <row r="2060">
      <c r="A2060" s="26">
        <f>IFERROR(__xludf.DUMMYFUNCTION("""COMPUTED_VALUE"""),41401.645833333336)</f>
        <v>41401.64583</v>
      </c>
      <c r="B2060" s="9">
        <f>IFERROR(__xludf.DUMMYFUNCTION("""COMPUTED_VALUE"""),293.75)</f>
        <v>293.75</v>
      </c>
      <c r="C2060" s="9">
        <f>IFERROR(__xludf.DUMMYFUNCTION("""COMPUTED_VALUE"""),294.38)</f>
        <v>294.38</v>
      </c>
      <c r="D2060" s="9">
        <f>IFERROR(__xludf.DUMMYFUNCTION("""COMPUTED_VALUE"""),290.59)</f>
        <v>290.59</v>
      </c>
      <c r="E2060" s="9">
        <f>IFERROR(__xludf.DUMMYFUNCTION("""COMPUTED_VALUE"""),293.6)</f>
        <v>293.6</v>
      </c>
      <c r="F2060" s="9">
        <f>IFERROR(__xludf.DUMMYFUNCTION("""COMPUTED_VALUE"""),872888.0)</f>
        <v>872888</v>
      </c>
      <c r="H2060" s="27">
        <f>IFERROR(__xludf.DUMMYFUNCTION("""COMPUTED_VALUE"""),41401.645833333336)</f>
        <v>41401.64583</v>
      </c>
      <c r="I2060" s="25">
        <f>IFERROR(__xludf.DUMMYFUNCTION("""COMPUTED_VALUE"""),733.55)</f>
        <v>733.55</v>
      </c>
      <c r="J2060" s="25">
        <f>IFERROR(__xludf.DUMMYFUNCTION("""COMPUTED_VALUE"""),739.43)</f>
        <v>739.43</v>
      </c>
      <c r="K2060" s="25">
        <f>IFERROR(__xludf.DUMMYFUNCTION("""COMPUTED_VALUE"""),728.7)</f>
        <v>728.7</v>
      </c>
      <c r="L2060" s="25">
        <f>IFERROR(__xludf.DUMMYFUNCTION("""COMPUTED_VALUE"""),735.8)</f>
        <v>735.8</v>
      </c>
      <c r="M2060" s="25">
        <f>IFERROR(__xludf.DUMMYFUNCTION("""COMPUTED_VALUE"""),1130090.0)</f>
        <v>1130090</v>
      </c>
    </row>
    <row r="2061">
      <c r="A2061" s="26">
        <f>IFERROR(__xludf.DUMMYFUNCTION("""COMPUTED_VALUE"""),41402.645833333336)</f>
        <v>41402.64583</v>
      </c>
      <c r="B2061" s="9">
        <f>IFERROR(__xludf.DUMMYFUNCTION("""COMPUTED_VALUE"""),295.63)</f>
        <v>295.63</v>
      </c>
      <c r="C2061" s="9">
        <f>IFERROR(__xludf.DUMMYFUNCTION("""COMPUTED_VALUE"""),297.5)</f>
        <v>297.5</v>
      </c>
      <c r="D2061" s="9">
        <f>IFERROR(__xludf.DUMMYFUNCTION("""COMPUTED_VALUE"""),292.26)</f>
        <v>292.26</v>
      </c>
      <c r="E2061" s="9">
        <f>IFERROR(__xludf.DUMMYFUNCTION("""COMPUTED_VALUE"""),293.83)</f>
        <v>293.83</v>
      </c>
      <c r="F2061" s="9">
        <f>IFERROR(__xludf.DUMMYFUNCTION("""COMPUTED_VALUE"""),909794.0)</f>
        <v>909794</v>
      </c>
      <c r="H2061" s="27">
        <f>IFERROR(__xludf.DUMMYFUNCTION("""COMPUTED_VALUE"""),41402.645833333336)</f>
        <v>41402.64583</v>
      </c>
      <c r="I2061" s="25">
        <f>IFERROR(__xludf.DUMMYFUNCTION("""COMPUTED_VALUE"""),736.0)</f>
        <v>736</v>
      </c>
      <c r="J2061" s="25">
        <f>IFERROR(__xludf.DUMMYFUNCTION("""COMPUTED_VALUE"""),743.9)</f>
        <v>743.9</v>
      </c>
      <c r="K2061" s="25">
        <f>IFERROR(__xludf.DUMMYFUNCTION("""COMPUTED_VALUE"""),735.0)</f>
        <v>735</v>
      </c>
      <c r="L2061" s="25">
        <f>IFERROR(__xludf.DUMMYFUNCTION("""COMPUTED_VALUE"""),740.05)</f>
        <v>740.05</v>
      </c>
      <c r="M2061" s="25">
        <f>IFERROR(__xludf.DUMMYFUNCTION("""COMPUTED_VALUE"""),884065.0)</f>
        <v>884065</v>
      </c>
    </row>
    <row r="2062">
      <c r="A2062" s="26">
        <f>IFERROR(__xludf.DUMMYFUNCTION("""COMPUTED_VALUE"""),41403.645833333336)</f>
        <v>41403.64583</v>
      </c>
      <c r="B2062" s="9">
        <f>IFERROR(__xludf.DUMMYFUNCTION("""COMPUTED_VALUE"""),293.99)</f>
        <v>293.99</v>
      </c>
      <c r="C2062" s="9">
        <f>IFERROR(__xludf.DUMMYFUNCTION("""COMPUTED_VALUE"""),296.11)</f>
        <v>296.11</v>
      </c>
      <c r="D2062" s="9">
        <f>IFERROR(__xludf.DUMMYFUNCTION("""COMPUTED_VALUE"""),293.75)</f>
        <v>293.75</v>
      </c>
      <c r="E2062" s="9">
        <f>IFERROR(__xludf.DUMMYFUNCTION("""COMPUTED_VALUE"""),295.18)</f>
        <v>295.18</v>
      </c>
      <c r="F2062" s="9">
        <f>IFERROR(__xludf.DUMMYFUNCTION("""COMPUTED_VALUE"""),570178.0)</f>
        <v>570178</v>
      </c>
      <c r="H2062" s="27">
        <f>IFERROR(__xludf.DUMMYFUNCTION("""COMPUTED_VALUE"""),41403.645833333336)</f>
        <v>41403.64583</v>
      </c>
      <c r="I2062" s="25">
        <f>IFERROR(__xludf.DUMMYFUNCTION("""COMPUTED_VALUE"""),741.6)</f>
        <v>741.6</v>
      </c>
      <c r="J2062" s="25">
        <f>IFERROR(__xludf.DUMMYFUNCTION("""COMPUTED_VALUE"""),751.73)</f>
        <v>751.73</v>
      </c>
      <c r="K2062" s="25">
        <f>IFERROR(__xludf.DUMMYFUNCTION("""COMPUTED_VALUE"""),741.5)</f>
        <v>741.5</v>
      </c>
      <c r="L2062" s="25">
        <f>IFERROR(__xludf.DUMMYFUNCTION("""COMPUTED_VALUE"""),749.23)</f>
        <v>749.23</v>
      </c>
      <c r="M2062" s="25">
        <f>IFERROR(__xludf.DUMMYFUNCTION("""COMPUTED_VALUE"""),974850.0)</f>
        <v>974850</v>
      </c>
    </row>
    <row r="2063">
      <c r="A2063" s="26">
        <f>IFERROR(__xludf.DUMMYFUNCTION("""COMPUTED_VALUE"""),41404.645833333336)</f>
        <v>41404.64583</v>
      </c>
      <c r="B2063" s="9">
        <f>IFERROR(__xludf.DUMMYFUNCTION("""COMPUTED_VALUE"""),295.26)</f>
        <v>295.26</v>
      </c>
      <c r="C2063" s="9">
        <f>IFERROR(__xludf.DUMMYFUNCTION("""COMPUTED_VALUE"""),298.13)</f>
        <v>298.13</v>
      </c>
      <c r="D2063" s="9">
        <f>IFERROR(__xludf.DUMMYFUNCTION("""COMPUTED_VALUE"""),294.64)</f>
        <v>294.64</v>
      </c>
      <c r="E2063" s="9">
        <f>IFERROR(__xludf.DUMMYFUNCTION("""COMPUTED_VALUE"""),296.44)</f>
        <v>296.44</v>
      </c>
      <c r="F2063" s="9">
        <f>IFERROR(__xludf.DUMMYFUNCTION("""COMPUTED_VALUE"""),566755.0)</f>
        <v>566755</v>
      </c>
      <c r="H2063" s="27">
        <f>IFERROR(__xludf.DUMMYFUNCTION("""COMPUTED_VALUE"""),41404.645833333336)</f>
        <v>41404.64583</v>
      </c>
      <c r="I2063" s="25">
        <f>IFERROR(__xludf.DUMMYFUNCTION("""COMPUTED_VALUE"""),749.23)</f>
        <v>749.23</v>
      </c>
      <c r="J2063" s="25">
        <f>IFERROR(__xludf.DUMMYFUNCTION("""COMPUTED_VALUE"""),755.45)</f>
        <v>755.45</v>
      </c>
      <c r="K2063" s="25">
        <f>IFERROR(__xludf.DUMMYFUNCTION("""COMPUTED_VALUE"""),745.55)</f>
        <v>745.55</v>
      </c>
      <c r="L2063" s="25">
        <f>IFERROR(__xludf.DUMMYFUNCTION("""COMPUTED_VALUE"""),747.95)</f>
        <v>747.95</v>
      </c>
      <c r="M2063" s="25">
        <f>IFERROR(__xludf.DUMMYFUNCTION("""COMPUTED_VALUE"""),569857.0)</f>
        <v>569857</v>
      </c>
    </row>
    <row r="2064">
      <c r="A2064" s="26">
        <f>IFERROR(__xludf.DUMMYFUNCTION("""COMPUTED_VALUE"""),41407.645833333336)</f>
        <v>41407.64583</v>
      </c>
      <c r="B2064" s="9">
        <f>IFERROR(__xludf.DUMMYFUNCTION("""COMPUTED_VALUE"""),294.38)</f>
        <v>294.38</v>
      </c>
      <c r="C2064" s="9">
        <f>IFERROR(__xludf.DUMMYFUNCTION("""COMPUTED_VALUE"""),295.27)</f>
        <v>295.27</v>
      </c>
      <c r="D2064" s="9">
        <f>IFERROR(__xludf.DUMMYFUNCTION("""COMPUTED_VALUE"""),291.29)</f>
        <v>291.29</v>
      </c>
      <c r="E2064" s="9">
        <f>IFERROR(__xludf.DUMMYFUNCTION("""COMPUTED_VALUE"""),292.45)</f>
        <v>292.45</v>
      </c>
      <c r="F2064" s="9">
        <f>IFERROR(__xludf.DUMMYFUNCTION("""COMPUTED_VALUE"""),626870.0)</f>
        <v>626870</v>
      </c>
      <c r="H2064" s="27">
        <f>IFERROR(__xludf.DUMMYFUNCTION("""COMPUTED_VALUE"""),41407.645833333336)</f>
        <v>41407.64583</v>
      </c>
      <c r="I2064" s="25">
        <f>IFERROR(__xludf.DUMMYFUNCTION("""COMPUTED_VALUE"""),740.0)</f>
        <v>740</v>
      </c>
      <c r="J2064" s="25">
        <f>IFERROR(__xludf.DUMMYFUNCTION("""COMPUTED_VALUE"""),740.5)</f>
        <v>740.5</v>
      </c>
      <c r="K2064" s="25">
        <f>IFERROR(__xludf.DUMMYFUNCTION("""COMPUTED_VALUE"""),722.85)</f>
        <v>722.85</v>
      </c>
      <c r="L2064" s="25">
        <f>IFERROR(__xludf.DUMMYFUNCTION("""COMPUTED_VALUE"""),725.8)</f>
        <v>725.8</v>
      </c>
      <c r="M2064" s="25">
        <f>IFERROR(__xludf.DUMMYFUNCTION("""COMPUTED_VALUE"""),931249.0)</f>
        <v>931249</v>
      </c>
    </row>
    <row r="2065">
      <c r="A2065" s="26">
        <f>IFERROR(__xludf.DUMMYFUNCTION("""COMPUTED_VALUE"""),41408.645833333336)</f>
        <v>41408.64583</v>
      </c>
      <c r="B2065" s="9">
        <f>IFERROR(__xludf.DUMMYFUNCTION("""COMPUTED_VALUE"""),292.16)</f>
        <v>292.16</v>
      </c>
      <c r="C2065" s="9">
        <f>IFERROR(__xludf.DUMMYFUNCTION("""COMPUTED_VALUE"""),296.35)</f>
        <v>296.35</v>
      </c>
      <c r="D2065" s="9">
        <f>IFERROR(__xludf.DUMMYFUNCTION("""COMPUTED_VALUE"""),292.16)</f>
        <v>292.16</v>
      </c>
      <c r="E2065" s="9">
        <f>IFERROR(__xludf.DUMMYFUNCTION("""COMPUTED_VALUE"""),293.76)</f>
        <v>293.76</v>
      </c>
      <c r="F2065" s="9">
        <f>IFERROR(__xludf.DUMMYFUNCTION("""COMPUTED_VALUE"""),560556.0)</f>
        <v>560556</v>
      </c>
      <c r="H2065" s="27">
        <f>IFERROR(__xludf.DUMMYFUNCTION("""COMPUTED_VALUE"""),41408.645833333336)</f>
        <v>41408.64583</v>
      </c>
      <c r="I2065" s="25">
        <f>IFERROR(__xludf.DUMMYFUNCTION("""COMPUTED_VALUE"""),727.55)</f>
        <v>727.55</v>
      </c>
      <c r="J2065" s="25">
        <f>IFERROR(__xludf.DUMMYFUNCTION("""COMPUTED_VALUE"""),735.28)</f>
        <v>735.28</v>
      </c>
      <c r="K2065" s="25">
        <f>IFERROR(__xludf.DUMMYFUNCTION("""COMPUTED_VALUE"""),721.88)</f>
        <v>721.88</v>
      </c>
      <c r="L2065" s="25">
        <f>IFERROR(__xludf.DUMMYFUNCTION("""COMPUTED_VALUE"""),728.98)</f>
        <v>728.98</v>
      </c>
      <c r="M2065" s="25">
        <f>IFERROR(__xludf.DUMMYFUNCTION("""COMPUTED_VALUE"""),1125050.0)</f>
        <v>1125050</v>
      </c>
    </row>
    <row r="2066">
      <c r="A2066" s="26">
        <f>IFERROR(__xludf.DUMMYFUNCTION("""COMPUTED_VALUE"""),41409.645833333336)</f>
        <v>41409.64583</v>
      </c>
      <c r="B2066" s="9">
        <f>IFERROR(__xludf.DUMMYFUNCTION("""COMPUTED_VALUE"""),294.13)</f>
        <v>294.13</v>
      </c>
      <c r="C2066" s="9">
        <f>IFERROR(__xludf.DUMMYFUNCTION("""COMPUTED_VALUE"""),296.59)</f>
        <v>296.59</v>
      </c>
      <c r="D2066" s="9">
        <f>IFERROR(__xludf.DUMMYFUNCTION("""COMPUTED_VALUE"""),293.43)</f>
        <v>293.43</v>
      </c>
      <c r="E2066" s="9">
        <f>IFERROR(__xludf.DUMMYFUNCTION("""COMPUTED_VALUE"""),295.06)</f>
        <v>295.06</v>
      </c>
      <c r="F2066" s="9">
        <f>IFERROR(__xludf.DUMMYFUNCTION("""COMPUTED_VALUE"""),1111647.0)</f>
        <v>1111647</v>
      </c>
      <c r="H2066" s="27">
        <f>IFERROR(__xludf.DUMMYFUNCTION("""COMPUTED_VALUE"""),41409.645833333336)</f>
        <v>41409.64583</v>
      </c>
      <c r="I2066" s="25">
        <f>IFERROR(__xludf.DUMMYFUNCTION("""COMPUTED_VALUE"""),729.05)</f>
        <v>729.05</v>
      </c>
      <c r="J2066" s="25">
        <f>IFERROR(__xludf.DUMMYFUNCTION("""COMPUTED_VALUE"""),738.6)</f>
        <v>738.6</v>
      </c>
      <c r="K2066" s="25">
        <f>IFERROR(__xludf.DUMMYFUNCTION("""COMPUTED_VALUE"""),725.0)</f>
        <v>725</v>
      </c>
      <c r="L2066" s="25">
        <f>IFERROR(__xludf.DUMMYFUNCTION("""COMPUTED_VALUE"""),735.78)</f>
        <v>735.78</v>
      </c>
      <c r="M2066" s="25">
        <f>IFERROR(__xludf.DUMMYFUNCTION("""COMPUTED_VALUE"""),1782963.0)</f>
        <v>1782963</v>
      </c>
    </row>
    <row r="2067">
      <c r="A2067" s="26">
        <f>IFERROR(__xludf.DUMMYFUNCTION("""COMPUTED_VALUE"""),41410.645833333336)</f>
        <v>41410.64583</v>
      </c>
      <c r="B2067" s="9">
        <f>IFERROR(__xludf.DUMMYFUNCTION("""COMPUTED_VALUE"""),294.19)</f>
        <v>294.19</v>
      </c>
      <c r="C2067" s="9">
        <f>IFERROR(__xludf.DUMMYFUNCTION("""COMPUTED_VALUE"""),294.98)</f>
        <v>294.98</v>
      </c>
      <c r="D2067" s="9">
        <f>IFERROR(__xludf.DUMMYFUNCTION("""COMPUTED_VALUE"""),289.16)</f>
        <v>289.16</v>
      </c>
      <c r="E2067" s="9">
        <f>IFERROR(__xludf.DUMMYFUNCTION("""COMPUTED_VALUE"""),291.58)</f>
        <v>291.58</v>
      </c>
      <c r="F2067" s="9">
        <f>IFERROR(__xludf.DUMMYFUNCTION("""COMPUTED_VALUE"""),873969.0)</f>
        <v>873969</v>
      </c>
      <c r="H2067" s="27">
        <f>IFERROR(__xludf.DUMMYFUNCTION("""COMPUTED_VALUE"""),41410.645833333336)</f>
        <v>41410.64583</v>
      </c>
      <c r="I2067" s="25">
        <f>IFERROR(__xludf.DUMMYFUNCTION("""COMPUTED_VALUE"""),734.5)</f>
        <v>734.5</v>
      </c>
      <c r="J2067" s="25">
        <f>IFERROR(__xludf.DUMMYFUNCTION("""COMPUTED_VALUE"""),734.5)</f>
        <v>734.5</v>
      </c>
      <c r="K2067" s="25">
        <f>IFERROR(__xludf.DUMMYFUNCTION("""COMPUTED_VALUE"""),723.73)</f>
        <v>723.73</v>
      </c>
      <c r="L2067" s="25">
        <f>IFERROR(__xludf.DUMMYFUNCTION("""COMPUTED_VALUE"""),727.03)</f>
        <v>727.03</v>
      </c>
      <c r="M2067" s="25">
        <f>IFERROR(__xludf.DUMMYFUNCTION("""COMPUTED_VALUE"""),1207826.0)</f>
        <v>1207826</v>
      </c>
    </row>
    <row r="2068">
      <c r="A2068" s="26">
        <f>IFERROR(__xludf.DUMMYFUNCTION("""COMPUTED_VALUE"""),41411.645833333336)</f>
        <v>41411.64583</v>
      </c>
      <c r="B2068" s="9">
        <f>IFERROR(__xludf.DUMMYFUNCTION("""COMPUTED_VALUE"""),292.11)</f>
        <v>292.11</v>
      </c>
      <c r="C2068" s="9">
        <f>IFERROR(__xludf.DUMMYFUNCTION("""COMPUTED_VALUE"""),296.13)</f>
        <v>296.13</v>
      </c>
      <c r="D2068" s="9">
        <f>IFERROR(__xludf.DUMMYFUNCTION("""COMPUTED_VALUE"""),291.88)</f>
        <v>291.88</v>
      </c>
      <c r="E2068" s="9">
        <f>IFERROR(__xludf.DUMMYFUNCTION("""COMPUTED_VALUE"""),293.97)</f>
        <v>293.97</v>
      </c>
      <c r="F2068" s="9">
        <f>IFERROR(__xludf.DUMMYFUNCTION("""COMPUTED_VALUE"""),803969.0)</f>
        <v>803969</v>
      </c>
      <c r="H2068" s="27">
        <f>IFERROR(__xludf.DUMMYFUNCTION("""COMPUTED_VALUE"""),41411.645833333336)</f>
        <v>41411.64583</v>
      </c>
      <c r="I2068" s="25">
        <f>IFERROR(__xludf.DUMMYFUNCTION("""COMPUTED_VALUE"""),727.5)</f>
        <v>727.5</v>
      </c>
      <c r="J2068" s="25">
        <f>IFERROR(__xludf.DUMMYFUNCTION("""COMPUTED_VALUE"""),739.25)</f>
        <v>739.25</v>
      </c>
      <c r="K2068" s="25">
        <f>IFERROR(__xludf.DUMMYFUNCTION("""COMPUTED_VALUE"""),727.05)</f>
        <v>727.05</v>
      </c>
      <c r="L2068" s="25">
        <f>IFERROR(__xludf.DUMMYFUNCTION("""COMPUTED_VALUE"""),736.9)</f>
        <v>736.9</v>
      </c>
      <c r="M2068" s="25">
        <f>IFERROR(__xludf.DUMMYFUNCTION("""COMPUTED_VALUE"""),1450100.0)</f>
        <v>1450100</v>
      </c>
    </row>
    <row r="2069">
      <c r="A2069" s="26">
        <f>IFERROR(__xludf.DUMMYFUNCTION("""COMPUTED_VALUE"""),41414.645833333336)</f>
        <v>41414.64583</v>
      </c>
      <c r="B2069" s="9">
        <f>IFERROR(__xludf.DUMMYFUNCTION("""COMPUTED_VALUE"""),293.25)</f>
        <v>293.25</v>
      </c>
      <c r="C2069" s="9">
        <f>IFERROR(__xludf.DUMMYFUNCTION("""COMPUTED_VALUE"""),297.88)</f>
        <v>297.88</v>
      </c>
      <c r="D2069" s="9">
        <f>IFERROR(__xludf.DUMMYFUNCTION("""COMPUTED_VALUE"""),293.0)</f>
        <v>293</v>
      </c>
      <c r="E2069" s="9">
        <f>IFERROR(__xludf.DUMMYFUNCTION("""COMPUTED_VALUE"""),296.51)</f>
        <v>296.51</v>
      </c>
      <c r="F2069" s="9">
        <f>IFERROR(__xludf.DUMMYFUNCTION("""COMPUTED_VALUE"""),1094786.0)</f>
        <v>1094786</v>
      </c>
      <c r="H2069" s="27">
        <f>IFERROR(__xludf.DUMMYFUNCTION("""COMPUTED_VALUE"""),41414.645833333336)</f>
        <v>41414.64583</v>
      </c>
      <c r="I2069" s="25">
        <f>IFERROR(__xludf.DUMMYFUNCTION("""COMPUTED_VALUE"""),735.63)</f>
        <v>735.63</v>
      </c>
      <c r="J2069" s="25">
        <f>IFERROR(__xludf.DUMMYFUNCTION("""COMPUTED_VALUE"""),739.0)</f>
        <v>739</v>
      </c>
      <c r="K2069" s="25">
        <f>IFERROR(__xludf.DUMMYFUNCTION("""COMPUTED_VALUE"""),730.5)</f>
        <v>730.5</v>
      </c>
      <c r="L2069" s="25">
        <f>IFERROR(__xludf.DUMMYFUNCTION("""COMPUTED_VALUE"""),736.2)</f>
        <v>736.2</v>
      </c>
      <c r="M2069" s="25">
        <f>IFERROR(__xludf.DUMMYFUNCTION("""COMPUTED_VALUE"""),692752.0)</f>
        <v>692752</v>
      </c>
    </row>
    <row r="2070">
      <c r="A2070" s="26">
        <f>IFERROR(__xludf.DUMMYFUNCTION("""COMPUTED_VALUE"""),41415.645833333336)</f>
        <v>41415.64583</v>
      </c>
      <c r="B2070" s="9">
        <f>IFERROR(__xludf.DUMMYFUNCTION("""COMPUTED_VALUE"""),296.27)</f>
        <v>296.27</v>
      </c>
      <c r="C2070" s="9">
        <f>IFERROR(__xludf.DUMMYFUNCTION("""COMPUTED_VALUE"""),302.13)</f>
        <v>302.13</v>
      </c>
      <c r="D2070" s="9">
        <f>IFERROR(__xludf.DUMMYFUNCTION("""COMPUTED_VALUE"""),295.87)</f>
        <v>295.87</v>
      </c>
      <c r="E2070" s="9">
        <f>IFERROR(__xludf.DUMMYFUNCTION("""COMPUTED_VALUE"""),299.7)</f>
        <v>299.7</v>
      </c>
      <c r="F2070" s="9">
        <f>IFERROR(__xludf.DUMMYFUNCTION("""COMPUTED_VALUE"""),707516.0)</f>
        <v>707516</v>
      </c>
      <c r="H2070" s="27">
        <f>IFERROR(__xludf.DUMMYFUNCTION("""COMPUTED_VALUE"""),41415.645833333336)</f>
        <v>41415.64583</v>
      </c>
      <c r="I2070" s="25">
        <f>IFERROR(__xludf.DUMMYFUNCTION("""COMPUTED_VALUE"""),732.5)</f>
        <v>732.5</v>
      </c>
      <c r="J2070" s="25">
        <f>IFERROR(__xludf.DUMMYFUNCTION("""COMPUTED_VALUE"""),751.0)</f>
        <v>751</v>
      </c>
      <c r="K2070" s="25">
        <f>IFERROR(__xludf.DUMMYFUNCTION("""COMPUTED_VALUE"""),732.5)</f>
        <v>732.5</v>
      </c>
      <c r="L2070" s="25">
        <f>IFERROR(__xludf.DUMMYFUNCTION("""COMPUTED_VALUE"""),746.43)</f>
        <v>746.43</v>
      </c>
      <c r="M2070" s="25">
        <f>IFERROR(__xludf.DUMMYFUNCTION("""COMPUTED_VALUE"""),949216.0)</f>
        <v>949216</v>
      </c>
    </row>
    <row r="2071">
      <c r="A2071" s="26">
        <f>IFERROR(__xludf.DUMMYFUNCTION("""COMPUTED_VALUE"""),41416.645833333336)</f>
        <v>41416.64583</v>
      </c>
      <c r="B2071" s="9">
        <f>IFERROR(__xludf.DUMMYFUNCTION("""COMPUTED_VALUE"""),300.0)</f>
        <v>300</v>
      </c>
      <c r="C2071" s="9">
        <f>IFERROR(__xludf.DUMMYFUNCTION("""COMPUTED_VALUE"""),304.13)</f>
        <v>304.13</v>
      </c>
      <c r="D2071" s="9">
        <f>IFERROR(__xludf.DUMMYFUNCTION("""COMPUTED_VALUE"""),297.28)</f>
        <v>297.28</v>
      </c>
      <c r="E2071" s="9">
        <f>IFERROR(__xludf.DUMMYFUNCTION("""COMPUTED_VALUE"""),298.16)</f>
        <v>298.16</v>
      </c>
      <c r="F2071" s="9">
        <f>IFERROR(__xludf.DUMMYFUNCTION("""COMPUTED_VALUE"""),780709.0)</f>
        <v>780709</v>
      </c>
      <c r="H2071" s="27">
        <f>IFERROR(__xludf.DUMMYFUNCTION("""COMPUTED_VALUE"""),41416.645833333336)</f>
        <v>41416.64583</v>
      </c>
      <c r="I2071" s="25">
        <f>IFERROR(__xludf.DUMMYFUNCTION("""COMPUTED_VALUE"""),749.0)</f>
        <v>749</v>
      </c>
      <c r="J2071" s="25">
        <f>IFERROR(__xludf.DUMMYFUNCTION("""COMPUTED_VALUE"""),754.58)</f>
        <v>754.58</v>
      </c>
      <c r="K2071" s="25">
        <f>IFERROR(__xludf.DUMMYFUNCTION("""COMPUTED_VALUE"""),746.15)</f>
        <v>746.15</v>
      </c>
      <c r="L2071" s="25">
        <f>IFERROR(__xludf.DUMMYFUNCTION("""COMPUTED_VALUE"""),749.2)</f>
        <v>749.2</v>
      </c>
      <c r="M2071" s="25">
        <f>IFERROR(__xludf.DUMMYFUNCTION("""COMPUTED_VALUE"""),923472.0)</f>
        <v>923472</v>
      </c>
    </row>
    <row r="2072">
      <c r="A2072" s="26">
        <f>IFERROR(__xludf.DUMMYFUNCTION("""COMPUTED_VALUE"""),41417.645833333336)</f>
        <v>41417.64583</v>
      </c>
      <c r="B2072" s="9">
        <f>IFERROR(__xludf.DUMMYFUNCTION("""COMPUTED_VALUE"""),297.0)</f>
        <v>297</v>
      </c>
      <c r="C2072" s="9">
        <f>IFERROR(__xludf.DUMMYFUNCTION("""COMPUTED_VALUE"""),302.41)</f>
        <v>302.41</v>
      </c>
      <c r="D2072" s="9">
        <f>IFERROR(__xludf.DUMMYFUNCTION("""COMPUTED_VALUE"""),294.52)</f>
        <v>294.52</v>
      </c>
      <c r="E2072" s="9">
        <f>IFERROR(__xludf.DUMMYFUNCTION("""COMPUTED_VALUE"""),294.98)</f>
        <v>294.98</v>
      </c>
      <c r="F2072" s="9">
        <f>IFERROR(__xludf.DUMMYFUNCTION("""COMPUTED_VALUE"""),637573.0)</f>
        <v>637573</v>
      </c>
      <c r="H2072" s="27">
        <f>IFERROR(__xludf.DUMMYFUNCTION("""COMPUTED_VALUE"""),41417.645833333336)</f>
        <v>41417.64583</v>
      </c>
      <c r="I2072" s="25">
        <f>IFERROR(__xludf.DUMMYFUNCTION("""COMPUTED_VALUE"""),747.5)</f>
        <v>747.5</v>
      </c>
      <c r="J2072" s="25">
        <f>IFERROR(__xludf.DUMMYFUNCTION("""COMPUTED_VALUE"""),763.38)</f>
        <v>763.38</v>
      </c>
      <c r="K2072" s="25">
        <f>IFERROR(__xludf.DUMMYFUNCTION("""COMPUTED_VALUE"""),739.18)</f>
        <v>739.18</v>
      </c>
      <c r="L2072" s="25">
        <f>IFERROR(__xludf.DUMMYFUNCTION("""COMPUTED_VALUE"""),746.35)</f>
        <v>746.35</v>
      </c>
      <c r="M2072" s="25">
        <f>IFERROR(__xludf.DUMMYFUNCTION("""COMPUTED_VALUE"""),1531981.0)</f>
        <v>1531981</v>
      </c>
    </row>
    <row r="2073">
      <c r="A2073" s="26">
        <f>IFERROR(__xludf.DUMMYFUNCTION("""COMPUTED_VALUE"""),41418.645833333336)</f>
        <v>41418.64583</v>
      </c>
      <c r="B2073" s="9">
        <f>IFERROR(__xludf.DUMMYFUNCTION("""COMPUTED_VALUE"""),295.2)</f>
        <v>295.2</v>
      </c>
      <c r="C2073" s="9">
        <f>IFERROR(__xludf.DUMMYFUNCTION("""COMPUTED_VALUE"""),298.13)</f>
        <v>298.13</v>
      </c>
      <c r="D2073" s="9">
        <f>IFERROR(__xludf.DUMMYFUNCTION("""COMPUTED_VALUE"""),291.75)</f>
        <v>291.75</v>
      </c>
      <c r="E2073" s="9">
        <f>IFERROR(__xludf.DUMMYFUNCTION("""COMPUTED_VALUE"""),293.49)</f>
        <v>293.49</v>
      </c>
      <c r="F2073" s="9">
        <f>IFERROR(__xludf.DUMMYFUNCTION("""COMPUTED_VALUE"""),461081.0)</f>
        <v>461081</v>
      </c>
      <c r="H2073" s="27">
        <f>IFERROR(__xludf.DUMMYFUNCTION("""COMPUTED_VALUE"""),41418.645833333336)</f>
        <v>41418.64583</v>
      </c>
      <c r="I2073" s="25">
        <f>IFERROR(__xludf.DUMMYFUNCTION("""COMPUTED_VALUE"""),750.0)</f>
        <v>750</v>
      </c>
      <c r="J2073" s="25">
        <f>IFERROR(__xludf.DUMMYFUNCTION("""COMPUTED_VALUE"""),751.48)</f>
        <v>751.48</v>
      </c>
      <c r="K2073" s="25">
        <f>IFERROR(__xludf.DUMMYFUNCTION("""COMPUTED_VALUE"""),731.8)</f>
        <v>731.8</v>
      </c>
      <c r="L2073" s="25">
        <f>IFERROR(__xludf.DUMMYFUNCTION("""COMPUTED_VALUE"""),734.78)</f>
        <v>734.78</v>
      </c>
      <c r="M2073" s="25">
        <f>IFERROR(__xludf.DUMMYFUNCTION("""COMPUTED_VALUE"""),793306.0)</f>
        <v>793306</v>
      </c>
    </row>
    <row r="2074">
      <c r="A2074" s="26">
        <f>IFERROR(__xludf.DUMMYFUNCTION("""COMPUTED_VALUE"""),41421.645833333336)</f>
        <v>41421.64583</v>
      </c>
      <c r="B2074" s="9">
        <f>IFERROR(__xludf.DUMMYFUNCTION("""COMPUTED_VALUE"""),292.65)</f>
        <v>292.65</v>
      </c>
      <c r="C2074" s="9">
        <f>IFERROR(__xludf.DUMMYFUNCTION("""COMPUTED_VALUE"""),298.25)</f>
        <v>298.25</v>
      </c>
      <c r="D2074" s="9">
        <f>IFERROR(__xludf.DUMMYFUNCTION("""COMPUTED_VALUE"""),291.29)</f>
        <v>291.29</v>
      </c>
      <c r="E2074" s="9">
        <f>IFERROR(__xludf.DUMMYFUNCTION("""COMPUTED_VALUE"""),296.59)</f>
        <v>296.59</v>
      </c>
      <c r="F2074" s="9">
        <f>IFERROR(__xludf.DUMMYFUNCTION("""COMPUTED_VALUE"""),415646.0)</f>
        <v>415646</v>
      </c>
      <c r="H2074" s="27">
        <f>IFERROR(__xludf.DUMMYFUNCTION("""COMPUTED_VALUE"""),41421.645833333336)</f>
        <v>41421.64583</v>
      </c>
      <c r="I2074" s="25">
        <f>IFERROR(__xludf.DUMMYFUNCTION("""COMPUTED_VALUE"""),734.75)</f>
        <v>734.75</v>
      </c>
      <c r="J2074" s="25">
        <f>IFERROR(__xludf.DUMMYFUNCTION("""COMPUTED_VALUE"""),750.0)</f>
        <v>750</v>
      </c>
      <c r="K2074" s="25">
        <f>IFERROR(__xludf.DUMMYFUNCTION("""COMPUTED_VALUE"""),730.0)</f>
        <v>730</v>
      </c>
      <c r="L2074" s="25">
        <f>IFERROR(__xludf.DUMMYFUNCTION("""COMPUTED_VALUE"""),749.0)</f>
        <v>749</v>
      </c>
      <c r="M2074" s="25">
        <f>IFERROR(__xludf.DUMMYFUNCTION("""COMPUTED_VALUE"""),1011932.0)</f>
        <v>1011932</v>
      </c>
    </row>
    <row r="2075">
      <c r="A2075" s="26">
        <f>IFERROR(__xludf.DUMMYFUNCTION("""COMPUTED_VALUE"""),41422.645833333336)</f>
        <v>41422.64583</v>
      </c>
      <c r="B2075" s="9">
        <f>IFERROR(__xludf.DUMMYFUNCTION("""COMPUTED_VALUE"""),296.25)</f>
        <v>296.25</v>
      </c>
      <c r="C2075" s="9">
        <f>IFERROR(__xludf.DUMMYFUNCTION("""COMPUTED_VALUE"""),297.5)</f>
        <v>297.5</v>
      </c>
      <c r="D2075" s="9">
        <f>IFERROR(__xludf.DUMMYFUNCTION("""COMPUTED_VALUE"""),294.21)</f>
        <v>294.21</v>
      </c>
      <c r="E2075" s="9">
        <f>IFERROR(__xludf.DUMMYFUNCTION("""COMPUTED_VALUE"""),295.77)</f>
        <v>295.77</v>
      </c>
      <c r="F2075" s="9">
        <f>IFERROR(__xludf.DUMMYFUNCTION("""COMPUTED_VALUE"""),529369.0)</f>
        <v>529369</v>
      </c>
      <c r="H2075" s="27">
        <f>IFERROR(__xludf.DUMMYFUNCTION("""COMPUTED_VALUE"""),41422.645833333336)</f>
        <v>41422.64583</v>
      </c>
      <c r="I2075" s="25">
        <f>IFERROR(__xludf.DUMMYFUNCTION("""COMPUTED_VALUE"""),749.0)</f>
        <v>749</v>
      </c>
      <c r="J2075" s="25">
        <f>IFERROR(__xludf.DUMMYFUNCTION("""COMPUTED_VALUE"""),758.25)</f>
        <v>758.25</v>
      </c>
      <c r="K2075" s="25">
        <f>IFERROR(__xludf.DUMMYFUNCTION("""COMPUTED_VALUE"""),745.15)</f>
        <v>745.15</v>
      </c>
      <c r="L2075" s="25">
        <f>IFERROR(__xludf.DUMMYFUNCTION("""COMPUTED_VALUE"""),757.05)</f>
        <v>757.05</v>
      </c>
      <c r="M2075" s="25">
        <f>IFERROR(__xludf.DUMMYFUNCTION("""COMPUTED_VALUE"""),700127.0)</f>
        <v>700127</v>
      </c>
    </row>
    <row r="2076">
      <c r="A2076" s="26">
        <f>IFERROR(__xludf.DUMMYFUNCTION("""COMPUTED_VALUE"""),41423.645833333336)</f>
        <v>41423.64583</v>
      </c>
      <c r="B2076" s="9">
        <f>IFERROR(__xludf.DUMMYFUNCTION("""COMPUTED_VALUE"""),296.25)</f>
        <v>296.25</v>
      </c>
      <c r="C2076" s="9">
        <f>IFERROR(__xludf.DUMMYFUNCTION("""COMPUTED_VALUE"""),298.88)</f>
        <v>298.88</v>
      </c>
      <c r="D2076" s="9">
        <f>IFERROR(__xludf.DUMMYFUNCTION("""COMPUTED_VALUE"""),291.63)</f>
        <v>291.63</v>
      </c>
      <c r="E2076" s="9">
        <f>IFERROR(__xludf.DUMMYFUNCTION("""COMPUTED_VALUE"""),294.05)</f>
        <v>294.05</v>
      </c>
      <c r="F2076" s="9">
        <f>IFERROR(__xludf.DUMMYFUNCTION("""COMPUTED_VALUE"""),645816.0)</f>
        <v>645816</v>
      </c>
      <c r="H2076" s="27">
        <f>IFERROR(__xludf.DUMMYFUNCTION("""COMPUTED_VALUE"""),41423.645833333336)</f>
        <v>41423.64583</v>
      </c>
      <c r="I2076" s="25">
        <f>IFERROR(__xludf.DUMMYFUNCTION("""COMPUTED_VALUE"""),758.0)</f>
        <v>758</v>
      </c>
      <c r="J2076" s="25">
        <f>IFERROR(__xludf.DUMMYFUNCTION("""COMPUTED_VALUE"""),763.75)</f>
        <v>763.75</v>
      </c>
      <c r="K2076" s="25">
        <f>IFERROR(__xludf.DUMMYFUNCTION("""COMPUTED_VALUE"""),742.55)</f>
        <v>742.55</v>
      </c>
      <c r="L2076" s="25">
        <f>IFERROR(__xludf.DUMMYFUNCTION("""COMPUTED_VALUE"""),748.68)</f>
        <v>748.68</v>
      </c>
      <c r="M2076" s="25">
        <f>IFERROR(__xludf.DUMMYFUNCTION("""COMPUTED_VALUE"""),726019.0)</f>
        <v>726019</v>
      </c>
    </row>
    <row r="2077">
      <c r="A2077" s="26">
        <f>IFERROR(__xludf.DUMMYFUNCTION("""COMPUTED_VALUE"""),41424.645833333336)</f>
        <v>41424.64583</v>
      </c>
      <c r="B2077" s="9">
        <f>IFERROR(__xludf.DUMMYFUNCTION("""COMPUTED_VALUE"""),291.69)</f>
        <v>291.69</v>
      </c>
      <c r="C2077" s="9">
        <f>IFERROR(__xludf.DUMMYFUNCTION("""COMPUTED_VALUE"""),293.58)</f>
        <v>293.58</v>
      </c>
      <c r="D2077" s="9">
        <f>IFERROR(__xludf.DUMMYFUNCTION("""COMPUTED_VALUE"""),289.56)</f>
        <v>289.56</v>
      </c>
      <c r="E2077" s="9">
        <f>IFERROR(__xludf.DUMMYFUNCTION("""COMPUTED_VALUE"""),292.68)</f>
        <v>292.68</v>
      </c>
      <c r="F2077" s="9">
        <f>IFERROR(__xludf.DUMMYFUNCTION("""COMPUTED_VALUE"""),792329.0)</f>
        <v>792329</v>
      </c>
      <c r="H2077" s="27">
        <f>IFERROR(__xludf.DUMMYFUNCTION("""COMPUTED_VALUE"""),41424.645833333336)</f>
        <v>41424.64583</v>
      </c>
      <c r="I2077" s="25">
        <f>IFERROR(__xludf.DUMMYFUNCTION("""COMPUTED_VALUE"""),750.0)</f>
        <v>750</v>
      </c>
      <c r="J2077" s="25">
        <f>IFERROR(__xludf.DUMMYFUNCTION("""COMPUTED_VALUE"""),756.0)</f>
        <v>756</v>
      </c>
      <c r="K2077" s="25">
        <f>IFERROR(__xludf.DUMMYFUNCTION("""COMPUTED_VALUE"""),743.5)</f>
        <v>743.5</v>
      </c>
      <c r="L2077" s="25">
        <f>IFERROR(__xludf.DUMMYFUNCTION("""COMPUTED_VALUE"""),749.7)</f>
        <v>749.7</v>
      </c>
      <c r="M2077" s="25">
        <f>IFERROR(__xludf.DUMMYFUNCTION("""COMPUTED_VALUE"""),1204173.0)</f>
        <v>1204173</v>
      </c>
    </row>
    <row r="2078">
      <c r="A2078" s="26">
        <f>IFERROR(__xludf.DUMMYFUNCTION("""COMPUTED_VALUE"""),41425.645833333336)</f>
        <v>41425.64583</v>
      </c>
      <c r="B2078" s="9">
        <f>IFERROR(__xludf.DUMMYFUNCTION("""COMPUTED_VALUE"""),292.75)</f>
        <v>292.75</v>
      </c>
      <c r="C2078" s="9">
        <f>IFERROR(__xludf.DUMMYFUNCTION("""COMPUTED_VALUE"""),304.36)</f>
        <v>304.36</v>
      </c>
      <c r="D2078" s="9">
        <f>IFERROR(__xludf.DUMMYFUNCTION("""COMPUTED_VALUE"""),292.75)</f>
        <v>292.75</v>
      </c>
      <c r="E2078" s="9">
        <f>IFERROR(__xludf.DUMMYFUNCTION("""COMPUTED_VALUE"""),301.46)</f>
        <v>301.46</v>
      </c>
      <c r="F2078" s="9">
        <f>IFERROR(__xludf.DUMMYFUNCTION("""COMPUTED_VALUE"""),2312288.0)</f>
        <v>2312288</v>
      </c>
      <c r="H2078" s="27">
        <f>IFERROR(__xludf.DUMMYFUNCTION("""COMPUTED_VALUE"""),41425.645833333336)</f>
        <v>41425.64583</v>
      </c>
      <c r="I2078" s="25">
        <f>IFERROR(__xludf.DUMMYFUNCTION("""COMPUTED_VALUE"""),745.5)</f>
        <v>745.5</v>
      </c>
      <c r="J2078" s="25">
        <f>IFERROR(__xludf.DUMMYFUNCTION("""COMPUTED_VALUE"""),754.63)</f>
        <v>754.63</v>
      </c>
      <c r="K2078" s="25">
        <f>IFERROR(__xludf.DUMMYFUNCTION("""COMPUTED_VALUE"""),738.38)</f>
        <v>738.38</v>
      </c>
      <c r="L2078" s="25">
        <f>IFERROR(__xludf.DUMMYFUNCTION("""COMPUTED_VALUE"""),749.23)</f>
        <v>749.23</v>
      </c>
      <c r="M2078" s="25">
        <f>IFERROR(__xludf.DUMMYFUNCTION("""COMPUTED_VALUE"""),964934.0)</f>
        <v>964934</v>
      </c>
    </row>
    <row r="2079">
      <c r="A2079" s="26">
        <f>IFERROR(__xludf.DUMMYFUNCTION("""COMPUTED_VALUE"""),41428.645833333336)</f>
        <v>41428.64583</v>
      </c>
      <c r="B2079" s="9">
        <f>IFERROR(__xludf.DUMMYFUNCTION("""COMPUTED_VALUE"""),315.63)</f>
        <v>315.63</v>
      </c>
      <c r="C2079" s="9">
        <f>IFERROR(__xludf.DUMMYFUNCTION("""COMPUTED_VALUE"""),328.13)</f>
        <v>328.13</v>
      </c>
      <c r="D2079" s="9">
        <f>IFERROR(__xludf.DUMMYFUNCTION("""COMPUTED_VALUE"""),309.39)</f>
        <v>309.39</v>
      </c>
      <c r="E2079" s="9">
        <f>IFERROR(__xludf.DUMMYFUNCTION("""COMPUTED_VALUE"""),314.26)</f>
        <v>314.26</v>
      </c>
      <c r="F2079" s="9">
        <f>IFERROR(__xludf.DUMMYFUNCTION("""COMPUTED_VALUE"""),4151906.0)</f>
        <v>4151906</v>
      </c>
      <c r="H2079" s="27">
        <f>IFERROR(__xludf.DUMMYFUNCTION("""COMPUTED_VALUE"""),41428.645833333336)</f>
        <v>41428.64583</v>
      </c>
      <c r="I2079" s="25">
        <f>IFERROR(__xludf.DUMMYFUNCTION("""COMPUTED_VALUE"""),752.0)</f>
        <v>752</v>
      </c>
      <c r="J2079" s="25">
        <f>IFERROR(__xludf.DUMMYFUNCTION("""COMPUTED_VALUE"""),753.5)</f>
        <v>753.5</v>
      </c>
      <c r="K2079" s="25">
        <f>IFERROR(__xludf.DUMMYFUNCTION("""COMPUTED_VALUE"""),728.55)</f>
        <v>728.55</v>
      </c>
      <c r="L2079" s="25">
        <f>IFERROR(__xludf.DUMMYFUNCTION("""COMPUTED_VALUE"""),734.7)</f>
        <v>734.7</v>
      </c>
      <c r="M2079" s="25">
        <f>IFERROR(__xludf.DUMMYFUNCTION("""COMPUTED_VALUE"""),1548806.0)</f>
        <v>1548806</v>
      </c>
    </row>
    <row r="2080">
      <c r="A2080" s="26">
        <f>IFERROR(__xludf.DUMMYFUNCTION("""COMPUTED_VALUE"""),41429.645833333336)</f>
        <v>41429.64583</v>
      </c>
      <c r="B2080" s="9">
        <f>IFERROR(__xludf.DUMMYFUNCTION("""COMPUTED_VALUE"""),311.25)</f>
        <v>311.25</v>
      </c>
      <c r="C2080" s="9">
        <f>IFERROR(__xludf.DUMMYFUNCTION("""COMPUTED_VALUE"""),314.93)</f>
        <v>314.93</v>
      </c>
      <c r="D2080" s="9">
        <f>IFERROR(__xludf.DUMMYFUNCTION("""COMPUTED_VALUE"""),307.95)</f>
        <v>307.95</v>
      </c>
      <c r="E2080" s="9">
        <f>IFERROR(__xludf.DUMMYFUNCTION("""COMPUTED_VALUE"""),311.99)</f>
        <v>311.99</v>
      </c>
      <c r="F2080" s="9">
        <f>IFERROR(__xludf.DUMMYFUNCTION("""COMPUTED_VALUE"""),1464320.0)</f>
        <v>1464320</v>
      </c>
      <c r="H2080" s="27">
        <f>IFERROR(__xludf.DUMMYFUNCTION("""COMPUTED_VALUE"""),41429.645833333336)</f>
        <v>41429.64583</v>
      </c>
      <c r="I2080" s="25">
        <f>IFERROR(__xludf.DUMMYFUNCTION("""COMPUTED_VALUE"""),730.0)</f>
        <v>730</v>
      </c>
      <c r="J2080" s="25">
        <f>IFERROR(__xludf.DUMMYFUNCTION("""COMPUTED_VALUE"""),736.95)</f>
        <v>736.95</v>
      </c>
      <c r="K2080" s="25">
        <f>IFERROR(__xludf.DUMMYFUNCTION("""COMPUTED_VALUE"""),725.08)</f>
        <v>725.08</v>
      </c>
      <c r="L2080" s="25">
        <f>IFERROR(__xludf.DUMMYFUNCTION("""COMPUTED_VALUE"""),732.68)</f>
        <v>732.68</v>
      </c>
      <c r="M2080" s="25">
        <f>IFERROR(__xludf.DUMMYFUNCTION("""COMPUTED_VALUE"""),652660.0)</f>
        <v>652660</v>
      </c>
    </row>
    <row r="2081">
      <c r="A2081" s="26">
        <f>IFERROR(__xludf.DUMMYFUNCTION("""COMPUTED_VALUE"""),41430.645833333336)</f>
        <v>41430.64583</v>
      </c>
      <c r="B2081" s="9">
        <f>IFERROR(__xludf.DUMMYFUNCTION("""COMPUTED_VALUE"""),310.0)</f>
        <v>310</v>
      </c>
      <c r="C2081" s="9">
        <f>IFERROR(__xludf.DUMMYFUNCTION("""COMPUTED_VALUE"""),311.27)</f>
        <v>311.27</v>
      </c>
      <c r="D2081" s="9">
        <f>IFERROR(__xludf.DUMMYFUNCTION("""COMPUTED_VALUE"""),306.88)</f>
        <v>306.88</v>
      </c>
      <c r="E2081" s="9">
        <f>IFERROR(__xludf.DUMMYFUNCTION("""COMPUTED_VALUE"""),307.66)</f>
        <v>307.66</v>
      </c>
      <c r="F2081" s="9">
        <f>IFERROR(__xludf.DUMMYFUNCTION("""COMPUTED_VALUE"""),634848.0)</f>
        <v>634848</v>
      </c>
      <c r="H2081" s="27">
        <f>IFERROR(__xludf.DUMMYFUNCTION("""COMPUTED_VALUE"""),41430.645833333336)</f>
        <v>41430.64583</v>
      </c>
      <c r="I2081" s="25">
        <f>IFERROR(__xludf.DUMMYFUNCTION("""COMPUTED_VALUE"""),730.55)</f>
        <v>730.55</v>
      </c>
      <c r="J2081" s="25">
        <f>IFERROR(__xludf.DUMMYFUNCTION("""COMPUTED_VALUE"""),736.33)</f>
        <v>736.33</v>
      </c>
      <c r="K2081" s="25">
        <f>IFERROR(__xludf.DUMMYFUNCTION("""COMPUTED_VALUE"""),726.35)</f>
        <v>726.35</v>
      </c>
      <c r="L2081" s="25">
        <f>IFERROR(__xludf.DUMMYFUNCTION("""COMPUTED_VALUE"""),733.9)</f>
        <v>733.9</v>
      </c>
      <c r="M2081" s="25">
        <f>IFERROR(__xludf.DUMMYFUNCTION("""COMPUTED_VALUE"""),864338.0)</f>
        <v>864338</v>
      </c>
    </row>
    <row r="2082">
      <c r="A2082" s="26">
        <f>IFERROR(__xludf.DUMMYFUNCTION("""COMPUTED_VALUE"""),41431.645833333336)</f>
        <v>41431.64583</v>
      </c>
      <c r="B2082" s="9">
        <f>IFERROR(__xludf.DUMMYFUNCTION("""COMPUTED_VALUE"""),306.25)</f>
        <v>306.25</v>
      </c>
      <c r="C2082" s="9">
        <f>IFERROR(__xludf.DUMMYFUNCTION("""COMPUTED_VALUE"""),306.83)</f>
        <v>306.83</v>
      </c>
      <c r="D2082" s="9">
        <f>IFERROR(__xludf.DUMMYFUNCTION("""COMPUTED_VALUE"""),301.99)</f>
        <v>301.99</v>
      </c>
      <c r="E2082" s="9">
        <f>IFERROR(__xludf.DUMMYFUNCTION("""COMPUTED_VALUE"""),303.71)</f>
        <v>303.71</v>
      </c>
      <c r="F2082" s="9">
        <f>IFERROR(__xludf.DUMMYFUNCTION("""COMPUTED_VALUE"""),938654.0)</f>
        <v>938654</v>
      </c>
      <c r="H2082" s="27">
        <f>IFERROR(__xludf.DUMMYFUNCTION("""COMPUTED_VALUE"""),41431.645833333336)</f>
        <v>41431.64583</v>
      </c>
      <c r="I2082" s="25">
        <f>IFERROR(__xludf.DUMMYFUNCTION("""COMPUTED_VALUE"""),726.85)</f>
        <v>726.85</v>
      </c>
      <c r="J2082" s="25">
        <f>IFERROR(__xludf.DUMMYFUNCTION("""COMPUTED_VALUE"""),739.25)</f>
        <v>739.25</v>
      </c>
      <c r="K2082" s="25">
        <f>IFERROR(__xludf.DUMMYFUNCTION("""COMPUTED_VALUE"""),726.03)</f>
        <v>726.03</v>
      </c>
      <c r="L2082" s="25">
        <f>IFERROR(__xludf.DUMMYFUNCTION("""COMPUTED_VALUE"""),735.38)</f>
        <v>735.38</v>
      </c>
      <c r="M2082" s="25">
        <f>IFERROR(__xludf.DUMMYFUNCTION("""COMPUTED_VALUE"""),1270226.0)</f>
        <v>1270226</v>
      </c>
    </row>
    <row r="2083">
      <c r="A2083" s="26">
        <f>IFERROR(__xludf.DUMMYFUNCTION("""COMPUTED_VALUE"""),41432.645833333336)</f>
        <v>41432.64583</v>
      </c>
      <c r="B2083" s="9">
        <f>IFERROR(__xludf.DUMMYFUNCTION("""COMPUTED_VALUE"""),303.13)</f>
        <v>303.13</v>
      </c>
      <c r="C2083" s="9">
        <f>IFERROR(__xludf.DUMMYFUNCTION("""COMPUTED_VALUE"""),309.11)</f>
        <v>309.11</v>
      </c>
      <c r="D2083" s="9">
        <f>IFERROR(__xludf.DUMMYFUNCTION("""COMPUTED_VALUE"""),302.5)</f>
        <v>302.5</v>
      </c>
      <c r="E2083" s="9">
        <f>IFERROR(__xludf.DUMMYFUNCTION("""COMPUTED_VALUE"""),305.85)</f>
        <v>305.85</v>
      </c>
      <c r="F2083" s="9">
        <f>IFERROR(__xludf.DUMMYFUNCTION("""COMPUTED_VALUE"""),827271.0)</f>
        <v>827271</v>
      </c>
      <c r="H2083" s="27">
        <f>IFERROR(__xludf.DUMMYFUNCTION("""COMPUTED_VALUE"""),41432.645833333336)</f>
        <v>41432.64583</v>
      </c>
      <c r="I2083" s="25">
        <f>IFERROR(__xludf.DUMMYFUNCTION("""COMPUTED_VALUE"""),735.05)</f>
        <v>735.05</v>
      </c>
      <c r="J2083" s="25">
        <f>IFERROR(__xludf.DUMMYFUNCTION("""COMPUTED_VALUE"""),769.5)</f>
        <v>769.5</v>
      </c>
      <c r="K2083" s="25">
        <f>IFERROR(__xludf.DUMMYFUNCTION("""COMPUTED_VALUE"""),734.0)</f>
        <v>734</v>
      </c>
      <c r="L2083" s="25">
        <f>IFERROR(__xludf.DUMMYFUNCTION("""COMPUTED_VALUE"""),759.48)</f>
        <v>759.48</v>
      </c>
      <c r="M2083" s="25">
        <f>IFERROR(__xludf.DUMMYFUNCTION("""COMPUTED_VALUE"""),1775422.0)</f>
        <v>1775422</v>
      </c>
    </row>
    <row r="2084">
      <c r="A2084" s="26">
        <f>IFERROR(__xludf.DUMMYFUNCTION("""COMPUTED_VALUE"""),41435.645833333336)</f>
        <v>41435.64583</v>
      </c>
      <c r="B2084" s="9">
        <f>IFERROR(__xludf.DUMMYFUNCTION("""COMPUTED_VALUE"""),307.5)</f>
        <v>307.5</v>
      </c>
      <c r="C2084" s="9">
        <f>IFERROR(__xludf.DUMMYFUNCTION("""COMPUTED_VALUE"""),312.25)</f>
        <v>312.25</v>
      </c>
      <c r="D2084" s="9">
        <f>IFERROR(__xludf.DUMMYFUNCTION("""COMPUTED_VALUE"""),307.15)</f>
        <v>307.15</v>
      </c>
      <c r="E2084" s="9">
        <f>IFERROR(__xludf.DUMMYFUNCTION("""COMPUTED_VALUE"""),310.84)</f>
        <v>310.84</v>
      </c>
      <c r="F2084" s="9">
        <f>IFERROR(__xludf.DUMMYFUNCTION("""COMPUTED_VALUE"""),536130.0)</f>
        <v>536130</v>
      </c>
      <c r="H2084" s="27">
        <f>IFERROR(__xludf.DUMMYFUNCTION("""COMPUTED_VALUE"""),41435.645833333336)</f>
        <v>41435.64583</v>
      </c>
      <c r="I2084" s="25">
        <f>IFERROR(__xludf.DUMMYFUNCTION("""COMPUTED_VALUE"""),762.53)</f>
        <v>762.53</v>
      </c>
      <c r="J2084" s="25">
        <f>IFERROR(__xludf.DUMMYFUNCTION("""COMPUTED_VALUE"""),772.35)</f>
        <v>772.35</v>
      </c>
      <c r="K2084" s="25">
        <f>IFERROR(__xludf.DUMMYFUNCTION("""COMPUTED_VALUE"""),759.55)</f>
        <v>759.55</v>
      </c>
      <c r="L2084" s="25">
        <f>IFERROR(__xludf.DUMMYFUNCTION("""COMPUTED_VALUE"""),762.53)</f>
        <v>762.53</v>
      </c>
      <c r="M2084" s="25">
        <f>IFERROR(__xludf.DUMMYFUNCTION("""COMPUTED_VALUE"""),1680215.0)</f>
        <v>1680215</v>
      </c>
    </row>
    <row r="2085">
      <c r="A2085" s="26">
        <f>IFERROR(__xludf.DUMMYFUNCTION("""COMPUTED_VALUE"""),41436.645833333336)</f>
        <v>41436.64583</v>
      </c>
      <c r="B2085" s="9">
        <f>IFERROR(__xludf.DUMMYFUNCTION("""COMPUTED_VALUE"""),311.25)</f>
        <v>311.25</v>
      </c>
      <c r="C2085" s="9">
        <f>IFERROR(__xludf.DUMMYFUNCTION("""COMPUTED_VALUE"""),314.31)</f>
        <v>314.31</v>
      </c>
      <c r="D2085" s="9">
        <f>IFERROR(__xludf.DUMMYFUNCTION("""COMPUTED_VALUE"""),308.23)</f>
        <v>308.23</v>
      </c>
      <c r="E2085" s="9">
        <f>IFERROR(__xludf.DUMMYFUNCTION("""COMPUTED_VALUE"""),309.44)</f>
        <v>309.44</v>
      </c>
      <c r="F2085" s="9">
        <f>IFERROR(__xludf.DUMMYFUNCTION("""COMPUTED_VALUE"""),744713.0)</f>
        <v>744713</v>
      </c>
      <c r="H2085" s="27">
        <f>IFERROR(__xludf.DUMMYFUNCTION("""COMPUTED_VALUE"""),41436.645833333336)</f>
        <v>41436.64583</v>
      </c>
      <c r="I2085" s="25">
        <f>IFERROR(__xludf.DUMMYFUNCTION("""COMPUTED_VALUE"""),765.1)</f>
        <v>765.1</v>
      </c>
      <c r="J2085" s="25">
        <f>IFERROR(__xludf.DUMMYFUNCTION("""COMPUTED_VALUE"""),771.0)</f>
        <v>771</v>
      </c>
      <c r="K2085" s="25">
        <f>IFERROR(__xludf.DUMMYFUNCTION("""COMPUTED_VALUE"""),746.0)</f>
        <v>746</v>
      </c>
      <c r="L2085" s="25">
        <f>IFERROR(__xludf.DUMMYFUNCTION("""COMPUTED_VALUE"""),750.78)</f>
        <v>750.78</v>
      </c>
      <c r="M2085" s="25">
        <f>IFERROR(__xludf.DUMMYFUNCTION("""COMPUTED_VALUE"""),1102734.0)</f>
        <v>1102734</v>
      </c>
    </row>
    <row r="2086">
      <c r="A2086" s="26">
        <f>IFERROR(__xludf.DUMMYFUNCTION("""COMPUTED_VALUE"""),41437.645833333336)</f>
        <v>41437.64583</v>
      </c>
      <c r="B2086" s="9">
        <f>IFERROR(__xludf.DUMMYFUNCTION("""COMPUTED_VALUE"""),307.78)</f>
        <v>307.78</v>
      </c>
      <c r="C2086" s="9">
        <f>IFERROR(__xludf.DUMMYFUNCTION("""COMPUTED_VALUE"""),313.3)</f>
        <v>313.3</v>
      </c>
      <c r="D2086" s="9">
        <f>IFERROR(__xludf.DUMMYFUNCTION("""COMPUTED_VALUE"""),301.61)</f>
        <v>301.61</v>
      </c>
      <c r="E2086" s="9">
        <f>IFERROR(__xludf.DUMMYFUNCTION("""COMPUTED_VALUE"""),302.67)</f>
        <v>302.67</v>
      </c>
      <c r="F2086" s="9">
        <f>IFERROR(__xludf.DUMMYFUNCTION("""COMPUTED_VALUE"""),740911.0)</f>
        <v>740911</v>
      </c>
      <c r="H2086" s="27">
        <f>IFERROR(__xludf.DUMMYFUNCTION("""COMPUTED_VALUE"""),41437.645833333336)</f>
        <v>41437.64583</v>
      </c>
      <c r="I2086" s="25">
        <f>IFERROR(__xludf.DUMMYFUNCTION("""COMPUTED_VALUE"""),747.05)</f>
        <v>747.05</v>
      </c>
      <c r="J2086" s="25">
        <f>IFERROR(__xludf.DUMMYFUNCTION("""COMPUTED_VALUE"""),747.55)</f>
        <v>747.55</v>
      </c>
      <c r="K2086" s="25">
        <f>IFERROR(__xludf.DUMMYFUNCTION("""COMPUTED_VALUE"""),731.03)</f>
        <v>731.03</v>
      </c>
      <c r="L2086" s="25">
        <f>IFERROR(__xludf.DUMMYFUNCTION("""COMPUTED_VALUE"""),734.05)</f>
        <v>734.05</v>
      </c>
      <c r="M2086" s="25">
        <f>IFERROR(__xludf.DUMMYFUNCTION("""COMPUTED_VALUE"""),2402977.0)</f>
        <v>2402977</v>
      </c>
    </row>
    <row r="2087">
      <c r="A2087" s="26">
        <f>IFERROR(__xludf.DUMMYFUNCTION("""COMPUTED_VALUE"""),41438.645833333336)</f>
        <v>41438.64583</v>
      </c>
      <c r="B2087" s="9">
        <f>IFERROR(__xludf.DUMMYFUNCTION("""COMPUTED_VALUE"""),303.0)</f>
        <v>303</v>
      </c>
      <c r="C2087" s="9">
        <f>IFERROR(__xludf.DUMMYFUNCTION("""COMPUTED_VALUE"""),303.13)</f>
        <v>303.13</v>
      </c>
      <c r="D2087" s="9">
        <f>IFERROR(__xludf.DUMMYFUNCTION("""COMPUTED_VALUE"""),296.88)</f>
        <v>296.88</v>
      </c>
      <c r="E2087" s="9">
        <f>IFERROR(__xludf.DUMMYFUNCTION("""COMPUTED_VALUE"""),297.49)</f>
        <v>297.49</v>
      </c>
      <c r="F2087" s="9">
        <f>IFERROR(__xludf.DUMMYFUNCTION("""COMPUTED_VALUE"""),519291.0)</f>
        <v>519291</v>
      </c>
      <c r="H2087" s="27">
        <f>IFERROR(__xludf.DUMMYFUNCTION("""COMPUTED_VALUE"""),41438.645833333336)</f>
        <v>41438.64583</v>
      </c>
      <c r="I2087" s="25">
        <f>IFERROR(__xludf.DUMMYFUNCTION("""COMPUTED_VALUE"""),730.0)</f>
        <v>730</v>
      </c>
      <c r="J2087" s="25">
        <f>IFERROR(__xludf.DUMMYFUNCTION("""COMPUTED_VALUE"""),732.0)</f>
        <v>732</v>
      </c>
      <c r="K2087" s="25">
        <f>IFERROR(__xludf.DUMMYFUNCTION("""COMPUTED_VALUE"""),717.55)</f>
        <v>717.55</v>
      </c>
      <c r="L2087" s="25">
        <f>IFERROR(__xludf.DUMMYFUNCTION("""COMPUTED_VALUE"""),722.83)</f>
        <v>722.83</v>
      </c>
      <c r="M2087" s="25">
        <f>IFERROR(__xludf.DUMMYFUNCTION("""COMPUTED_VALUE"""),1575671.0)</f>
        <v>1575671</v>
      </c>
    </row>
    <row r="2088">
      <c r="A2088" s="26">
        <f>IFERROR(__xludf.DUMMYFUNCTION("""COMPUTED_VALUE"""),41439.645833333336)</f>
        <v>41439.64583</v>
      </c>
      <c r="B2088" s="9">
        <f>IFERROR(__xludf.DUMMYFUNCTION("""COMPUTED_VALUE"""),298.96)</f>
        <v>298.96</v>
      </c>
      <c r="C2088" s="9">
        <f>IFERROR(__xludf.DUMMYFUNCTION("""COMPUTED_VALUE"""),301.13)</f>
        <v>301.13</v>
      </c>
      <c r="D2088" s="9">
        <f>IFERROR(__xludf.DUMMYFUNCTION("""COMPUTED_VALUE"""),297.14)</f>
        <v>297.14</v>
      </c>
      <c r="E2088" s="9">
        <f>IFERROR(__xludf.DUMMYFUNCTION("""COMPUTED_VALUE"""),299.37)</f>
        <v>299.37</v>
      </c>
      <c r="F2088" s="9">
        <f>IFERROR(__xludf.DUMMYFUNCTION("""COMPUTED_VALUE"""),698008.0)</f>
        <v>698008</v>
      </c>
      <c r="H2088" s="27">
        <f>IFERROR(__xludf.DUMMYFUNCTION("""COMPUTED_VALUE"""),41439.645833333336)</f>
        <v>41439.64583</v>
      </c>
      <c r="I2088" s="25">
        <f>IFERROR(__xludf.DUMMYFUNCTION("""COMPUTED_VALUE"""),724.0)</f>
        <v>724</v>
      </c>
      <c r="J2088" s="25">
        <f>IFERROR(__xludf.DUMMYFUNCTION("""COMPUTED_VALUE"""),728.63)</f>
        <v>728.63</v>
      </c>
      <c r="K2088" s="25">
        <f>IFERROR(__xludf.DUMMYFUNCTION("""COMPUTED_VALUE"""),715.5)</f>
        <v>715.5</v>
      </c>
      <c r="L2088" s="25">
        <f>IFERROR(__xludf.DUMMYFUNCTION("""COMPUTED_VALUE"""),725.35)</f>
        <v>725.35</v>
      </c>
      <c r="M2088" s="25">
        <f>IFERROR(__xludf.DUMMYFUNCTION("""COMPUTED_VALUE"""),1552998.0)</f>
        <v>1552998</v>
      </c>
    </row>
    <row r="2089">
      <c r="A2089" s="26">
        <f>IFERROR(__xludf.DUMMYFUNCTION("""COMPUTED_VALUE"""),41442.645833333336)</f>
        <v>41442.64583</v>
      </c>
      <c r="B2089" s="9">
        <f>IFERROR(__xludf.DUMMYFUNCTION("""COMPUTED_VALUE"""),301.43)</f>
        <v>301.43</v>
      </c>
      <c r="C2089" s="9">
        <f>IFERROR(__xludf.DUMMYFUNCTION("""COMPUTED_VALUE"""),303.25)</f>
        <v>303.25</v>
      </c>
      <c r="D2089" s="9">
        <f>IFERROR(__xludf.DUMMYFUNCTION("""COMPUTED_VALUE"""),299.36)</f>
        <v>299.36</v>
      </c>
      <c r="E2089" s="9">
        <f>IFERROR(__xludf.DUMMYFUNCTION("""COMPUTED_VALUE"""),302.83)</f>
        <v>302.83</v>
      </c>
      <c r="F2089" s="9">
        <f>IFERROR(__xludf.DUMMYFUNCTION("""COMPUTED_VALUE"""),340063.0)</f>
        <v>340063</v>
      </c>
      <c r="H2089" s="27">
        <f>IFERROR(__xludf.DUMMYFUNCTION("""COMPUTED_VALUE"""),41442.645833333336)</f>
        <v>41442.64583</v>
      </c>
      <c r="I2089" s="25">
        <f>IFERROR(__xludf.DUMMYFUNCTION("""COMPUTED_VALUE"""),726.5)</f>
        <v>726.5</v>
      </c>
      <c r="J2089" s="25">
        <f>IFERROR(__xludf.DUMMYFUNCTION("""COMPUTED_VALUE"""),732.5)</f>
        <v>732.5</v>
      </c>
      <c r="K2089" s="25">
        <f>IFERROR(__xludf.DUMMYFUNCTION("""COMPUTED_VALUE"""),714.0)</f>
        <v>714</v>
      </c>
      <c r="L2089" s="25">
        <f>IFERROR(__xludf.DUMMYFUNCTION("""COMPUTED_VALUE"""),726.23)</f>
        <v>726.23</v>
      </c>
      <c r="M2089" s="25">
        <f>IFERROR(__xludf.DUMMYFUNCTION("""COMPUTED_VALUE"""),1292081.0)</f>
        <v>1292081</v>
      </c>
    </row>
    <row r="2090">
      <c r="A2090" s="26">
        <f>IFERROR(__xludf.DUMMYFUNCTION("""COMPUTED_VALUE"""),41443.645833333336)</f>
        <v>41443.64583</v>
      </c>
      <c r="B2090" s="9">
        <f>IFERROR(__xludf.DUMMYFUNCTION("""COMPUTED_VALUE"""),303.75)</f>
        <v>303.75</v>
      </c>
      <c r="C2090" s="9">
        <f>IFERROR(__xludf.DUMMYFUNCTION("""COMPUTED_VALUE"""),307.5)</f>
        <v>307.5</v>
      </c>
      <c r="D2090" s="9">
        <f>IFERROR(__xludf.DUMMYFUNCTION("""COMPUTED_VALUE"""),303.09)</f>
        <v>303.09</v>
      </c>
      <c r="E2090" s="9">
        <f>IFERROR(__xludf.DUMMYFUNCTION("""COMPUTED_VALUE"""),305.82)</f>
        <v>305.82</v>
      </c>
      <c r="F2090" s="9">
        <f>IFERROR(__xludf.DUMMYFUNCTION("""COMPUTED_VALUE"""),535613.0)</f>
        <v>535613</v>
      </c>
      <c r="H2090" s="27">
        <f>IFERROR(__xludf.DUMMYFUNCTION("""COMPUTED_VALUE"""),41443.645833333336)</f>
        <v>41443.64583</v>
      </c>
      <c r="I2090" s="25">
        <f>IFERROR(__xludf.DUMMYFUNCTION("""COMPUTED_VALUE"""),727.5)</f>
        <v>727.5</v>
      </c>
      <c r="J2090" s="25">
        <f>IFERROR(__xludf.DUMMYFUNCTION("""COMPUTED_VALUE"""),730.0)</f>
        <v>730</v>
      </c>
      <c r="K2090" s="25">
        <f>IFERROR(__xludf.DUMMYFUNCTION("""COMPUTED_VALUE"""),720.08)</f>
        <v>720.08</v>
      </c>
      <c r="L2090" s="25">
        <f>IFERROR(__xludf.DUMMYFUNCTION("""COMPUTED_VALUE"""),721.9)</f>
        <v>721.9</v>
      </c>
      <c r="M2090" s="25">
        <f>IFERROR(__xludf.DUMMYFUNCTION("""COMPUTED_VALUE"""),1145764.0)</f>
        <v>1145764</v>
      </c>
    </row>
    <row r="2091">
      <c r="A2091" s="26">
        <f>IFERROR(__xludf.DUMMYFUNCTION("""COMPUTED_VALUE"""),41444.645833333336)</f>
        <v>41444.64583</v>
      </c>
      <c r="B2091" s="9">
        <f>IFERROR(__xludf.DUMMYFUNCTION("""COMPUTED_VALUE"""),305.75)</f>
        <v>305.75</v>
      </c>
      <c r="C2091" s="9">
        <f>IFERROR(__xludf.DUMMYFUNCTION("""COMPUTED_VALUE"""),306.09)</f>
        <v>306.09</v>
      </c>
      <c r="D2091" s="9">
        <f>IFERROR(__xludf.DUMMYFUNCTION("""COMPUTED_VALUE"""),300.91)</f>
        <v>300.91</v>
      </c>
      <c r="E2091" s="9">
        <f>IFERROR(__xludf.DUMMYFUNCTION("""COMPUTED_VALUE"""),304.79)</f>
        <v>304.79</v>
      </c>
      <c r="F2091" s="9">
        <f>IFERROR(__xludf.DUMMYFUNCTION("""COMPUTED_VALUE"""),729604.0)</f>
        <v>729604</v>
      </c>
      <c r="H2091" s="27">
        <f>IFERROR(__xludf.DUMMYFUNCTION("""COMPUTED_VALUE"""),41444.645833333336)</f>
        <v>41444.64583</v>
      </c>
      <c r="I2091" s="25">
        <f>IFERROR(__xludf.DUMMYFUNCTION("""COMPUTED_VALUE"""),727.45)</f>
        <v>727.45</v>
      </c>
      <c r="J2091" s="25">
        <f>IFERROR(__xludf.DUMMYFUNCTION("""COMPUTED_VALUE"""),727.45)</f>
        <v>727.45</v>
      </c>
      <c r="K2091" s="25">
        <f>IFERROR(__xludf.DUMMYFUNCTION("""COMPUTED_VALUE"""),711.78)</f>
        <v>711.78</v>
      </c>
      <c r="L2091" s="25">
        <f>IFERROR(__xludf.DUMMYFUNCTION("""COMPUTED_VALUE"""),713.85)</f>
        <v>713.85</v>
      </c>
      <c r="M2091" s="25">
        <f>IFERROR(__xludf.DUMMYFUNCTION("""COMPUTED_VALUE"""),1069894.0)</f>
        <v>1069894</v>
      </c>
    </row>
    <row r="2092">
      <c r="A2092" s="26">
        <f>IFERROR(__xludf.DUMMYFUNCTION("""COMPUTED_VALUE"""),41445.645833333336)</f>
        <v>41445.64583</v>
      </c>
      <c r="B2092" s="9">
        <f>IFERROR(__xludf.DUMMYFUNCTION("""COMPUTED_VALUE"""),303.5)</f>
        <v>303.5</v>
      </c>
      <c r="C2092" s="9">
        <f>IFERROR(__xludf.DUMMYFUNCTION("""COMPUTED_VALUE"""),306.0)</f>
        <v>306</v>
      </c>
      <c r="D2092" s="9">
        <f>IFERROR(__xludf.DUMMYFUNCTION("""COMPUTED_VALUE"""),292.84)</f>
        <v>292.84</v>
      </c>
      <c r="E2092" s="9">
        <f>IFERROR(__xludf.DUMMYFUNCTION("""COMPUTED_VALUE"""),296.14)</f>
        <v>296.14</v>
      </c>
      <c r="F2092" s="9">
        <f>IFERROR(__xludf.DUMMYFUNCTION("""COMPUTED_VALUE"""),850366.0)</f>
        <v>850366</v>
      </c>
      <c r="H2092" s="27">
        <f>IFERROR(__xludf.DUMMYFUNCTION("""COMPUTED_VALUE"""),41445.645833333336)</f>
        <v>41445.64583</v>
      </c>
      <c r="I2092" s="25">
        <f>IFERROR(__xludf.DUMMYFUNCTION("""COMPUTED_VALUE"""),710.5)</f>
        <v>710.5</v>
      </c>
      <c r="J2092" s="25">
        <f>IFERROR(__xludf.DUMMYFUNCTION("""COMPUTED_VALUE"""),716.58)</f>
        <v>716.58</v>
      </c>
      <c r="K2092" s="25">
        <f>IFERROR(__xludf.DUMMYFUNCTION("""COMPUTED_VALUE"""),699.55)</f>
        <v>699.55</v>
      </c>
      <c r="L2092" s="25">
        <f>IFERROR(__xludf.DUMMYFUNCTION("""COMPUTED_VALUE"""),702.25)</f>
        <v>702.25</v>
      </c>
      <c r="M2092" s="25">
        <f>IFERROR(__xludf.DUMMYFUNCTION("""COMPUTED_VALUE"""),2086439.0)</f>
        <v>2086439</v>
      </c>
    </row>
    <row r="2093">
      <c r="A2093" s="26">
        <f>IFERROR(__xludf.DUMMYFUNCTION("""COMPUTED_VALUE"""),41446.645833333336)</f>
        <v>41446.64583</v>
      </c>
      <c r="B2093" s="9">
        <f>IFERROR(__xludf.DUMMYFUNCTION("""COMPUTED_VALUE"""),296.33)</f>
        <v>296.33</v>
      </c>
      <c r="C2093" s="9">
        <f>IFERROR(__xludf.DUMMYFUNCTION("""COMPUTED_VALUE"""),304.0)</f>
        <v>304</v>
      </c>
      <c r="D2093" s="9">
        <f>IFERROR(__xludf.DUMMYFUNCTION("""COMPUTED_VALUE"""),296.33)</f>
        <v>296.33</v>
      </c>
      <c r="E2093" s="9">
        <f>IFERROR(__xludf.DUMMYFUNCTION("""COMPUTED_VALUE"""),302.34)</f>
        <v>302.34</v>
      </c>
      <c r="F2093" s="9">
        <f>IFERROR(__xludf.DUMMYFUNCTION("""COMPUTED_VALUE"""),770171.0)</f>
        <v>770171</v>
      </c>
      <c r="H2093" s="27">
        <f>IFERROR(__xludf.DUMMYFUNCTION("""COMPUTED_VALUE"""),41446.645833333336)</f>
        <v>41446.64583</v>
      </c>
      <c r="I2093" s="25">
        <f>IFERROR(__xludf.DUMMYFUNCTION("""COMPUTED_VALUE"""),704.4)</f>
        <v>704.4</v>
      </c>
      <c r="J2093" s="25">
        <f>IFERROR(__xludf.DUMMYFUNCTION("""COMPUTED_VALUE"""),715.93)</f>
        <v>715.93</v>
      </c>
      <c r="K2093" s="25">
        <f>IFERROR(__xludf.DUMMYFUNCTION("""COMPUTED_VALUE"""),704.0)</f>
        <v>704</v>
      </c>
      <c r="L2093" s="25">
        <f>IFERROR(__xludf.DUMMYFUNCTION("""COMPUTED_VALUE"""),711.13)</f>
        <v>711.13</v>
      </c>
      <c r="M2093" s="25">
        <f>IFERROR(__xludf.DUMMYFUNCTION("""COMPUTED_VALUE"""),1424112.0)</f>
        <v>1424112</v>
      </c>
    </row>
    <row r="2094">
      <c r="A2094" s="26">
        <f>IFERROR(__xludf.DUMMYFUNCTION("""COMPUTED_VALUE"""),41449.645833333336)</f>
        <v>41449.64583</v>
      </c>
      <c r="B2094" s="9">
        <f>IFERROR(__xludf.DUMMYFUNCTION("""COMPUTED_VALUE"""),300.31)</f>
        <v>300.31</v>
      </c>
      <c r="C2094" s="9">
        <f>IFERROR(__xludf.DUMMYFUNCTION("""COMPUTED_VALUE"""),300.41)</f>
        <v>300.41</v>
      </c>
      <c r="D2094" s="9">
        <f>IFERROR(__xludf.DUMMYFUNCTION("""COMPUTED_VALUE"""),293.99)</f>
        <v>293.99</v>
      </c>
      <c r="E2094" s="9">
        <f>IFERROR(__xludf.DUMMYFUNCTION("""COMPUTED_VALUE"""),297.55)</f>
        <v>297.55</v>
      </c>
      <c r="F2094" s="9">
        <f>IFERROR(__xludf.DUMMYFUNCTION("""COMPUTED_VALUE"""),917069.0)</f>
        <v>917069</v>
      </c>
      <c r="H2094" s="27">
        <f>IFERROR(__xludf.DUMMYFUNCTION("""COMPUTED_VALUE"""),41449.645833333336)</f>
        <v>41449.64583</v>
      </c>
      <c r="I2094" s="25">
        <f>IFERROR(__xludf.DUMMYFUNCTION("""COMPUTED_VALUE"""),707.5)</f>
        <v>707.5</v>
      </c>
      <c r="J2094" s="25">
        <f>IFERROR(__xludf.DUMMYFUNCTION("""COMPUTED_VALUE"""),717.05)</f>
        <v>717.05</v>
      </c>
      <c r="K2094" s="25">
        <f>IFERROR(__xludf.DUMMYFUNCTION("""COMPUTED_VALUE"""),700.05)</f>
        <v>700.05</v>
      </c>
      <c r="L2094" s="25">
        <f>IFERROR(__xludf.DUMMYFUNCTION("""COMPUTED_VALUE"""),705.35)</f>
        <v>705.35</v>
      </c>
      <c r="M2094" s="25">
        <f>IFERROR(__xludf.DUMMYFUNCTION("""COMPUTED_VALUE"""),944582.0)</f>
        <v>944582</v>
      </c>
    </row>
    <row r="2095">
      <c r="A2095" s="26">
        <f>IFERROR(__xludf.DUMMYFUNCTION("""COMPUTED_VALUE"""),41450.645833333336)</f>
        <v>41450.64583</v>
      </c>
      <c r="B2095" s="9">
        <f>IFERROR(__xludf.DUMMYFUNCTION("""COMPUTED_VALUE"""),297.5)</f>
        <v>297.5</v>
      </c>
      <c r="C2095" s="9">
        <f>IFERROR(__xludf.DUMMYFUNCTION("""COMPUTED_VALUE"""),298.36)</f>
        <v>298.36</v>
      </c>
      <c r="D2095" s="9">
        <f>IFERROR(__xludf.DUMMYFUNCTION("""COMPUTED_VALUE"""),293.13)</f>
        <v>293.13</v>
      </c>
      <c r="E2095" s="9">
        <f>IFERROR(__xludf.DUMMYFUNCTION("""COMPUTED_VALUE"""),296.74)</f>
        <v>296.74</v>
      </c>
      <c r="F2095" s="9">
        <f>IFERROR(__xludf.DUMMYFUNCTION("""COMPUTED_VALUE"""),723830.0)</f>
        <v>723830</v>
      </c>
      <c r="H2095" s="27">
        <f>IFERROR(__xludf.DUMMYFUNCTION("""COMPUTED_VALUE"""),41450.645833333336)</f>
        <v>41450.64583</v>
      </c>
      <c r="I2095" s="25">
        <f>IFERROR(__xludf.DUMMYFUNCTION("""COMPUTED_VALUE"""),706.75)</f>
        <v>706.75</v>
      </c>
      <c r="J2095" s="25">
        <f>IFERROR(__xludf.DUMMYFUNCTION("""COMPUTED_VALUE"""),713.55)</f>
        <v>713.55</v>
      </c>
      <c r="K2095" s="25">
        <f>IFERROR(__xludf.DUMMYFUNCTION("""COMPUTED_VALUE"""),690.35)</f>
        <v>690.35</v>
      </c>
      <c r="L2095" s="25">
        <f>IFERROR(__xludf.DUMMYFUNCTION("""COMPUTED_VALUE"""),696.15)</f>
        <v>696.15</v>
      </c>
      <c r="M2095" s="25">
        <f>IFERROR(__xludf.DUMMYFUNCTION("""COMPUTED_VALUE"""),930274.0)</f>
        <v>930274</v>
      </c>
    </row>
    <row r="2096">
      <c r="A2096" s="26">
        <f>IFERROR(__xludf.DUMMYFUNCTION("""COMPUTED_VALUE"""),41451.645833333336)</f>
        <v>41451.64583</v>
      </c>
      <c r="B2096" s="9">
        <f>IFERROR(__xludf.DUMMYFUNCTION("""COMPUTED_VALUE"""),298.95)</f>
        <v>298.95</v>
      </c>
      <c r="C2096" s="9">
        <f>IFERROR(__xludf.DUMMYFUNCTION("""COMPUTED_VALUE"""),301.83)</f>
        <v>301.83</v>
      </c>
      <c r="D2096" s="9">
        <f>IFERROR(__xludf.DUMMYFUNCTION("""COMPUTED_VALUE"""),296.46)</f>
        <v>296.46</v>
      </c>
      <c r="E2096" s="9">
        <f>IFERROR(__xludf.DUMMYFUNCTION("""COMPUTED_VALUE"""),299.93)</f>
        <v>299.93</v>
      </c>
      <c r="F2096" s="9">
        <f>IFERROR(__xludf.DUMMYFUNCTION("""COMPUTED_VALUE"""),695904.0)</f>
        <v>695904</v>
      </c>
      <c r="H2096" s="27">
        <f>IFERROR(__xludf.DUMMYFUNCTION("""COMPUTED_VALUE"""),41451.645833333336)</f>
        <v>41451.64583</v>
      </c>
      <c r="I2096" s="25">
        <f>IFERROR(__xludf.DUMMYFUNCTION("""COMPUTED_VALUE"""),698.45)</f>
        <v>698.45</v>
      </c>
      <c r="J2096" s="25">
        <f>IFERROR(__xludf.DUMMYFUNCTION("""COMPUTED_VALUE"""),723.88)</f>
        <v>723.88</v>
      </c>
      <c r="K2096" s="25">
        <f>IFERROR(__xludf.DUMMYFUNCTION("""COMPUTED_VALUE"""),690.53)</f>
        <v>690.53</v>
      </c>
      <c r="L2096" s="25">
        <f>IFERROR(__xludf.DUMMYFUNCTION("""COMPUTED_VALUE"""),718.85)</f>
        <v>718.85</v>
      </c>
      <c r="M2096" s="25">
        <f>IFERROR(__xludf.DUMMYFUNCTION("""COMPUTED_VALUE"""),1163244.0)</f>
        <v>1163244</v>
      </c>
    </row>
    <row r="2097">
      <c r="A2097" s="26">
        <f>IFERROR(__xludf.DUMMYFUNCTION("""COMPUTED_VALUE"""),41452.645833333336)</f>
        <v>41452.64583</v>
      </c>
      <c r="B2097" s="9">
        <f>IFERROR(__xludf.DUMMYFUNCTION("""COMPUTED_VALUE"""),302.63)</f>
        <v>302.63</v>
      </c>
      <c r="C2097" s="9">
        <f>IFERROR(__xludf.DUMMYFUNCTION("""COMPUTED_VALUE"""),312.49)</f>
        <v>312.49</v>
      </c>
      <c r="D2097" s="9">
        <f>IFERROR(__xludf.DUMMYFUNCTION("""COMPUTED_VALUE"""),301.58)</f>
        <v>301.58</v>
      </c>
      <c r="E2097" s="9">
        <f>IFERROR(__xludf.DUMMYFUNCTION("""COMPUTED_VALUE"""),310.35)</f>
        <v>310.35</v>
      </c>
      <c r="F2097" s="9">
        <f>IFERROR(__xludf.DUMMYFUNCTION("""COMPUTED_VALUE"""),1333868.0)</f>
        <v>1333868</v>
      </c>
      <c r="H2097" s="27">
        <f>IFERROR(__xludf.DUMMYFUNCTION("""COMPUTED_VALUE"""),41452.645833333336)</f>
        <v>41452.64583</v>
      </c>
      <c r="I2097" s="25">
        <f>IFERROR(__xludf.DUMMYFUNCTION("""COMPUTED_VALUE"""),723.9)</f>
        <v>723.9</v>
      </c>
      <c r="J2097" s="25">
        <f>IFERROR(__xludf.DUMMYFUNCTION("""COMPUTED_VALUE"""),748.5)</f>
        <v>748.5</v>
      </c>
      <c r="K2097" s="25">
        <f>IFERROR(__xludf.DUMMYFUNCTION("""COMPUTED_VALUE"""),721.0)</f>
        <v>721</v>
      </c>
      <c r="L2097" s="25">
        <f>IFERROR(__xludf.DUMMYFUNCTION("""COMPUTED_VALUE"""),745.95)</f>
        <v>745.95</v>
      </c>
      <c r="M2097" s="25">
        <f>IFERROR(__xludf.DUMMYFUNCTION("""COMPUTED_VALUE"""),1910339.0)</f>
        <v>1910339</v>
      </c>
    </row>
    <row r="2098">
      <c r="A2098" s="26">
        <f>IFERROR(__xludf.DUMMYFUNCTION("""COMPUTED_VALUE"""),41453.645833333336)</f>
        <v>41453.64583</v>
      </c>
      <c r="B2098" s="9">
        <f>IFERROR(__xludf.DUMMYFUNCTION("""COMPUTED_VALUE"""),308.9)</f>
        <v>308.9</v>
      </c>
      <c r="C2098" s="9">
        <f>IFERROR(__xludf.DUMMYFUNCTION("""COMPUTED_VALUE"""),313.47)</f>
        <v>313.47</v>
      </c>
      <c r="D2098" s="9">
        <f>IFERROR(__xludf.DUMMYFUNCTION("""COMPUTED_VALUE"""),303.0)</f>
        <v>303</v>
      </c>
      <c r="E2098" s="9">
        <f>IFERROR(__xludf.DUMMYFUNCTION("""COMPUTED_VALUE"""),312.36)</f>
        <v>312.36</v>
      </c>
      <c r="F2098" s="9">
        <f>IFERROR(__xludf.DUMMYFUNCTION("""COMPUTED_VALUE"""),1463424.0)</f>
        <v>1463424</v>
      </c>
      <c r="H2098" s="27">
        <f>IFERROR(__xludf.DUMMYFUNCTION("""COMPUTED_VALUE"""),41453.645833333336)</f>
        <v>41453.64583</v>
      </c>
      <c r="I2098" s="25">
        <f>IFERROR(__xludf.DUMMYFUNCTION("""COMPUTED_VALUE"""),747.5)</f>
        <v>747.5</v>
      </c>
      <c r="J2098" s="25">
        <f>IFERROR(__xludf.DUMMYFUNCTION("""COMPUTED_VALUE"""),762.15)</f>
        <v>762.15</v>
      </c>
      <c r="K2098" s="25">
        <f>IFERROR(__xludf.DUMMYFUNCTION("""COMPUTED_VALUE"""),729.1)</f>
        <v>729.1</v>
      </c>
      <c r="L2098" s="25">
        <f>IFERROR(__xludf.DUMMYFUNCTION("""COMPUTED_VALUE"""),759.08)</f>
        <v>759.08</v>
      </c>
      <c r="M2098" s="25">
        <f>IFERROR(__xludf.DUMMYFUNCTION("""COMPUTED_VALUE"""),2408548.0)</f>
        <v>2408548</v>
      </c>
    </row>
    <row r="2099">
      <c r="A2099" s="26">
        <f>IFERROR(__xludf.DUMMYFUNCTION("""COMPUTED_VALUE"""),41456.645833333336)</f>
        <v>41456.64583</v>
      </c>
      <c r="B2099" s="9">
        <f>IFERROR(__xludf.DUMMYFUNCTION("""COMPUTED_VALUE"""),308.63)</f>
        <v>308.63</v>
      </c>
      <c r="C2099" s="9">
        <f>IFERROR(__xludf.DUMMYFUNCTION("""COMPUTED_VALUE"""),309.19)</f>
        <v>309.19</v>
      </c>
      <c r="D2099" s="9">
        <f>IFERROR(__xludf.DUMMYFUNCTION("""COMPUTED_VALUE"""),305.14)</f>
        <v>305.14</v>
      </c>
      <c r="E2099" s="9">
        <f>IFERROR(__xludf.DUMMYFUNCTION("""COMPUTED_VALUE"""),306.38)</f>
        <v>306.38</v>
      </c>
      <c r="F2099" s="9">
        <f>IFERROR(__xludf.DUMMYFUNCTION("""COMPUTED_VALUE"""),526135.0)</f>
        <v>526135</v>
      </c>
      <c r="H2099" s="27">
        <f>IFERROR(__xludf.DUMMYFUNCTION("""COMPUTED_VALUE"""),41456.645833333336)</f>
        <v>41456.64583</v>
      </c>
      <c r="I2099" s="25">
        <f>IFERROR(__xludf.DUMMYFUNCTION("""COMPUTED_VALUE"""),756.0)</f>
        <v>756</v>
      </c>
      <c r="J2099" s="25">
        <f>IFERROR(__xludf.DUMMYFUNCTION("""COMPUTED_VALUE"""),758.35)</f>
        <v>758.35</v>
      </c>
      <c r="K2099" s="25">
        <f>IFERROR(__xludf.DUMMYFUNCTION("""COMPUTED_VALUE"""),741.7)</f>
        <v>741.7</v>
      </c>
      <c r="L2099" s="25">
        <f>IFERROR(__xludf.DUMMYFUNCTION("""COMPUTED_VALUE"""),746.18)</f>
        <v>746.18</v>
      </c>
      <c r="M2099" s="25">
        <f>IFERROR(__xludf.DUMMYFUNCTION("""COMPUTED_VALUE"""),677326.0)</f>
        <v>677326</v>
      </c>
    </row>
    <row r="2100">
      <c r="A2100" s="26">
        <f>IFERROR(__xludf.DUMMYFUNCTION("""COMPUTED_VALUE"""),41457.645833333336)</f>
        <v>41457.64583</v>
      </c>
      <c r="B2100" s="9">
        <f>IFERROR(__xludf.DUMMYFUNCTION("""COMPUTED_VALUE"""),306.01)</f>
        <v>306.01</v>
      </c>
      <c r="C2100" s="9">
        <f>IFERROR(__xludf.DUMMYFUNCTION("""COMPUTED_VALUE"""),307.94)</f>
        <v>307.94</v>
      </c>
      <c r="D2100" s="9">
        <f>IFERROR(__xludf.DUMMYFUNCTION("""COMPUTED_VALUE"""),300.0)</f>
        <v>300</v>
      </c>
      <c r="E2100" s="9">
        <f>IFERROR(__xludf.DUMMYFUNCTION("""COMPUTED_VALUE"""),300.49)</f>
        <v>300.49</v>
      </c>
      <c r="F2100" s="9">
        <f>IFERROR(__xludf.DUMMYFUNCTION("""COMPUTED_VALUE"""),638854.0)</f>
        <v>638854</v>
      </c>
      <c r="H2100" s="27">
        <f>IFERROR(__xludf.DUMMYFUNCTION("""COMPUTED_VALUE"""),41457.645833333336)</f>
        <v>41457.64583</v>
      </c>
      <c r="I2100" s="25">
        <f>IFERROR(__xludf.DUMMYFUNCTION("""COMPUTED_VALUE"""),746.55)</f>
        <v>746.55</v>
      </c>
      <c r="J2100" s="25">
        <f>IFERROR(__xludf.DUMMYFUNCTION("""COMPUTED_VALUE"""),754.25)</f>
        <v>754.25</v>
      </c>
      <c r="K2100" s="25">
        <f>IFERROR(__xludf.DUMMYFUNCTION("""COMPUTED_VALUE"""),743.33)</f>
        <v>743.33</v>
      </c>
      <c r="L2100" s="25">
        <f>IFERROR(__xludf.DUMMYFUNCTION("""COMPUTED_VALUE"""),750.28)</f>
        <v>750.28</v>
      </c>
      <c r="M2100" s="25">
        <f>IFERROR(__xludf.DUMMYFUNCTION("""COMPUTED_VALUE"""),828621.0)</f>
        <v>828621</v>
      </c>
    </row>
    <row r="2101">
      <c r="A2101" s="26">
        <f>IFERROR(__xludf.DUMMYFUNCTION("""COMPUTED_VALUE"""),41458.645833333336)</f>
        <v>41458.64583</v>
      </c>
      <c r="B2101" s="9">
        <f>IFERROR(__xludf.DUMMYFUNCTION("""COMPUTED_VALUE"""),300.13)</f>
        <v>300.13</v>
      </c>
      <c r="C2101" s="9">
        <f>IFERROR(__xludf.DUMMYFUNCTION("""COMPUTED_VALUE"""),306.49)</f>
        <v>306.49</v>
      </c>
      <c r="D2101" s="9">
        <f>IFERROR(__xludf.DUMMYFUNCTION("""COMPUTED_VALUE"""),299.08)</f>
        <v>299.08</v>
      </c>
      <c r="E2101" s="9">
        <f>IFERROR(__xludf.DUMMYFUNCTION("""COMPUTED_VALUE"""),300.56)</f>
        <v>300.56</v>
      </c>
      <c r="F2101" s="9">
        <f>IFERROR(__xludf.DUMMYFUNCTION("""COMPUTED_VALUE"""),668732.0)</f>
        <v>668732</v>
      </c>
      <c r="H2101" s="27">
        <f>IFERROR(__xludf.DUMMYFUNCTION("""COMPUTED_VALUE"""),41458.645833333336)</f>
        <v>41458.64583</v>
      </c>
      <c r="I2101" s="25">
        <f>IFERROR(__xludf.DUMMYFUNCTION("""COMPUTED_VALUE"""),748.85)</f>
        <v>748.85</v>
      </c>
      <c r="J2101" s="25">
        <f>IFERROR(__xludf.DUMMYFUNCTION("""COMPUTED_VALUE"""),759.5)</f>
        <v>759.5</v>
      </c>
      <c r="K2101" s="25">
        <f>IFERROR(__xludf.DUMMYFUNCTION("""COMPUTED_VALUE"""),732.5)</f>
        <v>732.5</v>
      </c>
      <c r="L2101" s="25">
        <f>IFERROR(__xludf.DUMMYFUNCTION("""COMPUTED_VALUE"""),744.9)</f>
        <v>744.9</v>
      </c>
      <c r="M2101" s="25">
        <f>IFERROR(__xludf.DUMMYFUNCTION("""COMPUTED_VALUE"""),765453.0)</f>
        <v>765453</v>
      </c>
    </row>
    <row r="2102">
      <c r="A2102" s="26">
        <f>IFERROR(__xludf.DUMMYFUNCTION("""COMPUTED_VALUE"""),41459.645833333336)</f>
        <v>41459.64583</v>
      </c>
      <c r="B2102" s="9">
        <f>IFERROR(__xludf.DUMMYFUNCTION("""COMPUTED_VALUE"""),304.13)</f>
        <v>304.13</v>
      </c>
      <c r="C2102" s="9">
        <f>IFERROR(__xludf.DUMMYFUNCTION("""COMPUTED_VALUE"""),309.39)</f>
        <v>309.39</v>
      </c>
      <c r="D2102" s="9">
        <f>IFERROR(__xludf.DUMMYFUNCTION("""COMPUTED_VALUE"""),302.5)</f>
        <v>302.5</v>
      </c>
      <c r="E2102" s="9">
        <f>IFERROR(__xludf.DUMMYFUNCTION("""COMPUTED_VALUE"""),308.5)</f>
        <v>308.5</v>
      </c>
      <c r="F2102" s="9">
        <f>IFERROR(__xludf.DUMMYFUNCTION("""COMPUTED_VALUE"""),651348.0)</f>
        <v>651348</v>
      </c>
      <c r="H2102" s="27">
        <f>IFERROR(__xludf.DUMMYFUNCTION("""COMPUTED_VALUE"""),41459.645833333336)</f>
        <v>41459.64583</v>
      </c>
      <c r="I2102" s="25">
        <f>IFERROR(__xludf.DUMMYFUNCTION("""COMPUTED_VALUE"""),745.43)</f>
        <v>745.43</v>
      </c>
      <c r="J2102" s="25">
        <f>IFERROR(__xludf.DUMMYFUNCTION("""COMPUTED_VALUE"""),770.5)</f>
        <v>770.5</v>
      </c>
      <c r="K2102" s="25">
        <f>IFERROR(__xludf.DUMMYFUNCTION("""COMPUTED_VALUE"""),745.0)</f>
        <v>745</v>
      </c>
      <c r="L2102" s="25">
        <f>IFERROR(__xludf.DUMMYFUNCTION("""COMPUTED_VALUE"""),769.15)</f>
        <v>769.15</v>
      </c>
      <c r="M2102" s="25">
        <f>IFERROR(__xludf.DUMMYFUNCTION("""COMPUTED_VALUE"""),958530.0)</f>
        <v>958530</v>
      </c>
    </row>
    <row r="2103">
      <c r="A2103" s="26">
        <f>IFERROR(__xludf.DUMMYFUNCTION("""COMPUTED_VALUE"""),41460.645833333336)</f>
        <v>41460.64583</v>
      </c>
      <c r="B2103" s="9">
        <f>IFERROR(__xludf.DUMMYFUNCTION("""COMPUTED_VALUE"""),308.38)</f>
        <v>308.38</v>
      </c>
      <c r="C2103" s="9">
        <f>IFERROR(__xludf.DUMMYFUNCTION("""COMPUTED_VALUE"""),310.44)</f>
        <v>310.44</v>
      </c>
      <c r="D2103" s="9">
        <f>IFERROR(__xludf.DUMMYFUNCTION("""COMPUTED_VALUE"""),304.84)</f>
        <v>304.84</v>
      </c>
      <c r="E2103" s="9">
        <f>IFERROR(__xludf.DUMMYFUNCTION("""COMPUTED_VALUE"""),307.02)</f>
        <v>307.02</v>
      </c>
      <c r="F2103" s="9">
        <f>IFERROR(__xludf.DUMMYFUNCTION("""COMPUTED_VALUE"""),542170.0)</f>
        <v>542170</v>
      </c>
      <c r="H2103" s="27">
        <f>IFERROR(__xludf.DUMMYFUNCTION("""COMPUTED_VALUE"""),41460.645833333336)</f>
        <v>41460.64583</v>
      </c>
      <c r="I2103" s="25">
        <f>IFERROR(__xludf.DUMMYFUNCTION("""COMPUTED_VALUE"""),771.0)</f>
        <v>771</v>
      </c>
      <c r="J2103" s="25">
        <f>IFERROR(__xludf.DUMMYFUNCTION("""COMPUTED_VALUE"""),779.0)</f>
        <v>779</v>
      </c>
      <c r="K2103" s="25">
        <f>IFERROR(__xludf.DUMMYFUNCTION("""COMPUTED_VALUE"""),761.0)</f>
        <v>761</v>
      </c>
      <c r="L2103" s="25">
        <f>IFERROR(__xludf.DUMMYFUNCTION("""COMPUTED_VALUE"""),765.1)</f>
        <v>765.1</v>
      </c>
      <c r="M2103" s="25">
        <f>IFERROR(__xludf.DUMMYFUNCTION("""COMPUTED_VALUE"""),646506.0)</f>
        <v>646506</v>
      </c>
    </row>
    <row r="2104">
      <c r="A2104" s="26">
        <f>IFERROR(__xludf.DUMMYFUNCTION("""COMPUTED_VALUE"""),41463.645833333336)</f>
        <v>41463.64583</v>
      </c>
      <c r="B2104" s="9">
        <f>IFERROR(__xludf.DUMMYFUNCTION("""COMPUTED_VALUE"""),310.63)</f>
        <v>310.63</v>
      </c>
      <c r="C2104" s="9">
        <f>IFERROR(__xludf.DUMMYFUNCTION("""COMPUTED_VALUE"""),311.75)</f>
        <v>311.75</v>
      </c>
      <c r="D2104" s="9">
        <f>IFERROR(__xludf.DUMMYFUNCTION("""COMPUTED_VALUE"""),307.56)</f>
        <v>307.56</v>
      </c>
      <c r="E2104" s="9">
        <f>IFERROR(__xludf.DUMMYFUNCTION("""COMPUTED_VALUE"""),308.52)</f>
        <v>308.52</v>
      </c>
      <c r="F2104" s="9">
        <f>IFERROR(__xludf.DUMMYFUNCTION("""COMPUTED_VALUE"""),676896.0)</f>
        <v>676896</v>
      </c>
      <c r="H2104" s="27">
        <f>IFERROR(__xludf.DUMMYFUNCTION("""COMPUTED_VALUE"""),41463.645833333336)</f>
        <v>41463.64583</v>
      </c>
      <c r="I2104" s="25">
        <f>IFERROR(__xludf.DUMMYFUNCTION("""COMPUTED_VALUE"""),764.0)</f>
        <v>764</v>
      </c>
      <c r="J2104" s="25">
        <f>IFERROR(__xludf.DUMMYFUNCTION("""COMPUTED_VALUE"""),767.5)</f>
        <v>767.5</v>
      </c>
      <c r="K2104" s="25">
        <f>IFERROR(__xludf.DUMMYFUNCTION("""COMPUTED_VALUE"""),750.0)</f>
        <v>750</v>
      </c>
      <c r="L2104" s="25">
        <f>IFERROR(__xludf.DUMMYFUNCTION("""COMPUTED_VALUE"""),753.33)</f>
        <v>753.33</v>
      </c>
      <c r="M2104" s="25">
        <f>IFERROR(__xludf.DUMMYFUNCTION("""COMPUTED_VALUE"""),829398.0)</f>
        <v>829398</v>
      </c>
    </row>
    <row r="2105">
      <c r="A2105" s="26">
        <f>IFERROR(__xludf.DUMMYFUNCTION("""COMPUTED_VALUE"""),41464.645833333336)</f>
        <v>41464.64583</v>
      </c>
      <c r="B2105" s="9">
        <f>IFERROR(__xludf.DUMMYFUNCTION("""COMPUTED_VALUE"""),310.13)</f>
        <v>310.13</v>
      </c>
      <c r="C2105" s="9">
        <f>IFERROR(__xludf.DUMMYFUNCTION("""COMPUTED_VALUE"""),314.25)</f>
        <v>314.25</v>
      </c>
      <c r="D2105" s="9">
        <f>IFERROR(__xludf.DUMMYFUNCTION("""COMPUTED_VALUE"""),310.13)</f>
        <v>310.13</v>
      </c>
      <c r="E2105" s="9">
        <f>IFERROR(__xludf.DUMMYFUNCTION("""COMPUTED_VALUE"""),312.27)</f>
        <v>312.27</v>
      </c>
      <c r="F2105" s="9">
        <f>IFERROR(__xludf.DUMMYFUNCTION("""COMPUTED_VALUE"""),1076421.0)</f>
        <v>1076421</v>
      </c>
      <c r="H2105" s="27">
        <f>IFERROR(__xludf.DUMMYFUNCTION("""COMPUTED_VALUE"""),41464.645833333336)</f>
        <v>41464.64583</v>
      </c>
      <c r="I2105" s="25">
        <f>IFERROR(__xludf.DUMMYFUNCTION("""COMPUTED_VALUE"""),747.65)</f>
        <v>747.65</v>
      </c>
      <c r="J2105" s="25">
        <f>IFERROR(__xludf.DUMMYFUNCTION("""COMPUTED_VALUE"""),760.88)</f>
        <v>760.88</v>
      </c>
      <c r="K2105" s="25">
        <f>IFERROR(__xludf.DUMMYFUNCTION("""COMPUTED_VALUE"""),747.65)</f>
        <v>747.65</v>
      </c>
      <c r="L2105" s="25">
        <f>IFERROR(__xludf.DUMMYFUNCTION("""COMPUTED_VALUE"""),752.45)</f>
        <v>752.45</v>
      </c>
      <c r="M2105" s="25">
        <f>IFERROR(__xludf.DUMMYFUNCTION("""COMPUTED_VALUE"""),548663.0)</f>
        <v>548663</v>
      </c>
    </row>
    <row r="2106">
      <c r="A2106" s="26">
        <f>IFERROR(__xludf.DUMMYFUNCTION("""COMPUTED_VALUE"""),41465.645833333336)</f>
        <v>41465.64583</v>
      </c>
      <c r="B2106" s="9">
        <f>IFERROR(__xludf.DUMMYFUNCTION("""COMPUTED_VALUE"""),313.13)</f>
        <v>313.13</v>
      </c>
      <c r="C2106" s="9">
        <f>IFERROR(__xludf.DUMMYFUNCTION("""COMPUTED_VALUE"""),315.0)</f>
        <v>315</v>
      </c>
      <c r="D2106" s="9">
        <f>IFERROR(__xludf.DUMMYFUNCTION("""COMPUTED_VALUE"""),311.63)</f>
        <v>311.63</v>
      </c>
      <c r="E2106" s="9">
        <f>IFERROR(__xludf.DUMMYFUNCTION("""COMPUTED_VALUE"""),312.64)</f>
        <v>312.64</v>
      </c>
      <c r="F2106" s="9">
        <f>IFERROR(__xludf.DUMMYFUNCTION("""COMPUTED_VALUE"""),858177.0)</f>
        <v>858177</v>
      </c>
      <c r="H2106" s="27">
        <f>IFERROR(__xludf.DUMMYFUNCTION("""COMPUTED_VALUE"""),41465.645833333336)</f>
        <v>41465.64583</v>
      </c>
      <c r="I2106" s="25">
        <f>IFERROR(__xludf.DUMMYFUNCTION("""COMPUTED_VALUE"""),755.0)</f>
        <v>755</v>
      </c>
      <c r="J2106" s="25">
        <f>IFERROR(__xludf.DUMMYFUNCTION("""COMPUTED_VALUE"""),763.4)</f>
        <v>763.4</v>
      </c>
      <c r="K2106" s="25">
        <f>IFERROR(__xludf.DUMMYFUNCTION("""COMPUTED_VALUE"""),749.0)</f>
        <v>749</v>
      </c>
      <c r="L2106" s="25">
        <f>IFERROR(__xludf.DUMMYFUNCTION("""COMPUTED_VALUE"""),755.98)</f>
        <v>755.98</v>
      </c>
      <c r="M2106" s="25">
        <f>IFERROR(__xludf.DUMMYFUNCTION("""COMPUTED_VALUE"""),661312.0)</f>
        <v>661312</v>
      </c>
    </row>
    <row r="2107">
      <c r="A2107" s="26">
        <f>IFERROR(__xludf.DUMMYFUNCTION("""COMPUTED_VALUE"""),41466.645833333336)</f>
        <v>41466.64583</v>
      </c>
      <c r="B2107" s="9">
        <f>IFERROR(__xludf.DUMMYFUNCTION("""COMPUTED_VALUE"""),316.88)</f>
        <v>316.88</v>
      </c>
      <c r="C2107" s="9">
        <f>IFERROR(__xludf.DUMMYFUNCTION("""COMPUTED_VALUE"""),320.43)</f>
        <v>320.43</v>
      </c>
      <c r="D2107" s="9">
        <f>IFERROR(__xludf.DUMMYFUNCTION("""COMPUTED_VALUE"""),313.72)</f>
        <v>313.72</v>
      </c>
      <c r="E2107" s="9">
        <f>IFERROR(__xludf.DUMMYFUNCTION("""COMPUTED_VALUE"""),316.04)</f>
        <v>316.04</v>
      </c>
      <c r="F2107" s="9">
        <f>IFERROR(__xludf.DUMMYFUNCTION("""COMPUTED_VALUE"""),1963120.0)</f>
        <v>1963120</v>
      </c>
      <c r="H2107" s="27">
        <f>IFERROR(__xludf.DUMMYFUNCTION("""COMPUTED_VALUE"""),41466.645833333336)</f>
        <v>41466.64583</v>
      </c>
      <c r="I2107" s="25">
        <f>IFERROR(__xludf.DUMMYFUNCTION("""COMPUTED_VALUE"""),760.0)</f>
        <v>760</v>
      </c>
      <c r="J2107" s="25">
        <f>IFERROR(__xludf.DUMMYFUNCTION("""COMPUTED_VALUE"""),785.0)</f>
        <v>785</v>
      </c>
      <c r="K2107" s="25">
        <f>IFERROR(__xludf.DUMMYFUNCTION("""COMPUTED_VALUE"""),760.0)</f>
        <v>760</v>
      </c>
      <c r="L2107" s="25">
        <f>IFERROR(__xludf.DUMMYFUNCTION("""COMPUTED_VALUE"""),782.28)</f>
        <v>782.28</v>
      </c>
      <c r="M2107" s="25">
        <f>IFERROR(__xludf.DUMMYFUNCTION("""COMPUTED_VALUE"""),1167637.0)</f>
        <v>1167637</v>
      </c>
    </row>
    <row r="2108">
      <c r="A2108" s="26">
        <f>IFERROR(__xludf.DUMMYFUNCTION("""COMPUTED_VALUE"""),41467.645833333336)</f>
        <v>41467.64583</v>
      </c>
      <c r="B2108" s="9">
        <f>IFERROR(__xludf.DUMMYFUNCTION("""COMPUTED_VALUE"""),347.64)</f>
        <v>347.64</v>
      </c>
      <c r="C2108" s="9">
        <f>IFERROR(__xludf.DUMMYFUNCTION("""COMPUTED_VALUE"""),363.2)</f>
        <v>363.2</v>
      </c>
      <c r="D2108" s="9">
        <f>IFERROR(__xludf.DUMMYFUNCTION("""COMPUTED_VALUE"""),343.75)</f>
        <v>343.75</v>
      </c>
      <c r="E2108" s="9">
        <f>IFERROR(__xludf.DUMMYFUNCTION("""COMPUTED_VALUE"""),350.53)</f>
        <v>350.53</v>
      </c>
      <c r="F2108" s="9">
        <f>IFERROR(__xludf.DUMMYFUNCTION("""COMPUTED_VALUE"""),6609130.0)</f>
        <v>6609130</v>
      </c>
      <c r="H2108" s="27">
        <f>IFERROR(__xludf.DUMMYFUNCTION("""COMPUTED_VALUE"""),41467.645833333336)</f>
        <v>41467.64583</v>
      </c>
      <c r="I2108" s="25">
        <f>IFERROR(__xludf.DUMMYFUNCTION("""COMPUTED_VALUE"""),797.5)</f>
        <v>797.5</v>
      </c>
      <c r="J2108" s="25">
        <f>IFERROR(__xludf.DUMMYFUNCTION("""COMPUTED_VALUE"""),812.4)</f>
        <v>812.4</v>
      </c>
      <c r="K2108" s="25">
        <f>IFERROR(__xludf.DUMMYFUNCTION("""COMPUTED_VALUE"""),789.65)</f>
        <v>789.65</v>
      </c>
      <c r="L2108" s="25">
        <f>IFERROR(__xludf.DUMMYFUNCTION("""COMPUTED_VALUE"""),804.93)</f>
        <v>804.93</v>
      </c>
      <c r="M2108" s="25">
        <f>IFERROR(__xludf.DUMMYFUNCTION("""COMPUTED_VALUE"""),1625768.0)</f>
        <v>1625768</v>
      </c>
    </row>
    <row r="2109">
      <c r="A2109" s="26">
        <f>IFERROR(__xludf.DUMMYFUNCTION("""COMPUTED_VALUE"""),41470.645833333336)</f>
        <v>41470.64583</v>
      </c>
      <c r="B2109" s="9">
        <f>IFERROR(__xludf.DUMMYFUNCTION("""COMPUTED_VALUE"""),348.13)</f>
        <v>348.13</v>
      </c>
      <c r="C2109" s="9">
        <f>IFERROR(__xludf.DUMMYFUNCTION("""COMPUTED_VALUE"""),348.75)</f>
        <v>348.75</v>
      </c>
      <c r="D2109" s="9">
        <f>IFERROR(__xludf.DUMMYFUNCTION("""COMPUTED_VALUE"""),341.04)</f>
        <v>341.04</v>
      </c>
      <c r="E2109" s="9">
        <f>IFERROR(__xludf.DUMMYFUNCTION("""COMPUTED_VALUE"""),342.84)</f>
        <v>342.84</v>
      </c>
      <c r="F2109" s="9">
        <f>IFERROR(__xludf.DUMMYFUNCTION("""COMPUTED_VALUE"""),1609280.0)</f>
        <v>1609280</v>
      </c>
      <c r="H2109" s="27">
        <f>IFERROR(__xludf.DUMMYFUNCTION("""COMPUTED_VALUE"""),41470.645833333336)</f>
        <v>41470.64583</v>
      </c>
      <c r="I2109" s="25">
        <f>IFERROR(__xludf.DUMMYFUNCTION("""COMPUTED_VALUE"""),800.55)</f>
        <v>800.55</v>
      </c>
      <c r="J2109" s="25">
        <f>IFERROR(__xludf.DUMMYFUNCTION("""COMPUTED_VALUE"""),823.65)</f>
        <v>823.65</v>
      </c>
      <c r="K2109" s="25">
        <f>IFERROR(__xludf.DUMMYFUNCTION("""COMPUTED_VALUE"""),799.65)</f>
        <v>799.65</v>
      </c>
      <c r="L2109" s="25">
        <f>IFERROR(__xludf.DUMMYFUNCTION("""COMPUTED_VALUE"""),820.88)</f>
        <v>820.88</v>
      </c>
      <c r="M2109" s="25">
        <f>IFERROR(__xludf.DUMMYFUNCTION("""COMPUTED_VALUE"""),1030285.0)</f>
        <v>1030285</v>
      </c>
    </row>
    <row r="2110">
      <c r="A2110" s="26">
        <f>IFERROR(__xludf.DUMMYFUNCTION("""COMPUTED_VALUE"""),41471.645833333336)</f>
        <v>41471.64583</v>
      </c>
      <c r="B2110" s="9">
        <f>IFERROR(__xludf.DUMMYFUNCTION("""COMPUTED_VALUE"""),337.76)</f>
        <v>337.76</v>
      </c>
      <c r="C2110" s="9">
        <f>IFERROR(__xludf.DUMMYFUNCTION("""COMPUTED_VALUE"""),346.33)</f>
        <v>346.33</v>
      </c>
      <c r="D2110" s="9">
        <f>IFERROR(__xludf.DUMMYFUNCTION("""COMPUTED_VALUE"""),335.13)</f>
        <v>335.13</v>
      </c>
      <c r="E2110" s="9">
        <f>IFERROR(__xludf.DUMMYFUNCTION("""COMPUTED_VALUE"""),341.1)</f>
        <v>341.1</v>
      </c>
      <c r="F2110" s="9">
        <f>IFERROR(__xludf.DUMMYFUNCTION("""COMPUTED_VALUE"""),787692.0)</f>
        <v>787692</v>
      </c>
      <c r="H2110" s="27">
        <f>IFERROR(__xludf.DUMMYFUNCTION("""COMPUTED_VALUE"""),41471.645833333336)</f>
        <v>41471.64583</v>
      </c>
      <c r="I2110" s="25">
        <f>IFERROR(__xludf.DUMMYFUNCTION("""COMPUTED_VALUE"""),812.5)</f>
        <v>812.5</v>
      </c>
      <c r="J2110" s="25">
        <f>IFERROR(__xludf.DUMMYFUNCTION("""COMPUTED_VALUE"""),833.18)</f>
        <v>833.18</v>
      </c>
      <c r="K2110" s="25">
        <f>IFERROR(__xludf.DUMMYFUNCTION("""COMPUTED_VALUE"""),808.8)</f>
        <v>808.8</v>
      </c>
      <c r="L2110" s="25">
        <f>IFERROR(__xludf.DUMMYFUNCTION("""COMPUTED_VALUE"""),824.68)</f>
        <v>824.68</v>
      </c>
      <c r="M2110" s="25">
        <f>IFERROR(__xludf.DUMMYFUNCTION("""COMPUTED_VALUE"""),1112493.0)</f>
        <v>1112493</v>
      </c>
    </row>
    <row r="2111">
      <c r="A2111" s="26">
        <f>IFERROR(__xludf.DUMMYFUNCTION("""COMPUTED_VALUE"""),41472.645833333336)</f>
        <v>41472.64583</v>
      </c>
      <c r="B2111" s="9">
        <f>IFERROR(__xludf.DUMMYFUNCTION("""COMPUTED_VALUE"""),341.46)</f>
        <v>341.46</v>
      </c>
      <c r="C2111" s="9">
        <f>IFERROR(__xludf.DUMMYFUNCTION("""COMPUTED_VALUE"""),344.79)</f>
        <v>344.79</v>
      </c>
      <c r="D2111" s="9">
        <f>IFERROR(__xludf.DUMMYFUNCTION("""COMPUTED_VALUE"""),341.46)</f>
        <v>341.46</v>
      </c>
      <c r="E2111" s="9">
        <f>IFERROR(__xludf.DUMMYFUNCTION("""COMPUTED_VALUE"""),343.86)</f>
        <v>343.86</v>
      </c>
      <c r="F2111" s="9">
        <f>IFERROR(__xludf.DUMMYFUNCTION("""COMPUTED_VALUE"""),821881.0)</f>
        <v>821881</v>
      </c>
      <c r="H2111" s="27">
        <f>IFERROR(__xludf.DUMMYFUNCTION("""COMPUTED_VALUE"""),41472.645833333336)</f>
        <v>41472.64583</v>
      </c>
      <c r="I2111" s="25">
        <f>IFERROR(__xludf.DUMMYFUNCTION("""COMPUTED_VALUE"""),822.53)</f>
        <v>822.53</v>
      </c>
      <c r="J2111" s="25">
        <f>IFERROR(__xludf.DUMMYFUNCTION("""COMPUTED_VALUE"""),842.48)</f>
        <v>842.48</v>
      </c>
      <c r="K2111" s="25">
        <f>IFERROR(__xludf.DUMMYFUNCTION("""COMPUTED_VALUE"""),822.53)</f>
        <v>822.53</v>
      </c>
      <c r="L2111" s="25">
        <f>IFERROR(__xludf.DUMMYFUNCTION("""COMPUTED_VALUE"""),839.25)</f>
        <v>839.25</v>
      </c>
      <c r="M2111" s="25">
        <f>IFERROR(__xludf.DUMMYFUNCTION("""COMPUTED_VALUE"""),1499625.0)</f>
        <v>1499625</v>
      </c>
    </row>
    <row r="2112">
      <c r="A2112" s="26">
        <f>IFERROR(__xludf.DUMMYFUNCTION("""COMPUTED_VALUE"""),41473.645833333336)</f>
        <v>41473.64583</v>
      </c>
      <c r="B2112" s="9">
        <f>IFERROR(__xludf.DUMMYFUNCTION("""COMPUTED_VALUE"""),344.25)</f>
        <v>344.25</v>
      </c>
      <c r="C2112" s="9">
        <f>IFERROR(__xludf.DUMMYFUNCTION("""COMPUTED_VALUE"""),352.19)</f>
        <v>352.19</v>
      </c>
      <c r="D2112" s="9">
        <f>IFERROR(__xludf.DUMMYFUNCTION("""COMPUTED_VALUE"""),342.36)</f>
        <v>342.36</v>
      </c>
      <c r="E2112" s="9">
        <f>IFERROR(__xludf.DUMMYFUNCTION("""COMPUTED_VALUE"""),350.09)</f>
        <v>350.09</v>
      </c>
      <c r="F2112" s="9">
        <f>IFERROR(__xludf.DUMMYFUNCTION("""COMPUTED_VALUE"""),1634837.0)</f>
        <v>1634837</v>
      </c>
      <c r="H2112" s="27">
        <f>IFERROR(__xludf.DUMMYFUNCTION("""COMPUTED_VALUE"""),41473.645833333336)</f>
        <v>41473.64583</v>
      </c>
      <c r="I2112" s="25">
        <f>IFERROR(__xludf.DUMMYFUNCTION("""COMPUTED_VALUE"""),840.0)</f>
        <v>840</v>
      </c>
      <c r="J2112" s="25">
        <f>IFERROR(__xludf.DUMMYFUNCTION("""COMPUTED_VALUE"""),846.15)</f>
        <v>846.15</v>
      </c>
      <c r="K2112" s="25">
        <f>IFERROR(__xludf.DUMMYFUNCTION("""COMPUTED_VALUE"""),822.0)</f>
        <v>822</v>
      </c>
      <c r="L2112" s="25">
        <f>IFERROR(__xludf.DUMMYFUNCTION("""COMPUTED_VALUE"""),830.2)</f>
        <v>830.2</v>
      </c>
      <c r="M2112" s="25">
        <f>IFERROR(__xludf.DUMMYFUNCTION("""COMPUTED_VALUE"""),1722766.0)</f>
        <v>1722766</v>
      </c>
    </row>
    <row r="2113">
      <c r="A2113" s="26">
        <f>IFERROR(__xludf.DUMMYFUNCTION("""COMPUTED_VALUE"""),41474.645833333336)</f>
        <v>41474.64583</v>
      </c>
      <c r="B2113" s="9">
        <f>IFERROR(__xludf.DUMMYFUNCTION("""COMPUTED_VALUE"""),350.38)</f>
        <v>350.38</v>
      </c>
      <c r="C2113" s="9">
        <f>IFERROR(__xludf.DUMMYFUNCTION("""COMPUTED_VALUE"""),358.13)</f>
        <v>358.13</v>
      </c>
      <c r="D2113" s="9">
        <f>IFERROR(__xludf.DUMMYFUNCTION("""COMPUTED_VALUE"""),350.38)</f>
        <v>350.38</v>
      </c>
      <c r="E2113" s="9">
        <f>IFERROR(__xludf.DUMMYFUNCTION("""COMPUTED_VALUE"""),355.93)</f>
        <v>355.93</v>
      </c>
      <c r="F2113" s="9">
        <f>IFERROR(__xludf.DUMMYFUNCTION("""COMPUTED_VALUE"""),2050355.0)</f>
        <v>2050355</v>
      </c>
      <c r="H2113" s="27">
        <f>IFERROR(__xludf.DUMMYFUNCTION("""COMPUTED_VALUE"""),41474.645833333336)</f>
        <v>41474.64583</v>
      </c>
      <c r="I2113" s="25">
        <f>IFERROR(__xludf.DUMMYFUNCTION("""COMPUTED_VALUE"""),859.5)</f>
        <v>859.5</v>
      </c>
      <c r="J2113" s="25">
        <f>IFERROR(__xludf.DUMMYFUNCTION("""COMPUTED_VALUE"""),879.5)</f>
        <v>879.5</v>
      </c>
      <c r="K2113" s="25">
        <f>IFERROR(__xludf.DUMMYFUNCTION("""COMPUTED_VALUE"""),850.0)</f>
        <v>850</v>
      </c>
      <c r="L2113" s="25">
        <f>IFERROR(__xludf.DUMMYFUNCTION("""COMPUTED_VALUE"""),871.4)</f>
        <v>871.4</v>
      </c>
      <c r="M2113" s="25">
        <f>IFERROR(__xludf.DUMMYFUNCTION("""COMPUTED_VALUE"""),4275402.0)</f>
        <v>4275402</v>
      </c>
    </row>
    <row r="2114">
      <c r="A2114" s="26">
        <f>IFERROR(__xludf.DUMMYFUNCTION("""COMPUTED_VALUE"""),41477.645833333336)</f>
        <v>41477.64583</v>
      </c>
      <c r="B2114" s="9">
        <f>IFERROR(__xludf.DUMMYFUNCTION("""COMPUTED_VALUE"""),352.78)</f>
        <v>352.78</v>
      </c>
      <c r="C2114" s="9">
        <f>IFERROR(__xludf.DUMMYFUNCTION("""COMPUTED_VALUE"""),361.86)</f>
        <v>361.86</v>
      </c>
      <c r="D2114" s="9">
        <f>IFERROR(__xludf.DUMMYFUNCTION("""COMPUTED_VALUE"""),352.75)</f>
        <v>352.75</v>
      </c>
      <c r="E2114" s="9">
        <f>IFERROR(__xludf.DUMMYFUNCTION("""COMPUTED_VALUE"""),359.59)</f>
        <v>359.59</v>
      </c>
      <c r="F2114" s="9">
        <f>IFERROR(__xludf.DUMMYFUNCTION("""COMPUTED_VALUE"""),843892.0)</f>
        <v>843892</v>
      </c>
      <c r="H2114" s="27">
        <f>IFERROR(__xludf.DUMMYFUNCTION("""COMPUTED_VALUE"""),41477.645833333336)</f>
        <v>41477.64583</v>
      </c>
      <c r="I2114" s="25">
        <f>IFERROR(__xludf.DUMMYFUNCTION("""COMPUTED_VALUE"""),870.5)</f>
        <v>870.5</v>
      </c>
      <c r="J2114" s="25">
        <f>IFERROR(__xludf.DUMMYFUNCTION("""COMPUTED_VALUE"""),879.4)</f>
        <v>879.4</v>
      </c>
      <c r="K2114" s="25">
        <f>IFERROR(__xludf.DUMMYFUNCTION("""COMPUTED_VALUE"""),864.15)</f>
        <v>864.15</v>
      </c>
      <c r="L2114" s="25">
        <f>IFERROR(__xludf.DUMMYFUNCTION("""COMPUTED_VALUE"""),873.25)</f>
        <v>873.25</v>
      </c>
      <c r="M2114" s="25">
        <f>IFERROR(__xludf.DUMMYFUNCTION("""COMPUTED_VALUE"""),1487386.0)</f>
        <v>1487386</v>
      </c>
    </row>
    <row r="2115">
      <c r="A2115" s="26">
        <f>IFERROR(__xludf.DUMMYFUNCTION("""COMPUTED_VALUE"""),41478.645833333336)</f>
        <v>41478.64583</v>
      </c>
      <c r="B2115" s="9">
        <f>IFERROR(__xludf.DUMMYFUNCTION("""COMPUTED_VALUE"""),361.25)</f>
        <v>361.25</v>
      </c>
      <c r="C2115" s="9">
        <f>IFERROR(__xludf.DUMMYFUNCTION("""COMPUTED_VALUE"""),364.64)</f>
        <v>364.64</v>
      </c>
      <c r="D2115" s="9">
        <f>IFERROR(__xludf.DUMMYFUNCTION("""COMPUTED_VALUE"""),361.25)</f>
        <v>361.25</v>
      </c>
      <c r="E2115" s="9">
        <f>IFERROR(__xludf.DUMMYFUNCTION("""COMPUTED_VALUE"""),362.74)</f>
        <v>362.74</v>
      </c>
      <c r="F2115" s="9">
        <f>IFERROR(__xludf.DUMMYFUNCTION("""COMPUTED_VALUE"""),771060.0)</f>
        <v>771060</v>
      </c>
      <c r="H2115" s="27">
        <f>IFERROR(__xludf.DUMMYFUNCTION("""COMPUTED_VALUE"""),41478.645833333336)</f>
        <v>41478.64583</v>
      </c>
      <c r="I2115" s="25">
        <f>IFERROR(__xludf.DUMMYFUNCTION("""COMPUTED_VALUE"""),874.0)</f>
        <v>874</v>
      </c>
      <c r="J2115" s="25">
        <f>IFERROR(__xludf.DUMMYFUNCTION("""COMPUTED_VALUE"""),890.23)</f>
        <v>890.23</v>
      </c>
      <c r="K2115" s="25">
        <f>IFERROR(__xludf.DUMMYFUNCTION("""COMPUTED_VALUE"""),871.8)</f>
        <v>871.8</v>
      </c>
      <c r="L2115" s="25">
        <f>IFERROR(__xludf.DUMMYFUNCTION("""COMPUTED_VALUE"""),874.9)</f>
        <v>874.9</v>
      </c>
      <c r="M2115" s="25">
        <f>IFERROR(__xludf.DUMMYFUNCTION("""COMPUTED_VALUE"""),823251.0)</f>
        <v>823251</v>
      </c>
    </row>
    <row r="2116">
      <c r="A2116" s="26">
        <f>IFERROR(__xludf.DUMMYFUNCTION("""COMPUTED_VALUE"""),41479.645833333336)</f>
        <v>41479.64583</v>
      </c>
      <c r="B2116" s="9">
        <f>IFERROR(__xludf.DUMMYFUNCTION("""COMPUTED_VALUE"""),360.0)</f>
        <v>360</v>
      </c>
      <c r="C2116" s="9">
        <f>IFERROR(__xludf.DUMMYFUNCTION("""COMPUTED_VALUE"""),365.88)</f>
        <v>365.88</v>
      </c>
      <c r="D2116" s="9">
        <f>IFERROR(__xludf.DUMMYFUNCTION("""COMPUTED_VALUE"""),360.0)</f>
        <v>360</v>
      </c>
      <c r="E2116" s="9">
        <f>IFERROR(__xludf.DUMMYFUNCTION("""COMPUTED_VALUE"""),363.58)</f>
        <v>363.58</v>
      </c>
      <c r="F2116" s="9">
        <f>IFERROR(__xludf.DUMMYFUNCTION("""COMPUTED_VALUE"""),609410.0)</f>
        <v>609410</v>
      </c>
      <c r="H2116" s="27">
        <f>IFERROR(__xludf.DUMMYFUNCTION("""COMPUTED_VALUE"""),41479.645833333336)</f>
        <v>41479.64583</v>
      </c>
      <c r="I2116" s="25">
        <f>IFERROR(__xludf.DUMMYFUNCTION("""COMPUTED_VALUE"""),874.25)</f>
        <v>874.25</v>
      </c>
      <c r="J2116" s="25">
        <f>IFERROR(__xludf.DUMMYFUNCTION("""COMPUTED_VALUE"""),896.0)</f>
        <v>896</v>
      </c>
      <c r="K2116" s="25">
        <f>IFERROR(__xludf.DUMMYFUNCTION("""COMPUTED_VALUE"""),872.5)</f>
        <v>872.5</v>
      </c>
      <c r="L2116" s="25">
        <f>IFERROR(__xludf.DUMMYFUNCTION("""COMPUTED_VALUE"""),891.4)</f>
        <v>891.4</v>
      </c>
      <c r="M2116" s="25">
        <f>IFERROR(__xludf.DUMMYFUNCTION("""COMPUTED_VALUE"""),1090822.0)</f>
        <v>1090822</v>
      </c>
    </row>
    <row r="2117">
      <c r="A2117" s="26">
        <f>IFERROR(__xludf.DUMMYFUNCTION("""COMPUTED_VALUE"""),41480.645833333336)</f>
        <v>41480.64583</v>
      </c>
      <c r="B2117" s="9">
        <f>IFERROR(__xludf.DUMMYFUNCTION("""COMPUTED_VALUE"""),363.63)</f>
        <v>363.63</v>
      </c>
      <c r="C2117" s="9">
        <f>IFERROR(__xludf.DUMMYFUNCTION("""COMPUTED_VALUE"""),368.17)</f>
        <v>368.17</v>
      </c>
      <c r="D2117" s="9">
        <f>IFERROR(__xludf.DUMMYFUNCTION("""COMPUTED_VALUE"""),362.63)</f>
        <v>362.63</v>
      </c>
      <c r="E2117" s="9">
        <f>IFERROR(__xludf.DUMMYFUNCTION("""COMPUTED_VALUE"""),364.41)</f>
        <v>364.41</v>
      </c>
      <c r="F2117" s="9">
        <f>IFERROR(__xludf.DUMMYFUNCTION("""COMPUTED_VALUE"""),897211.0)</f>
        <v>897211</v>
      </c>
      <c r="H2117" s="27">
        <f>IFERROR(__xludf.DUMMYFUNCTION("""COMPUTED_VALUE"""),41480.645833333336)</f>
        <v>41480.64583</v>
      </c>
      <c r="I2117" s="25">
        <f>IFERROR(__xludf.DUMMYFUNCTION("""COMPUTED_VALUE"""),890.0)</f>
        <v>890</v>
      </c>
      <c r="J2117" s="25">
        <f>IFERROR(__xludf.DUMMYFUNCTION("""COMPUTED_VALUE"""),905.0)</f>
        <v>905</v>
      </c>
      <c r="K2117" s="25">
        <f>IFERROR(__xludf.DUMMYFUNCTION("""COMPUTED_VALUE"""),883.35)</f>
        <v>883.35</v>
      </c>
      <c r="L2117" s="25">
        <f>IFERROR(__xludf.DUMMYFUNCTION("""COMPUTED_VALUE"""),897.88)</f>
        <v>897.88</v>
      </c>
      <c r="M2117" s="25">
        <f>IFERROR(__xludf.DUMMYFUNCTION("""COMPUTED_VALUE"""),2044404.0)</f>
        <v>2044404</v>
      </c>
    </row>
    <row r="2118">
      <c r="A2118" s="26">
        <f>IFERROR(__xludf.DUMMYFUNCTION("""COMPUTED_VALUE"""),41481.645833333336)</f>
        <v>41481.64583</v>
      </c>
      <c r="B2118" s="9">
        <f>IFERROR(__xludf.DUMMYFUNCTION("""COMPUTED_VALUE"""),366.25)</f>
        <v>366.25</v>
      </c>
      <c r="C2118" s="9">
        <f>IFERROR(__xludf.DUMMYFUNCTION("""COMPUTED_VALUE"""),369.13)</f>
        <v>369.13</v>
      </c>
      <c r="D2118" s="9">
        <f>IFERROR(__xludf.DUMMYFUNCTION("""COMPUTED_VALUE"""),362.83)</f>
        <v>362.83</v>
      </c>
      <c r="E2118" s="9">
        <f>IFERROR(__xludf.DUMMYFUNCTION("""COMPUTED_VALUE"""),364.16)</f>
        <v>364.16</v>
      </c>
      <c r="F2118" s="9">
        <f>IFERROR(__xludf.DUMMYFUNCTION("""COMPUTED_VALUE"""),862455.0)</f>
        <v>862455</v>
      </c>
      <c r="H2118" s="27">
        <f>IFERROR(__xludf.DUMMYFUNCTION("""COMPUTED_VALUE"""),41481.645833333336)</f>
        <v>41481.64583</v>
      </c>
      <c r="I2118" s="25">
        <f>IFERROR(__xludf.DUMMYFUNCTION("""COMPUTED_VALUE"""),897.5)</f>
        <v>897.5</v>
      </c>
      <c r="J2118" s="25">
        <f>IFERROR(__xludf.DUMMYFUNCTION("""COMPUTED_VALUE"""),899.48)</f>
        <v>899.48</v>
      </c>
      <c r="K2118" s="25">
        <f>IFERROR(__xludf.DUMMYFUNCTION("""COMPUTED_VALUE"""),875.05)</f>
        <v>875.05</v>
      </c>
      <c r="L2118" s="25">
        <f>IFERROR(__xludf.DUMMYFUNCTION("""COMPUTED_VALUE"""),887.25)</f>
        <v>887.25</v>
      </c>
      <c r="M2118" s="25">
        <f>IFERROR(__xludf.DUMMYFUNCTION("""COMPUTED_VALUE"""),1189532.0)</f>
        <v>1189532</v>
      </c>
    </row>
    <row r="2119">
      <c r="A2119" s="26">
        <f>IFERROR(__xludf.DUMMYFUNCTION("""COMPUTED_VALUE"""),41484.645833333336)</f>
        <v>41484.64583</v>
      </c>
      <c r="B2119" s="9">
        <f>IFERROR(__xludf.DUMMYFUNCTION("""COMPUTED_VALUE"""),363.75)</f>
        <v>363.75</v>
      </c>
      <c r="C2119" s="9">
        <f>IFERROR(__xludf.DUMMYFUNCTION("""COMPUTED_VALUE"""),368.0)</f>
        <v>368</v>
      </c>
      <c r="D2119" s="9">
        <f>IFERROR(__xludf.DUMMYFUNCTION("""COMPUTED_VALUE"""),363.75)</f>
        <v>363.75</v>
      </c>
      <c r="E2119" s="9">
        <f>IFERROR(__xludf.DUMMYFUNCTION("""COMPUTED_VALUE"""),365.15)</f>
        <v>365.15</v>
      </c>
      <c r="F2119" s="9">
        <f>IFERROR(__xludf.DUMMYFUNCTION("""COMPUTED_VALUE"""),545369.0)</f>
        <v>545369</v>
      </c>
      <c r="H2119" s="27">
        <f>IFERROR(__xludf.DUMMYFUNCTION("""COMPUTED_VALUE"""),41484.645833333336)</f>
        <v>41484.64583</v>
      </c>
      <c r="I2119" s="25">
        <f>IFERROR(__xludf.DUMMYFUNCTION("""COMPUTED_VALUE"""),879.0)</f>
        <v>879</v>
      </c>
      <c r="J2119" s="25">
        <f>IFERROR(__xludf.DUMMYFUNCTION("""COMPUTED_VALUE"""),897.3)</f>
        <v>897.3</v>
      </c>
      <c r="K2119" s="25">
        <f>IFERROR(__xludf.DUMMYFUNCTION("""COMPUTED_VALUE"""),878.63)</f>
        <v>878.63</v>
      </c>
      <c r="L2119" s="25">
        <f>IFERROR(__xludf.DUMMYFUNCTION("""COMPUTED_VALUE"""),889.6)</f>
        <v>889.6</v>
      </c>
      <c r="M2119" s="25">
        <f>IFERROR(__xludf.DUMMYFUNCTION("""COMPUTED_VALUE"""),887131.0)</f>
        <v>887131</v>
      </c>
    </row>
    <row r="2120">
      <c r="A2120" s="26">
        <f>IFERROR(__xludf.DUMMYFUNCTION("""COMPUTED_VALUE"""),41485.645833333336)</f>
        <v>41485.64583</v>
      </c>
      <c r="B2120" s="9">
        <f>IFERROR(__xludf.DUMMYFUNCTION("""COMPUTED_VALUE"""),366.38)</f>
        <v>366.38</v>
      </c>
      <c r="C2120" s="9">
        <f>IFERROR(__xludf.DUMMYFUNCTION("""COMPUTED_VALUE"""),371.63)</f>
        <v>371.63</v>
      </c>
      <c r="D2120" s="9">
        <f>IFERROR(__xludf.DUMMYFUNCTION("""COMPUTED_VALUE"""),366.38)</f>
        <v>366.38</v>
      </c>
      <c r="E2120" s="9">
        <f>IFERROR(__xludf.DUMMYFUNCTION("""COMPUTED_VALUE"""),369.46)</f>
        <v>369.46</v>
      </c>
      <c r="F2120" s="9">
        <f>IFERROR(__xludf.DUMMYFUNCTION("""COMPUTED_VALUE"""),792026.0)</f>
        <v>792026</v>
      </c>
      <c r="H2120" s="27">
        <f>IFERROR(__xludf.DUMMYFUNCTION("""COMPUTED_VALUE"""),41485.645833333336)</f>
        <v>41485.64583</v>
      </c>
      <c r="I2120" s="25">
        <f>IFERROR(__xludf.DUMMYFUNCTION("""COMPUTED_VALUE"""),890.0)</f>
        <v>890</v>
      </c>
      <c r="J2120" s="25">
        <f>IFERROR(__xludf.DUMMYFUNCTION("""COMPUTED_VALUE"""),902.48)</f>
        <v>902.48</v>
      </c>
      <c r="K2120" s="25">
        <f>IFERROR(__xludf.DUMMYFUNCTION("""COMPUTED_VALUE"""),887.73)</f>
        <v>887.73</v>
      </c>
      <c r="L2120" s="25">
        <f>IFERROR(__xludf.DUMMYFUNCTION("""COMPUTED_VALUE"""),896.15)</f>
        <v>896.15</v>
      </c>
      <c r="M2120" s="25">
        <f>IFERROR(__xludf.DUMMYFUNCTION("""COMPUTED_VALUE"""),1308742.0)</f>
        <v>1308742</v>
      </c>
    </row>
    <row r="2121">
      <c r="A2121" s="26">
        <f>IFERROR(__xludf.DUMMYFUNCTION("""COMPUTED_VALUE"""),41486.645833333336)</f>
        <v>41486.64583</v>
      </c>
      <c r="B2121" s="9">
        <f>IFERROR(__xludf.DUMMYFUNCTION("""COMPUTED_VALUE"""),371.13)</f>
        <v>371.13</v>
      </c>
      <c r="C2121" s="9">
        <f>IFERROR(__xludf.DUMMYFUNCTION("""COMPUTED_VALUE"""),373.95)</f>
        <v>373.95</v>
      </c>
      <c r="D2121" s="9">
        <f>IFERROR(__xludf.DUMMYFUNCTION("""COMPUTED_VALUE"""),366.03)</f>
        <v>366.03</v>
      </c>
      <c r="E2121" s="9">
        <f>IFERROR(__xludf.DUMMYFUNCTION("""COMPUTED_VALUE"""),371.21)</f>
        <v>371.21</v>
      </c>
      <c r="F2121" s="9">
        <f>IFERROR(__xludf.DUMMYFUNCTION("""COMPUTED_VALUE"""),1475916.0)</f>
        <v>1475916</v>
      </c>
      <c r="H2121" s="27">
        <f>IFERROR(__xludf.DUMMYFUNCTION("""COMPUTED_VALUE"""),41486.645833333336)</f>
        <v>41486.64583</v>
      </c>
      <c r="I2121" s="25">
        <f>IFERROR(__xludf.DUMMYFUNCTION("""COMPUTED_VALUE"""),895.0)</f>
        <v>895</v>
      </c>
      <c r="J2121" s="25">
        <f>IFERROR(__xludf.DUMMYFUNCTION("""COMPUTED_VALUE"""),915.75)</f>
        <v>915.75</v>
      </c>
      <c r="K2121" s="25">
        <f>IFERROR(__xludf.DUMMYFUNCTION("""COMPUTED_VALUE"""),894.73)</f>
        <v>894.73</v>
      </c>
      <c r="L2121" s="25">
        <f>IFERROR(__xludf.DUMMYFUNCTION("""COMPUTED_VALUE"""),907.75)</f>
        <v>907.75</v>
      </c>
      <c r="M2121" s="25">
        <f>IFERROR(__xludf.DUMMYFUNCTION("""COMPUTED_VALUE"""),1413375.0)</f>
        <v>1413375</v>
      </c>
    </row>
    <row r="2122">
      <c r="A2122" s="26">
        <f>IFERROR(__xludf.DUMMYFUNCTION("""COMPUTED_VALUE"""),41487.645833333336)</f>
        <v>41487.64583</v>
      </c>
      <c r="B2122" s="9">
        <f>IFERROR(__xludf.DUMMYFUNCTION("""COMPUTED_VALUE"""),373.5)</f>
        <v>373.5</v>
      </c>
      <c r="C2122" s="9">
        <f>IFERROR(__xludf.DUMMYFUNCTION("""COMPUTED_VALUE"""),374.39)</f>
        <v>374.39</v>
      </c>
      <c r="D2122" s="9">
        <f>IFERROR(__xludf.DUMMYFUNCTION("""COMPUTED_VALUE"""),369.59)</f>
        <v>369.59</v>
      </c>
      <c r="E2122" s="9">
        <f>IFERROR(__xludf.DUMMYFUNCTION("""COMPUTED_VALUE"""),371.83)</f>
        <v>371.83</v>
      </c>
      <c r="F2122" s="9">
        <f>IFERROR(__xludf.DUMMYFUNCTION("""COMPUTED_VALUE"""),1086329.0)</f>
        <v>1086329</v>
      </c>
      <c r="H2122" s="27">
        <f>IFERROR(__xludf.DUMMYFUNCTION("""COMPUTED_VALUE"""),41487.645833333336)</f>
        <v>41487.64583</v>
      </c>
      <c r="I2122" s="25">
        <f>IFERROR(__xludf.DUMMYFUNCTION("""COMPUTED_VALUE"""),905.03)</f>
        <v>905.03</v>
      </c>
      <c r="J2122" s="25">
        <f>IFERROR(__xludf.DUMMYFUNCTION("""COMPUTED_VALUE"""),917.4)</f>
        <v>917.4</v>
      </c>
      <c r="K2122" s="25">
        <f>IFERROR(__xludf.DUMMYFUNCTION("""COMPUTED_VALUE"""),895.0)</f>
        <v>895</v>
      </c>
      <c r="L2122" s="25">
        <f>IFERROR(__xludf.DUMMYFUNCTION("""COMPUTED_VALUE"""),907.7)</f>
        <v>907.7</v>
      </c>
      <c r="M2122" s="25">
        <f>IFERROR(__xludf.DUMMYFUNCTION("""COMPUTED_VALUE"""),1070589.0)</f>
        <v>1070589</v>
      </c>
    </row>
    <row r="2123">
      <c r="A2123" s="26">
        <f>IFERROR(__xludf.DUMMYFUNCTION("""COMPUTED_VALUE"""),41488.645833333336)</f>
        <v>41488.64583</v>
      </c>
      <c r="B2123" s="9">
        <f>IFERROR(__xludf.DUMMYFUNCTION("""COMPUTED_VALUE"""),373.13)</f>
        <v>373.13</v>
      </c>
      <c r="C2123" s="9">
        <f>IFERROR(__xludf.DUMMYFUNCTION("""COMPUTED_VALUE"""),377.5)</f>
        <v>377.5</v>
      </c>
      <c r="D2123" s="9">
        <f>IFERROR(__xludf.DUMMYFUNCTION("""COMPUTED_VALUE"""),372.64)</f>
        <v>372.64</v>
      </c>
      <c r="E2123" s="9">
        <f>IFERROR(__xludf.DUMMYFUNCTION("""COMPUTED_VALUE"""),376.1)</f>
        <v>376.1</v>
      </c>
      <c r="F2123" s="9">
        <f>IFERROR(__xludf.DUMMYFUNCTION("""COMPUTED_VALUE"""),1495287.0)</f>
        <v>1495287</v>
      </c>
      <c r="H2123" s="27">
        <f>IFERROR(__xludf.DUMMYFUNCTION("""COMPUTED_VALUE"""),41488.645833333336)</f>
        <v>41488.64583</v>
      </c>
      <c r="I2123" s="25">
        <f>IFERROR(__xludf.DUMMYFUNCTION("""COMPUTED_VALUE"""),909.85)</f>
        <v>909.85</v>
      </c>
      <c r="J2123" s="25">
        <f>IFERROR(__xludf.DUMMYFUNCTION("""COMPUTED_VALUE"""),924.95)</f>
        <v>924.95</v>
      </c>
      <c r="K2123" s="25">
        <f>IFERROR(__xludf.DUMMYFUNCTION("""COMPUTED_VALUE"""),908.35)</f>
        <v>908.35</v>
      </c>
      <c r="L2123" s="25">
        <f>IFERROR(__xludf.DUMMYFUNCTION("""COMPUTED_VALUE"""),922.93)</f>
        <v>922.93</v>
      </c>
      <c r="M2123" s="25">
        <f>IFERROR(__xludf.DUMMYFUNCTION("""COMPUTED_VALUE"""),923427.0)</f>
        <v>923427</v>
      </c>
    </row>
    <row r="2124">
      <c r="A2124" s="26">
        <f>IFERROR(__xludf.DUMMYFUNCTION("""COMPUTED_VALUE"""),41491.645833333336)</f>
        <v>41491.64583</v>
      </c>
      <c r="B2124" s="9">
        <f>IFERROR(__xludf.DUMMYFUNCTION("""COMPUTED_VALUE"""),374.85)</f>
        <v>374.85</v>
      </c>
      <c r="C2124" s="9">
        <f>IFERROR(__xludf.DUMMYFUNCTION("""COMPUTED_VALUE"""),378.13)</f>
        <v>378.13</v>
      </c>
      <c r="D2124" s="9">
        <f>IFERROR(__xludf.DUMMYFUNCTION("""COMPUTED_VALUE"""),374.56)</f>
        <v>374.56</v>
      </c>
      <c r="E2124" s="9">
        <f>IFERROR(__xludf.DUMMYFUNCTION("""COMPUTED_VALUE"""),376.13)</f>
        <v>376.13</v>
      </c>
      <c r="F2124" s="9">
        <f>IFERROR(__xludf.DUMMYFUNCTION("""COMPUTED_VALUE"""),1062848.0)</f>
        <v>1062848</v>
      </c>
      <c r="H2124" s="27">
        <f>IFERROR(__xludf.DUMMYFUNCTION("""COMPUTED_VALUE"""),41491.645833333336)</f>
        <v>41491.64583</v>
      </c>
      <c r="I2124" s="25">
        <f>IFERROR(__xludf.DUMMYFUNCTION("""COMPUTED_VALUE"""),920.0)</f>
        <v>920</v>
      </c>
      <c r="J2124" s="25">
        <f>IFERROR(__xludf.DUMMYFUNCTION("""COMPUTED_VALUE"""),938.7)</f>
        <v>938.7</v>
      </c>
      <c r="K2124" s="25">
        <f>IFERROR(__xludf.DUMMYFUNCTION("""COMPUTED_VALUE"""),920.0)</f>
        <v>920</v>
      </c>
      <c r="L2124" s="25">
        <f>IFERROR(__xludf.DUMMYFUNCTION("""COMPUTED_VALUE"""),933.6)</f>
        <v>933.6</v>
      </c>
      <c r="M2124" s="25">
        <f>IFERROR(__xludf.DUMMYFUNCTION("""COMPUTED_VALUE"""),1177592.0)</f>
        <v>1177592</v>
      </c>
    </row>
    <row r="2125">
      <c r="A2125" s="26">
        <f>IFERROR(__xludf.DUMMYFUNCTION("""COMPUTED_VALUE"""),41492.645833333336)</f>
        <v>41492.64583</v>
      </c>
      <c r="B2125" s="9">
        <f>IFERROR(__xludf.DUMMYFUNCTION("""COMPUTED_VALUE"""),376.0)</f>
        <v>376</v>
      </c>
      <c r="C2125" s="9">
        <f>IFERROR(__xludf.DUMMYFUNCTION("""COMPUTED_VALUE"""),376.5)</f>
        <v>376.5</v>
      </c>
      <c r="D2125" s="9">
        <f>IFERROR(__xludf.DUMMYFUNCTION("""COMPUTED_VALUE"""),368.88)</f>
        <v>368.88</v>
      </c>
      <c r="E2125" s="9">
        <f>IFERROR(__xludf.DUMMYFUNCTION("""COMPUTED_VALUE"""),373.42)</f>
        <v>373.42</v>
      </c>
      <c r="F2125" s="9">
        <f>IFERROR(__xludf.DUMMYFUNCTION("""COMPUTED_VALUE"""),1253979.0)</f>
        <v>1253979</v>
      </c>
      <c r="H2125" s="27">
        <f>IFERROR(__xludf.DUMMYFUNCTION("""COMPUTED_VALUE"""),41492.645833333336)</f>
        <v>41492.64583</v>
      </c>
      <c r="I2125" s="25">
        <f>IFERROR(__xludf.DUMMYFUNCTION("""COMPUTED_VALUE"""),936.5)</f>
        <v>936.5</v>
      </c>
      <c r="J2125" s="25">
        <f>IFERROR(__xludf.DUMMYFUNCTION("""COMPUTED_VALUE"""),940.98)</f>
        <v>940.98</v>
      </c>
      <c r="K2125" s="25">
        <f>IFERROR(__xludf.DUMMYFUNCTION("""COMPUTED_VALUE"""),932.33)</f>
        <v>932.33</v>
      </c>
      <c r="L2125" s="25">
        <f>IFERROR(__xludf.DUMMYFUNCTION("""COMPUTED_VALUE"""),935.05)</f>
        <v>935.05</v>
      </c>
      <c r="M2125" s="25">
        <f>IFERROR(__xludf.DUMMYFUNCTION("""COMPUTED_VALUE"""),1152645.0)</f>
        <v>1152645</v>
      </c>
    </row>
    <row r="2126">
      <c r="A2126" s="26">
        <f>IFERROR(__xludf.DUMMYFUNCTION("""COMPUTED_VALUE"""),41493.645833333336)</f>
        <v>41493.64583</v>
      </c>
      <c r="B2126" s="9">
        <f>IFERROR(__xludf.DUMMYFUNCTION("""COMPUTED_VALUE"""),371.88)</f>
        <v>371.88</v>
      </c>
      <c r="C2126" s="9">
        <f>IFERROR(__xludf.DUMMYFUNCTION("""COMPUTED_VALUE"""),375.35)</f>
        <v>375.35</v>
      </c>
      <c r="D2126" s="9">
        <f>IFERROR(__xludf.DUMMYFUNCTION("""COMPUTED_VALUE"""),368.91)</f>
        <v>368.91</v>
      </c>
      <c r="E2126" s="9">
        <f>IFERROR(__xludf.DUMMYFUNCTION("""COMPUTED_VALUE"""),370.42)</f>
        <v>370.42</v>
      </c>
      <c r="F2126" s="9">
        <f>IFERROR(__xludf.DUMMYFUNCTION("""COMPUTED_VALUE"""),812951.0)</f>
        <v>812951</v>
      </c>
      <c r="H2126" s="27">
        <f>IFERROR(__xludf.DUMMYFUNCTION("""COMPUTED_VALUE"""),41493.645833333336)</f>
        <v>41493.64583</v>
      </c>
      <c r="I2126" s="25">
        <f>IFERROR(__xludf.DUMMYFUNCTION("""COMPUTED_VALUE"""),937.0)</f>
        <v>937</v>
      </c>
      <c r="J2126" s="25">
        <f>IFERROR(__xludf.DUMMYFUNCTION("""COMPUTED_VALUE"""),945.45)</f>
        <v>945.45</v>
      </c>
      <c r="K2126" s="25">
        <f>IFERROR(__xludf.DUMMYFUNCTION("""COMPUTED_VALUE"""),906.73)</f>
        <v>906.73</v>
      </c>
      <c r="L2126" s="25">
        <f>IFERROR(__xludf.DUMMYFUNCTION("""COMPUTED_VALUE"""),911.35)</f>
        <v>911.35</v>
      </c>
      <c r="M2126" s="25">
        <f>IFERROR(__xludf.DUMMYFUNCTION("""COMPUTED_VALUE"""),1347490.0)</f>
        <v>1347490</v>
      </c>
    </row>
    <row r="2127">
      <c r="A2127" s="26">
        <f>IFERROR(__xludf.DUMMYFUNCTION("""COMPUTED_VALUE"""),41494.645833333336)</f>
        <v>41494.64583</v>
      </c>
      <c r="B2127" s="9">
        <f>IFERROR(__xludf.DUMMYFUNCTION("""COMPUTED_VALUE"""),367.5)</f>
        <v>367.5</v>
      </c>
      <c r="C2127" s="9">
        <f>IFERROR(__xludf.DUMMYFUNCTION("""COMPUTED_VALUE"""),372.25)</f>
        <v>372.25</v>
      </c>
      <c r="D2127" s="9">
        <f>IFERROR(__xludf.DUMMYFUNCTION("""COMPUTED_VALUE"""),367.5)</f>
        <v>367.5</v>
      </c>
      <c r="E2127" s="9">
        <f>IFERROR(__xludf.DUMMYFUNCTION("""COMPUTED_VALUE"""),370.57)</f>
        <v>370.57</v>
      </c>
      <c r="F2127" s="9">
        <f>IFERROR(__xludf.DUMMYFUNCTION("""COMPUTED_VALUE"""),720671.0)</f>
        <v>720671</v>
      </c>
      <c r="H2127" s="27">
        <f>IFERROR(__xludf.DUMMYFUNCTION("""COMPUTED_VALUE"""),41494.645833333336)</f>
        <v>41494.64583</v>
      </c>
      <c r="I2127" s="25">
        <f>IFERROR(__xludf.DUMMYFUNCTION("""COMPUTED_VALUE"""),902.55)</f>
        <v>902.55</v>
      </c>
      <c r="J2127" s="25">
        <f>IFERROR(__xludf.DUMMYFUNCTION("""COMPUTED_VALUE"""),928.08)</f>
        <v>928.08</v>
      </c>
      <c r="K2127" s="25">
        <f>IFERROR(__xludf.DUMMYFUNCTION("""COMPUTED_VALUE"""),891.85)</f>
        <v>891.85</v>
      </c>
      <c r="L2127" s="25">
        <f>IFERROR(__xludf.DUMMYFUNCTION("""COMPUTED_VALUE"""),922.7)</f>
        <v>922.7</v>
      </c>
      <c r="M2127" s="25">
        <f>IFERROR(__xludf.DUMMYFUNCTION("""COMPUTED_VALUE"""),1079314.0)</f>
        <v>1079314</v>
      </c>
    </row>
    <row r="2128">
      <c r="A2128" s="26">
        <f>IFERROR(__xludf.DUMMYFUNCTION("""COMPUTED_VALUE"""),41498.645833333336)</f>
        <v>41498.64583</v>
      </c>
      <c r="B2128" s="9">
        <f>IFERROR(__xludf.DUMMYFUNCTION("""COMPUTED_VALUE"""),372.0)</f>
        <v>372</v>
      </c>
      <c r="C2128" s="9">
        <f>IFERROR(__xludf.DUMMYFUNCTION("""COMPUTED_VALUE"""),377.5)</f>
        <v>377.5</v>
      </c>
      <c r="D2128" s="9">
        <f>IFERROR(__xludf.DUMMYFUNCTION("""COMPUTED_VALUE"""),371.38)</f>
        <v>371.38</v>
      </c>
      <c r="E2128" s="9">
        <f>IFERROR(__xludf.DUMMYFUNCTION("""COMPUTED_VALUE"""),375.68)</f>
        <v>375.68</v>
      </c>
      <c r="F2128" s="9">
        <f>IFERROR(__xludf.DUMMYFUNCTION("""COMPUTED_VALUE"""),949297.0)</f>
        <v>949297</v>
      </c>
      <c r="H2128" s="27">
        <f>IFERROR(__xludf.DUMMYFUNCTION("""COMPUTED_VALUE"""),41498.645833333336)</f>
        <v>41498.64583</v>
      </c>
      <c r="I2128" s="25">
        <f>IFERROR(__xludf.DUMMYFUNCTION("""COMPUTED_VALUE"""),920.5)</f>
        <v>920.5</v>
      </c>
      <c r="J2128" s="25">
        <f>IFERROR(__xludf.DUMMYFUNCTION("""COMPUTED_VALUE"""),920.5)</f>
        <v>920.5</v>
      </c>
      <c r="K2128" s="25">
        <f>IFERROR(__xludf.DUMMYFUNCTION("""COMPUTED_VALUE"""),904.08)</f>
        <v>904.08</v>
      </c>
      <c r="L2128" s="25">
        <f>IFERROR(__xludf.DUMMYFUNCTION("""COMPUTED_VALUE"""),907.0)</f>
        <v>907</v>
      </c>
      <c r="M2128" s="25">
        <f>IFERROR(__xludf.DUMMYFUNCTION("""COMPUTED_VALUE"""),1038787.0)</f>
        <v>1038787</v>
      </c>
    </row>
    <row r="2129">
      <c r="A2129" s="26">
        <f>IFERROR(__xludf.DUMMYFUNCTION("""COMPUTED_VALUE"""),41499.645833333336)</f>
        <v>41499.64583</v>
      </c>
      <c r="B2129" s="9">
        <f>IFERROR(__xludf.DUMMYFUNCTION("""COMPUTED_VALUE"""),376.01)</f>
        <v>376.01</v>
      </c>
      <c r="C2129" s="9">
        <f>IFERROR(__xludf.DUMMYFUNCTION("""COMPUTED_VALUE"""),386.75)</f>
        <v>386.75</v>
      </c>
      <c r="D2129" s="9">
        <f>IFERROR(__xludf.DUMMYFUNCTION("""COMPUTED_VALUE"""),376.0)</f>
        <v>376</v>
      </c>
      <c r="E2129" s="9">
        <f>IFERROR(__xludf.DUMMYFUNCTION("""COMPUTED_VALUE"""),385.45)</f>
        <v>385.45</v>
      </c>
      <c r="F2129" s="9">
        <f>IFERROR(__xludf.DUMMYFUNCTION("""COMPUTED_VALUE"""),1291789.0)</f>
        <v>1291789</v>
      </c>
      <c r="H2129" s="27">
        <f>IFERROR(__xludf.DUMMYFUNCTION("""COMPUTED_VALUE"""),41499.645833333336)</f>
        <v>41499.64583</v>
      </c>
      <c r="I2129" s="25">
        <f>IFERROR(__xludf.DUMMYFUNCTION("""COMPUTED_VALUE"""),910.1)</f>
        <v>910.1</v>
      </c>
      <c r="J2129" s="25">
        <f>IFERROR(__xludf.DUMMYFUNCTION("""COMPUTED_VALUE"""),922.43)</f>
        <v>922.43</v>
      </c>
      <c r="K2129" s="25">
        <f>IFERROR(__xludf.DUMMYFUNCTION("""COMPUTED_VALUE"""),904.98)</f>
        <v>904.98</v>
      </c>
      <c r="L2129" s="25">
        <f>IFERROR(__xludf.DUMMYFUNCTION("""COMPUTED_VALUE"""),909.9)</f>
        <v>909.9</v>
      </c>
      <c r="M2129" s="25">
        <f>IFERROR(__xludf.DUMMYFUNCTION("""COMPUTED_VALUE"""),1084148.0)</f>
        <v>1084148</v>
      </c>
    </row>
    <row r="2130">
      <c r="A2130" s="26">
        <f>IFERROR(__xludf.DUMMYFUNCTION("""COMPUTED_VALUE"""),41500.645833333336)</f>
        <v>41500.64583</v>
      </c>
      <c r="B2130" s="9">
        <f>IFERROR(__xludf.DUMMYFUNCTION("""COMPUTED_VALUE"""),383.75)</f>
        <v>383.75</v>
      </c>
      <c r="C2130" s="9">
        <f>IFERROR(__xludf.DUMMYFUNCTION("""COMPUTED_VALUE"""),386.86)</f>
        <v>386.86</v>
      </c>
      <c r="D2130" s="9">
        <f>IFERROR(__xludf.DUMMYFUNCTION("""COMPUTED_VALUE"""),380.32)</f>
        <v>380.32</v>
      </c>
      <c r="E2130" s="9">
        <f>IFERROR(__xludf.DUMMYFUNCTION("""COMPUTED_VALUE"""),383.71)</f>
        <v>383.71</v>
      </c>
      <c r="F2130" s="9">
        <f>IFERROR(__xludf.DUMMYFUNCTION("""COMPUTED_VALUE"""),1151401.0)</f>
        <v>1151401</v>
      </c>
      <c r="H2130" s="27">
        <f>IFERROR(__xludf.DUMMYFUNCTION("""COMPUTED_VALUE"""),41500.645833333336)</f>
        <v>41500.64583</v>
      </c>
      <c r="I2130" s="25">
        <f>IFERROR(__xludf.DUMMYFUNCTION("""COMPUTED_VALUE"""),912.25)</f>
        <v>912.25</v>
      </c>
      <c r="J2130" s="25">
        <f>IFERROR(__xludf.DUMMYFUNCTION("""COMPUTED_VALUE"""),929.0)</f>
        <v>929</v>
      </c>
      <c r="K2130" s="25">
        <f>IFERROR(__xludf.DUMMYFUNCTION("""COMPUTED_VALUE"""),901.0)</f>
        <v>901</v>
      </c>
      <c r="L2130" s="25">
        <f>IFERROR(__xludf.DUMMYFUNCTION("""COMPUTED_VALUE"""),916.75)</f>
        <v>916.75</v>
      </c>
      <c r="M2130" s="25">
        <f>IFERROR(__xludf.DUMMYFUNCTION("""COMPUTED_VALUE"""),1651034.0)</f>
        <v>1651034</v>
      </c>
    </row>
    <row r="2131">
      <c r="A2131" s="26">
        <f>IFERROR(__xludf.DUMMYFUNCTION("""COMPUTED_VALUE"""),41502.645833333336)</f>
        <v>41502.64583</v>
      </c>
      <c r="B2131" s="9">
        <f>IFERROR(__xludf.DUMMYFUNCTION("""COMPUTED_VALUE"""),377.5)</f>
        <v>377.5</v>
      </c>
      <c r="C2131" s="9">
        <f>IFERROR(__xludf.DUMMYFUNCTION("""COMPUTED_VALUE"""),379.99)</f>
        <v>379.99</v>
      </c>
      <c r="D2131" s="9">
        <f>IFERROR(__xludf.DUMMYFUNCTION("""COMPUTED_VALUE"""),370.96)</f>
        <v>370.96</v>
      </c>
      <c r="E2131" s="9">
        <f>IFERROR(__xludf.DUMMYFUNCTION("""COMPUTED_VALUE"""),372.3)</f>
        <v>372.3</v>
      </c>
      <c r="F2131" s="9">
        <f>IFERROR(__xludf.DUMMYFUNCTION("""COMPUTED_VALUE"""),1510952.0)</f>
        <v>1510952</v>
      </c>
      <c r="H2131" s="27">
        <f>IFERROR(__xludf.DUMMYFUNCTION("""COMPUTED_VALUE"""),41502.645833333336)</f>
        <v>41502.64583</v>
      </c>
      <c r="I2131" s="25">
        <f>IFERROR(__xludf.DUMMYFUNCTION("""COMPUTED_VALUE"""),912.1)</f>
        <v>912.1</v>
      </c>
      <c r="J2131" s="25">
        <f>IFERROR(__xludf.DUMMYFUNCTION("""COMPUTED_VALUE"""),915.0)</f>
        <v>915</v>
      </c>
      <c r="K2131" s="25">
        <f>IFERROR(__xludf.DUMMYFUNCTION("""COMPUTED_VALUE"""),877.78)</f>
        <v>877.78</v>
      </c>
      <c r="L2131" s="25">
        <f>IFERROR(__xludf.DUMMYFUNCTION("""COMPUTED_VALUE"""),890.45)</f>
        <v>890.45</v>
      </c>
      <c r="M2131" s="25">
        <f>IFERROR(__xludf.DUMMYFUNCTION("""COMPUTED_VALUE"""),1389965.0)</f>
        <v>1389965</v>
      </c>
    </row>
    <row r="2132">
      <c r="A2132" s="26">
        <f>IFERROR(__xludf.DUMMYFUNCTION("""COMPUTED_VALUE"""),41505.645833333336)</f>
        <v>41505.64583</v>
      </c>
      <c r="B2132" s="9">
        <f>IFERROR(__xludf.DUMMYFUNCTION("""COMPUTED_VALUE"""),373.76)</f>
        <v>373.76</v>
      </c>
      <c r="C2132" s="9">
        <f>IFERROR(__xludf.DUMMYFUNCTION("""COMPUTED_VALUE"""),378.37)</f>
        <v>378.37</v>
      </c>
      <c r="D2132" s="9">
        <f>IFERROR(__xludf.DUMMYFUNCTION("""COMPUTED_VALUE"""),368.87)</f>
        <v>368.87</v>
      </c>
      <c r="E2132" s="9">
        <f>IFERROR(__xludf.DUMMYFUNCTION("""COMPUTED_VALUE"""),375.63)</f>
        <v>375.63</v>
      </c>
      <c r="F2132" s="9">
        <f>IFERROR(__xludf.DUMMYFUNCTION("""COMPUTED_VALUE"""),657416.0)</f>
        <v>657416</v>
      </c>
      <c r="H2132" s="27">
        <f>IFERROR(__xludf.DUMMYFUNCTION("""COMPUTED_VALUE"""),41505.645833333336)</f>
        <v>41505.64583</v>
      </c>
      <c r="I2132" s="25">
        <f>IFERROR(__xludf.DUMMYFUNCTION("""COMPUTED_VALUE"""),899.0)</f>
        <v>899</v>
      </c>
      <c r="J2132" s="25">
        <f>IFERROR(__xludf.DUMMYFUNCTION("""COMPUTED_VALUE"""),903.5)</f>
        <v>903.5</v>
      </c>
      <c r="K2132" s="25">
        <f>IFERROR(__xludf.DUMMYFUNCTION("""COMPUTED_VALUE"""),877.78)</f>
        <v>877.78</v>
      </c>
      <c r="L2132" s="25">
        <f>IFERROR(__xludf.DUMMYFUNCTION("""COMPUTED_VALUE"""),888.73)</f>
        <v>888.73</v>
      </c>
      <c r="M2132" s="25">
        <f>IFERROR(__xludf.DUMMYFUNCTION("""COMPUTED_VALUE"""),1060676.0)</f>
        <v>1060676</v>
      </c>
    </row>
    <row r="2133">
      <c r="A2133" s="26">
        <f>IFERROR(__xludf.DUMMYFUNCTION("""COMPUTED_VALUE"""),41506.645833333336)</f>
        <v>41506.64583</v>
      </c>
      <c r="B2133" s="9">
        <f>IFERROR(__xludf.DUMMYFUNCTION("""COMPUTED_VALUE"""),377.5)</f>
        <v>377.5</v>
      </c>
      <c r="C2133" s="9">
        <f>IFERROR(__xludf.DUMMYFUNCTION("""COMPUTED_VALUE"""),377.63)</f>
        <v>377.63</v>
      </c>
      <c r="D2133" s="9">
        <f>IFERROR(__xludf.DUMMYFUNCTION("""COMPUTED_VALUE"""),372.81)</f>
        <v>372.81</v>
      </c>
      <c r="E2133" s="9">
        <f>IFERROR(__xludf.DUMMYFUNCTION("""COMPUTED_VALUE"""),375.83)</f>
        <v>375.83</v>
      </c>
      <c r="F2133" s="9">
        <f>IFERROR(__xludf.DUMMYFUNCTION("""COMPUTED_VALUE"""),1295257.0)</f>
        <v>1295257</v>
      </c>
      <c r="H2133" s="27">
        <f>IFERROR(__xludf.DUMMYFUNCTION("""COMPUTED_VALUE"""),41506.645833333336)</f>
        <v>41506.64583</v>
      </c>
      <c r="I2133" s="25">
        <f>IFERROR(__xludf.DUMMYFUNCTION("""COMPUTED_VALUE"""),894.9)</f>
        <v>894.9</v>
      </c>
      <c r="J2133" s="25">
        <f>IFERROR(__xludf.DUMMYFUNCTION("""COMPUTED_VALUE"""),894.9)</f>
        <v>894.9</v>
      </c>
      <c r="K2133" s="25">
        <f>IFERROR(__xludf.DUMMYFUNCTION("""COMPUTED_VALUE"""),865.0)</f>
        <v>865</v>
      </c>
      <c r="L2133" s="25">
        <f>IFERROR(__xludf.DUMMYFUNCTION("""COMPUTED_VALUE"""),868.2)</f>
        <v>868.2</v>
      </c>
      <c r="M2133" s="25">
        <f>IFERROR(__xludf.DUMMYFUNCTION("""COMPUTED_VALUE"""),1362422.0)</f>
        <v>1362422</v>
      </c>
    </row>
    <row r="2134">
      <c r="A2134" s="26">
        <f>IFERROR(__xludf.DUMMYFUNCTION("""COMPUTED_VALUE"""),41507.645833333336)</f>
        <v>41507.64583</v>
      </c>
      <c r="B2134" s="9">
        <f>IFERROR(__xludf.DUMMYFUNCTION("""COMPUTED_VALUE"""),374.35)</f>
        <v>374.35</v>
      </c>
      <c r="C2134" s="9">
        <f>IFERROR(__xludf.DUMMYFUNCTION("""COMPUTED_VALUE"""),374.35)</f>
        <v>374.35</v>
      </c>
      <c r="D2134" s="9">
        <f>IFERROR(__xludf.DUMMYFUNCTION("""COMPUTED_VALUE"""),365.26)</f>
        <v>365.26</v>
      </c>
      <c r="E2134" s="9">
        <f>IFERROR(__xludf.DUMMYFUNCTION("""COMPUTED_VALUE"""),369.84)</f>
        <v>369.84</v>
      </c>
      <c r="F2134" s="9">
        <f>IFERROR(__xludf.DUMMYFUNCTION("""COMPUTED_VALUE"""),940823.0)</f>
        <v>940823</v>
      </c>
      <c r="H2134" s="27">
        <f>IFERROR(__xludf.DUMMYFUNCTION("""COMPUTED_VALUE"""),41507.645833333336)</f>
        <v>41507.64583</v>
      </c>
      <c r="I2134" s="25">
        <f>IFERROR(__xludf.DUMMYFUNCTION("""COMPUTED_VALUE"""),870.05)</f>
        <v>870.05</v>
      </c>
      <c r="J2134" s="25">
        <f>IFERROR(__xludf.DUMMYFUNCTION("""COMPUTED_VALUE"""),871.85)</f>
        <v>871.85</v>
      </c>
      <c r="K2134" s="25">
        <f>IFERROR(__xludf.DUMMYFUNCTION("""COMPUTED_VALUE"""),850.58)</f>
        <v>850.58</v>
      </c>
      <c r="L2134" s="25">
        <f>IFERROR(__xludf.DUMMYFUNCTION("""COMPUTED_VALUE"""),858.9)</f>
        <v>858.9</v>
      </c>
      <c r="M2134" s="25">
        <f>IFERROR(__xludf.DUMMYFUNCTION("""COMPUTED_VALUE"""),1811997.0)</f>
        <v>1811997</v>
      </c>
    </row>
    <row r="2135">
      <c r="A2135" s="26">
        <f>IFERROR(__xludf.DUMMYFUNCTION("""COMPUTED_VALUE"""),41508.645833333336)</f>
        <v>41508.64583</v>
      </c>
      <c r="B2135" s="9">
        <f>IFERROR(__xludf.DUMMYFUNCTION("""COMPUTED_VALUE"""),373.63)</f>
        <v>373.63</v>
      </c>
      <c r="C2135" s="9">
        <f>IFERROR(__xludf.DUMMYFUNCTION("""COMPUTED_VALUE"""),379.56)</f>
        <v>379.56</v>
      </c>
      <c r="D2135" s="9">
        <f>IFERROR(__xludf.DUMMYFUNCTION("""COMPUTED_VALUE"""),370.5)</f>
        <v>370.5</v>
      </c>
      <c r="E2135" s="9">
        <f>IFERROR(__xludf.DUMMYFUNCTION("""COMPUTED_VALUE"""),377.53)</f>
        <v>377.53</v>
      </c>
      <c r="F2135" s="9">
        <f>IFERROR(__xludf.DUMMYFUNCTION("""COMPUTED_VALUE"""),1370727.0)</f>
        <v>1370727</v>
      </c>
      <c r="H2135" s="27">
        <f>IFERROR(__xludf.DUMMYFUNCTION("""COMPUTED_VALUE"""),41508.645833333336)</f>
        <v>41508.64583</v>
      </c>
      <c r="I2135" s="25">
        <f>IFERROR(__xludf.DUMMYFUNCTION("""COMPUTED_VALUE"""),852.5)</f>
        <v>852.5</v>
      </c>
      <c r="J2135" s="25">
        <f>IFERROR(__xludf.DUMMYFUNCTION("""COMPUTED_VALUE"""),898.58)</f>
        <v>898.58</v>
      </c>
      <c r="K2135" s="25">
        <f>IFERROR(__xludf.DUMMYFUNCTION("""COMPUTED_VALUE"""),847.6)</f>
        <v>847.6</v>
      </c>
      <c r="L2135" s="25">
        <f>IFERROR(__xludf.DUMMYFUNCTION("""COMPUTED_VALUE"""),889.48)</f>
        <v>889.48</v>
      </c>
      <c r="M2135" s="25">
        <f>IFERROR(__xludf.DUMMYFUNCTION("""COMPUTED_VALUE"""),2130494.0)</f>
        <v>2130494</v>
      </c>
    </row>
    <row r="2136">
      <c r="A2136" s="26">
        <f>IFERROR(__xludf.DUMMYFUNCTION("""COMPUTED_VALUE"""),41509.645833333336)</f>
        <v>41509.64583</v>
      </c>
      <c r="B2136" s="9">
        <f>IFERROR(__xludf.DUMMYFUNCTION("""COMPUTED_VALUE"""),375.63)</f>
        <v>375.63</v>
      </c>
      <c r="C2136" s="9">
        <f>IFERROR(__xludf.DUMMYFUNCTION("""COMPUTED_VALUE"""),377.49)</f>
        <v>377.49</v>
      </c>
      <c r="D2136" s="9">
        <f>IFERROR(__xludf.DUMMYFUNCTION("""COMPUTED_VALUE"""),372.79)</f>
        <v>372.79</v>
      </c>
      <c r="E2136" s="9">
        <f>IFERROR(__xludf.DUMMYFUNCTION("""COMPUTED_VALUE"""),375.09)</f>
        <v>375.09</v>
      </c>
      <c r="F2136" s="9">
        <f>IFERROR(__xludf.DUMMYFUNCTION("""COMPUTED_VALUE"""),687358.0)</f>
        <v>687358</v>
      </c>
      <c r="H2136" s="27">
        <f>IFERROR(__xludf.DUMMYFUNCTION("""COMPUTED_VALUE"""),41509.645833333336)</f>
        <v>41509.64583</v>
      </c>
      <c r="I2136" s="25">
        <f>IFERROR(__xludf.DUMMYFUNCTION("""COMPUTED_VALUE"""),897.0)</f>
        <v>897</v>
      </c>
      <c r="J2136" s="25">
        <f>IFERROR(__xludf.DUMMYFUNCTION("""COMPUTED_VALUE"""),919.0)</f>
        <v>919</v>
      </c>
      <c r="K2136" s="25">
        <f>IFERROR(__xludf.DUMMYFUNCTION("""COMPUTED_VALUE"""),892.15)</f>
        <v>892.15</v>
      </c>
      <c r="L2136" s="25">
        <f>IFERROR(__xludf.DUMMYFUNCTION("""COMPUTED_VALUE"""),914.73)</f>
        <v>914.73</v>
      </c>
      <c r="M2136" s="25">
        <f>IFERROR(__xludf.DUMMYFUNCTION("""COMPUTED_VALUE"""),2016442.0)</f>
        <v>2016442</v>
      </c>
    </row>
    <row r="2137">
      <c r="A2137" s="26">
        <f>IFERROR(__xludf.DUMMYFUNCTION("""COMPUTED_VALUE"""),41512.645833333336)</f>
        <v>41512.64583</v>
      </c>
      <c r="B2137" s="9">
        <f>IFERROR(__xludf.DUMMYFUNCTION("""COMPUTED_VALUE"""),377.49)</f>
        <v>377.49</v>
      </c>
      <c r="C2137" s="9">
        <f>IFERROR(__xludf.DUMMYFUNCTION("""COMPUTED_VALUE"""),381.23)</f>
        <v>381.23</v>
      </c>
      <c r="D2137" s="9">
        <f>IFERROR(__xludf.DUMMYFUNCTION("""COMPUTED_VALUE"""),376.06)</f>
        <v>376.06</v>
      </c>
      <c r="E2137" s="9">
        <f>IFERROR(__xludf.DUMMYFUNCTION("""COMPUTED_VALUE"""),378.84)</f>
        <v>378.84</v>
      </c>
      <c r="F2137" s="9">
        <f>IFERROR(__xludf.DUMMYFUNCTION("""COMPUTED_VALUE"""),696443.0)</f>
        <v>696443</v>
      </c>
      <c r="H2137" s="27">
        <f>IFERROR(__xludf.DUMMYFUNCTION("""COMPUTED_VALUE"""),41512.645833333336)</f>
        <v>41512.64583</v>
      </c>
      <c r="I2137" s="25">
        <f>IFERROR(__xludf.DUMMYFUNCTION("""COMPUTED_VALUE"""),911.55)</f>
        <v>911.55</v>
      </c>
      <c r="J2137" s="25">
        <f>IFERROR(__xludf.DUMMYFUNCTION("""COMPUTED_VALUE"""),939.3)</f>
        <v>939.3</v>
      </c>
      <c r="K2137" s="25">
        <f>IFERROR(__xludf.DUMMYFUNCTION("""COMPUTED_VALUE"""),907.0)</f>
        <v>907</v>
      </c>
      <c r="L2137" s="25">
        <f>IFERROR(__xludf.DUMMYFUNCTION("""COMPUTED_VALUE"""),921.0)</f>
        <v>921</v>
      </c>
      <c r="M2137" s="25">
        <f>IFERROR(__xludf.DUMMYFUNCTION("""COMPUTED_VALUE"""),1331619.0)</f>
        <v>1331619</v>
      </c>
    </row>
    <row r="2138">
      <c r="A2138" s="26">
        <f>IFERROR(__xludf.DUMMYFUNCTION("""COMPUTED_VALUE"""),41513.645833333336)</f>
        <v>41513.64583</v>
      </c>
      <c r="B2138" s="9">
        <f>IFERROR(__xludf.DUMMYFUNCTION("""COMPUTED_VALUE"""),379.0)</f>
        <v>379</v>
      </c>
      <c r="C2138" s="9">
        <f>IFERROR(__xludf.DUMMYFUNCTION("""COMPUTED_VALUE"""),385.0)</f>
        <v>385</v>
      </c>
      <c r="D2138" s="9">
        <f>IFERROR(__xludf.DUMMYFUNCTION("""COMPUTED_VALUE"""),378.99)</f>
        <v>378.99</v>
      </c>
      <c r="E2138" s="9">
        <f>IFERROR(__xludf.DUMMYFUNCTION("""COMPUTED_VALUE"""),382.01)</f>
        <v>382.01</v>
      </c>
      <c r="F2138" s="9">
        <f>IFERROR(__xludf.DUMMYFUNCTION("""COMPUTED_VALUE"""),1065694.0)</f>
        <v>1065694</v>
      </c>
      <c r="H2138" s="27">
        <f>IFERROR(__xludf.DUMMYFUNCTION("""COMPUTED_VALUE"""),41513.645833333336)</f>
        <v>41513.64583</v>
      </c>
      <c r="I2138" s="25">
        <f>IFERROR(__xludf.DUMMYFUNCTION("""COMPUTED_VALUE"""),919.5)</f>
        <v>919.5</v>
      </c>
      <c r="J2138" s="25">
        <f>IFERROR(__xludf.DUMMYFUNCTION("""COMPUTED_VALUE"""),939.43)</f>
        <v>939.43</v>
      </c>
      <c r="K2138" s="25">
        <f>IFERROR(__xludf.DUMMYFUNCTION("""COMPUTED_VALUE"""),915.0)</f>
        <v>915</v>
      </c>
      <c r="L2138" s="25">
        <f>IFERROR(__xludf.DUMMYFUNCTION("""COMPUTED_VALUE"""),919.4)</f>
        <v>919.4</v>
      </c>
      <c r="M2138" s="25">
        <f>IFERROR(__xludf.DUMMYFUNCTION("""COMPUTED_VALUE"""),972642.0)</f>
        <v>972642</v>
      </c>
    </row>
    <row r="2139">
      <c r="A2139" s="26">
        <f>IFERROR(__xludf.DUMMYFUNCTION("""COMPUTED_VALUE"""),41514.645833333336)</f>
        <v>41514.64583</v>
      </c>
      <c r="B2139" s="9">
        <f>IFERROR(__xludf.DUMMYFUNCTION("""COMPUTED_VALUE"""),381.5)</f>
        <v>381.5</v>
      </c>
      <c r="C2139" s="9">
        <f>IFERROR(__xludf.DUMMYFUNCTION("""COMPUTED_VALUE"""),391.25)</f>
        <v>391.25</v>
      </c>
      <c r="D2139" s="9">
        <f>IFERROR(__xludf.DUMMYFUNCTION("""COMPUTED_VALUE"""),381.5)</f>
        <v>381.5</v>
      </c>
      <c r="E2139" s="9">
        <f>IFERROR(__xludf.DUMMYFUNCTION("""COMPUTED_VALUE"""),389.53)</f>
        <v>389.53</v>
      </c>
      <c r="F2139" s="9">
        <f>IFERROR(__xludf.DUMMYFUNCTION("""COMPUTED_VALUE"""),1791212.0)</f>
        <v>1791212</v>
      </c>
      <c r="H2139" s="27">
        <f>IFERROR(__xludf.DUMMYFUNCTION("""COMPUTED_VALUE"""),41514.645833333336)</f>
        <v>41514.64583</v>
      </c>
      <c r="I2139" s="25">
        <f>IFERROR(__xludf.DUMMYFUNCTION("""COMPUTED_VALUE"""),914.0)</f>
        <v>914</v>
      </c>
      <c r="J2139" s="25">
        <f>IFERROR(__xludf.DUMMYFUNCTION("""COMPUTED_VALUE"""),973.05)</f>
        <v>973.05</v>
      </c>
      <c r="K2139" s="25">
        <f>IFERROR(__xludf.DUMMYFUNCTION("""COMPUTED_VALUE"""),914.0)</f>
        <v>914</v>
      </c>
      <c r="L2139" s="25">
        <f>IFERROR(__xludf.DUMMYFUNCTION("""COMPUTED_VALUE"""),953.95)</f>
        <v>953.95</v>
      </c>
      <c r="M2139" s="25">
        <f>IFERROR(__xludf.DUMMYFUNCTION("""COMPUTED_VALUE"""),2222342.0)</f>
        <v>2222342</v>
      </c>
    </row>
    <row r="2140">
      <c r="A2140" s="26">
        <f>IFERROR(__xludf.DUMMYFUNCTION("""COMPUTED_VALUE"""),41515.645833333336)</f>
        <v>41515.64583</v>
      </c>
      <c r="B2140" s="9">
        <f>IFERROR(__xludf.DUMMYFUNCTION("""COMPUTED_VALUE"""),383.75)</f>
        <v>383.75</v>
      </c>
      <c r="C2140" s="9">
        <f>IFERROR(__xludf.DUMMYFUNCTION("""COMPUTED_VALUE"""),390.87)</f>
        <v>390.87</v>
      </c>
      <c r="D2140" s="9">
        <f>IFERROR(__xludf.DUMMYFUNCTION("""COMPUTED_VALUE"""),382.63)</f>
        <v>382.63</v>
      </c>
      <c r="E2140" s="9">
        <f>IFERROR(__xludf.DUMMYFUNCTION("""COMPUTED_VALUE"""),388.08)</f>
        <v>388.08</v>
      </c>
      <c r="F2140" s="9">
        <f>IFERROR(__xludf.DUMMYFUNCTION("""COMPUTED_VALUE"""),2510786.0)</f>
        <v>2510786</v>
      </c>
      <c r="H2140" s="27">
        <f>IFERROR(__xludf.DUMMYFUNCTION("""COMPUTED_VALUE"""),41515.645833333336)</f>
        <v>41515.64583</v>
      </c>
      <c r="I2140" s="25">
        <f>IFERROR(__xludf.DUMMYFUNCTION("""COMPUTED_VALUE"""),950.5)</f>
        <v>950.5</v>
      </c>
      <c r="J2140" s="25">
        <f>IFERROR(__xludf.DUMMYFUNCTION("""COMPUTED_VALUE"""),985.0)</f>
        <v>985</v>
      </c>
      <c r="K2140" s="25">
        <f>IFERROR(__xludf.DUMMYFUNCTION("""COMPUTED_VALUE"""),939.15)</f>
        <v>939.15</v>
      </c>
      <c r="L2140" s="25">
        <f>IFERROR(__xludf.DUMMYFUNCTION("""COMPUTED_VALUE"""),973.55)</f>
        <v>973.55</v>
      </c>
      <c r="M2140" s="25">
        <f>IFERROR(__xludf.DUMMYFUNCTION("""COMPUTED_VALUE"""),2952591.0)</f>
        <v>2952591</v>
      </c>
    </row>
    <row r="2141">
      <c r="A2141" s="26">
        <f>IFERROR(__xludf.DUMMYFUNCTION("""COMPUTED_VALUE"""),41516.645833333336)</f>
        <v>41516.64583</v>
      </c>
      <c r="B2141" s="9">
        <f>IFERROR(__xludf.DUMMYFUNCTION("""COMPUTED_VALUE"""),386.5)</f>
        <v>386.5</v>
      </c>
      <c r="C2141" s="9">
        <f>IFERROR(__xludf.DUMMYFUNCTION("""COMPUTED_VALUE"""),390.36)</f>
        <v>390.36</v>
      </c>
      <c r="D2141" s="9">
        <f>IFERROR(__xludf.DUMMYFUNCTION("""COMPUTED_VALUE"""),379.69)</f>
        <v>379.69</v>
      </c>
      <c r="E2141" s="9">
        <f>IFERROR(__xludf.DUMMYFUNCTION("""COMPUTED_VALUE"""),388.23)</f>
        <v>388.23</v>
      </c>
      <c r="F2141" s="9">
        <f>IFERROR(__xludf.DUMMYFUNCTION("""COMPUTED_VALUE"""),1584820.0)</f>
        <v>1584820</v>
      </c>
      <c r="H2141" s="27">
        <f>IFERROR(__xludf.DUMMYFUNCTION("""COMPUTED_VALUE"""),41516.645833333336)</f>
        <v>41516.64583</v>
      </c>
      <c r="I2141" s="25">
        <f>IFERROR(__xludf.DUMMYFUNCTION("""COMPUTED_VALUE"""),969.5)</f>
        <v>969.5</v>
      </c>
      <c r="J2141" s="25">
        <f>IFERROR(__xludf.DUMMYFUNCTION("""COMPUTED_VALUE"""),1025.0)</f>
        <v>1025</v>
      </c>
      <c r="K2141" s="25">
        <f>IFERROR(__xludf.DUMMYFUNCTION("""COMPUTED_VALUE"""),965.0)</f>
        <v>965</v>
      </c>
      <c r="L2141" s="25">
        <f>IFERROR(__xludf.DUMMYFUNCTION("""COMPUTED_VALUE"""),1016.6)</f>
        <v>1016.6</v>
      </c>
      <c r="M2141" s="25">
        <f>IFERROR(__xludf.DUMMYFUNCTION("""COMPUTED_VALUE"""),2641471.0)</f>
        <v>2641471</v>
      </c>
    </row>
    <row r="2142">
      <c r="A2142" s="26">
        <f>IFERROR(__xludf.DUMMYFUNCTION("""COMPUTED_VALUE"""),41519.645833333336)</f>
        <v>41519.64583</v>
      </c>
      <c r="B2142" s="9">
        <f>IFERROR(__xludf.DUMMYFUNCTION("""COMPUTED_VALUE"""),384.64)</f>
        <v>384.64</v>
      </c>
      <c r="C2142" s="9">
        <f>IFERROR(__xludf.DUMMYFUNCTION("""COMPUTED_VALUE"""),390.95)</f>
        <v>390.95</v>
      </c>
      <c r="D2142" s="9">
        <f>IFERROR(__xludf.DUMMYFUNCTION("""COMPUTED_VALUE"""),383.08)</f>
        <v>383.08</v>
      </c>
      <c r="E2142" s="9">
        <f>IFERROR(__xludf.DUMMYFUNCTION("""COMPUTED_VALUE"""),385.74)</f>
        <v>385.74</v>
      </c>
      <c r="F2142" s="9">
        <f>IFERROR(__xludf.DUMMYFUNCTION("""COMPUTED_VALUE"""),640630.0)</f>
        <v>640630</v>
      </c>
      <c r="H2142" s="27">
        <f>IFERROR(__xludf.DUMMYFUNCTION("""COMPUTED_VALUE"""),41519.645833333336)</f>
        <v>41519.64583</v>
      </c>
      <c r="I2142" s="25">
        <f>IFERROR(__xludf.DUMMYFUNCTION("""COMPUTED_VALUE"""),1010.0)</f>
        <v>1010</v>
      </c>
      <c r="J2142" s="25">
        <f>IFERROR(__xludf.DUMMYFUNCTION("""COMPUTED_VALUE"""),1034.5)</f>
        <v>1034.5</v>
      </c>
      <c r="K2142" s="25">
        <f>IFERROR(__xludf.DUMMYFUNCTION("""COMPUTED_VALUE"""),1008.75)</f>
        <v>1008.75</v>
      </c>
      <c r="L2142" s="25">
        <f>IFERROR(__xludf.DUMMYFUNCTION("""COMPUTED_VALUE"""),1028.43)</f>
        <v>1028.43</v>
      </c>
      <c r="M2142" s="25">
        <f>IFERROR(__xludf.DUMMYFUNCTION("""COMPUTED_VALUE"""),1077017.0)</f>
        <v>1077017</v>
      </c>
    </row>
    <row r="2143">
      <c r="A2143" s="26">
        <f>IFERROR(__xludf.DUMMYFUNCTION("""COMPUTED_VALUE"""),41520.645833333336)</f>
        <v>41520.64583</v>
      </c>
      <c r="B2143" s="9">
        <f>IFERROR(__xludf.DUMMYFUNCTION("""COMPUTED_VALUE"""),384.0)</f>
        <v>384</v>
      </c>
      <c r="C2143" s="9">
        <f>IFERROR(__xludf.DUMMYFUNCTION("""COMPUTED_VALUE"""),386.81)</f>
        <v>386.81</v>
      </c>
      <c r="D2143" s="9">
        <f>IFERROR(__xludf.DUMMYFUNCTION("""COMPUTED_VALUE"""),377.1)</f>
        <v>377.1</v>
      </c>
      <c r="E2143" s="9">
        <f>IFERROR(__xludf.DUMMYFUNCTION("""COMPUTED_VALUE"""),379.21)</f>
        <v>379.21</v>
      </c>
      <c r="F2143" s="9">
        <f>IFERROR(__xludf.DUMMYFUNCTION("""COMPUTED_VALUE"""),783414.0)</f>
        <v>783414</v>
      </c>
      <c r="H2143" s="27">
        <f>IFERROR(__xludf.DUMMYFUNCTION("""COMPUTED_VALUE"""),41520.645833333336)</f>
        <v>41520.64583</v>
      </c>
      <c r="I2143" s="25">
        <f>IFERROR(__xludf.DUMMYFUNCTION("""COMPUTED_VALUE"""),1025.05)</f>
        <v>1025.05</v>
      </c>
      <c r="J2143" s="25">
        <f>IFERROR(__xludf.DUMMYFUNCTION("""COMPUTED_VALUE"""),1033.5)</f>
        <v>1033.5</v>
      </c>
      <c r="K2143" s="25">
        <f>IFERROR(__xludf.DUMMYFUNCTION("""COMPUTED_VALUE"""),993.08)</f>
        <v>993.08</v>
      </c>
      <c r="L2143" s="25">
        <f>IFERROR(__xludf.DUMMYFUNCTION("""COMPUTED_VALUE"""),1000.55)</f>
        <v>1000.55</v>
      </c>
      <c r="M2143" s="25">
        <f>IFERROR(__xludf.DUMMYFUNCTION("""COMPUTED_VALUE"""),1177532.0)</f>
        <v>1177532</v>
      </c>
    </row>
    <row r="2144">
      <c r="A2144" s="26">
        <f>IFERROR(__xludf.DUMMYFUNCTION("""COMPUTED_VALUE"""),41521.645833333336)</f>
        <v>41521.64583</v>
      </c>
      <c r="B2144" s="9">
        <f>IFERROR(__xludf.DUMMYFUNCTION("""COMPUTED_VALUE"""),382.46)</f>
        <v>382.46</v>
      </c>
      <c r="C2144" s="9">
        <f>IFERROR(__xludf.DUMMYFUNCTION("""COMPUTED_VALUE"""),392.49)</f>
        <v>392.49</v>
      </c>
      <c r="D2144" s="9">
        <f>IFERROR(__xludf.DUMMYFUNCTION("""COMPUTED_VALUE"""),381.95)</f>
        <v>381.95</v>
      </c>
      <c r="E2144" s="9">
        <f>IFERROR(__xludf.DUMMYFUNCTION("""COMPUTED_VALUE"""),389.09)</f>
        <v>389.09</v>
      </c>
      <c r="F2144" s="9">
        <f>IFERROR(__xludf.DUMMYFUNCTION("""COMPUTED_VALUE"""),1122425.0)</f>
        <v>1122425</v>
      </c>
      <c r="H2144" s="27">
        <f>IFERROR(__xludf.DUMMYFUNCTION("""COMPUTED_VALUE"""),41521.645833333336)</f>
        <v>41521.64583</v>
      </c>
      <c r="I2144" s="25">
        <f>IFERROR(__xludf.DUMMYFUNCTION("""COMPUTED_VALUE"""),1000.0)</f>
        <v>1000</v>
      </c>
      <c r="J2144" s="25">
        <f>IFERROR(__xludf.DUMMYFUNCTION("""COMPUTED_VALUE"""),1039.4)</f>
        <v>1039.4</v>
      </c>
      <c r="K2144" s="25">
        <f>IFERROR(__xludf.DUMMYFUNCTION("""COMPUTED_VALUE"""),996.98)</f>
        <v>996.98</v>
      </c>
      <c r="L2144" s="25">
        <f>IFERROR(__xludf.DUMMYFUNCTION("""COMPUTED_VALUE"""),1034.55)</f>
        <v>1034.55</v>
      </c>
      <c r="M2144" s="25">
        <f>IFERROR(__xludf.DUMMYFUNCTION("""COMPUTED_VALUE"""),1313258.0)</f>
        <v>1313258</v>
      </c>
    </row>
    <row r="2145">
      <c r="A2145" s="26">
        <f>IFERROR(__xludf.DUMMYFUNCTION("""COMPUTED_VALUE"""),41522.645833333336)</f>
        <v>41522.64583</v>
      </c>
      <c r="B2145" s="9">
        <f>IFERROR(__xludf.DUMMYFUNCTION("""COMPUTED_VALUE"""),387.09)</f>
        <v>387.09</v>
      </c>
      <c r="C2145" s="9">
        <f>IFERROR(__xludf.DUMMYFUNCTION("""COMPUTED_VALUE"""),387.09)</f>
        <v>387.09</v>
      </c>
      <c r="D2145" s="9">
        <f>IFERROR(__xludf.DUMMYFUNCTION("""COMPUTED_VALUE"""),374.39)</f>
        <v>374.39</v>
      </c>
      <c r="E2145" s="9">
        <f>IFERROR(__xludf.DUMMYFUNCTION("""COMPUTED_VALUE"""),375.6)</f>
        <v>375.6</v>
      </c>
      <c r="F2145" s="9">
        <f>IFERROR(__xludf.DUMMYFUNCTION("""COMPUTED_VALUE"""),1182134.0)</f>
        <v>1182134</v>
      </c>
      <c r="H2145" s="27">
        <f>IFERROR(__xludf.DUMMYFUNCTION("""COMPUTED_VALUE"""),41522.645833333336)</f>
        <v>41522.64583</v>
      </c>
      <c r="I2145" s="25">
        <f>IFERROR(__xludf.DUMMYFUNCTION("""COMPUTED_VALUE"""),1034.5)</f>
        <v>1034.5</v>
      </c>
      <c r="J2145" s="25">
        <f>IFERROR(__xludf.DUMMYFUNCTION("""COMPUTED_VALUE"""),1034.5)</f>
        <v>1034.5</v>
      </c>
      <c r="K2145" s="25">
        <f>IFERROR(__xludf.DUMMYFUNCTION("""COMPUTED_VALUE"""),990.53)</f>
        <v>990.53</v>
      </c>
      <c r="L2145" s="25">
        <f>IFERROR(__xludf.DUMMYFUNCTION("""COMPUTED_VALUE"""),995.38)</f>
        <v>995.38</v>
      </c>
      <c r="M2145" s="25">
        <f>IFERROR(__xludf.DUMMYFUNCTION("""COMPUTED_VALUE"""),1963746.0)</f>
        <v>1963746</v>
      </c>
    </row>
    <row r="2146">
      <c r="A2146" s="26">
        <f>IFERROR(__xludf.DUMMYFUNCTION("""COMPUTED_VALUE"""),41523.645833333336)</f>
        <v>41523.64583</v>
      </c>
      <c r="B2146" s="9">
        <f>IFERROR(__xludf.DUMMYFUNCTION("""COMPUTED_VALUE"""),375.74)</f>
        <v>375.74</v>
      </c>
      <c r="C2146" s="9">
        <f>IFERROR(__xludf.DUMMYFUNCTION("""COMPUTED_VALUE"""),383.99)</f>
        <v>383.99</v>
      </c>
      <c r="D2146" s="9">
        <f>IFERROR(__xludf.DUMMYFUNCTION("""COMPUTED_VALUE"""),375.74)</f>
        <v>375.74</v>
      </c>
      <c r="E2146" s="9">
        <f>IFERROR(__xludf.DUMMYFUNCTION("""COMPUTED_VALUE"""),378.63)</f>
        <v>378.63</v>
      </c>
      <c r="F2146" s="9">
        <f>IFERROR(__xludf.DUMMYFUNCTION("""COMPUTED_VALUE"""),1683241.0)</f>
        <v>1683241</v>
      </c>
      <c r="H2146" s="27">
        <f>IFERROR(__xludf.DUMMYFUNCTION("""COMPUTED_VALUE"""),41523.645833333336)</f>
        <v>41523.64583</v>
      </c>
      <c r="I2146" s="25">
        <f>IFERROR(__xludf.DUMMYFUNCTION("""COMPUTED_VALUE"""),1004.5)</f>
        <v>1004.5</v>
      </c>
      <c r="J2146" s="25">
        <f>IFERROR(__xludf.DUMMYFUNCTION("""COMPUTED_VALUE"""),1012.5)</f>
        <v>1012.5</v>
      </c>
      <c r="K2146" s="25">
        <f>IFERROR(__xludf.DUMMYFUNCTION("""COMPUTED_VALUE"""),987.5)</f>
        <v>987.5</v>
      </c>
      <c r="L2146" s="25">
        <f>IFERROR(__xludf.DUMMYFUNCTION("""COMPUTED_VALUE"""),994.4)</f>
        <v>994.4</v>
      </c>
      <c r="M2146" s="25">
        <f>IFERROR(__xludf.DUMMYFUNCTION("""COMPUTED_VALUE"""),1379798.0)</f>
        <v>1379798</v>
      </c>
    </row>
    <row r="2147">
      <c r="A2147" s="26">
        <f>IFERROR(__xludf.DUMMYFUNCTION("""COMPUTED_VALUE"""),41527.645833333336)</f>
        <v>41527.64583</v>
      </c>
      <c r="B2147" s="9">
        <f>IFERROR(__xludf.DUMMYFUNCTION("""COMPUTED_VALUE"""),379.0)</f>
        <v>379</v>
      </c>
      <c r="C2147" s="9">
        <f>IFERROR(__xludf.DUMMYFUNCTION("""COMPUTED_VALUE"""),398.5)</f>
        <v>398.5</v>
      </c>
      <c r="D2147" s="9">
        <f>IFERROR(__xludf.DUMMYFUNCTION("""COMPUTED_VALUE"""),379.0)</f>
        <v>379</v>
      </c>
      <c r="E2147" s="9">
        <f>IFERROR(__xludf.DUMMYFUNCTION("""COMPUTED_VALUE"""),394.86)</f>
        <v>394.86</v>
      </c>
      <c r="F2147" s="9">
        <f>IFERROR(__xludf.DUMMYFUNCTION("""COMPUTED_VALUE"""),2734892.0)</f>
        <v>2734892</v>
      </c>
      <c r="H2147" s="27">
        <f>IFERROR(__xludf.DUMMYFUNCTION("""COMPUTED_VALUE"""),41527.645833333336)</f>
        <v>41527.64583</v>
      </c>
      <c r="I2147" s="25">
        <f>IFERROR(__xludf.DUMMYFUNCTION("""COMPUTED_VALUE"""),993.0)</f>
        <v>993</v>
      </c>
      <c r="J2147" s="25">
        <f>IFERROR(__xludf.DUMMYFUNCTION("""COMPUTED_VALUE"""),1008.35)</f>
        <v>1008.35</v>
      </c>
      <c r="K2147" s="25">
        <f>IFERROR(__xludf.DUMMYFUNCTION("""COMPUTED_VALUE"""),990.5)</f>
        <v>990.5</v>
      </c>
      <c r="L2147" s="25">
        <f>IFERROR(__xludf.DUMMYFUNCTION("""COMPUTED_VALUE"""),993.95)</f>
        <v>993.95</v>
      </c>
      <c r="M2147" s="25">
        <f>IFERROR(__xludf.DUMMYFUNCTION("""COMPUTED_VALUE"""),2150486.0)</f>
        <v>2150486</v>
      </c>
    </row>
    <row r="2148">
      <c r="A2148" s="26">
        <f>IFERROR(__xludf.DUMMYFUNCTION("""COMPUTED_VALUE"""),41528.645833333336)</f>
        <v>41528.64583</v>
      </c>
      <c r="B2148" s="9">
        <f>IFERROR(__xludf.DUMMYFUNCTION("""COMPUTED_VALUE"""),393.13)</f>
        <v>393.13</v>
      </c>
      <c r="C2148" s="9">
        <f>IFERROR(__xludf.DUMMYFUNCTION("""COMPUTED_VALUE"""),396.62)</f>
        <v>396.62</v>
      </c>
      <c r="D2148" s="9">
        <f>IFERROR(__xludf.DUMMYFUNCTION("""COMPUTED_VALUE"""),388.47)</f>
        <v>388.47</v>
      </c>
      <c r="E2148" s="9">
        <f>IFERROR(__xludf.DUMMYFUNCTION("""COMPUTED_VALUE"""),389.89)</f>
        <v>389.89</v>
      </c>
      <c r="F2148" s="9">
        <f>IFERROR(__xludf.DUMMYFUNCTION("""COMPUTED_VALUE"""),1143210.0)</f>
        <v>1143210</v>
      </c>
      <c r="H2148" s="27">
        <f>IFERROR(__xludf.DUMMYFUNCTION("""COMPUTED_VALUE"""),41528.645833333336)</f>
        <v>41528.64583</v>
      </c>
      <c r="I2148" s="25">
        <f>IFERROR(__xludf.DUMMYFUNCTION("""COMPUTED_VALUE"""),1004.0)</f>
        <v>1004</v>
      </c>
      <c r="J2148" s="25">
        <f>IFERROR(__xludf.DUMMYFUNCTION("""COMPUTED_VALUE"""),1009.0)</f>
        <v>1009</v>
      </c>
      <c r="K2148" s="25">
        <f>IFERROR(__xludf.DUMMYFUNCTION("""COMPUTED_VALUE"""),991.75)</f>
        <v>991.75</v>
      </c>
      <c r="L2148" s="25">
        <f>IFERROR(__xludf.DUMMYFUNCTION("""COMPUTED_VALUE"""),996.9)</f>
        <v>996.9</v>
      </c>
      <c r="M2148" s="25">
        <f>IFERROR(__xludf.DUMMYFUNCTION("""COMPUTED_VALUE"""),1504247.0)</f>
        <v>1504247</v>
      </c>
    </row>
    <row r="2149">
      <c r="A2149" s="26">
        <f>IFERROR(__xludf.DUMMYFUNCTION("""COMPUTED_VALUE"""),41529.645833333336)</f>
        <v>41529.64583</v>
      </c>
      <c r="B2149" s="9">
        <f>IFERROR(__xludf.DUMMYFUNCTION("""COMPUTED_VALUE"""),388.13)</f>
        <v>388.13</v>
      </c>
      <c r="C2149" s="9">
        <f>IFERROR(__xludf.DUMMYFUNCTION("""COMPUTED_VALUE"""),389.89)</f>
        <v>389.89</v>
      </c>
      <c r="D2149" s="9">
        <f>IFERROR(__xludf.DUMMYFUNCTION("""COMPUTED_VALUE"""),381.0)</f>
        <v>381</v>
      </c>
      <c r="E2149" s="9">
        <f>IFERROR(__xludf.DUMMYFUNCTION("""COMPUTED_VALUE"""),383.23)</f>
        <v>383.23</v>
      </c>
      <c r="F2149" s="9">
        <f>IFERROR(__xludf.DUMMYFUNCTION("""COMPUTED_VALUE"""),869680.0)</f>
        <v>869680</v>
      </c>
      <c r="H2149" s="27">
        <f>IFERROR(__xludf.DUMMYFUNCTION("""COMPUTED_VALUE"""),41529.645833333336)</f>
        <v>41529.64583</v>
      </c>
      <c r="I2149" s="25">
        <f>IFERROR(__xludf.DUMMYFUNCTION("""COMPUTED_VALUE"""),997.5)</f>
        <v>997.5</v>
      </c>
      <c r="J2149" s="25">
        <f>IFERROR(__xludf.DUMMYFUNCTION("""COMPUTED_VALUE"""),999.28)</f>
        <v>999.28</v>
      </c>
      <c r="K2149" s="25">
        <f>IFERROR(__xludf.DUMMYFUNCTION("""COMPUTED_VALUE"""),972.9)</f>
        <v>972.9</v>
      </c>
      <c r="L2149" s="25">
        <f>IFERROR(__xludf.DUMMYFUNCTION("""COMPUTED_VALUE"""),983.95)</f>
        <v>983.95</v>
      </c>
      <c r="M2149" s="25">
        <f>IFERROR(__xludf.DUMMYFUNCTION("""COMPUTED_VALUE"""),952784.0)</f>
        <v>952784</v>
      </c>
    </row>
    <row r="2150">
      <c r="A2150" s="26">
        <f>IFERROR(__xludf.DUMMYFUNCTION("""COMPUTED_VALUE"""),41530.645833333336)</f>
        <v>41530.64583</v>
      </c>
      <c r="B2150" s="9">
        <f>IFERROR(__xludf.DUMMYFUNCTION("""COMPUTED_VALUE"""),382.53)</f>
        <v>382.53</v>
      </c>
      <c r="C2150" s="9">
        <f>IFERROR(__xludf.DUMMYFUNCTION("""COMPUTED_VALUE"""),383.23)</f>
        <v>383.23</v>
      </c>
      <c r="D2150" s="9">
        <f>IFERROR(__xludf.DUMMYFUNCTION("""COMPUTED_VALUE"""),376.66)</f>
        <v>376.66</v>
      </c>
      <c r="E2150" s="9">
        <f>IFERROR(__xludf.DUMMYFUNCTION("""COMPUTED_VALUE"""),378.51)</f>
        <v>378.51</v>
      </c>
      <c r="F2150" s="9">
        <f>IFERROR(__xludf.DUMMYFUNCTION("""COMPUTED_VALUE"""),1156923.0)</f>
        <v>1156923</v>
      </c>
      <c r="H2150" s="27">
        <f>IFERROR(__xludf.DUMMYFUNCTION("""COMPUTED_VALUE"""),41530.645833333336)</f>
        <v>41530.64583</v>
      </c>
      <c r="I2150" s="25">
        <f>IFERROR(__xludf.DUMMYFUNCTION("""COMPUTED_VALUE"""),982.5)</f>
        <v>982.5</v>
      </c>
      <c r="J2150" s="25">
        <f>IFERROR(__xludf.DUMMYFUNCTION("""COMPUTED_VALUE"""),995.0)</f>
        <v>995</v>
      </c>
      <c r="K2150" s="25">
        <f>IFERROR(__xludf.DUMMYFUNCTION("""COMPUTED_VALUE"""),973.28)</f>
        <v>973.28</v>
      </c>
      <c r="L2150" s="25">
        <f>IFERROR(__xludf.DUMMYFUNCTION("""COMPUTED_VALUE"""),976.88)</f>
        <v>976.88</v>
      </c>
      <c r="M2150" s="25">
        <f>IFERROR(__xludf.DUMMYFUNCTION("""COMPUTED_VALUE"""),1048160.0)</f>
        <v>1048160</v>
      </c>
    </row>
    <row r="2151">
      <c r="A2151" s="26">
        <f>IFERROR(__xludf.DUMMYFUNCTION("""COMPUTED_VALUE"""),41533.645833333336)</f>
        <v>41533.64583</v>
      </c>
      <c r="B2151" s="9">
        <f>IFERROR(__xludf.DUMMYFUNCTION("""COMPUTED_VALUE"""),378.13)</f>
        <v>378.13</v>
      </c>
      <c r="C2151" s="9">
        <f>IFERROR(__xludf.DUMMYFUNCTION("""COMPUTED_VALUE"""),382.24)</f>
        <v>382.24</v>
      </c>
      <c r="D2151" s="9">
        <f>IFERROR(__xludf.DUMMYFUNCTION("""COMPUTED_VALUE"""),372.51)</f>
        <v>372.51</v>
      </c>
      <c r="E2151" s="9">
        <f>IFERROR(__xludf.DUMMYFUNCTION("""COMPUTED_VALUE"""),374.18)</f>
        <v>374.18</v>
      </c>
      <c r="F2151" s="9">
        <f>IFERROR(__xludf.DUMMYFUNCTION("""COMPUTED_VALUE"""),791523.0)</f>
        <v>791523</v>
      </c>
      <c r="H2151" s="27">
        <f>IFERROR(__xludf.DUMMYFUNCTION("""COMPUTED_VALUE"""),41533.645833333336)</f>
        <v>41533.64583</v>
      </c>
      <c r="I2151" s="25">
        <f>IFERROR(__xludf.DUMMYFUNCTION("""COMPUTED_VALUE"""),975.0)</f>
        <v>975</v>
      </c>
      <c r="J2151" s="25">
        <f>IFERROR(__xludf.DUMMYFUNCTION("""COMPUTED_VALUE"""),992.5)</f>
        <v>992.5</v>
      </c>
      <c r="K2151" s="25">
        <f>IFERROR(__xludf.DUMMYFUNCTION("""COMPUTED_VALUE"""),947.03)</f>
        <v>947.03</v>
      </c>
      <c r="L2151" s="25">
        <f>IFERROR(__xludf.DUMMYFUNCTION("""COMPUTED_VALUE"""),951.28)</f>
        <v>951.28</v>
      </c>
      <c r="M2151" s="25">
        <f>IFERROR(__xludf.DUMMYFUNCTION("""COMPUTED_VALUE"""),1230253.0)</f>
        <v>1230253</v>
      </c>
    </row>
    <row r="2152">
      <c r="A2152" s="26">
        <f>IFERROR(__xludf.DUMMYFUNCTION("""COMPUTED_VALUE"""),41534.645833333336)</f>
        <v>41534.64583</v>
      </c>
      <c r="B2152" s="9">
        <f>IFERROR(__xludf.DUMMYFUNCTION("""COMPUTED_VALUE"""),377.13)</f>
        <v>377.13</v>
      </c>
      <c r="C2152" s="9">
        <f>IFERROR(__xludf.DUMMYFUNCTION("""COMPUTED_VALUE"""),378.74)</f>
        <v>378.74</v>
      </c>
      <c r="D2152" s="9">
        <f>IFERROR(__xludf.DUMMYFUNCTION("""COMPUTED_VALUE"""),373.88)</f>
        <v>373.88</v>
      </c>
      <c r="E2152" s="9">
        <f>IFERROR(__xludf.DUMMYFUNCTION("""COMPUTED_VALUE"""),377.83)</f>
        <v>377.83</v>
      </c>
      <c r="F2152" s="9">
        <f>IFERROR(__xludf.DUMMYFUNCTION("""COMPUTED_VALUE"""),1003410.0)</f>
        <v>1003410</v>
      </c>
      <c r="H2152" s="27">
        <f>IFERROR(__xludf.DUMMYFUNCTION("""COMPUTED_VALUE"""),41534.645833333336)</f>
        <v>41534.64583</v>
      </c>
      <c r="I2152" s="25">
        <f>IFERROR(__xludf.DUMMYFUNCTION("""COMPUTED_VALUE"""),950.0)</f>
        <v>950</v>
      </c>
      <c r="J2152" s="25">
        <f>IFERROR(__xludf.DUMMYFUNCTION("""COMPUTED_VALUE"""),976.28)</f>
        <v>976.28</v>
      </c>
      <c r="K2152" s="25">
        <f>IFERROR(__xludf.DUMMYFUNCTION("""COMPUTED_VALUE"""),948.55)</f>
        <v>948.55</v>
      </c>
      <c r="L2152" s="25">
        <f>IFERROR(__xludf.DUMMYFUNCTION("""COMPUTED_VALUE"""),973.73)</f>
        <v>973.73</v>
      </c>
      <c r="M2152" s="25">
        <f>IFERROR(__xludf.DUMMYFUNCTION("""COMPUTED_VALUE"""),1663908.0)</f>
        <v>1663908</v>
      </c>
    </row>
    <row r="2153">
      <c r="A2153" s="26">
        <f>IFERROR(__xludf.DUMMYFUNCTION("""COMPUTED_VALUE"""),41535.645833333336)</f>
        <v>41535.64583</v>
      </c>
      <c r="B2153" s="9">
        <f>IFERROR(__xludf.DUMMYFUNCTION("""COMPUTED_VALUE"""),378.13)</f>
        <v>378.13</v>
      </c>
      <c r="C2153" s="9">
        <f>IFERROR(__xludf.DUMMYFUNCTION("""COMPUTED_VALUE"""),378.66)</f>
        <v>378.66</v>
      </c>
      <c r="D2153" s="9">
        <f>IFERROR(__xludf.DUMMYFUNCTION("""COMPUTED_VALUE"""),375.63)</f>
        <v>375.63</v>
      </c>
      <c r="E2153" s="9">
        <f>IFERROR(__xludf.DUMMYFUNCTION("""COMPUTED_VALUE"""),377.14)</f>
        <v>377.14</v>
      </c>
      <c r="F2153" s="9">
        <f>IFERROR(__xludf.DUMMYFUNCTION("""COMPUTED_VALUE"""),929977.0)</f>
        <v>929977</v>
      </c>
      <c r="H2153" s="27">
        <f>IFERROR(__xludf.DUMMYFUNCTION("""COMPUTED_VALUE"""),41535.645833333336)</f>
        <v>41535.64583</v>
      </c>
      <c r="I2153" s="25">
        <f>IFERROR(__xludf.DUMMYFUNCTION("""COMPUTED_VALUE"""),971.03)</f>
        <v>971.03</v>
      </c>
      <c r="J2153" s="25">
        <f>IFERROR(__xludf.DUMMYFUNCTION("""COMPUTED_VALUE"""),982.4)</f>
        <v>982.4</v>
      </c>
      <c r="K2153" s="25">
        <f>IFERROR(__xludf.DUMMYFUNCTION("""COMPUTED_VALUE"""),968.95)</f>
        <v>968.95</v>
      </c>
      <c r="L2153" s="25">
        <f>IFERROR(__xludf.DUMMYFUNCTION("""COMPUTED_VALUE"""),977.25)</f>
        <v>977.25</v>
      </c>
      <c r="M2153" s="25">
        <f>IFERROR(__xludf.DUMMYFUNCTION("""COMPUTED_VALUE"""),1054909.0)</f>
        <v>1054909</v>
      </c>
    </row>
    <row r="2154">
      <c r="A2154" s="26">
        <f>IFERROR(__xludf.DUMMYFUNCTION("""COMPUTED_VALUE"""),41536.645833333336)</f>
        <v>41536.64583</v>
      </c>
      <c r="B2154" s="9">
        <f>IFERROR(__xludf.DUMMYFUNCTION("""COMPUTED_VALUE"""),374.88)</f>
        <v>374.88</v>
      </c>
      <c r="C2154" s="9">
        <f>IFERROR(__xludf.DUMMYFUNCTION("""COMPUTED_VALUE"""),379.38)</f>
        <v>379.38</v>
      </c>
      <c r="D2154" s="9">
        <f>IFERROR(__xludf.DUMMYFUNCTION("""COMPUTED_VALUE"""),374.04)</f>
        <v>374.04</v>
      </c>
      <c r="E2154" s="9">
        <f>IFERROR(__xludf.DUMMYFUNCTION("""COMPUTED_VALUE"""),377.38)</f>
        <v>377.38</v>
      </c>
      <c r="F2154" s="9">
        <f>IFERROR(__xludf.DUMMYFUNCTION("""COMPUTED_VALUE"""),1915976.0)</f>
        <v>1915976</v>
      </c>
      <c r="H2154" s="27">
        <f>IFERROR(__xludf.DUMMYFUNCTION("""COMPUTED_VALUE"""),41536.645833333336)</f>
        <v>41536.64583</v>
      </c>
      <c r="I2154" s="25">
        <f>IFERROR(__xludf.DUMMYFUNCTION("""COMPUTED_VALUE"""),974.0)</f>
        <v>974</v>
      </c>
      <c r="J2154" s="25">
        <f>IFERROR(__xludf.DUMMYFUNCTION("""COMPUTED_VALUE"""),995.0)</f>
        <v>995</v>
      </c>
      <c r="K2154" s="25">
        <f>IFERROR(__xludf.DUMMYFUNCTION("""COMPUTED_VALUE"""),963.25)</f>
        <v>963.25</v>
      </c>
      <c r="L2154" s="25">
        <f>IFERROR(__xludf.DUMMYFUNCTION("""COMPUTED_VALUE"""),983.15)</f>
        <v>983.15</v>
      </c>
      <c r="M2154" s="25">
        <f>IFERROR(__xludf.DUMMYFUNCTION("""COMPUTED_VALUE"""),1953620.0)</f>
        <v>1953620</v>
      </c>
    </row>
    <row r="2155">
      <c r="A2155" s="26">
        <f>IFERROR(__xludf.DUMMYFUNCTION("""COMPUTED_VALUE"""),41537.645833333336)</f>
        <v>41537.64583</v>
      </c>
      <c r="B2155" s="9">
        <f>IFERROR(__xludf.DUMMYFUNCTION("""COMPUTED_VALUE"""),375.0)</f>
        <v>375</v>
      </c>
      <c r="C2155" s="9">
        <f>IFERROR(__xludf.DUMMYFUNCTION("""COMPUTED_VALUE"""),379.0)</f>
        <v>379</v>
      </c>
      <c r="D2155" s="9">
        <f>IFERROR(__xludf.DUMMYFUNCTION("""COMPUTED_VALUE"""),372.94)</f>
        <v>372.94</v>
      </c>
      <c r="E2155" s="9">
        <f>IFERROR(__xludf.DUMMYFUNCTION("""COMPUTED_VALUE"""),374.39)</f>
        <v>374.39</v>
      </c>
      <c r="F2155" s="9">
        <f>IFERROR(__xludf.DUMMYFUNCTION("""COMPUTED_VALUE"""),998964.0)</f>
        <v>998964</v>
      </c>
      <c r="H2155" s="27">
        <f>IFERROR(__xludf.DUMMYFUNCTION("""COMPUTED_VALUE"""),41537.645833333336)</f>
        <v>41537.64583</v>
      </c>
      <c r="I2155" s="25">
        <f>IFERROR(__xludf.DUMMYFUNCTION("""COMPUTED_VALUE"""),975.0)</f>
        <v>975</v>
      </c>
      <c r="J2155" s="25">
        <f>IFERROR(__xludf.DUMMYFUNCTION("""COMPUTED_VALUE"""),994.95)</f>
        <v>994.95</v>
      </c>
      <c r="K2155" s="25">
        <f>IFERROR(__xludf.DUMMYFUNCTION("""COMPUTED_VALUE"""),970.5)</f>
        <v>970.5</v>
      </c>
      <c r="L2155" s="25">
        <f>IFERROR(__xludf.DUMMYFUNCTION("""COMPUTED_VALUE"""),975.15)</f>
        <v>975.15</v>
      </c>
      <c r="M2155" s="25">
        <f>IFERROR(__xludf.DUMMYFUNCTION("""COMPUTED_VALUE"""),1795929.0)</f>
        <v>1795929</v>
      </c>
    </row>
    <row r="2156">
      <c r="A2156" s="26">
        <f>IFERROR(__xludf.DUMMYFUNCTION("""COMPUTED_VALUE"""),41540.645833333336)</f>
        <v>41540.64583</v>
      </c>
      <c r="B2156" s="9">
        <f>IFERROR(__xludf.DUMMYFUNCTION("""COMPUTED_VALUE"""),375.63)</f>
        <v>375.63</v>
      </c>
      <c r="C2156" s="9">
        <f>IFERROR(__xludf.DUMMYFUNCTION("""COMPUTED_VALUE"""),380.49)</f>
        <v>380.49</v>
      </c>
      <c r="D2156" s="9">
        <f>IFERROR(__xludf.DUMMYFUNCTION("""COMPUTED_VALUE"""),375.13)</f>
        <v>375.13</v>
      </c>
      <c r="E2156" s="9">
        <f>IFERROR(__xludf.DUMMYFUNCTION("""COMPUTED_VALUE"""),377.43)</f>
        <v>377.43</v>
      </c>
      <c r="F2156" s="9">
        <f>IFERROR(__xludf.DUMMYFUNCTION("""COMPUTED_VALUE"""),1110797.0)</f>
        <v>1110797</v>
      </c>
      <c r="H2156" s="27">
        <f>IFERROR(__xludf.DUMMYFUNCTION("""COMPUTED_VALUE"""),41540.645833333336)</f>
        <v>41540.64583</v>
      </c>
      <c r="I2156" s="25">
        <f>IFERROR(__xludf.DUMMYFUNCTION("""COMPUTED_VALUE"""),975.0)</f>
        <v>975</v>
      </c>
      <c r="J2156" s="25">
        <f>IFERROR(__xludf.DUMMYFUNCTION("""COMPUTED_VALUE"""),988.6)</f>
        <v>988.6</v>
      </c>
      <c r="K2156" s="25">
        <f>IFERROR(__xludf.DUMMYFUNCTION("""COMPUTED_VALUE"""),970.0)</f>
        <v>970</v>
      </c>
      <c r="L2156" s="25">
        <f>IFERROR(__xludf.DUMMYFUNCTION("""COMPUTED_VALUE"""),977.55)</f>
        <v>977.55</v>
      </c>
      <c r="M2156" s="25">
        <f>IFERROR(__xludf.DUMMYFUNCTION("""COMPUTED_VALUE"""),1494379.0)</f>
        <v>1494379</v>
      </c>
    </row>
    <row r="2157">
      <c r="A2157" s="26">
        <f>IFERROR(__xludf.DUMMYFUNCTION("""COMPUTED_VALUE"""),41541.645833333336)</f>
        <v>41541.64583</v>
      </c>
      <c r="B2157" s="9">
        <f>IFERROR(__xludf.DUMMYFUNCTION("""COMPUTED_VALUE"""),378.75)</f>
        <v>378.75</v>
      </c>
      <c r="C2157" s="9">
        <f>IFERROR(__xludf.DUMMYFUNCTION("""COMPUTED_VALUE"""),378.88)</f>
        <v>378.88</v>
      </c>
      <c r="D2157" s="9">
        <f>IFERROR(__xludf.DUMMYFUNCTION("""COMPUTED_VALUE"""),374.61)</f>
        <v>374.61</v>
      </c>
      <c r="E2157" s="9">
        <f>IFERROR(__xludf.DUMMYFUNCTION("""COMPUTED_VALUE"""),376.89)</f>
        <v>376.89</v>
      </c>
      <c r="F2157" s="9">
        <f>IFERROR(__xludf.DUMMYFUNCTION("""COMPUTED_VALUE"""),1469032.0)</f>
        <v>1469032</v>
      </c>
      <c r="H2157" s="27">
        <f>IFERROR(__xludf.DUMMYFUNCTION("""COMPUTED_VALUE"""),41541.645833333336)</f>
        <v>41541.64583</v>
      </c>
      <c r="I2157" s="25">
        <f>IFERROR(__xludf.DUMMYFUNCTION("""COMPUTED_VALUE"""),977.5)</f>
        <v>977.5</v>
      </c>
      <c r="J2157" s="25">
        <f>IFERROR(__xludf.DUMMYFUNCTION("""COMPUTED_VALUE"""),988.95)</f>
        <v>988.95</v>
      </c>
      <c r="K2157" s="25">
        <f>IFERROR(__xludf.DUMMYFUNCTION("""COMPUTED_VALUE"""),963.0)</f>
        <v>963</v>
      </c>
      <c r="L2157" s="25">
        <f>IFERROR(__xludf.DUMMYFUNCTION("""COMPUTED_VALUE"""),969.75)</f>
        <v>969.75</v>
      </c>
      <c r="M2157" s="25">
        <f>IFERROR(__xludf.DUMMYFUNCTION("""COMPUTED_VALUE"""),2470150.0)</f>
        <v>2470150</v>
      </c>
    </row>
    <row r="2158">
      <c r="A2158" s="26">
        <f>IFERROR(__xludf.DUMMYFUNCTION("""COMPUTED_VALUE"""),41542.645833333336)</f>
        <v>41542.64583</v>
      </c>
      <c r="B2158" s="9">
        <f>IFERROR(__xludf.DUMMYFUNCTION("""COMPUTED_VALUE"""),378.98)</f>
        <v>378.98</v>
      </c>
      <c r="C2158" s="9">
        <f>IFERROR(__xludf.DUMMYFUNCTION("""COMPUTED_VALUE"""),379.38)</f>
        <v>379.38</v>
      </c>
      <c r="D2158" s="9">
        <f>IFERROR(__xludf.DUMMYFUNCTION("""COMPUTED_VALUE"""),374.08)</f>
        <v>374.08</v>
      </c>
      <c r="E2158" s="9">
        <f>IFERROR(__xludf.DUMMYFUNCTION("""COMPUTED_VALUE"""),376.21)</f>
        <v>376.21</v>
      </c>
      <c r="F2158" s="9">
        <f>IFERROR(__xludf.DUMMYFUNCTION("""COMPUTED_VALUE"""),1010097.0)</f>
        <v>1010097</v>
      </c>
      <c r="H2158" s="27">
        <f>IFERROR(__xludf.DUMMYFUNCTION("""COMPUTED_VALUE"""),41542.645833333336)</f>
        <v>41542.64583</v>
      </c>
      <c r="I2158" s="25">
        <f>IFERROR(__xludf.DUMMYFUNCTION("""COMPUTED_VALUE"""),970.75)</f>
        <v>970.75</v>
      </c>
      <c r="J2158" s="25">
        <f>IFERROR(__xludf.DUMMYFUNCTION("""COMPUTED_VALUE"""),985.48)</f>
        <v>985.48</v>
      </c>
      <c r="K2158" s="25">
        <f>IFERROR(__xludf.DUMMYFUNCTION("""COMPUTED_VALUE"""),960.1)</f>
        <v>960.1</v>
      </c>
      <c r="L2158" s="25">
        <f>IFERROR(__xludf.DUMMYFUNCTION("""COMPUTED_VALUE"""),979.53)</f>
        <v>979.53</v>
      </c>
      <c r="M2158" s="25">
        <f>IFERROR(__xludf.DUMMYFUNCTION("""COMPUTED_VALUE"""),2166929.0)</f>
        <v>2166929</v>
      </c>
    </row>
    <row r="2159">
      <c r="A2159" s="26">
        <f>IFERROR(__xludf.DUMMYFUNCTION("""COMPUTED_VALUE"""),41543.645833333336)</f>
        <v>41543.64583</v>
      </c>
      <c r="B2159" s="9">
        <f>IFERROR(__xludf.DUMMYFUNCTION("""COMPUTED_VALUE"""),379.25)</f>
        <v>379.25</v>
      </c>
      <c r="C2159" s="9">
        <f>IFERROR(__xludf.DUMMYFUNCTION("""COMPUTED_VALUE"""),379.61)</f>
        <v>379.61</v>
      </c>
      <c r="D2159" s="9">
        <f>IFERROR(__xludf.DUMMYFUNCTION("""COMPUTED_VALUE"""),375.13)</f>
        <v>375.13</v>
      </c>
      <c r="E2159" s="9">
        <f>IFERROR(__xludf.DUMMYFUNCTION("""COMPUTED_VALUE"""),376.54)</f>
        <v>376.54</v>
      </c>
      <c r="F2159" s="9">
        <f>IFERROR(__xludf.DUMMYFUNCTION("""COMPUTED_VALUE"""),1335305.0)</f>
        <v>1335305</v>
      </c>
      <c r="H2159" s="27">
        <f>IFERROR(__xludf.DUMMYFUNCTION("""COMPUTED_VALUE"""),41543.645833333336)</f>
        <v>41543.64583</v>
      </c>
      <c r="I2159" s="25">
        <f>IFERROR(__xludf.DUMMYFUNCTION("""COMPUTED_VALUE"""),977.4)</f>
        <v>977.4</v>
      </c>
      <c r="J2159" s="25">
        <f>IFERROR(__xludf.DUMMYFUNCTION("""COMPUTED_VALUE"""),987.05)</f>
        <v>987.05</v>
      </c>
      <c r="K2159" s="25">
        <f>IFERROR(__xludf.DUMMYFUNCTION("""COMPUTED_VALUE"""),967.55)</f>
        <v>967.55</v>
      </c>
      <c r="L2159" s="25">
        <f>IFERROR(__xludf.DUMMYFUNCTION("""COMPUTED_VALUE"""),971.45)</f>
        <v>971.45</v>
      </c>
      <c r="M2159" s="25">
        <f>IFERROR(__xludf.DUMMYFUNCTION("""COMPUTED_VALUE"""),2459852.0)</f>
        <v>2459852</v>
      </c>
    </row>
    <row r="2160">
      <c r="A2160" s="26">
        <f>IFERROR(__xludf.DUMMYFUNCTION("""COMPUTED_VALUE"""),41544.645833333336)</f>
        <v>41544.64583</v>
      </c>
      <c r="B2160" s="9">
        <f>IFERROR(__xludf.DUMMYFUNCTION("""COMPUTED_VALUE"""),378.0)</f>
        <v>378</v>
      </c>
      <c r="C2160" s="9">
        <f>IFERROR(__xludf.DUMMYFUNCTION("""COMPUTED_VALUE"""),381.38)</f>
        <v>381.38</v>
      </c>
      <c r="D2160" s="9">
        <f>IFERROR(__xludf.DUMMYFUNCTION("""COMPUTED_VALUE"""),373.88)</f>
        <v>373.88</v>
      </c>
      <c r="E2160" s="9">
        <f>IFERROR(__xludf.DUMMYFUNCTION("""COMPUTED_VALUE"""),375.83)</f>
        <v>375.83</v>
      </c>
      <c r="F2160" s="9">
        <f>IFERROR(__xludf.DUMMYFUNCTION("""COMPUTED_VALUE"""),712696.0)</f>
        <v>712696</v>
      </c>
      <c r="H2160" s="27">
        <f>IFERROR(__xludf.DUMMYFUNCTION("""COMPUTED_VALUE"""),41544.645833333336)</f>
        <v>41544.64583</v>
      </c>
      <c r="I2160" s="25">
        <f>IFERROR(__xludf.DUMMYFUNCTION("""COMPUTED_VALUE"""),971.55)</f>
        <v>971.55</v>
      </c>
      <c r="J2160" s="25">
        <f>IFERROR(__xludf.DUMMYFUNCTION("""COMPUTED_VALUE"""),980.98)</f>
        <v>980.98</v>
      </c>
      <c r="K2160" s="25">
        <f>IFERROR(__xludf.DUMMYFUNCTION("""COMPUTED_VALUE"""),968.73)</f>
        <v>968.73</v>
      </c>
      <c r="L2160" s="25">
        <f>IFERROR(__xludf.DUMMYFUNCTION("""COMPUTED_VALUE"""),974.05)</f>
        <v>974.05</v>
      </c>
      <c r="M2160" s="25">
        <f>IFERROR(__xludf.DUMMYFUNCTION("""COMPUTED_VALUE"""),892333.0)</f>
        <v>892333</v>
      </c>
    </row>
    <row r="2161">
      <c r="A2161" s="26">
        <f>IFERROR(__xludf.DUMMYFUNCTION("""COMPUTED_VALUE"""),41547.645833333336)</f>
        <v>41547.64583</v>
      </c>
      <c r="B2161" s="9">
        <f>IFERROR(__xludf.DUMMYFUNCTION("""COMPUTED_VALUE"""),377.53)</f>
        <v>377.53</v>
      </c>
      <c r="C2161" s="9">
        <f>IFERROR(__xludf.DUMMYFUNCTION("""COMPUTED_VALUE"""),381.88)</f>
        <v>381.88</v>
      </c>
      <c r="D2161" s="9">
        <f>IFERROR(__xludf.DUMMYFUNCTION("""COMPUTED_VALUE"""),374.69)</f>
        <v>374.69</v>
      </c>
      <c r="E2161" s="9">
        <f>IFERROR(__xludf.DUMMYFUNCTION("""COMPUTED_VALUE"""),376.63)</f>
        <v>376.63</v>
      </c>
      <c r="F2161" s="9">
        <f>IFERROR(__xludf.DUMMYFUNCTION("""COMPUTED_VALUE"""),1084898.0)</f>
        <v>1084898</v>
      </c>
      <c r="H2161" s="27">
        <f>IFERROR(__xludf.DUMMYFUNCTION("""COMPUTED_VALUE"""),41547.645833333336)</f>
        <v>41547.64583</v>
      </c>
      <c r="I2161" s="25">
        <f>IFERROR(__xludf.DUMMYFUNCTION("""COMPUTED_VALUE"""),977.0)</f>
        <v>977</v>
      </c>
      <c r="J2161" s="25">
        <f>IFERROR(__xludf.DUMMYFUNCTION("""COMPUTED_VALUE"""),980.93)</f>
        <v>980.93</v>
      </c>
      <c r="K2161" s="25">
        <f>IFERROR(__xludf.DUMMYFUNCTION("""COMPUTED_VALUE"""),960.0)</f>
        <v>960</v>
      </c>
      <c r="L2161" s="25">
        <f>IFERROR(__xludf.DUMMYFUNCTION("""COMPUTED_VALUE"""),963.9)</f>
        <v>963.9</v>
      </c>
      <c r="M2161" s="25">
        <f>IFERROR(__xludf.DUMMYFUNCTION("""COMPUTED_VALUE"""),993675.0)</f>
        <v>993675</v>
      </c>
    </row>
    <row r="2162">
      <c r="A2162" s="26">
        <f>IFERROR(__xludf.DUMMYFUNCTION("""COMPUTED_VALUE"""),41548.645833333336)</f>
        <v>41548.64583</v>
      </c>
      <c r="B2162" s="9">
        <f>IFERROR(__xludf.DUMMYFUNCTION("""COMPUTED_VALUE"""),378.75)</f>
        <v>378.75</v>
      </c>
      <c r="C2162" s="9">
        <f>IFERROR(__xludf.DUMMYFUNCTION("""COMPUTED_VALUE"""),379.79)</f>
        <v>379.79</v>
      </c>
      <c r="D2162" s="9">
        <f>IFERROR(__xludf.DUMMYFUNCTION("""COMPUTED_VALUE"""),375.38)</f>
        <v>375.38</v>
      </c>
      <c r="E2162" s="9">
        <f>IFERROR(__xludf.DUMMYFUNCTION("""COMPUTED_VALUE"""),376.88)</f>
        <v>376.88</v>
      </c>
      <c r="F2162" s="9">
        <f>IFERROR(__xludf.DUMMYFUNCTION("""COMPUTED_VALUE"""),663777.0)</f>
        <v>663777</v>
      </c>
      <c r="H2162" s="27">
        <f>IFERROR(__xludf.DUMMYFUNCTION("""COMPUTED_VALUE"""),41548.645833333336)</f>
        <v>41548.64583</v>
      </c>
      <c r="I2162" s="25">
        <f>IFERROR(__xludf.DUMMYFUNCTION("""COMPUTED_VALUE"""),966.0)</f>
        <v>966</v>
      </c>
      <c r="J2162" s="25">
        <f>IFERROR(__xludf.DUMMYFUNCTION("""COMPUTED_VALUE"""),977.43)</f>
        <v>977.43</v>
      </c>
      <c r="K2162" s="25">
        <f>IFERROR(__xludf.DUMMYFUNCTION("""COMPUTED_VALUE"""),958.35)</f>
        <v>958.35</v>
      </c>
      <c r="L2162" s="25">
        <f>IFERROR(__xludf.DUMMYFUNCTION("""COMPUTED_VALUE"""),974.53)</f>
        <v>974.53</v>
      </c>
      <c r="M2162" s="25">
        <f>IFERROR(__xludf.DUMMYFUNCTION("""COMPUTED_VALUE"""),795997.0)</f>
        <v>795997</v>
      </c>
    </row>
    <row r="2163">
      <c r="A2163" s="26">
        <f>IFERROR(__xludf.DUMMYFUNCTION("""COMPUTED_VALUE"""),41550.645833333336)</f>
        <v>41550.64583</v>
      </c>
      <c r="B2163" s="9">
        <f>IFERROR(__xludf.DUMMYFUNCTION("""COMPUTED_VALUE"""),379.38)</f>
        <v>379.38</v>
      </c>
      <c r="C2163" s="9">
        <f>IFERROR(__xludf.DUMMYFUNCTION("""COMPUTED_VALUE"""),380.88)</f>
        <v>380.88</v>
      </c>
      <c r="D2163" s="9">
        <f>IFERROR(__xludf.DUMMYFUNCTION("""COMPUTED_VALUE"""),377.5)</f>
        <v>377.5</v>
      </c>
      <c r="E2163" s="9">
        <f>IFERROR(__xludf.DUMMYFUNCTION("""COMPUTED_VALUE"""),379.64)</f>
        <v>379.64</v>
      </c>
      <c r="F2163" s="9">
        <f>IFERROR(__xludf.DUMMYFUNCTION("""COMPUTED_VALUE"""),1835839.0)</f>
        <v>1835839</v>
      </c>
      <c r="H2163" s="27">
        <f>IFERROR(__xludf.DUMMYFUNCTION("""COMPUTED_VALUE"""),41550.645833333336)</f>
        <v>41550.64583</v>
      </c>
      <c r="I2163" s="25">
        <f>IFERROR(__xludf.DUMMYFUNCTION("""COMPUTED_VALUE"""),985.9)</f>
        <v>985.9</v>
      </c>
      <c r="J2163" s="25">
        <f>IFERROR(__xludf.DUMMYFUNCTION("""COMPUTED_VALUE"""),1018.45)</f>
        <v>1018.45</v>
      </c>
      <c r="K2163" s="25">
        <f>IFERROR(__xludf.DUMMYFUNCTION("""COMPUTED_VALUE"""),980.2)</f>
        <v>980.2</v>
      </c>
      <c r="L2163" s="25">
        <f>IFERROR(__xludf.DUMMYFUNCTION("""COMPUTED_VALUE"""),1012.3)</f>
        <v>1012.3</v>
      </c>
      <c r="M2163" s="25">
        <f>IFERROR(__xludf.DUMMYFUNCTION("""COMPUTED_VALUE"""),2336177.0)</f>
        <v>2336177</v>
      </c>
    </row>
    <row r="2164">
      <c r="A2164" s="26">
        <f>IFERROR(__xludf.DUMMYFUNCTION("""COMPUTED_VALUE"""),41551.645833333336)</f>
        <v>41551.64583</v>
      </c>
      <c r="B2164" s="9">
        <f>IFERROR(__xludf.DUMMYFUNCTION("""COMPUTED_VALUE"""),378.28)</f>
        <v>378.28</v>
      </c>
      <c r="C2164" s="9">
        <f>IFERROR(__xludf.DUMMYFUNCTION("""COMPUTED_VALUE"""),379.88)</f>
        <v>379.88</v>
      </c>
      <c r="D2164" s="9">
        <f>IFERROR(__xludf.DUMMYFUNCTION("""COMPUTED_VALUE"""),375.63)</f>
        <v>375.63</v>
      </c>
      <c r="E2164" s="9">
        <f>IFERROR(__xludf.DUMMYFUNCTION("""COMPUTED_VALUE"""),377.05)</f>
        <v>377.05</v>
      </c>
      <c r="F2164" s="9">
        <f>IFERROR(__xludf.DUMMYFUNCTION("""COMPUTED_VALUE"""),919102.0)</f>
        <v>919102</v>
      </c>
      <c r="H2164" s="27">
        <f>IFERROR(__xludf.DUMMYFUNCTION("""COMPUTED_VALUE"""),41551.645833333336)</f>
        <v>41551.64583</v>
      </c>
      <c r="I2164" s="25">
        <f>IFERROR(__xludf.DUMMYFUNCTION("""COMPUTED_VALUE"""),1016.0)</f>
        <v>1016</v>
      </c>
      <c r="J2164" s="25">
        <f>IFERROR(__xludf.DUMMYFUNCTION("""COMPUTED_VALUE"""),1034.5)</f>
        <v>1034.5</v>
      </c>
      <c r="K2164" s="25">
        <f>IFERROR(__xludf.DUMMYFUNCTION("""COMPUTED_VALUE"""),1013.48)</f>
        <v>1013.48</v>
      </c>
      <c r="L2164" s="25">
        <f>IFERROR(__xludf.DUMMYFUNCTION("""COMPUTED_VALUE"""),1016.8)</f>
        <v>1016.8</v>
      </c>
      <c r="M2164" s="25">
        <f>IFERROR(__xludf.DUMMYFUNCTION("""COMPUTED_VALUE"""),967016.0)</f>
        <v>967016</v>
      </c>
    </row>
    <row r="2165">
      <c r="A2165" s="26">
        <f>IFERROR(__xludf.DUMMYFUNCTION("""COMPUTED_VALUE"""),41554.645833333336)</f>
        <v>41554.64583</v>
      </c>
      <c r="B2165" s="9">
        <f>IFERROR(__xludf.DUMMYFUNCTION("""COMPUTED_VALUE"""),376.88)</f>
        <v>376.88</v>
      </c>
      <c r="C2165" s="9">
        <f>IFERROR(__xludf.DUMMYFUNCTION("""COMPUTED_VALUE"""),379.97)</f>
        <v>379.97</v>
      </c>
      <c r="D2165" s="9">
        <f>IFERROR(__xludf.DUMMYFUNCTION("""COMPUTED_VALUE"""),375.8)</f>
        <v>375.8</v>
      </c>
      <c r="E2165" s="9">
        <f>IFERROR(__xludf.DUMMYFUNCTION("""COMPUTED_VALUE"""),377.73)</f>
        <v>377.73</v>
      </c>
      <c r="F2165" s="9">
        <f>IFERROR(__xludf.DUMMYFUNCTION("""COMPUTED_VALUE"""),1224418.0)</f>
        <v>1224418</v>
      </c>
      <c r="H2165" s="27">
        <f>IFERROR(__xludf.DUMMYFUNCTION("""COMPUTED_VALUE"""),41554.645833333336)</f>
        <v>41554.64583</v>
      </c>
      <c r="I2165" s="25">
        <f>IFERROR(__xludf.DUMMYFUNCTION("""COMPUTED_VALUE"""),1017.5)</f>
        <v>1017.5</v>
      </c>
      <c r="J2165" s="25">
        <f>IFERROR(__xludf.DUMMYFUNCTION("""COMPUTED_VALUE"""),1048.85)</f>
        <v>1048.85</v>
      </c>
      <c r="K2165" s="25">
        <f>IFERROR(__xludf.DUMMYFUNCTION("""COMPUTED_VALUE"""),1012.65)</f>
        <v>1012.65</v>
      </c>
      <c r="L2165" s="25">
        <f>IFERROR(__xludf.DUMMYFUNCTION("""COMPUTED_VALUE"""),1044.88)</f>
        <v>1044.88</v>
      </c>
      <c r="M2165" s="25">
        <f>IFERROR(__xludf.DUMMYFUNCTION("""COMPUTED_VALUE"""),996939.0)</f>
        <v>996939</v>
      </c>
    </row>
    <row r="2166">
      <c r="A2166" s="26">
        <f>IFERROR(__xludf.DUMMYFUNCTION("""COMPUTED_VALUE"""),41555.645833333336)</f>
        <v>41555.64583</v>
      </c>
      <c r="B2166" s="9">
        <f>IFERROR(__xludf.DUMMYFUNCTION("""COMPUTED_VALUE"""),380.04)</f>
        <v>380.04</v>
      </c>
      <c r="C2166" s="9">
        <f>IFERROR(__xludf.DUMMYFUNCTION("""COMPUTED_VALUE"""),381.5)</f>
        <v>381.5</v>
      </c>
      <c r="D2166" s="9">
        <f>IFERROR(__xludf.DUMMYFUNCTION("""COMPUTED_VALUE"""),377.79)</f>
        <v>377.79</v>
      </c>
      <c r="E2166" s="9">
        <f>IFERROR(__xludf.DUMMYFUNCTION("""COMPUTED_VALUE"""),379.27)</f>
        <v>379.27</v>
      </c>
      <c r="F2166" s="9">
        <f>IFERROR(__xludf.DUMMYFUNCTION("""COMPUTED_VALUE"""),2247864.0)</f>
        <v>2247864</v>
      </c>
      <c r="H2166" s="27">
        <f>IFERROR(__xludf.DUMMYFUNCTION("""COMPUTED_VALUE"""),41555.645833333336)</f>
        <v>41555.64583</v>
      </c>
      <c r="I2166" s="25">
        <f>IFERROR(__xludf.DUMMYFUNCTION("""COMPUTED_VALUE"""),1041.5)</f>
        <v>1041.5</v>
      </c>
      <c r="J2166" s="25">
        <f>IFERROR(__xludf.DUMMYFUNCTION("""COMPUTED_VALUE"""),1049.0)</f>
        <v>1049</v>
      </c>
      <c r="K2166" s="25">
        <f>IFERROR(__xludf.DUMMYFUNCTION("""COMPUTED_VALUE"""),1028.28)</f>
        <v>1028.28</v>
      </c>
      <c r="L2166" s="25">
        <f>IFERROR(__xludf.DUMMYFUNCTION("""COMPUTED_VALUE"""),1030.72)</f>
        <v>1030.72</v>
      </c>
      <c r="M2166" s="25">
        <f>IFERROR(__xludf.DUMMYFUNCTION("""COMPUTED_VALUE"""),914053.0)</f>
        <v>914053</v>
      </c>
    </row>
    <row r="2167">
      <c r="A2167" s="26">
        <f>IFERROR(__xludf.DUMMYFUNCTION("""COMPUTED_VALUE"""),41556.645833333336)</f>
        <v>41556.64583</v>
      </c>
      <c r="B2167" s="9">
        <f>IFERROR(__xludf.DUMMYFUNCTION("""COMPUTED_VALUE"""),378.38)</f>
        <v>378.38</v>
      </c>
      <c r="C2167" s="9">
        <f>IFERROR(__xludf.DUMMYFUNCTION("""COMPUTED_VALUE"""),391.43)</f>
        <v>391.43</v>
      </c>
      <c r="D2167" s="9">
        <f>IFERROR(__xludf.DUMMYFUNCTION("""COMPUTED_VALUE"""),376.25)</f>
        <v>376.25</v>
      </c>
      <c r="E2167" s="9">
        <f>IFERROR(__xludf.DUMMYFUNCTION("""COMPUTED_VALUE"""),388.73)</f>
        <v>388.73</v>
      </c>
      <c r="F2167" s="9">
        <f>IFERROR(__xludf.DUMMYFUNCTION("""COMPUTED_VALUE"""),2171474.0)</f>
        <v>2171474</v>
      </c>
      <c r="H2167" s="27">
        <f>IFERROR(__xludf.DUMMYFUNCTION("""COMPUTED_VALUE"""),41556.645833333336)</f>
        <v>41556.64583</v>
      </c>
      <c r="I2167" s="25">
        <f>IFERROR(__xludf.DUMMYFUNCTION("""COMPUTED_VALUE"""),1027.75)</f>
        <v>1027.75</v>
      </c>
      <c r="J2167" s="25">
        <f>IFERROR(__xludf.DUMMYFUNCTION("""COMPUTED_VALUE"""),1048.82)</f>
        <v>1048.82</v>
      </c>
      <c r="K2167" s="25">
        <f>IFERROR(__xludf.DUMMYFUNCTION("""COMPUTED_VALUE"""),1022.55)</f>
        <v>1022.55</v>
      </c>
      <c r="L2167" s="25">
        <f>IFERROR(__xludf.DUMMYFUNCTION("""COMPUTED_VALUE"""),1045.43)</f>
        <v>1045.43</v>
      </c>
      <c r="M2167" s="25">
        <f>IFERROR(__xludf.DUMMYFUNCTION("""COMPUTED_VALUE"""),887929.0)</f>
        <v>887929</v>
      </c>
    </row>
    <row r="2168">
      <c r="A2168" s="26">
        <f>IFERROR(__xludf.DUMMYFUNCTION("""COMPUTED_VALUE"""),41557.645833333336)</f>
        <v>41557.64583</v>
      </c>
      <c r="B2168" s="9">
        <f>IFERROR(__xludf.DUMMYFUNCTION("""COMPUTED_VALUE"""),390.64)</f>
        <v>390.64</v>
      </c>
      <c r="C2168" s="9">
        <f>IFERROR(__xludf.DUMMYFUNCTION("""COMPUTED_VALUE"""),395.12)</f>
        <v>395.12</v>
      </c>
      <c r="D2168" s="9">
        <f>IFERROR(__xludf.DUMMYFUNCTION("""COMPUTED_VALUE"""),386.34)</f>
        <v>386.34</v>
      </c>
      <c r="E2168" s="9">
        <f>IFERROR(__xludf.DUMMYFUNCTION("""COMPUTED_VALUE"""),390.95)</f>
        <v>390.95</v>
      </c>
      <c r="F2168" s="9">
        <f>IFERROR(__xludf.DUMMYFUNCTION("""COMPUTED_VALUE"""),2179336.0)</f>
        <v>2179336</v>
      </c>
      <c r="H2168" s="27">
        <f>IFERROR(__xludf.DUMMYFUNCTION("""COMPUTED_VALUE"""),41557.645833333336)</f>
        <v>41557.64583</v>
      </c>
      <c r="I2168" s="25">
        <f>IFERROR(__xludf.DUMMYFUNCTION("""COMPUTED_VALUE"""),1044.0)</f>
        <v>1044</v>
      </c>
      <c r="J2168" s="25">
        <f>IFERROR(__xludf.DUMMYFUNCTION("""COMPUTED_VALUE"""),1049.0)</f>
        <v>1049</v>
      </c>
      <c r="K2168" s="25">
        <f>IFERROR(__xludf.DUMMYFUNCTION("""COMPUTED_VALUE"""),1033.63)</f>
        <v>1033.63</v>
      </c>
      <c r="L2168" s="25">
        <f>IFERROR(__xludf.DUMMYFUNCTION("""COMPUTED_VALUE"""),1040.0)</f>
        <v>1040</v>
      </c>
      <c r="M2168" s="25">
        <f>IFERROR(__xludf.DUMMYFUNCTION("""COMPUTED_VALUE"""),582160.0)</f>
        <v>582160</v>
      </c>
    </row>
    <row r="2169">
      <c r="A2169" s="26">
        <f>IFERROR(__xludf.DUMMYFUNCTION("""COMPUTED_VALUE"""),41558.645833333336)</f>
        <v>41558.64583</v>
      </c>
      <c r="B2169" s="9">
        <f>IFERROR(__xludf.DUMMYFUNCTION("""COMPUTED_VALUE"""),416.88)</f>
        <v>416.88</v>
      </c>
      <c r="C2169" s="9">
        <f>IFERROR(__xludf.DUMMYFUNCTION("""COMPUTED_VALUE"""),417.25)</f>
        <v>417.25</v>
      </c>
      <c r="D2169" s="9">
        <f>IFERROR(__xludf.DUMMYFUNCTION("""COMPUTED_VALUE"""),394.6)</f>
        <v>394.6</v>
      </c>
      <c r="E2169" s="9">
        <f>IFERROR(__xludf.DUMMYFUNCTION("""COMPUTED_VALUE"""),409.31)</f>
        <v>409.31</v>
      </c>
      <c r="F2169" s="9">
        <f>IFERROR(__xludf.DUMMYFUNCTION("""COMPUTED_VALUE"""),5161325.0)</f>
        <v>5161325</v>
      </c>
      <c r="H2169" s="27">
        <f>IFERROR(__xludf.DUMMYFUNCTION("""COMPUTED_VALUE"""),41558.645833333336)</f>
        <v>41558.64583</v>
      </c>
      <c r="I2169" s="25">
        <f>IFERROR(__xludf.DUMMYFUNCTION("""COMPUTED_VALUE"""),1051.5)</f>
        <v>1051.5</v>
      </c>
      <c r="J2169" s="25">
        <f>IFERROR(__xludf.DUMMYFUNCTION("""COMPUTED_VALUE"""),1069.0)</f>
        <v>1069</v>
      </c>
      <c r="K2169" s="25">
        <f>IFERROR(__xludf.DUMMYFUNCTION("""COMPUTED_VALUE"""),1041.2)</f>
        <v>1041.2</v>
      </c>
      <c r="L2169" s="25">
        <f>IFERROR(__xludf.DUMMYFUNCTION("""COMPUTED_VALUE"""),1061.03)</f>
        <v>1061.03</v>
      </c>
      <c r="M2169" s="25">
        <f>IFERROR(__xludf.DUMMYFUNCTION("""COMPUTED_VALUE"""),1142224.0)</f>
        <v>1142224</v>
      </c>
    </row>
    <row r="2170">
      <c r="A2170" s="26">
        <f>IFERROR(__xludf.DUMMYFUNCTION("""COMPUTED_VALUE"""),41561.645833333336)</f>
        <v>41561.64583</v>
      </c>
      <c r="B2170" s="9">
        <f>IFERROR(__xludf.DUMMYFUNCTION("""COMPUTED_VALUE"""),407.0)</f>
        <v>407</v>
      </c>
      <c r="C2170" s="9">
        <f>IFERROR(__xludf.DUMMYFUNCTION("""COMPUTED_VALUE"""),416.94)</f>
        <v>416.94</v>
      </c>
      <c r="D2170" s="9">
        <f>IFERROR(__xludf.DUMMYFUNCTION("""COMPUTED_VALUE"""),407.0)</f>
        <v>407</v>
      </c>
      <c r="E2170" s="9">
        <f>IFERROR(__xludf.DUMMYFUNCTION("""COMPUTED_VALUE"""),415.54)</f>
        <v>415.54</v>
      </c>
      <c r="F2170" s="9">
        <f>IFERROR(__xludf.DUMMYFUNCTION("""COMPUTED_VALUE"""),1528964.0)</f>
        <v>1528964</v>
      </c>
      <c r="H2170" s="27">
        <f>IFERROR(__xludf.DUMMYFUNCTION("""COMPUTED_VALUE"""),41561.645833333336)</f>
        <v>41561.64583</v>
      </c>
      <c r="I2170" s="25">
        <f>IFERROR(__xludf.DUMMYFUNCTION("""COMPUTED_VALUE"""),1063.75)</f>
        <v>1063.75</v>
      </c>
      <c r="J2170" s="25">
        <f>IFERROR(__xludf.DUMMYFUNCTION("""COMPUTED_VALUE"""),1112.5)</f>
        <v>1112.5</v>
      </c>
      <c r="K2170" s="25">
        <f>IFERROR(__xludf.DUMMYFUNCTION("""COMPUTED_VALUE"""),1062.5)</f>
        <v>1062.5</v>
      </c>
      <c r="L2170" s="25">
        <f>IFERROR(__xludf.DUMMYFUNCTION("""COMPUTED_VALUE"""),1106.38)</f>
        <v>1106.38</v>
      </c>
      <c r="M2170" s="25">
        <f>IFERROR(__xludf.DUMMYFUNCTION("""COMPUTED_VALUE"""),2187230.0)</f>
        <v>2187230</v>
      </c>
    </row>
    <row r="2171">
      <c r="A2171" s="26">
        <f>IFERROR(__xludf.DUMMYFUNCTION("""COMPUTED_VALUE"""),41562.645833333336)</f>
        <v>41562.64583</v>
      </c>
      <c r="B2171" s="9">
        <f>IFERROR(__xludf.DUMMYFUNCTION("""COMPUTED_VALUE"""),415.5)</f>
        <v>415.5</v>
      </c>
      <c r="C2171" s="9">
        <f>IFERROR(__xludf.DUMMYFUNCTION("""COMPUTED_VALUE"""),420.88)</f>
        <v>420.88</v>
      </c>
      <c r="D2171" s="9">
        <f>IFERROR(__xludf.DUMMYFUNCTION("""COMPUTED_VALUE"""),414.1)</f>
        <v>414.1</v>
      </c>
      <c r="E2171" s="9">
        <f>IFERROR(__xludf.DUMMYFUNCTION("""COMPUTED_VALUE"""),419.35)</f>
        <v>419.35</v>
      </c>
      <c r="F2171" s="9">
        <f>IFERROR(__xludf.DUMMYFUNCTION("""COMPUTED_VALUE"""),1152665.0)</f>
        <v>1152665</v>
      </c>
      <c r="H2171" s="27">
        <f>IFERROR(__xludf.DUMMYFUNCTION("""COMPUTED_VALUE"""),41562.645833333336)</f>
        <v>41562.64583</v>
      </c>
      <c r="I2171" s="25">
        <f>IFERROR(__xludf.DUMMYFUNCTION("""COMPUTED_VALUE"""),1117.5)</f>
        <v>1117.5</v>
      </c>
      <c r="J2171" s="25">
        <f>IFERROR(__xludf.DUMMYFUNCTION("""COMPUTED_VALUE"""),1129.43)</f>
        <v>1129.43</v>
      </c>
      <c r="K2171" s="25">
        <f>IFERROR(__xludf.DUMMYFUNCTION("""COMPUTED_VALUE"""),1100.5)</f>
        <v>1100.5</v>
      </c>
      <c r="L2171" s="25">
        <f>IFERROR(__xludf.DUMMYFUNCTION("""COMPUTED_VALUE"""),1107.7)</f>
        <v>1107.7</v>
      </c>
      <c r="M2171" s="25">
        <f>IFERROR(__xludf.DUMMYFUNCTION("""COMPUTED_VALUE"""),2332546.0)</f>
        <v>2332546</v>
      </c>
    </row>
    <row r="2172">
      <c r="A2172" s="26">
        <f>IFERROR(__xludf.DUMMYFUNCTION("""COMPUTED_VALUE"""),41564.645833333336)</f>
        <v>41564.64583</v>
      </c>
      <c r="B2172" s="9">
        <f>IFERROR(__xludf.DUMMYFUNCTION("""COMPUTED_VALUE"""),416.28)</f>
        <v>416.28</v>
      </c>
      <c r="C2172" s="9">
        <f>IFERROR(__xludf.DUMMYFUNCTION("""COMPUTED_VALUE"""),419.74)</f>
        <v>419.74</v>
      </c>
      <c r="D2172" s="9">
        <f>IFERROR(__xludf.DUMMYFUNCTION("""COMPUTED_VALUE"""),407.5)</f>
        <v>407.5</v>
      </c>
      <c r="E2172" s="9">
        <f>IFERROR(__xludf.DUMMYFUNCTION("""COMPUTED_VALUE"""),408.56)</f>
        <v>408.56</v>
      </c>
      <c r="F2172" s="9">
        <f>IFERROR(__xludf.DUMMYFUNCTION("""COMPUTED_VALUE"""),1439126.0)</f>
        <v>1439126</v>
      </c>
      <c r="H2172" s="27">
        <f>IFERROR(__xludf.DUMMYFUNCTION("""COMPUTED_VALUE"""),41564.645833333336)</f>
        <v>41564.64583</v>
      </c>
      <c r="I2172" s="25">
        <f>IFERROR(__xludf.DUMMYFUNCTION("""COMPUTED_VALUE"""),1115.0)</f>
        <v>1115</v>
      </c>
      <c r="J2172" s="25">
        <f>IFERROR(__xludf.DUMMYFUNCTION("""COMPUTED_VALUE"""),1115.0)</f>
        <v>1115</v>
      </c>
      <c r="K2172" s="25">
        <f>IFERROR(__xludf.DUMMYFUNCTION("""COMPUTED_VALUE"""),1047.85)</f>
        <v>1047.85</v>
      </c>
      <c r="L2172" s="25">
        <f>IFERROR(__xludf.DUMMYFUNCTION("""COMPUTED_VALUE"""),1054.22)</f>
        <v>1054.22</v>
      </c>
      <c r="M2172" s="25">
        <f>IFERROR(__xludf.DUMMYFUNCTION("""COMPUTED_VALUE"""),3343607.0)</f>
        <v>3343607</v>
      </c>
    </row>
    <row r="2173">
      <c r="A2173" s="26">
        <f>IFERROR(__xludf.DUMMYFUNCTION("""COMPUTED_VALUE"""),41565.645833333336)</f>
        <v>41565.64583</v>
      </c>
      <c r="B2173" s="9">
        <f>IFERROR(__xludf.DUMMYFUNCTION("""COMPUTED_VALUE"""),410.75)</f>
        <v>410.75</v>
      </c>
      <c r="C2173" s="9">
        <f>IFERROR(__xludf.DUMMYFUNCTION("""COMPUTED_VALUE"""),415.49)</f>
        <v>415.49</v>
      </c>
      <c r="D2173" s="9">
        <f>IFERROR(__xludf.DUMMYFUNCTION("""COMPUTED_VALUE"""),407.63)</f>
        <v>407.63</v>
      </c>
      <c r="E2173" s="9">
        <f>IFERROR(__xludf.DUMMYFUNCTION("""COMPUTED_VALUE"""),414.32)</f>
        <v>414.32</v>
      </c>
      <c r="F2173" s="9">
        <f>IFERROR(__xludf.DUMMYFUNCTION("""COMPUTED_VALUE"""),1368097.0)</f>
        <v>1368097</v>
      </c>
      <c r="H2173" s="27">
        <f>IFERROR(__xludf.DUMMYFUNCTION("""COMPUTED_VALUE"""),41565.645833333336)</f>
        <v>41565.64583</v>
      </c>
      <c r="I2173" s="25">
        <f>IFERROR(__xludf.DUMMYFUNCTION("""COMPUTED_VALUE"""),1052.4)</f>
        <v>1052.4</v>
      </c>
      <c r="J2173" s="25">
        <f>IFERROR(__xludf.DUMMYFUNCTION("""COMPUTED_VALUE"""),1066.9)</f>
        <v>1066.9</v>
      </c>
      <c r="K2173" s="25">
        <f>IFERROR(__xludf.DUMMYFUNCTION("""COMPUTED_VALUE"""),1030.78)</f>
        <v>1030.78</v>
      </c>
      <c r="L2173" s="25">
        <f>IFERROR(__xludf.DUMMYFUNCTION("""COMPUTED_VALUE"""),1060.32)</f>
        <v>1060.32</v>
      </c>
      <c r="M2173" s="25">
        <f>IFERROR(__xludf.DUMMYFUNCTION("""COMPUTED_VALUE"""),2673083.0)</f>
        <v>2673083</v>
      </c>
    </row>
    <row r="2174">
      <c r="A2174" s="26">
        <f>IFERROR(__xludf.DUMMYFUNCTION("""COMPUTED_VALUE"""),41568.645833333336)</f>
        <v>41568.64583</v>
      </c>
      <c r="B2174" s="9">
        <f>IFERROR(__xludf.DUMMYFUNCTION("""COMPUTED_VALUE"""),416.63)</f>
        <v>416.63</v>
      </c>
      <c r="C2174" s="9">
        <f>IFERROR(__xludf.DUMMYFUNCTION("""COMPUTED_VALUE"""),422.21)</f>
        <v>422.21</v>
      </c>
      <c r="D2174" s="9">
        <f>IFERROR(__xludf.DUMMYFUNCTION("""COMPUTED_VALUE"""),408.14)</f>
        <v>408.14</v>
      </c>
      <c r="E2174" s="9">
        <f>IFERROR(__xludf.DUMMYFUNCTION("""COMPUTED_VALUE"""),416.93)</f>
        <v>416.93</v>
      </c>
      <c r="F2174" s="9">
        <f>IFERROR(__xludf.DUMMYFUNCTION("""COMPUTED_VALUE"""),1172921.0)</f>
        <v>1172921</v>
      </c>
      <c r="H2174" s="27">
        <f>IFERROR(__xludf.DUMMYFUNCTION("""COMPUTED_VALUE"""),41568.645833333336)</f>
        <v>41568.64583</v>
      </c>
      <c r="I2174" s="25">
        <f>IFERROR(__xludf.DUMMYFUNCTION("""COMPUTED_VALUE"""),1062.5)</f>
        <v>1062.5</v>
      </c>
      <c r="J2174" s="25">
        <f>IFERROR(__xludf.DUMMYFUNCTION("""COMPUTED_VALUE"""),1063.97)</f>
        <v>1063.97</v>
      </c>
      <c r="K2174" s="25">
        <f>IFERROR(__xludf.DUMMYFUNCTION("""COMPUTED_VALUE"""),1025.0)</f>
        <v>1025</v>
      </c>
      <c r="L2174" s="25">
        <f>IFERROR(__xludf.DUMMYFUNCTION("""COMPUTED_VALUE"""),1035.82)</f>
        <v>1035.82</v>
      </c>
      <c r="M2174" s="25">
        <f>IFERROR(__xludf.DUMMYFUNCTION("""COMPUTED_VALUE"""),1842686.0)</f>
        <v>1842686</v>
      </c>
    </row>
    <row r="2175">
      <c r="A2175" s="26">
        <f>IFERROR(__xludf.DUMMYFUNCTION("""COMPUTED_VALUE"""),41569.645833333336)</f>
        <v>41569.64583</v>
      </c>
      <c r="B2175" s="9">
        <f>IFERROR(__xludf.DUMMYFUNCTION("""COMPUTED_VALUE"""),417.25)</f>
        <v>417.25</v>
      </c>
      <c r="C2175" s="9">
        <f>IFERROR(__xludf.DUMMYFUNCTION("""COMPUTED_VALUE"""),420.53)</f>
        <v>420.53</v>
      </c>
      <c r="D2175" s="9">
        <f>IFERROR(__xludf.DUMMYFUNCTION("""COMPUTED_VALUE"""),415.68)</f>
        <v>415.68</v>
      </c>
      <c r="E2175" s="9">
        <f>IFERROR(__xludf.DUMMYFUNCTION("""COMPUTED_VALUE"""),417.79)</f>
        <v>417.79</v>
      </c>
      <c r="F2175" s="9">
        <f>IFERROR(__xludf.DUMMYFUNCTION("""COMPUTED_VALUE"""),901095.0)</f>
        <v>901095</v>
      </c>
      <c r="H2175" s="27">
        <f>IFERROR(__xludf.DUMMYFUNCTION("""COMPUTED_VALUE"""),41569.645833333336)</f>
        <v>41569.64583</v>
      </c>
      <c r="I2175" s="25">
        <f>IFERROR(__xludf.DUMMYFUNCTION("""COMPUTED_VALUE"""),1044.0)</f>
        <v>1044</v>
      </c>
      <c r="J2175" s="25">
        <f>IFERROR(__xludf.DUMMYFUNCTION("""COMPUTED_VALUE"""),1053.82)</f>
        <v>1053.82</v>
      </c>
      <c r="K2175" s="25">
        <f>IFERROR(__xludf.DUMMYFUNCTION("""COMPUTED_VALUE"""),1038.43)</f>
        <v>1038.43</v>
      </c>
      <c r="L2175" s="25">
        <f>IFERROR(__xludf.DUMMYFUNCTION("""COMPUTED_VALUE"""),1044.68)</f>
        <v>1044.68</v>
      </c>
      <c r="M2175" s="25">
        <f>IFERROR(__xludf.DUMMYFUNCTION("""COMPUTED_VALUE"""),1022307.0)</f>
        <v>1022307</v>
      </c>
    </row>
    <row r="2176">
      <c r="A2176" s="26">
        <f>IFERROR(__xludf.DUMMYFUNCTION("""COMPUTED_VALUE"""),41570.645833333336)</f>
        <v>41570.64583</v>
      </c>
      <c r="B2176" s="9">
        <f>IFERROR(__xludf.DUMMYFUNCTION("""COMPUTED_VALUE"""),415.0)</f>
        <v>415</v>
      </c>
      <c r="C2176" s="9">
        <f>IFERROR(__xludf.DUMMYFUNCTION("""COMPUTED_VALUE"""),417.35)</f>
        <v>417.35</v>
      </c>
      <c r="D2176" s="9">
        <f>IFERROR(__xludf.DUMMYFUNCTION("""COMPUTED_VALUE"""),409.88)</f>
        <v>409.88</v>
      </c>
      <c r="E2176" s="9">
        <f>IFERROR(__xludf.DUMMYFUNCTION("""COMPUTED_VALUE"""),415.6)</f>
        <v>415.6</v>
      </c>
      <c r="F2176" s="9">
        <f>IFERROR(__xludf.DUMMYFUNCTION("""COMPUTED_VALUE"""),820198.0)</f>
        <v>820198</v>
      </c>
      <c r="H2176" s="27">
        <f>IFERROR(__xludf.DUMMYFUNCTION("""COMPUTED_VALUE"""),41570.645833333336)</f>
        <v>41570.64583</v>
      </c>
      <c r="I2176" s="25">
        <f>IFERROR(__xludf.DUMMYFUNCTION("""COMPUTED_VALUE"""),1044.25)</f>
        <v>1044.25</v>
      </c>
      <c r="J2176" s="25">
        <f>IFERROR(__xludf.DUMMYFUNCTION("""COMPUTED_VALUE"""),1051.5)</f>
        <v>1051.5</v>
      </c>
      <c r="K2176" s="25">
        <f>IFERROR(__xludf.DUMMYFUNCTION("""COMPUTED_VALUE"""),1023.08)</f>
        <v>1023.08</v>
      </c>
      <c r="L2176" s="25">
        <f>IFERROR(__xludf.DUMMYFUNCTION("""COMPUTED_VALUE"""),1030.57)</f>
        <v>1030.57</v>
      </c>
      <c r="M2176" s="25">
        <f>IFERROR(__xludf.DUMMYFUNCTION("""COMPUTED_VALUE"""),1227748.0)</f>
        <v>1227748</v>
      </c>
    </row>
    <row r="2177">
      <c r="A2177" s="26">
        <f>IFERROR(__xludf.DUMMYFUNCTION("""COMPUTED_VALUE"""),41571.645833333336)</f>
        <v>41571.64583</v>
      </c>
      <c r="B2177" s="9">
        <f>IFERROR(__xludf.DUMMYFUNCTION("""COMPUTED_VALUE"""),412.79)</f>
        <v>412.79</v>
      </c>
      <c r="C2177" s="9">
        <f>IFERROR(__xludf.DUMMYFUNCTION("""COMPUTED_VALUE"""),421.88)</f>
        <v>421.88</v>
      </c>
      <c r="D2177" s="9">
        <f>IFERROR(__xludf.DUMMYFUNCTION("""COMPUTED_VALUE"""),411.26)</f>
        <v>411.26</v>
      </c>
      <c r="E2177" s="9">
        <f>IFERROR(__xludf.DUMMYFUNCTION("""COMPUTED_VALUE"""),413.59)</f>
        <v>413.59</v>
      </c>
      <c r="F2177" s="9">
        <f>IFERROR(__xludf.DUMMYFUNCTION("""COMPUTED_VALUE"""),810070.0)</f>
        <v>810070</v>
      </c>
      <c r="H2177" s="27">
        <f>IFERROR(__xludf.DUMMYFUNCTION("""COMPUTED_VALUE"""),41571.645833333336)</f>
        <v>41571.64583</v>
      </c>
      <c r="I2177" s="25">
        <f>IFERROR(__xludf.DUMMYFUNCTION("""COMPUTED_VALUE"""),1021.0)</f>
        <v>1021</v>
      </c>
      <c r="J2177" s="25">
        <f>IFERROR(__xludf.DUMMYFUNCTION("""COMPUTED_VALUE"""),1041.18)</f>
        <v>1041.18</v>
      </c>
      <c r="K2177" s="25">
        <f>IFERROR(__xludf.DUMMYFUNCTION("""COMPUTED_VALUE"""),1000.93)</f>
        <v>1000.93</v>
      </c>
      <c r="L2177" s="25">
        <f>IFERROR(__xludf.DUMMYFUNCTION("""COMPUTED_VALUE"""),1004.35)</f>
        <v>1004.35</v>
      </c>
      <c r="M2177" s="25">
        <f>IFERROR(__xludf.DUMMYFUNCTION("""COMPUTED_VALUE"""),1808879.0)</f>
        <v>1808879</v>
      </c>
    </row>
    <row r="2178">
      <c r="A2178" s="26">
        <f>IFERROR(__xludf.DUMMYFUNCTION("""COMPUTED_VALUE"""),41572.645833333336)</f>
        <v>41572.64583</v>
      </c>
      <c r="B2178" s="9">
        <f>IFERROR(__xludf.DUMMYFUNCTION("""COMPUTED_VALUE"""),416.0)</f>
        <v>416</v>
      </c>
      <c r="C2178" s="9">
        <f>IFERROR(__xludf.DUMMYFUNCTION("""COMPUTED_VALUE"""),418.75)</f>
        <v>418.75</v>
      </c>
      <c r="D2178" s="9">
        <f>IFERROR(__xludf.DUMMYFUNCTION("""COMPUTED_VALUE"""),413.29)</f>
        <v>413.29</v>
      </c>
      <c r="E2178" s="9">
        <f>IFERROR(__xludf.DUMMYFUNCTION("""COMPUTED_VALUE"""),416.44)</f>
        <v>416.44</v>
      </c>
      <c r="F2178" s="9">
        <f>IFERROR(__xludf.DUMMYFUNCTION("""COMPUTED_VALUE"""),751418.0)</f>
        <v>751418</v>
      </c>
      <c r="H2178" s="27">
        <f>IFERROR(__xludf.DUMMYFUNCTION("""COMPUTED_VALUE"""),41572.645833333336)</f>
        <v>41572.64583</v>
      </c>
      <c r="I2178" s="25">
        <f>IFERROR(__xludf.DUMMYFUNCTION("""COMPUTED_VALUE"""),997.5)</f>
        <v>997.5</v>
      </c>
      <c r="J2178" s="25">
        <f>IFERROR(__xludf.DUMMYFUNCTION("""COMPUTED_VALUE"""),1036.0)</f>
        <v>1036</v>
      </c>
      <c r="K2178" s="25">
        <f>IFERROR(__xludf.DUMMYFUNCTION("""COMPUTED_VALUE"""),997.5)</f>
        <v>997.5</v>
      </c>
      <c r="L2178" s="25">
        <f>IFERROR(__xludf.DUMMYFUNCTION("""COMPUTED_VALUE"""),1033.88)</f>
        <v>1033.88</v>
      </c>
      <c r="M2178" s="25">
        <f>IFERROR(__xludf.DUMMYFUNCTION("""COMPUTED_VALUE"""),1263701.0)</f>
        <v>1263701</v>
      </c>
    </row>
    <row r="2179">
      <c r="A2179" s="26">
        <f>IFERROR(__xludf.DUMMYFUNCTION("""COMPUTED_VALUE"""),41575.645833333336)</f>
        <v>41575.64583</v>
      </c>
      <c r="B2179" s="9">
        <f>IFERROR(__xludf.DUMMYFUNCTION("""COMPUTED_VALUE"""),414.65)</f>
        <v>414.65</v>
      </c>
      <c r="C2179" s="9">
        <f>IFERROR(__xludf.DUMMYFUNCTION("""COMPUTED_VALUE"""),416.86)</f>
        <v>416.86</v>
      </c>
      <c r="D2179" s="9">
        <f>IFERROR(__xludf.DUMMYFUNCTION("""COMPUTED_VALUE"""),411.64)</f>
        <v>411.64</v>
      </c>
      <c r="E2179" s="9">
        <f>IFERROR(__xludf.DUMMYFUNCTION("""COMPUTED_VALUE"""),415.43)</f>
        <v>415.43</v>
      </c>
      <c r="F2179" s="9">
        <f>IFERROR(__xludf.DUMMYFUNCTION("""COMPUTED_VALUE"""),426556.0)</f>
        <v>426556</v>
      </c>
      <c r="H2179" s="27">
        <f>IFERROR(__xludf.DUMMYFUNCTION("""COMPUTED_VALUE"""),41575.645833333336)</f>
        <v>41575.64583</v>
      </c>
      <c r="I2179" s="25">
        <f>IFERROR(__xludf.DUMMYFUNCTION("""COMPUTED_VALUE"""),1034.0)</f>
        <v>1034</v>
      </c>
      <c r="J2179" s="25">
        <f>IFERROR(__xludf.DUMMYFUNCTION("""COMPUTED_VALUE"""),1044.9)</f>
        <v>1044.9</v>
      </c>
      <c r="K2179" s="25">
        <f>IFERROR(__xludf.DUMMYFUNCTION("""COMPUTED_VALUE"""),1026.28)</f>
        <v>1026.28</v>
      </c>
      <c r="L2179" s="25">
        <f>IFERROR(__xludf.DUMMYFUNCTION("""COMPUTED_VALUE"""),1031.97)</f>
        <v>1031.97</v>
      </c>
      <c r="M2179" s="25">
        <f>IFERROR(__xludf.DUMMYFUNCTION("""COMPUTED_VALUE"""),901971.0)</f>
        <v>901971</v>
      </c>
    </row>
    <row r="2180">
      <c r="A2180" s="26">
        <f>IFERROR(__xludf.DUMMYFUNCTION("""COMPUTED_VALUE"""),41576.645833333336)</f>
        <v>41576.64583</v>
      </c>
      <c r="B2180" s="9">
        <f>IFERROR(__xludf.DUMMYFUNCTION("""COMPUTED_VALUE"""),414.94)</f>
        <v>414.94</v>
      </c>
      <c r="C2180" s="9">
        <f>IFERROR(__xludf.DUMMYFUNCTION("""COMPUTED_VALUE"""),420.62)</f>
        <v>420.62</v>
      </c>
      <c r="D2180" s="9">
        <f>IFERROR(__xludf.DUMMYFUNCTION("""COMPUTED_VALUE"""),413.34)</f>
        <v>413.34</v>
      </c>
      <c r="E2180" s="9">
        <f>IFERROR(__xludf.DUMMYFUNCTION("""COMPUTED_VALUE"""),416.95)</f>
        <v>416.95</v>
      </c>
      <c r="F2180" s="9">
        <f>IFERROR(__xludf.DUMMYFUNCTION("""COMPUTED_VALUE"""),650049.0)</f>
        <v>650049</v>
      </c>
      <c r="H2180" s="27">
        <f>IFERROR(__xludf.DUMMYFUNCTION("""COMPUTED_VALUE"""),41576.645833333336)</f>
        <v>41576.64583</v>
      </c>
      <c r="I2180" s="25">
        <f>IFERROR(__xludf.DUMMYFUNCTION("""COMPUTED_VALUE"""),1032.5)</f>
        <v>1032.5</v>
      </c>
      <c r="J2180" s="25">
        <f>IFERROR(__xludf.DUMMYFUNCTION("""COMPUTED_VALUE"""),1042.9)</f>
        <v>1042.9</v>
      </c>
      <c r="K2180" s="25">
        <f>IFERROR(__xludf.DUMMYFUNCTION("""COMPUTED_VALUE"""),1023.95)</f>
        <v>1023.95</v>
      </c>
      <c r="L2180" s="25">
        <f>IFERROR(__xludf.DUMMYFUNCTION("""COMPUTED_VALUE"""),1034.9)</f>
        <v>1034.9</v>
      </c>
      <c r="M2180" s="25">
        <f>IFERROR(__xludf.DUMMYFUNCTION("""COMPUTED_VALUE"""),914538.0)</f>
        <v>914538</v>
      </c>
    </row>
    <row r="2181">
      <c r="A2181" s="26">
        <f>IFERROR(__xludf.DUMMYFUNCTION("""COMPUTED_VALUE"""),41577.645833333336)</f>
        <v>41577.64583</v>
      </c>
      <c r="B2181" s="9">
        <f>IFERROR(__xludf.DUMMYFUNCTION("""COMPUTED_VALUE"""),413.88)</f>
        <v>413.88</v>
      </c>
      <c r="C2181" s="9">
        <f>IFERROR(__xludf.DUMMYFUNCTION("""COMPUTED_VALUE"""),417.36)</f>
        <v>417.36</v>
      </c>
      <c r="D2181" s="9">
        <f>IFERROR(__xludf.DUMMYFUNCTION("""COMPUTED_VALUE"""),413.43)</f>
        <v>413.43</v>
      </c>
      <c r="E2181" s="9">
        <f>IFERROR(__xludf.DUMMYFUNCTION("""COMPUTED_VALUE"""),415.49)</f>
        <v>415.49</v>
      </c>
      <c r="F2181" s="9">
        <f>IFERROR(__xludf.DUMMYFUNCTION("""COMPUTED_VALUE"""),698886.0)</f>
        <v>698886</v>
      </c>
      <c r="H2181" s="27">
        <f>IFERROR(__xludf.DUMMYFUNCTION("""COMPUTED_VALUE"""),41577.645833333336)</f>
        <v>41577.64583</v>
      </c>
      <c r="I2181" s="25">
        <f>IFERROR(__xludf.DUMMYFUNCTION("""COMPUTED_VALUE"""),1035.13)</f>
        <v>1035.13</v>
      </c>
      <c r="J2181" s="25">
        <f>IFERROR(__xludf.DUMMYFUNCTION("""COMPUTED_VALUE"""),1050.0)</f>
        <v>1050</v>
      </c>
      <c r="K2181" s="25">
        <f>IFERROR(__xludf.DUMMYFUNCTION("""COMPUTED_VALUE"""),1035.13)</f>
        <v>1035.13</v>
      </c>
      <c r="L2181" s="25">
        <f>IFERROR(__xludf.DUMMYFUNCTION("""COMPUTED_VALUE"""),1045.97)</f>
        <v>1045.97</v>
      </c>
      <c r="M2181" s="25">
        <f>IFERROR(__xludf.DUMMYFUNCTION("""COMPUTED_VALUE"""),1057437.0)</f>
        <v>1057437</v>
      </c>
    </row>
    <row r="2182">
      <c r="A2182" s="26">
        <f>IFERROR(__xludf.DUMMYFUNCTION("""COMPUTED_VALUE"""),41578.645833333336)</f>
        <v>41578.64583</v>
      </c>
      <c r="B2182" s="9">
        <f>IFERROR(__xludf.DUMMYFUNCTION("""COMPUTED_VALUE"""),413.04)</f>
        <v>413.04</v>
      </c>
      <c r="C2182" s="9">
        <f>IFERROR(__xludf.DUMMYFUNCTION("""COMPUTED_VALUE"""),416.0)</f>
        <v>416</v>
      </c>
      <c r="D2182" s="9">
        <f>IFERROR(__xludf.DUMMYFUNCTION("""COMPUTED_VALUE"""),412.03)</f>
        <v>412.03</v>
      </c>
      <c r="E2182" s="9">
        <f>IFERROR(__xludf.DUMMYFUNCTION("""COMPUTED_VALUE"""),413.74)</f>
        <v>413.74</v>
      </c>
      <c r="F2182" s="9">
        <f>IFERROR(__xludf.DUMMYFUNCTION("""COMPUTED_VALUE"""),1210943.0)</f>
        <v>1210943</v>
      </c>
      <c r="H2182" s="27">
        <f>IFERROR(__xludf.DUMMYFUNCTION("""COMPUTED_VALUE"""),41578.645833333336)</f>
        <v>41578.64583</v>
      </c>
      <c r="I2182" s="25">
        <f>IFERROR(__xludf.DUMMYFUNCTION("""COMPUTED_VALUE"""),1044.5)</f>
        <v>1044.5</v>
      </c>
      <c r="J2182" s="25">
        <f>IFERROR(__xludf.DUMMYFUNCTION("""COMPUTED_VALUE"""),1064.5)</f>
        <v>1064.5</v>
      </c>
      <c r="K2182" s="25">
        <f>IFERROR(__xludf.DUMMYFUNCTION("""COMPUTED_VALUE"""),1039.7)</f>
        <v>1039.7</v>
      </c>
      <c r="L2182" s="25">
        <f>IFERROR(__xludf.DUMMYFUNCTION("""COMPUTED_VALUE"""),1056.03)</f>
        <v>1056.03</v>
      </c>
      <c r="M2182" s="25">
        <f>IFERROR(__xludf.DUMMYFUNCTION("""COMPUTED_VALUE"""),1761538.0)</f>
        <v>1761538</v>
      </c>
    </row>
    <row r="2183">
      <c r="A2183" s="26">
        <f>IFERROR(__xludf.DUMMYFUNCTION("""COMPUTED_VALUE"""),41579.645833333336)</f>
        <v>41579.64583</v>
      </c>
      <c r="B2183" s="9">
        <f>IFERROR(__xludf.DUMMYFUNCTION("""COMPUTED_VALUE"""),412.5)</f>
        <v>412.5</v>
      </c>
      <c r="C2183" s="9">
        <f>IFERROR(__xludf.DUMMYFUNCTION("""COMPUTED_VALUE"""),414.38)</f>
        <v>414.38</v>
      </c>
      <c r="D2183" s="9">
        <f>IFERROR(__xludf.DUMMYFUNCTION("""COMPUTED_VALUE"""),408.68)</f>
        <v>408.68</v>
      </c>
      <c r="E2183" s="9">
        <f>IFERROR(__xludf.DUMMYFUNCTION("""COMPUTED_VALUE"""),409.59)</f>
        <v>409.59</v>
      </c>
      <c r="F2183" s="9">
        <f>IFERROR(__xludf.DUMMYFUNCTION("""COMPUTED_VALUE"""),770838.0)</f>
        <v>770838</v>
      </c>
      <c r="H2183" s="27">
        <f>IFERROR(__xludf.DUMMYFUNCTION("""COMPUTED_VALUE"""),41579.645833333336)</f>
        <v>41579.64583</v>
      </c>
      <c r="I2183" s="25">
        <f>IFERROR(__xludf.DUMMYFUNCTION("""COMPUTED_VALUE"""),1055.0)</f>
        <v>1055</v>
      </c>
      <c r="J2183" s="25">
        <f>IFERROR(__xludf.DUMMYFUNCTION("""COMPUTED_VALUE"""),1070.97)</f>
        <v>1070.97</v>
      </c>
      <c r="K2183" s="25">
        <f>IFERROR(__xludf.DUMMYFUNCTION("""COMPUTED_VALUE"""),1045.55)</f>
        <v>1045.55</v>
      </c>
      <c r="L2183" s="25">
        <f>IFERROR(__xludf.DUMMYFUNCTION("""COMPUTED_VALUE"""),1048.8)</f>
        <v>1048.8</v>
      </c>
      <c r="M2183" s="25">
        <f>IFERROR(__xludf.DUMMYFUNCTION("""COMPUTED_VALUE"""),673240.0)</f>
        <v>673240</v>
      </c>
    </row>
    <row r="2184">
      <c r="A2184" s="26">
        <f>IFERROR(__xludf.DUMMYFUNCTION("""COMPUTED_VALUE"""),41583.645833333336)</f>
        <v>41583.64583</v>
      </c>
      <c r="B2184" s="9">
        <f>IFERROR(__xludf.DUMMYFUNCTION("""COMPUTED_VALUE"""),406.5)</f>
        <v>406.5</v>
      </c>
      <c r="C2184" s="9">
        <f>IFERROR(__xludf.DUMMYFUNCTION("""COMPUTED_VALUE"""),411.32)</f>
        <v>411.32</v>
      </c>
      <c r="D2184" s="9">
        <f>IFERROR(__xludf.DUMMYFUNCTION("""COMPUTED_VALUE"""),404.13)</f>
        <v>404.13</v>
      </c>
      <c r="E2184" s="9">
        <f>IFERROR(__xludf.DUMMYFUNCTION("""COMPUTED_VALUE"""),408.23)</f>
        <v>408.23</v>
      </c>
      <c r="F2184" s="9">
        <f>IFERROR(__xludf.DUMMYFUNCTION("""COMPUTED_VALUE"""),665029.0)</f>
        <v>665029</v>
      </c>
      <c r="H2184" s="27">
        <f>IFERROR(__xludf.DUMMYFUNCTION("""COMPUTED_VALUE"""),41583.645833333336)</f>
        <v>41583.64583</v>
      </c>
      <c r="I2184" s="25">
        <f>IFERROR(__xludf.DUMMYFUNCTION("""COMPUTED_VALUE"""),1050.0)</f>
        <v>1050</v>
      </c>
      <c r="J2184" s="25">
        <f>IFERROR(__xludf.DUMMYFUNCTION("""COMPUTED_VALUE"""),1052.5)</f>
        <v>1052.5</v>
      </c>
      <c r="K2184" s="25">
        <f>IFERROR(__xludf.DUMMYFUNCTION("""COMPUTED_VALUE"""),1015.85)</f>
        <v>1015.85</v>
      </c>
      <c r="L2184" s="25">
        <f>IFERROR(__xludf.DUMMYFUNCTION("""COMPUTED_VALUE"""),1021.0)</f>
        <v>1021</v>
      </c>
      <c r="M2184" s="25">
        <f>IFERROR(__xludf.DUMMYFUNCTION("""COMPUTED_VALUE"""),1130643.0)</f>
        <v>1130643</v>
      </c>
    </row>
    <row r="2185">
      <c r="A2185" s="26">
        <f>IFERROR(__xludf.DUMMYFUNCTION("""COMPUTED_VALUE"""),41584.645833333336)</f>
        <v>41584.64583</v>
      </c>
      <c r="B2185" s="9">
        <f>IFERROR(__xludf.DUMMYFUNCTION("""COMPUTED_VALUE"""),409.41)</f>
        <v>409.41</v>
      </c>
      <c r="C2185" s="9">
        <f>IFERROR(__xludf.DUMMYFUNCTION("""COMPUTED_VALUE"""),414.03)</f>
        <v>414.03</v>
      </c>
      <c r="D2185" s="9">
        <f>IFERROR(__xludf.DUMMYFUNCTION("""COMPUTED_VALUE"""),409.41)</f>
        <v>409.41</v>
      </c>
      <c r="E2185" s="9">
        <f>IFERROR(__xludf.DUMMYFUNCTION("""COMPUTED_VALUE"""),413.27)</f>
        <v>413.27</v>
      </c>
      <c r="F2185" s="9">
        <f>IFERROR(__xludf.DUMMYFUNCTION("""COMPUTED_VALUE"""),463083.0)</f>
        <v>463083</v>
      </c>
      <c r="H2185" s="27">
        <f>IFERROR(__xludf.DUMMYFUNCTION("""COMPUTED_VALUE"""),41584.645833333336)</f>
        <v>41584.64583</v>
      </c>
      <c r="I2185" s="25">
        <f>IFERROR(__xludf.DUMMYFUNCTION("""COMPUTED_VALUE"""),1031.5)</f>
        <v>1031.5</v>
      </c>
      <c r="J2185" s="25">
        <f>IFERROR(__xludf.DUMMYFUNCTION("""COMPUTED_VALUE"""),1051.78)</f>
        <v>1051.78</v>
      </c>
      <c r="K2185" s="25">
        <f>IFERROR(__xludf.DUMMYFUNCTION("""COMPUTED_VALUE"""),1029.53)</f>
        <v>1029.53</v>
      </c>
      <c r="L2185" s="25">
        <f>IFERROR(__xludf.DUMMYFUNCTION("""COMPUTED_VALUE"""),1045.55)</f>
        <v>1045.55</v>
      </c>
      <c r="M2185" s="25">
        <f>IFERROR(__xludf.DUMMYFUNCTION("""COMPUTED_VALUE"""),833875.0)</f>
        <v>833875</v>
      </c>
    </row>
    <row r="2186">
      <c r="A2186" s="26">
        <f>IFERROR(__xludf.DUMMYFUNCTION("""COMPUTED_VALUE"""),41585.645833333336)</f>
        <v>41585.64583</v>
      </c>
      <c r="B2186" s="9">
        <f>IFERROR(__xludf.DUMMYFUNCTION("""COMPUTED_VALUE"""),415.21)</f>
        <v>415.21</v>
      </c>
      <c r="C2186" s="9">
        <f>IFERROR(__xludf.DUMMYFUNCTION("""COMPUTED_VALUE"""),424.99)</f>
        <v>424.99</v>
      </c>
      <c r="D2186" s="9">
        <f>IFERROR(__xludf.DUMMYFUNCTION("""COMPUTED_VALUE"""),414.2)</f>
        <v>414.2</v>
      </c>
      <c r="E2186" s="9">
        <f>IFERROR(__xludf.DUMMYFUNCTION("""COMPUTED_VALUE"""),419.7)</f>
        <v>419.7</v>
      </c>
      <c r="F2186" s="9">
        <f>IFERROR(__xludf.DUMMYFUNCTION("""COMPUTED_VALUE"""),899089.0)</f>
        <v>899089</v>
      </c>
      <c r="H2186" s="27">
        <f>IFERROR(__xludf.DUMMYFUNCTION("""COMPUTED_VALUE"""),41585.645833333336)</f>
        <v>41585.64583</v>
      </c>
      <c r="I2186" s="25">
        <f>IFERROR(__xludf.DUMMYFUNCTION("""COMPUTED_VALUE"""),1050.0)</f>
        <v>1050</v>
      </c>
      <c r="J2186" s="25">
        <f>IFERROR(__xludf.DUMMYFUNCTION("""COMPUTED_VALUE"""),1074.07)</f>
        <v>1074.07</v>
      </c>
      <c r="K2186" s="25">
        <f>IFERROR(__xludf.DUMMYFUNCTION("""COMPUTED_VALUE"""),1040.15)</f>
        <v>1040.15</v>
      </c>
      <c r="L2186" s="25">
        <f>IFERROR(__xludf.DUMMYFUNCTION("""COMPUTED_VALUE"""),1060.97)</f>
        <v>1060.97</v>
      </c>
      <c r="M2186" s="25">
        <f>IFERROR(__xludf.DUMMYFUNCTION("""COMPUTED_VALUE"""),978474.0)</f>
        <v>978474</v>
      </c>
    </row>
    <row r="2187">
      <c r="A2187" s="26">
        <f>IFERROR(__xludf.DUMMYFUNCTION("""COMPUTED_VALUE"""),41586.645833333336)</f>
        <v>41586.64583</v>
      </c>
      <c r="B2187" s="9">
        <f>IFERROR(__xludf.DUMMYFUNCTION("""COMPUTED_VALUE"""),418.75)</f>
        <v>418.75</v>
      </c>
      <c r="C2187" s="9">
        <f>IFERROR(__xludf.DUMMYFUNCTION("""COMPUTED_VALUE"""),423.65)</f>
        <v>423.65</v>
      </c>
      <c r="D2187" s="9">
        <f>IFERROR(__xludf.DUMMYFUNCTION("""COMPUTED_VALUE"""),418.75)</f>
        <v>418.75</v>
      </c>
      <c r="E2187" s="9">
        <f>IFERROR(__xludf.DUMMYFUNCTION("""COMPUTED_VALUE"""),420.01)</f>
        <v>420.01</v>
      </c>
      <c r="F2187" s="9">
        <f>IFERROR(__xludf.DUMMYFUNCTION("""COMPUTED_VALUE"""),1077014.0)</f>
        <v>1077014</v>
      </c>
      <c r="H2187" s="27">
        <f>IFERROR(__xludf.DUMMYFUNCTION("""COMPUTED_VALUE"""),41586.645833333336)</f>
        <v>41586.64583</v>
      </c>
      <c r="I2187" s="25">
        <f>IFERROR(__xludf.DUMMYFUNCTION("""COMPUTED_VALUE"""),1065.0)</f>
        <v>1065</v>
      </c>
      <c r="J2187" s="25">
        <f>IFERROR(__xludf.DUMMYFUNCTION("""COMPUTED_VALUE"""),1065.88)</f>
        <v>1065.88</v>
      </c>
      <c r="K2187" s="25">
        <f>IFERROR(__xludf.DUMMYFUNCTION("""COMPUTED_VALUE"""),1035.6)</f>
        <v>1035.6</v>
      </c>
      <c r="L2187" s="25">
        <f>IFERROR(__xludf.DUMMYFUNCTION("""COMPUTED_VALUE"""),1045.43)</f>
        <v>1045.43</v>
      </c>
      <c r="M2187" s="25">
        <f>IFERROR(__xludf.DUMMYFUNCTION("""COMPUTED_VALUE"""),804673.0)</f>
        <v>804673</v>
      </c>
    </row>
    <row r="2188">
      <c r="A2188" s="26">
        <f>IFERROR(__xludf.DUMMYFUNCTION("""COMPUTED_VALUE"""),41589.645833333336)</f>
        <v>41589.64583</v>
      </c>
      <c r="B2188" s="9">
        <f>IFERROR(__xludf.DUMMYFUNCTION("""COMPUTED_VALUE"""),418.75)</f>
        <v>418.75</v>
      </c>
      <c r="C2188" s="9">
        <f>IFERROR(__xludf.DUMMYFUNCTION("""COMPUTED_VALUE"""),424.75)</f>
        <v>424.75</v>
      </c>
      <c r="D2188" s="9">
        <f>IFERROR(__xludf.DUMMYFUNCTION("""COMPUTED_VALUE"""),417.51)</f>
        <v>417.51</v>
      </c>
      <c r="E2188" s="9">
        <f>IFERROR(__xludf.DUMMYFUNCTION("""COMPUTED_VALUE"""),420.33)</f>
        <v>420.33</v>
      </c>
      <c r="F2188" s="9">
        <f>IFERROR(__xludf.DUMMYFUNCTION("""COMPUTED_VALUE"""),975400.0)</f>
        <v>975400</v>
      </c>
      <c r="H2188" s="27">
        <f>IFERROR(__xludf.DUMMYFUNCTION("""COMPUTED_VALUE"""),41589.645833333336)</f>
        <v>41589.64583</v>
      </c>
      <c r="I2188" s="25">
        <f>IFERROR(__xludf.DUMMYFUNCTION("""COMPUTED_VALUE"""),1045.0)</f>
        <v>1045</v>
      </c>
      <c r="J2188" s="25">
        <f>IFERROR(__xludf.DUMMYFUNCTION("""COMPUTED_VALUE"""),1070.0)</f>
        <v>1070</v>
      </c>
      <c r="K2188" s="25">
        <f>IFERROR(__xludf.DUMMYFUNCTION("""COMPUTED_VALUE"""),1025.0)</f>
        <v>1025</v>
      </c>
      <c r="L2188" s="25">
        <f>IFERROR(__xludf.DUMMYFUNCTION("""COMPUTED_VALUE"""),1047.32)</f>
        <v>1047.32</v>
      </c>
      <c r="M2188" s="25">
        <f>IFERROR(__xludf.DUMMYFUNCTION("""COMPUTED_VALUE"""),980569.0)</f>
        <v>980569</v>
      </c>
    </row>
    <row r="2189">
      <c r="A2189" s="26">
        <f>IFERROR(__xludf.DUMMYFUNCTION("""COMPUTED_VALUE"""),41590.645833333336)</f>
        <v>41590.64583</v>
      </c>
      <c r="B2189" s="9">
        <f>IFERROR(__xludf.DUMMYFUNCTION("""COMPUTED_VALUE"""),420.31)</f>
        <v>420.31</v>
      </c>
      <c r="C2189" s="9">
        <f>IFERROR(__xludf.DUMMYFUNCTION("""COMPUTED_VALUE"""),421.88)</f>
        <v>421.88</v>
      </c>
      <c r="D2189" s="9">
        <f>IFERROR(__xludf.DUMMYFUNCTION("""COMPUTED_VALUE"""),416.01)</f>
        <v>416.01</v>
      </c>
      <c r="E2189" s="9">
        <f>IFERROR(__xludf.DUMMYFUNCTION("""COMPUTED_VALUE"""),417.11)</f>
        <v>417.11</v>
      </c>
      <c r="F2189" s="9">
        <f>IFERROR(__xludf.DUMMYFUNCTION("""COMPUTED_VALUE"""),806523.0)</f>
        <v>806523</v>
      </c>
      <c r="H2189" s="27">
        <f>IFERROR(__xludf.DUMMYFUNCTION("""COMPUTED_VALUE"""),41590.645833333336)</f>
        <v>41590.64583</v>
      </c>
      <c r="I2189" s="25">
        <f>IFERROR(__xludf.DUMMYFUNCTION("""COMPUTED_VALUE"""),1048.43)</f>
        <v>1048.43</v>
      </c>
      <c r="J2189" s="25">
        <f>IFERROR(__xludf.DUMMYFUNCTION("""COMPUTED_VALUE"""),1060.85)</f>
        <v>1060.85</v>
      </c>
      <c r="K2189" s="25">
        <f>IFERROR(__xludf.DUMMYFUNCTION("""COMPUTED_VALUE"""),1039.5)</f>
        <v>1039.5</v>
      </c>
      <c r="L2189" s="25">
        <f>IFERROR(__xludf.DUMMYFUNCTION("""COMPUTED_VALUE"""),1043.57)</f>
        <v>1043.57</v>
      </c>
      <c r="M2189" s="25">
        <f>IFERROR(__xludf.DUMMYFUNCTION("""COMPUTED_VALUE"""),500341.0)</f>
        <v>500341</v>
      </c>
    </row>
    <row r="2190">
      <c r="A2190" s="26">
        <f>IFERROR(__xludf.DUMMYFUNCTION("""COMPUTED_VALUE"""),41591.645833333336)</f>
        <v>41591.64583</v>
      </c>
      <c r="B2190" s="9">
        <f>IFERROR(__xludf.DUMMYFUNCTION("""COMPUTED_VALUE"""),414.51)</f>
        <v>414.51</v>
      </c>
      <c r="C2190" s="9">
        <f>IFERROR(__xludf.DUMMYFUNCTION("""COMPUTED_VALUE"""),419.83)</f>
        <v>419.83</v>
      </c>
      <c r="D2190" s="9">
        <f>IFERROR(__xludf.DUMMYFUNCTION("""COMPUTED_VALUE"""),414.51)</f>
        <v>414.51</v>
      </c>
      <c r="E2190" s="9">
        <f>IFERROR(__xludf.DUMMYFUNCTION("""COMPUTED_VALUE"""),416.51)</f>
        <v>416.51</v>
      </c>
      <c r="F2190" s="9">
        <f>IFERROR(__xludf.DUMMYFUNCTION("""COMPUTED_VALUE"""),585939.0)</f>
        <v>585939</v>
      </c>
      <c r="H2190" s="27">
        <f>IFERROR(__xludf.DUMMYFUNCTION("""COMPUTED_VALUE"""),41591.645833333336)</f>
        <v>41591.64583</v>
      </c>
      <c r="I2190" s="25">
        <f>IFERROR(__xludf.DUMMYFUNCTION("""COMPUTED_VALUE"""),1049.47)</f>
        <v>1049.47</v>
      </c>
      <c r="J2190" s="25">
        <f>IFERROR(__xludf.DUMMYFUNCTION("""COMPUTED_VALUE"""),1053.1)</f>
        <v>1053.1</v>
      </c>
      <c r="K2190" s="25">
        <f>IFERROR(__xludf.DUMMYFUNCTION("""COMPUTED_VALUE"""),1021.83)</f>
        <v>1021.83</v>
      </c>
      <c r="L2190" s="25">
        <f>IFERROR(__xludf.DUMMYFUNCTION("""COMPUTED_VALUE"""),1024.5)</f>
        <v>1024.5</v>
      </c>
      <c r="M2190" s="25">
        <f>IFERROR(__xludf.DUMMYFUNCTION("""COMPUTED_VALUE"""),604169.0)</f>
        <v>604169</v>
      </c>
    </row>
    <row r="2191">
      <c r="A2191" s="26">
        <f>IFERROR(__xludf.DUMMYFUNCTION("""COMPUTED_VALUE"""),41592.645833333336)</f>
        <v>41592.64583</v>
      </c>
      <c r="B2191" s="9">
        <f>IFERROR(__xludf.DUMMYFUNCTION("""COMPUTED_VALUE"""),419.04)</f>
        <v>419.04</v>
      </c>
      <c r="C2191" s="9">
        <f>IFERROR(__xludf.DUMMYFUNCTION("""COMPUTED_VALUE"""),421.88)</f>
        <v>421.88</v>
      </c>
      <c r="D2191" s="9">
        <f>IFERROR(__xludf.DUMMYFUNCTION("""COMPUTED_VALUE"""),418.76)</f>
        <v>418.76</v>
      </c>
      <c r="E2191" s="9">
        <f>IFERROR(__xludf.DUMMYFUNCTION("""COMPUTED_VALUE"""),419.28)</f>
        <v>419.28</v>
      </c>
      <c r="F2191" s="9">
        <f>IFERROR(__xludf.DUMMYFUNCTION("""COMPUTED_VALUE"""),542941.0)</f>
        <v>542941</v>
      </c>
      <c r="H2191" s="27">
        <f>IFERROR(__xludf.DUMMYFUNCTION("""COMPUTED_VALUE"""),41592.645833333336)</f>
        <v>41592.64583</v>
      </c>
      <c r="I2191" s="25">
        <f>IFERROR(__xludf.DUMMYFUNCTION("""COMPUTED_VALUE"""),1036.0)</f>
        <v>1036</v>
      </c>
      <c r="J2191" s="25">
        <f>IFERROR(__xludf.DUMMYFUNCTION("""COMPUTED_VALUE"""),1036.0)</f>
        <v>1036</v>
      </c>
      <c r="K2191" s="25">
        <f>IFERROR(__xludf.DUMMYFUNCTION("""COMPUTED_VALUE"""),1010.93)</f>
        <v>1010.93</v>
      </c>
      <c r="L2191" s="25">
        <f>IFERROR(__xludf.DUMMYFUNCTION("""COMPUTED_VALUE"""),1013.1)</f>
        <v>1013.1</v>
      </c>
      <c r="M2191" s="25">
        <f>IFERROR(__xludf.DUMMYFUNCTION("""COMPUTED_VALUE"""),1064852.0)</f>
        <v>1064852</v>
      </c>
    </row>
    <row r="2192">
      <c r="A2192" s="26">
        <f>IFERROR(__xludf.DUMMYFUNCTION("""COMPUTED_VALUE"""),41596.645833333336)</f>
        <v>41596.64583</v>
      </c>
      <c r="B2192" s="9">
        <f>IFERROR(__xludf.DUMMYFUNCTION("""COMPUTED_VALUE"""),423.88)</f>
        <v>423.88</v>
      </c>
      <c r="C2192" s="9">
        <f>IFERROR(__xludf.DUMMYFUNCTION("""COMPUTED_VALUE"""),426.88)</f>
        <v>426.88</v>
      </c>
      <c r="D2192" s="9">
        <f>IFERROR(__xludf.DUMMYFUNCTION("""COMPUTED_VALUE"""),423.48)</f>
        <v>423.48</v>
      </c>
      <c r="E2192" s="9">
        <f>IFERROR(__xludf.DUMMYFUNCTION("""COMPUTED_VALUE"""),425.51)</f>
        <v>425.51</v>
      </c>
      <c r="F2192" s="9">
        <f>IFERROR(__xludf.DUMMYFUNCTION("""COMPUTED_VALUE"""),790817.0)</f>
        <v>790817</v>
      </c>
      <c r="H2192" s="27">
        <f>IFERROR(__xludf.DUMMYFUNCTION("""COMPUTED_VALUE"""),41596.645833333336)</f>
        <v>41596.64583</v>
      </c>
      <c r="I2192" s="25">
        <f>IFERROR(__xludf.DUMMYFUNCTION("""COMPUTED_VALUE"""),1023.0)</f>
        <v>1023</v>
      </c>
      <c r="J2192" s="25">
        <f>IFERROR(__xludf.DUMMYFUNCTION("""COMPUTED_VALUE"""),1029.95)</f>
        <v>1029.95</v>
      </c>
      <c r="K2192" s="25">
        <f>IFERROR(__xludf.DUMMYFUNCTION("""COMPUTED_VALUE"""),1016.13)</f>
        <v>1016.13</v>
      </c>
      <c r="L2192" s="25">
        <f>IFERROR(__xludf.DUMMYFUNCTION("""COMPUTED_VALUE"""),1022.0)</f>
        <v>1022</v>
      </c>
      <c r="M2192" s="25">
        <f>IFERROR(__xludf.DUMMYFUNCTION("""COMPUTED_VALUE"""),1415801.0)</f>
        <v>1415801</v>
      </c>
    </row>
    <row r="2193">
      <c r="A2193" s="26">
        <f>IFERROR(__xludf.DUMMYFUNCTION("""COMPUTED_VALUE"""),41597.645833333336)</f>
        <v>41597.64583</v>
      </c>
      <c r="B2193" s="9">
        <f>IFERROR(__xludf.DUMMYFUNCTION("""COMPUTED_VALUE"""),425.75)</f>
        <v>425.75</v>
      </c>
      <c r="C2193" s="9">
        <f>IFERROR(__xludf.DUMMYFUNCTION("""COMPUTED_VALUE"""),431.0)</f>
        <v>431</v>
      </c>
      <c r="D2193" s="9">
        <f>IFERROR(__xludf.DUMMYFUNCTION("""COMPUTED_VALUE"""),425.01)</f>
        <v>425.01</v>
      </c>
      <c r="E2193" s="9">
        <f>IFERROR(__xludf.DUMMYFUNCTION("""COMPUTED_VALUE"""),430.37)</f>
        <v>430.37</v>
      </c>
      <c r="F2193" s="9">
        <f>IFERROR(__xludf.DUMMYFUNCTION("""COMPUTED_VALUE"""),1121901.0)</f>
        <v>1121901</v>
      </c>
      <c r="H2193" s="27">
        <f>IFERROR(__xludf.DUMMYFUNCTION("""COMPUTED_VALUE"""),41597.645833333336)</f>
        <v>41597.64583</v>
      </c>
      <c r="I2193" s="25">
        <f>IFERROR(__xludf.DUMMYFUNCTION("""COMPUTED_VALUE"""),1024.97)</f>
        <v>1024.97</v>
      </c>
      <c r="J2193" s="25">
        <f>IFERROR(__xludf.DUMMYFUNCTION("""COMPUTED_VALUE"""),1027.5)</f>
        <v>1027.5</v>
      </c>
      <c r="K2193" s="25">
        <f>IFERROR(__xludf.DUMMYFUNCTION("""COMPUTED_VALUE"""),1010.6)</f>
        <v>1010.6</v>
      </c>
      <c r="L2193" s="25">
        <f>IFERROR(__xludf.DUMMYFUNCTION("""COMPUTED_VALUE"""),1014.95)</f>
        <v>1014.95</v>
      </c>
      <c r="M2193" s="25">
        <f>IFERROR(__xludf.DUMMYFUNCTION("""COMPUTED_VALUE"""),1038932.0)</f>
        <v>1038932</v>
      </c>
    </row>
    <row r="2194">
      <c r="A2194" s="26">
        <f>IFERROR(__xludf.DUMMYFUNCTION("""COMPUTED_VALUE"""),41598.645833333336)</f>
        <v>41598.64583</v>
      </c>
      <c r="B2194" s="9">
        <f>IFERROR(__xludf.DUMMYFUNCTION("""COMPUTED_VALUE"""),426.13)</f>
        <v>426.13</v>
      </c>
      <c r="C2194" s="9">
        <f>IFERROR(__xludf.DUMMYFUNCTION("""COMPUTED_VALUE"""),430.41)</f>
        <v>430.41</v>
      </c>
      <c r="D2194" s="9">
        <f>IFERROR(__xludf.DUMMYFUNCTION("""COMPUTED_VALUE"""),424.38)</f>
        <v>424.38</v>
      </c>
      <c r="E2194" s="9">
        <f>IFERROR(__xludf.DUMMYFUNCTION("""COMPUTED_VALUE"""),425.28)</f>
        <v>425.28</v>
      </c>
      <c r="F2194" s="9">
        <f>IFERROR(__xludf.DUMMYFUNCTION("""COMPUTED_VALUE"""),538326.0)</f>
        <v>538326</v>
      </c>
      <c r="H2194" s="27">
        <f>IFERROR(__xludf.DUMMYFUNCTION("""COMPUTED_VALUE"""),41598.645833333336)</f>
        <v>41598.64583</v>
      </c>
      <c r="I2194" s="25">
        <f>IFERROR(__xludf.DUMMYFUNCTION("""COMPUTED_VALUE"""),1023.43)</f>
        <v>1023.43</v>
      </c>
      <c r="J2194" s="25">
        <f>IFERROR(__xludf.DUMMYFUNCTION("""COMPUTED_VALUE"""),1024.95)</f>
        <v>1024.95</v>
      </c>
      <c r="K2194" s="25">
        <f>IFERROR(__xludf.DUMMYFUNCTION("""COMPUTED_VALUE"""),1008.5)</f>
        <v>1008.5</v>
      </c>
      <c r="L2194" s="25">
        <f>IFERROR(__xludf.DUMMYFUNCTION("""COMPUTED_VALUE"""),1011.8)</f>
        <v>1011.8</v>
      </c>
      <c r="M2194" s="25">
        <f>IFERROR(__xludf.DUMMYFUNCTION("""COMPUTED_VALUE"""),829348.0)</f>
        <v>829348</v>
      </c>
    </row>
    <row r="2195">
      <c r="A2195" s="26">
        <f>IFERROR(__xludf.DUMMYFUNCTION("""COMPUTED_VALUE"""),41599.645833333336)</f>
        <v>41599.64583</v>
      </c>
      <c r="B2195" s="9">
        <f>IFERROR(__xludf.DUMMYFUNCTION("""COMPUTED_VALUE"""),424.5)</f>
        <v>424.5</v>
      </c>
      <c r="C2195" s="9">
        <f>IFERROR(__xludf.DUMMYFUNCTION("""COMPUTED_VALUE"""),425.0)</f>
        <v>425</v>
      </c>
      <c r="D2195" s="9">
        <f>IFERROR(__xludf.DUMMYFUNCTION("""COMPUTED_VALUE"""),414.14)</f>
        <v>414.14</v>
      </c>
      <c r="E2195" s="9">
        <f>IFERROR(__xludf.DUMMYFUNCTION("""COMPUTED_VALUE"""),418.04)</f>
        <v>418.04</v>
      </c>
      <c r="F2195" s="9">
        <f>IFERROR(__xludf.DUMMYFUNCTION("""COMPUTED_VALUE"""),1061937.0)</f>
        <v>1061937</v>
      </c>
      <c r="H2195" s="27">
        <f>IFERROR(__xludf.DUMMYFUNCTION("""COMPUTED_VALUE"""),41599.645833333336)</f>
        <v>41599.64583</v>
      </c>
      <c r="I2195" s="25">
        <f>IFERROR(__xludf.DUMMYFUNCTION("""COMPUTED_VALUE"""),1011.6)</f>
        <v>1011.6</v>
      </c>
      <c r="J2195" s="25">
        <f>IFERROR(__xludf.DUMMYFUNCTION("""COMPUTED_VALUE"""),1017.35)</f>
        <v>1017.35</v>
      </c>
      <c r="K2195" s="25">
        <f>IFERROR(__xludf.DUMMYFUNCTION("""COMPUTED_VALUE"""),990.0)</f>
        <v>990</v>
      </c>
      <c r="L2195" s="25">
        <f>IFERROR(__xludf.DUMMYFUNCTION("""COMPUTED_VALUE"""),993.3)</f>
        <v>993.3</v>
      </c>
      <c r="M2195" s="25">
        <f>IFERROR(__xludf.DUMMYFUNCTION("""COMPUTED_VALUE"""),1151441.0)</f>
        <v>1151441</v>
      </c>
    </row>
    <row r="2196">
      <c r="A2196" s="26">
        <f>IFERROR(__xludf.DUMMYFUNCTION("""COMPUTED_VALUE"""),41600.645833333336)</f>
        <v>41600.64583</v>
      </c>
      <c r="B2196" s="9">
        <f>IFERROR(__xludf.DUMMYFUNCTION("""COMPUTED_VALUE"""),418.25)</f>
        <v>418.25</v>
      </c>
      <c r="C2196" s="9">
        <f>IFERROR(__xludf.DUMMYFUNCTION("""COMPUTED_VALUE"""),421.88)</f>
        <v>421.88</v>
      </c>
      <c r="D2196" s="9">
        <f>IFERROR(__xludf.DUMMYFUNCTION("""COMPUTED_VALUE"""),417.0)</f>
        <v>417</v>
      </c>
      <c r="E2196" s="9">
        <f>IFERROR(__xludf.DUMMYFUNCTION("""COMPUTED_VALUE"""),418.45)</f>
        <v>418.45</v>
      </c>
      <c r="F2196" s="9">
        <f>IFERROR(__xludf.DUMMYFUNCTION("""COMPUTED_VALUE"""),340117.0)</f>
        <v>340117</v>
      </c>
      <c r="H2196" s="27">
        <f>IFERROR(__xludf.DUMMYFUNCTION("""COMPUTED_VALUE"""),41600.645833333336)</f>
        <v>41600.64583</v>
      </c>
      <c r="I2196" s="25">
        <f>IFERROR(__xludf.DUMMYFUNCTION("""COMPUTED_VALUE"""),995.5)</f>
        <v>995.5</v>
      </c>
      <c r="J2196" s="25">
        <f>IFERROR(__xludf.DUMMYFUNCTION("""COMPUTED_VALUE"""),1005.5)</f>
        <v>1005.5</v>
      </c>
      <c r="K2196" s="25">
        <f>IFERROR(__xludf.DUMMYFUNCTION("""COMPUTED_VALUE"""),992.55)</f>
        <v>992.55</v>
      </c>
      <c r="L2196" s="25">
        <f>IFERROR(__xludf.DUMMYFUNCTION("""COMPUTED_VALUE"""),1000.43)</f>
        <v>1000.43</v>
      </c>
      <c r="M2196" s="25">
        <f>IFERROR(__xludf.DUMMYFUNCTION("""COMPUTED_VALUE"""),747247.0)</f>
        <v>747247</v>
      </c>
    </row>
    <row r="2197">
      <c r="A2197" s="26">
        <f>IFERROR(__xludf.DUMMYFUNCTION("""COMPUTED_VALUE"""),41603.645833333336)</f>
        <v>41603.64583</v>
      </c>
      <c r="B2197" s="9">
        <f>IFERROR(__xludf.DUMMYFUNCTION("""COMPUTED_VALUE"""),419.0)</f>
        <v>419</v>
      </c>
      <c r="C2197" s="9">
        <f>IFERROR(__xludf.DUMMYFUNCTION("""COMPUTED_VALUE"""),422.35)</f>
        <v>422.35</v>
      </c>
      <c r="D2197" s="9">
        <f>IFERROR(__xludf.DUMMYFUNCTION("""COMPUTED_VALUE"""),413.38)</f>
        <v>413.38</v>
      </c>
      <c r="E2197" s="9">
        <f>IFERROR(__xludf.DUMMYFUNCTION("""COMPUTED_VALUE"""),415.75)</f>
        <v>415.75</v>
      </c>
      <c r="F2197" s="9">
        <f>IFERROR(__xludf.DUMMYFUNCTION("""COMPUTED_VALUE"""),713412.0)</f>
        <v>713412</v>
      </c>
      <c r="H2197" s="27">
        <f>IFERROR(__xludf.DUMMYFUNCTION("""COMPUTED_VALUE"""),41603.645833333336)</f>
        <v>41603.64583</v>
      </c>
      <c r="I2197" s="25">
        <f>IFERROR(__xludf.DUMMYFUNCTION("""COMPUTED_VALUE"""),1004.0)</f>
        <v>1004</v>
      </c>
      <c r="J2197" s="25">
        <f>IFERROR(__xludf.DUMMYFUNCTION("""COMPUTED_VALUE"""),1013.43)</f>
        <v>1013.43</v>
      </c>
      <c r="K2197" s="25">
        <f>IFERROR(__xludf.DUMMYFUNCTION("""COMPUTED_VALUE"""),996.55)</f>
        <v>996.55</v>
      </c>
      <c r="L2197" s="25">
        <f>IFERROR(__xludf.DUMMYFUNCTION("""COMPUTED_VALUE"""),1006.63)</f>
        <v>1006.63</v>
      </c>
      <c r="M2197" s="25">
        <f>IFERROR(__xludf.DUMMYFUNCTION("""COMPUTED_VALUE"""),975499.0)</f>
        <v>975499</v>
      </c>
    </row>
    <row r="2198">
      <c r="A2198" s="26">
        <f>IFERROR(__xludf.DUMMYFUNCTION("""COMPUTED_VALUE"""),41604.645833333336)</f>
        <v>41604.64583</v>
      </c>
      <c r="B2198" s="9">
        <f>IFERROR(__xludf.DUMMYFUNCTION("""COMPUTED_VALUE"""),415.0)</f>
        <v>415</v>
      </c>
      <c r="C2198" s="9">
        <f>IFERROR(__xludf.DUMMYFUNCTION("""COMPUTED_VALUE"""),418.63)</f>
        <v>418.63</v>
      </c>
      <c r="D2198" s="9">
        <f>IFERROR(__xludf.DUMMYFUNCTION("""COMPUTED_VALUE"""),411.58)</f>
        <v>411.58</v>
      </c>
      <c r="E2198" s="9">
        <f>IFERROR(__xludf.DUMMYFUNCTION("""COMPUTED_VALUE"""),414.53)</f>
        <v>414.53</v>
      </c>
      <c r="F2198" s="9">
        <f>IFERROR(__xludf.DUMMYFUNCTION("""COMPUTED_VALUE"""),915137.0)</f>
        <v>915137</v>
      </c>
      <c r="H2198" s="27">
        <f>IFERROR(__xludf.DUMMYFUNCTION("""COMPUTED_VALUE"""),41604.645833333336)</f>
        <v>41604.64583</v>
      </c>
      <c r="I2198" s="25">
        <f>IFERROR(__xludf.DUMMYFUNCTION("""COMPUTED_VALUE"""),1001.55)</f>
        <v>1001.55</v>
      </c>
      <c r="J2198" s="25">
        <f>IFERROR(__xludf.DUMMYFUNCTION("""COMPUTED_VALUE"""),1008.23)</f>
        <v>1008.23</v>
      </c>
      <c r="K2198" s="25">
        <f>IFERROR(__xludf.DUMMYFUNCTION("""COMPUTED_VALUE"""),993.5)</f>
        <v>993.5</v>
      </c>
      <c r="L2198" s="25">
        <f>IFERROR(__xludf.DUMMYFUNCTION("""COMPUTED_VALUE"""),996.85)</f>
        <v>996.85</v>
      </c>
      <c r="M2198" s="25">
        <f>IFERROR(__xludf.DUMMYFUNCTION("""COMPUTED_VALUE"""),1023706.0)</f>
        <v>1023706</v>
      </c>
    </row>
    <row r="2199">
      <c r="A2199" s="26">
        <f>IFERROR(__xludf.DUMMYFUNCTION("""COMPUTED_VALUE"""),41605.645833333336)</f>
        <v>41605.64583</v>
      </c>
      <c r="B2199" s="9">
        <f>IFERROR(__xludf.DUMMYFUNCTION("""COMPUTED_VALUE"""),415.0)</f>
        <v>415</v>
      </c>
      <c r="C2199" s="9">
        <f>IFERROR(__xludf.DUMMYFUNCTION("""COMPUTED_VALUE"""),416.98)</f>
        <v>416.98</v>
      </c>
      <c r="D2199" s="9">
        <f>IFERROR(__xludf.DUMMYFUNCTION("""COMPUTED_VALUE"""),410.73)</f>
        <v>410.73</v>
      </c>
      <c r="E2199" s="9">
        <f>IFERROR(__xludf.DUMMYFUNCTION("""COMPUTED_VALUE"""),411.66)</f>
        <v>411.66</v>
      </c>
      <c r="F2199" s="9">
        <f>IFERROR(__xludf.DUMMYFUNCTION("""COMPUTED_VALUE"""),847453.0)</f>
        <v>847453</v>
      </c>
      <c r="H2199" s="27">
        <f>IFERROR(__xludf.DUMMYFUNCTION("""COMPUTED_VALUE"""),41605.645833333336)</f>
        <v>41605.64583</v>
      </c>
      <c r="I2199" s="25">
        <f>IFERROR(__xludf.DUMMYFUNCTION("""COMPUTED_VALUE"""),1004.5)</f>
        <v>1004.5</v>
      </c>
      <c r="J2199" s="25">
        <f>IFERROR(__xludf.DUMMYFUNCTION("""COMPUTED_VALUE"""),1006.85)</f>
        <v>1006.85</v>
      </c>
      <c r="K2199" s="25">
        <f>IFERROR(__xludf.DUMMYFUNCTION("""COMPUTED_VALUE"""),987.5)</f>
        <v>987.5</v>
      </c>
      <c r="L2199" s="25">
        <f>IFERROR(__xludf.DUMMYFUNCTION("""COMPUTED_VALUE"""),993.23)</f>
        <v>993.23</v>
      </c>
      <c r="M2199" s="25">
        <f>IFERROR(__xludf.DUMMYFUNCTION("""COMPUTED_VALUE"""),1060489.0)</f>
        <v>1060489</v>
      </c>
    </row>
    <row r="2200">
      <c r="A2200" s="26">
        <f>IFERROR(__xludf.DUMMYFUNCTION("""COMPUTED_VALUE"""),41606.645833333336)</f>
        <v>41606.64583</v>
      </c>
      <c r="B2200" s="9">
        <f>IFERROR(__xludf.DUMMYFUNCTION("""COMPUTED_VALUE"""),412.68)</f>
        <v>412.68</v>
      </c>
      <c r="C2200" s="9">
        <f>IFERROR(__xludf.DUMMYFUNCTION("""COMPUTED_VALUE"""),417.25)</f>
        <v>417.25</v>
      </c>
      <c r="D2200" s="9">
        <f>IFERROR(__xludf.DUMMYFUNCTION("""COMPUTED_VALUE"""),408.13)</f>
        <v>408.13</v>
      </c>
      <c r="E2200" s="9">
        <f>IFERROR(__xludf.DUMMYFUNCTION("""COMPUTED_VALUE"""),415.98)</f>
        <v>415.98</v>
      </c>
      <c r="F2200" s="9">
        <f>IFERROR(__xludf.DUMMYFUNCTION("""COMPUTED_VALUE"""),937496.0)</f>
        <v>937496</v>
      </c>
      <c r="H2200" s="27">
        <f>IFERROR(__xludf.DUMMYFUNCTION("""COMPUTED_VALUE"""),41606.645833333336)</f>
        <v>41606.64583</v>
      </c>
      <c r="I2200" s="25">
        <f>IFERROR(__xludf.DUMMYFUNCTION("""COMPUTED_VALUE"""),996.55)</f>
        <v>996.55</v>
      </c>
      <c r="J2200" s="25">
        <f>IFERROR(__xludf.DUMMYFUNCTION("""COMPUTED_VALUE"""),998.28)</f>
        <v>998.28</v>
      </c>
      <c r="K2200" s="25">
        <f>IFERROR(__xludf.DUMMYFUNCTION("""COMPUTED_VALUE"""),985.0)</f>
        <v>985</v>
      </c>
      <c r="L2200" s="25">
        <f>IFERROR(__xludf.DUMMYFUNCTION("""COMPUTED_VALUE"""),992.3)</f>
        <v>992.3</v>
      </c>
      <c r="M2200" s="25">
        <f>IFERROR(__xludf.DUMMYFUNCTION("""COMPUTED_VALUE"""),1402861.0)</f>
        <v>1402861</v>
      </c>
    </row>
    <row r="2201">
      <c r="A2201" s="26">
        <f>IFERROR(__xludf.DUMMYFUNCTION("""COMPUTED_VALUE"""),41607.645833333336)</f>
        <v>41607.64583</v>
      </c>
      <c r="B2201" s="9">
        <f>IFERROR(__xludf.DUMMYFUNCTION("""COMPUTED_VALUE"""),417.0)</f>
        <v>417</v>
      </c>
      <c r="C2201" s="9">
        <f>IFERROR(__xludf.DUMMYFUNCTION("""COMPUTED_VALUE"""),420.75)</f>
        <v>420.75</v>
      </c>
      <c r="D2201" s="9">
        <f>IFERROR(__xludf.DUMMYFUNCTION("""COMPUTED_VALUE"""),413.75)</f>
        <v>413.75</v>
      </c>
      <c r="E2201" s="9">
        <f>IFERROR(__xludf.DUMMYFUNCTION("""COMPUTED_VALUE"""),419.32)</f>
        <v>419.32</v>
      </c>
      <c r="F2201" s="9">
        <f>IFERROR(__xludf.DUMMYFUNCTION("""COMPUTED_VALUE"""),676445.0)</f>
        <v>676445</v>
      </c>
      <c r="H2201" s="27">
        <f>IFERROR(__xludf.DUMMYFUNCTION("""COMPUTED_VALUE"""),41607.645833333336)</f>
        <v>41607.64583</v>
      </c>
      <c r="I2201" s="25">
        <f>IFERROR(__xludf.DUMMYFUNCTION("""COMPUTED_VALUE"""),996.0)</f>
        <v>996</v>
      </c>
      <c r="J2201" s="25">
        <f>IFERROR(__xludf.DUMMYFUNCTION("""COMPUTED_VALUE"""),1007.35)</f>
        <v>1007.35</v>
      </c>
      <c r="K2201" s="25">
        <f>IFERROR(__xludf.DUMMYFUNCTION("""COMPUTED_VALUE"""),990.9)</f>
        <v>990.9</v>
      </c>
      <c r="L2201" s="25">
        <f>IFERROR(__xludf.DUMMYFUNCTION("""COMPUTED_VALUE"""),1002.18)</f>
        <v>1002.18</v>
      </c>
      <c r="M2201" s="25">
        <f>IFERROR(__xludf.DUMMYFUNCTION("""COMPUTED_VALUE"""),962406.0)</f>
        <v>962406</v>
      </c>
    </row>
    <row r="2202">
      <c r="A2202" s="26">
        <f>IFERROR(__xludf.DUMMYFUNCTION("""COMPUTED_VALUE"""),41610.645833333336)</f>
        <v>41610.64583</v>
      </c>
      <c r="B2202" s="9">
        <f>IFERROR(__xludf.DUMMYFUNCTION("""COMPUTED_VALUE"""),419.0)</f>
        <v>419</v>
      </c>
      <c r="C2202" s="9">
        <f>IFERROR(__xludf.DUMMYFUNCTION("""COMPUTED_VALUE"""),422.11)</f>
        <v>422.11</v>
      </c>
      <c r="D2202" s="9">
        <f>IFERROR(__xludf.DUMMYFUNCTION("""COMPUTED_VALUE"""),415.64)</f>
        <v>415.64</v>
      </c>
      <c r="E2202" s="9">
        <f>IFERROR(__xludf.DUMMYFUNCTION("""COMPUTED_VALUE"""),417.34)</f>
        <v>417.34</v>
      </c>
      <c r="F2202" s="9">
        <f>IFERROR(__xludf.DUMMYFUNCTION("""COMPUTED_VALUE"""),588922.0)</f>
        <v>588922</v>
      </c>
      <c r="H2202" s="27">
        <f>IFERROR(__xludf.DUMMYFUNCTION("""COMPUTED_VALUE"""),41610.645833333336)</f>
        <v>41610.64583</v>
      </c>
      <c r="I2202" s="25">
        <f>IFERROR(__xludf.DUMMYFUNCTION("""COMPUTED_VALUE"""),997.5)</f>
        <v>997.5</v>
      </c>
      <c r="J2202" s="25">
        <f>IFERROR(__xludf.DUMMYFUNCTION("""COMPUTED_VALUE"""),1010.5)</f>
        <v>1010.5</v>
      </c>
      <c r="K2202" s="25">
        <f>IFERROR(__xludf.DUMMYFUNCTION("""COMPUTED_VALUE"""),997.5)</f>
        <v>997.5</v>
      </c>
      <c r="L2202" s="25">
        <f>IFERROR(__xludf.DUMMYFUNCTION("""COMPUTED_VALUE"""),1006.95)</f>
        <v>1006.95</v>
      </c>
      <c r="M2202" s="25">
        <f>IFERROR(__xludf.DUMMYFUNCTION("""COMPUTED_VALUE"""),626630.0)</f>
        <v>626630</v>
      </c>
    </row>
    <row r="2203">
      <c r="A2203" s="26">
        <f>IFERROR(__xludf.DUMMYFUNCTION("""COMPUTED_VALUE"""),41611.645833333336)</f>
        <v>41611.64583</v>
      </c>
      <c r="B2203" s="9">
        <f>IFERROR(__xludf.DUMMYFUNCTION("""COMPUTED_VALUE"""),415.0)</f>
        <v>415</v>
      </c>
      <c r="C2203" s="9">
        <f>IFERROR(__xludf.DUMMYFUNCTION("""COMPUTED_VALUE"""),419.94)</f>
        <v>419.94</v>
      </c>
      <c r="D2203" s="9">
        <f>IFERROR(__xludf.DUMMYFUNCTION("""COMPUTED_VALUE"""),415.0)</f>
        <v>415</v>
      </c>
      <c r="E2203" s="9">
        <f>IFERROR(__xludf.DUMMYFUNCTION("""COMPUTED_VALUE"""),418.59)</f>
        <v>418.59</v>
      </c>
      <c r="F2203" s="9">
        <f>IFERROR(__xludf.DUMMYFUNCTION("""COMPUTED_VALUE"""),875155.0)</f>
        <v>875155</v>
      </c>
      <c r="H2203" s="27">
        <f>IFERROR(__xludf.DUMMYFUNCTION("""COMPUTED_VALUE"""),41611.645833333336)</f>
        <v>41611.64583</v>
      </c>
      <c r="I2203" s="25">
        <f>IFERROR(__xludf.DUMMYFUNCTION("""COMPUTED_VALUE"""),1008.03)</f>
        <v>1008.03</v>
      </c>
      <c r="J2203" s="25">
        <f>IFERROR(__xludf.DUMMYFUNCTION("""COMPUTED_VALUE"""),1021.0)</f>
        <v>1021</v>
      </c>
      <c r="K2203" s="25">
        <f>IFERROR(__xludf.DUMMYFUNCTION("""COMPUTED_VALUE"""),1007.53)</f>
        <v>1007.53</v>
      </c>
      <c r="L2203" s="25">
        <f>IFERROR(__xludf.DUMMYFUNCTION("""COMPUTED_VALUE"""),1010.4)</f>
        <v>1010.4</v>
      </c>
      <c r="M2203" s="25">
        <f>IFERROR(__xludf.DUMMYFUNCTION("""COMPUTED_VALUE"""),724592.0)</f>
        <v>724592</v>
      </c>
    </row>
    <row r="2204">
      <c r="A2204" s="26">
        <f>IFERROR(__xludf.DUMMYFUNCTION("""COMPUTED_VALUE"""),41612.645833333336)</f>
        <v>41612.64583</v>
      </c>
      <c r="B2204" s="9">
        <f>IFERROR(__xludf.DUMMYFUNCTION("""COMPUTED_VALUE"""),418.75)</f>
        <v>418.75</v>
      </c>
      <c r="C2204" s="9">
        <f>IFERROR(__xludf.DUMMYFUNCTION("""COMPUTED_VALUE"""),423.25)</f>
        <v>423.25</v>
      </c>
      <c r="D2204" s="9">
        <f>IFERROR(__xludf.DUMMYFUNCTION("""COMPUTED_VALUE"""),417.1)</f>
        <v>417.1</v>
      </c>
      <c r="E2204" s="9">
        <f>IFERROR(__xludf.DUMMYFUNCTION("""COMPUTED_VALUE"""),420.67)</f>
        <v>420.67</v>
      </c>
      <c r="F2204" s="9">
        <f>IFERROR(__xludf.DUMMYFUNCTION("""COMPUTED_VALUE"""),1055390.0)</f>
        <v>1055390</v>
      </c>
      <c r="H2204" s="27">
        <f>IFERROR(__xludf.DUMMYFUNCTION("""COMPUTED_VALUE"""),41612.645833333336)</f>
        <v>41612.64583</v>
      </c>
      <c r="I2204" s="25">
        <f>IFERROR(__xludf.DUMMYFUNCTION("""COMPUTED_VALUE"""),1009.95)</f>
        <v>1009.95</v>
      </c>
      <c r="J2204" s="25">
        <f>IFERROR(__xludf.DUMMYFUNCTION("""COMPUTED_VALUE"""),1015.8)</f>
        <v>1015.8</v>
      </c>
      <c r="K2204" s="25">
        <f>IFERROR(__xludf.DUMMYFUNCTION("""COMPUTED_VALUE"""),996.83)</f>
        <v>996.83</v>
      </c>
      <c r="L2204" s="25">
        <f>IFERROR(__xludf.DUMMYFUNCTION("""COMPUTED_VALUE"""),1000.03)</f>
        <v>1000.03</v>
      </c>
      <c r="M2204" s="25">
        <f>IFERROR(__xludf.DUMMYFUNCTION("""COMPUTED_VALUE"""),759518.0)</f>
        <v>759518</v>
      </c>
    </row>
    <row r="2205">
      <c r="A2205" s="26">
        <f>IFERROR(__xludf.DUMMYFUNCTION("""COMPUTED_VALUE"""),41613.645833333336)</f>
        <v>41613.64583</v>
      </c>
      <c r="B2205" s="9">
        <f>IFERROR(__xludf.DUMMYFUNCTION("""COMPUTED_VALUE"""),422.5)</f>
        <v>422.5</v>
      </c>
      <c r="C2205" s="9">
        <f>IFERROR(__xludf.DUMMYFUNCTION("""COMPUTED_VALUE"""),424.88)</f>
        <v>424.88</v>
      </c>
      <c r="D2205" s="9">
        <f>IFERROR(__xludf.DUMMYFUNCTION("""COMPUTED_VALUE"""),417.75)</f>
        <v>417.75</v>
      </c>
      <c r="E2205" s="9">
        <f>IFERROR(__xludf.DUMMYFUNCTION("""COMPUTED_VALUE"""),418.91)</f>
        <v>418.91</v>
      </c>
      <c r="F2205" s="9">
        <f>IFERROR(__xludf.DUMMYFUNCTION("""COMPUTED_VALUE"""),789634.0)</f>
        <v>789634</v>
      </c>
      <c r="H2205" s="27">
        <f>IFERROR(__xludf.DUMMYFUNCTION("""COMPUTED_VALUE"""),41613.645833333336)</f>
        <v>41613.64583</v>
      </c>
      <c r="I2205" s="25">
        <f>IFERROR(__xludf.DUMMYFUNCTION("""COMPUTED_VALUE"""),1008.0)</f>
        <v>1008</v>
      </c>
      <c r="J2205" s="25">
        <f>IFERROR(__xludf.DUMMYFUNCTION("""COMPUTED_VALUE"""),1016.78)</f>
        <v>1016.78</v>
      </c>
      <c r="K2205" s="25">
        <f>IFERROR(__xludf.DUMMYFUNCTION("""COMPUTED_VALUE"""),991.53)</f>
        <v>991.53</v>
      </c>
      <c r="L2205" s="25">
        <f>IFERROR(__xludf.DUMMYFUNCTION("""COMPUTED_VALUE"""),993.58)</f>
        <v>993.58</v>
      </c>
      <c r="M2205" s="25">
        <f>IFERROR(__xludf.DUMMYFUNCTION("""COMPUTED_VALUE"""),698595.0)</f>
        <v>698595</v>
      </c>
    </row>
    <row r="2206">
      <c r="A2206" s="26">
        <f>IFERROR(__xludf.DUMMYFUNCTION("""COMPUTED_VALUE"""),41614.645833333336)</f>
        <v>41614.64583</v>
      </c>
      <c r="B2206" s="9">
        <f>IFERROR(__xludf.DUMMYFUNCTION("""COMPUTED_VALUE"""),417.38)</f>
        <v>417.38</v>
      </c>
      <c r="C2206" s="9">
        <f>IFERROR(__xludf.DUMMYFUNCTION("""COMPUTED_VALUE"""),418.63)</f>
        <v>418.63</v>
      </c>
      <c r="D2206" s="9">
        <f>IFERROR(__xludf.DUMMYFUNCTION("""COMPUTED_VALUE"""),414.78)</f>
        <v>414.78</v>
      </c>
      <c r="E2206" s="9">
        <f>IFERROR(__xludf.DUMMYFUNCTION("""COMPUTED_VALUE"""),415.73)</f>
        <v>415.73</v>
      </c>
      <c r="F2206" s="9">
        <f>IFERROR(__xludf.DUMMYFUNCTION("""COMPUTED_VALUE"""),818106.0)</f>
        <v>818106</v>
      </c>
      <c r="H2206" s="27">
        <f>IFERROR(__xludf.DUMMYFUNCTION("""COMPUTED_VALUE"""),41614.645833333336)</f>
        <v>41614.64583</v>
      </c>
      <c r="I2206" s="25">
        <f>IFERROR(__xludf.DUMMYFUNCTION("""COMPUTED_VALUE"""),995.5)</f>
        <v>995.5</v>
      </c>
      <c r="J2206" s="25">
        <f>IFERROR(__xludf.DUMMYFUNCTION("""COMPUTED_VALUE"""),1005.0)</f>
        <v>1005</v>
      </c>
      <c r="K2206" s="25">
        <f>IFERROR(__xludf.DUMMYFUNCTION("""COMPUTED_VALUE"""),995.5)</f>
        <v>995.5</v>
      </c>
      <c r="L2206" s="25">
        <f>IFERROR(__xludf.DUMMYFUNCTION("""COMPUTED_VALUE"""),1000.15)</f>
        <v>1000.15</v>
      </c>
      <c r="M2206" s="25">
        <f>IFERROR(__xludf.DUMMYFUNCTION("""COMPUTED_VALUE"""),723481.0)</f>
        <v>723481</v>
      </c>
    </row>
    <row r="2207">
      <c r="A2207" s="26">
        <f>IFERROR(__xludf.DUMMYFUNCTION("""COMPUTED_VALUE"""),41617.645833333336)</f>
        <v>41617.64583</v>
      </c>
      <c r="B2207" s="9">
        <f>IFERROR(__xludf.DUMMYFUNCTION("""COMPUTED_VALUE"""),420.63)</f>
        <v>420.63</v>
      </c>
      <c r="C2207" s="9">
        <f>IFERROR(__xludf.DUMMYFUNCTION("""COMPUTED_VALUE"""),423.01)</f>
        <v>423.01</v>
      </c>
      <c r="D2207" s="9">
        <f>IFERROR(__xludf.DUMMYFUNCTION("""COMPUTED_VALUE"""),415.13)</f>
        <v>415.13</v>
      </c>
      <c r="E2207" s="9">
        <f>IFERROR(__xludf.DUMMYFUNCTION("""COMPUTED_VALUE"""),417.35)</f>
        <v>417.35</v>
      </c>
      <c r="F2207" s="9">
        <f>IFERROR(__xludf.DUMMYFUNCTION("""COMPUTED_VALUE"""),1107079.0)</f>
        <v>1107079</v>
      </c>
      <c r="H2207" s="27">
        <f>IFERROR(__xludf.DUMMYFUNCTION("""COMPUTED_VALUE"""),41617.645833333336)</f>
        <v>41617.64583</v>
      </c>
      <c r="I2207" s="25">
        <f>IFERROR(__xludf.DUMMYFUNCTION("""COMPUTED_VALUE"""),1014.5)</f>
        <v>1014.5</v>
      </c>
      <c r="J2207" s="25">
        <f>IFERROR(__xludf.DUMMYFUNCTION("""COMPUTED_VALUE"""),1014.98)</f>
        <v>1014.98</v>
      </c>
      <c r="K2207" s="25">
        <f>IFERROR(__xludf.DUMMYFUNCTION("""COMPUTED_VALUE"""),1000.0)</f>
        <v>1000</v>
      </c>
      <c r="L2207" s="25">
        <f>IFERROR(__xludf.DUMMYFUNCTION("""COMPUTED_VALUE"""),1002.43)</f>
        <v>1002.43</v>
      </c>
      <c r="M2207" s="25">
        <f>IFERROR(__xludf.DUMMYFUNCTION("""COMPUTED_VALUE"""),913170.0)</f>
        <v>913170</v>
      </c>
    </row>
    <row r="2208">
      <c r="A2208" s="26">
        <f>IFERROR(__xludf.DUMMYFUNCTION("""COMPUTED_VALUE"""),41618.645833333336)</f>
        <v>41618.64583</v>
      </c>
      <c r="B2208" s="9">
        <f>IFERROR(__xludf.DUMMYFUNCTION("""COMPUTED_VALUE"""),416.88)</f>
        <v>416.88</v>
      </c>
      <c r="C2208" s="9">
        <f>IFERROR(__xludf.DUMMYFUNCTION("""COMPUTED_VALUE"""),423.73)</f>
        <v>423.73</v>
      </c>
      <c r="D2208" s="9">
        <f>IFERROR(__xludf.DUMMYFUNCTION("""COMPUTED_VALUE"""),416.44)</f>
        <v>416.44</v>
      </c>
      <c r="E2208" s="9">
        <f>IFERROR(__xludf.DUMMYFUNCTION("""COMPUTED_VALUE"""),421.36)</f>
        <v>421.36</v>
      </c>
      <c r="F2208" s="9">
        <f>IFERROR(__xludf.DUMMYFUNCTION("""COMPUTED_VALUE"""),1543237.0)</f>
        <v>1543237</v>
      </c>
      <c r="H2208" s="27">
        <f>IFERROR(__xludf.DUMMYFUNCTION("""COMPUTED_VALUE"""),41618.645833333336)</f>
        <v>41618.64583</v>
      </c>
      <c r="I2208" s="25">
        <f>IFERROR(__xludf.DUMMYFUNCTION("""COMPUTED_VALUE"""),1000.0)</f>
        <v>1000</v>
      </c>
      <c r="J2208" s="25">
        <f>IFERROR(__xludf.DUMMYFUNCTION("""COMPUTED_VALUE"""),1044.5)</f>
        <v>1044.5</v>
      </c>
      <c r="K2208" s="25">
        <f>IFERROR(__xludf.DUMMYFUNCTION("""COMPUTED_VALUE"""),1000.0)</f>
        <v>1000</v>
      </c>
      <c r="L2208" s="25">
        <f>IFERROR(__xludf.DUMMYFUNCTION("""COMPUTED_VALUE"""),1041.38)</f>
        <v>1041.38</v>
      </c>
      <c r="M2208" s="25">
        <f>IFERROR(__xludf.DUMMYFUNCTION("""COMPUTED_VALUE"""),1826667.0)</f>
        <v>1826667</v>
      </c>
    </row>
    <row r="2209">
      <c r="A2209" s="26">
        <f>IFERROR(__xludf.DUMMYFUNCTION("""COMPUTED_VALUE"""),41619.645833333336)</f>
        <v>41619.64583</v>
      </c>
      <c r="B2209" s="9">
        <f>IFERROR(__xludf.DUMMYFUNCTION("""COMPUTED_VALUE"""),420.63)</f>
        <v>420.63</v>
      </c>
      <c r="C2209" s="9">
        <f>IFERROR(__xludf.DUMMYFUNCTION("""COMPUTED_VALUE"""),422.71)</f>
        <v>422.71</v>
      </c>
      <c r="D2209" s="9">
        <f>IFERROR(__xludf.DUMMYFUNCTION("""COMPUTED_VALUE"""),417.5)</f>
        <v>417.5</v>
      </c>
      <c r="E2209" s="9">
        <f>IFERROR(__xludf.DUMMYFUNCTION("""COMPUTED_VALUE"""),421.79)</f>
        <v>421.79</v>
      </c>
      <c r="F2209" s="9">
        <f>IFERROR(__xludf.DUMMYFUNCTION("""COMPUTED_VALUE"""),782120.0)</f>
        <v>782120</v>
      </c>
      <c r="H2209" s="27">
        <f>IFERROR(__xludf.DUMMYFUNCTION("""COMPUTED_VALUE"""),41619.645833333336)</f>
        <v>41619.64583</v>
      </c>
      <c r="I2209" s="25">
        <f>IFERROR(__xludf.DUMMYFUNCTION("""COMPUTED_VALUE"""),1039.5)</f>
        <v>1039.5</v>
      </c>
      <c r="J2209" s="25">
        <f>IFERROR(__xludf.DUMMYFUNCTION("""COMPUTED_VALUE"""),1043.43)</f>
        <v>1043.43</v>
      </c>
      <c r="K2209" s="25">
        <f>IFERROR(__xludf.DUMMYFUNCTION("""COMPUTED_VALUE"""),1021.5)</f>
        <v>1021.5</v>
      </c>
      <c r="L2209" s="25">
        <f>IFERROR(__xludf.DUMMYFUNCTION("""COMPUTED_VALUE"""),1029.03)</f>
        <v>1029.03</v>
      </c>
      <c r="M2209" s="25">
        <f>IFERROR(__xludf.DUMMYFUNCTION("""COMPUTED_VALUE"""),778031.0)</f>
        <v>778031</v>
      </c>
    </row>
    <row r="2210">
      <c r="A2210" s="26">
        <f>IFERROR(__xludf.DUMMYFUNCTION("""COMPUTED_VALUE"""),41620.645833333336)</f>
        <v>41620.64583</v>
      </c>
      <c r="B2210" s="9">
        <f>IFERROR(__xludf.DUMMYFUNCTION("""COMPUTED_VALUE"""),420.55)</f>
        <v>420.55</v>
      </c>
      <c r="C2210" s="9">
        <f>IFERROR(__xludf.DUMMYFUNCTION("""COMPUTED_VALUE"""),423.21)</f>
        <v>423.21</v>
      </c>
      <c r="D2210" s="9">
        <f>IFERROR(__xludf.DUMMYFUNCTION("""COMPUTED_VALUE"""),418.5)</f>
        <v>418.5</v>
      </c>
      <c r="E2210" s="9">
        <f>IFERROR(__xludf.DUMMYFUNCTION("""COMPUTED_VALUE"""),420.48)</f>
        <v>420.48</v>
      </c>
      <c r="F2210" s="9">
        <f>IFERROR(__xludf.DUMMYFUNCTION("""COMPUTED_VALUE"""),690029.0)</f>
        <v>690029</v>
      </c>
      <c r="H2210" s="27">
        <f>IFERROR(__xludf.DUMMYFUNCTION("""COMPUTED_VALUE"""),41620.645833333336)</f>
        <v>41620.64583</v>
      </c>
      <c r="I2210" s="25">
        <f>IFERROR(__xludf.DUMMYFUNCTION("""COMPUTED_VALUE"""),1022.5)</f>
        <v>1022.5</v>
      </c>
      <c r="J2210" s="25">
        <f>IFERROR(__xludf.DUMMYFUNCTION("""COMPUTED_VALUE"""),1032.0)</f>
        <v>1032</v>
      </c>
      <c r="K2210" s="25">
        <f>IFERROR(__xludf.DUMMYFUNCTION("""COMPUTED_VALUE"""),1012.55)</f>
        <v>1012.55</v>
      </c>
      <c r="L2210" s="25">
        <f>IFERROR(__xludf.DUMMYFUNCTION("""COMPUTED_VALUE"""),1014.45)</f>
        <v>1014.45</v>
      </c>
      <c r="M2210" s="25">
        <f>IFERROR(__xludf.DUMMYFUNCTION("""COMPUTED_VALUE"""),827982.0)</f>
        <v>827982</v>
      </c>
    </row>
    <row r="2211">
      <c r="A2211" s="26">
        <f>IFERROR(__xludf.DUMMYFUNCTION("""COMPUTED_VALUE"""),41621.645833333336)</f>
        <v>41621.64583</v>
      </c>
      <c r="B2211" s="9">
        <f>IFERROR(__xludf.DUMMYFUNCTION("""COMPUTED_VALUE"""),418.13)</f>
        <v>418.13</v>
      </c>
      <c r="C2211" s="9">
        <f>IFERROR(__xludf.DUMMYFUNCTION("""COMPUTED_VALUE"""),422.5)</f>
        <v>422.5</v>
      </c>
      <c r="D2211" s="9">
        <f>IFERROR(__xludf.DUMMYFUNCTION("""COMPUTED_VALUE"""),418.13)</f>
        <v>418.13</v>
      </c>
      <c r="E2211" s="9">
        <f>IFERROR(__xludf.DUMMYFUNCTION("""COMPUTED_VALUE"""),421.73)</f>
        <v>421.73</v>
      </c>
      <c r="F2211" s="9">
        <f>IFERROR(__xludf.DUMMYFUNCTION("""COMPUTED_VALUE"""),1039453.0)</f>
        <v>1039453</v>
      </c>
      <c r="H2211" s="27">
        <f>IFERROR(__xludf.DUMMYFUNCTION("""COMPUTED_VALUE"""),41621.645833333336)</f>
        <v>41621.64583</v>
      </c>
      <c r="I2211" s="25">
        <f>IFERROR(__xludf.DUMMYFUNCTION("""COMPUTED_VALUE"""),1018.98)</f>
        <v>1018.98</v>
      </c>
      <c r="J2211" s="25">
        <f>IFERROR(__xludf.DUMMYFUNCTION("""COMPUTED_VALUE"""),1022.5)</f>
        <v>1022.5</v>
      </c>
      <c r="K2211" s="25">
        <f>IFERROR(__xludf.DUMMYFUNCTION("""COMPUTED_VALUE"""),997.5)</f>
        <v>997.5</v>
      </c>
      <c r="L2211" s="25">
        <f>IFERROR(__xludf.DUMMYFUNCTION("""COMPUTED_VALUE"""),1000.9)</f>
        <v>1000.9</v>
      </c>
      <c r="M2211" s="25">
        <f>IFERROR(__xludf.DUMMYFUNCTION("""COMPUTED_VALUE"""),1731675.0)</f>
        <v>1731675</v>
      </c>
    </row>
    <row r="2212">
      <c r="A2212" s="26">
        <f>IFERROR(__xludf.DUMMYFUNCTION("""COMPUTED_VALUE"""),41624.645833333336)</f>
        <v>41624.64583</v>
      </c>
      <c r="B2212" s="9">
        <f>IFERROR(__xludf.DUMMYFUNCTION("""COMPUTED_VALUE"""),422.5)</f>
        <v>422.5</v>
      </c>
      <c r="C2212" s="9">
        <f>IFERROR(__xludf.DUMMYFUNCTION("""COMPUTED_VALUE"""),433.0)</f>
        <v>433</v>
      </c>
      <c r="D2212" s="9">
        <f>IFERROR(__xludf.DUMMYFUNCTION("""COMPUTED_VALUE"""),419.23)</f>
        <v>419.23</v>
      </c>
      <c r="E2212" s="9">
        <f>IFERROR(__xludf.DUMMYFUNCTION("""COMPUTED_VALUE"""),431.53)</f>
        <v>431.53</v>
      </c>
      <c r="F2212" s="9">
        <f>IFERROR(__xludf.DUMMYFUNCTION("""COMPUTED_VALUE"""),1264712.0)</f>
        <v>1264712</v>
      </c>
      <c r="H2212" s="27">
        <f>IFERROR(__xludf.DUMMYFUNCTION("""COMPUTED_VALUE"""),41624.645833333336)</f>
        <v>41624.64583</v>
      </c>
      <c r="I2212" s="25">
        <f>IFERROR(__xludf.DUMMYFUNCTION("""COMPUTED_VALUE"""),1006.85)</f>
        <v>1006.85</v>
      </c>
      <c r="J2212" s="25">
        <f>IFERROR(__xludf.DUMMYFUNCTION("""COMPUTED_VALUE"""),1019.9)</f>
        <v>1019.9</v>
      </c>
      <c r="K2212" s="25">
        <f>IFERROR(__xludf.DUMMYFUNCTION("""COMPUTED_VALUE"""),1002.58)</f>
        <v>1002.58</v>
      </c>
      <c r="L2212" s="25">
        <f>IFERROR(__xludf.DUMMYFUNCTION("""COMPUTED_VALUE"""),1009.58)</f>
        <v>1009.58</v>
      </c>
      <c r="M2212" s="25">
        <f>IFERROR(__xludf.DUMMYFUNCTION("""COMPUTED_VALUE"""),1429250.0)</f>
        <v>1429250</v>
      </c>
    </row>
    <row r="2213">
      <c r="A2213" s="26">
        <f>IFERROR(__xludf.DUMMYFUNCTION("""COMPUTED_VALUE"""),41625.645833333336)</f>
        <v>41625.64583</v>
      </c>
      <c r="B2213" s="9">
        <f>IFERROR(__xludf.DUMMYFUNCTION("""COMPUTED_VALUE"""),430.64)</f>
        <v>430.64</v>
      </c>
      <c r="C2213" s="9">
        <f>IFERROR(__xludf.DUMMYFUNCTION("""COMPUTED_VALUE"""),435.61)</f>
        <v>435.61</v>
      </c>
      <c r="D2213" s="9">
        <f>IFERROR(__xludf.DUMMYFUNCTION("""COMPUTED_VALUE"""),430.64)</f>
        <v>430.64</v>
      </c>
      <c r="E2213" s="9">
        <f>IFERROR(__xludf.DUMMYFUNCTION("""COMPUTED_VALUE"""),432.04)</f>
        <v>432.04</v>
      </c>
      <c r="F2213" s="9">
        <f>IFERROR(__xludf.DUMMYFUNCTION("""COMPUTED_VALUE"""),1339244.0)</f>
        <v>1339244</v>
      </c>
      <c r="H2213" s="27">
        <f>IFERROR(__xludf.DUMMYFUNCTION("""COMPUTED_VALUE"""),41625.645833333336)</f>
        <v>41625.64583</v>
      </c>
      <c r="I2213" s="25">
        <f>IFERROR(__xludf.DUMMYFUNCTION("""COMPUTED_VALUE"""),1015.8)</f>
        <v>1015.8</v>
      </c>
      <c r="J2213" s="25">
        <f>IFERROR(__xludf.DUMMYFUNCTION("""COMPUTED_VALUE"""),1032.93)</f>
        <v>1032.93</v>
      </c>
      <c r="K2213" s="25">
        <f>IFERROR(__xludf.DUMMYFUNCTION("""COMPUTED_VALUE"""),1015.0)</f>
        <v>1015</v>
      </c>
      <c r="L2213" s="25">
        <f>IFERROR(__xludf.DUMMYFUNCTION("""COMPUTED_VALUE"""),1022.68)</f>
        <v>1022.68</v>
      </c>
      <c r="M2213" s="25">
        <f>IFERROR(__xludf.DUMMYFUNCTION("""COMPUTED_VALUE"""),1497737.0)</f>
        <v>1497737</v>
      </c>
    </row>
    <row r="2214">
      <c r="A2214" s="26">
        <f>IFERROR(__xludf.DUMMYFUNCTION("""COMPUTED_VALUE"""),41626.645833333336)</f>
        <v>41626.64583</v>
      </c>
      <c r="B2214" s="9">
        <f>IFERROR(__xludf.DUMMYFUNCTION("""COMPUTED_VALUE"""),431.25)</f>
        <v>431.25</v>
      </c>
      <c r="C2214" s="9">
        <f>IFERROR(__xludf.DUMMYFUNCTION("""COMPUTED_VALUE"""),434.22)</f>
        <v>434.22</v>
      </c>
      <c r="D2214" s="9">
        <f>IFERROR(__xludf.DUMMYFUNCTION("""COMPUTED_VALUE"""),430.94)</f>
        <v>430.94</v>
      </c>
      <c r="E2214" s="9">
        <f>IFERROR(__xludf.DUMMYFUNCTION("""COMPUTED_VALUE"""),432.18)</f>
        <v>432.18</v>
      </c>
      <c r="F2214" s="9">
        <f>IFERROR(__xludf.DUMMYFUNCTION("""COMPUTED_VALUE"""),1147918.0)</f>
        <v>1147918</v>
      </c>
      <c r="H2214" s="27">
        <f>IFERROR(__xludf.DUMMYFUNCTION("""COMPUTED_VALUE"""),41626.645833333336)</f>
        <v>41626.64583</v>
      </c>
      <c r="I2214" s="25">
        <f>IFERROR(__xludf.DUMMYFUNCTION("""COMPUTED_VALUE"""),1020.0)</f>
        <v>1020</v>
      </c>
      <c r="J2214" s="25">
        <f>IFERROR(__xludf.DUMMYFUNCTION("""COMPUTED_VALUE"""),1035.5)</f>
        <v>1035.5</v>
      </c>
      <c r="K2214" s="25">
        <f>IFERROR(__xludf.DUMMYFUNCTION("""COMPUTED_VALUE"""),1019.0)</f>
        <v>1019</v>
      </c>
      <c r="L2214" s="25">
        <f>IFERROR(__xludf.DUMMYFUNCTION("""COMPUTED_VALUE"""),1027.9)</f>
        <v>1027.9</v>
      </c>
      <c r="M2214" s="25">
        <f>IFERROR(__xludf.DUMMYFUNCTION("""COMPUTED_VALUE"""),793995.0)</f>
        <v>793995</v>
      </c>
    </row>
    <row r="2215">
      <c r="A2215" s="26">
        <f>IFERROR(__xludf.DUMMYFUNCTION("""COMPUTED_VALUE"""),41627.645833333336)</f>
        <v>41627.64583</v>
      </c>
      <c r="B2215" s="9">
        <f>IFERROR(__xludf.DUMMYFUNCTION("""COMPUTED_VALUE"""),432.81)</f>
        <v>432.81</v>
      </c>
      <c r="C2215" s="9">
        <f>IFERROR(__xludf.DUMMYFUNCTION("""COMPUTED_VALUE"""),443.12)</f>
        <v>443.12</v>
      </c>
      <c r="D2215" s="9">
        <f>IFERROR(__xludf.DUMMYFUNCTION("""COMPUTED_VALUE"""),431.88)</f>
        <v>431.88</v>
      </c>
      <c r="E2215" s="9">
        <f>IFERROR(__xludf.DUMMYFUNCTION("""COMPUTED_VALUE"""),439.03)</f>
        <v>439.03</v>
      </c>
      <c r="F2215" s="9">
        <f>IFERROR(__xludf.DUMMYFUNCTION("""COMPUTED_VALUE"""),916432.0)</f>
        <v>916432</v>
      </c>
      <c r="H2215" s="27">
        <f>IFERROR(__xludf.DUMMYFUNCTION("""COMPUTED_VALUE"""),41627.645833333336)</f>
        <v>41627.64583</v>
      </c>
      <c r="I2215" s="25">
        <f>IFERROR(__xludf.DUMMYFUNCTION("""COMPUTED_VALUE"""),1037.97)</f>
        <v>1037.97</v>
      </c>
      <c r="J2215" s="25">
        <f>IFERROR(__xludf.DUMMYFUNCTION("""COMPUTED_VALUE"""),1055.0)</f>
        <v>1055</v>
      </c>
      <c r="K2215" s="25">
        <f>IFERROR(__xludf.DUMMYFUNCTION("""COMPUTED_VALUE"""),1031.32)</f>
        <v>1031.32</v>
      </c>
      <c r="L2215" s="25">
        <f>IFERROR(__xludf.DUMMYFUNCTION("""COMPUTED_VALUE"""),1040.75)</f>
        <v>1040.75</v>
      </c>
      <c r="M2215" s="25">
        <f>IFERROR(__xludf.DUMMYFUNCTION("""COMPUTED_VALUE"""),1080993.0)</f>
        <v>1080993</v>
      </c>
    </row>
    <row r="2216">
      <c r="A2216" s="26">
        <f>IFERROR(__xludf.DUMMYFUNCTION("""COMPUTED_VALUE"""),41628.645833333336)</f>
        <v>41628.64583</v>
      </c>
      <c r="B2216" s="9">
        <f>IFERROR(__xludf.DUMMYFUNCTION("""COMPUTED_VALUE"""),440.63)</f>
        <v>440.63</v>
      </c>
      <c r="C2216" s="9">
        <f>IFERROR(__xludf.DUMMYFUNCTION("""COMPUTED_VALUE"""),446.63)</f>
        <v>446.63</v>
      </c>
      <c r="D2216" s="9">
        <f>IFERROR(__xludf.DUMMYFUNCTION("""COMPUTED_VALUE"""),438.55)</f>
        <v>438.55</v>
      </c>
      <c r="E2216" s="9">
        <f>IFERROR(__xludf.DUMMYFUNCTION("""COMPUTED_VALUE"""),443.92)</f>
        <v>443.92</v>
      </c>
      <c r="F2216" s="9">
        <f>IFERROR(__xludf.DUMMYFUNCTION("""COMPUTED_VALUE"""),1085682.0)</f>
        <v>1085682</v>
      </c>
      <c r="H2216" s="27">
        <f>IFERROR(__xludf.DUMMYFUNCTION("""COMPUTED_VALUE"""),41628.645833333336)</f>
        <v>41628.64583</v>
      </c>
      <c r="I2216" s="25">
        <f>IFERROR(__xludf.DUMMYFUNCTION("""COMPUTED_VALUE"""),1044.05)</f>
        <v>1044.05</v>
      </c>
      <c r="J2216" s="25">
        <f>IFERROR(__xludf.DUMMYFUNCTION("""COMPUTED_VALUE"""),1065.0)</f>
        <v>1065</v>
      </c>
      <c r="K2216" s="25">
        <f>IFERROR(__xludf.DUMMYFUNCTION("""COMPUTED_VALUE"""),1042.93)</f>
        <v>1042.93</v>
      </c>
      <c r="L2216" s="25">
        <f>IFERROR(__xludf.DUMMYFUNCTION("""COMPUTED_VALUE"""),1060.28)</f>
        <v>1060.28</v>
      </c>
      <c r="M2216" s="25">
        <f>IFERROR(__xludf.DUMMYFUNCTION("""COMPUTED_VALUE"""),982906.0)</f>
        <v>982906</v>
      </c>
    </row>
    <row r="2217">
      <c r="A2217" s="26">
        <f>IFERROR(__xludf.DUMMYFUNCTION("""COMPUTED_VALUE"""),41631.645833333336)</f>
        <v>41631.64583</v>
      </c>
      <c r="B2217" s="9">
        <f>IFERROR(__xludf.DUMMYFUNCTION("""COMPUTED_VALUE"""),437.5)</f>
        <v>437.5</v>
      </c>
      <c r="C2217" s="9">
        <f>IFERROR(__xludf.DUMMYFUNCTION("""COMPUTED_VALUE"""),442.49)</f>
        <v>442.49</v>
      </c>
      <c r="D2217" s="9">
        <f>IFERROR(__xludf.DUMMYFUNCTION("""COMPUTED_VALUE"""),432.57)</f>
        <v>432.57</v>
      </c>
      <c r="E2217" s="9">
        <f>IFERROR(__xludf.DUMMYFUNCTION("""COMPUTED_VALUE"""),433.56)</f>
        <v>433.56</v>
      </c>
      <c r="F2217" s="9">
        <f>IFERROR(__xludf.DUMMYFUNCTION("""COMPUTED_VALUE"""),1105738.0)</f>
        <v>1105738</v>
      </c>
      <c r="H2217" s="27">
        <f>IFERROR(__xludf.DUMMYFUNCTION("""COMPUTED_VALUE"""),41631.645833333336)</f>
        <v>41631.64583</v>
      </c>
      <c r="I2217" s="25">
        <f>IFERROR(__xludf.DUMMYFUNCTION("""COMPUTED_VALUE"""),1064.97)</f>
        <v>1064.97</v>
      </c>
      <c r="J2217" s="25">
        <f>IFERROR(__xludf.DUMMYFUNCTION("""COMPUTED_VALUE"""),1071.72)</f>
        <v>1071.72</v>
      </c>
      <c r="K2217" s="25">
        <f>IFERROR(__xludf.DUMMYFUNCTION("""COMPUTED_VALUE"""),1048.97)</f>
        <v>1048.97</v>
      </c>
      <c r="L2217" s="25">
        <f>IFERROR(__xludf.DUMMYFUNCTION("""COMPUTED_VALUE"""),1054.53)</f>
        <v>1054.53</v>
      </c>
      <c r="M2217" s="25">
        <f>IFERROR(__xludf.DUMMYFUNCTION("""COMPUTED_VALUE"""),660612.0)</f>
        <v>660612</v>
      </c>
    </row>
    <row r="2218">
      <c r="A2218" s="26">
        <f>IFERROR(__xludf.DUMMYFUNCTION("""COMPUTED_VALUE"""),41632.645833333336)</f>
        <v>41632.64583</v>
      </c>
      <c r="B2218" s="9">
        <f>IFERROR(__xludf.DUMMYFUNCTION("""COMPUTED_VALUE"""),435.75)</f>
        <v>435.75</v>
      </c>
      <c r="C2218" s="9">
        <f>IFERROR(__xludf.DUMMYFUNCTION("""COMPUTED_VALUE"""),437.86)</f>
        <v>437.86</v>
      </c>
      <c r="D2218" s="9">
        <f>IFERROR(__xludf.DUMMYFUNCTION("""COMPUTED_VALUE"""),433.26)</f>
        <v>433.26</v>
      </c>
      <c r="E2218" s="9">
        <f>IFERROR(__xludf.DUMMYFUNCTION("""COMPUTED_VALUE"""),435.8)</f>
        <v>435.8</v>
      </c>
      <c r="F2218" s="9">
        <f>IFERROR(__xludf.DUMMYFUNCTION("""COMPUTED_VALUE"""),888739.0)</f>
        <v>888739</v>
      </c>
      <c r="H2218" s="27">
        <f>IFERROR(__xludf.DUMMYFUNCTION("""COMPUTED_VALUE"""),41632.645833333336)</f>
        <v>41632.64583</v>
      </c>
      <c r="I2218" s="25">
        <f>IFERROR(__xludf.DUMMYFUNCTION("""COMPUTED_VALUE"""),1059.9)</f>
        <v>1059.9</v>
      </c>
      <c r="J2218" s="25">
        <f>IFERROR(__xludf.DUMMYFUNCTION("""COMPUTED_VALUE"""),1064.5)</f>
        <v>1064.5</v>
      </c>
      <c r="K2218" s="25">
        <f>IFERROR(__xludf.DUMMYFUNCTION("""COMPUTED_VALUE"""),1052.13)</f>
        <v>1052.13</v>
      </c>
      <c r="L2218" s="25">
        <f>IFERROR(__xludf.DUMMYFUNCTION("""COMPUTED_VALUE"""),1055.35)</f>
        <v>1055.35</v>
      </c>
      <c r="M2218" s="25">
        <f>IFERROR(__xludf.DUMMYFUNCTION("""COMPUTED_VALUE"""),435078.0)</f>
        <v>435078</v>
      </c>
    </row>
    <row r="2219">
      <c r="A2219" s="26">
        <f>IFERROR(__xludf.DUMMYFUNCTION("""COMPUTED_VALUE"""),41634.645833333336)</f>
        <v>41634.64583</v>
      </c>
      <c r="B2219" s="9">
        <f>IFERROR(__xludf.DUMMYFUNCTION("""COMPUTED_VALUE"""),435.88)</f>
        <v>435.88</v>
      </c>
      <c r="C2219" s="9">
        <f>IFERROR(__xludf.DUMMYFUNCTION("""COMPUTED_VALUE"""),441.8)</f>
        <v>441.8</v>
      </c>
      <c r="D2219" s="9">
        <f>IFERROR(__xludf.DUMMYFUNCTION("""COMPUTED_VALUE"""),435.47)</f>
        <v>435.47</v>
      </c>
      <c r="E2219" s="9">
        <f>IFERROR(__xludf.DUMMYFUNCTION("""COMPUTED_VALUE"""),440.08)</f>
        <v>440.08</v>
      </c>
      <c r="F2219" s="9">
        <f>IFERROR(__xludf.DUMMYFUNCTION("""COMPUTED_VALUE"""),858741.0)</f>
        <v>858741</v>
      </c>
      <c r="H2219" s="27">
        <f>IFERROR(__xludf.DUMMYFUNCTION("""COMPUTED_VALUE"""),41634.645833333336)</f>
        <v>41634.64583</v>
      </c>
      <c r="I2219" s="25">
        <f>IFERROR(__xludf.DUMMYFUNCTION("""COMPUTED_VALUE"""),1057.5)</f>
        <v>1057.5</v>
      </c>
      <c r="J2219" s="25">
        <f>IFERROR(__xludf.DUMMYFUNCTION("""COMPUTED_VALUE"""),1058.5)</f>
        <v>1058.5</v>
      </c>
      <c r="K2219" s="25">
        <f>IFERROR(__xludf.DUMMYFUNCTION("""COMPUTED_VALUE"""),1045.72)</f>
        <v>1045.72</v>
      </c>
      <c r="L2219" s="25">
        <f>IFERROR(__xludf.DUMMYFUNCTION("""COMPUTED_VALUE"""),1050.15)</f>
        <v>1050.15</v>
      </c>
      <c r="M2219" s="25">
        <f>IFERROR(__xludf.DUMMYFUNCTION("""COMPUTED_VALUE"""),1148597.0)</f>
        <v>1148597</v>
      </c>
    </row>
    <row r="2220">
      <c r="A2220" s="26">
        <f>IFERROR(__xludf.DUMMYFUNCTION("""COMPUTED_VALUE"""),41635.645833333336)</f>
        <v>41635.64583</v>
      </c>
      <c r="B2220" s="9">
        <f>IFERROR(__xludf.DUMMYFUNCTION("""COMPUTED_VALUE"""),441.25)</f>
        <v>441.25</v>
      </c>
      <c r="C2220" s="9">
        <f>IFERROR(__xludf.DUMMYFUNCTION("""COMPUTED_VALUE"""),446.5)</f>
        <v>446.5</v>
      </c>
      <c r="D2220" s="9">
        <f>IFERROR(__xludf.DUMMYFUNCTION("""COMPUTED_VALUE"""),441.24)</f>
        <v>441.24</v>
      </c>
      <c r="E2220" s="9">
        <f>IFERROR(__xludf.DUMMYFUNCTION("""COMPUTED_VALUE"""),445.16)</f>
        <v>445.16</v>
      </c>
      <c r="F2220" s="9">
        <f>IFERROR(__xludf.DUMMYFUNCTION("""COMPUTED_VALUE"""),922758.0)</f>
        <v>922758</v>
      </c>
      <c r="H2220" s="27">
        <f>IFERROR(__xludf.DUMMYFUNCTION("""COMPUTED_VALUE"""),41635.645833333336)</f>
        <v>41635.64583</v>
      </c>
      <c r="I2220" s="25">
        <f>IFERROR(__xludf.DUMMYFUNCTION("""COMPUTED_VALUE"""),1053.5)</f>
        <v>1053.5</v>
      </c>
      <c r="J2220" s="25">
        <f>IFERROR(__xludf.DUMMYFUNCTION("""COMPUTED_VALUE"""),1084.95)</f>
        <v>1084.95</v>
      </c>
      <c r="K2220" s="25">
        <f>IFERROR(__xludf.DUMMYFUNCTION("""COMPUTED_VALUE"""),1052.5)</f>
        <v>1052.5</v>
      </c>
      <c r="L2220" s="25">
        <f>IFERROR(__xludf.DUMMYFUNCTION("""COMPUTED_VALUE"""),1080.32)</f>
        <v>1080.32</v>
      </c>
      <c r="M2220" s="25">
        <f>IFERROR(__xludf.DUMMYFUNCTION("""COMPUTED_VALUE"""),1239973.0)</f>
        <v>1239973</v>
      </c>
    </row>
    <row r="2221">
      <c r="A2221" s="26">
        <f>IFERROR(__xludf.DUMMYFUNCTION("""COMPUTED_VALUE"""),41638.645833333336)</f>
        <v>41638.64583</v>
      </c>
      <c r="B2221" s="9">
        <f>IFERROR(__xludf.DUMMYFUNCTION("""COMPUTED_VALUE"""),445.96)</f>
        <v>445.96</v>
      </c>
      <c r="C2221" s="9">
        <f>IFERROR(__xludf.DUMMYFUNCTION("""COMPUTED_VALUE"""),446.88)</f>
        <v>446.88</v>
      </c>
      <c r="D2221" s="9">
        <f>IFERROR(__xludf.DUMMYFUNCTION("""COMPUTED_VALUE"""),434.38)</f>
        <v>434.38</v>
      </c>
      <c r="E2221" s="9">
        <f>IFERROR(__xludf.DUMMYFUNCTION("""COMPUTED_VALUE"""),437.79)</f>
        <v>437.79</v>
      </c>
      <c r="F2221" s="9">
        <f>IFERROR(__xludf.DUMMYFUNCTION("""COMPUTED_VALUE"""),1482929.0)</f>
        <v>1482929</v>
      </c>
      <c r="H2221" s="27">
        <f>IFERROR(__xludf.DUMMYFUNCTION("""COMPUTED_VALUE"""),41638.645833333336)</f>
        <v>41638.64583</v>
      </c>
      <c r="I2221" s="25">
        <f>IFERROR(__xludf.DUMMYFUNCTION("""COMPUTED_VALUE"""),1085.0)</f>
        <v>1085</v>
      </c>
      <c r="J2221" s="25">
        <f>IFERROR(__xludf.DUMMYFUNCTION("""COMPUTED_VALUE"""),1087.63)</f>
        <v>1087.63</v>
      </c>
      <c r="K2221" s="25">
        <f>IFERROR(__xludf.DUMMYFUNCTION("""COMPUTED_VALUE"""),1073.35)</f>
        <v>1073.35</v>
      </c>
      <c r="L2221" s="25">
        <f>IFERROR(__xludf.DUMMYFUNCTION("""COMPUTED_VALUE"""),1078.03)</f>
        <v>1078.03</v>
      </c>
      <c r="M2221" s="25">
        <f>IFERROR(__xludf.DUMMYFUNCTION("""COMPUTED_VALUE"""),834388.0)</f>
        <v>834388</v>
      </c>
    </row>
    <row r="2222">
      <c r="A2222" s="26">
        <f>IFERROR(__xludf.DUMMYFUNCTION("""COMPUTED_VALUE"""),41639.645833333336)</f>
        <v>41639.64583</v>
      </c>
      <c r="B2222" s="9">
        <f>IFERROR(__xludf.DUMMYFUNCTION("""COMPUTED_VALUE"""),437.5)</f>
        <v>437.5</v>
      </c>
      <c r="C2222" s="9">
        <f>IFERROR(__xludf.DUMMYFUNCTION("""COMPUTED_VALUE"""),440.21)</f>
        <v>440.21</v>
      </c>
      <c r="D2222" s="9">
        <f>IFERROR(__xludf.DUMMYFUNCTION("""COMPUTED_VALUE"""),435.03)</f>
        <v>435.03</v>
      </c>
      <c r="E2222" s="9">
        <f>IFERROR(__xludf.DUMMYFUNCTION("""COMPUTED_VALUE"""),435.71)</f>
        <v>435.71</v>
      </c>
      <c r="F2222" s="9">
        <f>IFERROR(__xludf.DUMMYFUNCTION("""COMPUTED_VALUE"""),448851.0)</f>
        <v>448851</v>
      </c>
      <c r="H2222" s="27">
        <f>IFERROR(__xludf.DUMMYFUNCTION("""COMPUTED_VALUE"""),41639.645833333336)</f>
        <v>41639.64583</v>
      </c>
      <c r="I2222" s="25">
        <f>IFERROR(__xludf.DUMMYFUNCTION("""COMPUTED_VALUE"""),1080.05)</f>
        <v>1080.05</v>
      </c>
      <c r="J2222" s="25">
        <f>IFERROR(__xludf.DUMMYFUNCTION("""COMPUTED_VALUE"""),1092.47)</f>
        <v>1092.47</v>
      </c>
      <c r="K2222" s="25">
        <f>IFERROR(__xludf.DUMMYFUNCTION("""COMPUTED_VALUE"""),1075.45)</f>
        <v>1075.45</v>
      </c>
      <c r="L2222" s="25">
        <f>IFERROR(__xludf.DUMMYFUNCTION("""COMPUTED_VALUE"""),1086.03)</f>
        <v>1086.03</v>
      </c>
      <c r="M2222" s="25">
        <f>IFERROR(__xludf.DUMMYFUNCTION("""COMPUTED_VALUE"""),622888.0)</f>
        <v>622888</v>
      </c>
    </row>
    <row r="2223">
      <c r="A2223" s="26">
        <f>IFERROR(__xludf.DUMMYFUNCTION("""COMPUTED_VALUE"""),41640.645833333336)</f>
        <v>41640.64583</v>
      </c>
      <c r="B2223" s="9">
        <f>IFERROR(__xludf.DUMMYFUNCTION("""COMPUTED_VALUE"""),436.5)</f>
        <v>436.5</v>
      </c>
      <c r="C2223" s="9">
        <f>IFERROR(__xludf.DUMMYFUNCTION("""COMPUTED_VALUE"""),437.38)</f>
        <v>437.38</v>
      </c>
      <c r="D2223" s="9">
        <f>IFERROR(__xludf.DUMMYFUNCTION("""COMPUTED_VALUE"""),432.76)</f>
        <v>432.76</v>
      </c>
      <c r="E2223" s="9">
        <f>IFERROR(__xludf.DUMMYFUNCTION("""COMPUTED_VALUE"""),433.5)</f>
        <v>433.5</v>
      </c>
      <c r="F2223" s="9">
        <f>IFERROR(__xludf.DUMMYFUNCTION("""COMPUTED_VALUE"""),184836.0)</f>
        <v>184836</v>
      </c>
      <c r="H2223" s="27">
        <f>IFERROR(__xludf.DUMMYFUNCTION("""COMPUTED_VALUE"""),41640.645833333336)</f>
        <v>41640.64583</v>
      </c>
      <c r="I2223" s="25">
        <f>IFERROR(__xludf.DUMMYFUNCTION("""COMPUTED_VALUE"""),1090.05)</f>
        <v>1090.05</v>
      </c>
      <c r="J2223" s="25">
        <f>IFERROR(__xludf.DUMMYFUNCTION("""COMPUTED_VALUE"""),1092.25)</f>
        <v>1092.25</v>
      </c>
      <c r="K2223" s="25">
        <f>IFERROR(__xludf.DUMMYFUNCTION("""COMPUTED_VALUE"""),1075.55)</f>
        <v>1075.55</v>
      </c>
      <c r="L2223" s="25">
        <f>IFERROR(__xludf.DUMMYFUNCTION("""COMPUTED_VALUE"""),1076.65)</f>
        <v>1076.65</v>
      </c>
      <c r="M2223" s="25">
        <f>IFERROR(__xludf.DUMMYFUNCTION("""COMPUTED_VALUE"""),264976.0)</f>
        <v>264976</v>
      </c>
    </row>
    <row r="2224">
      <c r="A2224" s="26">
        <f>IFERROR(__xludf.DUMMYFUNCTION("""COMPUTED_VALUE"""),41641.645833333336)</f>
        <v>41641.64583</v>
      </c>
      <c r="B2224" s="9">
        <f>IFERROR(__xludf.DUMMYFUNCTION("""COMPUTED_VALUE"""),432.91)</f>
        <v>432.91</v>
      </c>
      <c r="C2224" s="9">
        <f>IFERROR(__xludf.DUMMYFUNCTION("""COMPUTED_VALUE"""),438.5)</f>
        <v>438.5</v>
      </c>
      <c r="D2224" s="9">
        <f>IFERROR(__xludf.DUMMYFUNCTION("""COMPUTED_VALUE"""),432.91)</f>
        <v>432.91</v>
      </c>
      <c r="E2224" s="9">
        <f>IFERROR(__xludf.DUMMYFUNCTION("""COMPUTED_VALUE"""),435.07)</f>
        <v>435.07</v>
      </c>
      <c r="F2224" s="9">
        <f>IFERROR(__xludf.DUMMYFUNCTION("""COMPUTED_VALUE"""),550593.0)</f>
        <v>550593</v>
      </c>
      <c r="H2224" s="27">
        <f>IFERROR(__xludf.DUMMYFUNCTION("""COMPUTED_VALUE"""),41641.645833333336)</f>
        <v>41641.64583</v>
      </c>
      <c r="I2224" s="25">
        <f>IFERROR(__xludf.DUMMYFUNCTION("""COMPUTED_VALUE"""),1083.0)</f>
        <v>1083</v>
      </c>
      <c r="J2224" s="25">
        <f>IFERROR(__xludf.DUMMYFUNCTION("""COMPUTED_VALUE"""),1094.5)</f>
        <v>1094.5</v>
      </c>
      <c r="K2224" s="25">
        <f>IFERROR(__xludf.DUMMYFUNCTION("""COMPUTED_VALUE"""),1078.07)</f>
        <v>1078.07</v>
      </c>
      <c r="L2224" s="25">
        <f>IFERROR(__xludf.DUMMYFUNCTION("""COMPUTED_VALUE"""),1083.5)</f>
        <v>1083.5</v>
      </c>
      <c r="M2224" s="25">
        <f>IFERROR(__xludf.DUMMYFUNCTION("""COMPUTED_VALUE"""),863474.0)</f>
        <v>863474</v>
      </c>
    </row>
    <row r="2225">
      <c r="A2225" s="26">
        <f>IFERROR(__xludf.DUMMYFUNCTION("""COMPUTED_VALUE"""),41642.645833333336)</f>
        <v>41642.64583</v>
      </c>
      <c r="B2225" s="9">
        <f>IFERROR(__xludf.DUMMYFUNCTION("""COMPUTED_VALUE"""),434.38)</f>
        <v>434.38</v>
      </c>
      <c r="C2225" s="9">
        <f>IFERROR(__xludf.DUMMYFUNCTION("""COMPUTED_VALUE"""),446.88)</f>
        <v>446.88</v>
      </c>
      <c r="D2225" s="9">
        <f>IFERROR(__xludf.DUMMYFUNCTION("""COMPUTED_VALUE"""),431.78)</f>
        <v>431.78</v>
      </c>
      <c r="E2225" s="9">
        <f>IFERROR(__xludf.DUMMYFUNCTION("""COMPUTED_VALUE"""),445.64)</f>
        <v>445.64</v>
      </c>
      <c r="F2225" s="9">
        <f>IFERROR(__xludf.DUMMYFUNCTION("""COMPUTED_VALUE"""),1255793.0)</f>
        <v>1255793</v>
      </c>
      <c r="H2225" s="27">
        <f>IFERROR(__xludf.DUMMYFUNCTION("""COMPUTED_VALUE"""),41642.645833333336)</f>
        <v>41642.64583</v>
      </c>
      <c r="I2225" s="25">
        <f>IFERROR(__xludf.DUMMYFUNCTION("""COMPUTED_VALUE"""),1082.35)</f>
        <v>1082.35</v>
      </c>
      <c r="J2225" s="25">
        <f>IFERROR(__xludf.DUMMYFUNCTION("""COMPUTED_VALUE"""),1114.55)</f>
        <v>1114.55</v>
      </c>
      <c r="K2225" s="25">
        <f>IFERROR(__xludf.DUMMYFUNCTION("""COMPUTED_VALUE"""),1073.63)</f>
        <v>1073.63</v>
      </c>
      <c r="L2225" s="25">
        <f>IFERROR(__xludf.DUMMYFUNCTION("""COMPUTED_VALUE"""),1111.1)</f>
        <v>1111.1</v>
      </c>
      <c r="M2225" s="25">
        <f>IFERROR(__xludf.DUMMYFUNCTION("""COMPUTED_VALUE"""),1309087.0)</f>
        <v>1309087</v>
      </c>
    </row>
    <row r="2226">
      <c r="A2226" s="26">
        <f>IFERROR(__xludf.DUMMYFUNCTION("""COMPUTED_VALUE"""),41645.645833333336)</f>
        <v>41645.64583</v>
      </c>
      <c r="B2226" s="9">
        <f>IFERROR(__xludf.DUMMYFUNCTION("""COMPUTED_VALUE"""),446.89)</f>
        <v>446.89</v>
      </c>
      <c r="C2226" s="9">
        <f>IFERROR(__xludf.DUMMYFUNCTION("""COMPUTED_VALUE"""),447.56)</f>
        <v>447.56</v>
      </c>
      <c r="D2226" s="9">
        <f>IFERROR(__xludf.DUMMYFUNCTION("""COMPUTED_VALUE"""),433.58)</f>
        <v>433.58</v>
      </c>
      <c r="E2226" s="9">
        <f>IFERROR(__xludf.DUMMYFUNCTION("""COMPUTED_VALUE"""),439.74)</f>
        <v>439.74</v>
      </c>
      <c r="F2226" s="9">
        <f>IFERROR(__xludf.DUMMYFUNCTION("""COMPUTED_VALUE"""),1387291.0)</f>
        <v>1387291</v>
      </c>
      <c r="H2226" s="27">
        <f>IFERROR(__xludf.DUMMYFUNCTION("""COMPUTED_VALUE"""),41645.645833333336)</f>
        <v>41645.64583</v>
      </c>
      <c r="I2226" s="25">
        <f>IFERROR(__xludf.DUMMYFUNCTION("""COMPUTED_VALUE"""),1114.5)</f>
        <v>1114.5</v>
      </c>
      <c r="J2226" s="25">
        <f>IFERROR(__xludf.DUMMYFUNCTION("""COMPUTED_VALUE"""),1122.0)</f>
        <v>1122</v>
      </c>
      <c r="K2226" s="25">
        <f>IFERROR(__xludf.DUMMYFUNCTION("""COMPUTED_VALUE"""),1098.5)</f>
        <v>1098.5</v>
      </c>
      <c r="L2226" s="25">
        <f>IFERROR(__xludf.DUMMYFUNCTION("""COMPUTED_VALUE"""),1119.8)</f>
        <v>1119.8</v>
      </c>
      <c r="M2226" s="25">
        <f>IFERROR(__xludf.DUMMYFUNCTION("""COMPUTED_VALUE"""),1155905.0)</f>
        <v>1155905</v>
      </c>
    </row>
    <row r="2227">
      <c r="A2227" s="26">
        <f>IFERROR(__xludf.DUMMYFUNCTION("""COMPUTED_VALUE"""),41646.645833333336)</f>
        <v>41646.64583</v>
      </c>
      <c r="B2227" s="9">
        <f>IFERROR(__xludf.DUMMYFUNCTION("""COMPUTED_VALUE"""),439.88)</f>
        <v>439.88</v>
      </c>
      <c r="C2227" s="9">
        <f>IFERROR(__xludf.DUMMYFUNCTION("""COMPUTED_VALUE"""),440.74)</f>
        <v>440.74</v>
      </c>
      <c r="D2227" s="9">
        <f>IFERROR(__xludf.DUMMYFUNCTION("""COMPUTED_VALUE"""),430.84)</f>
        <v>430.84</v>
      </c>
      <c r="E2227" s="9">
        <f>IFERROR(__xludf.DUMMYFUNCTION("""COMPUTED_VALUE"""),432.14)</f>
        <v>432.14</v>
      </c>
      <c r="F2227" s="9">
        <f>IFERROR(__xludf.DUMMYFUNCTION("""COMPUTED_VALUE"""),964211.0)</f>
        <v>964211</v>
      </c>
      <c r="H2227" s="27">
        <f>IFERROR(__xludf.DUMMYFUNCTION("""COMPUTED_VALUE"""),41646.645833333336)</f>
        <v>41646.64583</v>
      </c>
      <c r="I2227" s="25">
        <f>IFERROR(__xludf.DUMMYFUNCTION("""COMPUTED_VALUE"""),1120.0)</f>
        <v>1120</v>
      </c>
      <c r="J2227" s="25">
        <f>IFERROR(__xludf.DUMMYFUNCTION("""COMPUTED_VALUE"""),1128.22)</f>
        <v>1128.22</v>
      </c>
      <c r="K2227" s="25">
        <f>IFERROR(__xludf.DUMMYFUNCTION("""COMPUTED_VALUE"""),1099.5)</f>
        <v>1099.5</v>
      </c>
      <c r="L2227" s="25">
        <f>IFERROR(__xludf.DUMMYFUNCTION("""COMPUTED_VALUE"""),1103.07)</f>
        <v>1103.07</v>
      </c>
      <c r="M2227" s="25">
        <f>IFERROR(__xludf.DUMMYFUNCTION("""COMPUTED_VALUE"""),1448743.0)</f>
        <v>1448743</v>
      </c>
    </row>
    <row r="2228">
      <c r="A2228" s="26">
        <f>IFERROR(__xludf.DUMMYFUNCTION("""COMPUTED_VALUE"""),41647.645833333336)</f>
        <v>41647.64583</v>
      </c>
      <c r="B2228" s="9">
        <f>IFERROR(__xludf.DUMMYFUNCTION("""COMPUTED_VALUE"""),432.63)</f>
        <v>432.63</v>
      </c>
      <c r="C2228" s="9">
        <f>IFERROR(__xludf.DUMMYFUNCTION("""COMPUTED_VALUE"""),434.38)</f>
        <v>434.38</v>
      </c>
      <c r="D2228" s="9">
        <f>IFERROR(__xludf.DUMMYFUNCTION("""COMPUTED_VALUE"""),427.63)</f>
        <v>427.63</v>
      </c>
      <c r="E2228" s="9">
        <f>IFERROR(__xludf.DUMMYFUNCTION("""COMPUTED_VALUE"""),428.51)</f>
        <v>428.51</v>
      </c>
      <c r="F2228" s="9">
        <f>IFERROR(__xludf.DUMMYFUNCTION("""COMPUTED_VALUE"""),1123799.0)</f>
        <v>1123799</v>
      </c>
      <c r="H2228" s="27">
        <f>IFERROR(__xludf.DUMMYFUNCTION("""COMPUTED_VALUE"""),41647.645833333336)</f>
        <v>41647.64583</v>
      </c>
      <c r="I2228" s="25">
        <f>IFERROR(__xludf.DUMMYFUNCTION("""COMPUTED_VALUE"""),1106.0)</f>
        <v>1106</v>
      </c>
      <c r="J2228" s="25">
        <f>IFERROR(__xludf.DUMMYFUNCTION("""COMPUTED_VALUE"""),1122.0)</f>
        <v>1122</v>
      </c>
      <c r="K2228" s="25">
        <f>IFERROR(__xludf.DUMMYFUNCTION("""COMPUTED_VALUE"""),1105.0)</f>
        <v>1105</v>
      </c>
      <c r="L2228" s="25">
        <f>IFERROR(__xludf.DUMMYFUNCTION("""COMPUTED_VALUE"""),1116.32)</f>
        <v>1116.32</v>
      </c>
      <c r="M2228" s="25">
        <f>IFERROR(__xludf.DUMMYFUNCTION("""COMPUTED_VALUE"""),1275010.0)</f>
        <v>1275010</v>
      </c>
    </row>
    <row r="2229">
      <c r="A2229" s="26">
        <f>IFERROR(__xludf.DUMMYFUNCTION("""COMPUTED_VALUE"""),41648.645833333336)</f>
        <v>41648.64583</v>
      </c>
      <c r="B2229" s="9">
        <f>IFERROR(__xludf.DUMMYFUNCTION("""COMPUTED_VALUE"""),430.0)</f>
        <v>430</v>
      </c>
      <c r="C2229" s="9">
        <f>IFERROR(__xludf.DUMMYFUNCTION("""COMPUTED_VALUE"""),435.25)</f>
        <v>435.25</v>
      </c>
      <c r="D2229" s="9">
        <f>IFERROR(__xludf.DUMMYFUNCTION("""COMPUTED_VALUE"""),427.23)</f>
        <v>427.23</v>
      </c>
      <c r="E2229" s="9">
        <f>IFERROR(__xludf.DUMMYFUNCTION("""COMPUTED_VALUE"""),431.35)</f>
        <v>431.35</v>
      </c>
      <c r="F2229" s="9">
        <f>IFERROR(__xludf.DUMMYFUNCTION("""COMPUTED_VALUE"""),1573851.0)</f>
        <v>1573851</v>
      </c>
      <c r="H2229" s="27">
        <f>IFERROR(__xludf.DUMMYFUNCTION("""COMPUTED_VALUE"""),41648.645833333336)</f>
        <v>41648.64583</v>
      </c>
      <c r="I2229" s="25">
        <f>IFERROR(__xludf.DUMMYFUNCTION("""COMPUTED_VALUE"""),1114.38)</f>
        <v>1114.38</v>
      </c>
      <c r="J2229" s="25">
        <f>IFERROR(__xludf.DUMMYFUNCTION("""COMPUTED_VALUE"""),1127.75)</f>
        <v>1127.75</v>
      </c>
      <c r="K2229" s="25">
        <f>IFERROR(__xludf.DUMMYFUNCTION("""COMPUTED_VALUE"""),1111.05)</f>
        <v>1111.05</v>
      </c>
      <c r="L2229" s="25">
        <f>IFERROR(__xludf.DUMMYFUNCTION("""COMPUTED_VALUE"""),1120.97)</f>
        <v>1120.97</v>
      </c>
      <c r="M2229" s="25">
        <f>IFERROR(__xludf.DUMMYFUNCTION("""COMPUTED_VALUE"""),1291103.0)</f>
        <v>1291103</v>
      </c>
    </row>
    <row r="2230">
      <c r="A2230" s="26">
        <f>IFERROR(__xludf.DUMMYFUNCTION("""COMPUTED_VALUE"""),41649.645833333336)</f>
        <v>41649.64583</v>
      </c>
      <c r="B2230" s="9">
        <f>IFERROR(__xludf.DUMMYFUNCTION("""COMPUTED_VALUE"""),436.25)</f>
        <v>436.25</v>
      </c>
      <c r="C2230" s="9">
        <f>IFERROR(__xludf.DUMMYFUNCTION("""COMPUTED_VALUE"""),446.88)</f>
        <v>446.88</v>
      </c>
      <c r="D2230" s="9">
        <f>IFERROR(__xludf.DUMMYFUNCTION("""COMPUTED_VALUE"""),431.0)</f>
        <v>431</v>
      </c>
      <c r="E2230" s="9">
        <f>IFERROR(__xludf.DUMMYFUNCTION("""COMPUTED_VALUE"""),443.91)</f>
        <v>443.91</v>
      </c>
      <c r="F2230" s="9">
        <f>IFERROR(__xludf.DUMMYFUNCTION("""COMPUTED_VALUE"""),3782272.0)</f>
        <v>3782272</v>
      </c>
      <c r="H2230" s="27">
        <f>IFERROR(__xludf.DUMMYFUNCTION("""COMPUTED_VALUE"""),41649.645833333336)</f>
        <v>41649.64583</v>
      </c>
      <c r="I2230" s="25">
        <f>IFERROR(__xludf.DUMMYFUNCTION("""COMPUTED_VALUE"""),1130.0)</f>
        <v>1130</v>
      </c>
      <c r="J2230" s="25">
        <f>IFERROR(__xludf.DUMMYFUNCTION("""COMPUTED_VALUE"""),1154.9)</f>
        <v>1154.9</v>
      </c>
      <c r="K2230" s="25">
        <f>IFERROR(__xludf.DUMMYFUNCTION("""COMPUTED_VALUE"""),1117.5)</f>
        <v>1117.5</v>
      </c>
      <c r="L2230" s="25">
        <f>IFERROR(__xludf.DUMMYFUNCTION("""COMPUTED_VALUE"""),1140.45)</f>
        <v>1140.45</v>
      </c>
      <c r="M2230" s="25">
        <f>IFERROR(__xludf.DUMMYFUNCTION("""COMPUTED_VALUE"""),1684667.0)</f>
        <v>1684667</v>
      </c>
    </row>
    <row r="2231">
      <c r="A2231" s="26">
        <f>IFERROR(__xludf.DUMMYFUNCTION("""COMPUTED_VALUE"""),41652.645833333336)</f>
        <v>41652.64583</v>
      </c>
      <c r="B2231" s="9">
        <f>IFERROR(__xludf.DUMMYFUNCTION("""COMPUTED_VALUE"""),447.75)</f>
        <v>447.75</v>
      </c>
      <c r="C2231" s="9">
        <f>IFERROR(__xludf.DUMMYFUNCTION("""COMPUTED_VALUE"""),459.38)</f>
        <v>459.38</v>
      </c>
      <c r="D2231" s="9">
        <f>IFERROR(__xludf.DUMMYFUNCTION("""COMPUTED_VALUE"""),447.75)</f>
        <v>447.75</v>
      </c>
      <c r="E2231" s="9">
        <f>IFERROR(__xludf.DUMMYFUNCTION("""COMPUTED_VALUE"""),458.13)</f>
        <v>458.13</v>
      </c>
      <c r="F2231" s="9">
        <f>IFERROR(__xludf.DUMMYFUNCTION("""COMPUTED_VALUE"""),2139989.0)</f>
        <v>2139989</v>
      </c>
      <c r="H2231" s="27">
        <f>IFERROR(__xludf.DUMMYFUNCTION("""COMPUTED_VALUE"""),41652.645833333336)</f>
        <v>41652.64583</v>
      </c>
      <c r="I2231" s="25">
        <f>IFERROR(__xludf.DUMMYFUNCTION("""COMPUTED_VALUE"""),1142.5)</f>
        <v>1142.5</v>
      </c>
      <c r="J2231" s="25">
        <f>IFERROR(__xludf.DUMMYFUNCTION("""COMPUTED_VALUE"""),1192.0)</f>
        <v>1192</v>
      </c>
      <c r="K2231" s="25">
        <f>IFERROR(__xludf.DUMMYFUNCTION("""COMPUTED_VALUE"""),1142.5)</f>
        <v>1142.5</v>
      </c>
      <c r="L2231" s="25">
        <f>IFERROR(__xludf.DUMMYFUNCTION("""COMPUTED_VALUE"""),1184.38)</f>
        <v>1184.38</v>
      </c>
      <c r="M2231" s="25">
        <f>IFERROR(__xludf.DUMMYFUNCTION("""COMPUTED_VALUE"""),1907158.0)</f>
        <v>1907158</v>
      </c>
    </row>
    <row r="2232">
      <c r="A2232" s="26">
        <f>IFERROR(__xludf.DUMMYFUNCTION("""COMPUTED_VALUE"""),41653.645833333336)</f>
        <v>41653.64583</v>
      </c>
      <c r="B2232" s="9">
        <f>IFERROR(__xludf.DUMMYFUNCTION("""COMPUTED_VALUE"""),455.63)</f>
        <v>455.63</v>
      </c>
      <c r="C2232" s="9">
        <f>IFERROR(__xludf.DUMMYFUNCTION("""COMPUTED_VALUE"""),461.88)</f>
        <v>461.88</v>
      </c>
      <c r="D2232" s="9">
        <f>IFERROR(__xludf.DUMMYFUNCTION("""COMPUTED_VALUE"""),455.06)</f>
        <v>455.06</v>
      </c>
      <c r="E2232" s="9">
        <f>IFERROR(__xludf.DUMMYFUNCTION("""COMPUTED_VALUE"""),460.84)</f>
        <v>460.84</v>
      </c>
      <c r="F2232" s="9">
        <f>IFERROR(__xludf.DUMMYFUNCTION("""COMPUTED_VALUE"""),928229.0)</f>
        <v>928229</v>
      </c>
      <c r="H2232" s="27">
        <f>IFERROR(__xludf.DUMMYFUNCTION("""COMPUTED_VALUE"""),41653.645833333336)</f>
        <v>41653.64583</v>
      </c>
      <c r="I2232" s="25">
        <f>IFERROR(__xludf.DUMMYFUNCTION("""COMPUTED_VALUE"""),1186.0)</f>
        <v>1186</v>
      </c>
      <c r="J2232" s="25">
        <f>IFERROR(__xludf.DUMMYFUNCTION("""COMPUTED_VALUE"""),1192.4)</f>
        <v>1192.4</v>
      </c>
      <c r="K2232" s="25">
        <f>IFERROR(__xludf.DUMMYFUNCTION("""COMPUTED_VALUE"""),1160.0)</f>
        <v>1160</v>
      </c>
      <c r="L2232" s="25">
        <f>IFERROR(__xludf.DUMMYFUNCTION("""COMPUTED_VALUE"""),1163.38)</f>
        <v>1163.38</v>
      </c>
      <c r="M2232" s="25">
        <f>IFERROR(__xludf.DUMMYFUNCTION("""COMPUTED_VALUE"""),1487482.0)</f>
        <v>1487482</v>
      </c>
    </row>
    <row r="2233">
      <c r="A2233" s="26">
        <f>IFERROR(__xludf.DUMMYFUNCTION("""COMPUTED_VALUE"""),41654.645833333336)</f>
        <v>41654.64583</v>
      </c>
      <c r="B2233" s="9">
        <f>IFERROR(__xludf.DUMMYFUNCTION("""COMPUTED_VALUE"""),461.91)</f>
        <v>461.91</v>
      </c>
      <c r="C2233" s="9">
        <f>IFERROR(__xludf.DUMMYFUNCTION("""COMPUTED_VALUE"""),465.54)</f>
        <v>465.54</v>
      </c>
      <c r="D2233" s="9">
        <f>IFERROR(__xludf.DUMMYFUNCTION("""COMPUTED_VALUE"""),460.13)</f>
        <v>460.13</v>
      </c>
      <c r="E2233" s="9">
        <f>IFERROR(__xludf.DUMMYFUNCTION("""COMPUTED_VALUE"""),464.01)</f>
        <v>464.01</v>
      </c>
      <c r="F2233" s="9">
        <f>IFERROR(__xludf.DUMMYFUNCTION("""COMPUTED_VALUE"""),2141268.0)</f>
        <v>2141268</v>
      </c>
      <c r="H2233" s="27">
        <f>IFERROR(__xludf.DUMMYFUNCTION("""COMPUTED_VALUE"""),41654.645833333336)</f>
        <v>41654.64583</v>
      </c>
      <c r="I2233" s="25">
        <f>IFERROR(__xludf.DUMMYFUNCTION("""COMPUTED_VALUE"""),1171.22)</f>
        <v>1171.22</v>
      </c>
      <c r="J2233" s="25">
        <f>IFERROR(__xludf.DUMMYFUNCTION("""COMPUTED_VALUE"""),1189.1)</f>
        <v>1189.1</v>
      </c>
      <c r="K2233" s="25">
        <f>IFERROR(__xludf.DUMMYFUNCTION("""COMPUTED_VALUE"""),1163.5)</f>
        <v>1163.5</v>
      </c>
      <c r="L2233" s="25">
        <f>IFERROR(__xludf.DUMMYFUNCTION("""COMPUTED_VALUE"""),1176.8)</f>
        <v>1176.8</v>
      </c>
      <c r="M2233" s="25">
        <f>IFERROR(__xludf.DUMMYFUNCTION("""COMPUTED_VALUE"""),1524427.0)</f>
        <v>1524427</v>
      </c>
    </row>
    <row r="2234">
      <c r="A2234" s="26">
        <f>IFERROR(__xludf.DUMMYFUNCTION("""COMPUTED_VALUE"""),41655.645833333336)</f>
        <v>41655.64583</v>
      </c>
      <c r="B2234" s="9">
        <f>IFERROR(__xludf.DUMMYFUNCTION("""COMPUTED_VALUE"""),462.38)</f>
        <v>462.38</v>
      </c>
      <c r="C2234" s="9">
        <f>IFERROR(__xludf.DUMMYFUNCTION("""COMPUTED_VALUE"""),467.18)</f>
        <v>467.18</v>
      </c>
      <c r="D2234" s="9">
        <f>IFERROR(__xludf.DUMMYFUNCTION("""COMPUTED_VALUE"""),461.71)</f>
        <v>461.71</v>
      </c>
      <c r="E2234" s="9">
        <f>IFERROR(__xludf.DUMMYFUNCTION("""COMPUTED_VALUE"""),465.63)</f>
        <v>465.63</v>
      </c>
      <c r="F2234" s="9">
        <f>IFERROR(__xludf.DUMMYFUNCTION("""COMPUTED_VALUE"""),2201029.0)</f>
        <v>2201029</v>
      </c>
      <c r="H2234" s="27">
        <f>IFERROR(__xludf.DUMMYFUNCTION("""COMPUTED_VALUE"""),41655.645833333336)</f>
        <v>41655.64583</v>
      </c>
      <c r="I2234" s="25">
        <f>IFERROR(__xludf.DUMMYFUNCTION("""COMPUTED_VALUE"""),1190.0)</f>
        <v>1190</v>
      </c>
      <c r="J2234" s="25">
        <f>IFERROR(__xludf.DUMMYFUNCTION("""COMPUTED_VALUE"""),1190.05)</f>
        <v>1190.05</v>
      </c>
      <c r="K2234" s="25">
        <f>IFERROR(__xludf.DUMMYFUNCTION("""COMPUTED_VALUE"""),1162.5)</f>
        <v>1162.5</v>
      </c>
      <c r="L2234" s="25">
        <f>IFERROR(__xludf.DUMMYFUNCTION("""COMPUTED_VALUE"""),1175.15)</f>
        <v>1175.15</v>
      </c>
      <c r="M2234" s="25">
        <f>IFERROR(__xludf.DUMMYFUNCTION("""COMPUTED_VALUE"""),1498981.0)</f>
        <v>1498981</v>
      </c>
    </row>
    <row r="2235">
      <c r="A2235" s="26">
        <f>IFERROR(__xludf.DUMMYFUNCTION("""COMPUTED_VALUE"""),41656.645833333336)</f>
        <v>41656.64583</v>
      </c>
      <c r="B2235" s="9">
        <f>IFERROR(__xludf.DUMMYFUNCTION("""COMPUTED_VALUE"""),466.13)</f>
        <v>466.13</v>
      </c>
      <c r="C2235" s="9">
        <f>IFERROR(__xludf.DUMMYFUNCTION("""COMPUTED_VALUE"""),470.58)</f>
        <v>470.58</v>
      </c>
      <c r="D2235" s="9">
        <f>IFERROR(__xludf.DUMMYFUNCTION("""COMPUTED_VALUE"""),465.0)</f>
        <v>465</v>
      </c>
      <c r="E2235" s="9">
        <f>IFERROR(__xludf.DUMMYFUNCTION("""COMPUTED_VALUE"""),466.22)</f>
        <v>466.22</v>
      </c>
      <c r="F2235" s="9">
        <f>IFERROR(__xludf.DUMMYFUNCTION("""COMPUTED_VALUE"""),3208487.0)</f>
        <v>3208487</v>
      </c>
      <c r="H2235" s="27">
        <f>IFERROR(__xludf.DUMMYFUNCTION("""COMPUTED_VALUE"""),41656.645833333336)</f>
        <v>41656.64583</v>
      </c>
      <c r="I2235" s="25">
        <f>IFERROR(__xludf.DUMMYFUNCTION("""COMPUTED_VALUE"""),1149.0)</f>
        <v>1149</v>
      </c>
      <c r="J2235" s="25">
        <f>IFERROR(__xludf.DUMMYFUNCTION("""COMPUTED_VALUE"""),1149.0)</f>
        <v>1149</v>
      </c>
      <c r="K2235" s="25">
        <f>IFERROR(__xludf.DUMMYFUNCTION("""COMPUTED_VALUE"""),1103.03)</f>
        <v>1103.03</v>
      </c>
      <c r="L2235" s="25">
        <f>IFERROR(__xludf.DUMMYFUNCTION("""COMPUTED_VALUE"""),1106.53)</f>
        <v>1106.53</v>
      </c>
      <c r="M2235" s="25">
        <f>IFERROR(__xludf.DUMMYFUNCTION("""COMPUTED_VALUE"""),3782378.0)</f>
        <v>3782378</v>
      </c>
    </row>
    <row r="2236">
      <c r="A2236" s="26">
        <f>IFERROR(__xludf.DUMMYFUNCTION("""COMPUTED_VALUE"""),41659.645833333336)</f>
        <v>41659.64583</v>
      </c>
      <c r="B2236" s="9">
        <f>IFERROR(__xludf.DUMMYFUNCTION("""COMPUTED_VALUE"""),464.0)</f>
        <v>464</v>
      </c>
      <c r="C2236" s="9">
        <f>IFERROR(__xludf.DUMMYFUNCTION("""COMPUTED_VALUE"""),469.99)</f>
        <v>469.99</v>
      </c>
      <c r="D2236" s="9">
        <f>IFERROR(__xludf.DUMMYFUNCTION("""COMPUTED_VALUE"""),463.06)</f>
        <v>463.06</v>
      </c>
      <c r="E2236" s="9">
        <f>IFERROR(__xludf.DUMMYFUNCTION("""COMPUTED_VALUE"""),468.66)</f>
        <v>468.66</v>
      </c>
      <c r="F2236" s="9">
        <f>IFERROR(__xludf.DUMMYFUNCTION("""COMPUTED_VALUE"""),1220243.0)</f>
        <v>1220243</v>
      </c>
      <c r="H2236" s="27">
        <f>IFERROR(__xludf.DUMMYFUNCTION("""COMPUTED_VALUE"""),41659.645833333336)</f>
        <v>41659.64583</v>
      </c>
      <c r="I2236" s="25">
        <f>IFERROR(__xludf.DUMMYFUNCTION("""COMPUTED_VALUE"""),1109.47)</f>
        <v>1109.47</v>
      </c>
      <c r="J2236" s="25">
        <f>IFERROR(__xludf.DUMMYFUNCTION("""COMPUTED_VALUE"""),1175.0)</f>
        <v>1175</v>
      </c>
      <c r="K2236" s="25">
        <f>IFERROR(__xludf.DUMMYFUNCTION("""COMPUTED_VALUE"""),1107.75)</f>
        <v>1107.75</v>
      </c>
      <c r="L2236" s="25">
        <f>IFERROR(__xludf.DUMMYFUNCTION("""COMPUTED_VALUE"""),1169.1)</f>
        <v>1169.1</v>
      </c>
      <c r="M2236" s="25">
        <f>IFERROR(__xludf.DUMMYFUNCTION("""COMPUTED_VALUE"""),3005279.0)</f>
        <v>3005279</v>
      </c>
    </row>
    <row r="2237">
      <c r="A2237" s="26">
        <f>IFERROR(__xludf.DUMMYFUNCTION("""COMPUTED_VALUE"""),41660.645833333336)</f>
        <v>41660.64583</v>
      </c>
      <c r="B2237" s="9">
        <f>IFERROR(__xludf.DUMMYFUNCTION("""COMPUTED_VALUE"""),468.75)</f>
        <v>468.75</v>
      </c>
      <c r="C2237" s="9">
        <f>IFERROR(__xludf.DUMMYFUNCTION("""COMPUTED_VALUE"""),471.25)</f>
        <v>471.25</v>
      </c>
      <c r="D2237" s="9">
        <f>IFERROR(__xludf.DUMMYFUNCTION("""COMPUTED_VALUE"""),464.79)</f>
        <v>464.79</v>
      </c>
      <c r="E2237" s="9">
        <f>IFERROR(__xludf.DUMMYFUNCTION("""COMPUTED_VALUE"""),469.79)</f>
        <v>469.79</v>
      </c>
      <c r="F2237" s="9">
        <f>IFERROR(__xludf.DUMMYFUNCTION("""COMPUTED_VALUE"""),1512808.0)</f>
        <v>1512808</v>
      </c>
      <c r="H2237" s="27">
        <f>IFERROR(__xludf.DUMMYFUNCTION("""COMPUTED_VALUE"""),41660.645833333336)</f>
        <v>41660.64583</v>
      </c>
      <c r="I2237" s="25">
        <f>IFERROR(__xludf.DUMMYFUNCTION("""COMPUTED_VALUE"""),1167.0)</f>
        <v>1167</v>
      </c>
      <c r="J2237" s="25">
        <f>IFERROR(__xludf.DUMMYFUNCTION("""COMPUTED_VALUE"""),1169.63)</f>
        <v>1169.63</v>
      </c>
      <c r="K2237" s="25">
        <f>IFERROR(__xludf.DUMMYFUNCTION("""COMPUTED_VALUE"""),1137.55)</f>
        <v>1137.55</v>
      </c>
      <c r="L2237" s="25">
        <f>IFERROR(__xludf.DUMMYFUNCTION("""COMPUTED_VALUE"""),1140.15)</f>
        <v>1140.15</v>
      </c>
      <c r="M2237" s="25">
        <f>IFERROR(__xludf.DUMMYFUNCTION("""COMPUTED_VALUE"""),1566141.0)</f>
        <v>1566141</v>
      </c>
    </row>
    <row r="2238">
      <c r="A2238" s="26">
        <f>IFERROR(__xludf.DUMMYFUNCTION("""COMPUTED_VALUE"""),41661.645833333336)</f>
        <v>41661.64583</v>
      </c>
      <c r="B2238" s="9">
        <f>IFERROR(__xludf.DUMMYFUNCTION("""COMPUTED_VALUE"""),467.65)</f>
        <v>467.65</v>
      </c>
      <c r="C2238" s="9">
        <f>IFERROR(__xludf.DUMMYFUNCTION("""COMPUTED_VALUE"""),472.25)</f>
        <v>472.25</v>
      </c>
      <c r="D2238" s="9">
        <f>IFERROR(__xludf.DUMMYFUNCTION("""COMPUTED_VALUE"""),467.51)</f>
        <v>467.51</v>
      </c>
      <c r="E2238" s="9">
        <f>IFERROR(__xludf.DUMMYFUNCTION("""COMPUTED_VALUE"""),470.74)</f>
        <v>470.74</v>
      </c>
      <c r="F2238" s="9">
        <f>IFERROR(__xludf.DUMMYFUNCTION("""COMPUTED_VALUE"""),846220.0)</f>
        <v>846220</v>
      </c>
      <c r="H2238" s="27">
        <f>IFERROR(__xludf.DUMMYFUNCTION("""COMPUTED_VALUE"""),41661.645833333336)</f>
        <v>41661.64583</v>
      </c>
      <c r="I2238" s="25">
        <f>IFERROR(__xludf.DUMMYFUNCTION("""COMPUTED_VALUE"""),1143.55)</f>
        <v>1143.55</v>
      </c>
      <c r="J2238" s="25">
        <f>IFERROR(__xludf.DUMMYFUNCTION("""COMPUTED_VALUE"""),1148.43)</f>
        <v>1148.43</v>
      </c>
      <c r="K2238" s="25">
        <f>IFERROR(__xludf.DUMMYFUNCTION("""COMPUTED_VALUE"""),1132.05)</f>
        <v>1132.05</v>
      </c>
      <c r="L2238" s="25">
        <f>IFERROR(__xludf.DUMMYFUNCTION("""COMPUTED_VALUE"""),1137.03)</f>
        <v>1137.03</v>
      </c>
      <c r="M2238" s="25">
        <f>IFERROR(__xludf.DUMMYFUNCTION("""COMPUTED_VALUE"""),1192015.0)</f>
        <v>1192015</v>
      </c>
    </row>
    <row r="2239">
      <c r="A2239" s="26">
        <f>IFERROR(__xludf.DUMMYFUNCTION("""COMPUTED_VALUE"""),41662.645833333336)</f>
        <v>41662.64583</v>
      </c>
      <c r="B2239" s="9">
        <f>IFERROR(__xludf.DUMMYFUNCTION("""COMPUTED_VALUE"""),473.01)</f>
        <v>473.01</v>
      </c>
      <c r="C2239" s="9">
        <f>IFERROR(__xludf.DUMMYFUNCTION("""COMPUTED_VALUE"""),474.88)</f>
        <v>474.88</v>
      </c>
      <c r="D2239" s="9">
        <f>IFERROR(__xludf.DUMMYFUNCTION("""COMPUTED_VALUE"""),470.11)</f>
        <v>470.11</v>
      </c>
      <c r="E2239" s="9">
        <f>IFERROR(__xludf.DUMMYFUNCTION("""COMPUTED_VALUE"""),474.06)</f>
        <v>474.06</v>
      </c>
      <c r="F2239" s="9">
        <f>IFERROR(__xludf.DUMMYFUNCTION("""COMPUTED_VALUE"""),988418.0)</f>
        <v>988418</v>
      </c>
      <c r="H2239" s="27">
        <f>IFERROR(__xludf.DUMMYFUNCTION("""COMPUTED_VALUE"""),41662.645833333336)</f>
        <v>41662.64583</v>
      </c>
      <c r="I2239" s="25">
        <f>IFERROR(__xludf.DUMMYFUNCTION("""COMPUTED_VALUE"""),1134.05)</f>
        <v>1134.05</v>
      </c>
      <c r="J2239" s="25">
        <f>IFERROR(__xludf.DUMMYFUNCTION("""COMPUTED_VALUE"""),1138.35)</f>
        <v>1138.35</v>
      </c>
      <c r="K2239" s="25">
        <f>IFERROR(__xludf.DUMMYFUNCTION("""COMPUTED_VALUE"""),1118.65)</f>
        <v>1118.65</v>
      </c>
      <c r="L2239" s="25">
        <f>IFERROR(__xludf.DUMMYFUNCTION("""COMPUTED_VALUE"""),1126.22)</f>
        <v>1126.22</v>
      </c>
      <c r="M2239" s="25">
        <f>IFERROR(__xludf.DUMMYFUNCTION("""COMPUTED_VALUE"""),1145381.0)</f>
        <v>1145381</v>
      </c>
    </row>
    <row r="2240">
      <c r="A2240" s="26">
        <f>IFERROR(__xludf.DUMMYFUNCTION("""COMPUTED_VALUE"""),41663.645833333336)</f>
        <v>41663.64583</v>
      </c>
      <c r="B2240" s="9">
        <f>IFERROR(__xludf.DUMMYFUNCTION("""COMPUTED_VALUE"""),470.63)</f>
        <v>470.63</v>
      </c>
      <c r="C2240" s="9">
        <f>IFERROR(__xludf.DUMMYFUNCTION("""COMPUTED_VALUE"""),474.62)</f>
        <v>474.62</v>
      </c>
      <c r="D2240" s="9">
        <f>IFERROR(__xludf.DUMMYFUNCTION("""COMPUTED_VALUE"""),469.34)</f>
        <v>469.34</v>
      </c>
      <c r="E2240" s="9">
        <f>IFERROR(__xludf.DUMMYFUNCTION("""COMPUTED_VALUE"""),469.77)</f>
        <v>469.77</v>
      </c>
      <c r="F2240" s="9">
        <f>IFERROR(__xludf.DUMMYFUNCTION("""COMPUTED_VALUE"""),859573.0)</f>
        <v>859573</v>
      </c>
      <c r="H2240" s="27">
        <f>IFERROR(__xludf.DUMMYFUNCTION("""COMPUTED_VALUE"""),41663.645833333336)</f>
        <v>41663.64583</v>
      </c>
      <c r="I2240" s="25">
        <f>IFERROR(__xludf.DUMMYFUNCTION("""COMPUTED_VALUE"""),1122.0)</f>
        <v>1122</v>
      </c>
      <c r="J2240" s="25">
        <f>IFERROR(__xludf.DUMMYFUNCTION("""COMPUTED_VALUE"""),1141.63)</f>
        <v>1141.63</v>
      </c>
      <c r="K2240" s="25">
        <f>IFERROR(__xludf.DUMMYFUNCTION("""COMPUTED_VALUE"""),1117.5)</f>
        <v>1117.5</v>
      </c>
      <c r="L2240" s="25">
        <f>IFERROR(__xludf.DUMMYFUNCTION("""COMPUTED_VALUE"""),1124.35)</f>
        <v>1124.35</v>
      </c>
      <c r="M2240" s="25">
        <f>IFERROR(__xludf.DUMMYFUNCTION("""COMPUTED_VALUE"""),925133.0)</f>
        <v>925133</v>
      </c>
    </row>
    <row r="2241">
      <c r="A2241" s="26">
        <f>IFERROR(__xludf.DUMMYFUNCTION("""COMPUTED_VALUE"""),41666.645833333336)</f>
        <v>41666.64583</v>
      </c>
      <c r="B2241" s="9">
        <f>IFERROR(__xludf.DUMMYFUNCTION("""COMPUTED_VALUE"""),465.0)</f>
        <v>465</v>
      </c>
      <c r="C2241" s="9">
        <f>IFERROR(__xludf.DUMMYFUNCTION("""COMPUTED_VALUE"""),470.49)</f>
        <v>470.49</v>
      </c>
      <c r="D2241" s="9">
        <f>IFERROR(__xludf.DUMMYFUNCTION("""COMPUTED_VALUE"""),463.9)</f>
        <v>463.9</v>
      </c>
      <c r="E2241" s="9">
        <f>IFERROR(__xludf.DUMMYFUNCTION("""COMPUTED_VALUE"""),466.53)</f>
        <v>466.53</v>
      </c>
      <c r="F2241" s="9">
        <f>IFERROR(__xludf.DUMMYFUNCTION("""COMPUTED_VALUE"""),1012381.0)</f>
        <v>1012381</v>
      </c>
      <c r="H2241" s="27">
        <f>IFERROR(__xludf.DUMMYFUNCTION("""COMPUTED_VALUE"""),41666.645833333336)</f>
        <v>41666.64583</v>
      </c>
      <c r="I2241" s="25">
        <f>IFERROR(__xludf.DUMMYFUNCTION("""COMPUTED_VALUE"""),1113.0)</f>
        <v>1113</v>
      </c>
      <c r="J2241" s="25">
        <f>IFERROR(__xludf.DUMMYFUNCTION("""COMPUTED_VALUE"""),1129.75)</f>
        <v>1129.75</v>
      </c>
      <c r="K2241" s="25">
        <f>IFERROR(__xludf.DUMMYFUNCTION("""COMPUTED_VALUE"""),1110.05)</f>
        <v>1110.05</v>
      </c>
      <c r="L2241" s="25">
        <f>IFERROR(__xludf.DUMMYFUNCTION("""COMPUTED_VALUE"""),1114.8)</f>
        <v>1114.8</v>
      </c>
      <c r="M2241" s="25">
        <f>IFERROR(__xludf.DUMMYFUNCTION("""COMPUTED_VALUE"""),1266474.0)</f>
        <v>1266474</v>
      </c>
    </row>
    <row r="2242">
      <c r="A2242" s="26">
        <f>IFERROR(__xludf.DUMMYFUNCTION("""COMPUTED_VALUE"""),41667.645833333336)</f>
        <v>41667.64583</v>
      </c>
      <c r="B2242" s="9">
        <f>IFERROR(__xludf.DUMMYFUNCTION("""COMPUTED_VALUE"""),463.38)</f>
        <v>463.38</v>
      </c>
      <c r="C2242" s="9">
        <f>IFERROR(__xludf.DUMMYFUNCTION("""COMPUTED_VALUE"""),463.59)</f>
        <v>463.59</v>
      </c>
      <c r="D2242" s="9">
        <f>IFERROR(__xludf.DUMMYFUNCTION("""COMPUTED_VALUE"""),458.36)</f>
        <v>458.36</v>
      </c>
      <c r="E2242" s="9">
        <f>IFERROR(__xludf.DUMMYFUNCTION("""COMPUTED_VALUE"""),459.39)</f>
        <v>459.39</v>
      </c>
      <c r="F2242" s="9">
        <f>IFERROR(__xludf.DUMMYFUNCTION("""COMPUTED_VALUE"""),1763568.0)</f>
        <v>1763568</v>
      </c>
      <c r="H2242" s="27">
        <f>IFERROR(__xludf.DUMMYFUNCTION("""COMPUTED_VALUE"""),41667.645833333336)</f>
        <v>41667.64583</v>
      </c>
      <c r="I2242" s="25">
        <f>IFERROR(__xludf.DUMMYFUNCTION("""COMPUTED_VALUE"""),1116.0)</f>
        <v>1116</v>
      </c>
      <c r="J2242" s="25">
        <f>IFERROR(__xludf.DUMMYFUNCTION("""COMPUTED_VALUE"""),1123.93)</f>
        <v>1123.93</v>
      </c>
      <c r="K2242" s="25">
        <f>IFERROR(__xludf.DUMMYFUNCTION("""COMPUTED_VALUE"""),1098.05)</f>
        <v>1098.05</v>
      </c>
      <c r="L2242" s="25">
        <f>IFERROR(__xludf.DUMMYFUNCTION("""COMPUTED_VALUE"""),1106.18)</f>
        <v>1106.18</v>
      </c>
      <c r="M2242" s="25">
        <f>IFERROR(__xludf.DUMMYFUNCTION("""COMPUTED_VALUE"""),1426083.0)</f>
        <v>1426083</v>
      </c>
    </row>
    <row r="2243">
      <c r="A2243" s="26">
        <f>IFERROR(__xludf.DUMMYFUNCTION("""COMPUTED_VALUE"""),41668.645833333336)</f>
        <v>41668.64583</v>
      </c>
      <c r="B2243" s="9">
        <f>IFERROR(__xludf.DUMMYFUNCTION("""COMPUTED_VALUE"""),458.25)</f>
        <v>458.25</v>
      </c>
      <c r="C2243" s="9">
        <f>IFERROR(__xludf.DUMMYFUNCTION("""COMPUTED_VALUE"""),467.96)</f>
        <v>467.96</v>
      </c>
      <c r="D2243" s="9">
        <f>IFERROR(__xludf.DUMMYFUNCTION("""COMPUTED_VALUE"""),456.71)</f>
        <v>456.71</v>
      </c>
      <c r="E2243" s="9">
        <f>IFERROR(__xludf.DUMMYFUNCTION("""COMPUTED_VALUE"""),464.73)</f>
        <v>464.73</v>
      </c>
      <c r="F2243" s="9">
        <f>IFERROR(__xludf.DUMMYFUNCTION("""COMPUTED_VALUE"""),1012760.0)</f>
        <v>1012760</v>
      </c>
      <c r="H2243" s="27">
        <f>IFERROR(__xludf.DUMMYFUNCTION("""COMPUTED_VALUE"""),41668.645833333336)</f>
        <v>41668.64583</v>
      </c>
      <c r="I2243" s="25">
        <f>IFERROR(__xludf.DUMMYFUNCTION("""COMPUTED_VALUE"""),1120.0)</f>
        <v>1120</v>
      </c>
      <c r="J2243" s="25">
        <f>IFERROR(__xludf.DUMMYFUNCTION("""COMPUTED_VALUE"""),1120.0)</f>
        <v>1120</v>
      </c>
      <c r="K2243" s="25">
        <f>IFERROR(__xludf.DUMMYFUNCTION("""COMPUTED_VALUE"""),1102.5)</f>
        <v>1102.5</v>
      </c>
      <c r="L2243" s="25">
        <f>IFERROR(__xludf.DUMMYFUNCTION("""COMPUTED_VALUE"""),1104.9)</f>
        <v>1104.9</v>
      </c>
      <c r="M2243" s="25">
        <f>IFERROR(__xludf.DUMMYFUNCTION("""COMPUTED_VALUE"""),849038.0)</f>
        <v>849038</v>
      </c>
    </row>
    <row r="2244">
      <c r="A2244" s="26">
        <f>IFERROR(__xludf.DUMMYFUNCTION("""COMPUTED_VALUE"""),41669.645833333336)</f>
        <v>41669.64583</v>
      </c>
      <c r="B2244" s="9">
        <f>IFERROR(__xludf.DUMMYFUNCTION("""COMPUTED_VALUE"""),462.96)</f>
        <v>462.96</v>
      </c>
      <c r="C2244" s="9">
        <f>IFERROR(__xludf.DUMMYFUNCTION("""COMPUTED_VALUE"""),464.59)</f>
        <v>464.59</v>
      </c>
      <c r="D2244" s="9">
        <f>IFERROR(__xludf.DUMMYFUNCTION("""COMPUTED_VALUE"""),457.5)</f>
        <v>457.5</v>
      </c>
      <c r="E2244" s="9">
        <f>IFERROR(__xludf.DUMMYFUNCTION("""COMPUTED_VALUE"""),463.03)</f>
        <v>463.03</v>
      </c>
      <c r="F2244" s="9">
        <f>IFERROR(__xludf.DUMMYFUNCTION("""COMPUTED_VALUE"""),897954.0)</f>
        <v>897954</v>
      </c>
      <c r="H2244" s="27">
        <f>IFERROR(__xludf.DUMMYFUNCTION("""COMPUTED_VALUE"""),41669.645833333336)</f>
        <v>41669.64583</v>
      </c>
      <c r="I2244" s="25">
        <f>IFERROR(__xludf.DUMMYFUNCTION("""COMPUTED_VALUE"""),1099.03)</f>
        <v>1099.03</v>
      </c>
      <c r="J2244" s="25">
        <f>IFERROR(__xludf.DUMMYFUNCTION("""COMPUTED_VALUE"""),1113.5)</f>
        <v>1113.5</v>
      </c>
      <c r="K2244" s="25">
        <f>IFERROR(__xludf.DUMMYFUNCTION("""COMPUTED_VALUE"""),1095.0)</f>
        <v>1095</v>
      </c>
      <c r="L2244" s="25">
        <f>IFERROR(__xludf.DUMMYFUNCTION("""COMPUTED_VALUE"""),1108.8)</f>
        <v>1108.8</v>
      </c>
      <c r="M2244" s="25">
        <f>IFERROR(__xludf.DUMMYFUNCTION("""COMPUTED_VALUE"""),1112625.0)</f>
        <v>1112625</v>
      </c>
    </row>
    <row r="2245">
      <c r="A2245" s="26">
        <f>IFERROR(__xludf.DUMMYFUNCTION("""COMPUTED_VALUE"""),41670.645833333336)</f>
        <v>41670.64583</v>
      </c>
      <c r="B2245" s="9">
        <f>IFERROR(__xludf.DUMMYFUNCTION("""COMPUTED_VALUE"""),462.5)</f>
        <v>462.5</v>
      </c>
      <c r="C2245" s="9">
        <f>IFERROR(__xludf.DUMMYFUNCTION("""COMPUTED_VALUE"""),467.47)</f>
        <v>467.47</v>
      </c>
      <c r="D2245" s="9">
        <f>IFERROR(__xludf.DUMMYFUNCTION("""COMPUTED_VALUE"""),460.82)</f>
        <v>460.82</v>
      </c>
      <c r="E2245" s="9">
        <f>IFERROR(__xludf.DUMMYFUNCTION("""COMPUTED_VALUE"""),462.64)</f>
        <v>462.64</v>
      </c>
      <c r="F2245" s="9">
        <f>IFERROR(__xludf.DUMMYFUNCTION("""COMPUTED_VALUE"""),671241.0)</f>
        <v>671241</v>
      </c>
      <c r="H2245" s="27">
        <f>IFERROR(__xludf.DUMMYFUNCTION("""COMPUTED_VALUE"""),41670.645833333336)</f>
        <v>41670.64583</v>
      </c>
      <c r="I2245" s="25">
        <f>IFERROR(__xludf.DUMMYFUNCTION("""COMPUTED_VALUE"""),1112.55)</f>
        <v>1112.55</v>
      </c>
      <c r="J2245" s="25">
        <f>IFERROR(__xludf.DUMMYFUNCTION("""COMPUTED_VALUE"""),1134.9)</f>
        <v>1134.9</v>
      </c>
      <c r="K2245" s="25">
        <f>IFERROR(__xludf.DUMMYFUNCTION("""COMPUTED_VALUE"""),1110.5)</f>
        <v>1110.5</v>
      </c>
      <c r="L2245" s="25">
        <f>IFERROR(__xludf.DUMMYFUNCTION("""COMPUTED_VALUE"""),1120.53)</f>
        <v>1120.53</v>
      </c>
      <c r="M2245" s="25">
        <f>IFERROR(__xludf.DUMMYFUNCTION("""COMPUTED_VALUE"""),1087123.0)</f>
        <v>1087123</v>
      </c>
    </row>
    <row r="2246">
      <c r="A2246" s="26">
        <f>IFERROR(__xludf.DUMMYFUNCTION("""COMPUTED_VALUE"""),41673.645833333336)</f>
        <v>41673.64583</v>
      </c>
      <c r="B2246" s="9">
        <f>IFERROR(__xludf.DUMMYFUNCTION("""COMPUTED_VALUE"""),460.63)</f>
        <v>460.63</v>
      </c>
      <c r="C2246" s="9">
        <f>IFERROR(__xludf.DUMMYFUNCTION("""COMPUTED_VALUE"""),461.5)</f>
        <v>461.5</v>
      </c>
      <c r="D2246" s="9">
        <f>IFERROR(__xludf.DUMMYFUNCTION("""COMPUTED_VALUE"""),453.1)</f>
        <v>453.1</v>
      </c>
      <c r="E2246" s="9">
        <f>IFERROR(__xludf.DUMMYFUNCTION("""COMPUTED_VALUE"""),453.64)</f>
        <v>453.64</v>
      </c>
      <c r="F2246" s="9">
        <f>IFERROR(__xludf.DUMMYFUNCTION("""COMPUTED_VALUE"""),548014.0)</f>
        <v>548014</v>
      </c>
      <c r="H2246" s="27">
        <f>IFERROR(__xludf.DUMMYFUNCTION("""COMPUTED_VALUE"""),41673.645833333336)</f>
        <v>41673.64583</v>
      </c>
      <c r="I2246" s="25">
        <f>IFERROR(__xludf.DUMMYFUNCTION("""COMPUTED_VALUE"""),1111.0)</f>
        <v>1111</v>
      </c>
      <c r="J2246" s="25">
        <f>IFERROR(__xludf.DUMMYFUNCTION("""COMPUTED_VALUE"""),1122.13)</f>
        <v>1122.13</v>
      </c>
      <c r="K2246" s="25">
        <f>IFERROR(__xludf.DUMMYFUNCTION("""COMPUTED_VALUE"""),1095.4)</f>
        <v>1095.4</v>
      </c>
      <c r="L2246" s="25">
        <f>IFERROR(__xludf.DUMMYFUNCTION("""COMPUTED_VALUE"""),1097.22)</f>
        <v>1097.22</v>
      </c>
      <c r="M2246" s="25">
        <f>IFERROR(__xludf.DUMMYFUNCTION("""COMPUTED_VALUE"""),681240.0)</f>
        <v>681240</v>
      </c>
    </row>
    <row r="2247">
      <c r="A2247" s="26">
        <f>IFERROR(__xludf.DUMMYFUNCTION("""COMPUTED_VALUE"""),41674.645833333336)</f>
        <v>41674.64583</v>
      </c>
      <c r="B2247" s="9">
        <f>IFERROR(__xludf.DUMMYFUNCTION("""COMPUTED_VALUE"""),447.63)</f>
        <v>447.63</v>
      </c>
      <c r="C2247" s="9">
        <f>IFERROR(__xludf.DUMMYFUNCTION("""COMPUTED_VALUE"""),448.99)</f>
        <v>448.99</v>
      </c>
      <c r="D2247" s="9">
        <f>IFERROR(__xludf.DUMMYFUNCTION("""COMPUTED_VALUE"""),443.32)</f>
        <v>443.32</v>
      </c>
      <c r="E2247" s="9">
        <f>IFERROR(__xludf.DUMMYFUNCTION("""COMPUTED_VALUE"""),445.14)</f>
        <v>445.14</v>
      </c>
      <c r="F2247" s="9">
        <f>IFERROR(__xludf.DUMMYFUNCTION("""COMPUTED_VALUE"""),566889.0)</f>
        <v>566889</v>
      </c>
      <c r="H2247" s="27">
        <f>IFERROR(__xludf.DUMMYFUNCTION("""COMPUTED_VALUE"""),41674.645833333336)</f>
        <v>41674.64583</v>
      </c>
      <c r="I2247" s="25">
        <f>IFERROR(__xludf.DUMMYFUNCTION("""COMPUTED_VALUE"""),1087.0)</f>
        <v>1087</v>
      </c>
      <c r="J2247" s="25">
        <f>IFERROR(__xludf.DUMMYFUNCTION("""COMPUTED_VALUE"""),1087.5)</f>
        <v>1087.5</v>
      </c>
      <c r="K2247" s="25">
        <f>IFERROR(__xludf.DUMMYFUNCTION("""COMPUTED_VALUE"""),1056.03)</f>
        <v>1056.03</v>
      </c>
      <c r="L2247" s="25">
        <f>IFERROR(__xludf.DUMMYFUNCTION("""COMPUTED_VALUE"""),1075.68)</f>
        <v>1075.68</v>
      </c>
      <c r="M2247" s="25">
        <f>IFERROR(__xludf.DUMMYFUNCTION("""COMPUTED_VALUE"""),1347083.0)</f>
        <v>1347083</v>
      </c>
    </row>
    <row r="2248">
      <c r="A2248" s="26">
        <f>IFERROR(__xludf.DUMMYFUNCTION("""COMPUTED_VALUE"""),41675.645833333336)</f>
        <v>41675.64583</v>
      </c>
      <c r="B2248" s="9">
        <f>IFERROR(__xludf.DUMMYFUNCTION("""COMPUTED_VALUE"""),447.5)</f>
        <v>447.5</v>
      </c>
      <c r="C2248" s="9">
        <f>IFERROR(__xludf.DUMMYFUNCTION("""COMPUTED_VALUE"""),448.63)</f>
        <v>448.63</v>
      </c>
      <c r="D2248" s="9">
        <f>IFERROR(__xludf.DUMMYFUNCTION("""COMPUTED_VALUE"""),442.84)</f>
        <v>442.84</v>
      </c>
      <c r="E2248" s="9">
        <f>IFERROR(__xludf.DUMMYFUNCTION("""COMPUTED_VALUE"""),447.66)</f>
        <v>447.66</v>
      </c>
      <c r="F2248" s="9">
        <f>IFERROR(__xludf.DUMMYFUNCTION("""COMPUTED_VALUE"""),540874.0)</f>
        <v>540874</v>
      </c>
      <c r="H2248" s="27">
        <f>IFERROR(__xludf.DUMMYFUNCTION("""COMPUTED_VALUE"""),41675.645833333336)</f>
        <v>41675.64583</v>
      </c>
      <c r="I2248" s="25">
        <f>IFERROR(__xludf.DUMMYFUNCTION("""COMPUTED_VALUE"""),1081.9)</f>
        <v>1081.9</v>
      </c>
      <c r="J2248" s="25">
        <f>IFERROR(__xludf.DUMMYFUNCTION("""COMPUTED_VALUE"""),1100.0)</f>
        <v>1100</v>
      </c>
      <c r="K2248" s="25">
        <f>IFERROR(__xludf.DUMMYFUNCTION("""COMPUTED_VALUE"""),1070.0)</f>
        <v>1070</v>
      </c>
      <c r="L2248" s="25">
        <f>IFERROR(__xludf.DUMMYFUNCTION("""COMPUTED_VALUE"""),1097.2)</f>
        <v>1097.2</v>
      </c>
      <c r="M2248" s="25">
        <f>IFERROR(__xludf.DUMMYFUNCTION("""COMPUTED_VALUE"""),926825.0)</f>
        <v>926825</v>
      </c>
    </row>
    <row r="2249">
      <c r="A2249" s="26">
        <f>IFERROR(__xludf.DUMMYFUNCTION("""COMPUTED_VALUE"""),41676.645833333336)</f>
        <v>41676.64583</v>
      </c>
      <c r="B2249" s="9">
        <f>IFERROR(__xludf.DUMMYFUNCTION("""COMPUTED_VALUE"""),446.5)</f>
        <v>446.5</v>
      </c>
      <c r="C2249" s="9">
        <f>IFERROR(__xludf.DUMMYFUNCTION("""COMPUTED_VALUE"""),447.88)</f>
        <v>447.88</v>
      </c>
      <c r="D2249" s="9">
        <f>IFERROR(__xludf.DUMMYFUNCTION("""COMPUTED_VALUE"""),442.63)</f>
        <v>442.63</v>
      </c>
      <c r="E2249" s="9">
        <f>IFERROR(__xludf.DUMMYFUNCTION("""COMPUTED_VALUE"""),445.46)</f>
        <v>445.46</v>
      </c>
      <c r="F2249" s="9">
        <f>IFERROR(__xludf.DUMMYFUNCTION("""COMPUTED_VALUE"""),718738.0)</f>
        <v>718738</v>
      </c>
      <c r="H2249" s="27">
        <f>IFERROR(__xludf.DUMMYFUNCTION("""COMPUTED_VALUE"""),41676.645833333336)</f>
        <v>41676.64583</v>
      </c>
      <c r="I2249" s="25">
        <f>IFERROR(__xludf.DUMMYFUNCTION("""COMPUTED_VALUE"""),1090.0)</f>
        <v>1090</v>
      </c>
      <c r="J2249" s="25">
        <f>IFERROR(__xludf.DUMMYFUNCTION("""COMPUTED_VALUE"""),1094.95)</f>
        <v>1094.95</v>
      </c>
      <c r="K2249" s="25">
        <f>IFERROR(__xludf.DUMMYFUNCTION("""COMPUTED_VALUE"""),1072.5)</f>
        <v>1072.5</v>
      </c>
      <c r="L2249" s="25">
        <f>IFERROR(__xludf.DUMMYFUNCTION("""COMPUTED_VALUE"""),1087.63)</f>
        <v>1087.63</v>
      </c>
      <c r="M2249" s="25">
        <f>IFERROR(__xludf.DUMMYFUNCTION("""COMPUTED_VALUE"""),961326.0)</f>
        <v>961326</v>
      </c>
    </row>
    <row r="2250">
      <c r="A2250" s="26">
        <f>IFERROR(__xludf.DUMMYFUNCTION("""COMPUTED_VALUE"""),41677.645833333336)</f>
        <v>41677.64583</v>
      </c>
      <c r="B2250" s="9">
        <f>IFERROR(__xludf.DUMMYFUNCTION("""COMPUTED_VALUE"""),448.38)</f>
        <v>448.38</v>
      </c>
      <c r="C2250" s="9">
        <f>IFERROR(__xludf.DUMMYFUNCTION("""COMPUTED_VALUE"""),450.23)</f>
        <v>450.23</v>
      </c>
      <c r="D2250" s="9">
        <f>IFERROR(__xludf.DUMMYFUNCTION("""COMPUTED_VALUE"""),443.61)</f>
        <v>443.61</v>
      </c>
      <c r="E2250" s="9">
        <f>IFERROR(__xludf.DUMMYFUNCTION("""COMPUTED_VALUE"""),445.82)</f>
        <v>445.82</v>
      </c>
      <c r="F2250" s="9">
        <f>IFERROR(__xludf.DUMMYFUNCTION("""COMPUTED_VALUE"""),943932.0)</f>
        <v>943932</v>
      </c>
      <c r="H2250" s="27">
        <f>IFERROR(__xludf.DUMMYFUNCTION("""COMPUTED_VALUE"""),41677.645833333336)</f>
        <v>41677.64583</v>
      </c>
      <c r="I2250" s="25">
        <f>IFERROR(__xludf.DUMMYFUNCTION("""COMPUTED_VALUE"""),1095.0)</f>
        <v>1095</v>
      </c>
      <c r="J2250" s="25">
        <f>IFERROR(__xludf.DUMMYFUNCTION("""COMPUTED_VALUE"""),1097.5)</f>
        <v>1097.5</v>
      </c>
      <c r="K2250" s="25">
        <f>IFERROR(__xludf.DUMMYFUNCTION("""COMPUTED_VALUE"""),1065.5)</f>
        <v>1065.5</v>
      </c>
      <c r="L2250" s="25">
        <f>IFERROR(__xludf.DUMMYFUNCTION("""COMPUTED_VALUE"""),1072.2)</f>
        <v>1072.2</v>
      </c>
      <c r="M2250" s="25">
        <f>IFERROR(__xludf.DUMMYFUNCTION("""COMPUTED_VALUE"""),995456.0)</f>
        <v>995456</v>
      </c>
    </row>
    <row r="2251">
      <c r="A2251" s="26">
        <f>IFERROR(__xludf.DUMMYFUNCTION("""COMPUTED_VALUE"""),41680.645833333336)</f>
        <v>41680.64583</v>
      </c>
      <c r="B2251" s="9">
        <f>IFERROR(__xludf.DUMMYFUNCTION("""COMPUTED_VALUE"""),447.49)</f>
        <v>447.49</v>
      </c>
      <c r="C2251" s="9">
        <f>IFERROR(__xludf.DUMMYFUNCTION("""COMPUTED_VALUE"""),448.25)</f>
        <v>448.25</v>
      </c>
      <c r="D2251" s="9">
        <f>IFERROR(__xludf.DUMMYFUNCTION("""COMPUTED_VALUE"""),444.69)</f>
        <v>444.69</v>
      </c>
      <c r="E2251" s="9">
        <f>IFERROR(__xludf.DUMMYFUNCTION("""COMPUTED_VALUE"""),446.73)</f>
        <v>446.73</v>
      </c>
      <c r="F2251" s="9">
        <f>IFERROR(__xludf.DUMMYFUNCTION("""COMPUTED_VALUE"""),756178.0)</f>
        <v>756178</v>
      </c>
      <c r="H2251" s="27">
        <f>IFERROR(__xludf.DUMMYFUNCTION("""COMPUTED_VALUE"""),41680.645833333336)</f>
        <v>41680.64583</v>
      </c>
      <c r="I2251" s="25">
        <f>IFERROR(__xludf.DUMMYFUNCTION("""COMPUTED_VALUE"""),1072.0)</f>
        <v>1072</v>
      </c>
      <c r="J2251" s="25">
        <f>IFERROR(__xludf.DUMMYFUNCTION("""COMPUTED_VALUE"""),1072.0)</f>
        <v>1072</v>
      </c>
      <c r="K2251" s="25">
        <f>IFERROR(__xludf.DUMMYFUNCTION("""COMPUTED_VALUE"""),1042.55)</f>
        <v>1042.55</v>
      </c>
      <c r="L2251" s="25">
        <f>IFERROR(__xludf.DUMMYFUNCTION("""COMPUTED_VALUE"""),1046.78)</f>
        <v>1046.78</v>
      </c>
      <c r="M2251" s="25">
        <f>IFERROR(__xludf.DUMMYFUNCTION("""COMPUTED_VALUE"""),2009635.0)</f>
        <v>2009635</v>
      </c>
    </row>
    <row r="2252">
      <c r="A2252" s="26">
        <f>IFERROR(__xludf.DUMMYFUNCTION("""COMPUTED_VALUE"""),41681.645833333336)</f>
        <v>41681.64583</v>
      </c>
      <c r="B2252" s="9">
        <f>IFERROR(__xludf.DUMMYFUNCTION("""COMPUTED_VALUE"""),448.0)</f>
        <v>448</v>
      </c>
      <c r="C2252" s="9">
        <f>IFERROR(__xludf.DUMMYFUNCTION("""COMPUTED_VALUE"""),452.75)</f>
        <v>452.75</v>
      </c>
      <c r="D2252" s="9">
        <f>IFERROR(__xludf.DUMMYFUNCTION("""COMPUTED_VALUE"""),446.69)</f>
        <v>446.69</v>
      </c>
      <c r="E2252" s="9">
        <f>IFERROR(__xludf.DUMMYFUNCTION("""COMPUTED_VALUE"""),449.53)</f>
        <v>449.53</v>
      </c>
      <c r="F2252" s="9">
        <f>IFERROR(__xludf.DUMMYFUNCTION("""COMPUTED_VALUE"""),729199.0)</f>
        <v>729199</v>
      </c>
      <c r="H2252" s="27">
        <f>IFERROR(__xludf.DUMMYFUNCTION("""COMPUTED_VALUE"""),41681.645833333336)</f>
        <v>41681.64583</v>
      </c>
      <c r="I2252" s="25">
        <f>IFERROR(__xludf.DUMMYFUNCTION("""COMPUTED_VALUE"""),1050.0)</f>
        <v>1050</v>
      </c>
      <c r="J2252" s="25">
        <f>IFERROR(__xludf.DUMMYFUNCTION("""COMPUTED_VALUE"""),1063.25)</f>
        <v>1063.25</v>
      </c>
      <c r="K2252" s="25">
        <f>IFERROR(__xludf.DUMMYFUNCTION("""COMPUTED_VALUE"""),1048.0)</f>
        <v>1048</v>
      </c>
      <c r="L2252" s="25">
        <f>IFERROR(__xludf.DUMMYFUNCTION("""COMPUTED_VALUE"""),1050.85)</f>
        <v>1050.85</v>
      </c>
      <c r="M2252" s="25">
        <f>IFERROR(__xludf.DUMMYFUNCTION("""COMPUTED_VALUE"""),1784393.0)</f>
        <v>1784393</v>
      </c>
    </row>
    <row r="2253">
      <c r="A2253" s="26">
        <f>IFERROR(__xludf.DUMMYFUNCTION("""COMPUTED_VALUE"""),41682.645833333336)</f>
        <v>41682.64583</v>
      </c>
      <c r="B2253" s="9">
        <f>IFERROR(__xludf.DUMMYFUNCTION("""COMPUTED_VALUE"""),450.06)</f>
        <v>450.06</v>
      </c>
      <c r="C2253" s="9">
        <f>IFERROR(__xludf.DUMMYFUNCTION("""COMPUTED_VALUE"""),453.43)</f>
        <v>453.43</v>
      </c>
      <c r="D2253" s="9">
        <f>IFERROR(__xludf.DUMMYFUNCTION("""COMPUTED_VALUE"""),449.15)</f>
        <v>449.15</v>
      </c>
      <c r="E2253" s="9">
        <f>IFERROR(__xludf.DUMMYFUNCTION("""COMPUTED_VALUE"""),450.01)</f>
        <v>450.01</v>
      </c>
      <c r="F2253" s="9">
        <f>IFERROR(__xludf.DUMMYFUNCTION("""COMPUTED_VALUE"""),526089.0)</f>
        <v>526089</v>
      </c>
      <c r="H2253" s="27">
        <f>IFERROR(__xludf.DUMMYFUNCTION("""COMPUTED_VALUE"""),41682.645833333336)</f>
        <v>41682.64583</v>
      </c>
      <c r="I2253" s="25">
        <f>IFERROR(__xludf.DUMMYFUNCTION("""COMPUTED_VALUE"""),1059.0)</f>
        <v>1059</v>
      </c>
      <c r="J2253" s="25">
        <f>IFERROR(__xludf.DUMMYFUNCTION("""COMPUTED_VALUE"""),1061.8)</f>
        <v>1061.8</v>
      </c>
      <c r="K2253" s="25">
        <f>IFERROR(__xludf.DUMMYFUNCTION("""COMPUTED_VALUE"""),1047.5)</f>
        <v>1047.5</v>
      </c>
      <c r="L2253" s="25">
        <f>IFERROR(__xludf.DUMMYFUNCTION("""COMPUTED_VALUE"""),1052.72)</f>
        <v>1052.72</v>
      </c>
      <c r="M2253" s="25">
        <f>IFERROR(__xludf.DUMMYFUNCTION("""COMPUTED_VALUE"""),1537174.0)</f>
        <v>1537174</v>
      </c>
    </row>
    <row r="2254">
      <c r="A2254" s="26">
        <f>IFERROR(__xludf.DUMMYFUNCTION("""COMPUTED_VALUE"""),41683.645833333336)</f>
        <v>41683.64583</v>
      </c>
      <c r="B2254" s="9">
        <f>IFERROR(__xludf.DUMMYFUNCTION("""COMPUTED_VALUE"""),450.6)</f>
        <v>450.6</v>
      </c>
      <c r="C2254" s="9">
        <f>IFERROR(__xludf.DUMMYFUNCTION("""COMPUTED_VALUE"""),452.24)</f>
        <v>452.24</v>
      </c>
      <c r="D2254" s="9">
        <f>IFERROR(__xludf.DUMMYFUNCTION("""COMPUTED_VALUE"""),447.51)</f>
        <v>447.51</v>
      </c>
      <c r="E2254" s="9">
        <f>IFERROR(__xludf.DUMMYFUNCTION("""COMPUTED_VALUE"""),448.23)</f>
        <v>448.23</v>
      </c>
      <c r="F2254" s="9">
        <f>IFERROR(__xludf.DUMMYFUNCTION("""COMPUTED_VALUE"""),448540.0)</f>
        <v>448540</v>
      </c>
      <c r="H2254" s="27">
        <f>IFERROR(__xludf.DUMMYFUNCTION("""COMPUTED_VALUE"""),41683.645833333336)</f>
        <v>41683.64583</v>
      </c>
      <c r="I2254" s="25">
        <f>IFERROR(__xludf.DUMMYFUNCTION("""COMPUTED_VALUE"""),1053.5)</f>
        <v>1053.5</v>
      </c>
      <c r="J2254" s="25">
        <f>IFERROR(__xludf.DUMMYFUNCTION("""COMPUTED_VALUE"""),1069.2)</f>
        <v>1069.2</v>
      </c>
      <c r="K2254" s="25">
        <f>IFERROR(__xludf.DUMMYFUNCTION("""COMPUTED_VALUE"""),1048.25)</f>
        <v>1048.25</v>
      </c>
      <c r="L2254" s="25">
        <f>IFERROR(__xludf.DUMMYFUNCTION("""COMPUTED_VALUE"""),1066.88)</f>
        <v>1066.88</v>
      </c>
      <c r="M2254" s="25">
        <f>IFERROR(__xludf.DUMMYFUNCTION("""COMPUTED_VALUE"""),1047175.0)</f>
        <v>1047175</v>
      </c>
    </row>
    <row r="2255">
      <c r="A2255" s="26">
        <f>IFERROR(__xludf.DUMMYFUNCTION("""COMPUTED_VALUE"""),41684.645833333336)</f>
        <v>41684.64583</v>
      </c>
      <c r="B2255" s="9">
        <f>IFERROR(__xludf.DUMMYFUNCTION("""COMPUTED_VALUE"""),451.94)</f>
        <v>451.94</v>
      </c>
      <c r="C2255" s="9">
        <f>IFERROR(__xludf.DUMMYFUNCTION("""COMPUTED_VALUE"""),458.0)</f>
        <v>458</v>
      </c>
      <c r="D2255" s="9">
        <f>IFERROR(__xludf.DUMMYFUNCTION("""COMPUTED_VALUE"""),450.41)</f>
        <v>450.41</v>
      </c>
      <c r="E2255" s="9">
        <f>IFERROR(__xludf.DUMMYFUNCTION("""COMPUTED_VALUE"""),455.54)</f>
        <v>455.54</v>
      </c>
      <c r="F2255" s="9">
        <f>IFERROR(__xludf.DUMMYFUNCTION("""COMPUTED_VALUE"""),745271.0)</f>
        <v>745271</v>
      </c>
      <c r="H2255" s="27">
        <f>IFERROR(__xludf.DUMMYFUNCTION("""COMPUTED_VALUE"""),41684.645833333336)</f>
        <v>41684.64583</v>
      </c>
      <c r="I2255" s="25">
        <f>IFERROR(__xludf.DUMMYFUNCTION("""COMPUTED_VALUE"""),1068.95)</f>
        <v>1068.95</v>
      </c>
      <c r="J2255" s="25">
        <f>IFERROR(__xludf.DUMMYFUNCTION("""COMPUTED_VALUE"""),1092.38)</f>
        <v>1092.38</v>
      </c>
      <c r="K2255" s="25">
        <f>IFERROR(__xludf.DUMMYFUNCTION("""COMPUTED_VALUE"""),1064.05)</f>
        <v>1064.05</v>
      </c>
      <c r="L2255" s="25">
        <f>IFERROR(__xludf.DUMMYFUNCTION("""COMPUTED_VALUE"""),1083.95)</f>
        <v>1083.95</v>
      </c>
      <c r="M2255" s="25">
        <f>IFERROR(__xludf.DUMMYFUNCTION("""COMPUTED_VALUE"""),955031.0)</f>
        <v>955031</v>
      </c>
    </row>
    <row r="2256">
      <c r="A2256" s="26">
        <f>IFERROR(__xludf.DUMMYFUNCTION("""COMPUTED_VALUE"""),41687.645833333336)</f>
        <v>41687.64583</v>
      </c>
      <c r="B2256" s="9">
        <f>IFERROR(__xludf.DUMMYFUNCTION("""COMPUTED_VALUE"""),460.63)</f>
        <v>460.63</v>
      </c>
      <c r="C2256" s="9">
        <f>IFERROR(__xludf.DUMMYFUNCTION("""COMPUTED_VALUE"""),460.63)</f>
        <v>460.63</v>
      </c>
      <c r="D2256" s="9">
        <f>IFERROR(__xludf.DUMMYFUNCTION("""COMPUTED_VALUE"""),456.11)</f>
        <v>456.11</v>
      </c>
      <c r="E2256" s="9">
        <f>IFERROR(__xludf.DUMMYFUNCTION("""COMPUTED_VALUE"""),457.27)</f>
        <v>457.27</v>
      </c>
      <c r="F2256" s="9">
        <f>IFERROR(__xludf.DUMMYFUNCTION("""COMPUTED_VALUE"""),1696240.0)</f>
        <v>1696240</v>
      </c>
      <c r="H2256" s="27">
        <f>IFERROR(__xludf.DUMMYFUNCTION("""COMPUTED_VALUE"""),41687.645833333336)</f>
        <v>41687.64583</v>
      </c>
      <c r="I2256" s="25">
        <f>IFERROR(__xludf.DUMMYFUNCTION("""COMPUTED_VALUE"""),1080.0)</f>
        <v>1080</v>
      </c>
      <c r="J2256" s="25">
        <f>IFERROR(__xludf.DUMMYFUNCTION("""COMPUTED_VALUE"""),1093.0)</f>
        <v>1093</v>
      </c>
      <c r="K2256" s="25">
        <f>IFERROR(__xludf.DUMMYFUNCTION("""COMPUTED_VALUE"""),1073.6)</f>
        <v>1073.6</v>
      </c>
      <c r="L2256" s="25">
        <f>IFERROR(__xludf.DUMMYFUNCTION("""COMPUTED_VALUE"""),1082.7)</f>
        <v>1082.7</v>
      </c>
      <c r="M2256" s="25">
        <f>IFERROR(__xludf.DUMMYFUNCTION("""COMPUTED_VALUE"""),835197.0)</f>
        <v>835197</v>
      </c>
    </row>
    <row r="2257">
      <c r="A2257" s="26">
        <f>IFERROR(__xludf.DUMMYFUNCTION("""COMPUTED_VALUE"""),41688.645833333336)</f>
        <v>41688.64583</v>
      </c>
      <c r="B2257" s="9">
        <f>IFERROR(__xludf.DUMMYFUNCTION("""COMPUTED_VALUE"""),455.88)</f>
        <v>455.88</v>
      </c>
      <c r="C2257" s="9">
        <f>IFERROR(__xludf.DUMMYFUNCTION("""COMPUTED_VALUE"""),461.83)</f>
        <v>461.83</v>
      </c>
      <c r="D2257" s="9">
        <f>IFERROR(__xludf.DUMMYFUNCTION("""COMPUTED_VALUE"""),455.88)</f>
        <v>455.88</v>
      </c>
      <c r="E2257" s="9">
        <f>IFERROR(__xludf.DUMMYFUNCTION("""COMPUTED_VALUE"""),460.25)</f>
        <v>460.25</v>
      </c>
      <c r="F2257" s="9">
        <f>IFERROR(__xludf.DUMMYFUNCTION("""COMPUTED_VALUE"""),622280.0)</f>
        <v>622280</v>
      </c>
      <c r="H2257" s="27">
        <f>IFERROR(__xludf.DUMMYFUNCTION("""COMPUTED_VALUE"""),41688.645833333336)</f>
        <v>41688.64583</v>
      </c>
      <c r="I2257" s="25">
        <f>IFERROR(__xludf.DUMMYFUNCTION("""COMPUTED_VALUE"""),1082.5)</f>
        <v>1082.5</v>
      </c>
      <c r="J2257" s="25">
        <f>IFERROR(__xludf.DUMMYFUNCTION("""COMPUTED_VALUE"""),1095.5)</f>
        <v>1095.5</v>
      </c>
      <c r="K2257" s="25">
        <f>IFERROR(__xludf.DUMMYFUNCTION("""COMPUTED_VALUE"""),1077.93)</f>
        <v>1077.93</v>
      </c>
      <c r="L2257" s="25">
        <f>IFERROR(__xludf.DUMMYFUNCTION("""COMPUTED_VALUE"""),1083.0)</f>
        <v>1083</v>
      </c>
      <c r="M2257" s="25">
        <f>IFERROR(__xludf.DUMMYFUNCTION("""COMPUTED_VALUE"""),763458.0)</f>
        <v>763458</v>
      </c>
    </row>
    <row r="2258">
      <c r="A2258" s="26">
        <f>IFERROR(__xludf.DUMMYFUNCTION("""COMPUTED_VALUE"""),41690.645833333336)</f>
        <v>41690.64583</v>
      </c>
      <c r="B2258" s="9">
        <f>IFERROR(__xludf.DUMMYFUNCTION("""COMPUTED_VALUE"""),468.11)</f>
        <v>468.11</v>
      </c>
      <c r="C2258" s="9">
        <f>IFERROR(__xludf.DUMMYFUNCTION("""COMPUTED_VALUE"""),468.11)</f>
        <v>468.11</v>
      </c>
      <c r="D2258" s="9">
        <f>IFERROR(__xludf.DUMMYFUNCTION("""COMPUTED_VALUE"""),463.25)</f>
        <v>463.25</v>
      </c>
      <c r="E2258" s="9">
        <f>IFERROR(__xludf.DUMMYFUNCTION("""COMPUTED_VALUE"""),463.91)</f>
        <v>463.91</v>
      </c>
      <c r="F2258" s="9">
        <f>IFERROR(__xludf.DUMMYFUNCTION("""COMPUTED_VALUE"""),1102106.0)</f>
        <v>1102106</v>
      </c>
      <c r="H2258" s="27">
        <f>IFERROR(__xludf.DUMMYFUNCTION("""COMPUTED_VALUE"""),41690.645833333336)</f>
        <v>41690.64583</v>
      </c>
      <c r="I2258" s="25">
        <f>IFERROR(__xludf.DUMMYFUNCTION("""COMPUTED_VALUE"""),1103.0)</f>
        <v>1103</v>
      </c>
      <c r="J2258" s="25">
        <f>IFERROR(__xludf.DUMMYFUNCTION("""COMPUTED_VALUE"""),1111.0)</f>
        <v>1111</v>
      </c>
      <c r="K2258" s="25">
        <f>IFERROR(__xludf.DUMMYFUNCTION("""COMPUTED_VALUE"""),1091.4)</f>
        <v>1091.4</v>
      </c>
      <c r="L2258" s="25">
        <f>IFERROR(__xludf.DUMMYFUNCTION("""COMPUTED_VALUE"""),1094.68)</f>
        <v>1094.68</v>
      </c>
      <c r="M2258" s="25">
        <f>IFERROR(__xludf.DUMMYFUNCTION("""COMPUTED_VALUE"""),793962.0)</f>
        <v>793962</v>
      </c>
    </row>
    <row r="2259">
      <c r="A2259" s="26">
        <f>IFERROR(__xludf.DUMMYFUNCTION("""COMPUTED_VALUE"""),41691.645833333336)</f>
        <v>41691.64583</v>
      </c>
      <c r="B2259" s="9">
        <f>IFERROR(__xludf.DUMMYFUNCTION("""COMPUTED_VALUE"""),467.0)</f>
        <v>467</v>
      </c>
      <c r="C2259" s="9">
        <f>IFERROR(__xludf.DUMMYFUNCTION("""COMPUTED_VALUE"""),469.43)</f>
        <v>469.43</v>
      </c>
      <c r="D2259" s="9">
        <f>IFERROR(__xludf.DUMMYFUNCTION("""COMPUTED_VALUE"""),465.91)</f>
        <v>465.91</v>
      </c>
      <c r="E2259" s="9">
        <f>IFERROR(__xludf.DUMMYFUNCTION("""COMPUTED_VALUE"""),468.84)</f>
        <v>468.84</v>
      </c>
      <c r="F2259" s="9">
        <f>IFERROR(__xludf.DUMMYFUNCTION("""COMPUTED_VALUE"""),689748.0)</f>
        <v>689748</v>
      </c>
      <c r="H2259" s="27">
        <f>IFERROR(__xludf.DUMMYFUNCTION("""COMPUTED_VALUE"""),41691.645833333336)</f>
        <v>41691.64583</v>
      </c>
      <c r="I2259" s="25">
        <f>IFERROR(__xludf.DUMMYFUNCTION("""COMPUTED_VALUE"""),1099.0)</f>
        <v>1099</v>
      </c>
      <c r="J2259" s="25">
        <f>IFERROR(__xludf.DUMMYFUNCTION("""COMPUTED_VALUE"""),1106.5)</f>
        <v>1106.5</v>
      </c>
      <c r="K2259" s="25">
        <f>IFERROR(__xludf.DUMMYFUNCTION("""COMPUTED_VALUE"""),1095.38)</f>
        <v>1095.38</v>
      </c>
      <c r="L2259" s="25">
        <f>IFERROR(__xludf.DUMMYFUNCTION("""COMPUTED_VALUE"""),1102.85)</f>
        <v>1102.85</v>
      </c>
      <c r="M2259" s="25">
        <f>IFERROR(__xludf.DUMMYFUNCTION("""COMPUTED_VALUE"""),858930.0)</f>
        <v>858930</v>
      </c>
    </row>
    <row r="2260">
      <c r="A2260" s="26">
        <f>IFERROR(__xludf.DUMMYFUNCTION("""COMPUTED_VALUE"""),41694.645833333336)</f>
        <v>41694.64583</v>
      </c>
      <c r="B2260" s="9">
        <f>IFERROR(__xludf.DUMMYFUNCTION("""COMPUTED_VALUE"""),468.25)</f>
        <v>468.25</v>
      </c>
      <c r="C2260" s="9">
        <f>IFERROR(__xludf.DUMMYFUNCTION("""COMPUTED_VALUE"""),469.21)</f>
        <v>469.21</v>
      </c>
      <c r="D2260" s="9">
        <f>IFERROR(__xludf.DUMMYFUNCTION("""COMPUTED_VALUE"""),466.25)</f>
        <v>466.25</v>
      </c>
      <c r="E2260" s="9">
        <f>IFERROR(__xludf.DUMMYFUNCTION("""COMPUTED_VALUE"""),468.74)</f>
        <v>468.74</v>
      </c>
      <c r="F2260" s="9">
        <f>IFERROR(__xludf.DUMMYFUNCTION("""COMPUTED_VALUE"""),544701.0)</f>
        <v>544701</v>
      </c>
      <c r="H2260" s="27">
        <f>IFERROR(__xludf.DUMMYFUNCTION("""COMPUTED_VALUE"""),41694.645833333336)</f>
        <v>41694.64583</v>
      </c>
      <c r="I2260" s="25">
        <f>IFERROR(__xludf.DUMMYFUNCTION("""COMPUTED_VALUE"""),1102.0)</f>
        <v>1102</v>
      </c>
      <c r="J2260" s="25">
        <f>IFERROR(__xludf.DUMMYFUNCTION("""COMPUTED_VALUE"""),1102.63)</f>
        <v>1102.63</v>
      </c>
      <c r="K2260" s="25">
        <f>IFERROR(__xludf.DUMMYFUNCTION("""COMPUTED_VALUE"""),1085.05)</f>
        <v>1085.05</v>
      </c>
      <c r="L2260" s="25">
        <f>IFERROR(__xludf.DUMMYFUNCTION("""COMPUTED_VALUE"""),1088.95)</f>
        <v>1088.95</v>
      </c>
      <c r="M2260" s="25">
        <f>IFERROR(__xludf.DUMMYFUNCTION("""COMPUTED_VALUE"""),1225212.0)</f>
        <v>1225212</v>
      </c>
    </row>
    <row r="2261">
      <c r="A2261" s="26">
        <f>IFERROR(__xludf.DUMMYFUNCTION("""COMPUTED_VALUE"""),41695.645833333336)</f>
        <v>41695.64583</v>
      </c>
      <c r="B2261" s="9">
        <f>IFERROR(__xludf.DUMMYFUNCTION("""COMPUTED_VALUE"""),469.38)</f>
        <v>469.38</v>
      </c>
      <c r="C2261" s="9">
        <f>IFERROR(__xludf.DUMMYFUNCTION("""COMPUTED_VALUE"""),474.01)</f>
        <v>474.01</v>
      </c>
      <c r="D2261" s="9">
        <f>IFERROR(__xludf.DUMMYFUNCTION("""COMPUTED_VALUE"""),469.38)</f>
        <v>469.38</v>
      </c>
      <c r="E2261" s="9">
        <f>IFERROR(__xludf.DUMMYFUNCTION("""COMPUTED_VALUE"""),472.86)</f>
        <v>472.86</v>
      </c>
      <c r="F2261" s="9">
        <f>IFERROR(__xludf.DUMMYFUNCTION("""COMPUTED_VALUE"""),1012439.0)</f>
        <v>1012439</v>
      </c>
      <c r="H2261" s="27">
        <f>IFERROR(__xludf.DUMMYFUNCTION("""COMPUTED_VALUE"""),41695.645833333336)</f>
        <v>41695.64583</v>
      </c>
      <c r="I2261" s="25">
        <f>IFERROR(__xludf.DUMMYFUNCTION("""COMPUTED_VALUE"""),1094.5)</f>
        <v>1094.5</v>
      </c>
      <c r="J2261" s="25">
        <f>IFERROR(__xludf.DUMMYFUNCTION("""COMPUTED_VALUE"""),1099.75)</f>
        <v>1099.75</v>
      </c>
      <c r="K2261" s="25">
        <f>IFERROR(__xludf.DUMMYFUNCTION("""COMPUTED_VALUE"""),1090.0)</f>
        <v>1090</v>
      </c>
      <c r="L2261" s="25">
        <f>IFERROR(__xludf.DUMMYFUNCTION("""COMPUTED_VALUE"""),1094.45)</f>
        <v>1094.45</v>
      </c>
      <c r="M2261" s="25">
        <f>IFERROR(__xludf.DUMMYFUNCTION("""COMPUTED_VALUE"""),1652687.0)</f>
        <v>1652687</v>
      </c>
    </row>
    <row r="2262">
      <c r="A2262" s="26">
        <f>IFERROR(__xludf.DUMMYFUNCTION("""COMPUTED_VALUE"""),41696.645833333336)</f>
        <v>41696.64583</v>
      </c>
      <c r="B2262" s="9">
        <f>IFERROR(__xludf.DUMMYFUNCTION("""COMPUTED_VALUE"""),472.5)</f>
        <v>472.5</v>
      </c>
      <c r="C2262" s="9">
        <f>IFERROR(__xludf.DUMMYFUNCTION("""COMPUTED_VALUE"""),477.23)</f>
        <v>477.23</v>
      </c>
      <c r="D2262" s="9">
        <f>IFERROR(__xludf.DUMMYFUNCTION("""COMPUTED_VALUE"""),471.51)</f>
        <v>471.51</v>
      </c>
      <c r="E2262" s="9">
        <f>IFERROR(__xludf.DUMMYFUNCTION("""COMPUTED_VALUE"""),475.94)</f>
        <v>475.94</v>
      </c>
      <c r="F2262" s="9">
        <f>IFERROR(__xludf.DUMMYFUNCTION("""COMPUTED_VALUE"""),919021.0)</f>
        <v>919021</v>
      </c>
      <c r="H2262" s="27">
        <f>IFERROR(__xludf.DUMMYFUNCTION("""COMPUTED_VALUE"""),41696.645833333336)</f>
        <v>41696.64583</v>
      </c>
      <c r="I2262" s="25">
        <f>IFERROR(__xludf.DUMMYFUNCTION("""COMPUTED_VALUE"""),1097.0)</f>
        <v>1097</v>
      </c>
      <c r="J2262" s="25">
        <f>IFERROR(__xludf.DUMMYFUNCTION("""COMPUTED_VALUE"""),1097.5)</f>
        <v>1097.5</v>
      </c>
      <c r="K2262" s="25">
        <f>IFERROR(__xludf.DUMMYFUNCTION("""COMPUTED_VALUE"""),1088.57)</f>
        <v>1088.57</v>
      </c>
      <c r="L2262" s="25">
        <f>IFERROR(__xludf.DUMMYFUNCTION("""COMPUTED_VALUE"""),1091.07)</f>
        <v>1091.07</v>
      </c>
      <c r="M2262" s="25">
        <f>IFERROR(__xludf.DUMMYFUNCTION("""COMPUTED_VALUE"""),1929856.0)</f>
        <v>1929856</v>
      </c>
    </row>
    <row r="2263">
      <c r="A2263" s="26">
        <f>IFERROR(__xludf.DUMMYFUNCTION("""COMPUTED_VALUE"""),41698.645833333336)</f>
        <v>41698.64583</v>
      </c>
      <c r="B2263" s="9">
        <f>IFERROR(__xludf.DUMMYFUNCTION("""COMPUTED_VALUE"""),470.14)</f>
        <v>470.14</v>
      </c>
      <c r="C2263" s="9">
        <f>IFERROR(__xludf.DUMMYFUNCTION("""COMPUTED_VALUE"""),479.64)</f>
        <v>479.64</v>
      </c>
      <c r="D2263" s="9">
        <f>IFERROR(__xludf.DUMMYFUNCTION("""COMPUTED_VALUE"""),470.14)</f>
        <v>470.14</v>
      </c>
      <c r="E2263" s="9">
        <f>IFERROR(__xludf.DUMMYFUNCTION("""COMPUTED_VALUE"""),478.11)</f>
        <v>478.11</v>
      </c>
      <c r="F2263" s="9">
        <f>IFERROR(__xludf.DUMMYFUNCTION("""COMPUTED_VALUE"""),1229937.0)</f>
        <v>1229937</v>
      </c>
      <c r="H2263" s="27">
        <f>IFERROR(__xludf.DUMMYFUNCTION("""COMPUTED_VALUE"""),41698.645833333336)</f>
        <v>41698.64583</v>
      </c>
      <c r="I2263" s="25">
        <f>IFERROR(__xludf.DUMMYFUNCTION("""COMPUTED_VALUE"""),1080.5)</f>
        <v>1080.5</v>
      </c>
      <c r="J2263" s="25">
        <f>IFERROR(__xludf.DUMMYFUNCTION("""COMPUTED_VALUE"""),1140.0)</f>
        <v>1140</v>
      </c>
      <c r="K2263" s="25">
        <f>IFERROR(__xludf.DUMMYFUNCTION("""COMPUTED_VALUE"""),1080.07)</f>
        <v>1080.07</v>
      </c>
      <c r="L2263" s="25">
        <f>IFERROR(__xludf.DUMMYFUNCTION("""COMPUTED_VALUE"""),1137.88)</f>
        <v>1137.88</v>
      </c>
      <c r="M2263" s="25">
        <f>IFERROR(__xludf.DUMMYFUNCTION("""COMPUTED_VALUE"""),1994096.0)</f>
        <v>1994096</v>
      </c>
    </row>
    <row r="2264">
      <c r="A2264" s="26">
        <f>IFERROR(__xludf.DUMMYFUNCTION("""COMPUTED_VALUE"""),41701.645833333336)</f>
        <v>41701.64583</v>
      </c>
      <c r="B2264" s="9">
        <f>IFERROR(__xludf.DUMMYFUNCTION("""COMPUTED_VALUE"""),478.13)</f>
        <v>478.13</v>
      </c>
      <c r="C2264" s="9">
        <f>IFERROR(__xludf.DUMMYFUNCTION("""COMPUTED_VALUE"""),481.24)</f>
        <v>481.24</v>
      </c>
      <c r="D2264" s="9">
        <f>IFERROR(__xludf.DUMMYFUNCTION("""COMPUTED_VALUE"""),473.99)</f>
        <v>473.99</v>
      </c>
      <c r="E2264" s="9">
        <f>IFERROR(__xludf.DUMMYFUNCTION("""COMPUTED_VALUE"""),474.78)</f>
        <v>474.78</v>
      </c>
      <c r="F2264" s="9">
        <f>IFERROR(__xludf.DUMMYFUNCTION("""COMPUTED_VALUE"""),900522.0)</f>
        <v>900522</v>
      </c>
      <c r="H2264" s="27">
        <f>IFERROR(__xludf.DUMMYFUNCTION("""COMPUTED_VALUE"""),41701.645833333336)</f>
        <v>41701.64583</v>
      </c>
      <c r="I2264" s="25">
        <f>IFERROR(__xludf.DUMMYFUNCTION("""COMPUTED_VALUE"""),1135.9)</f>
        <v>1135.9</v>
      </c>
      <c r="J2264" s="25">
        <f>IFERROR(__xludf.DUMMYFUNCTION("""COMPUTED_VALUE"""),1149.5)</f>
        <v>1149.5</v>
      </c>
      <c r="K2264" s="25">
        <f>IFERROR(__xludf.DUMMYFUNCTION("""COMPUTED_VALUE"""),1114.0)</f>
        <v>1114</v>
      </c>
      <c r="L2264" s="25">
        <f>IFERROR(__xludf.DUMMYFUNCTION("""COMPUTED_VALUE"""),1120.03)</f>
        <v>1120.03</v>
      </c>
      <c r="M2264" s="25">
        <f>IFERROR(__xludf.DUMMYFUNCTION("""COMPUTED_VALUE"""),803039.0)</f>
        <v>803039</v>
      </c>
    </row>
    <row r="2265">
      <c r="A2265" s="26">
        <f>IFERROR(__xludf.DUMMYFUNCTION("""COMPUTED_VALUE"""),41702.645833333336)</f>
        <v>41702.64583</v>
      </c>
      <c r="B2265" s="9">
        <f>IFERROR(__xludf.DUMMYFUNCTION("""COMPUTED_VALUE"""),471.25)</f>
        <v>471.25</v>
      </c>
      <c r="C2265" s="9">
        <f>IFERROR(__xludf.DUMMYFUNCTION("""COMPUTED_VALUE"""),478.06)</f>
        <v>478.06</v>
      </c>
      <c r="D2265" s="9">
        <f>IFERROR(__xludf.DUMMYFUNCTION("""COMPUTED_VALUE"""),470.24)</f>
        <v>470.24</v>
      </c>
      <c r="E2265" s="9">
        <f>IFERROR(__xludf.DUMMYFUNCTION("""COMPUTED_VALUE"""),474.94)</f>
        <v>474.94</v>
      </c>
      <c r="F2265" s="9">
        <f>IFERROR(__xludf.DUMMYFUNCTION("""COMPUTED_VALUE"""),867239.0)</f>
        <v>867239</v>
      </c>
      <c r="H2265" s="27">
        <f>IFERROR(__xludf.DUMMYFUNCTION("""COMPUTED_VALUE"""),41702.645833333336)</f>
        <v>41702.64583</v>
      </c>
      <c r="I2265" s="25">
        <f>IFERROR(__xludf.DUMMYFUNCTION("""COMPUTED_VALUE"""),1116.6)</f>
        <v>1116.6</v>
      </c>
      <c r="J2265" s="25">
        <f>IFERROR(__xludf.DUMMYFUNCTION("""COMPUTED_VALUE"""),1127.0)</f>
        <v>1127</v>
      </c>
      <c r="K2265" s="25">
        <f>IFERROR(__xludf.DUMMYFUNCTION("""COMPUTED_VALUE"""),1112.0)</f>
        <v>1112</v>
      </c>
      <c r="L2265" s="25">
        <f>IFERROR(__xludf.DUMMYFUNCTION("""COMPUTED_VALUE"""),1120.32)</f>
        <v>1120.32</v>
      </c>
      <c r="M2265" s="25">
        <f>IFERROR(__xludf.DUMMYFUNCTION("""COMPUTED_VALUE"""),1015166.0)</f>
        <v>1015166</v>
      </c>
    </row>
    <row r="2266">
      <c r="A2266" s="26">
        <f>IFERROR(__xludf.DUMMYFUNCTION("""COMPUTED_VALUE"""),41703.645833333336)</f>
        <v>41703.64583</v>
      </c>
      <c r="B2266" s="9">
        <f>IFERROR(__xludf.DUMMYFUNCTION("""COMPUTED_VALUE"""),478.49)</f>
        <v>478.49</v>
      </c>
      <c r="C2266" s="9">
        <f>IFERROR(__xludf.DUMMYFUNCTION("""COMPUTED_VALUE"""),480.55)</f>
        <v>480.55</v>
      </c>
      <c r="D2266" s="9">
        <f>IFERROR(__xludf.DUMMYFUNCTION("""COMPUTED_VALUE"""),476.24)</f>
        <v>476.24</v>
      </c>
      <c r="E2266" s="9">
        <f>IFERROR(__xludf.DUMMYFUNCTION("""COMPUTED_VALUE"""),477.71)</f>
        <v>477.71</v>
      </c>
      <c r="F2266" s="9">
        <f>IFERROR(__xludf.DUMMYFUNCTION("""COMPUTED_VALUE"""),617938.0)</f>
        <v>617938</v>
      </c>
      <c r="H2266" s="27">
        <f>IFERROR(__xludf.DUMMYFUNCTION("""COMPUTED_VALUE"""),41703.645833333336)</f>
        <v>41703.64583</v>
      </c>
      <c r="I2266" s="25">
        <f>IFERROR(__xludf.DUMMYFUNCTION("""COMPUTED_VALUE"""),1127.43)</f>
        <v>1127.43</v>
      </c>
      <c r="J2266" s="25">
        <f>IFERROR(__xludf.DUMMYFUNCTION("""COMPUTED_VALUE"""),1143.13)</f>
        <v>1143.13</v>
      </c>
      <c r="K2266" s="25">
        <f>IFERROR(__xludf.DUMMYFUNCTION("""COMPUTED_VALUE"""),1121.28)</f>
        <v>1121.28</v>
      </c>
      <c r="L2266" s="25">
        <f>IFERROR(__xludf.DUMMYFUNCTION("""COMPUTED_VALUE"""),1125.95)</f>
        <v>1125.95</v>
      </c>
      <c r="M2266" s="25">
        <f>IFERROR(__xludf.DUMMYFUNCTION("""COMPUTED_VALUE"""),1151003.0)</f>
        <v>1151003</v>
      </c>
    </row>
    <row r="2267">
      <c r="A2267" s="26">
        <f>IFERROR(__xludf.DUMMYFUNCTION("""COMPUTED_VALUE"""),41704.645833333336)</f>
        <v>41704.64583</v>
      </c>
      <c r="B2267" s="9">
        <f>IFERROR(__xludf.DUMMYFUNCTION("""COMPUTED_VALUE"""),479.75)</f>
        <v>479.75</v>
      </c>
      <c r="C2267" s="9">
        <f>IFERROR(__xludf.DUMMYFUNCTION("""COMPUTED_VALUE"""),481.24)</f>
        <v>481.24</v>
      </c>
      <c r="D2267" s="9">
        <f>IFERROR(__xludf.DUMMYFUNCTION("""COMPUTED_VALUE"""),477.17)</f>
        <v>477.17</v>
      </c>
      <c r="E2267" s="9">
        <f>IFERROR(__xludf.DUMMYFUNCTION("""COMPUTED_VALUE"""),478.99)</f>
        <v>478.99</v>
      </c>
      <c r="F2267" s="9">
        <f>IFERROR(__xludf.DUMMYFUNCTION("""COMPUTED_VALUE"""),778289.0)</f>
        <v>778289</v>
      </c>
      <c r="H2267" s="27">
        <f>IFERROR(__xludf.DUMMYFUNCTION("""COMPUTED_VALUE"""),41704.645833333336)</f>
        <v>41704.64583</v>
      </c>
      <c r="I2267" s="25">
        <f>IFERROR(__xludf.DUMMYFUNCTION("""COMPUTED_VALUE"""),1126.43)</f>
        <v>1126.43</v>
      </c>
      <c r="J2267" s="25">
        <f>IFERROR(__xludf.DUMMYFUNCTION("""COMPUTED_VALUE"""),1130.0)</f>
        <v>1130</v>
      </c>
      <c r="K2267" s="25">
        <f>IFERROR(__xludf.DUMMYFUNCTION("""COMPUTED_VALUE"""),1116.07)</f>
        <v>1116.07</v>
      </c>
      <c r="L2267" s="25">
        <f>IFERROR(__xludf.DUMMYFUNCTION("""COMPUTED_VALUE"""),1120.38)</f>
        <v>1120.38</v>
      </c>
      <c r="M2267" s="25">
        <f>IFERROR(__xludf.DUMMYFUNCTION("""COMPUTED_VALUE"""),657281.0)</f>
        <v>657281</v>
      </c>
    </row>
    <row r="2268">
      <c r="A2268" s="26">
        <f>IFERROR(__xludf.DUMMYFUNCTION("""COMPUTED_VALUE"""),41705.645833333336)</f>
        <v>41705.64583</v>
      </c>
      <c r="B2268" s="9">
        <f>IFERROR(__xludf.DUMMYFUNCTION("""COMPUTED_VALUE"""),478.38)</f>
        <v>478.38</v>
      </c>
      <c r="C2268" s="9">
        <f>IFERROR(__xludf.DUMMYFUNCTION("""COMPUTED_VALUE"""),479.25)</f>
        <v>479.25</v>
      </c>
      <c r="D2268" s="9">
        <f>IFERROR(__xludf.DUMMYFUNCTION("""COMPUTED_VALUE"""),463.54)</f>
        <v>463.54</v>
      </c>
      <c r="E2268" s="9">
        <f>IFERROR(__xludf.DUMMYFUNCTION("""COMPUTED_VALUE"""),467.54)</f>
        <v>467.54</v>
      </c>
      <c r="F2268" s="9">
        <f>IFERROR(__xludf.DUMMYFUNCTION("""COMPUTED_VALUE"""),1884093.0)</f>
        <v>1884093</v>
      </c>
      <c r="H2268" s="27">
        <f>IFERROR(__xludf.DUMMYFUNCTION("""COMPUTED_VALUE"""),41705.645833333336)</f>
        <v>41705.64583</v>
      </c>
      <c r="I2268" s="25">
        <f>IFERROR(__xludf.DUMMYFUNCTION("""COMPUTED_VALUE"""),1122.75)</f>
        <v>1122.75</v>
      </c>
      <c r="J2268" s="25">
        <f>IFERROR(__xludf.DUMMYFUNCTION("""COMPUTED_VALUE"""),1125.03)</f>
        <v>1125.03</v>
      </c>
      <c r="K2268" s="25">
        <f>IFERROR(__xludf.DUMMYFUNCTION("""COMPUTED_VALUE"""),1076.4)</f>
        <v>1076.4</v>
      </c>
      <c r="L2268" s="25">
        <f>IFERROR(__xludf.DUMMYFUNCTION("""COMPUTED_VALUE"""),1114.25)</f>
        <v>1114.25</v>
      </c>
      <c r="M2268" s="25">
        <f>IFERROR(__xludf.DUMMYFUNCTION("""COMPUTED_VALUE"""),2349236.0)</f>
        <v>2349236</v>
      </c>
    </row>
    <row r="2269">
      <c r="A2269" s="26">
        <f>IFERROR(__xludf.DUMMYFUNCTION("""COMPUTED_VALUE"""),41708.645833333336)</f>
        <v>41708.64583</v>
      </c>
      <c r="B2269" s="9">
        <f>IFERROR(__xludf.DUMMYFUNCTION("""COMPUTED_VALUE"""),466.21)</f>
        <v>466.21</v>
      </c>
      <c r="C2269" s="9">
        <f>IFERROR(__xludf.DUMMYFUNCTION("""COMPUTED_VALUE"""),466.21)</f>
        <v>466.21</v>
      </c>
      <c r="D2269" s="9">
        <f>IFERROR(__xludf.DUMMYFUNCTION("""COMPUTED_VALUE"""),455.66)</f>
        <v>455.66</v>
      </c>
      <c r="E2269" s="9">
        <f>IFERROR(__xludf.DUMMYFUNCTION("""COMPUTED_VALUE"""),458.95)</f>
        <v>458.95</v>
      </c>
      <c r="F2269" s="9">
        <f>IFERROR(__xludf.DUMMYFUNCTION("""COMPUTED_VALUE"""),929059.0)</f>
        <v>929059</v>
      </c>
      <c r="H2269" s="27">
        <f>IFERROR(__xludf.DUMMYFUNCTION("""COMPUTED_VALUE"""),41708.645833333336)</f>
        <v>41708.64583</v>
      </c>
      <c r="I2269" s="25">
        <f>IFERROR(__xludf.DUMMYFUNCTION("""COMPUTED_VALUE"""),1114.05)</f>
        <v>1114.05</v>
      </c>
      <c r="J2269" s="25">
        <f>IFERROR(__xludf.DUMMYFUNCTION("""COMPUTED_VALUE"""),1114.25)</f>
        <v>1114.25</v>
      </c>
      <c r="K2269" s="25">
        <f>IFERROR(__xludf.DUMMYFUNCTION("""COMPUTED_VALUE"""),1067.5)</f>
        <v>1067.5</v>
      </c>
      <c r="L2269" s="25">
        <f>IFERROR(__xludf.DUMMYFUNCTION("""COMPUTED_VALUE"""),1071.32)</f>
        <v>1071.32</v>
      </c>
      <c r="M2269" s="25">
        <f>IFERROR(__xludf.DUMMYFUNCTION("""COMPUTED_VALUE"""),1914884.0)</f>
        <v>1914884</v>
      </c>
    </row>
    <row r="2270">
      <c r="A2270" s="26">
        <f>IFERROR(__xludf.DUMMYFUNCTION("""COMPUTED_VALUE"""),41709.645833333336)</f>
        <v>41709.64583</v>
      </c>
      <c r="B2270" s="9">
        <f>IFERROR(__xludf.DUMMYFUNCTION("""COMPUTED_VALUE"""),456.63)</f>
        <v>456.63</v>
      </c>
      <c r="C2270" s="9">
        <f>IFERROR(__xludf.DUMMYFUNCTION("""COMPUTED_VALUE"""),463.61)</f>
        <v>463.61</v>
      </c>
      <c r="D2270" s="9">
        <f>IFERROR(__xludf.DUMMYFUNCTION("""COMPUTED_VALUE"""),453.88)</f>
        <v>453.88</v>
      </c>
      <c r="E2270" s="9">
        <f>IFERROR(__xludf.DUMMYFUNCTION("""COMPUTED_VALUE"""),459.42)</f>
        <v>459.42</v>
      </c>
      <c r="F2270" s="9">
        <f>IFERROR(__xludf.DUMMYFUNCTION("""COMPUTED_VALUE"""),515534.0)</f>
        <v>515534</v>
      </c>
      <c r="H2270" s="27">
        <f>IFERROR(__xludf.DUMMYFUNCTION("""COMPUTED_VALUE"""),41709.645833333336)</f>
        <v>41709.64583</v>
      </c>
      <c r="I2270" s="25">
        <f>IFERROR(__xludf.DUMMYFUNCTION("""COMPUTED_VALUE"""),1077.5)</f>
        <v>1077.5</v>
      </c>
      <c r="J2270" s="25">
        <f>IFERROR(__xludf.DUMMYFUNCTION("""COMPUTED_VALUE"""),1088.82)</f>
        <v>1088.82</v>
      </c>
      <c r="K2270" s="25">
        <f>IFERROR(__xludf.DUMMYFUNCTION("""COMPUTED_VALUE"""),1061.0)</f>
        <v>1061</v>
      </c>
      <c r="L2270" s="25">
        <f>IFERROR(__xludf.DUMMYFUNCTION("""COMPUTED_VALUE"""),1075.82)</f>
        <v>1075.82</v>
      </c>
      <c r="M2270" s="25">
        <f>IFERROR(__xludf.DUMMYFUNCTION("""COMPUTED_VALUE"""),1275127.0)</f>
        <v>1275127</v>
      </c>
    </row>
    <row r="2271">
      <c r="A2271" s="26">
        <f>IFERROR(__xludf.DUMMYFUNCTION("""COMPUTED_VALUE"""),41710.645833333336)</f>
        <v>41710.64583</v>
      </c>
      <c r="B2271" s="9">
        <f>IFERROR(__xludf.DUMMYFUNCTION("""COMPUTED_VALUE"""),459.18)</f>
        <v>459.18</v>
      </c>
      <c r="C2271" s="9">
        <f>IFERROR(__xludf.DUMMYFUNCTION("""COMPUTED_VALUE"""),462.92)</f>
        <v>462.92</v>
      </c>
      <c r="D2271" s="9">
        <f>IFERROR(__xludf.DUMMYFUNCTION("""COMPUTED_VALUE"""),456.5)</f>
        <v>456.5</v>
      </c>
      <c r="E2271" s="9">
        <f>IFERROR(__xludf.DUMMYFUNCTION("""COMPUTED_VALUE"""),458.91)</f>
        <v>458.91</v>
      </c>
      <c r="F2271" s="9">
        <f>IFERROR(__xludf.DUMMYFUNCTION("""COMPUTED_VALUE"""),492513.0)</f>
        <v>492513</v>
      </c>
      <c r="H2271" s="27">
        <f>IFERROR(__xludf.DUMMYFUNCTION("""COMPUTED_VALUE"""),41710.645833333336)</f>
        <v>41710.64583</v>
      </c>
      <c r="I2271" s="25">
        <f>IFERROR(__xludf.DUMMYFUNCTION("""COMPUTED_VALUE"""),1076.5)</f>
        <v>1076.5</v>
      </c>
      <c r="J2271" s="25">
        <f>IFERROR(__xludf.DUMMYFUNCTION("""COMPUTED_VALUE"""),1094.88)</f>
        <v>1094.88</v>
      </c>
      <c r="K2271" s="25">
        <f>IFERROR(__xludf.DUMMYFUNCTION("""COMPUTED_VALUE"""),1076.5)</f>
        <v>1076.5</v>
      </c>
      <c r="L2271" s="25">
        <f>IFERROR(__xludf.DUMMYFUNCTION("""COMPUTED_VALUE"""),1089.72)</f>
        <v>1089.72</v>
      </c>
      <c r="M2271" s="25">
        <f>IFERROR(__xludf.DUMMYFUNCTION("""COMPUTED_VALUE"""),834894.0)</f>
        <v>834894</v>
      </c>
    </row>
    <row r="2272">
      <c r="A2272" s="26">
        <f>IFERROR(__xludf.DUMMYFUNCTION("""COMPUTED_VALUE"""),41711.645833333336)</f>
        <v>41711.64583</v>
      </c>
      <c r="B2272" s="9">
        <f>IFERROR(__xludf.DUMMYFUNCTION("""COMPUTED_VALUE"""),427.5)</f>
        <v>427.5</v>
      </c>
      <c r="C2272" s="9">
        <f>IFERROR(__xludf.DUMMYFUNCTION("""COMPUTED_VALUE"""),429.99)</f>
        <v>429.99</v>
      </c>
      <c r="D2272" s="9">
        <f>IFERROR(__xludf.DUMMYFUNCTION("""COMPUTED_VALUE"""),417.5)</f>
        <v>417.5</v>
      </c>
      <c r="E2272" s="9">
        <f>IFERROR(__xludf.DUMMYFUNCTION("""COMPUTED_VALUE"""),419.7)</f>
        <v>419.7</v>
      </c>
      <c r="F2272" s="9">
        <f>IFERROR(__xludf.DUMMYFUNCTION("""COMPUTED_VALUE"""),5098860.0)</f>
        <v>5098860</v>
      </c>
      <c r="H2272" s="27">
        <f>IFERROR(__xludf.DUMMYFUNCTION("""COMPUTED_VALUE"""),41711.645833333336)</f>
        <v>41711.64583</v>
      </c>
      <c r="I2272" s="25">
        <f>IFERROR(__xludf.DUMMYFUNCTION("""COMPUTED_VALUE"""),1074.03)</f>
        <v>1074.03</v>
      </c>
      <c r="J2272" s="25">
        <f>IFERROR(__xludf.DUMMYFUNCTION("""COMPUTED_VALUE"""),1101.0)</f>
        <v>1101</v>
      </c>
      <c r="K2272" s="25">
        <f>IFERROR(__xludf.DUMMYFUNCTION("""COMPUTED_VALUE"""),1068.43)</f>
        <v>1068.43</v>
      </c>
      <c r="L2272" s="25">
        <f>IFERROR(__xludf.DUMMYFUNCTION("""COMPUTED_VALUE"""),1074.78)</f>
        <v>1074.78</v>
      </c>
      <c r="M2272" s="25">
        <f>IFERROR(__xludf.DUMMYFUNCTION("""COMPUTED_VALUE"""),1009942.0)</f>
        <v>1009942</v>
      </c>
    </row>
    <row r="2273">
      <c r="A2273" s="26">
        <f>IFERROR(__xludf.DUMMYFUNCTION("""COMPUTED_VALUE"""),41712.645833333336)</f>
        <v>41712.64583</v>
      </c>
      <c r="B2273" s="9">
        <f>IFERROR(__xludf.DUMMYFUNCTION("""COMPUTED_VALUE"""),417.5)</f>
        <v>417.5</v>
      </c>
      <c r="C2273" s="9">
        <f>IFERROR(__xludf.DUMMYFUNCTION("""COMPUTED_VALUE"""),425.49)</f>
        <v>425.49</v>
      </c>
      <c r="D2273" s="9">
        <f>IFERROR(__xludf.DUMMYFUNCTION("""COMPUTED_VALUE"""),416.88)</f>
        <v>416.88</v>
      </c>
      <c r="E2273" s="9">
        <f>IFERROR(__xludf.DUMMYFUNCTION("""COMPUTED_VALUE"""),424.27)</f>
        <v>424.27</v>
      </c>
      <c r="F2273" s="9">
        <f>IFERROR(__xludf.DUMMYFUNCTION("""COMPUTED_VALUE"""),1395943.0)</f>
        <v>1395943</v>
      </c>
      <c r="H2273" s="27">
        <f>IFERROR(__xludf.DUMMYFUNCTION("""COMPUTED_VALUE"""),41712.645833333336)</f>
        <v>41712.64583</v>
      </c>
      <c r="I2273" s="25">
        <f>IFERROR(__xludf.DUMMYFUNCTION("""COMPUTED_VALUE"""),1070.5)</f>
        <v>1070.5</v>
      </c>
      <c r="J2273" s="25">
        <f>IFERROR(__xludf.DUMMYFUNCTION("""COMPUTED_VALUE"""),1080.25)</f>
        <v>1080.25</v>
      </c>
      <c r="K2273" s="25">
        <f>IFERROR(__xludf.DUMMYFUNCTION("""COMPUTED_VALUE"""),1062.15)</f>
        <v>1062.15</v>
      </c>
      <c r="L2273" s="25">
        <f>IFERROR(__xludf.DUMMYFUNCTION("""COMPUTED_VALUE"""),1069.78)</f>
        <v>1069.78</v>
      </c>
      <c r="M2273" s="25">
        <f>IFERROR(__xludf.DUMMYFUNCTION("""COMPUTED_VALUE"""),1080623.0)</f>
        <v>1080623</v>
      </c>
    </row>
    <row r="2274">
      <c r="A2274" s="26">
        <f>IFERROR(__xludf.DUMMYFUNCTION("""COMPUTED_VALUE"""),41716.645833333336)</f>
        <v>41716.64583</v>
      </c>
      <c r="B2274" s="9">
        <f>IFERROR(__xludf.DUMMYFUNCTION("""COMPUTED_VALUE"""),425.0)</f>
        <v>425</v>
      </c>
      <c r="C2274" s="9">
        <f>IFERROR(__xludf.DUMMYFUNCTION("""COMPUTED_VALUE"""),426.49)</f>
        <v>426.49</v>
      </c>
      <c r="D2274" s="9">
        <f>IFERROR(__xludf.DUMMYFUNCTION("""COMPUTED_VALUE"""),417.5)</f>
        <v>417.5</v>
      </c>
      <c r="E2274" s="9">
        <f>IFERROR(__xludf.DUMMYFUNCTION("""COMPUTED_VALUE"""),418.82)</f>
        <v>418.82</v>
      </c>
      <c r="F2274" s="9">
        <f>IFERROR(__xludf.DUMMYFUNCTION("""COMPUTED_VALUE"""),1475539.0)</f>
        <v>1475539</v>
      </c>
      <c r="H2274" s="27">
        <f>IFERROR(__xludf.DUMMYFUNCTION("""COMPUTED_VALUE"""),41716.645833333336)</f>
        <v>41716.64583</v>
      </c>
      <c r="I2274" s="25">
        <f>IFERROR(__xludf.DUMMYFUNCTION("""COMPUTED_VALUE"""),1067.75)</f>
        <v>1067.75</v>
      </c>
      <c r="J2274" s="25">
        <f>IFERROR(__xludf.DUMMYFUNCTION("""COMPUTED_VALUE"""),1075.9)</f>
        <v>1075.9</v>
      </c>
      <c r="K2274" s="25">
        <f>IFERROR(__xludf.DUMMYFUNCTION("""COMPUTED_VALUE"""),1052.13)</f>
        <v>1052.13</v>
      </c>
      <c r="L2274" s="25">
        <f>IFERROR(__xludf.DUMMYFUNCTION("""COMPUTED_VALUE"""),1061.0)</f>
        <v>1061</v>
      </c>
      <c r="M2274" s="25">
        <f>IFERROR(__xludf.DUMMYFUNCTION("""COMPUTED_VALUE"""),1282921.0)</f>
        <v>1282921</v>
      </c>
    </row>
    <row r="2275">
      <c r="A2275" s="26">
        <f>IFERROR(__xludf.DUMMYFUNCTION("""COMPUTED_VALUE"""),41717.645833333336)</f>
        <v>41717.64583</v>
      </c>
      <c r="B2275" s="9">
        <f>IFERROR(__xludf.DUMMYFUNCTION("""COMPUTED_VALUE"""),418.75)</f>
        <v>418.75</v>
      </c>
      <c r="C2275" s="9">
        <f>IFERROR(__xludf.DUMMYFUNCTION("""COMPUTED_VALUE"""),419.73)</f>
        <v>419.73</v>
      </c>
      <c r="D2275" s="9">
        <f>IFERROR(__xludf.DUMMYFUNCTION("""COMPUTED_VALUE"""),404.84)</f>
        <v>404.84</v>
      </c>
      <c r="E2275" s="9">
        <f>IFERROR(__xludf.DUMMYFUNCTION("""COMPUTED_VALUE"""),408.97)</f>
        <v>408.97</v>
      </c>
      <c r="F2275" s="9">
        <f>IFERROR(__xludf.DUMMYFUNCTION("""COMPUTED_VALUE"""),1972231.0)</f>
        <v>1972231</v>
      </c>
      <c r="H2275" s="27">
        <f>IFERROR(__xludf.DUMMYFUNCTION("""COMPUTED_VALUE"""),41717.645833333336)</f>
        <v>41717.64583</v>
      </c>
      <c r="I2275" s="25">
        <f>IFERROR(__xludf.DUMMYFUNCTION("""COMPUTED_VALUE"""),1037.5)</f>
        <v>1037.5</v>
      </c>
      <c r="J2275" s="25">
        <f>IFERROR(__xludf.DUMMYFUNCTION("""COMPUTED_VALUE"""),1037.5)</f>
        <v>1037.5</v>
      </c>
      <c r="K2275" s="25">
        <f>IFERROR(__xludf.DUMMYFUNCTION("""COMPUTED_VALUE"""),1006.53)</f>
        <v>1006.53</v>
      </c>
      <c r="L2275" s="25">
        <f>IFERROR(__xludf.DUMMYFUNCTION("""COMPUTED_VALUE"""),1019.7)</f>
        <v>1019.7</v>
      </c>
      <c r="M2275" s="25">
        <f>IFERROR(__xludf.DUMMYFUNCTION("""COMPUTED_VALUE"""),4326331.0)</f>
        <v>4326331</v>
      </c>
    </row>
    <row r="2276">
      <c r="A2276" s="26">
        <f>IFERROR(__xludf.DUMMYFUNCTION("""COMPUTED_VALUE"""),41718.645833333336)</f>
        <v>41718.64583</v>
      </c>
      <c r="B2276" s="9">
        <f>IFERROR(__xludf.DUMMYFUNCTION("""COMPUTED_VALUE"""),408.75)</f>
        <v>408.75</v>
      </c>
      <c r="C2276" s="9">
        <f>IFERROR(__xludf.DUMMYFUNCTION("""COMPUTED_VALUE"""),418.69)</f>
        <v>418.69</v>
      </c>
      <c r="D2276" s="9">
        <f>IFERROR(__xludf.DUMMYFUNCTION("""COMPUTED_VALUE"""),408.75)</f>
        <v>408.75</v>
      </c>
      <c r="E2276" s="9">
        <f>IFERROR(__xludf.DUMMYFUNCTION("""COMPUTED_VALUE"""),412.88)</f>
        <v>412.88</v>
      </c>
      <c r="F2276" s="9">
        <f>IFERROR(__xludf.DUMMYFUNCTION("""COMPUTED_VALUE"""),1002879.0)</f>
        <v>1002879</v>
      </c>
      <c r="H2276" s="27">
        <f>IFERROR(__xludf.DUMMYFUNCTION("""COMPUTED_VALUE"""),41718.645833333336)</f>
        <v>41718.64583</v>
      </c>
      <c r="I2276" s="25">
        <f>IFERROR(__xludf.DUMMYFUNCTION("""COMPUTED_VALUE"""),1019.0)</f>
        <v>1019</v>
      </c>
      <c r="J2276" s="25">
        <f>IFERROR(__xludf.DUMMYFUNCTION("""COMPUTED_VALUE"""),1061.45)</f>
        <v>1061.45</v>
      </c>
      <c r="K2276" s="25">
        <f>IFERROR(__xludf.DUMMYFUNCTION("""COMPUTED_VALUE"""),1005.7)</f>
        <v>1005.7</v>
      </c>
      <c r="L2276" s="25">
        <f>IFERROR(__xludf.DUMMYFUNCTION("""COMPUTED_VALUE"""),1054.1)</f>
        <v>1054.1</v>
      </c>
      <c r="M2276" s="25">
        <f>IFERROR(__xludf.DUMMYFUNCTION("""COMPUTED_VALUE"""),2864478.0)</f>
        <v>2864478</v>
      </c>
    </row>
    <row r="2277">
      <c r="A2277" s="26">
        <f>IFERROR(__xludf.DUMMYFUNCTION("""COMPUTED_VALUE"""),41719.645833333336)</f>
        <v>41719.64583</v>
      </c>
      <c r="B2277" s="9">
        <f>IFERROR(__xludf.DUMMYFUNCTION("""COMPUTED_VALUE"""),416.25)</f>
        <v>416.25</v>
      </c>
      <c r="C2277" s="9">
        <f>IFERROR(__xludf.DUMMYFUNCTION("""COMPUTED_VALUE"""),417.25)</f>
        <v>417.25</v>
      </c>
      <c r="D2277" s="9">
        <f>IFERROR(__xludf.DUMMYFUNCTION("""COMPUTED_VALUE"""),408.81)</f>
        <v>408.81</v>
      </c>
      <c r="E2277" s="9">
        <f>IFERROR(__xludf.DUMMYFUNCTION("""COMPUTED_VALUE"""),413.21)</f>
        <v>413.21</v>
      </c>
      <c r="F2277" s="9">
        <f>IFERROR(__xludf.DUMMYFUNCTION("""COMPUTED_VALUE"""),1547540.0)</f>
        <v>1547540</v>
      </c>
      <c r="H2277" s="27">
        <f>IFERROR(__xludf.DUMMYFUNCTION("""COMPUTED_VALUE"""),41719.645833333336)</f>
        <v>41719.64583</v>
      </c>
      <c r="I2277" s="25">
        <f>IFERROR(__xludf.DUMMYFUNCTION("""COMPUTED_VALUE"""),1062.5)</f>
        <v>1062.5</v>
      </c>
      <c r="J2277" s="25">
        <f>IFERROR(__xludf.DUMMYFUNCTION("""COMPUTED_VALUE"""),1072.5)</f>
        <v>1072.5</v>
      </c>
      <c r="K2277" s="25">
        <f>IFERROR(__xludf.DUMMYFUNCTION("""COMPUTED_VALUE"""),1042.5)</f>
        <v>1042.5</v>
      </c>
      <c r="L2277" s="25">
        <f>IFERROR(__xludf.DUMMYFUNCTION("""COMPUTED_VALUE"""),1063.5)</f>
        <v>1063.5</v>
      </c>
      <c r="M2277" s="25">
        <f>IFERROR(__xludf.DUMMYFUNCTION("""COMPUTED_VALUE"""),2340388.0)</f>
        <v>2340388</v>
      </c>
    </row>
    <row r="2278">
      <c r="A2278" s="26">
        <f>IFERROR(__xludf.DUMMYFUNCTION("""COMPUTED_VALUE"""),41722.645833333336)</f>
        <v>41722.64583</v>
      </c>
      <c r="B2278" s="9">
        <f>IFERROR(__xludf.DUMMYFUNCTION("""COMPUTED_VALUE"""),409.03)</f>
        <v>409.03</v>
      </c>
      <c r="C2278" s="9">
        <f>IFERROR(__xludf.DUMMYFUNCTION("""COMPUTED_VALUE"""),414.81)</f>
        <v>414.81</v>
      </c>
      <c r="D2278" s="9">
        <f>IFERROR(__xludf.DUMMYFUNCTION("""COMPUTED_VALUE"""),408.75)</f>
        <v>408.75</v>
      </c>
      <c r="E2278" s="9">
        <f>IFERROR(__xludf.DUMMYFUNCTION("""COMPUTED_VALUE"""),409.48)</f>
        <v>409.48</v>
      </c>
      <c r="F2278" s="9">
        <f>IFERROR(__xludf.DUMMYFUNCTION("""COMPUTED_VALUE"""),1020043.0)</f>
        <v>1020043</v>
      </c>
      <c r="H2278" s="27">
        <f>IFERROR(__xludf.DUMMYFUNCTION("""COMPUTED_VALUE"""),41722.645833333336)</f>
        <v>41722.64583</v>
      </c>
      <c r="I2278" s="25">
        <f>IFERROR(__xludf.DUMMYFUNCTION("""COMPUTED_VALUE"""),1068.47)</f>
        <v>1068.47</v>
      </c>
      <c r="J2278" s="25">
        <f>IFERROR(__xludf.DUMMYFUNCTION("""COMPUTED_VALUE"""),1078.97)</f>
        <v>1078.97</v>
      </c>
      <c r="K2278" s="25">
        <f>IFERROR(__xludf.DUMMYFUNCTION("""COMPUTED_VALUE"""),1063.07)</f>
        <v>1063.07</v>
      </c>
      <c r="L2278" s="25">
        <f>IFERROR(__xludf.DUMMYFUNCTION("""COMPUTED_VALUE"""),1076.3)</f>
        <v>1076.3</v>
      </c>
      <c r="M2278" s="25">
        <f>IFERROR(__xludf.DUMMYFUNCTION("""COMPUTED_VALUE"""),1091507.0)</f>
        <v>1091507</v>
      </c>
    </row>
    <row r="2279">
      <c r="A2279" s="26">
        <f>IFERROR(__xludf.DUMMYFUNCTION("""COMPUTED_VALUE"""),41723.645833333336)</f>
        <v>41723.64583</v>
      </c>
      <c r="B2279" s="9">
        <f>IFERROR(__xludf.DUMMYFUNCTION("""COMPUTED_VALUE"""),406.0)</f>
        <v>406</v>
      </c>
      <c r="C2279" s="9">
        <f>IFERROR(__xludf.DUMMYFUNCTION("""COMPUTED_VALUE"""),409.96)</f>
        <v>409.96</v>
      </c>
      <c r="D2279" s="9">
        <f>IFERROR(__xludf.DUMMYFUNCTION("""COMPUTED_VALUE"""),405.75)</f>
        <v>405.75</v>
      </c>
      <c r="E2279" s="9">
        <f>IFERROR(__xludf.DUMMYFUNCTION("""COMPUTED_VALUE"""),406.8)</f>
        <v>406.8</v>
      </c>
      <c r="F2279" s="9">
        <f>IFERROR(__xludf.DUMMYFUNCTION("""COMPUTED_VALUE"""),943508.0)</f>
        <v>943508</v>
      </c>
      <c r="H2279" s="27">
        <f>IFERROR(__xludf.DUMMYFUNCTION("""COMPUTED_VALUE"""),41723.645833333336)</f>
        <v>41723.64583</v>
      </c>
      <c r="I2279" s="25">
        <f>IFERROR(__xludf.DUMMYFUNCTION("""COMPUTED_VALUE"""),1072.0)</f>
        <v>1072</v>
      </c>
      <c r="J2279" s="25">
        <f>IFERROR(__xludf.DUMMYFUNCTION("""COMPUTED_VALUE"""),1086.0)</f>
        <v>1086</v>
      </c>
      <c r="K2279" s="25">
        <f>IFERROR(__xludf.DUMMYFUNCTION("""COMPUTED_VALUE"""),1065.0)</f>
        <v>1065</v>
      </c>
      <c r="L2279" s="25">
        <f>IFERROR(__xludf.DUMMYFUNCTION("""COMPUTED_VALUE"""),1073.32)</f>
        <v>1073.32</v>
      </c>
      <c r="M2279" s="25">
        <f>IFERROR(__xludf.DUMMYFUNCTION("""COMPUTED_VALUE"""),1124984.0)</f>
        <v>1124984</v>
      </c>
    </row>
    <row r="2280">
      <c r="A2280" s="26">
        <f>IFERROR(__xludf.DUMMYFUNCTION("""COMPUTED_VALUE"""),41724.645833333336)</f>
        <v>41724.64583</v>
      </c>
      <c r="B2280" s="9">
        <f>IFERROR(__xludf.DUMMYFUNCTION("""COMPUTED_VALUE"""),407.5)</f>
        <v>407.5</v>
      </c>
      <c r="C2280" s="9">
        <f>IFERROR(__xludf.DUMMYFUNCTION("""COMPUTED_VALUE"""),408.62)</f>
        <v>408.62</v>
      </c>
      <c r="D2280" s="9">
        <f>IFERROR(__xludf.DUMMYFUNCTION("""COMPUTED_VALUE"""),403.83)</f>
        <v>403.83</v>
      </c>
      <c r="E2280" s="9">
        <f>IFERROR(__xludf.DUMMYFUNCTION("""COMPUTED_VALUE"""),406.11)</f>
        <v>406.11</v>
      </c>
      <c r="F2280" s="9">
        <f>IFERROR(__xludf.DUMMYFUNCTION("""COMPUTED_VALUE"""),1057321.0)</f>
        <v>1057321</v>
      </c>
      <c r="H2280" s="27">
        <f>IFERROR(__xludf.DUMMYFUNCTION("""COMPUTED_VALUE"""),41724.645833333336)</f>
        <v>41724.64583</v>
      </c>
      <c r="I2280" s="25">
        <f>IFERROR(__xludf.DUMMYFUNCTION("""COMPUTED_VALUE"""),1074.03)</f>
        <v>1074.03</v>
      </c>
      <c r="J2280" s="25">
        <f>IFERROR(__xludf.DUMMYFUNCTION("""COMPUTED_VALUE"""),1079.25)</f>
        <v>1079.25</v>
      </c>
      <c r="K2280" s="25">
        <f>IFERROR(__xludf.DUMMYFUNCTION("""COMPUTED_VALUE"""),1043.78)</f>
        <v>1043.78</v>
      </c>
      <c r="L2280" s="25">
        <f>IFERROR(__xludf.DUMMYFUNCTION("""COMPUTED_VALUE"""),1046.75)</f>
        <v>1046.75</v>
      </c>
      <c r="M2280" s="25">
        <f>IFERROR(__xludf.DUMMYFUNCTION("""COMPUTED_VALUE"""),1596175.0)</f>
        <v>1596175</v>
      </c>
    </row>
    <row r="2281">
      <c r="A2281" s="26">
        <f>IFERROR(__xludf.DUMMYFUNCTION("""COMPUTED_VALUE"""),41725.645833333336)</f>
        <v>41725.64583</v>
      </c>
      <c r="B2281" s="9">
        <f>IFERROR(__xludf.DUMMYFUNCTION("""COMPUTED_VALUE"""),406.0)</f>
        <v>406</v>
      </c>
      <c r="C2281" s="9">
        <f>IFERROR(__xludf.DUMMYFUNCTION("""COMPUTED_VALUE"""),407.86)</f>
        <v>407.86</v>
      </c>
      <c r="D2281" s="9">
        <f>IFERROR(__xludf.DUMMYFUNCTION("""COMPUTED_VALUE"""),401.99)</f>
        <v>401.99</v>
      </c>
      <c r="E2281" s="9">
        <f>IFERROR(__xludf.DUMMYFUNCTION("""COMPUTED_VALUE"""),403.88)</f>
        <v>403.88</v>
      </c>
      <c r="F2281" s="9">
        <f>IFERROR(__xludf.DUMMYFUNCTION("""COMPUTED_VALUE"""),1699921.0)</f>
        <v>1699921</v>
      </c>
      <c r="H2281" s="27">
        <f>IFERROR(__xludf.DUMMYFUNCTION("""COMPUTED_VALUE"""),41725.645833333336)</f>
        <v>41725.64583</v>
      </c>
      <c r="I2281" s="25">
        <f>IFERROR(__xludf.DUMMYFUNCTION("""COMPUTED_VALUE"""),1050.47)</f>
        <v>1050.47</v>
      </c>
      <c r="J2281" s="25">
        <f>IFERROR(__xludf.DUMMYFUNCTION("""COMPUTED_VALUE"""),1057.5)</f>
        <v>1057.5</v>
      </c>
      <c r="K2281" s="25">
        <f>IFERROR(__xludf.DUMMYFUNCTION("""COMPUTED_VALUE"""),1032.53)</f>
        <v>1032.53</v>
      </c>
      <c r="L2281" s="25">
        <f>IFERROR(__xludf.DUMMYFUNCTION("""COMPUTED_VALUE"""),1047.13)</f>
        <v>1047.13</v>
      </c>
      <c r="M2281" s="25">
        <f>IFERROR(__xludf.DUMMYFUNCTION("""COMPUTED_VALUE"""),2506238.0)</f>
        <v>2506238</v>
      </c>
    </row>
    <row r="2282">
      <c r="A2282" s="26">
        <f>IFERROR(__xludf.DUMMYFUNCTION("""COMPUTED_VALUE"""),41726.645833333336)</f>
        <v>41726.64583</v>
      </c>
      <c r="B2282" s="9">
        <f>IFERROR(__xludf.DUMMYFUNCTION("""COMPUTED_VALUE"""),405.01)</f>
        <v>405.01</v>
      </c>
      <c r="C2282" s="9">
        <f>IFERROR(__xludf.DUMMYFUNCTION("""COMPUTED_VALUE"""),409.88)</f>
        <v>409.88</v>
      </c>
      <c r="D2282" s="9">
        <f>IFERROR(__xludf.DUMMYFUNCTION("""COMPUTED_VALUE"""),403.41)</f>
        <v>403.41</v>
      </c>
      <c r="E2282" s="9">
        <f>IFERROR(__xludf.DUMMYFUNCTION("""COMPUTED_VALUE"""),407.83)</f>
        <v>407.83</v>
      </c>
      <c r="F2282" s="9">
        <f>IFERROR(__xludf.DUMMYFUNCTION("""COMPUTED_VALUE"""),893353.0)</f>
        <v>893353</v>
      </c>
      <c r="H2282" s="27">
        <f>IFERROR(__xludf.DUMMYFUNCTION("""COMPUTED_VALUE"""),41726.645833333336)</f>
        <v>41726.64583</v>
      </c>
      <c r="I2282" s="25">
        <f>IFERROR(__xludf.DUMMYFUNCTION("""COMPUTED_VALUE"""),1048.5)</f>
        <v>1048.5</v>
      </c>
      <c r="J2282" s="25">
        <f>IFERROR(__xludf.DUMMYFUNCTION("""COMPUTED_VALUE"""),1061.43)</f>
        <v>1061.43</v>
      </c>
      <c r="K2282" s="25">
        <f>IFERROR(__xludf.DUMMYFUNCTION("""COMPUTED_VALUE"""),1040.03)</f>
        <v>1040.03</v>
      </c>
      <c r="L2282" s="25">
        <f>IFERROR(__xludf.DUMMYFUNCTION("""COMPUTED_VALUE"""),1051.05)</f>
        <v>1051.05</v>
      </c>
      <c r="M2282" s="25">
        <f>IFERROR(__xludf.DUMMYFUNCTION("""COMPUTED_VALUE"""),1485581.0)</f>
        <v>1485581</v>
      </c>
    </row>
    <row r="2283">
      <c r="A2283" s="26">
        <f>IFERROR(__xludf.DUMMYFUNCTION("""COMPUTED_VALUE"""),41729.645833333336)</f>
        <v>41729.64583</v>
      </c>
      <c r="B2283" s="9">
        <f>IFERROR(__xludf.DUMMYFUNCTION("""COMPUTED_VALUE"""),410.66)</f>
        <v>410.66</v>
      </c>
      <c r="C2283" s="9">
        <f>IFERROR(__xludf.DUMMYFUNCTION("""COMPUTED_VALUE"""),413.12)</f>
        <v>413.12</v>
      </c>
      <c r="D2283" s="9">
        <f>IFERROR(__xludf.DUMMYFUNCTION("""COMPUTED_VALUE"""),403.76)</f>
        <v>403.76</v>
      </c>
      <c r="E2283" s="9">
        <f>IFERROR(__xludf.DUMMYFUNCTION("""COMPUTED_VALUE"""),410.35)</f>
        <v>410.35</v>
      </c>
      <c r="F2283" s="9">
        <f>IFERROR(__xludf.DUMMYFUNCTION("""COMPUTED_VALUE"""),1147116.0)</f>
        <v>1147116</v>
      </c>
      <c r="H2283" s="27">
        <f>IFERROR(__xludf.DUMMYFUNCTION("""COMPUTED_VALUE"""),41729.645833333336)</f>
        <v>41729.64583</v>
      </c>
      <c r="I2283" s="25">
        <f>IFERROR(__xludf.DUMMYFUNCTION("""COMPUTED_VALUE"""),1052.0)</f>
        <v>1052</v>
      </c>
      <c r="J2283" s="25">
        <f>IFERROR(__xludf.DUMMYFUNCTION("""COMPUTED_VALUE"""),1072.47)</f>
        <v>1072.47</v>
      </c>
      <c r="K2283" s="25">
        <f>IFERROR(__xludf.DUMMYFUNCTION("""COMPUTED_VALUE"""),1041.0)</f>
        <v>1041</v>
      </c>
      <c r="L2283" s="25">
        <f>IFERROR(__xludf.DUMMYFUNCTION("""COMPUTED_VALUE"""),1066.57)</f>
        <v>1066.57</v>
      </c>
      <c r="M2283" s="25">
        <f>IFERROR(__xludf.DUMMYFUNCTION("""COMPUTED_VALUE"""),1341634.0)</f>
        <v>1341634</v>
      </c>
    </row>
    <row r="2284">
      <c r="A2284" s="26">
        <f>IFERROR(__xludf.DUMMYFUNCTION("""COMPUTED_VALUE"""),41730.645833333336)</f>
        <v>41730.64583</v>
      </c>
      <c r="B2284" s="9">
        <f>IFERROR(__xludf.DUMMYFUNCTION("""COMPUTED_VALUE"""),410.38)</f>
        <v>410.38</v>
      </c>
      <c r="C2284" s="9">
        <f>IFERROR(__xludf.DUMMYFUNCTION("""COMPUTED_VALUE"""),415.63)</f>
        <v>415.63</v>
      </c>
      <c r="D2284" s="9">
        <f>IFERROR(__xludf.DUMMYFUNCTION("""COMPUTED_VALUE"""),409.38)</f>
        <v>409.38</v>
      </c>
      <c r="E2284" s="9">
        <f>IFERROR(__xludf.DUMMYFUNCTION("""COMPUTED_VALUE"""),414.24)</f>
        <v>414.24</v>
      </c>
      <c r="F2284" s="9">
        <f>IFERROR(__xludf.DUMMYFUNCTION("""COMPUTED_VALUE"""),1078544.0)</f>
        <v>1078544</v>
      </c>
      <c r="H2284" s="27">
        <f>IFERROR(__xludf.DUMMYFUNCTION("""COMPUTED_VALUE"""),41730.645833333336)</f>
        <v>41730.64583</v>
      </c>
      <c r="I2284" s="25">
        <f>IFERROR(__xludf.DUMMYFUNCTION("""COMPUTED_VALUE"""),1072.5)</f>
        <v>1072.5</v>
      </c>
      <c r="J2284" s="25">
        <f>IFERROR(__xludf.DUMMYFUNCTION("""COMPUTED_VALUE"""),1092.5)</f>
        <v>1092.5</v>
      </c>
      <c r="K2284" s="25">
        <f>IFERROR(__xludf.DUMMYFUNCTION("""COMPUTED_VALUE"""),1072.45)</f>
        <v>1072.45</v>
      </c>
      <c r="L2284" s="25">
        <f>IFERROR(__xludf.DUMMYFUNCTION("""COMPUTED_VALUE"""),1088.35)</f>
        <v>1088.35</v>
      </c>
      <c r="M2284" s="25">
        <f>IFERROR(__xludf.DUMMYFUNCTION("""COMPUTED_VALUE"""),1377966.0)</f>
        <v>1377966</v>
      </c>
    </row>
    <row r="2285">
      <c r="A2285" s="26">
        <f>IFERROR(__xludf.DUMMYFUNCTION("""COMPUTED_VALUE"""),41731.645833333336)</f>
        <v>41731.64583</v>
      </c>
      <c r="B2285" s="9">
        <f>IFERROR(__xludf.DUMMYFUNCTION("""COMPUTED_VALUE"""),418.6)</f>
        <v>418.6</v>
      </c>
      <c r="C2285" s="9">
        <f>IFERROR(__xludf.DUMMYFUNCTION("""COMPUTED_VALUE"""),418.75)</f>
        <v>418.75</v>
      </c>
      <c r="D2285" s="9">
        <f>IFERROR(__xludf.DUMMYFUNCTION("""COMPUTED_VALUE"""),413.81)</f>
        <v>413.81</v>
      </c>
      <c r="E2285" s="9">
        <f>IFERROR(__xludf.DUMMYFUNCTION("""COMPUTED_VALUE"""),415.26)</f>
        <v>415.26</v>
      </c>
      <c r="F2285" s="9">
        <f>IFERROR(__xludf.DUMMYFUNCTION("""COMPUTED_VALUE"""),705550.0)</f>
        <v>705550</v>
      </c>
      <c r="H2285" s="27">
        <f>IFERROR(__xludf.DUMMYFUNCTION("""COMPUTED_VALUE"""),41731.645833333336)</f>
        <v>41731.64583</v>
      </c>
      <c r="I2285" s="25">
        <f>IFERROR(__xludf.DUMMYFUNCTION("""COMPUTED_VALUE"""),1095.0)</f>
        <v>1095</v>
      </c>
      <c r="J2285" s="25">
        <f>IFERROR(__xludf.DUMMYFUNCTION("""COMPUTED_VALUE"""),1101.0)</f>
        <v>1101</v>
      </c>
      <c r="K2285" s="25">
        <f>IFERROR(__xludf.DUMMYFUNCTION("""COMPUTED_VALUE"""),1080.53)</f>
        <v>1080.53</v>
      </c>
      <c r="L2285" s="25">
        <f>IFERROR(__xludf.DUMMYFUNCTION("""COMPUTED_VALUE"""),1086.13)</f>
        <v>1086.13</v>
      </c>
      <c r="M2285" s="25">
        <f>IFERROR(__xludf.DUMMYFUNCTION("""COMPUTED_VALUE"""),1881508.0)</f>
        <v>1881508</v>
      </c>
    </row>
    <row r="2286">
      <c r="A2286" s="26">
        <f>IFERROR(__xludf.DUMMYFUNCTION("""COMPUTED_VALUE"""),41732.645833333336)</f>
        <v>41732.64583</v>
      </c>
      <c r="B2286" s="9">
        <f>IFERROR(__xludf.DUMMYFUNCTION("""COMPUTED_VALUE"""),417.44)</f>
        <v>417.44</v>
      </c>
      <c r="C2286" s="9">
        <f>IFERROR(__xludf.DUMMYFUNCTION("""COMPUTED_VALUE"""),418.5)</f>
        <v>418.5</v>
      </c>
      <c r="D2286" s="9">
        <f>IFERROR(__xludf.DUMMYFUNCTION("""COMPUTED_VALUE"""),414.88)</f>
        <v>414.88</v>
      </c>
      <c r="E2286" s="9">
        <f>IFERROR(__xludf.DUMMYFUNCTION("""COMPUTED_VALUE"""),417.27)</f>
        <v>417.27</v>
      </c>
      <c r="F2286" s="9">
        <f>IFERROR(__xludf.DUMMYFUNCTION("""COMPUTED_VALUE"""),587527.0)</f>
        <v>587527</v>
      </c>
      <c r="H2286" s="27">
        <f>IFERROR(__xludf.DUMMYFUNCTION("""COMPUTED_VALUE"""),41732.645833333336)</f>
        <v>41732.64583</v>
      </c>
      <c r="I2286" s="25">
        <f>IFERROR(__xludf.DUMMYFUNCTION("""COMPUTED_VALUE"""),1086.43)</f>
        <v>1086.43</v>
      </c>
      <c r="J2286" s="25">
        <f>IFERROR(__xludf.DUMMYFUNCTION("""COMPUTED_VALUE"""),1091.0)</f>
        <v>1091</v>
      </c>
      <c r="K2286" s="25">
        <f>IFERROR(__xludf.DUMMYFUNCTION("""COMPUTED_VALUE"""),1073.8)</f>
        <v>1073.8</v>
      </c>
      <c r="L2286" s="25">
        <f>IFERROR(__xludf.DUMMYFUNCTION("""COMPUTED_VALUE"""),1083.25)</f>
        <v>1083.25</v>
      </c>
      <c r="M2286" s="25">
        <f>IFERROR(__xludf.DUMMYFUNCTION("""COMPUTED_VALUE"""),790597.0)</f>
        <v>790597</v>
      </c>
    </row>
    <row r="2287">
      <c r="A2287" s="26">
        <f>IFERROR(__xludf.DUMMYFUNCTION("""COMPUTED_VALUE"""),41733.645833333336)</f>
        <v>41733.64583</v>
      </c>
      <c r="B2287" s="9">
        <f>IFERROR(__xludf.DUMMYFUNCTION("""COMPUTED_VALUE"""),418.88)</f>
        <v>418.88</v>
      </c>
      <c r="C2287" s="9">
        <f>IFERROR(__xludf.DUMMYFUNCTION("""COMPUTED_VALUE"""),419.5)</f>
        <v>419.5</v>
      </c>
      <c r="D2287" s="9">
        <f>IFERROR(__xludf.DUMMYFUNCTION("""COMPUTED_VALUE"""),413.26)</f>
        <v>413.26</v>
      </c>
      <c r="E2287" s="9">
        <f>IFERROR(__xludf.DUMMYFUNCTION("""COMPUTED_VALUE"""),414.51)</f>
        <v>414.51</v>
      </c>
      <c r="F2287" s="9">
        <f>IFERROR(__xludf.DUMMYFUNCTION("""COMPUTED_VALUE"""),490698.0)</f>
        <v>490698</v>
      </c>
      <c r="H2287" s="27">
        <f>IFERROR(__xludf.DUMMYFUNCTION("""COMPUTED_VALUE"""),41733.645833333336)</f>
        <v>41733.64583</v>
      </c>
      <c r="I2287" s="25">
        <f>IFERROR(__xludf.DUMMYFUNCTION("""COMPUTED_VALUE"""),1086.0)</f>
        <v>1086</v>
      </c>
      <c r="J2287" s="25">
        <f>IFERROR(__xludf.DUMMYFUNCTION("""COMPUTED_VALUE"""),1093.5)</f>
        <v>1093.5</v>
      </c>
      <c r="K2287" s="25">
        <f>IFERROR(__xludf.DUMMYFUNCTION("""COMPUTED_VALUE"""),1065.0)</f>
        <v>1065</v>
      </c>
      <c r="L2287" s="25">
        <f>IFERROR(__xludf.DUMMYFUNCTION("""COMPUTED_VALUE"""),1069.43)</f>
        <v>1069.43</v>
      </c>
      <c r="M2287" s="25">
        <f>IFERROR(__xludf.DUMMYFUNCTION("""COMPUTED_VALUE"""),847328.0)</f>
        <v>847328</v>
      </c>
    </row>
    <row r="2288">
      <c r="A2288" s="26">
        <f>IFERROR(__xludf.DUMMYFUNCTION("""COMPUTED_VALUE"""),41736.645833333336)</f>
        <v>41736.64583</v>
      </c>
      <c r="B2288" s="9">
        <f>IFERROR(__xludf.DUMMYFUNCTION("""COMPUTED_VALUE"""),412.25)</f>
        <v>412.25</v>
      </c>
      <c r="C2288" s="9">
        <f>IFERROR(__xludf.DUMMYFUNCTION("""COMPUTED_VALUE"""),414.31)</f>
        <v>414.31</v>
      </c>
      <c r="D2288" s="9">
        <f>IFERROR(__xludf.DUMMYFUNCTION("""COMPUTED_VALUE"""),407.0)</f>
        <v>407</v>
      </c>
      <c r="E2288" s="9">
        <f>IFERROR(__xludf.DUMMYFUNCTION("""COMPUTED_VALUE"""),411.68)</f>
        <v>411.68</v>
      </c>
      <c r="F2288" s="9">
        <f>IFERROR(__xludf.DUMMYFUNCTION("""COMPUTED_VALUE"""),887193.0)</f>
        <v>887193</v>
      </c>
      <c r="H2288" s="27">
        <f>IFERROR(__xludf.DUMMYFUNCTION("""COMPUTED_VALUE"""),41736.645833333336)</f>
        <v>41736.64583</v>
      </c>
      <c r="I2288" s="25">
        <f>IFERROR(__xludf.DUMMYFUNCTION("""COMPUTED_VALUE"""),1065.05)</f>
        <v>1065.05</v>
      </c>
      <c r="J2288" s="25">
        <f>IFERROR(__xludf.DUMMYFUNCTION("""COMPUTED_VALUE"""),1082.97)</f>
        <v>1082.97</v>
      </c>
      <c r="K2288" s="25">
        <f>IFERROR(__xludf.DUMMYFUNCTION("""COMPUTED_VALUE"""),1060.35)</f>
        <v>1060.35</v>
      </c>
      <c r="L2288" s="25">
        <f>IFERROR(__xludf.DUMMYFUNCTION("""COMPUTED_VALUE"""),1076.9)</f>
        <v>1076.9</v>
      </c>
      <c r="M2288" s="25">
        <f>IFERROR(__xludf.DUMMYFUNCTION("""COMPUTED_VALUE"""),1297493.0)</f>
        <v>1297493</v>
      </c>
    </row>
    <row r="2289">
      <c r="A2289" s="26">
        <f>IFERROR(__xludf.DUMMYFUNCTION("""COMPUTED_VALUE"""),41738.645833333336)</f>
        <v>41738.64583</v>
      </c>
      <c r="B2289" s="9">
        <f>IFERROR(__xludf.DUMMYFUNCTION("""COMPUTED_VALUE"""),410.13)</f>
        <v>410.13</v>
      </c>
      <c r="C2289" s="9">
        <f>IFERROR(__xludf.DUMMYFUNCTION("""COMPUTED_VALUE"""),413.73)</f>
        <v>413.73</v>
      </c>
      <c r="D2289" s="9">
        <f>IFERROR(__xludf.DUMMYFUNCTION("""COMPUTED_VALUE"""),403.81)</f>
        <v>403.81</v>
      </c>
      <c r="E2289" s="9">
        <f>IFERROR(__xludf.DUMMYFUNCTION("""COMPUTED_VALUE"""),406.82)</f>
        <v>406.82</v>
      </c>
      <c r="F2289" s="9">
        <f>IFERROR(__xludf.DUMMYFUNCTION("""COMPUTED_VALUE"""),1333085.0)</f>
        <v>1333085</v>
      </c>
      <c r="H2289" s="27">
        <f>IFERROR(__xludf.DUMMYFUNCTION("""COMPUTED_VALUE"""),41738.645833333336)</f>
        <v>41738.64583</v>
      </c>
      <c r="I2289" s="25">
        <f>IFERROR(__xludf.DUMMYFUNCTION("""COMPUTED_VALUE"""),1076.0)</f>
        <v>1076</v>
      </c>
      <c r="J2289" s="25">
        <f>IFERROR(__xludf.DUMMYFUNCTION("""COMPUTED_VALUE"""),1081.0)</f>
        <v>1081</v>
      </c>
      <c r="K2289" s="25">
        <f>IFERROR(__xludf.DUMMYFUNCTION("""COMPUTED_VALUE"""),1052.5)</f>
        <v>1052.5</v>
      </c>
      <c r="L2289" s="25">
        <f>IFERROR(__xludf.DUMMYFUNCTION("""COMPUTED_VALUE"""),1070.2)</f>
        <v>1070.2</v>
      </c>
      <c r="M2289" s="25">
        <f>IFERROR(__xludf.DUMMYFUNCTION("""COMPUTED_VALUE"""),1675250.0)</f>
        <v>1675250</v>
      </c>
    </row>
    <row r="2290">
      <c r="A2290" s="26">
        <f>IFERROR(__xludf.DUMMYFUNCTION("""COMPUTED_VALUE"""),41739.645833333336)</f>
        <v>41739.64583</v>
      </c>
      <c r="B2290" s="9">
        <f>IFERROR(__xludf.DUMMYFUNCTION("""COMPUTED_VALUE"""),406.81)</f>
        <v>406.81</v>
      </c>
      <c r="C2290" s="9">
        <f>IFERROR(__xludf.DUMMYFUNCTION("""COMPUTED_VALUE"""),407.22)</f>
        <v>407.22</v>
      </c>
      <c r="D2290" s="9">
        <f>IFERROR(__xludf.DUMMYFUNCTION("""COMPUTED_VALUE"""),398.27)</f>
        <v>398.27</v>
      </c>
      <c r="E2290" s="9">
        <f>IFERROR(__xludf.DUMMYFUNCTION("""COMPUTED_VALUE"""),400.15)</f>
        <v>400.15</v>
      </c>
      <c r="F2290" s="9">
        <f>IFERROR(__xludf.DUMMYFUNCTION("""COMPUTED_VALUE"""),2657905.0)</f>
        <v>2657905</v>
      </c>
      <c r="H2290" s="27">
        <f>IFERROR(__xludf.DUMMYFUNCTION("""COMPUTED_VALUE"""),41739.645833333336)</f>
        <v>41739.64583</v>
      </c>
      <c r="I2290" s="25">
        <f>IFERROR(__xludf.DUMMYFUNCTION("""COMPUTED_VALUE"""),1070.2)</f>
        <v>1070.2</v>
      </c>
      <c r="J2290" s="25">
        <f>IFERROR(__xludf.DUMMYFUNCTION("""COMPUTED_VALUE"""),1074.32)</f>
        <v>1074.32</v>
      </c>
      <c r="K2290" s="25">
        <f>IFERROR(__xludf.DUMMYFUNCTION("""COMPUTED_VALUE"""),1057.6)</f>
        <v>1057.6</v>
      </c>
      <c r="L2290" s="25">
        <f>IFERROR(__xludf.DUMMYFUNCTION("""COMPUTED_VALUE"""),1063.07)</f>
        <v>1063.07</v>
      </c>
      <c r="M2290" s="25">
        <f>IFERROR(__xludf.DUMMYFUNCTION("""COMPUTED_VALUE"""),1076443.0)</f>
        <v>1076443</v>
      </c>
    </row>
    <row r="2291">
      <c r="A2291" s="26">
        <f>IFERROR(__xludf.DUMMYFUNCTION("""COMPUTED_VALUE"""),41740.645833333336)</f>
        <v>41740.64583</v>
      </c>
      <c r="B2291" s="9">
        <f>IFERROR(__xludf.DUMMYFUNCTION("""COMPUTED_VALUE"""),401.25)</f>
        <v>401.25</v>
      </c>
      <c r="C2291" s="9">
        <f>IFERROR(__xludf.DUMMYFUNCTION("""COMPUTED_VALUE"""),406.95)</f>
        <v>406.95</v>
      </c>
      <c r="D2291" s="9">
        <f>IFERROR(__xludf.DUMMYFUNCTION("""COMPUTED_VALUE"""),395.63)</f>
        <v>395.63</v>
      </c>
      <c r="E2291" s="9">
        <f>IFERROR(__xludf.DUMMYFUNCTION("""COMPUTED_VALUE"""),404.39)</f>
        <v>404.39</v>
      </c>
      <c r="F2291" s="9">
        <f>IFERROR(__xludf.DUMMYFUNCTION("""COMPUTED_VALUE"""),2334792.0)</f>
        <v>2334792</v>
      </c>
      <c r="H2291" s="27">
        <f>IFERROR(__xludf.DUMMYFUNCTION("""COMPUTED_VALUE"""),41740.645833333336)</f>
        <v>41740.64583</v>
      </c>
      <c r="I2291" s="25">
        <f>IFERROR(__xludf.DUMMYFUNCTION("""COMPUTED_VALUE"""),1059.0)</f>
        <v>1059</v>
      </c>
      <c r="J2291" s="25">
        <f>IFERROR(__xludf.DUMMYFUNCTION("""COMPUTED_VALUE"""),1087.45)</f>
        <v>1087.45</v>
      </c>
      <c r="K2291" s="25">
        <f>IFERROR(__xludf.DUMMYFUNCTION("""COMPUTED_VALUE"""),1050.0)</f>
        <v>1050</v>
      </c>
      <c r="L2291" s="25">
        <f>IFERROR(__xludf.DUMMYFUNCTION("""COMPUTED_VALUE"""),1082.05)</f>
        <v>1082.05</v>
      </c>
      <c r="M2291" s="25">
        <f>IFERROR(__xludf.DUMMYFUNCTION("""COMPUTED_VALUE"""),1170371.0)</f>
        <v>1170371</v>
      </c>
    </row>
    <row r="2292">
      <c r="A2292" s="26">
        <f>IFERROR(__xludf.DUMMYFUNCTION("""COMPUTED_VALUE"""),41744.645833333336)</f>
        <v>41744.64583</v>
      </c>
      <c r="B2292" s="9">
        <f>IFERROR(__xludf.DUMMYFUNCTION("""COMPUTED_VALUE"""),416.53)</f>
        <v>416.53</v>
      </c>
      <c r="C2292" s="9">
        <f>IFERROR(__xludf.DUMMYFUNCTION("""COMPUTED_VALUE"""),423.5)</f>
        <v>423.5</v>
      </c>
      <c r="D2292" s="9">
        <f>IFERROR(__xludf.DUMMYFUNCTION("""COMPUTED_VALUE"""),405.94)</f>
        <v>405.94</v>
      </c>
      <c r="E2292" s="9">
        <f>IFERROR(__xludf.DUMMYFUNCTION("""COMPUTED_VALUE"""),407.48)</f>
        <v>407.48</v>
      </c>
      <c r="F2292" s="9">
        <f>IFERROR(__xludf.DUMMYFUNCTION("""COMPUTED_VALUE"""),2597798.0)</f>
        <v>2597798</v>
      </c>
      <c r="H2292" s="27">
        <f>IFERROR(__xludf.DUMMYFUNCTION("""COMPUTED_VALUE"""),41744.645833333336)</f>
        <v>41744.64583</v>
      </c>
      <c r="I2292" s="25">
        <f>IFERROR(__xludf.DUMMYFUNCTION("""COMPUTED_VALUE"""),1090.5)</f>
        <v>1090.5</v>
      </c>
      <c r="J2292" s="25">
        <f>IFERROR(__xludf.DUMMYFUNCTION("""COMPUTED_VALUE"""),1129.0)</f>
        <v>1129</v>
      </c>
      <c r="K2292" s="25">
        <f>IFERROR(__xludf.DUMMYFUNCTION("""COMPUTED_VALUE"""),1087.03)</f>
        <v>1087.03</v>
      </c>
      <c r="L2292" s="25">
        <f>IFERROR(__xludf.DUMMYFUNCTION("""COMPUTED_VALUE"""),1126.38)</f>
        <v>1126.38</v>
      </c>
      <c r="M2292" s="25">
        <f>IFERROR(__xludf.DUMMYFUNCTION("""COMPUTED_VALUE"""),1798622.0)</f>
        <v>1798622</v>
      </c>
    </row>
    <row r="2293">
      <c r="A2293" s="26">
        <f>IFERROR(__xludf.DUMMYFUNCTION("""COMPUTED_VALUE"""),41745.645833333336)</f>
        <v>41745.64583</v>
      </c>
      <c r="B2293" s="9">
        <f>IFERROR(__xludf.DUMMYFUNCTION("""COMPUTED_VALUE"""),405.24)</f>
        <v>405.24</v>
      </c>
      <c r="C2293" s="9">
        <f>IFERROR(__xludf.DUMMYFUNCTION("""COMPUTED_VALUE"""),405.24)</f>
        <v>405.24</v>
      </c>
      <c r="D2293" s="9">
        <f>IFERROR(__xludf.DUMMYFUNCTION("""COMPUTED_VALUE"""),393.44)</f>
        <v>393.44</v>
      </c>
      <c r="E2293" s="9">
        <f>IFERROR(__xludf.DUMMYFUNCTION("""COMPUTED_VALUE"""),394.66)</f>
        <v>394.66</v>
      </c>
      <c r="F2293" s="9">
        <f>IFERROR(__xludf.DUMMYFUNCTION("""COMPUTED_VALUE"""),1649788.0)</f>
        <v>1649788</v>
      </c>
      <c r="H2293" s="27">
        <f>IFERROR(__xludf.DUMMYFUNCTION("""COMPUTED_VALUE"""),41745.645833333336)</f>
        <v>41745.64583</v>
      </c>
      <c r="I2293" s="25">
        <f>IFERROR(__xludf.DUMMYFUNCTION("""COMPUTED_VALUE"""),1132.0)</f>
        <v>1132</v>
      </c>
      <c r="J2293" s="25">
        <f>IFERROR(__xludf.DUMMYFUNCTION("""COMPUTED_VALUE"""),1132.0)</f>
        <v>1132</v>
      </c>
      <c r="K2293" s="25">
        <f>IFERROR(__xludf.DUMMYFUNCTION("""COMPUTED_VALUE"""),1092.1)</f>
        <v>1092.1</v>
      </c>
      <c r="L2293" s="25">
        <f>IFERROR(__xludf.DUMMYFUNCTION("""COMPUTED_VALUE"""),1098.15)</f>
        <v>1098.15</v>
      </c>
      <c r="M2293" s="25">
        <f>IFERROR(__xludf.DUMMYFUNCTION("""COMPUTED_VALUE"""),1737955.0)</f>
        <v>1737955</v>
      </c>
    </row>
    <row r="2294">
      <c r="A2294" s="26">
        <f>IFERROR(__xludf.DUMMYFUNCTION("""COMPUTED_VALUE"""),41746.645833333336)</f>
        <v>41746.64583</v>
      </c>
      <c r="B2294" s="9">
        <f>IFERROR(__xludf.DUMMYFUNCTION("""COMPUTED_VALUE"""),397.5)</f>
        <v>397.5</v>
      </c>
      <c r="C2294" s="9">
        <f>IFERROR(__xludf.DUMMYFUNCTION("""COMPUTED_VALUE"""),401.26)</f>
        <v>401.26</v>
      </c>
      <c r="D2294" s="9">
        <f>IFERROR(__xludf.DUMMYFUNCTION("""COMPUTED_VALUE"""),394.79)</f>
        <v>394.79</v>
      </c>
      <c r="E2294" s="9">
        <f>IFERROR(__xludf.DUMMYFUNCTION("""COMPUTED_VALUE"""),399.01)</f>
        <v>399.01</v>
      </c>
      <c r="F2294" s="9">
        <f>IFERROR(__xludf.DUMMYFUNCTION("""COMPUTED_VALUE"""),1048989.0)</f>
        <v>1048989</v>
      </c>
      <c r="H2294" s="27">
        <f>IFERROR(__xludf.DUMMYFUNCTION("""COMPUTED_VALUE"""),41746.645833333336)</f>
        <v>41746.64583</v>
      </c>
      <c r="I2294" s="25">
        <f>IFERROR(__xludf.DUMMYFUNCTION("""COMPUTED_VALUE"""),1110.0)</f>
        <v>1110</v>
      </c>
      <c r="J2294" s="25">
        <f>IFERROR(__xludf.DUMMYFUNCTION("""COMPUTED_VALUE"""),1113.5)</f>
        <v>1113.5</v>
      </c>
      <c r="K2294" s="25">
        <f>IFERROR(__xludf.DUMMYFUNCTION("""COMPUTED_VALUE"""),1071.35)</f>
        <v>1071.35</v>
      </c>
      <c r="L2294" s="25">
        <f>IFERROR(__xludf.DUMMYFUNCTION("""COMPUTED_VALUE"""),1111.45)</f>
        <v>1111.45</v>
      </c>
      <c r="M2294" s="25">
        <f>IFERROR(__xludf.DUMMYFUNCTION("""COMPUTED_VALUE"""),3840719.0)</f>
        <v>3840719</v>
      </c>
    </row>
    <row r="2295">
      <c r="A2295" s="26">
        <f>IFERROR(__xludf.DUMMYFUNCTION("""COMPUTED_VALUE"""),41750.645833333336)</f>
        <v>41750.64583</v>
      </c>
      <c r="B2295" s="9">
        <f>IFERROR(__xludf.DUMMYFUNCTION("""COMPUTED_VALUE"""),401.25)</f>
        <v>401.25</v>
      </c>
      <c r="C2295" s="9">
        <f>IFERROR(__xludf.DUMMYFUNCTION("""COMPUTED_VALUE"""),402.5)</f>
        <v>402.5</v>
      </c>
      <c r="D2295" s="9">
        <f>IFERROR(__xludf.DUMMYFUNCTION("""COMPUTED_VALUE"""),396.25)</f>
        <v>396.25</v>
      </c>
      <c r="E2295" s="9">
        <f>IFERROR(__xludf.DUMMYFUNCTION("""COMPUTED_VALUE"""),397.87)</f>
        <v>397.87</v>
      </c>
      <c r="F2295" s="9">
        <f>IFERROR(__xludf.DUMMYFUNCTION("""COMPUTED_VALUE"""),764953.0)</f>
        <v>764953</v>
      </c>
      <c r="H2295" s="27">
        <f>IFERROR(__xludf.DUMMYFUNCTION("""COMPUTED_VALUE"""),41750.645833333336)</f>
        <v>41750.64583</v>
      </c>
      <c r="I2295" s="25">
        <f>IFERROR(__xludf.DUMMYFUNCTION("""COMPUTED_VALUE"""),1110.0)</f>
        <v>1110</v>
      </c>
      <c r="J2295" s="25">
        <f>IFERROR(__xludf.DUMMYFUNCTION("""COMPUTED_VALUE"""),1121.45)</f>
        <v>1121.45</v>
      </c>
      <c r="K2295" s="25">
        <f>IFERROR(__xludf.DUMMYFUNCTION("""COMPUTED_VALUE"""),1105.65)</f>
        <v>1105.65</v>
      </c>
      <c r="L2295" s="25">
        <f>IFERROR(__xludf.DUMMYFUNCTION("""COMPUTED_VALUE"""),1110.88)</f>
        <v>1110.88</v>
      </c>
      <c r="M2295" s="25">
        <f>IFERROR(__xludf.DUMMYFUNCTION("""COMPUTED_VALUE"""),921297.0)</f>
        <v>921297</v>
      </c>
    </row>
    <row r="2296">
      <c r="A2296" s="26">
        <f>IFERROR(__xludf.DUMMYFUNCTION("""COMPUTED_VALUE"""),41751.645833333336)</f>
        <v>41751.64583</v>
      </c>
      <c r="B2296" s="9">
        <f>IFERROR(__xludf.DUMMYFUNCTION("""COMPUTED_VALUE"""),396.51)</f>
        <v>396.51</v>
      </c>
      <c r="C2296" s="9">
        <f>IFERROR(__xludf.DUMMYFUNCTION("""COMPUTED_VALUE"""),400.0)</f>
        <v>400</v>
      </c>
      <c r="D2296" s="9">
        <f>IFERROR(__xludf.DUMMYFUNCTION("""COMPUTED_VALUE"""),392.8)</f>
        <v>392.8</v>
      </c>
      <c r="E2296" s="9">
        <f>IFERROR(__xludf.DUMMYFUNCTION("""COMPUTED_VALUE"""),393.83)</f>
        <v>393.83</v>
      </c>
      <c r="F2296" s="9">
        <f>IFERROR(__xludf.DUMMYFUNCTION("""COMPUTED_VALUE"""),828362.0)</f>
        <v>828362</v>
      </c>
      <c r="H2296" s="27">
        <f>IFERROR(__xludf.DUMMYFUNCTION("""COMPUTED_VALUE"""),41751.645833333336)</f>
        <v>41751.64583</v>
      </c>
      <c r="I2296" s="25">
        <f>IFERROR(__xludf.DUMMYFUNCTION("""COMPUTED_VALUE"""),1116.97)</f>
        <v>1116.97</v>
      </c>
      <c r="J2296" s="25">
        <f>IFERROR(__xludf.DUMMYFUNCTION("""COMPUTED_VALUE"""),1124.95)</f>
        <v>1124.95</v>
      </c>
      <c r="K2296" s="25">
        <f>IFERROR(__xludf.DUMMYFUNCTION("""COMPUTED_VALUE"""),1109.95)</f>
        <v>1109.95</v>
      </c>
      <c r="L2296" s="25">
        <f>IFERROR(__xludf.DUMMYFUNCTION("""COMPUTED_VALUE"""),1110.53)</f>
        <v>1110.53</v>
      </c>
      <c r="M2296" s="25">
        <f>IFERROR(__xludf.DUMMYFUNCTION("""COMPUTED_VALUE"""),743137.0)</f>
        <v>743137</v>
      </c>
    </row>
    <row r="2297">
      <c r="A2297" s="26">
        <f>IFERROR(__xludf.DUMMYFUNCTION("""COMPUTED_VALUE"""),41752.645833333336)</f>
        <v>41752.64583</v>
      </c>
      <c r="B2297" s="9">
        <f>IFERROR(__xludf.DUMMYFUNCTION("""COMPUTED_VALUE"""),396.76)</f>
        <v>396.76</v>
      </c>
      <c r="C2297" s="9">
        <f>IFERROR(__xludf.DUMMYFUNCTION("""COMPUTED_VALUE"""),398.98)</f>
        <v>398.98</v>
      </c>
      <c r="D2297" s="9">
        <f>IFERROR(__xludf.DUMMYFUNCTION("""COMPUTED_VALUE"""),395.5)</f>
        <v>395.5</v>
      </c>
      <c r="E2297" s="9">
        <f>IFERROR(__xludf.DUMMYFUNCTION("""COMPUTED_VALUE"""),396.58)</f>
        <v>396.58</v>
      </c>
      <c r="F2297" s="9">
        <f>IFERROR(__xludf.DUMMYFUNCTION("""COMPUTED_VALUE"""),1502090.0)</f>
        <v>1502090</v>
      </c>
      <c r="H2297" s="27">
        <f>IFERROR(__xludf.DUMMYFUNCTION("""COMPUTED_VALUE"""),41752.645833333336)</f>
        <v>41752.64583</v>
      </c>
      <c r="I2297" s="25">
        <f>IFERROR(__xludf.DUMMYFUNCTION("""COMPUTED_VALUE"""),1115.7)</f>
        <v>1115.7</v>
      </c>
      <c r="J2297" s="25">
        <f>IFERROR(__xludf.DUMMYFUNCTION("""COMPUTED_VALUE"""),1121.95)</f>
        <v>1121.95</v>
      </c>
      <c r="K2297" s="25">
        <f>IFERROR(__xludf.DUMMYFUNCTION("""COMPUTED_VALUE"""),1100.55)</f>
        <v>1100.55</v>
      </c>
      <c r="L2297" s="25">
        <f>IFERROR(__xludf.DUMMYFUNCTION("""COMPUTED_VALUE"""),1106.88)</f>
        <v>1106.88</v>
      </c>
      <c r="M2297" s="25">
        <f>IFERROR(__xludf.DUMMYFUNCTION("""COMPUTED_VALUE"""),969496.0)</f>
        <v>969496</v>
      </c>
    </row>
    <row r="2298">
      <c r="A2298" s="26">
        <f>IFERROR(__xludf.DUMMYFUNCTION("""COMPUTED_VALUE"""),41754.645833333336)</f>
        <v>41754.64583</v>
      </c>
      <c r="B2298" s="9">
        <f>IFERROR(__xludf.DUMMYFUNCTION("""COMPUTED_VALUE"""),398.5)</f>
        <v>398.5</v>
      </c>
      <c r="C2298" s="9">
        <f>IFERROR(__xludf.DUMMYFUNCTION("""COMPUTED_VALUE"""),400.0)</f>
        <v>400</v>
      </c>
      <c r="D2298" s="9">
        <f>IFERROR(__xludf.DUMMYFUNCTION("""COMPUTED_VALUE"""),395.42)</f>
        <v>395.42</v>
      </c>
      <c r="E2298" s="9">
        <f>IFERROR(__xludf.DUMMYFUNCTION("""COMPUTED_VALUE"""),396.95)</f>
        <v>396.95</v>
      </c>
      <c r="F2298" s="9">
        <f>IFERROR(__xludf.DUMMYFUNCTION("""COMPUTED_VALUE"""),745363.0)</f>
        <v>745363</v>
      </c>
      <c r="H2298" s="27">
        <f>IFERROR(__xludf.DUMMYFUNCTION("""COMPUTED_VALUE"""),41754.645833333336)</f>
        <v>41754.64583</v>
      </c>
      <c r="I2298" s="25">
        <f>IFERROR(__xludf.DUMMYFUNCTION("""COMPUTED_VALUE"""),1113.5)</f>
        <v>1113.5</v>
      </c>
      <c r="J2298" s="25">
        <f>IFERROR(__xludf.DUMMYFUNCTION("""COMPUTED_VALUE"""),1117.5)</f>
        <v>1117.5</v>
      </c>
      <c r="K2298" s="25">
        <f>IFERROR(__xludf.DUMMYFUNCTION("""COMPUTED_VALUE"""),1096.6)</f>
        <v>1096.6</v>
      </c>
      <c r="L2298" s="25">
        <f>IFERROR(__xludf.DUMMYFUNCTION("""COMPUTED_VALUE"""),1102.63)</f>
        <v>1102.63</v>
      </c>
      <c r="M2298" s="25">
        <f>IFERROR(__xludf.DUMMYFUNCTION("""COMPUTED_VALUE"""),1580224.0)</f>
        <v>1580224</v>
      </c>
    </row>
    <row r="2299">
      <c r="A2299" s="26">
        <f>IFERROR(__xludf.DUMMYFUNCTION("""COMPUTED_VALUE"""),41757.645833333336)</f>
        <v>41757.64583</v>
      </c>
      <c r="B2299" s="9">
        <f>IFERROR(__xludf.DUMMYFUNCTION("""COMPUTED_VALUE"""),396.13)</f>
        <v>396.13</v>
      </c>
      <c r="C2299" s="9">
        <f>IFERROR(__xludf.DUMMYFUNCTION("""COMPUTED_VALUE"""),399.13)</f>
        <v>399.13</v>
      </c>
      <c r="D2299" s="9">
        <f>IFERROR(__xludf.DUMMYFUNCTION("""COMPUTED_VALUE"""),395.63)</f>
        <v>395.63</v>
      </c>
      <c r="E2299" s="9">
        <f>IFERROR(__xludf.DUMMYFUNCTION("""COMPUTED_VALUE"""),397.26)</f>
        <v>397.26</v>
      </c>
      <c r="F2299" s="9">
        <f>IFERROR(__xludf.DUMMYFUNCTION("""COMPUTED_VALUE"""),755310.0)</f>
        <v>755310</v>
      </c>
      <c r="H2299" s="27">
        <f>IFERROR(__xludf.DUMMYFUNCTION("""COMPUTED_VALUE"""),41757.645833333336)</f>
        <v>41757.64583</v>
      </c>
      <c r="I2299" s="25">
        <f>IFERROR(__xludf.DUMMYFUNCTION("""COMPUTED_VALUE"""),1102.63)</f>
        <v>1102.63</v>
      </c>
      <c r="J2299" s="25">
        <f>IFERROR(__xludf.DUMMYFUNCTION("""COMPUTED_VALUE"""),1111.35)</f>
        <v>1111.35</v>
      </c>
      <c r="K2299" s="25">
        <f>IFERROR(__xludf.DUMMYFUNCTION("""COMPUTED_VALUE"""),1090.05)</f>
        <v>1090.05</v>
      </c>
      <c r="L2299" s="25">
        <f>IFERROR(__xludf.DUMMYFUNCTION("""COMPUTED_VALUE"""),1095.68)</f>
        <v>1095.68</v>
      </c>
      <c r="M2299" s="25">
        <f>IFERROR(__xludf.DUMMYFUNCTION("""COMPUTED_VALUE"""),1275383.0)</f>
        <v>1275383</v>
      </c>
    </row>
    <row r="2300">
      <c r="A2300" s="26">
        <f>IFERROR(__xludf.DUMMYFUNCTION("""COMPUTED_VALUE"""),41758.645833333336)</f>
        <v>41758.64583</v>
      </c>
      <c r="B2300" s="9">
        <f>IFERROR(__xludf.DUMMYFUNCTION("""COMPUTED_VALUE"""),397.88)</f>
        <v>397.88</v>
      </c>
      <c r="C2300" s="9">
        <f>IFERROR(__xludf.DUMMYFUNCTION("""COMPUTED_VALUE"""),399.38)</f>
        <v>399.38</v>
      </c>
      <c r="D2300" s="9">
        <f>IFERROR(__xludf.DUMMYFUNCTION("""COMPUTED_VALUE"""),396.38)</f>
        <v>396.38</v>
      </c>
      <c r="E2300" s="9">
        <f>IFERROR(__xludf.DUMMYFUNCTION("""COMPUTED_VALUE"""),397.22)</f>
        <v>397.22</v>
      </c>
      <c r="F2300" s="9">
        <f>IFERROR(__xludf.DUMMYFUNCTION("""COMPUTED_VALUE"""),604433.0)</f>
        <v>604433</v>
      </c>
      <c r="H2300" s="27">
        <f>IFERROR(__xludf.DUMMYFUNCTION("""COMPUTED_VALUE"""),41758.645833333336)</f>
        <v>41758.64583</v>
      </c>
      <c r="I2300" s="25">
        <f>IFERROR(__xludf.DUMMYFUNCTION("""COMPUTED_VALUE"""),1093.0)</f>
        <v>1093</v>
      </c>
      <c r="J2300" s="25">
        <f>IFERROR(__xludf.DUMMYFUNCTION("""COMPUTED_VALUE"""),1103.18)</f>
        <v>1103.18</v>
      </c>
      <c r="K2300" s="25">
        <f>IFERROR(__xludf.DUMMYFUNCTION("""COMPUTED_VALUE"""),1088.45)</f>
        <v>1088.45</v>
      </c>
      <c r="L2300" s="25">
        <f>IFERROR(__xludf.DUMMYFUNCTION("""COMPUTED_VALUE"""),1097.13)</f>
        <v>1097.13</v>
      </c>
      <c r="M2300" s="25">
        <f>IFERROR(__xludf.DUMMYFUNCTION("""COMPUTED_VALUE"""),923090.0)</f>
        <v>923090</v>
      </c>
    </row>
    <row r="2301">
      <c r="A2301" s="26">
        <f>IFERROR(__xludf.DUMMYFUNCTION("""COMPUTED_VALUE"""),41759.645833333336)</f>
        <v>41759.64583</v>
      </c>
      <c r="B2301" s="9">
        <f>IFERROR(__xludf.DUMMYFUNCTION("""COMPUTED_VALUE"""),397.21)</f>
        <v>397.21</v>
      </c>
      <c r="C2301" s="9">
        <f>IFERROR(__xludf.DUMMYFUNCTION("""COMPUTED_VALUE"""),398.75)</f>
        <v>398.75</v>
      </c>
      <c r="D2301" s="9">
        <f>IFERROR(__xludf.DUMMYFUNCTION("""COMPUTED_VALUE"""),396.38)</f>
        <v>396.38</v>
      </c>
      <c r="E2301" s="9">
        <f>IFERROR(__xludf.DUMMYFUNCTION("""COMPUTED_VALUE"""),397.6)</f>
        <v>397.6</v>
      </c>
      <c r="F2301" s="9">
        <f>IFERROR(__xludf.DUMMYFUNCTION("""COMPUTED_VALUE"""),967742.0)</f>
        <v>967742</v>
      </c>
      <c r="H2301" s="27">
        <f>IFERROR(__xludf.DUMMYFUNCTION("""COMPUTED_VALUE"""),41759.645833333336)</f>
        <v>41759.64583</v>
      </c>
      <c r="I2301" s="25">
        <f>IFERROR(__xludf.DUMMYFUNCTION("""COMPUTED_VALUE"""),1092.55)</f>
        <v>1092.55</v>
      </c>
      <c r="J2301" s="25">
        <f>IFERROR(__xludf.DUMMYFUNCTION("""COMPUTED_VALUE"""),1102.8)</f>
        <v>1102.8</v>
      </c>
      <c r="K2301" s="25">
        <f>IFERROR(__xludf.DUMMYFUNCTION("""COMPUTED_VALUE"""),1090.5)</f>
        <v>1090.5</v>
      </c>
      <c r="L2301" s="25">
        <f>IFERROR(__xludf.DUMMYFUNCTION("""COMPUTED_VALUE"""),1094.6)</f>
        <v>1094.6</v>
      </c>
      <c r="M2301" s="25">
        <f>IFERROR(__xludf.DUMMYFUNCTION("""COMPUTED_VALUE"""),1198689.0)</f>
        <v>1198689</v>
      </c>
    </row>
    <row r="2302">
      <c r="A2302" s="26">
        <f>IFERROR(__xludf.DUMMYFUNCTION("""COMPUTED_VALUE"""),41761.645833333336)</f>
        <v>41761.64583</v>
      </c>
      <c r="B2302" s="9">
        <f>IFERROR(__xludf.DUMMYFUNCTION("""COMPUTED_VALUE"""),398.13)</f>
        <v>398.13</v>
      </c>
      <c r="C2302" s="9">
        <f>IFERROR(__xludf.DUMMYFUNCTION("""COMPUTED_VALUE"""),405.88)</f>
        <v>405.88</v>
      </c>
      <c r="D2302" s="9">
        <f>IFERROR(__xludf.DUMMYFUNCTION("""COMPUTED_VALUE"""),398.13)</f>
        <v>398.13</v>
      </c>
      <c r="E2302" s="9">
        <f>IFERROR(__xludf.DUMMYFUNCTION("""COMPUTED_VALUE"""),402.46)</f>
        <v>402.46</v>
      </c>
      <c r="F2302" s="9">
        <f>IFERROR(__xludf.DUMMYFUNCTION("""COMPUTED_VALUE"""),595549.0)</f>
        <v>595549</v>
      </c>
      <c r="H2302" s="27">
        <f>IFERROR(__xludf.DUMMYFUNCTION("""COMPUTED_VALUE"""),41761.645833333336)</f>
        <v>41761.64583</v>
      </c>
      <c r="I2302" s="25">
        <f>IFERROR(__xludf.DUMMYFUNCTION("""COMPUTED_VALUE"""),1090.63)</f>
        <v>1090.63</v>
      </c>
      <c r="J2302" s="25">
        <f>IFERROR(__xludf.DUMMYFUNCTION("""COMPUTED_VALUE"""),1109.95)</f>
        <v>1109.95</v>
      </c>
      <c r="K2302" s="25">
        <f>IFERROR(__xludf.DUMMYFUNCTION("""COMPUTED_VALUE"""),1090.63)</f>
        <v>1090.63</v>
      </c>
      <c r="L2302" s="25">
        <f>IFERROR(__xludf.DUMMYFUNCTION("""COMPUTED_VALUE"""),1104.22)</f>
        <v>1104.22</v>
      </c>
      <c r="M2302" s="25">
        <f>IFERROR(__xludf.DUMMYFUNCTION("""COMPUTED_VALUE"""),958889.0)</f>
        <v>958889</v>
      </c>
    </row>
    <row r="2303">
      <c r="A2303" s="26">
        <f>IFERROR(__xludf.DUMMYFUNCTION("""COMPUTED_VALUE"""),41764.645833333336)</f>
        <v>41764.64583</v>
      </c>
      <c r="B2303" s="9">
        <f>IFERROR(__xludf.DUMMYFUNCTION("""COMPUTED_VALUE"""),399.0)</f>
        <v>399</v>
      </c>
      <c r="C2303" s="9">
        <f>IFERROR(__xludf.DUMMYFUNCTION("""COMPUTED_VALUE"""),404.13)</f>
        <v>404.13</v>
      </c>
      <c r="D2303" s="9">
        <f>IFERROR(__xludf.DUMMYFUNCTION("""COMPUTED_VALUE"""),396.82)</f>
        <v>396.82</v>
      </c>
      <c r="E2303" s="9">
        <f>IFERROR(__xludf.DUMMYFUNCTION("""COMPUTED_VALUE"""),397.11)</f>
        <v>397.11</v>
      </c>
      <c r="F2303" s="9">
        <f>IFERROR(__xludf.DUMMYFUNCTION("""COMPUTED_VALUE"""),524586.0)</f>
        <v>524586</v>
      </c>
      <c r="H2303" s="27">
        <f>IFERROR(__xludf.DUMMYFUNCTION("""COMPUTED_VALUE"""),41764.645833333336)</f>
        <v>41764.64583</v>
      </c>
      <c r="I2303" s="25">
        <f>IFERROR(__xludf.DUMMYFUNCTION("""COMPUTED_VALUE"""),1105.4)</f>
        <v>1105.4</v>
      </c>
      <c r="J2303" s="25">
        <f>IFERROR(__xludf.DUMMYFUNCTION("""COMPUTED_VALUE"""),1114.5)</f>
        <v>1114.5</v>
      </c>
      <c r="K2303" s="25">
        <f>IFERROR(__xludf.DUMMYFUNCTION("""COMPUTED_VALUE"""),1102.07)</f>
        <v>1102.07</v>
      </c>
      <c r="L2303" s="25">
        <f>IFERROR(__xludf.DUMMYFUNCTION("""COMPUTED_VALUE"""),1106.85)</f>
        <v>1106.85</v>
      </c>
      <c r="M2303" s="25">
        <f>IFERROR(__xludf.DUMMYFUNCTION("""COMPUTED_VALUE"""),657239.0)</f>
        <v>657239</v>
      </c>
    </row>
    <row r="2304">
      <c r="A2304" s="26">
        <f>IFERROR(__xludf.DUMMYFUNCTION("""COMPUTED_VALUE"""),41765.645833333336)</f>
        <v>41765.64583</v>
      </c>
      <c r="B2304" s="9">
        <f>IFERROR(__xludf.DUMMYFUNCTION("""COMPUTED_VALUE"""),397.11)</f>
        <v>397.11</v>
      </c>
      <c r="C2304" s="9">
        <f>IFERROR(__xludf.DUMMYFUNCTION("""COMPUTED_VALUE"""),398.06)</f>
        <v>398.06</v>
      </c>
      <c r="D2304" s="9">
        <f>IFERROR(__xludf.DUMMYFUNCTION("""COMPUTED_VALUE"""),394.38)</f>
        <v>394.38</v>
      </c>
      <c r="E2304" s="9">
        <f>IFERROR(__xludf.DUMMYFUNCTION("""COMPUTED_VALUE"""),395.64)</f>
        <v>395.64</v>
      </c>
      <c r="F2304" s="9">
        <f>IFERROR(__xludf.DUMMYFUNCTION("""COMPUTED_VALUE"""),570753.0)</f>
        <v>570753</v>
      </c>
      <c r="H2304" s="27">
        <f>IFERROR(__xludf.DUMMYFUNCTION("""COMPUTED_VALUE"""),41765.645833333336)</f>
        <v>41765.64583</v>
      </c>
      <c r="I2304" s="25">
        <f>IFERROR(__xludf.DUMMYFUNCTION("""COMPUTED_VALUE"""),1106.85)</f>
        <v>1106.85</v>
      </c>
      <c r="J2304" s="25">
        <f>IFERROR(__xludf.DUMMYFUNCTION("""COMPUTED_VALUE"""),1110.8)</f>
        <v>1110.8</v>
      </c>
      <c r="K2304" s="25">
        <f>IFERROR(__xludf.DUMMYFUNCTION("""COMPUTED_VALUE"""),1095.0)</f>
        <v>1095</v>
      </c>
      <c r="L2304" s="25">
        <f>IFERROR(__xludf.DUMMYFUNCTION("""COMPUTED_VALUE"""),1099.45)</f>
        <v>1099.45</v>
      </c>
      <c r="M2304" s="25">
        <f>IFERROR(__xludf.DUMMYFUNCTION("""COMPUTED_VALUE"""),480616.0)</f>
        <v>480616</v>
      </c>
    </row>
    <row r="2305">
      <c r="A2305" s="26">
        <f>IFERROR(__xludf.DUMMYFUNCTION("""COMPUTED_VALUE"""),41766.645833333336)</f>
        <v>41766.64583</v>
      </c>
      <c r="B2305" s="9">
        <f>IFERROR(__xludf.DUMMYFUNCTION("""COMPUTED_VALUE"""),393.88)</f>
        <v>393.88</v>
      </c>
      <c r="C2305" s="9">
        <f>IFERROR(__xludf.DUMMYFUNCTION("""COMPUTED_VALUE"""),396.25)</f>
        <v>396.25</v>
      </c>
      <c r="D2305" s="9">
        <f>IFERROR(__xludf.DUMMYFUNCTION("""COMPUTED_VALUE"""),381.25)</f>
        <v>381.25</v>
      </c>
      <c r="E2305" s="9">
        <f>IFERROR(__xludf.DUMMYFUNCTION("""COMPUTED_VALUE"""),383.42)</f>
        <v>383.42</v>
      </c>
      <c r="F2305" s="9">
        <f>IFERROR(__xludf.DUMMYFUNCTION("""COMPUTED_VALUE"""),1949509.0)</f>
        <v>1949509</v>
      </c>
      <c r="H2305" s="27">
        <f>IFERROR(__xludf.DUMMYFUNCTION("""COMPUTED_VALUE"""),41766.645833333336)</f>
        <v>41766.64583</v>
      </c>
      <c r="I2305" s="25">
        <f>IFERROR(__xludf.DUMMYFUNCTION("""COMPUTED_VALUE"""),1095.53)</f>
        <v>1095.53</v>
      </c>
      <c r="J2305" s="25">
        <f>IFERROR(__xludf.DUMMYFUNCTION("""COMPUTED_VALUE"""),1101.5)</f>
        <v>1101.5</v>
      </c>
      <c r="K2305" s="25">
        <f>IFERROR(__xludf.DUMMYFUNCTION("""COMPUTED_VALUE"""),1070.05)</f>
        <v>1070.05</v>
      </c>
      <c r="L2305" s="25">
        <f>IFERROR(__xludf.DUMMYFUNCTION("""COMPUTED_VALUE"""),1082.78)</f>
        <v>1082.78</v>
      </c>
      <c r="M2305" s="25">
        <f>IFERROR(__xludf.DUMMYFUNCTION("""COMPUTED_VALUE"""),2358091.0)</f>
        <v>2358091</v>
      </c>
    </row>
    <row r="2306">
      <c r="A2306" s="26">
        <f>IFERROR(__xludf.DUMMYFUNCTION("""COMPUTED_VALUE"""),41767.645833333336)</f>
        <v>41767.64583</v>
      </c>
      <c r="B2306" s="9">
        <f>IFERROR(__xludf.DUMMYFUNCTION("""COMPUTED_VALUE"""),383.75)</f>
        <v>383.75</v>
      </c>
      <c r="C2306" s="9">
        <f>IFERROR(__xludf.DUMMYFUNCTION("""COMPUTED_VALUE"""),386.05)</f>
        <v>386.05</v>
      </c>
      <c r="D2306" s="9">
        <f>IFERROR(__xludf.DUMMYFUNCTION("""COMPUTED_VALUE"""),380.81)</f>
        <v>380.81</v>
      </c>
      <c r="E2306" s="9">
        <f>IFERROR(__xludf.DUMMYFUNCTION("""COMPUTED_VALUE"""),383.16)</f>
        <v>383.16</v>
      </c>
      <c r="F2306" s="9">
        <f>IFERROR(__xludf.DUMMYFUNCTION("""COMPUTED_VALUE"""),1145249.0)</f>
        <v>1145249</v>
      </c>
      <c r="H2306" s="27">
        <f>IFERROR(__xludf.DUMMYFUNCTION("""COMPUTED_VALUE"""),41767.645833333336)</f>
        <v>41767.64583</v>
      </c>
      <c r="I2306" s="25">
        <f>IFERROR(__xludf.DUMMYFUNCTION("""COMPUTED_VALUE"""),1082.55)</f>
        <v>1082.55</v>
      </c>
      <c r="J2306" s="25">
        <f>IFERROR(__xludf.DUMMYFUNCTION("""COMPUTED_VALUE"""),1090.9)</f>
        <v>1090.9</v>
      </c>
      <c r="K2306" s="25">
        <f>IFERROR(__xludf.DUMMYFUNCTION("""COMPUTED_VALUE"""),1073.82)</f>
        <v>1073.82</v>
      </c>
      <c r="L2306" s="25">
        <f>IFERROR(__xludf.DUMMYFUNCTION("""COMPUTED_VALUE"""),1081.03)</f>
        <v>1081.03</v>
      </c>
      <c r="M2306" s="25">
        <f>IFERROR(__xludf.DUMMYFUNCTION("""COMPUTED_VALUE"""),1303450.0)</f>
        <v>1303450</v>
      </c>
    </row>
    <row r="2307">
      <c r="A2307" s="26">
        <f>IFERROR(__xludf.DUMMYFUNCTION("""COMPUTED_VALUE"""),41768.645833333336)</f>
        <v>41768.64583</v>
      </c>
      <c r="B2307" s="9">
        <f>IFERROR(__xludf.DUMMYFUNCTION("""COMPUTED_VALUE"""),383.13)</f>
        <v>383.13</v>
      </c>
      <c r="C2307" s="9">
        <f>IFERROR(__xludf.DUMMYFUNCTION("""COMPUTED_VALUE"""),390.63)</f>
        <v>390.63</v>
      </c>
      <c r="D2307" s="9">
        <f>IFERROR(__xludf.DUMMYFUNCTION("""COMPUTED_VALUE"""),381.61)</f>
        <v>381.61</v>
      </c>
      <c r="E2307" s="9">
        <f>IFERROR(__xludf.DUMMYFUNCTION("""COMPUTED_VALUE"""),388.93)</f>
        <v>388.93</v>
      </c>
      <c r="F2307" s="9">
        <f>IFERROR(__xludf.DUMMYFUNCTION("""COMPUTED_VALUE"""),772425.0)</f>
        <v>772425</v>
      </c>
      <c r="H2307" s="27">
        <f>IFERROR(__xludf.DUMMYFUNCTION("""COMPUTED_VALUE"""),41768.645833333336)</f>
        <v>41768.64583</v>
      </c>
      <c r="I2307" s="25">
        <f>IFERROR(__xludf.DUMMYFUNCTION("""COMPUTED_VALUE"""),1076.0)</f>
        <v>1076</v>
      </c>
      <c r="J2307" s="25">
        <f>IFERROR(__xludf.DUMMYFUNCTION("""COMPUTED_VALUE"""),1092.35)</f>
        <v>1092.35</v>
      </c>
      <c r="K2307" s="25">
        <f>IFERROR(__xludf.DUMMYFUNCTION("""COMPUTED_VALUE"""),1076.0)</f>
        <v>1076</v>
      </c>
      <c r="L2307" s="25">
        <f>IFERROR(__xludf.DUMMYFUNCTION("""COMPUTED_VALUE"""),1079.95)</f>
        <v>1079.95</v>
      </c>
      <c r="M2307" s="25">
        <f>IFERROR(__xludf.DUMMYFUNCTION("""COMPUTED_VALUE"""),899720.0)</f>
        <v>899720</v>
      </c>
    </row>
    <row r="2308">
      <c r="A2308" s="26">
        <f>IFERROR(__xludf.DUMMYFUNCTION("""COMPUTED_VALUE"""),41771.645833333336)</f>
        <v>41771.64583</v>
      </c>
      <c r="B2308" s="9">
        <f>IFERROR(__xludf.DUMMYFUNCTION("""COMPUTED_VALUE"""),389.78)</f>
        <v>389.78</v>
      </c>
      <c r="C2308" s="9">
        <f>IFERROR(__xludf.DUMMYFUNCTION("""COMPUTED_VALUE"""),398.31)</f>
        <v>398.31</v>
      </c>
      <c r="D2308" s="9">
        <f>IFERROR(__xludf.DUMMYFUNCTION("""COMPUTED_VALUE"""),388.13)</f>
        <v>388.13</v>
      </c>
      <c r="E2308" s="9">
        <f>IFERROR(__xludf.DUMMYFUNCTION("""COMPUTED_VALUE"""),396.89)</f>
        <v>396.89</v>
      </c>
      <c r="F2308" s="9">
        <f>IFERROR(__xludf.DUMMYFUNCTION("""COMPUTED_VALUE"""),880525.0)</f>
        <v>880525</v>
      </c>
      <c r="H2308" s="27">
        <f>IFERROR(__xludf.DUMMYFUNCTION("""COMPUTED_VALUE"""),41771.645833333336)</f>
        <v>41771.64583</v>
      </c>
      <c r="I2308" s="25">
        <f>IFERROR(__xludf.DUMMYFUNCTION("""COMPUTED_VALUE"""),1076.5)</f>
        <v>1076.5</v>
      </c>
      <c r="J2308" s="25">
        <f>IFERROR(__xludf.DUMMYFUNCTION("""COMPUTED_VALUE"""),1083.35)</f>
        <v>1083.35</v>
      </c>
      <c r="K2308" s="25">
        <f>IFERROR(__xludf.DUMMYFUNCTION("""COMPUTED_VALUE"""),1061.57)</f>
        <v>1061.57</v>
      </c>
      <c r="L2308" s="25">
        <f>IFERROR(__xludf.DUMMYFUNCTION("""COMPUTED_VALUE"""),1079.68)</f>
        <v>1079.68</v>
      </c>
      <c r="M2308" s="25">
        <f>IFERROR(__xludf.DUMMYFUNCTION("""COMPUTED_VALUE"""),1443032.0)</f>
        <v>1443032</v>
      </c>
    </row>
    <row r="2309">
      <c r="A2309" s="26">
        <f>IFERROR(__xludf.DUMMYFUNCTION("""COMPUTED_VALUE"""),41772.645833333336)</f>
        <v>41772.64583</v>
      </c>
      <c r="B2309" s="9">
        <f>IFERROR(__xludf.DUMMYFUNCTION("""COMPUTED_VALUE"""),397.88)</f>
        <v>397.88</v>
      </c>
      <c r="C2309" s="9">
        <f>IFERROR(__xludf.DUMMYFUNCTION("""COMPUTED_VALUE"""),409.38)</f>
        <v>409.38</v>
      </c>
      <c r="D2309" s="9">
        <f>IFERROR(__xludf.DUMMYFUNCTION("""COMPUTED_VALUE"""),397.88)</f>
        <v>397.88</v>
      </c>
      <c r="E2309" s="9">
        <f>IFERROR(__xludf.DUMMYFUNCTION("""COMPUTED_VALUE"""),408.16)</f>
        <v>408.16</v>
      </c>
      <c r="F2309" s="9">
        <f>IFERROR(__xludf.DUMMYFUNCTION("""COMPUTED_VALUE"""),912496.0)</f>
        <v>912496</v>
      </c>
      <c r="H2309" s="27">
        <f>IFERROR(__xludf.DUMMYFUNCTION("""COMPUTED_VALUE"""),41772.645833333336)</f>
        <v>41772.64583</v>
      </c>
      <c r="I2309" s="25">
        <f>IFERROR(__xludf.DUMMYFUNCTION("""COMPUTED_VALUE"""),1082.9)</f>
        <v>1082.9</v>
      </c>
      <c r="J2309" s="25">
        <f>IFERROR(__xludf.DUMMYFUNCTION("""COMPUTED_VALUE"""),1119.5)</f>
        <v>1119.5</v>
      </c>
      <c r="K2309" s="25">
        <f>IFERROR(__xludf.DUMMYFUNCTION("""COMPUTED_VALUE"""),1082.9)</f>
        <v>1082.9</v>
      </c>
      <c r="L2309" s="25">
        <f>IFERROR(__xludf.DUMMYFUNCTION("""COMPUTED_VALUE"""),1105.47)</f>
        <v>1105.47</v>
      </c>
      <c r="M2309" s="25">
        <f>IFERROR(__xludf.DUMMYFUNCTION("""COMPUTED_VALUE"""),1273742.0)</f>
        <v>1273742</v>
      </c>
    </row>
    <row r="2310">
      <c r="A2310" s="26">
        <f>IFERROR(__xludf.DUMMYFUNCTION("""COMPUTED_VALUE"""),41773.645833333336)</f>
        <v>41773.64583</v>
      </c>
      <c r="B2310" s="9">
        <f>IFERROR(__xludf.DUMMYFUNCTION("""COMPUTED_VALUE"""),406.28)</f>
        <v>406.28</v>
      </c>
      <c r="C2310" s="9">
        <f>IFERROR(__xludf.DUMMYFUNCTION("""COMPUTED_VALUE"""),408.13)</f>
        <v>408.13</v>
      </c>
      <c r="D2310" s="9">
        <f>IFERROR(__xludf.DUMMYFUNCTION("""COMPUTED_VALUE"""),402.14)</f>
        <v>402.14</v>
      </c>
      <c r="E2310" s="9">
        <f>IFERROR(__xludf.DUMMYFUNCTION("""COMPUTED_VALUE"""),406.76)</f>
        <v>406.76</v>
      </c>
      <c r="F2310" s="9">
        <f>IFERROR(__xludf.DUMMYFUNCTION("""COMPUTED_VALUE"""),648086.0)</f>
        <v>648086</v>
      </c>
      <c r="H2310" s="27">
        <f>IFERROR(__xludf.DUMMYFUNCTION("""COMPUTED_VALUE"""),41773.645833333336)</f>
        <v>41773.64583</v>
      </c>
      <c r="I2310" s="25">
        <f>IFERROR(__xludf.DUMMYFUNCTION("""COMPUTED_VALUE"""),1107.2)</f>
        <v>1107.2</v>
      </c>
      <c r="J2310" s="25">
        <f>IFERROR(__xludf.DUMMYFUNCTION("""COMPUTED_VALUE"""),1118.85)</f>
        <v>1118.85</v>
      </c>
      <c r="K2310" s="25">
        <f>IFERROR(__xludf.DUMMYFUNCTION("""COMPUTED_VALUE"""),1100.55)</f>
        <v>1100.55</v>
      </c>
      <c r="L2310" s="25">
        <f>IFERROR(__xludf.DUMMYFUNCTION("""COMPUTED_VALUE"""),1108.05)</f>
        <v>1108.05</v>
      </c>
      <c r="M2310" s="25">
        <f>IFERROR(__xludf.DUMMYFUNCTION("""COMPUTED_VALUE"""),694614.0)</f>
        <v>694614</v>
      </c>
    </row>
    <row r="2311">
      <c r="A2311" s="26">
        <f>IFERROR(__xludf.DUMMYFUNCTION("""COMPUTED_VALUE"""),41774.645833333336)</f>
        <v>41774.64583</v>
      </c>
      <c r="B2311" s="9">
        <f>IFERROR(__xludf.DUMMYFUNCTION("""COMPUTED_VALUE"""),406.76)</f>
        <v>406.76</v>
      </c>
      <c r="C2311" s="9">
        <f>IFERROR(__xludf.DUMMYFUNCTION("""COMPUTED_VALUE"""),411.86)</f>
        <v>411.86</v>
      </c>
      <c r="D2311" s="9">
        <f>IFERROR(__xludf.DUMMYFUNCTION("""COMPUTED_VALUE"""),400.66)</f>
        <v>400.66</v>
      </c>
      <c r="E2311" s="9">
        <f>IFERROR(__xludf.DUMMYFUNCTION("""COMPUTED_VALUE"""),409.06)</f>
        <v>409.06</v>
      </c>
      <c r="F2311" s="9">
        <f>IFERROR(__xludf.DUMMYFUNCTION("""COMPUTED_VALUE"""),1051149.0)</f>
        <v>1051149</v>
      </c>
      <c r="H2311" s="27">
        <f>IFERROR(__xludf.DUMMYFUNCTION("""COMPUTED_VALUE"""),41774.645833333336)</f>
        <v>41774.64583</v>
      </c>
      <c r="I2311" s="25">
        <f>IFERROR(__xludf.DUMMYFUNCTION("""COMPUTED_VALUE"""),1108.05)</f>
        <v>1108.05</v>
      </c>
      <c r="J2311" s="25">
        <f>IFERROR(__xludf.DUMMYFUNCTION("""COMPUTED_VALUE"""),1112.5)</f>
        <v>1112.5</v>
      </c>
      <c r="K2311" s="25">
        <f>IFERROR(__xludf.DUMMYFUNCTION("""COMPUTED_VALUE"""),1085.57)</f>
        <v>1085.57</v>
      </c>
      <c r="L2311" s="25">
        <f>IFERROR(__xludf.DUMMYFUNCTION("""COMPUTED_VALUE"""),1096.57)</f>
        <v>1096.57</v>
      </c>
      <c r="M2311" s="25">
        <f>IFERROR(__xludf.DUMMYFUNCTION("""COMPUTED_VALUE"""),1260098.0)</f>
        <v>1260098</v>
      </c>
    </row>
    <row r="2312">
      <c r="A2312" s="26">
        <f>IFERROR(__xludf.DUMMYFUNCTION("""COMPUTED_VALUE"""),41775.645833333336)</f>
        <v>41775.64583</v>
      </c>
      <c r="B2312" s="9">
        <f>IFERROR(__xludf.DUMMYFUNCTION("""COMPUTED_VALUE"""),412.38)</f>
        <v>412.38</v>
      </c>
      <c r="C2312" s="9">
        <f>IFERROR(__xludf.DUMMYFUNCTION("""COMPUTED_VALUE"""),417.5)</f>
        <v>417.5</v>
      </c>
      <c r="D2312" s="9">
        <f>IFERROR(__xludf.DUMMYFUNCTION("""COMPUTED_VALUE"""),382.38)</f>
        <v>382.38</v>
      </c>
      <c r="E2312" s="9">
        <f>IFERROR(__xludf.DUMMYFUNCTION("""COMPUTED_VALUE"""),397.19)</f>
        <v>397.19</v>
      </c>
      <c r="F2312" s="9">
        <f>IFERROR(__xludf.DUMMYFUNCTION("""COMPUTED_VALUE"""),1773599.0)</f>
        <v>1773599</v>
      </c>
      <c r="H2312" s="27">
        <f>IFERROR(__xludf.DUMMYFUNCTION("""COMPUTED_VALUE"""),41775.645833333336)</f>
        <v>41775.64583</v>
      </c>
      <c r="I2312" s="25">
        <f>IFERROR(__xludf.DUMMYFUNCTION("""COMPUTED_VALUE"""),1100.03)</f>
        <v>1100.03</v>
      </c>
      <c r="J2312" s="25">
        <f>IFERROR(__xludf.DUMMYFUNCTION("""COMPUTED_VALUE"""),1126.7)</f>
        <v>1126.7</v>
      </c>
      <c r="K2312" s="25">
        <f>IFERROR(__xludf.DUMMYFUNCTION("""COMPUTED_VALUE"""),1050.13)</f>
        <v>1050.13</v>
      </c>
      <c r="L2312" s="25">
        <f>IFERROR(__xludf.DUMMYFUNCTION("""COMPUTED_VALUE"""),1080.38)</f>
        <v>1080.38</v>
      </c>
      <c r="M2312" s="25">
        <f>IFERROR(__xludf.DUMMYFUNCTION("""COMPUTED_VALUE"""),2620899.0)</f>
        <v>2620899</v>
      </c>
    </row>
    <row r="2313">
      <c r="A2313" s="26">
        <f>IFERROR(__xludf.DUMMYFUNCTION("""COMPUTED_VALUE"""),41778.645833333336)</f>
        <v>41778.64583</v>
      </c>
      <c r="B2313" s="9">
        <f>IFERROR(__xludf.DUMMYFUNCTION("""COMPUTED_VALUE"""),399.75)</f>
        <v>399.75</v>
      </c>
      <c r="C2313" s="9">
        <f>IFERROR(__xludf.DUMMYFUNCTION("""COMPUTED_VALUE"""),399.75)</f>
        <v>399.75</v>
      </c>
      <c r="D2313" s="9">
        <f>IFERROR(__xludf.DUMMYFUNCTION("""COMPUTED_VALUE"""),375.01)</f>
        <v>375.01</v>
      </c>
      <c r="E2313" s="9">
        <f>IFERROR(__xludf.DUMMYFUNCTION("""COMPUTED_VALUE"""),376.88)</f>
        <v>376.88</v>
      </c>
      <c r="F2313" s="9">
        <f>IFERROR(__xludf.DUMMYFUNCTION("""COMPUTED_VALUE"""),2155814.0)</f>
        <v>2155814</v>
      </c>
      <c r="H2313" s="27">
        <f>IFERROR(__xludf.DUMMYFUNCTION("""COMPUTED_VALUE"""),41778.645833333336)</f>
        <v>41778.64583</v>
      </c>
      <c r="I2313" s="25">
        <f>IFERROR(__xludf.DUMMYFUNCTION("""COMPUTED_VALUE"""),1075.0)</f>
        <v>1075</v>
      </c>
      <c r="J2313" s="25">
        <f>IFERROR(__xludf.DUMMYFUNCTION("""COMPUTED_VALUE"""),1080.0)</f>
        <v>1080</v>
      </c>
      <c r="K2313" s="25">
        <f>IFERROR(__xludf.DUMMYFUNCTION("""COMPUTED_VALUE"""),999.75)</f>
        <v>999.75</v>
      </c>
      <c r="L2313" s="25">
        <f>IFERROR(__xludf.DUMMYFUNCTION("""COMPUTED_VALUE"""),1018.35)</f>
        <v>1018.35</v>
      </c>
      <c r="M2313" s="25">
        <f>IFERROR(__xludf.DUMMYFUNCTION("""COMPUTED_VALUE"""),3258303.0)</f>
        <v>3258303</v>
      </c>
    </row>
    <row r="2314">
      <c r="A2314" s="26">
        <f>IFERROR(__xludf.DUMMYFUNCTION("""COMPUTED_VALUE"""),41779.645833333336)</f>
        <v>41779.64583</v>
      </c>
      <c r="B2314" s="9">
        <f>IFERROR(__xludf.DUMMYFUNCTION("""COMPUTED_VALUE"""),381.13)</f>
        <v>381.13</v>
      </c>
      <c r="C2314" s="9">
        <f>IFERROR(__xludf.DUMMYFUNCTION("""COMPUTED_VALUE"""),392.36)</f>
        <v>392.36</v>
      </c>
      <c r="D2314" s="9">
        <f>IFERROR(__xludf.DUMMYFUNCTION("""COMPUTED_VALUE"""),380.28)</f>
        <v>380.28</v>
      </c>
      <c r="E2314" s="9">
        <f>IFERROR(__xludf.DUMMYFUNCTION("""COMPUTED_VALUE"""),390.28)</f>
        <v>390.28</v>
      </c>
      <c r="F2314" s="9">
        <f>IFERROR(__xludf.DUMMYFUNCTION("""COMPUTED_VALUE"""),1098418.0)</f>
        <v>1098418</v>
      </c>
      <c r="H2314" s="27">
        <f>IFERROR(__xludf.DUMMYFUNCTION("""COMPUTED_VALUE"""),41779.645833333336)</f>
        <v>41779.64583</v>
      </c>
      <c r="I2314" s="25">
        <f>IFERROR(__xludf.DUMMYFUNCTION("""COMPUTED_VALUE"""),1014.0)</f>
        <v>1014</v>
      </c>
      <c r="J2314" s="25">
        <f>IFERROR(__xludf.DUMMYFUNCTION("""COMPUTED_VALUE"""),1080.0)</f>
        <v>1080</v>
      </c>
      <c r="K2314" s="25">
        <f>IFERROR(__xludf.DUMMYFUNCTION("""COMPUTED_VALUE"""),1014.0)</f>
        <v>1014</v>
      </c>
      <c r="L2314" s="25">
        <f>IFERROR(__xludf.DUMMYFUNCTION("""COMPUTED_VALUE"""),1034.1)</f>
        <v>1034.1</v>
      </c>
      <c r="M2314" s="25">
        <f>IFERROR(__xludf.DUMMYFUNCTION("""COMPUTED_VALUE"""),2351057.0)</f>
        <v>2351057</v>
      </c>
    </row>
    <row r="2315">
      <c r="A2315" s="26">
        <f>IFERROR(__xludf.DUMMYFUNCTION("""COMPUTED_VALUE"""),41780.645833333336)</f>
        <v>41780.64583</v>
      </c>
      <c r="B2315" s="9">
        <f>IFERROR(__xludf.DUMMYFUNCTION("""COMPUTED_VALUE"""),389.75)</f>
        <v>389.75</v>
      </c>
      <c r="C2315" s="9">
        <f>IFERROR(__xludf.DUMMYFUNCTION("""COMPUTED_VALUE"""),395.54)</f>
        <v>395.54</v>
      </c>
      <c r="D2315" s="9">
        <f>IFERROR(__xludf.DUMMYFUNCTION("""COMPUTED_VALUE"""),387.38)</f>
        <v>387.38</v>
      </c>
      <c r="E2315" s="9">
        <f>IFERROR(__xludf.DUMMYFUNCTION("""COMPUTED_VALUE"""),394.64)</f>
        <v>394.64</v>
      </c>
      <c r="F2315" s="9">
        <f>IFERROR(__xludf.DUMMYFUNCTION("""COMPUTED_VALUE"""),848538.0)</f>
        <v>848538</v>
      </c>
      <c r="H2315" s="27">
        <f>IFERROR(__xludf.DUMMYFUNCTION("""COMPUTED_VALUE"""),41780.645833333336)</f>
        <v>41780.64583</v>
      </c>
      <c r="I2315" s="25">
        <f>IFERROR(__xludf.DUMMYFUNCTION("""COMPUTED_VALUE"""),1030.6)</f>
        <v>1030.6</v>
      </c>
      <c r="J2315" s="25">
        <f>IFERROR(__xludf.DUMMYFUNCTION("""COMPUTED_VALUE"""),1044.5)</f>
        <v>1044.5</v>
      </c>
      <c r="K2315" s="25">
        <f>IFERROR(__xludf.DUMMYFUNCTION("""COMPUTED_VALUE"""),1027.9)</f>
        <v>1027.9</v>
      </c>
      <c r="L2315" s="25">
        <f>IFERROR(__xludf.DUMMYFUNCTION("""COMPUTED_VALUE"""),1041.43)</f>
        <v>1041.43</v>
      </c>
      <c r="M2315" s="25">
        <f>IFERROR(__xludf.DUMMYFUNCTION("""COMPUTED_VALUE"""),2058473.0)</f>
        <v>2058473</v>
      </c>
    </row>
    <row r="2316">
      <c r="A2316" s="26">
        <f>IFERROR(__xludf.DUMMYFUNCTION("""COMPUTED_VALUE"""),41781.645833333336)</f>
        <v>41781.64583</v>
      </c>
      <c r="B2316" s="9">
        <f>IFERROR(__xludf.DUMMYFUNCTION("""COMPUTED_VALUE"""),395.0)</f>
        <v>395</v>
      </c>
      <c r="C2316" s="9">
        <f>IFERROR(__xludf.DUMMYFUNCTION("""COMPUTED_VALUE"""),397.5)</f>
        <v>397.5</v>
      </c>
      <c r="D2316" s="9">
        <f>IFERROR(__xludf.DUMMYFUNCTION("""COMPUTED_VALUE"""),385.14)</f>
        <v>385.14</v>
      </c>
      <c r="E2316" s="9">
        <f>IFERROR(__xludf.DUMMYFUNCTION("""COMPUTED_VALUE"""),389.24)</f>
        <v>389.24</v>
      </c>
      <c r="F2316" s="9">
        <f>IFERROR(__xludf.DUMMYFUNCTION("""COMPUTED_VALUE"""),1229093.0)</f>
        <v>1229093</v>
      </c>
      <c r="H2316" s="27">
        <f>IFERROR(__xludf.DUMMYFUNCTION("""COMPUTED_VALUE"""),41781.645833333336)</f>
        <v>41781.64583</v>
      </c>
      <c r="I2316" s="25">
        <f>IFERROR(__xludf.DUMMYFUNCTION("""COMPUTED_VALUE"""),1048.38)</f>
        <v>1048.38</v>
      </c>
      <c r="J2316" s="25">
        <f>IFERROR(__xludf.DUMMYFUNCTION("""COMPUTED_VALUE"""),1062.0)</f>
        <v>1062</v>
      </c>
      <c r="K2316" s="25">
        <f>IFERROR(__xludf.DUMMYFUNCTION("""COMPUTED_VALUE"""),1037.55)</f>
        <v>1037.55</v>
      </c>
      <c r="L2316" s="25">
        <f>IFERROR(__xludf.DUMMYFUNCTION("""COMPUTED_VALUE"""),1055.97)</f>
        <v>1055.97</v>
      </c>
      <c r="M2316" s="25">
        <f>IFERROR(__xludf.DUMMYFUNCTION("""COMPUTED_VALUE"""),2108421.0)</f>
        <v>2108421</v>
      </c>
    </row>
    <row r="2317">
      <c r="A2317" s="26">
        <f>IFERROR(__xludf.DUMMYFUNCTION("""COMPUTED_VALUE"""),41782.645833333336)</f>
        <v>41782.64583</v>
      </c>
      <c r="B2317" s="9">
        <f>IFERROR(__xludf.DUMMYFUNCTION("""COMPUTED_VALUE"""),390.63)</f>
        <v>390.63</v>
      </c>
      <c r="C2317" s="9">
        <f>IFERROR(__xludf.DUMMYFUNCTION("""COMPUTED_VALUE"""),396.38)</f>
        <v>396.38</v>
      </c>
      <c r="D2317" s="9">
        <f>IFERROR(__xludf.DUMMYFUNCTION("""COMPUTED_VALUE"""),376.52)</f>
        <v>376.52</v>
      </c>
      <c r="E2317" s="9">
        <f>IFERROR(__xludf.DUMMYFUNCTION("""COMPUTED_VALUE"""),383.69)</f>
        <v>383.69</v>
      </c>
      <c r="F2317" s="9">
        <f>IFERROR(__xludf.DUMMYFUNCTION("""COMPUTED_VALUE"""),1135222.0)</f>
        <v>1135222</v>
      </c>
      <c r="H2317" s="27">
        <f>IFERROR(__xludf.DUMMYFUNCTION("""COMPUTED_VALUE"""),41782.645833333336)</f>
        <v>41782.64583</v>
      </c>
      <c r="I2317" s="25">
        <f>IFERROR(__xludf.DUMMYFUNCTION("""COMPUTED_VALUE"""),1059.5)</f>
        <v>1059.5</v>
      </c>
      <c r="J2317" s="25">
        <f>IFERROR(__xludf.DUMMYFUNCTION("""COMPUTED_VALUE"""),1074.5)</f>
        <v>1074.5</v>
      </c>
      <c r="K2317" s="25">
        <f>IFERROR(__xludf.DUMMYFUNCTION("""COMPUTED_VALUE"""),1048.0)</f>
        <v>1048</v>
      </c>
      <c r="L2317" s="25">
        <f>IFERROR(__xludf.DUMMYFUNCTION("""COMPUTED_VALUE"""),1063.95)</f>
        <v>1063.95</v>
      </c>
      <c r="M2317" s="25">
        <f>IFERROR(__xludf.DUMMYFUNCTION("""COMPUTED_VALUE"""),1547390.0)</f>
        <v>1547390</v>
      </c>
    </row>
    <row r="2318">
      <c r="A2318" s="26">
        <f>IFERROR(__xludf.DUMMYFUNCTION("""COMPUTED_VALUE"""),41785.645833333336)</f>
        <v>41785.64583</v>
      </c>
      <c r="B2318" s="9">
        <f>IFERROR(__xludf.DUMMYFUNCTION("""COMPUTED_VALUE"""),383.88)</f>
        <v>383.88</v>
      </c>
      <c r="C2318" s="9">
        <f>IFERROR(__xludf.DUMMYFUNCTION("""COMPUTED_VALUE"""),388.87)</f>
        <v>388.87</v>
      </c>
      <c r="D2318" s="9">
        <f>IFERROR(__xludf.DUMMYFUNCTION("""COMPUTED_VALUE"""),381.27)</f>
        <v>381.27</v>
      </c>
      <c r="E2318" s="9">
        <f>IFERROR(__xludf.DUMMYFUNCTION("""COMPUTED_VALUE"""),386.86)</f>
        <v>386.86</v>
      </c>
      <c r="F2318" s="9">
        <f>IFERROR(__xludf.DUMMYFUNCTION("""COMPUTED_VALUE"""),718818.0)</f>
        <v>718818</v>
      </c>
      <c r="H2318" s="27">
        <f>IFERROR(__xludf.DUMMYFUNCTION("""COMPUTED_VALUE"""),41785.645833333336)</f>
        <v>41785.64583</v>
      </c>
      <c r="I2318" s="25">
        <f>IFERROR(__xludf.DUMMYFUNCTION("""COMPUTED_VALUE"""),1074.5)</f>
        <v>1074.5</v>
      </c>
      <c r="J2318" s="25">
        <f>IFERROR(__xludf.DUMMYFUNCTION("""COMPUTED_VALUE"""),1084.8)</f>
        <v>1084.8</v>
      </c>
      <c r="K2318" s="25">
        <f>IFERROR(__xludf.DUMMYFUNCTION("""COMPUTED_VALUE"""),1066.8)</f>
        <v>1066.8</v>
      </c>
      <c r="L2318" s="25">
        <f>IFERROR(__xludf.DUMMYFUNCTION("""COMPUTED_VALUE"""),1077.0)</f>
        <v>1077</v>
      </c>
      <c r="M2318" s="25">
        <f>IFERROR(__xludf.DUMMYFUNCTION("""COMPUTED_VALUE"""),1325425.0)</f>
        <v>1325425</v>
      </c>
    </row>
    <row r="2319">
      <c r="A2319" s="26">
        <f>IFERROR(__xludf.DUMMYFUNCTION("""COMPUTED_VALUE"""),41786.645833333336)</f>
        <v>41786.64583</v>
      </c>
      <c r="B2319" s="9">
        <f>IFERROR(__xludf.DUMMYFUNCTION("""COMPUTED_VALUE"""),387.5)</f>
        <v>387.5</v>
      </c>
      <c r="C2319" s="9">
        <f>IFERROR(__xludf.DUMMYFUNCTION("""COMPUTED_VALUE"""),394.38)</f>
        <v>394.38</v>
      </c>
      <c r="D2319" s="9">
        <f>IFERROR(__xludf.DUMMYFUNCTION("""COMPUTED_VALUE"""),387.44)</f>
        <v>387.44</v>
      </c>
      <c r="E2319" s="9">
        <f>IFERROR(__xludf.DUMMYFUNCTION("""COMPUTED_VALUE"""),391.76)</f>
        <v>391.76</v>
      </c>
      <c r="F2319" s="9">
        <f>IFERROR(__xludf.DUMMYFUNCTION("""COMPUTED_VALUE"""),623016.0)</f>
        <v>623016</v>
      </c>
      <c r="H2319" s="27">
        <f>IFERROR(__xludf.DUMMYFUNCTION("""COMPUTED_VALUE"""),41786.645833333336)</f>
        <v>41786.64583</v>
      </c>
      <c r="I2319" s="25">
        <f>IFERROR(__xludf.DUMMYFUNCTION("""COMPUTED_VALUE"""),1080.07)</f>
        <v>1080.07</v>
      </c>
      <c r="J2319" s="25">
        <f>IFERROR(__xludf.DUMMYFUNCTION("""COMPUTED_VALUE"""),1092.3)</f>
        <v>1092.3</v>
      </c>
      <c r="K2319" s="25">
        <f>IFERROR(__xludf.DUMMYFUNCTION("""COMPUTED_VALUE"""),1059.0)</f>
        <v>1059</v>
      </c>
      <c r="L2319" s="25">
        <f>IFERROR(__xludf.DUMMYFUNCTION("""COMPUTED_VALUE"""),1065.72)</f>
        <v>1065.72</v>
      </c>
      <c r="M2319" s="25">
        <f>IFERROR(__xludf.DUMMYFUNCTION("""COMPUTED_VALUE"""),897547.0)</f>
        <v>897547</v>
      </c>
    </row>
    <row r="2320">
      <c r="A2320" s="26">
        <f>IFERROR(__xludf.DUMMYFUNCTION("""COMPUTED_VALUE"""),41787.645833333336)</f>
        <v>41787.64583</v>
      </c>
      <c r="B2320" s="9">
        <f>IFERROR(__xludf.DUMMYFUNCTION("""COMPUTED_VALUE"""),390.44)</f>
        <v>390.44</v>
      </c>
      <c r="C2320" s="9">
        <f>IFERROR(__xludf.DUMMYFUNCTION("""COMPUTED_VALUE"""),398.5)</f>
        <v>398.5</v>
      </c>
      <c r="D2320" s="9">
        <f>IFERROR(__xludf.DUMMYFUNCTION("""COMPUTED_VALUE"""),389.75)</f>
        <v>389.75</v>
      </c>
      <c r="E2320" s="9">
        <f>IFERROR(__xludf.DUMMYFUNCTION("""COMPUTED_VALUE"""),396.66)</f>
        <v>396.66</v>
      </c>
      <c r="F2320" s="9">
        <f>IFERROR(__xludf.DUMMYFUNCTION("""COMPUTED_VALUE"""),673665.0)</f>
        <v>673665</v>
      </c>
      <c r="H2320" s="27">
        <f>IFERROR(__xludf.DUMMYFUNCTION("""COMPUTED_VALUE"""),41787.645833333336)</f>
        <v>41787.64583</v>
      </c>
      <c r="I2320" s="25">
        <f>IFERROR(__xludf.DUMMYFUNCTION("""COMPUTED_VALUE"""),1070.0)</f>
        <v>1070</v>
      </c>
      <c r="J2320" s="25">
        <f>IFERROR(__xludf.DUMMYFUNCTION("""COMPUTED_VALUE"""),1079.38)</f>
        <v>1079.38</v>
      </c>
      <c r="K2320" s="25">
        <f>IFERROR(__xludf.DUMMYFUNCTION("""COMPUTED_VALUE"""),1061.22)</f>
        <v>1061.22</v>
      </c>
      <c r="L2320" s="25">
        <f>IFERROR(__xludf.DUMMYFUNCTION("""COMPUTED_VALUE"""),1075.28)</f>
        <v>1075.28</v>
      </c>
      <c r="M2320" s="25">
        <f>IFERROR(__xludf.DUMMYFUNCTION("""COMPUTED_VALUE"""),943744.0)</f>
        <v>943744</v>
      </c>
    </row>
    <row r="2321">
      <c r="A2321" s="26">
        <f>IFERROR(__xludf.DUMMYFUNCTION("""COMPUTED_VALUE"""),41788.645833333336)</f>
        <v>41788.64583</v>
      </c>
      <c r="B2321" s="9">
        <f>IFERROR(__xludf.DUMMYFUNCTION("""COMPUTED_VALUE"""),378.13)</f>
        <v>378.13</v>
      </c>
      <c r="C2321" s="9">
        <f>IFERROR(__xludf.DUMMYFUNCTION("""COMPUTED_VALUE"""),378.13)</f>
        <v>378.13</v>
      </c>
      <c r="D2321" s="9">
        <f>IFERROR(__xludf.DUMMYFUNCTION("""COMPUTED_VALUE"""),364.38)</f>
        <v>364.38</v>
      </c>
      <c r="E2321" s="9">
        <f>IFERROR(__xludf.DUMMYFUNCTION("""COMPUTED_VALUE"""),365.56)</f>
        <v>365.56</v>
      </c>
      <c r="F2321" s="9">
        <f>IFERROR(__xludf.DUMMYFUNCTION("""COMPUTED_VALUE"""),5167666.0)</f>
        <v>5167666</v>
      </c>
      <c r="H2321" s="27">
        <f>IFERROR(__xludf.DUMMYFUNCTION("""COMPUTED_VALUE"""),41788.645833333336)</f>
        <v>41788.64583</v>
      </c>
      <c r="I2321" s="25">
        <f>IFERROR(__xludf.DUMMYFUNCTION("""COMPUTED_VALUE"""),1072.5)</f>
        <v>1072.5</v>
      </c>
      <c r="J2321" s="25">
        <f>IFERROR(__xludf.DUMMYFUNCTION("""COMPUTED_VALUE"""),1090.0)</f>
        <v>1090</v>
      </c>
      <c r="K2321" s="25">
        <f>IFERROR(__xludf.DUMMYFUNCTION("""COMPUTED_VALUE"""),1067.6)</f>
        <v>1067.6</v>
      </c>
      <c r="L2321" s="25">
        <f>IFERROR(__xludf.DUMMYFUNCTION("""COMPUTED_VALUE"""),1079.97)</f>
        <v>1079.97</v>
      </c>
      <c r="M2321" s="25">
        <f>IFERROR(__xludf.DUMMYFUNCTION("""COMPUTED_VALUE"""),1410355.0)</f>
        <v>1410355</v>
      </c>
    </row>
    <row r="2322">
      <c r="A2322" s="26">
        <f>IFERROR(__xludf.DUMMYFUNCTION("""COMPUTED_VALUE"""),41789.645833333336)</f>
        <v>41789.64583</v>
      </c>
      <c r="B2322" s="9">
        <f>IFERROR(__xludf.DUMMYFUNCTION("""COMPUTED_VALUE"""),367.5)</f>
        <v>367.5</v>
      </c>
      <c r="C2322" s="9">
        <f>IFERROR(__xludf.DUMMYFUNCTION("""COMPUTED_VALUE"""),369.93)</f>
        <v>369.93</v>
      </c>
      <c r="D2322" s="9">
        <f>IFERROR(__xludf.DUMMYFUNCTION("""COMPUTED_VALUE"""),360.0)</f>
        <v>360</v>
      </c>
      <c r="E2322" s="9">
        <f>IFERROR(__xludf.DUMMYFUNCTION("""COMPUTED_VALUE"""),367.43)</f>
        <v>367.43</v>
      </c>
      <c r="F2322" s="9">
        <f>IFERROR(__xludf.DUMMYFUNCTION("""COMPUTED_VALUE"""),3504452.0)</f>
        <v>3504452</v>
      </c>
      <c r="H2322" s="27">
        <f>IFERROR(__xludf.DUMMYFUNCTION("""COMPUTED_VALUE"""),41789.645833333336)</f>
        <v>41789.64583</v>
      </c>
      <c r="I2322" s="25">
        <f>IFERROR(__xludf.DUMMYFUNCTION("""COMPUTED_VALUE"""),1079.4)</f>
        <v>1079.4</v>
      </c>
      <c r="J2322" s="25">
        <f>IFERROR(__xludf.DUMMYFUNCTION("""COMPUTED_VALUE"""),1083.5)</f>
        <v>1083.5</v>
      </c>
      <c r="K2322" s="25">
        <f>IFERROR(__xludf.DUMMYFUNCTION("""COMPUTED_VALUE"""),1065.07)</f>
        <v>1065.07</v>
      </c>
      <c r="L2322" s="25">
        <f>IFERROR(__xludf.DUMMYFUNCTION("""COMPUTED_VALUE"""),1070.68)</f>
        <v>1070.68</v>
      </c>
      <c r="M2322" s="25">
        <f>IFERROR(__xludf.DUMMYFUNCTION("""COMPUTED_VALUE"""),1292824.0)</f>
        <v>1292824</v>
      </c>
    </row>
    <row r="2323">
      <c r="A2323" s="26">
        <f>IFERROR(__xludf.DUMMYFUNCTION("""COMPUTED_VALUE"""),41792.645833333336)</f>
        <v>41792.64583</v>
      </c>
      <c r="B2323" s="9">
        <f>IFERROR(__xludf.DUMMYFUNCTION("""COMPUTED_VALUE"""),370.06)</f>
        <v>370.06</v>
      </c>
      <c r="C2323" s="9">
        <f>IFERROR(__xludf.DUMMYFUNCTION("""COMPUTED_VALUE"""),374.71)</f>
        <v>374.71</v>
      </c>
      <c r="D2323" s="9">
        <f>IFERROR(__xludf.DUMMYFUNCTION("""COMPUTED_VALUE"""),370.06)</f>
        <v>370.06</v>
      </c>
      <c r="E2323" s="9">
        <f>IFERROR(__xludf.DUMMYFUNCTION("""COMPUTED_VALUE"""),374.14)</f>
        <v>374.14</v>
      </c>
      <c r="F2323" s="9">
        <f>IFERROR(__xludf.DUMMYFUNCTION("""COMPUTED_VALUE"""),778732.0)</f>
        <v>778732</v>
      </c>
      <c r="H2323" s="27">
        <f>IFERROR(__xludf.DUMMYFUNCTION("""COMPUTED_VALUE"""),41792.645833333336)</f>
        <v>41792.64583</v>
      </c>
      <c r="I2323" s="25">
        <f>IFERROR(__xludf.DUMMYFUNCTION("""COMPUTED_VALUE"""),1072.0)</f>
        <v>1072</v>
      </c>
      <c r="J2323" s="25">
        <f>IFERROR(__xludf.DUMMYFUNCTION("""COMPUTED_VALUE"""),1078.88)</f>
        <v>1078.88</v>
      </c>
      <c r="K2323" s="25">
        <f>IFERROR(__xludf.DUMMYFUNCTION("""COMPUTED_VALUE"""),1058.03)</f>
        <v>1058.03</v>
      </c>
      <c r="L2323" s="25">
        <f>IFERROR(__xludf.DUMMYFUNCTION("""COMPUTED_VALUE"""),1064.93)</f>
        <v>1064.93</v>
      </c>
      <c r="M2323" s="25">
        <f>IFERROR(__xludf.DUMMYFUNCTION("""COMPUTED_VALUE"""),547579.0)</f>
        <v>547579</v>
      </c>
    </row>
    <row r="2324">
      <c r="A2324" s="26">
        <f>IFERROR(__xludf.DUMMYFUNCTION("""COMPUTED_VALUE"""),41793.645833333336)</f>
        <v>41793.64583</v>
      </c>
      <c r="B2324" s="9">
        <f>IFERROR(__xludf.DUMMYFUNCTION("""COMPUTED_VALUE"""),376.0)</f>
        <v>376</v>
      </c>
      <c r="C2324" s="9">
        <f>IFERROR(__xludf.DUMMYFUNCTION("""COMPUTED_VALUE"""),379.62)</f>
        <v>379.62</v>
      </c>
      <c r="D2324" s="9">
        <f>IFERROR(__xludf.DUMMYFUNCTION("""COMPUTED_VALUE"""),371.84)</f>
        <v>371.84</v>
      </c>
      <c r="E2324" s="9">
        <f>IFERROR(__xludf.DUMMYFUNCTION("""COMPUTED_VALUE"""),377.15)</f>
        <v>377.15</v>
      </c>
      <c r="F2324" s="9">
        <f>IFERROR(__xludf.DUMMYFUNCTION("""COMPUTED_VALUE"""),853117.0)</f>
        <v>853117</v>
      </c>
      <c r="H2324" s="27">
        <f>IFERROR(__xludf.DUMMYFUNCTION("""COMPUTED_VALUE"""),41793.645833333336)</f>
        <v>41793.64583</v>
      </c>
      <c r="I2324" s="25">
        <f>IFERROR(__xludf.DUMMYFUNCTION("""COMPUTED_VALUE"""),1064.93)</f>
        <v>1064.93</v>
      </c>
      <c r="J2324" s="25">
        <f>IFERROR(__xludf.DUMMYFUNCTION("""COMPUTED_VALUE"""),1069.0)</f>
        <v>1069</v>
      </c>
      <c r="K2324" s="25">
        <f>IFERROR(__xludf.DUMMYFUNCTION("""COMPUTED_VALUE"""),1052.6)</f>
        <v>1052.6</v>
      </c>
      <c r="L2324" s="25">
        <f>IFERROR(__xludf.DUMMYFUNCTION("""COMPUTED_VALUE"""),1064.3)</f>
        <v>1064.3</v>
      </c>
      <c r="M2324" s="25">
        <f>IFERROR(__xludf.DUMMYFUNCTION("""COMPUTED_VALUE"""),1242314.0)</f>
        <v>1242314</v>
      </c>
    </row>
    <row r="2325">
      <c r="A2325" s="26">
        <f>IFERROR(__xludf.DUMMYFUNCTION("""COMPUTED_VALUE"""),41794.645833333336)</f>
        <v>41794.64583</v>
      </c>
      <c r="B2325" s="9">
        <f>IFERROR(__xludf.DUMMYFUNCTION("""COMPUTED_VALUE"""),376.88)</f>
        <v>376.88</v>
      </c>
      <c r="C2325" s="9">
        <f>IFERROR(__xludf.DUMMYFUNCTION("""COMPUTED_VALUE"""),378.42)</f>
        <v>378.42</v>
      </c>
      <c r="D2325" s="9">
        <f>IFERROR(__xludf.DUMMYFUNCTION("""COMPUTED_VALUE"""),369.19)</f>
        <v>369.19</v>
      </c>
      <c r="E2325" s="9">
        <f>IFERROR(__xludf.DUMMYFUNCTION("""COMPUTED_VALUE"""),373.06)</f>
        <v>373.06</v>
      </c>
      <c r="F2325" s="9">
        <f>IFERROR(__xludf.DUMMYFUNCTION("""COMPUTED_VALUE"""),688501.0)</f>
        <v>688501</v>
      </c>
      <c r="H2325" s="27">
        <f>IFERROR(__xludf.DUMMYFUNCTION("""COMPUTED_VALUE"""),41794.645833333336)</f>
        <v>41794.64583</v>
      </c>
      <c r="I2325" s="25">
        <f>IFERROR(__xludf.DUMMYFUNCTION("""COMPUTED_VALUE"""),1065.0)</f>
        <v>1065</v>
      </c>
      <c r="J2325" s="25">
        <f>IFERROR(__xludf.DUMMYFUNCTION("""COMPUTED_VALUE"""),1067.45)</f>
        <v>1067.45</v>
      </c>
      <c r="K2325" s="25">
        <f>IFERROR(__xludf.DUMMYFUNCTION("""COMPUTED_VALUE"""),1038.5)</f>
        <v>1038.5</v>
      </c>
      <c r="L2325" s="25">
        <f>IFERROR(__xludf.DUMMYFUNCTION("""COMPUTED_VALUE"""),1044.63)</f>
        <v>1044.63</v>
      </c>
      <c r="M2325" s="25">
        <f>IFERROR(__xludf.DUMMYFUNCTION("""COMPUTED_VALUE"""),1070531.0)</f>
        <v>1070531</v>
      </c>
    </row>
    <row r="2326">
      <c r="A2326" s="26">
        <f>IFERROR(__xludf.DUMMYFUNCTION("""COMPUTED_VALUE"""),41795.645833333336)</f>
        <v>41795.64583</v>
      </c>
      <c r="B2326" s="9">
        <f>IFERROR(__xludf.DUMMYFUNCTION("""COMPUTED_VALUE"""),375.0)</f>
        <v>375</v>
      </c>
      <c r="C2326" s="9">
        <f>IFERROR(__xludf.DUMMYFUNCTION("""COMPUTED_VALUE"""),383.55)</f>
        <v>383.55</v>
      </c>
      <c r="D2326" s="9">
        <f>IFERROR(__xludf.DUMMYFUNCTION("""COMPUTED_VALUE"""),370.25)</f>
        <v>370.25</v>
      </c>
      <c r="E2326" s="9">
        <f>IFERROR(__xludf.DUMMYFUNCTION("""COMPUTED_VALUE"""),380.14)</f>
        <v>380.14</v>
      </c>
      <c r="F2326" s="9">
        <f>IFERROR(__xludf.DUMMYFUNCTION("""COMPUTED_VALUE"""),1519215.0)</f>
        <v>1519215</v>
      </c>
      <c r="H2326" s="27">
        <f>IFERROR(__xludf.DUMMYFUNCTION("""COMPUTED_VALUE"""),41795.645833333336)</f>
        <v>41795.64583</v>
      </c>
      <c r="I2326" s="25">
        <f>IFERROR(__xludf.DUMMYFUNCTION("""COMPUTED_VALUE"""),1041.55)</f>
        <v>1041.55</v>
      </c>
      <c r="J2326" s="25">
        <f>IFERROR(__xludf.DUMMYFUNCTION("""COMPUTED_VALUE"""),1058.2)</f>
        <v>1058.2</v>
      </c>
      <c r="K2326" s="25">
        <f>IFERROR(__xludf.DUMMYFUNCTION("""COMPUTED_VALUE"""),1034.0)</f>
        <v>1034</v>
      </c>
      <c r="L2326" s="25">
        <f>IFERROR(__xludf.DUMMYFUNCTION("""COMPUTED_VALUE"""),1052.07)</f>
        <v>1052.07</v>
      </c>
      <c r="M2326" s="25">
        <f>IFERROR(__xludf.DUMMYFUNCTION("""COMPUTED_VALUE"""),2174235.0)</f>
        <v>2174235</v>
      </c>
    </row>
    <row r="2327">
      <c r="A2327" s="26">
        <f>IFERROR(__xludf.DUMMYFUNCTION("""COMPUTED_VALUE"""),41796.645833333336)</f>
        <v>41796.64583</v>
      </c>
      <c r="B2327" s="9">
        <f>IFERROR(__xludf.DUMMYFUNCTION("""COMPUTED_VALUE"""),375.02)</f>
        <v>375.02</v>
      </c>
      <c r="C2327" s="9">
        <f>IFERROR(__xludf.DUMMYFUNCTION("""COMPUTED_VALUE"""),376.25)</f>
        <v>376.25</v>
      </c>
      <c r="D2327" s="9">
        <f>IFERROR(__xludf.DUMMYFUNCTION("""COMPUTED_VALUE"""),368.75)</f>
        <v>368.75</v>
      </c>
      <c r="E2327" s="9">
        <f>IFERROR(__xludf.DUMMYFUNCTION("""COMPUTED_VALUE"""),375.38)</f>
        <v>375.38</v>
      </c>
      <c r="F2327" s="9">
        <f>IFERROR(__xludf.DUMMYFUNCTION("""COMPUTED_VALUE"""),2110303.0)</f>
        <v>2110303</v>
      </c>
      <c r="H2327" s="27">
        <f>IFERROR(__xludf.DUMMYFUNCTION("""COMPUTED_VALUE"""),41796.645833333336)</f>
        <v>41796.64583</v>
      </c>
      <c r="I2327" s="25">
        <f>IFERROR(__xludf.DUMMYFUNCTION("""COMPUTED_VALUE"""),1050.07)</f>
        <v>1050.07</v>
      </c>
      <c r="J2327" s="25">
        <f>IFERROR(__xludf.DUMMYFUNCTION("""COMPUTED_VALUE"""),1053.9)</f>
        <v>1053.9</v>
      </c>
      <c r="K2327" s="25">
        <f>IFERROR(__xludf.DUMMYFUNCTION("""COMPUTED_VALUE"""),1028.0)</f>
        <v>1028</v>
      </c>
      <c r="L2327" s="25">
        <f>IFERROR(__xludf.DUMMYFUNCTION("""COMPUTED_VALUE"""),1042.13)</f>
        <v>1042.13</v>
      </c>
      <c r="M2327" s="25">
        <f>IFERROR(__xludf.DUMMYFUNCTION("""COMPUTED_VALUE"""),1680793.0)</f>
        <v>1680793</v>
      </c>
    </row>
    <row r="2328">
      <c r="A2328" s="26">
        <f>IFERROR(__xludf.DUMMYFUNCTION("""COMPUTED_VALUE"""),41799.645833333336)</f>
        <v>41799.64583</v>
      </c>
      <c r="B2328" s="9">
        <f>IFERROR(__xludf.DUMMYFUNCTION("""COMPUTED_VALUE"""),375.75)</f>
        <v>375.75</v>
      </c>
      <c r="C2328" s="9">
        <f>IFERROR(__xludf.DUMMYFUNCTION("""COMPUTED_VALUE"""),376.88)</f>
        <v>376.88</v>
      </c>
      <c r="D2328" s="9">
        <f>IFERROR(__xludf.DUMMYFUNCTION("""COMPUTED_VALUE"""),372.01)</f>
        <v>372.01</v>
      </c>
      <c r="E2328" s="9">
        <f>IFERROR(__xludf.DUMMYFUNCTION("""COMPUTED_VALUE"""),373.31)</f>
        <v>373.31</v>
      </c>
      <c r="F2328" s="9">
        <f>IFERROR(__xludf.DUMMYFUNCTION("""COMPUTED_VALUE"""),1357293.0)</f>
        <v>1357293</v>
      </c>
      <c r="H2328" s="27">
        <f>IFERROR(__xludf.DUMMYFUNCTION("""COMPUTED_VALUE"""),41799.645833333336)</f>
        <v>41799.64583</v>
      </c>
      <c r="I2328" s="25">
        <f>IFERROR(__xludf.DUMMYFUNCTION("""COMPUTED_VALUE"""),1043.5)</f>
        <v>1043.5</v>
      </c>
      <c r="J2328" s="25">
        <f>IFERROR(__xludf.DUMMYFUNCTION("""COMPUTED_VALUE"""),1059.0)</f>
        <v>1059</v>
      </c>
      <c r="K2328" s="25">
        <f>IFERROR(__xludf.DUMMYFUNCTION("""COMPUTED_VALUE"""),1040.0)</f>
        <v>1040</v>
      </c>
      <c r="L2328" s="25">
        <f>IFERROR(__xludf.DUMMYFUNCTION("""COMPUTED_VALUE"""),1056.9)</f>
        <v>1056.9</v>
      </c>
      <c r="M2328" s="25">
        <f>IFERROR(__xludf.DUMMYFUNCTION("""COMPUTED_VALUE"""),1333098.0)</f>
        <v>1333098</v>
      </c>
    </row>
    <row r="2329">
      <c r="A2329" s="26">
        <f>IFERROR(__xludf.DUMMYFUNCTION("""COMPUTED_VALUE"""),41800.645833333336)</f>
        <v>41800.64583</v>
      </c>
      <c r="B2329" s="9">
        <f>IFERROR(__xludf.DUMMYFUNCTION("""COMPUTED_VALUE"""),375.0)</f>
        <v>375</v>
      </c>
      <c r="C2329" s="9">
        <f>IFERROR(__xludf.DUMMYFUNCTION("""COMPUTED_VALUE"""),386.15)</f>
        <v>386.15</v>
      </c>
      <c r="D2329" s="9">
        <f>IFERROR(__xludf.DUMMYFUNCTION("""COMPUTED_VALUE"""),374.54)</f>
        <v>374.54</v>
      </c>
      <c r="E2329" s="9">
        <f>IFERROR(__xludf.DUMMYFUNCTION("""COMPUTED_VALUE"""),384.39)</f>
        <v>384.39</v>
      </c>
      <c r="F2329" s="9">
        <f>IFERROR(__xludf.DUMMYFUNCTION("""COMPUTED_VALUE"""),1309897.0)</f>
        <v>1309897</v>
      </c>
      <c r="H2329" s="27">
        <f>IFERROR(__xludf.DUMMYFUNCTION("""COMPUTED_VALUE"""),41800.645833333336)</f>
        <v>41800.64583</v>
      </c>
      <c r="I2329" s="25">
        <f>IFERROR(__xludf.DUMMYFUNCTION("""COMPUTED_VALUE"""),1057.5)</f>
        <v>1057.5</v>
      </c>
      <c r="J2329" s="25">
        <f>IFERROR(__xludf.DUMMYFUNCTION("""COMPUTED_VALUE"""),1080.47)</f>
        <v>1080.47</v>
      </c>
      <c r="K2329" s="25">
        <f>IFERROR(__xludf.DUMMYFUNCTION("""COMPUTED_VALUE"""),1057.5)</f>
        <v>1057.5</v>
      </c>
      <c r="L2329" s="25">
        <f>IFERROR(__xludf.DUMMYFUNCTION("""COMPUTED_VALUE"""),1079.07)</f>
        <v>1079.07</v>
      </c>
      <c r="M2329" s="25">
        <f>IFERROR(__xludf.DUMMYFUNCTION("""COMPUTED_VALUE"""),1314034.0)</f>
        <v>1314034</v>
      </c>
    </row>
    <row r="2330">
      <c r="A2330" s="26">
        <f>IFERROR(__xludf.DUMMYFUNCTION("""COMPUTED_VALUE"""),41801.645833333336)</f>
        <v>41801.64583</v>
      </c>
      <c r="B2330" s="9">
        <f>IFERROR(__xludf.DUMMYFUNCTION("""COMPUTED_VALUE"""),388.13)</f>
        <v>388.13</v>
      </c>
      <c r="C2330" s="9">
        <f>IFERROR(__xludf.DUMMYFUNCTION("""COMPUTED_VALUE"""),407.16)</f>
        <v>407.16</v>
      </c>
      <c r="D2330" s="9">
        <f>IFERROR(__xludf.DUMMYFUNCTION("""COMPUTED_VALUE"""),386.29)</f>
        <v>386.29</v>
      </c>
      <c r="E2330" s="9">
        <f>IFERROR(__xludf.DUMMYFUNCTION("""COMPUTED_VALUE"""),399.17)</f>
        <v>399.17</v>
      </c>
      <c r="F2330" s="9">
        <f>IFERROR(__xludf.DUMMYFUNCTION("""COMPUTED_VALUE"""),2546963.0)</f>
        <v>2546963</v>
      </c>
      <c r="H2330" s="27">
        <f>IFERROR(__xludf.DUMMYFUNCTION("""COMPUTED_VALUE"""),41801.645833333336)</f>
        <v>41801.64583</v>
      </c>
      <c r="I2330" s="25">
        <f>IFERROR(__xludf.DUMMYFUNCTION("""COMPUTED_VALUE"""),1082.5)</f>
        <v>1082.5</v>
      </c>
      <c r="J2330" s="25">
        <f>IFERROR(__xludf.DUMMYFUNCTION("""COMPUTED_VALUE"""),1107.0)</f>
        <v>1107</v>
      </c>
      <c r="K2330" s="25">
        <f>IFERROR(__xludf.DUMMYFUNCTION("""COMPUTED_VALUE"""),1069.1)</f>
        <v>1069.1</v>
      </c>
      <c r="L2330" s="25">
        <f>IFERROR(__xludf.DUMMYFUNCTION("""COMPUTED_VALUE"""),1103.47)</f>
        <v>1103.47</v>
      </c>
      <c r="M2330" s="25">
        <f>IFERROR(__xludf.DUMMYFUNCTION("""COMPUTED_VALUE"""),1772281.0)</f>
        <v>1772281</v>
      </c>
    </row>
    <row r="2331">
      <c r="A2331" s="26">
        <f>IFERROR(__xludf.DUMMYFUNCTION("""COMPUTED_VALUE"""),41802.645833333336)</f>
        <v>41802.64583</v>
      </c>
      <c r="B2331" s="9">
        <f>IFERROR(__xludf.DUMMYFUNCTION("""COMPUTED_VALUE"""),410.0)</f>
        <v>410</v>
      </c>
      <c r="C2331" s="9">
        <f>IFERROR(__xludf.DUMMYFUNCTION("""COMPUTED_VALUE"""),412.13)</f>
        <v>412.13</v>
      </c>
      <c r="D2331" s="9">
        <f>IFERROR(__xludf.DUMMYFUNCTION("""COMPUTED_VALUE"""),390.09)</f>
        <v>390.09</v>
      </c>
      <c r="E2331" s="9">
        <f>IFERROR(__xludf.DUMMYFUNCTION("""COMPUTED_VALUE"""),396.88)</f>
        <v>396.88</v>
      </c>
      <c r="F2331" s="9">
        <f>IFERROR(__xludf.DUMMYFUNCTION("""COMPUTED_VALUE"""),2641107.0)</f>
        <v>2641107</v>
      </c>
      <c r="H2331" s="27">
        <f>IFERROR(__xludf.DUMMYFUNCTION("""COMPUTED_VALUE"""),41802.645833333336)</f>
        <v>41802.64583</v>
      </c>
      <c r="I2331" s="25">
        <f>IFERROR(__xludf.DUMMYFUNCTION("""COMPUTED_VALUE"""),1124.5)</f>
        <v>1124.5</v>
      </c>
      <c r="J2331" s="25">
        <f>IFERROR(__xludf.DUMMYFUNCTION("""COMPUTED_VALUE"""),1127.0)</f>
        <v>1127</v>
      </c>
      <c r="K2331" s="25">
        <f>IFERROR(__xludf.DUMMYFUNCTION("""COMPUTED_VALUE"""),1091.9)</f>
        <v>1091.9</v>
      </c>
      <c r="L2331" s="25">
        <f>IFERROR(__xludf.DUMMYFUNCTION("""COMPUTED_VALUE"""),1118.68)</f>
        <v>1118.68</v>
      </c>
      <c r="M2331" s="25">
        <f>IFERROR(__xludf.DUMMYFUNCTION("""COMPUTED_VALUE"""),1367169.0)</f>
        <v>1367169</v>
      </c>
    </row>
    <row r="2332">
      <c r="A2332" s="26">
        <f>IFERROR(__xludf.DUMMYFUNCTION("""COMPUTED_VALUE"""),41803.645833333336)</f>
        <v>41803.64583</v>
      </c>
      <c r="B2332" s="9">
        <f>IFERROR(__xludf.DUMMYFUNCTION("""COMPUTED_VALUE"""),398.56)</f>
        <v>398.56</v>
      </c>
      <c r="C2332" s="9">
        <f>IFERROR(__xludf.DUMMYFUNCTION("""COMPUTED_VALUE"""),400.88)</f>
        <v>400.88</v>
      </c>
      <c r="D2332" s="9">
        <f>IFERROR(__xludf.DUMMYFUNCTION("""COMPUTED_VALUE"""),391.38)</f>
        <v>391.38</v>
      </c>
      <c r="E2332" s="9">
        <f>IFERROR(__xludf.DUMMYFUNCTION("""COMPUTED_VALUE"""),398.38)</f>
        <v>398.38</v>
      </c>
      <c r="F2332" s="9">
        <f>IFERROR(__xludf.DUMMYFUNCTION("""COMPUTED_VALUE"""),1268968.0)</f>
        <v>1268968</v>
      </c>
      <c r="H2332" s="27">
        <f>IFERROR(__xludf.DUMMYFUNCTION("""COMPUTED_VALUE"""),41803.645833333336)</f>
        <v>41803.64583</v>
      </c>
      <c r="I2332" s="25">
        <f>IFERROR(__xludf.DUMMYFUNCTION("""COMPUTED_VALUE"""),1119.0)</f>
        <v>1119</v>
      </c>
      <c r="J2332" s="25">
        <f>IFERROR(__xludf.DUMMYFUNCTION("""COMPUTED_VALUE"""),1119.5)</f>
        <v>1119.5</v>
      </c>
      <c r="K2332" s="25">
        <f>IFERROR(__xludf.DUMMYFUNCTION("""COMPUTED_VALUE"""),1092.53)</f>
        <v>1092.53</v>
      </c>
      <c r="L2332" s="25">
        <f>IFERROR(__xludf.DUMMYFUNCTION("""COMPUTED_VALUE"""),1106.78)</f>
        <v>1106.78</v>
      </c>
      <c r="M2332" s="25">
        <f>IFERROR(__xludf.DUMMYFUNCTION("""COMPUTED_VALUE"""),952011.0)</f>
        <v>952011</v>
      </c>
    </row>
    <row r="2333">
      <c r="A2333" s="26">
        <f>IFERROR(__xludf.DUMMYFUNCTION("""COMPUTED_VALUE"""),41806.645833333336)</f>
        <v>41806.64583</v>
      </c>
      <c r="B2333" s="9">
        <f>IFERROR(__xludf.DUMMYFUNCTION("""COMPUTED_VALUE"""),398.25)</f>
        <v>398.25</v>
      </c>
      <c r="C2333" s="9">
        <f>IFERROR(__xludf.DUMMYFUNCTION("""COMPUTED_VALUE"""),407.46)</f>
        <v>407.46</v>
      </c>
      <c r="D2333" s="9">
        <f>IFERROR(__xludf.DUMMYFUNCTION("""COMPUTED_VALUE"""),397.5)</f>
        <v>397.5</v>
      </c>
      <c r="E2333" s="9">
        <f>IFERROR(__xludf.DUMMYFUNCTION("""COMPUTED_VALUE"""),405.52)</f>
        <v>405.52</v>
      </c>
      <c r="F2333" s="9">
        <f>IFERROR(__xludf.DUMMYFUNCTION("""COMPUTED_VALUE"""),1171916.0)</f>
        <v>1171916</v>
      </c>
      <c r="H2333" s="27">
        <f>IFERROR(__xludf.DUMMYFUNCTION("""COMPUTED_VALUE"""),41806.645833333336)</f>
        <v>41806.64583</v>
      </c>
      <c r="I2333" s="25">
        <f>IFERROR(__xludf.DUMMYFUNCTION("""COMPUTED_VALUE"""),1105.0)</f>
        <v>1105</v>
      </c>
      <c r="J2333" s="25">
        <f>IFERROR(__xludf.DUMMYFUNCTION("""COMPUTED_VALUE"""),1138.47)</f>
        <v>1138.47</v>
      </c>
      <c r="K2333" s="25">
        <f>IFERROR(__xludf.DUMMYFUNCTION("""COMPUTED_VALUE"""),1105.0)</f>
        <v>1105</v>
      </c>
      <c r="L2333" s="25">
        <f>IFERROR(__xludf.DUMMYFUNCTION("""COMPUTED_VALUE"""),1134.88)</f>
        <v>1134.88</v>
      </c>
      <c r="M2333" s="25">
        <f>IFERROR(__xludf.DUMMYFUNCTION("""COMPUTED_VALUE"""),1219953.0)</f>
        <v>1219953</v>
      </c>
    </row>
    <row r="2334">
      <c r="A2334" s="26">
        <f>IFERROR(__xludf.DUMMYFUNCTION("""COMPUTED_VALUE"""),41807.645833333336)</f>
        <v>41807.64583</v>
      </c>
      <c r="B2334" s="9">
        <f>IFERROR(__xludf.DUMMYFUNCTION("""COMPUTED_VALUE"""),406.13)</f>
        <v>406.13</v>
      </c>
      <c r="C2334" s="9">
        <f>IFERROR(__xludf.DUMMYFUNCTION("""COMPUTED_VALUE"""),408.38)</f>
        <v>408.38</v>
      </c>
      <c r="D2334" s="9">
        <f>IFERROR(__xludf.DUMMYFUNCTION("""COMPUTED_VALUE"""),402.32)</f>
        <v>402.32</v>
      </c>
      <c r="E2334" s="9">
        <f>IFERROR(__xludf.DUMMYFUNCTION("""COMPUTED_VALUE"""),405.86)</f>
        <v>405.86</v>
      </c>
      <c r="F2334" s="9">
        <f>IFERROR(__xludf.DUMMYFUNCTION("""COMPUTED_VALUE"""),1259924.0)</f>
        <v>1259924</v>
      </c>
      <c r="H2334" s="27">
        <f>IFERROR(__xludf.DUMMYFUNCTION("""COMPUTED_VALUE"""),41807.645833333336)</f>
        <v>41807.64583</v>
      </c>
      <c r="I2334" s="25">
        <f>IFERROR(__xludf.DUMMYFUNCTION("""COMPUTED_VALUE"""),1142.45)</f>
        <v>1142.45</v>
      </c>
      <c r="J2334" s="25">
        <f>IFERROR(__xludf.DUMMYFUNCTION("""COMPUTED_VALUE"""),1148.5)</f>
        <v>1148.5</v>
      </c>
      <c r="K2334" s="25">
        <f>IFERROR(__xludf.DUMMYFUNCTION("""COMPUTED_VALUE"""),1135.5)</f>
        <v>1135.5</v>
      </c>
      <c r="L2334" s="25">
        <f>IFERROR(__xludf.DUMMYFUNCTION("""COMPUTED_VALUE"""),1139.93)</f>
        <v>1139.93</v>
      </c>
      <c r="M2334" s="25">
        <f>IFERROR(__xludf.DUMMYFUNCTION("""COMPUTED_VALUE"""),959072.0)</f>
        <v>959072</v>
      </c>
    </row>
    <row r="2335">
      <c r="A2335" s="26">
        <f>IFERROR(__xludf.DUMMYFUNCTION("""COMPUTED_VALUE"""),41808.645833333336)</f>
        <v>41808.64583</v>
      </c>
      <c r="B2335" s="9">
        <f>IFERROR(__xludf.DUMMYFUNCTION("""COMPUTED_VALUE"""),405.63)</f>
        <v>405.63</v>
      </c>
      <c r="C2335" s="9">
        <f>IFERROR(__xludf.DUMMYFUNCTION("""COMPUTED_VALUE"""),409.38)</f>
        <v>409.38</v>
      </c>
      <c r="D2335" s="9">
        <f>IFERROR(__xludf.DUMMYFUNCTION("""COMPUTED_VALUE"""),401.59)</f>
        <v>401.59</v>
      </c>
      <c r="E2335" s="9">
        <f>IFERROR(__xludf.DUMMYFUNCTION("""COMPUTED_VALUE"""),405.06)</f>
        <v>405.06</v>
      </c>
      <c r="F2335" s="9">
        <f>IFERROR(__xludf.DUMMYFUNCTION("""COMPUTED_VALUE"""),1223910.0)</f>
        <v>1223910</v>
      </c>
      <c r="H2335" s="27">
        <f>IFERROR(__xludf.DUMMYFUNCTION("""COMPUTED_VALUE"""),41808.645833333336)</f>
        <v>41808.64583</v>
      </c>
      <c r="I2335" s="25">
        <f>IFERROR(__xludf.DUMMYFUNCTION("""COMPUTED_VALUE"""),1146.5)</f>
        <v>1146.5</v>
      </c>
      <c r="J2335" s="25">
        <f>IFERROR(__xludf.DUMMYFUNCTION("""COMPUTED_VALUE"""),1146.5)</f>
        <v>1146.5</v>
      </c>
      <c r="K2335" s="25">
        <f>IFERROR(__xludf.DUMMYFUNCTION("""COMPUTED_VALUE"""),1110.65)</f>
        <v>1110.65</v>
      </c>
      <c r="L2335" s="25">
        <f>IFERROR(__xludf.DUMMYFUNCTION("""COMPUTED_VALUE"""),1113.53)</f>
        <v>1113.53</v>
      </c>
      <c r="M2335" s="25">
        <f>IFERROR(__xludf.DUMMYFUNCTION("""COMPUTED_VALUE"""),974412.0)</f>
        <v>974412</v>
      </c>
    </row>
    <row r="2336">
      <c r="A2336" s="26">
        <f>IFERROR(__xludf.DUMMYFUNCTION("""COMPUTED_VALUE"""),41809.645833333336)</f>
        <v>41809.64583</v>
      </c>
      <c r="B2336" s="9">
        <f>IFERROR(__xludf.DUMMYFUNCTION("""COMPUTED_VALUE"""),405.73)</f>
        <v>405.73</v>
      </c>
      <c r="C2336" s="9">
        <f>IFERROR(__xludf.DUMMYFUNCTION("""COMPUTED_VALUE"""),415.38)</f>
        <v>415.38</v>
      </c>
      <c r="D2336" s="9">
        <f>IFERROR(__xludf.DUMMYFUNCTION("""COMPUTED_VALUE"""),405.64)</f>
        <v>405.64</v>
      </c>
      <c r="E2336" s="9">
        <f>IFERROR(__xludf.DUMMYFUNCTION("""COMPUTED_VALUE"""),413.99)</f>
        <v>413.99</v>
      </c>
      <c r="F2336" s="9">
        <f>IFERROR(__xludf.DUMMYFUNCTION("""COMPUTED_VALUE"""),1414213.0)</f>
        <v>1414213</v>
      </c>
      <c r="H2336" s="27">
        <f>IFERROR(__xludf.DUMMYFUNCTION("""COMPUTED_VALUE"""),41809.645833333336)</f>
        <v>41809.64583</v>
      </c>
      <c r="I2336" s="25">
        <f>IFERROR(__xludf.DUMMYFUNCTION("""COMPUTED_VALUE"""),1115.0)</f>
        <v>1115</v>
      </c>
      <c r="J2336" s="25">
        <f>IFERROR(__xludf.DUMMYFUNCTION("""COMPUTED_VALUE"""),1144.5)</f>
        <v>1144.5</v>
      </c>
      <c r="K2336" s="25">
        <f>IFERROR(__xludf.DUMMYFUNCTION("""COMPUTED_VALUE"""),1105.05)</f>
        <v>1105.05</v>
      </c>
      <c r="L2336" s="25">
        <f>IFERROR(__xludf.DUMMYFUNCTION("""COMPUTED_VALUE"""),1138.03)</f>
        <v>1138.03</v>
      </c>
      <c r="M2336" s="25">
        <f>IFERROR(__xludf.DUMMYFUNCTION("""COMPUTED_VALUE"""),948177.0)</f>
        <v>948177</v>
      </c>
    </row>
    <row r="2337">
      <c r="A2337" s="26">
        <f>IFERROR(__xludf.DUMMYFUNCTION("""COMPUTED_VALUE"""),41810.645833333336)</f>
        <v>41810.64583</v>
      </c>
      <c r="B2337" s="9">
        <f>IFERROR(__xludf.DUMMYFUNCTION("""COMPUTED_VALUE"""),415.0)</f>
        <v>415</v>
      </c>
      <c r="C2337" s="9">
        <f>IFERROR(__xludf.DUMMYFUNCTION("""COMPUTED_VALUE"""),417.43)</f>
        <v>417.43</v>
      </c>
      <c r="D2337" s="9">
        <f>IFERROR(__xludf.DUMMYFUNCTION("""COMPUTED_VALUE"""),411.61)</f>
        <v>411.61</v>
      </c>
      <c r="E2337" s="9">
        <f>IFERROR(__xludf.DUMMYFUNCTION("""COMPUTED_VALUE"""),414.58)</f>
        <v>414.58</v>
      </c>
      <c r="F2337" s="9">
        <f>IFERROR(__xludf.DUMMYFUNCTION("""COMPUTED_VALUE"""),1106625.0)</f>
        <v>1106625</v>
      </c>
      <c r="H2337" s="27">
        <f>IFERROR(__xludf.DUMMYFUNCTION("""COMPUTED_VALUE"""),41810.645833333336)</f>
        <v>41810.64583</v>
      </c>
      <c r="I2337" s="25">
        <f>IFERROR(__xludf.DUMMYFUNCTION("""COMPUTED_VALUE"""),1142.45)</f>
        <v>1142.45</v>
      </c>
      <c r="J2337" s="25">
        <f>IFERROR(__xludf.DUMMYFUNCTION("""COMPUTED_VALUE"""),1149.5)</f>
        <v>1149.5</v>
      </c>
      <c r="K2337" s="25">
        <f>IFERROR(__xludf.DUMMYFUNCTION("""COMPUTED_VALUE"""),1131.0)</f>
        <v>1131</v>
      </c>
      <c r="L2337" s="25">
        <f>IFERROR(__xludf.DUMMYFUNCTION("""COMPUTED_VALUE"""),1146.2)</f>
        <v>1146.2</v>
      </c>
      <c r="M2337" s="25">
        <f>IFERROR(__xludf.DUMMYFUNCTION("""COMPUTED_VALUE"""),577837.0)</f>
        <v>577837</v>
      </c>
    </row>
    <row r="2338">
      <c r="A2338" s="26">
        <f>IFERROR(__xludf.DUMMYFUNCTION("""COMPUTED_VALUE"""),41813.645833333336)</f>
        <v>41813.64583</v>
      </c>
      <c r="B2338" s="9">
        <f>IFERROR(__xludf.DUMMYFUNCTION("""COMPUTED_VALUE"""),412.5)</f>
        <v>412.5</v>
      </c>
      <c r="C2338" s="9">
        <f>IFERROR(__xludf.DUMMYFUNCTION("""COMPUTED_VALUE"""),413.62)</f>
        <v>413.62</v>
      </c>
      <c r="D2338" s="9">
        <f>IFERROR(__xludf.DUMMYFUNCTION("""COMPUTED_VALUE"""),402.68)</f>
        <v>402.68</v>
      </c>
      <c r="E2338" s="9">
        <f>IFERROR(__xludf.DUMMYFUNCTION("""COMPUTED_VALUE"""),404.07)</f>
        <v>404.07</v>
      </c>
      <c r="F2338" s="9">
        <f>IFERROR(__xludf.DUMMYFUNCTION("""COMPUTED_VALUE"""),791014.0)</f>
        <v>791014</v>
      </c>
      <c r="H2338" s="27">
        <f>IFERROR(__xludf.DUMMYFUNCTION("""COMPUTED_VALUE"""),41813.645833333336)</f>
        <v>41813.64583</v>
      </c>
      <c r="I2338" s="25">
        <f>IFERROR(__xludf.DUMMYFUNCTION("""COMPUTED_VALUE"""),1146.5)</f>
        <v>1146.5</v>
      </c>
      <c r="J2338" s="25">
        <f>IFERROR(__xludf.DUMMYFUNCTION("""COMPUTED_VALUE"""),1149.95)</f>
        <v>1149.95</v>
      </c>
      <c r="K2338" s="25">
        <f>IFERROR(__xludf.DUMMYFUNCTION("""COMPUTED_VALUE"""),1127.03)</f>
        <v>1127.03</v>
      </c>
      <c r="L2338" s="25">
        <f>IFERROR(__xludf.DUMMYFUNCTION("""COMPUTED_VALUE"""),1134.43)</f>
        <v>1134.43</v>
      </c>
      <c r="M2338" s="25">
        <f>IFERROR(__xludf.DUMMYFUNCTION("""COMPUTED_VALUE"""),631367.0)</f>
        <v>631367</v>
      </c>
    </row>
    <row r="2339">
      <c r="A2339" s="26">
        <f>IFERROR(__xludf.DUMMYFUNCTION("""COMPUTED_VALUE"""),41814.645833333336)</f>
        <v>41814.64583</v>
      </c>
      <c r="B2339" s="9">
        <f>IFERROR(__xludf.DUMMYFUNCTION("""COMPUTED_VALUE"""),403.75)</f>
        <v>403.75</v>
      </c>
      <c r="C2339" s="9">
        <f>IFERROR(__xludf.DUMMYFUNCTION("""COMPUTED_VALUE"""),404.36)</f>
        <v>404.36</v>
      </c>
      <c r="D2339" s="9">
        <f>IFERROR(__xludf.DUMMYFUNCTION("""COMPUTED_VALUE"""),399.02)</f>
        <v>399.02</v>
      </c>
      <c r="E2339" s="9">
        <f>IFERROR(__xludf.DUMMYFUNCTION("""COMPUTED_VALUE"""),400.48)</f>
        <v>400.48</v>
      </c>
      <c r="F2339" s="9">
        <f>IFERROR(__xludf.DUMMYFUNCTION("""COMPUTED_VALUE"""),1329753.0)</f>
        <v>1329753</v>
      </c>
      <c r="H2339" s="27">
        <f>IFERROR(__xludf.DUMMYFUNCTION("""COMPUTED_VALUE"""),41814.645833333336)</f>
        <v>41814.64583</v>
      </c>
      <c r="I2339" s="25">
        <f>IFERROR(__xludf.DUMMYFUNCTION("""COMPUTED_VALUE"""),1134.5)</f>
        <v>1134.5</v>
      </c>
      <c r="J2339" s="25">
        <f>IFERROR(__xludf.DUMMYFUNCTION("""COMPUTED_VALUE"""),1159.75)</f>
        <v>1159.75</v>
      </c>
      <c r="K2339" s="25">
        <f>IFERROR(__xludf.DUMMYFUNCTION("""COMPUTED_VALUE"""),1127.5)</f>
        <v>1127.5</v>
      </c>
      <c r="L2339" s="25">
        <f>IFERROR(__xludf.DUMMYFUNCTION("""COMPUTED_VALUE"""),1154.53)</f>
        <v>1154.53</v>
      </c>
      <c r="M2339" s="25">
        <f>IFERROR(__xludf.DUMMYFUNCTION("""COMPUTED_VALUE"""),739550.0)</f>
        <v>739550</v>
      </c>
    </row>
    <row r="2340">
      <c r="A2340" s="26">
        <f>IFERROR(__xludf.DUMMYFUNCTION("""COMPUTED_VALUE"""),41815.645833333336)</f>
        <v>41815.64583</v>
      </c>
      <c r="B2340" s="9">
        <f>IFERROR(__xludf.DUMMYFUNCTION("""COMPUTED_VALUE"""),405.63)</f>
        <v>405.63</v>
      </c>
      <c r="C2340" s="9">
        <f>IFERROR(__xludf.DUMMYFUNCTION("""COMPUTED_VALUE"""),405.63)</f>
        <v>405.63</v>
      </c>
      <c r="D2340" s="9">
        <f>IFERROR(__xludf.DUMMYFUNCTION("""COMPUTED_VALUE"""),400.75)</f>
        <v>400.75</v>
      </c>
      <c r="E2340" s="9">
        <f>IFERROR(__xludf.DUMMYFUNCTION("""COMPUTED_VALUE"""),401.41)</f>
        <v>401.41</v>
      </c>
      <c r="F2340" s="9">
        <f>IFERROR(__xludf.DUMMYFUNCTION("""COMPUTED_VALUE"""),804190.0)</f>
        <v>804190</v>
      </c>
      <c r="H2340" s="27">
        <f>IFERROR(__xludf.DUMMYFUNCTION("""COMPUTED_VALUE"""),41815.645833333336)</f>
        <v>41815.64583</v>
      </c>
      <c r="I2340" s="25">
        <f>IFERROR(__xludf.DUMMYFUNCTION("""COMPUTED_VALUE"""),1155.0)</f>
        <v>1155</v>
      </c>
      <c r="J2340" s="25">
        <f>IFERROR(__xludf.DUMMYFUNCTION("""COMPUTED_VALUE"""),1160.0)</f>
        <v>1160</v>
      </c>
      <c r="K2340" s="25">
        <f>IFERROR(__xludf.DUMMYFUNCTION("""COMPUTED_VALUE"""),1146.5)</f>
        <v>1146.5</v>
      </c>
      <c r="L2340" s="25">
        <f>IFERROR(__xludf.DUMMYFUNCTION("""COMPUTED_VALUE"""),1155.28)</f>
        <v>1155.28</v>
      </c>
      <c r="M2340" s="25">
        <f>IFERROR(__xludf.DUMMYFUNCTION("""COMPUTED_VALUE"""),514211.0)</f>
        <v>514211</v>
      </c>
    </row>
    <row r="2341">
      <c r="A2341" s="26">
        <f>IFERROR(__xludf.DUMMYFUNCTION("""COMPUTED_VALUE"""),41816.645833333336)</f>
        <v>41816.64583</v>
      </c>
      <c r="B2341" s="9">
        <f>IFERROR(__xludf.DUMMYFUNCTION("""COMPUTED_VALUE"""),402.5)</f>
        <v>402.5</v>
      </c>
      <c r="C2341" s="9">
        <f>IFERROR(__xludf.DUMMYFUNCTION("""COMPUTED_VALUE"""),404.38)</f>
        <v>404.38</v>
      </c>
      <c r="D2341" s="9">
        <f>IFERROR(__xludf.DUMMYFUNCTION("""COMPUTED_VALUE"""),396.09)</f>
        <v>396.09</v>
      </c>
      <c r="E2341" s="9">
        <f>IFERROR(__xludf.DUMMYFUNCTION("""COMPUTED_VALUE"""),397.81)</f>
        <v>397.81</v>
      </c>
      <c r="F2341" s="9">
        <f>IFERROR(__xludf.DUMMYFUNCTION("""COMPUTED_VALUE"""),922069.0)</f>
        <v>922069</v>
      </c>
      <c r="H2341" s="27">
        <f>IFERROR(__xludf.DUMMYFUNCTION("""COMPUTED_VALUE"""),41816.645833333336)</f>
        <v>41816.64583</v>
      </c>
      <c r="I2341" s="25">
        <f>IFERROR(__xludf.DUMMYFUNCTION("""COMPUTED_VALUE"""),1148.0)</f>
        <v>1148</v>
      </c>
      <c r="J2341" s="25">
        <f>IFERROR(__xludf.DUMMYFUNCTION("""COMPUTED_VALUE"""),1172.07)</f>
        <v>1172.07</v>
      </c>
      <c r="K2341" s="25">
        <f>IFERROR(__xludf.DUMMYFUNCTION("""COMPUTED_VALUE"""),1145.57)</f>
        <v>1145.57</v>
      </c>
      <c r="L2341" s="25">
        <f>IFERROR(__xludf.DUMMYFUNCTION("""COMPUTED_VALUE"""),1153.82)</f>
        <v>1153.82</v>
      </c>
      <c r="M2341" s="25">
        <f>IFERROR(__xludf.DUMMYFUNCTION("""COMPUTED_VALUE"""),1018091.0)</f>
        <v>1018091</v>
      </c>
    </row>
    <row r="2342">
      <c r="A2342" s="26">
        <f>IFERROR(__xludf.DUMMYFUNCTION("""COMPUTED_VALUE"""),41817.645833333336)</f>
        <v>41817.64583</v>
      </c>
      <c r="B2342" s="9">
        <f>IFERROR(__xludf.DUMMYFUNCTION("""COMPUTED_VALUE"""),400.0)</f>
        <v>400</v>
      </c>
      <c r="C2342" s="9">
        <f>IFERROR(__xludf.DUMMYFUNCTION("""COMPUTED_VALUE"""),404.45)</f>
        <v>404.45</v>
      </c>
      <c r="D2342" s="9">
        <f>IFERROR(__xludf.DUMMYFUNCTION("""COMPUTED_VALUE"""),396.5)</f>
        <v>396.5</v>
      </c>
      <c r="E2342" s="9">
        <f>IFERROR(__xludf.DUMMYFUNCTION("""COMPUTED_VALUE"""),402.93)</f>
        <v>402.93</v>
      </c>
      <c r="F2342" s="9">
        <f>IFERROR(__xludf.DUMMYFUNCTION("""COMPUTED_VALUE"""),861343.0)</f>
        <v>861343</v>
      </c>
      <c r="H2342" s="27">
        <f>IFERROR(__xludf.DUMMYFUNCTION("""COMPUTED_VALUE"""),41817.645833333336)</f>
        <v>41817.64583</v>
      </c>
      <c r="I2342" s="25">
        <f>IFERROR(__xludf.DUMMYFUNCTION("""COMPUTED_VALUE"""),1158.5)</f>
        <v>1158.5</v>
      </c>
      <c r="J2342" s="25">
        <f>IFERROR(__xludf.DUMMYFUNCTION("""COMPUTED_VALUE"""),1203.45)</f>
        <v>1203.45</v>
      </c>
      <c r="K2342" s="25">
        <f>IFERROR(__xludf.DUMMYFUNCTION("""COMPUTED_VALUE"""),1157.5)</f>
        <v>1157.5</v>
      </c>
      <c r="L2342" s="25">
        <f>IFERROR(__xludf.DUMMYFUNCTION("""COMPUTED_VALUE"""),1199.78)</f>
        <v>1199.78</v>
      </c>
      <c r="M2342" s="25">
        <f>IFERROR(__xludf.DUMMYFUNCTION("""COMPUTED_VALUE"""),1529418.0)</f>
        <v>1529418</v>
      </c>
    </row>
    <row r="2343">
      <c r="A2343" s="26">
        <f>IFERROR(__xludf.DUMMYFUNCTION("""COMPUTED_VALUE"""),41820.645833333336)</f>
        <v>41820.64583</v>
      </c>
      <c r="B2343" s="9">
        <f>IFERROR(__xludf.DUMMYFUNCTION("""COMPUTED_VALUE"""),402.5)</f>
        <v>402.5</v>
      </c>
      <c r="C2343" s="9">
        <f>IFERROR(__xludf.DUMMYFUNCTION("""COMPUTED_VALUE"""),407.88)</f>
        <v>407.88</v>
      </c>
      <c r="D2343" s="9">
        <f>IFERROR(__xludf.DUMMYFUNCTION("""COMPUTED_VALUE"""),401.43)</f>
        <v>401.43</v>
      </c>
      <c r="E2343" s="9">
        <f>IFERROR(__xludf.DUMMYFUNCTION("""COMPUTED_VALUE"""),406.94)</f>
        <v>406.94</v>
      </c>
      <c r="F2343" s="9">
        <f>IFERROR(__xludf.DUMMYFUNCTION("""COMPUTED_VALUE"""),911322.0)</f>
        <v>911322</v>
      </c>
      <c r="H2343" s="27">
        <f>IFERROR(__xludf.DUMMYFUNCTION("""COMPUTED_VALUE"""),41820.645833333336)</f>
        <v>41820.64583</v>
      </c>
      <c r="I2343" s="25">
        <f>IFERROR(__xludf.DUMMYFUNCTION("""COMPUTED_VALUE"""),1200.28)</f>
        <v>1200.28</v>
      </c>
      <c r="J2343" s="25">
        <f>IFERROR(__xludf.DUMMYFUNCTION("""COMPUTED_VALUE"""),1217.5)</f>
        <v>1217.5</v>
      </c>
      <c r="K2343" s="25">
        <f>IFERROR(__xludf.DUMMYFUNCTION("""COMPUTED_VALUE"""),1188.3)</f>
        <v>1188.3</v>
      </c>
      <c r="L2343" s="25">
        <f>IFERROR(__xludf.DUMMYFUNCTION("""COMPUTED_VALUE"""),1212.7)</f>
        <v>1212.7</v>
      </c>
      <c r="M2343" s="25">
        <f>IFERROR(__xludf.DUMMYFUNCTION("""COMPUTED_VALUE"""),1073235.0)</f>
        <v>1073235</v>
      </c>
    </row>
    <row r="2344">
      <c r="A2344" s="26">
        <f>IFERROR(__xludf.DUMMYFUNCTION("""COMPUTED_VALUE"""),41821.645833333336)</f>
        <v>41821.64583</v>
      </c>
      <c r="B2344" s="9">
        <f>IFERROR(__xludf.DUMMYFUNCTION("""COMPUTED_VALUE"""),405.63)</f>
        <v>405.63</v>
      </c>
      <c r="C2344" s="9">
        <f>IFERROR(__xludf.DUMMYFUNCTION("""COMPUTED_VALUE"""),406.85)</f>
        <v>406.85</v>
      </c>
      <c r="D2344" s="9">
        <f>IFERROR(__xludf.DUMMYFUNCTION("""COMPUTED_VALUE"""),400.75)</f>
        <v>400.75</v>
      </c>
      <c r="E2344" s="9">
        <f>IFERROR(__xludf.DUMMYFUNCTION("""COMPUTED_VALUE"""),402.63)</f>
        <v>402.63</v>
      </c>
      <c r="F2344" s="9">
        <f>IFERROR(__xludf.DUMMYFUNCTION("""COMPUTED_VALUE"""),582814.0)</f>
        <v>582814</v>
      </c>
      <c r="H2344" s="27">
        <f>IFERROR(__xludf.DUMMYFUNCTION("""COMPUTED_VALUE"""),41821.645833333336)</f>
        <v>41821.64583</v>
      </c>
      <c r="I2344" s="25">
        <f>IFERROR(__xludf.DUMMYFUNCTION("""COMPUTED_VALUE"""),1209.45)</f>
        <v>1209.45</v>
      </c>
      <c r="J2344" s="25">
        <f>IFERROR(__xludf.DUMMYFUNCTION("""COMPUTED_VALUE"""),1209.5)</f>
        <v>1209.5</v>
      </c>
      <c r="K2344" s="25">
        <f>IFERROR(__xludf.DUMMYFUNCTION("""COMPUTED_VALUE"""),1191.15)</f>
        <v>1191.15</v>
      </c>
      <c r="L2344" s="25">
        <f>IFERROR(__xludf.DUMMYFUNCTION("""COMPUTED_VALUE"""),1195.38)</f>
        <v>1195.38</v>
      </c>
      <c r="M2344" s="25">
        <f>IFERROR(__xludf.DUMMYFUNCTION("""COMPUTED_VALUE"""),546395.0)</f>
        <v>546395</v>
      </c>
    </row>
    <row r="2345">
      <c r="A2345" s="26">
        <f>IFERROR(__xludf.DUMMYFUNCTION("""COMPUTED_VALUE"""),41822.645833333336)</f>
        <v>41822.64583</v>
      </c>
      <c r="B2345" s="9">
        <f>IFERROR(__xludf.DUMMYFUNCTION("""COMPUTED_VALUE"""),401.5)</f>
        <v>401.5</v>
      </c>
      <c r="C2345" s="9">
        <f>IFERROR(__xludf.DUMMYFUNCTION("""COMPUTED_VALUE"""),405.45)</f>
        <v>405.45</v>
      </c>
      <c r="D2345" s="9">
        <f>IFERROR(__xludf.DUMMYFUNCTION("""COMPUTED_VALUE"""),399.78)</f>
        <v>399.78</v>
      </c>
      <c r="E2345" s="9">
        <f>IFERROR(__xludf.DUMMYFUNCTION("""COMPUTED_VALUE"""),401.91)</f>
        <v>401.91</v>
      </c>
      <c r="F2345" s="9">
        <f>IFERROR(__xludf.DUMMYFUNCTION("""COMPUTED_VALUE"""),764954.0)</f>
        <v>764954</v>
      </c>
      <c r="H2345" s="27">
        <f>IFERROR(__xludf.DUMMYFUNCTION("""COMPUTED_VALUE"""),41822.645833333336)</f>
        <v>41822.64583</v>
      </c>
      <c r="I2345" s="25">
        <f>IFERROR(__xludf.DUMMYFUNCTION("""COMPUTED_VALUE"""),1200.0)</f>
        <v>1200</v>
      </c>
      <c r="J2345" s="25">
        <f>IFERROR(__xludf.DUMMYFUNCTION("""COMPUTED_VALUE"""),1205.88)</f>
        <v>1205.88</v>
      </c>
      <c r="K2345" s="25">
        <f>IFERROR(__xludf.DUMMYFUNCTION("""COMPUTED_VALUE"""),1191.75)</f>
        <v>1191.75</v>
      </c>
      <c r="L2345" s="25">
        <f>IFERROR(__xludf.DUMMYFUNCTION("""COMPUTED_VALUE"""),1200.8)</f>
        <v>1200.8</v>
      </c>
      <c r="M2345" s="25">
        <f>IFERROR(__xludf.DUMMYFUNCTION("""COMPUTED_VALUE"""),453870.0)</f>
        <v>453870</v>
      </c>
    </row>
    <row r="2346">
      <c r="A2346" s="26">
        <f>IFERROR(__xludf.DUMMYFUNCTION("""COMPUTED_VALUE"""),41823.645833333336)</f>
        <v>41823.64583</v>
      </c>
      <c r="B2346" s="9">
        <f>IFERROR(__xludf.DUMMYFUNCTION("""COMPUTED_VALUE"""),401.28)</f>
        <v>401.28</v>
      </c>
      <c r="C2346" s="9">
        <f>IFERROR(__xludf.DUMMYFUNCTION("""COMPUTED_VALUE"""),403.55)</f>
        <v>403.55</v>
      </c>
      <c r="D2346" s="9">
        <f>IFERROR(__xludf.DUMMYFUNCTION("""COMPUTED_VALUE"""),398.81)</f>
        <v>398.81</v>
      </c>
      <c r="E2346" s="9">
        <f>IFERROR(__xludf.DUMMYFUNCTION("""COMPUTED_VALUE"""),401.34)</f>
        <v>401.34</v>
      </c>
      <c r="F2346" s="9">
        <f>IFERROR(__xludf.DUMMYFUNCTION("""COMPUTED_VALUE"""),938114.0)</f>
        <v>938114</v>
      </c>
      <c r="H2346" s="27">
        <f>IFERROR(__xludf.DUMMYFUNCTION("""COMPUTED_VALUE"""),41823.645833333336)</f>
        <v>41823.64583</v>
      </c>
      <c r="I2346" s="25">
        <f>IFERROR(__xludf.DUMMYFUNCTION("""COMPUTED_VALUE"""),1199.5)</f>
        <v>1199.5</v>
      </c>
      <c r="J2346" s="25">
        <f>IFERROR(__xludf.DUMMYFUNCTION("""COMPUTED_VALUE"""),1222.5)</f>
        <v>1222.5</v>
      </c>
      <c r="K2346" s="25">
        <f>IFERROR(__xludf.DUMMYFUNCTION("""COMPUTED_VALUE"""),1196.0)</f>
        <v>1196</v>
      </c>
      <c r="L2346" s="25">
        <f>IFERROR(__xludf.DUMMYFUNCTION("""COMPUTED_VALUE"""),1208.95)</f>
        <v>1208.95</v>
      </c>
      <c r="M2346" s="25">
        <f>IFERROR(__xludf.DUMMYFUNCTION("""COMPUTED_VALUE"""),763381.0)</f>
        <v>763381</v>
      </c>
    </row>
    <row r="2347">
      <c r="A2347" s="26">
        <f>IFERROR(__xludf.DUMMYFUNCTION("""COMPUTED_VALUE"""),41824.645833333336)</f>
        <v>41824.64583</v>
      </c>
      <c r="B2347" s="9">
        <f>IFERROR(__xludf.DUMMYFUNCTION("""COMPUTED_VALUE"""),400.01)</f>
        <v>400.01</v>
      </c>
      <c r="C2347" s="9">
        <f>IFERROR(__xludf.DUMMYFUNCTION("""COMPUTED_VALUE"""),407.3)</f>
        <v>407.3</v>
      </c>
      <c r="D2347" s="9">
        <f>IFERROR(__xludf.DUMMYFUNCTION("""COMPUTED_VALUE"""),400.01)</f>
        <v>400.01</v>
      </c>
      <c r="E2347" s="9">
        <f>IFERROR(__xludf.DUMMYFUNCTION("""COMPUTED_VALUE"""),405.74)</f>
        <v>405.74</v>
      </c>
      <c r="F2347" s="9">
        <f>IFERROR(__xludf.DUMMYFUNCTION("""COMPUTED_VALUE"""),719121.0)</f>
        <v>719121</v>
      </c>
      <c r="H2347" s="27">
        <f>IFERROR(__xludf.DUMMYFUNCTION("""COMPUTED_VALUE"""),41824.645833333336)</f>
        <v>41824.64583</v>
      </c>
      <c r="I2347" s="25">
        <f>IFERROR(__xludf.DUMMYFUNCTION("""COMPUTED_VALUE"""),1206.2)</f>
        <v>1206.2</v>
      </c>
      <c r="J2347" s="25">
        <f>IFERROR(__xludf.DUMMYFUNCTION("""COMPUTED_VALUE"""),1212.75)</f>
        <v>1212.75</v>
      </c>
      <c r="K2347" s="25">
        <f>IFERROR(__xludf.DUMMYFUNCTION("""COMPUTED_VALUE"""),1200.5)</f>
        <v>1200.5</v>
      </c>
      <c r="L2347" s="25">
        <f>IFERROR(__xludf.DUMMYFUNCTION("""COMPUTED_VALUE"""),1205.25)</f>
        <v>1205.25</v>
      </c>
      <c r="M2347" s="25">
        <f>IFERROR(__xludf.DUMMYFUNCTION("""COMPUTED_VALUE"""),268068.0)</f>
        <v>268068</v>
      </c>
    </row>
    <row r="2348">
      <c r="A2348" s="26">
        <f>IFERROR(__xludf.DUMMYFUNCTION("""COMPUTED_VALUE"""),41827.645833333336)</f>
        <v>41827.64583</v>
      </c>
      <c r="B2348" s="9">
        <f>IFERROR(__xludf.DUMMYFUNCTION("""COMPUTED_VALUE"""),408.13)</f>
        <v>408.13</v>
      </c>
      <c r="C2348" s="9">
        <f>IFERROR(__xludf.DUMMYFUNCTION("""COMPUTED_VALUE"""),421.0)</f>
        <v>421</v>
      </c>
      <c r="D2348" s="9">
        <f>IFERROR(__xludf.DUMMYFUNCTION("""COMPUTED_VALUE"""),407.5)</f>
        <v>407.5</v>
      </c>
      <c r="E2348" s="9">
        <f>IFERROR(__xludf.DUMMYFUNCTION("""COMPUTED_VALUE"""),418.18)</f>
        <v>418.18</v>
      </c>
      <c r="F2348" s="9">
        <f>IFERROR(__xludf.DUMMYFUNCTION("""COMPUTED_VALUE"""),1454789.0)</f>
        <v>1454789</v>
      </c>
      <c r="H2348" s="27">
        <f>IFERROR(__xludf.DUMMYFUNCTION("""COMPUTED_VALUE"""),41827.645833333336)</f>
        <v>41827.64583</v>
      </c>
      <c r="I2348" s="25">
        <f>IFERROR(__xludf.DUMMYFUNCTION("""COMPUTED_VALUE"""),1210.03)</f>
        <v>1210.03</v>
      </c>
      <c r="J2348" s="25">
        <f>IFERROR(__xludf.DUMMYFUNCTION("""COMPUTED_VALUE"""),1249.0)</f>
        <v>1249</v>
      </c>
      <c r="K2348" s="25">
        <f>IFERROR(__xludf.DUMMYFUNCTION("""COMPUTED_VALUE"""),1205.2)</f>
        <v>1205.2</v>
      </c>
      <c r="L2348" s="25">
        <f>IFERROR(__xludf.DUMMYFUNCTION("""COMPUTED_VALUE"""),1244.28)</f>
        <v>1244.28</v>
      </c>
      <c r="M2348" s="25">
        <f>IFERROR(__xludf.DUMMYFUNCTION("""COMPUTED_VALUE"""),1102451.0)</f>
        <v>1102451</v>
      </c>
    </row>
    <row r="2349">
      <c r="A2349" s="26">
        <f>IFERROR(__xludf.DUMMYFUNCTION("""COMPUTED_VALUE"""),41828.645833333336)</f>
        <v>41828.64583</v>
      </c>
      <c r="B2349" s="9">
        <f>IFERROR(__xludf.DUMMYFUNCTION("""COMPUTED_VALUE"""),418.63)</f>
        <v>418.63</v>
      </c>
      <c r="C2349" s="9">
        <f>IFERROR(__xludf.DUMMYFUNCTION("""COMPUTED_VALUE"""),425.79)</f>
        <v>425.79</v>
      </c>
      <c r="D2349" s="9">
        <f>IFERROR(__xludf.DUMMYFUNCTION("""COMPUTED_VALUE"""),412.88)</f>
        <v>412.88</v>
      </c>
      <c r="E2349" s="9">
        <f>IFERROR(__xludf.DUMMYFUNCTION("""COMPUTED_VALUE"""),417.77)</f>
        <v>417.77</v>
      </c>
      <c r="F2349" s="9">
        <f>IFERROR(__xludf.DUMMYFUNCTION("""COMPUTED_VALUE"""),1432560.0)</f>
        <v>1432560</v>
      </c>
      <c r="H2349" s="27">
        <f>IFERROR(__xludf.DUMMYFUNCTION("""COMPUTED_VALUE"""),41828.645833333336)</f>
        <v>41828.64583</v>
      </c>
      <c r="I2349" s="25">
        <f>IFERROR(__xludf.DUMMYFUNCTION("""COMPUTED_VALUE"""),1242.47)</f>
        <v>1242.47</v>
      </c>
      <c r="J2349" s="25">
        <f>IFERROR(__xludf.DUMMYFUNCTION("""COMPUTED_VALUE"""),1243.07)</f>
        <v>1243.07</v>
      </c>
      <c r="K2349" s="25">
        <f>IFERROR(__xludf.DUMMYFUNCTION("""COMPUTED_VALUE"""),1216.63)</f>
        <v>1216.63</v>
      </c>
      <c r="L2349" s="25">
        <f>IFERROR(__xludf.DUMMYFUNCTION("""COMPUTED_VALUE"""),1224.72)</f>
        <v>1224.72</v>
      </c>
      <c r="M2349" s="25">
        <f>IFERROR(__xludf.DUMMYFUNCTION("""COMPUTED_VALUE"""),1250294.0)</f>
        <v>1250294</v>
      </c>
    </row>
    <row r="2350">
      <c r="A2350" s="26">
        <f>IFERROR(__xludf.DUMMYFUNCTION("""COMPUTED_VALUE"""),41829.645833333336)</f>
        <v>41829.64583</v>
      </c>
      <c r="B2350" s="9">
        <f>IFERROR(__xludf.DUMMYFUNCTION("""COMPUTED_VALUE"""),416.25)</f>
        <v>416.25</v>
      </c>
      <c r="C2350" s="9">
        <f>IFERROR(__xludf.DUMMYFUNCTION("""COMPUTED_VALUE"""),423.0)</f>
        <v>423</v>
      </c>
      <c r="D2350" s="9">
        <f>IFERROR(__xludf.DUMMYFUNCTION("""COMPUTED_VALUE"""),411.25)</f>
        <v>411.25</v>
      </c>
      <c r="E2350" s="9">
        <f>IFERROR(__xludf.DUMMYFUNCTION("""COMPUTED_VALUE"""),413.79)</f>
        <v>413.79</v>
      </c>
      <c r="F2350" s="9">
        <f>IFERROR(__xludf.DUMMYFUNCTION("""COMPUTED_VALUE"""),1033844.0)</f>
        <v>1033844</v>
      </c>
      <c r="H2350" s="27">
        <f>IFERROR(__xludf.DUMMYFUNCTION("""COMPUTED_VALUE"""),41829.645833333336)</f>
        <v>41829.64583</v>
      </c>
      <c r="I2350" s="25">
        <f>IFERROR(__xludf.DUMMYFUNCTION("""COMPUTED_VALUE"""),1235.0)</f>
        <v>1235</v>
      </c>
      <c r="J2350" s="25">
        <f>IFERROR(__xludf.DUMMYFUNCTION("""COMPUTED_VALUE"""),1236.32)</f>
        <v>1236.32</v>
      </c>
      <c r="K2350" s="25">
        <f>IFERROR(__xludf.DUMMYFUNCTION("""COMPUTED_VALUE"""),1190.8)</f>
        <v>1190.8</v>
      </c>
      <c r="L2350" s="25">
        <f>IFERROR(__xludf.DUMMYFUNCTION("""COMPUTED_VALUE"""),1199.07)</f>
        <v>1199.07</v>
      </c>
      <c r="M2350" s="25">
        <f>IFERROR(__xludf.DUMMYFUNCTION("""COMPUTED_VALUE"""),777121.0)</f>
        <v>777121</v>
      </c>
    </row>
    <row r="2351">
      <c r="A2351" s="26">
        <f>IFERROR(__xludf.DUMMYFUNCTION("""COMPUTED_VALUE"""),41830.645833333336)</f>
        <v>41830.64583</v>
      </c>
      <c r="B2351" s="9">
        <f>IFERROR(__xludf.DUMMYFUNCTION("""COMPUTED_VALUE"""),414.38)</f>
        <v>414.38</v>
      </c>
      <c r="C2351" s="9">
        <f>IFERROR(__xludf.DUMMYFUNCTION("""COMPUTED_VALUE"""),422.71)</f>
        <v>422.71</v>
      </c>
      <c r="D2351" s="9">
        <f>IFERROR(__xludf.DUMMYFUNCTION("""COMPUTED_VALUE"""),406.33)</f>
        <v>406.33</v>
      </c>
      <c r="E2351" s="9">
        <f>IFERROR(__xludf.DUMMYFUNCTION("""COMPUTED_VALUE"""),411.59)</f>
        <v>411.59</v>
      </c>
      <c r="F2351" s="9">
        <f>IFERROR(__xludf.DUMMYFUNCTION("""COMPUTED_VALUE"""),1418202.0)</f>
        <v>1418202</v>
      </c>
      <c r="H2351" s="27">
        <f>IFERROR(__xludf.DUMMYFUNCTION("""COMPUTED_VALUE"""),41830.645833333336)</f>
        <v>41830.64583</v>
      </c>
      <c r="I2351" s="25">
        <f>IFERROR(__xludf.DUMMYFUNCTION("""COMPUTED_VALUE"""),1199.78)</f>
        <v>1199.78</v>
      </c>
      <c r="J2351" s="25">
        <f>IFERROR(__xludf.DUMMYFUNCTION("""COMPUTED_VALUE"""),1209.8)</f>
        <v>1209.8</v>
      </c>
      <c r="K2351" s="25">
        <f>IFERROR(__xludf.DUMMYFUNCTION("""COMPUTED_VALUE"""),1167.5)</f>
        <v>1167.5</v>
      </c>
      <c r="L2351" s="25">
        <f>IFERROR(__xludf.DUMMYFUNCTION("""COMPUTED_VALUE"""),1175.9)</f>
        <v>1175.9</v>
      </c>
      <c r="M2351" s="25">
        <f>IFERROR(__xludf.DUMMYFUNCTION("""COMPUTED_VALUE"""),995281.0)</f>
        <v>995281</v>
      </c>
    </row>
    <row r="2352">
      <c r="A2352" s="26">
        <f>IFERROR(__xludf.DUMMYFUNCTION("""COMPUTED_VALUE"""),41831.645833333336)</f>
        <v>41831.64583</v>
      </c>
      <c r="B2352" s="9">
        <f>IFERROR(__xludf.DUMMYFUNCTION("""COMPUTED_VALUE"""),425.18)</f>
        <v>425.18</v>
      </c>
      <c r="C2352" s="9">
        <f>IFERROR(__xludf.DUMMYFUNCTION("""COMPUTED_VALUE"""),429.0)</f>
        <v>429</v>
      </c>
      <c r="D2352" s="9">
        <f>IFERROR(__xludf.DUMMYFUNCTION("""COMPUTED_VALUE"""),412.54)</f>
        <v>412.54</v>
      </c>
      <c r="E2352" s="9">
        <f>IFERROR(__xludf.DUMMYFUNCTION("""COMPUTED_VALUE"""),415.83)</f>
        <v>415.83</v>
      </c>
      <c r="F2352" s="9">
        <f>IFERROR(__xludf.DUMMYFUNCTION("""COMPUTED_VALUE"""),1978295.0)</f>
        <v>1978295</v>
      </c>
      <c r="H2352" s="27">
        <f>IFERROR(__xludf.DUMMYFUNCTION("""COMPUTED_VALUE"""),41831.645833333336)</f>
        <v>41831.64583</v>
      </c>
      <c r="I2352" s="25">
        <f>IFERROR(__xludf.DUMMYFUNCTION("""COMPUTED_VALUE"""),1185.5)</f>
        <v>1185.5</v>
      </c>
      <c r="J2352" s="25">
        <f>IFERROR(__xludf.DUMMYFUNCTION("""COMPUTED_VALUE"""),1205.0)</f>
        <v>1205</v>
      </c>
      <c r="K2352" s="25">
        <f>IFERROR(__xludf.DUMMYFUNCTION("""COMPUTED_VALUE"""),1180.55)</f>
        <v>1180.55</v>
      </c>
      <c r="L2352" s="25">
        <f>IFERROR(__xludf.DUMMYFUNCTION("""COMPUTED_VALUE"""),1197.22)</f>
        <v>1197.22</v>
      </c>
      <c r="M2352" s="25">
        <f>IFERROR(__xludf.DUMMYFUNCTION("""COMPUTED_VALUE"""),664723.0)</f>
        <v>664723</v>
      </c>
    </row>
    <row r="2353">
      <c r="A2353" s="26">
        <f>IFERROR(__xludf.DUMMYFUNCTION("""COMPUTED_VALUE"""),41834.645833333336)</f>
        <v>41834.64583</v>
      </c>
      <c r="B2353" s="9">
        <f>IFERROR(__xludf.DUMMYFUNCTION("""COMPUTED_VALUE"""),414.38)</f>
        <v>414.38</v>
      </c>
      <c r="C2353" s="9">
        <f>IFERROR(__xludf.DUMMYFUNCTION("""COMPUTED_VALUE"""),414.38)</f>
        <v>414.38</v>
      </c>
      <c r="D2353" s="9">
        <f>IFERROR(__xludf.DUMMYFUNCTION("""COMPUTED_VALUE"""),398.23)</f>
        <v>398.23</v>
      </c>
      <c r="E2353" s="9">
        <f>IFERROR(__xludf.DUMMYFUNCTION("""COMPUTED_VALUE"""),403.16)</f>
        <v>403.16</v>
      </c>
      <c r="F2353" s="9">
        <f>IFERROR(__xludf.DUMMYFUNCTION("""COMPUTED_VALUE"""),1028950.0)</f>
        <v>1028950</v>
      </c>
      <c r="H2353" s="27">
        <f>IFERROR(__xludf.DUMMYFUNCTION("""COMPUTED_VALUE"""),41834.645833333336)</f>
        <v>41834.64583</v>
      </c>
      <c r="I2353" s="25">
        <f>IFERROR(__xludf.DUMMYFUNCTION("""COMPUTED_VALUE"""),1209.4)</f>
        <v>1209.4</v>
      </c>
      <c r="J2353" s="25">
        <f>IFERROR(__xludf.DUMMYFUNCTION("""COMPUTED_VALUE"""),1219.5)</f>
        <v>1219.5</v>
      </c>
      <c r="K2353" s="25">
        <f>IFERROR(__xludf.DUMMYFUNCTION("""COMPUTED_VALUE"""),1192.63)</f>
        <v>1192.63</v>
      </c>
      <c r="L2353" s="25">
        <f>IFERROR(__xludf.DUMMYFUNCTION("""COMPUTED_VALUE"""),1213.13)</f>
        <v>1213.13</v>
      </c>
      <c r="M2353" s="25">
        <f>IFERROR(__xludf.DUMMYFUNCTION("""COMPUTED_VALUE"""),793962.0)</f>
        <v>793962</v>
      </c>
    </row>
    <row r="2354">
      <c r="A2354" s="26">
        <f>IFERROR(__xludf.DUMMYFUNCTION("""COMPUTED_VALUE"""),41835.645833333336)</f>
        <v>41835.64583</v>
      </c>
      <c r="B2354" s="9">
        <f>IFERROR(__xludf.DUMMYFUNCTION("""COMPUTED_VALUE"""),404.88)</f>
        <v>404.88</v>
      </c>
      <c r="C2354" s="9">
        <f>IFERROR(__xludf.DUMMYFUNCTION("""COMPUTED_VALUE"""),407.24)</f>
        <v>407.24</v>
      </c>
      <c r="D2354" s="9">
        <f>IFERROR(__xludf.DUMMYFUNCTION("""COMPUTED_VALUE"""),402.13)</f>
        <v>402.13</v>
      </c>
      <c r="E2354" s="9">
        <f>IFERROR(__xludf.DUMMYFUNCTION("""COMPUTED_VALUE"""),403.21)</f>
        <v>403.21</v>
      </c>
      <c r="F2354" s="9">
        <f>IFERROR(__xludf.DUMMYFUNCTION("""COMPUTED_VALUE"""),517475.0)</f>
        <v>517475</v>
      </c>
      <c r="H2354" s="27">
        <f>IFERROR(__xludf.DUMMYFUNCTION("""COMPUTED_VALUE"""),41835.645833333336)</f>
        <v>41835.64583</v>
      </c>
      <c r="I2354" s="25">
        <f>IFERROR(__xludf.DUMMYFUNCTION("""COMPUTED_VALUE"""),1213.1)</f>
        <v>1213.1</v>
      </c>
      <c r="J2354" s="25">
        <f>IFERROR(__xludf.DUMMYFUNCTION("""COMPUTED_VALUE"""),1215.0)</f>
        <v>1215</v>
      </c>
      <c r="K2354" s="25">
        <f>IFERROR(__xludf.DUMMYFUNCTION("""COMPUTED_VALUE"""),1196.88)</f>
        <v>1196.88</v>
      </c>
      <c r="L2354" s="25">
        <f>IFERROR(__xludf.DUMMYFUNCTION("""COMPUTED_VALUE"""),1199.65)</f>
        <v>1199.65</v>
      </c>
      <c r="M2354" s="25">
        <f>IFERROR(__xludf.DUMMYFUNCTION("""COMPUTED_VALUE"""),694828.0)</f>
        <v>694828</v>
      </c>
    </row>
    <row r="2355">
      <c r="A2355" s="26">
        <f>IFERROR(__xludf.DUMMYFUNCTION("""COMPUTED_VALUE"""),41836.645833333336)</f>
        <v>41836.64583</v>
      </c>
      <c r="B2355" s="9">
        <f>IFERROR(__xludf.DUMMYFUNCTION("""COMPUTED_VALUE"""),405.0)</f>
        <v>405</v>
      </c>
      <c r="C2355" s="9">
        <f>IFERROR(__xludf.DUMMYFUNCTION("""COMPUTED_VALUE"""),405.63)</f>
        <v>405.63</v>
      </c>
      <c r="D2355" s="9">
        <f>IFERROR(__xludf.DUMMYFUNCTION("""COMPUTED_VALUE"""),400.41)</f>
        <v>400.41</v>
      </c>
      <c r="E2355" s="9">
        <f>IFERROR(__xludf.DUMMYFUNCTION("""COMPUTED_VALUE"""),403.7)</f>
        <v>403.7</v>
      </c>
      <c r="F2355" s="9">
        <f>IFERROR(__xludf.DUMMYFUNCTION("""COMPUTED_VALUE"""),573686.0)</f>
        <v>573686</v>
      </c>
      <c r="H2355" s="27">
        <f>IFERROR(__xludf.DUMMYFUNCTION("""COMPUTED_VALUE"""),41836.645833333336)</f>
        <v>41836.64583</v>
      </c>
      <c r="I2355" s="25">
        <f>IFERROR(__xludf.DUMMYFUNCTION("""COMPUTED_VALUE"""),1204.82)</f>
        <v>1204.82</v>
      </c>
      <c r="J2355" s="25">
        <f>IFERROR(__xludf.DUMMYFUNCTION("""COMPUTED_VALUE"""),1212.0)</f>
        <v>1212</v>
      </c>
      <c r="K2355" s="25">
        <f>IFERROR(__xludf.DUMMYFUNCTION("""COMPUTED_VALUE"""),1193.43)</f>
        <v>1193.43</v>
      </c>
      <c r="L2355" s="25">
        <f>IFERROR(__xludf.DUMMYFUNCTION("""COMPUTED_VALUE"""),1200.93)</f>
        <v>1200.93</v>
      </c>
      <c r="M2355" s="25">
        <f>IFERROR(__xludf.DUMMYFUNCTION("""COMPUTED_VALUE"""),703620.0)</f>
        <v>703620</v>
      </c>
    </row>
    <row r="2356">
      <c r="A2356" s="26">
        <f>IFERROR(__xludf.DUMMYFUNCTION("""COMPUTED_VALUE"""),41837.645833333336)</f>
        <v>41837.64583</v>
      </c>
      <c r="B2356" s="9">
        <f>IFERROR(__xludf.DUMMYFUNCTION("""COMPUTED_VALUE"""),407.51)</f>
        <v>407.51</v>
      </c>
      <c r="C2356" s="9">
        <f>IFERROR(__xludf.DUMMYFUNCTION("""COMPUTED_VALUE"""),418.24)</f>
        <v>418.24</v>
      </c>
      <c r="D2356" s="9">
        <f>IFERROR(__xludf.DUMMYFUNCTION("""COMPUTED_VALUE"""),403.96)</f>
        <v>403.96</v>
      </c>
      <c r="E2356" s="9">
        <f>IFERROR(__xludf.DUMMYFUNCTION("""COMPUTED_VALUE"""),404.91)</f>
        <v>404.91</v>
      </c>
      <c r="F2356" s="9">
        <f>IFERROR(__xludf.DUMMYFUNCTION("""COMPUTED_VALUE"""),618334.0)</f>
        <v>618334</v>
      </c>
      <c r="H2356" s="27">
        <f>IFERROR(__xludf.DUMMYFUNCTION("""COMPUTED_VALUE"""),41837.645833333336)</f>
        <v>41837.64583</v>
      </c>
      <c r="I2356" s="25">
        <f>IFERROR(__xludf.DUMMYFUNCTION("""COMPUTED_VALUE"""),1205.0)</f>
        <v>1205</v>
      </c>
      <c r="J2356" s="25">
        <f>IFERROR(__xludf.DUMMYFUNCTION("""COMPUTED_VALUE"""),1214.9)</f>
        <v>1214.9</v>
      </c>
      <c r="K2356" s="25">
        <f>IFERROR(__xludf.DUMMYFUNCTION("""COMPUTED_VALUE"""),1187.5)</f>
        <v>1187.5</v>
      </c>
      <c r="L2356" s="25">
        <f>IFERROR(__xludf.DUMMYFUNCTION("""COMPUTED_VALUE"""),1190.97)</f>
        <v>1190.97</v>
      </c>
      <c r="M2356" s="25">
        <f>IFERROR(__xludf.DUMMYFUNCTION("""COMPUTED_VALUE"""),895110.0)</f>
        <v>895110</v>
      </c>
    </row>
    <row r="2357">
      <c r="A2357" s="26">
        <f>IFERROR(__xludf.DUMMYFUNCTION("""COMPUTED_VALUE"""),41838.645833333336)</f>
        <v>41838.64583</v>
      </c>
      <c r="B2357" s="9">
        <f>IFERROR(__xludf.DUMMYFUNCTION("""COMPUTED_VALUE"""),406.63)</f>
        <v>406.63</v>
      </c>
      <c r="C2357" s="9">
        <f>IFERROR(__xludf.DUMMYFUNCTION("""COMPUTED_VALUE"""),409.34)</f>
        <v>409.34</v>
      </c>
      <c r="D2357" s="9">
        <f>IFERROR(__xludf.DUMMYFUNCTION("""COMPUTED_VALUE"""),405.45)</f>
        <v>405.45</v>
      </c>
      <c r="E2357" s="9">
        <f>IFERROR(__xludf.DUMMYFUNCTION("""COMPUTED_VALUE"""),406.44)</f>
        <v>406.44</v>
      </c>
      <c r="F2357" s="9">
        <f>IFERROR(__xludf.DUMMYFUNCTION("""COMPUTED_VALUE"""),512296.0)</f>
        <v>512296</v>
      </c>
      <c r="H2357" s="27">
        <f>IFERROR(__xludf.DUMMYFUNCTION("""COMPUTED_VALUE"""),41838.645833333336)</f>
        <v>41838.64583</v>
      </c>
      <c r="I2357" s="25">
        <f>IFERROR(__xludf.DUMMYFUNCTION("""COMPUTED_VALUE"""),1226.0)</f>
        <v>1226</v>
      </c>
      <c r="J2357" s="25">
        <f>IFERROR(__xludf.DUMMYFUNCTION("""COMPUTED_VALUE"""),1242.5)</f>
        <v>1242.5</v>
      </c>
      <c r="K2357" s="25">
        <f>IFERROR(__xludf.DUMMYFUNCTION("""COMPUTED_VALUE"""),1217.5)</f>
        <v>1217.5</v>
      </c>
      <c r="L2357" s="25">
        <f>IFERROR(__xludf.DUMMYFUNCTION("""COMPUTED_VALUE"""),1220.6)</f>
        <v>1220.6</v>
      </c>
      <c r="M2357" s="25">
        <f>IFERROR(__xludf.DUMMYFUNCTION("""COMPUTED_VALUE"""),1753744.0)</f>
        <v>1753744</v>
      </c>
    </row>
    <row r="2358">
      <c r="A2358" s="26">
        <f>IFERROR(__xludf.DUMMYFUNCTION("""COMPUTED_VALUE"""),41841.645833333336)</f>
        <v>41841.64583</v>
      </c>
      <c r="B2358" s="9">
        <f>IFERROR(__xludf.DUMMYFUNCTION("""COMPUTED_VALUE"""),406.88)</f>
        <v>406.88</v>
      </c>
      <c r="C2358" s="9">
        <f>IFERROR(__xludf.DUMMYFUNCTION("""COMPUTED_VALUE"""),409.17)</f>
        <v>409.17</v>
      </c>
      <c r="D2358" s="9">
        <f>IFERROR(__xludf.DUMMYFUNCTION("""COMPUTED_VALUE"""),398.51)</f>
        <v>398.51</v>
      </c>
      <c r="E2358" s="9">
        <f>IFERROR(__xludf.DUMMYFUNCTION("""COMPUTED_VALUE"""),400.09)</f>
        <v>400.09</v>
      </c>
      <c r="F2358" s="9">
        <f>IFERROR(__xludf.DUMMYFUNCTION("""COMPUTED_VALUE"""),929496.0)</f>
        <v>929496</v>
      </c>
      <c r="H2358" s="27">
        <f>IFERROR(__xludf.DUMMYFUNCTION("""COMPUTED_VALUE"""),41841.645833333336)</f>
        <v>41841.64583</v>
      </c>
      <c r="I2358" s="25">
        <f>IFERROR(__xludf.DUMMYFUNCTION("""COMPUTED_VALUE"""),1234.0)</f>
        <v>1234</v>
      </c>
      <c r="J2358" s="25">
        <f>IFERROR(__xludf.DUMMYFUNCTION("""COMPUTED_VALUE"""),1234.93)</f>
        <v>1234.93</v>
      </c>
      <c r="K2358" s="25">
        <f>IFERROR(__xludf.DUMMYFUNCTION("""COMPUTED_VALUE"""),1221.53)</f>
        <v>1221.53</v>
      </c>
      <c r="L2358" s="25">
        <f>IFERROR(__xludf.DUMMYFUNCTION("""COMPUTED_VALUE"""),1231.88)</f>
        <v>1231.88</v>
      </c>
      <c r="M2358" s="25">
        <f>IFERROR(__xludf.DUMMYFUNCTION("""COMPUTED_VALUE"""),490536.0)</f>
        <v>490536</v>
      </c>
    </row>
    <row r="2359">
      <c r="A2359" s="26">
        <f>IFERROR(__xludf.DUMMYFUNCTION("""COMPUTED_VALUE"""),41842.645833333336)</f>
        <v>41842.64583</v>
      </c>
      <c r="B2359" s="9">
        <f>IFERROR(__xludf.DUMMYFUNCTION("""COMPUTED_VALUE"""),400.63)</f>
        <v>400.63</v>
      </c>
      <c r="C2359" s="9">
        <f>IFERROR(__xludf.DUMMYFUNCTION("""COMPUTED_VALUE"""),405.84)</f>
        <v>405.84</v>
      </c>
      <c r="D2359" s="9">
        <f>IFERROR(__xludf.DUMMYFUNCTION("""COMPUTED_VALUE"""),399.76)</f>
        <v>399.76</v>
      </c>
      <c r="E2359" s="9">
        <f>IFERROR(__xludf.DUMMYFUNCTION("""COMPUTED_VALUE"""),404.21)</f>
        <v>404.21</v>
      </c>
      <c r="F2359" s="9">
        <f>IFERROR(__xludf.DUMMYFUNCTION("""COMPUTED_VALUE"""),1091670.0)</f>
        <v>1091670</v>
      </c>
      <c r="H2359" s="27">
        <f>IFERROR(__xludf.DUMMYFUNCTION("""COMPUTED_VALUE"""),41842.645833333336)</f>
        <v>41842.64583</v>
      </c>
      <c r="I2359" s="25">
        <f>IFERROR(__xludf.DUMMYFUNCTION("""COMPUTED_VALUE"""),1232.5)</f>
        <v>1232.5</v>
      </c>
      <c r="J2359" s="25">
        <f>IFERROR(__xludf.DUMMYFUNCTION("""COMPUTED_VALUE"""),1270.0)</f>
        <v>1270</v>
      </c>
      <c r="K2359" s="25">
        <f>IFERROR(__xludf.DUMMYFUNCTION("""COMPUTED_VALUE"""),1230.95)</f>
        <v>1230.95</v>
      </c>
      <c r="L2359" s="25">
        <f>IFERROR(__xludf.DUMMYFUNCTION("""COMPUTED_VALUE"""),1266.2)</f>
        <v>1266.2</v>
      </c>
      <c r="M2359" s="25">
        <f>IFERROR(__xludf.DUMMYFUNCTION("""COMPUTED_VALUE"""),1199508.0)</f>
        <v>1199508</v>
      </c>
    </row>
    <row r="2360">
      <c r="A2360" s="26">
        <f>IFERROR(__xludf.DUMMYFUNCTION("""COMPUTED_VALUE"""),41843.645833333336)</f>
        <v>41843.64583</v>
      </c>
      <c r="B2360" s="9">
        <f>IFERROR(__xludf.DUMMYFUNCTION("""COMPUTED_VALUE"""),406.13)</f>
        <v>406.13</v>
      </c>
      <c r="C2360" s="9">
        <f>IFERROR(__xludf.DUMMYFUNCTION("""COMPUTED_VALUE"""),419.38)</f>
        <v>419.38</v>
      </c>
      <c r="D2360" s="9">
        <f>IFERROR(__xludf.DUMMYFUNCTION("""COMPUTED_VALUE"""),406.13)</f>
        <v>406.13</v>
      </c>
      <c r="E2360" s="9">
        <f>IFERROR(__xludf.DUMMYFUNCTION("""COMPUTED_VALUE"""),418.68)</f>
        <v>418.68</v>
      </c>
      <c r="F2360" s="9">
        <f>IFERROR(__xludf.DUMMYFUNCTION("""COMPUTED_VALUE"""),1478417.0)</f>
        <v>1478417</v>
      </c>
      <c r="H2360" s="27">
        <f>IFERROR(__xludf.DUMMYFUNCTION("""COMPUTED_VALUE"""),41843.645833333336)</f>
        <v>41843.64583</v>
      </c>
      <c r="I2360" s="25">
        <f>IFERROR(__xludf.DUMMYFUNCTION("""COMPUTED_VALUE"""),1270.0)</f>
        <v>1270</v>
      </c>
      <c r="J2360" s="25">
        <f>IFERROR(__xludf.DUMMYFUNCTION("""COMPUTED_VALUE"""),1298.15)</f>
        <v>1298.15</v>
      </c>
      <c r="K2360" s="25">
        <f>IFERROR(__xludf.DUMMYFUNCTION("""COMPUTED_VALUE"""),1266.15)</f>
        <v>1266.15</v>
      </c>
      <c r="L2360" s="25">
        <f>IFERROR(__xludf.DUMMYFUNCTION("""COMPUTED_VALUE"""),1293.07)</f>
        <v>1293.07</v>
      </c>
      <c r="M2360" s="25">
        <f>IFERROR(__xludf.DUMMYFUNCTION("""COMPUTED_VALUE"""),1032929.0)</f>
        <v>1032929</v>
      </c>
    </row>
    <row r="2361">
      <c r="A2361" s="26">
        <f>IFERROR(__xludf.DUMMYFUNCTION("""COMPUTED_VALUE"""),41844.645833333336)</f>
        <v>41844.64583</v>
      </c>
      <c r="B2361" s="9">
        <f>IFERROR(__xludf.DUMMYFUNCTION("""COMPUTED_VALUE"""),418.0)</f>
        <v>418</v>
      </c>
      <c r="C2361" s="9">
        <f>IFERROR(__xludf.DUMMYFUNCTION("""COMPUTED_VALUE"""),424.38)</f>
        <v>424.38</v>
      </c>
      <c r="D2361" s="9">
        <f>IFERROR(__xludf.DUMMYFUNCTION("""COMPUTED_VALUE"""),415.18)</f>
        <v>415.18</v>
      </c>
      <c r="E2361" s="9">
        <f>IFERROR(__xludf.DUMMYFUNCTION("""COMPUTED_VALUE"""),422.78)</f>
        <v>422.78</v>
      </c>
      <c r="F2361" s="9">
        <f>IFERROR(__xludf.DUMMYFUNCTION("""COMPUTED_VALUE"""),696445.0)</f>
        <v>696445</v>
      </c>
      <c r="H2361" s="27">
        <f>IFERROR(__xludf.DUMMYFUNCTION("""COMPUTED_VALUE"""),41844.645833333336)</f>
        <v>41844.64583</v>
      </c>
      <c r="I2361" s="25">
        <f>IFERROR(__xludf.DUMMYFUNCTION("""COMPUTED_VALUE"""),1297.45)</f>
        <v>1297.45</v>
      </c>
      <c r="J2361" s="25">
        <f>IFERROR(__xludf.DUMMYFUNCTION("""COMPUTED_VALUE"""),1301.0)</f>
        <v>1301</v>
      </c>
      <c r="K2361" s="25">
        <f>IFERROR(__xludf.DUMMYFUNCTION("""COMPUTED_VALUE"""),1283.5)</f>
        <v>1283.5</v>
      </c>
      <c r="L2361" s="25">
        <f>IFERROR(__xludf.DUMMYFUNCTION("""COMPUTED_VALUE"""),1297.6)</f>
        <v>1297.6</v>
      </c>
      <c r="M2361" s="25">
        <f>IFERROR(__xludf.DUMMYFUNCTION("""COMPUTED_VALUE"""),740709.0)</f>
        <v>740709</v>
      </c>
    </row>
    <row r="2362">
      <c r="A2362" s="26">
        <f>IFERROR(__xludf.DUMMYFUNCTION("""COMPUTED_VALUE"""),41845.645833333336)</f>
        <v>41845.64583</v>
      </c>
      <c r="B2362" s="9">
        <f>IFERROR(__xludf.DUMMYFUNCTION("""COMPUTED_VALUE"""),424.88)</f>
        <v>424.88</v>
      </c>
      <c r="C2362" s="9">
        <f>IFERROR(__xludf.DUMMYFUNCTION("""COMPUTED_VALUE"""),424.88)</f>
        <v>424.88</v>
      </c>
      <c r="D2362" s="9">
        <f>IFERROR(__xludf.DUMMYFUNCTION("""COMPUTED_VALUE"""),413.09)</f>
        <v>413.09</v>
      </c>
      <c r="E2362" s="9">
        <f>IFERROR(__xludf.DUMMYFUNCTION("""COMPUTED_VALUE"""),419.03)</f>
        <v>419.03</v>
      </c>
      <c r="F2362" s="9">
        <f>IFERROR(__xludf.DUMMYFUNCTION("""COMPUTED_VALUE"""),667209.0)</f>
        <v>667209</v>
      </c>
      <c r="H2362" s="27">
        <f>IFERROR(__xludf.DUMMYFUNCTION("""COMPUTED_VALUE"""),41845.645833333336)</f>
        <v>41845.64583</v>
      </c>
      <c r="I2362" s="25">
        <f>IFERROR(__xludf.DUMMYFUNCTION("""COMPUTED_VALUE"""),1297.0)</f>
        <v>1297</v>
      </c>
      <c r="J2362" s="25">
        <f>IFERROR(__xludf.DUMMYFUNCTION("""COMPUTED_VALUE"""),1307.18)</f>
        <v>1307.18</v>
      </c>
      <c r="K2362" s="25">
        <f>IFERROR(__xludf.DUMMYFUNCTION("""COMPUTED_VALUE"""),1283.5)</f>
        <v>1283.5</v>
      </c>
      <c r="L2362" s="25">
        <f>IFERROR(__xludf.DUMMYFUNCTION("""COMPUTED_VALUE"""),1302.88)</f>
        <v>1302.88</v>
      </c>
      <c r="M2362" s="25">
        <f>IFERROR(__xludf.DUMMYFUNCTION("""COMPUTED_VALUE"""),903457.0)</f>
        <v>903457</v>
      </c>
    </row>
    <row r="2363">
      <c r="A2363" s="26">
        <f>IFERROR(__xludf.DUMMYFUNCTION("""COMPUTED_VALUE"""),41848.645833333336)</f>
        <v>41848.64583</v>
      </c>
      <c r="B2363" s="9">
        <f>IFERROR(__xludf.DUMMYFUNCTION("""COMPUTED_VALUE"""),418.13)</f>
        <v>418.13</v>
      </c>
      <c r="C2363" s="9">
        <f>IFERROR(__xludf.DUMMYFUNCTION("""COMPUTED_VALUE"""),423.38)</f>
        <v>423.38</v>
      </c>
      <c r="D2363" s="9">
        <f>IFERROR(__xludf.DUMMYFUNCTION("""COMPUTED_VALUE"""),415.11)</f>
        <v>415.11</v>
      </c>
      <c r="E2363" s="9">
        <f>IFERROR(__xludf.DUMMYFUNCTION("""COMPUTED_VALUE"""),421.39)</f>
        <v>421.39</v>
      </c>
      <c r="F2363" s="9">
        <f>IFERROR(__xludf.DUMMYFUNCTION("""COMPUTED_VALUE"""),575181.0)</f>
        <v>575181</v>
      </c>
      <c r="H2363" s="27">
        <f>IFERROR(__xludf.DUMMYFUNCTION("""COMPUTED_VALUE"""),41848.645833333336)</f>
        <v>41848.64583</v>
      </c>
      <c r="I2363" s="25">
        <f>IFERROR(__xludf.DUMMYFUNCTION("""COMPUTED_VALUE"""),1288.57)</f>
        <v>1288.57</v>
      </c>
      <c r="J2363" s="25">
        <f>IFERROR(__xludf.DUMMYFUNCTION("""COMPUTED_VALUE"""),1299.82)</f>
        <v>1299.82</v>
      </c>
      <c r="K2363" s="25">
        <f>IFERROR(__xludf.DUMMYFUNCTION("""COMPUTED_VALUE"""),1277.5)</f>
        <v>1277.5</v>
      </c>
      <c r="L2363" s="25">
        <f>IFERROR(__xludf.DUMMYFUNCTION("""COMPUTED_VALUE"""),1294.65)</f>
        <v>1294.65</v>
      </c>
      <c r="M2363" s="25">
        <f>IFERROR(__xludf.DUMMYFUNCTION("""COMPUTED_VALUE"""),657461.0)</f>
        <v>657461</v>
      </c>
    </row>
    <row r="2364">
      <c r="A2364" s="26">
        <f>IFERROR(__xludf.DUMMYFUNCTION("""COMPUTED_VALUE"""),41850.645833333336)</f>
        <v>41850.64583</v>
      </c>
      <c r="B2364" s="9">
        <f>IFERROR(__xludf.DUMMYFUNCTION("""COMPUTED_VALUE"""),424.25)</f>
        <v>424.25</v>
      </c>
      <c r="C2364" s="9">
        <f>IFERROR(__xludf.DUMMYFUNCTION("""COMPUTED_VALUE"""),424.25)</f>
        <v>424.25</v>
      </c>
      <c r="D2364" s="9">
        <f>IFERROR(__xludf.DUMMYFUNCTION("""COMPUTED_VALUE"""),418.2)</f>
        <v>418.2</v>
      </c>
      <c r="E2364" s="9">
        <f>IFERROR(__xludf.DUMMYFUNCTION("""COMPUTED_VALUE"""),421.53)</f>
        <v>421.53</v>
      </c>
      <c r="F2364" s="9">
        <f>IFERROR(__xludf.DUMMYFUNCTION("""COMPUTED_VALUE"""),1241840.0)</f>
        <v>1241840</v>
      </c>
      <c r="H2364" s="27">
        <f>IFERROR(__xludf.DUMMYFUNCTION("""COMPUTED_VALUE"""),41850.645833333336)</f>
        <v>41850.64583</v>
      </c>
      <c r="I2364" s="25">
        <f>IFERROR(__xludf.DUMMYFUNCTION("""COMPUTED_VALUE"""),1292.4)</f>
        <v>1292.4</v>
      </c>
      <c r="J2364" s="25">
        <f>IFERROR(__xludf.DUMMYFUNCTION("""COMPUTED_VALUE"""),1305.0)</f>
        <v>1305</v>
      </c>
      <c r="K2364" s="25">
        <f>IFERROR(__xludf.DUMMYFUNCTION("""COMPUTED_VALUE"""),1286.3)</f>
        <v>1286.3</v>
      </c>
      <c r="L2364" s="25">
        <f>IFERROR(__xludf.DUMMYFUNCTION("""COMPUTED_VALUE"""),1297.53)</f>
        <v>1297.53</v>
      </c>
      <c r="M2364" s="25">
        <f>IFERROR(__xludf.DUMMYFUNCTION("""COMPUTED_VALUE"""),949626.0)</f>
        <v>949626</v>
      </c>
    </row>
    <row r="2365">
      <c r="A2365" s="26">
        <f>IFERROR(__xludf.DUMMYFUNCTION("""COMPUTED_VALUE"""),41851.645833333336)</f>
        <v>41851.64583</v>
      </c>
      <c r="B2365" s="9">
        <f>IFERROR(__xludf.DUMMYFUNCTION("""COMPUTED_VALUE"""),422.5)</f>
        <v>422.5</v>
      </c>
      <c r="C2365" s="9">
        <f>IFERROR(__xludf.DUMMYFUNCTION("""COMPUTED_VALUE"""),424.36)</f>
        <v>424.36</v>
      </c>
      <c r="D2365" s="9">
        <f>IFERROR(__xludf.DUMMYFUNCTION("""COMPUTED_VALUE"""),417.9)</f>
        <v>417.9</v>
      </c>
      <c r="E2365" s="9">
        <f>IFERROR(__xludf.DUMMYFUNCTION("""COMPUTED_VALUE"""),420.96)</f>
        <v>420.96</v>
      </c>
      <c r="F2365" s="9">
        <f>IFERROR(__xludf.DUMMYFUNCTION("""COMPUTED_VALUE"""),1057146.0)</f>
        <v>1057146</v>
      </c>
      <c r="H2365" s="27">
        <f>IFERROR(__xludf.DUMMYFUNCTION("""COMPUTED_VALUE"""),41851.645833333336)</f>
        <v>41851.64583</v>
      </c>
      <c r="I2365" s="25">
        <f>IFERROR(__xludf.DUMMYFUNCTION("""COMPUTED_VALUE"""),1287.55)</f>
        <v>1287.55</v>
      </c>
      <c r="J2365" s="25">
        <f>IFERROR(__xludf.DUMMYFUNCTION("""COMPUTED_VALUE"""),1299.0)</f>
        <v>1299</v>
      </c>
      <c r="K2365" s="25">
        <f>IFERROR(__xludf.DUMMYFUNCTION("""COMPUTED_VALUE"""),1284.63)</f>
        <v>1284.63</v>
      </c>
      <c r="L2365" s="25">
        <f>IFERROR(__xludf.DUMMYFUNCTION("""COMPUTED_VALUE"""),1290.03)</f>
        <v>1290.03</v>
      </c>
      <c r="M2365" s="25">
        <f>IFERROR(__xludf.DUMMYFUNCTION("""COMPUTED_VALUE"""),1203605.0)</f>
        <v>1203605</v>
      </c>
    </row>
    <row r="2366">
      <c r="A2366" s="26">
        <f>IFERROR(__xludf.DUMMYFUNCTION("""COMPUTED_VALUE"""),41852.645833333336)</f>
        <v>41852.64583</v>
      </c>
      <c r="B2366" s="9">
        <f>IFERROR(__xludf.DUMMYFUNCTION("""COMPUTED_VALUE"""),418.75)</f>
        <v>418.75</v>
      </c>
      <c r="C2366" s="9">
        <f>IFERROR(__xludf.DUMMYFUNCTION("""COMPUTED_VALUE"""),424.0)</f>
        <v>424</v>
      </c>
      <c r="D2366" s="9">
        <f>IFERROR(__xludf.DUMMYFUNCTION("""COMPUTED_VALUE"""),416.25)</f>
        <v>416.25</v>
      </c>
      <c r="E2366" s="9">
        <f>IFERROR(__xludf.DUMMYFUNCTION("""COMPUTED_VALUE"""),417.66)</f>
        <v>417.66</v>
      </c>
      <c r="F2366" s="9">
        <f>IFERROR(__xludf.DUMMYFUNCTION("""COMPUTED_VALUE"""),950876.0)</f>
        <v>950876</v>
      </c>
      <c r="H2366" s="27">
        <f>IFERROR(__xludf.DUMMYFUNCTION("""COMPUTED_VALUE"""),41852.645833333336)</f>
        <v>41852.64583</v>
      </c>
      <c r="I2366" s="25">
        <f>IFERROR(__xludf.DUMMYFUNCTION("""COMPUTED_VALUE"""),1287.5)</f>
        <v>1287.5</v>
      </c>
      <c r="J2366" s="25">
        <f>IFERROR(__xludf.DUMMYFUNCTION("""COMPUTED_VALUE"""),1293.97)</f>
        <v>1293.97</v>
      </c>
      <c r="K2366" s="25">
        <f>IFERROR(__xludf.DUMMYFUNCTION("""COMPUTED_VALUE"""),1255.0)</f>
        <v>1255</v>
      </c>
      <c r="L2366" s="25">
        <f>IFERROR(__xludf.DUMMYFUNCTION("""COMPUTED_VALUE"""),1258.2)</f>
        <v>1258.2</v>
      </c>
      <c r="M2366" s="25">
        <f>IFERROR(__xludf.DUMMYFUNCTION("""COMPUTED_VALUE"""),1190941.0)</f>
        <v>1190941</v>
      </c>
    </row>
    <row r="2367">
      <c r="A2367" s="26">
        <f>IFERROR(__xludf.DUMMYFUNCTION("""COMPUTED_VALUE"""),41855.645833333336)</f>
        <v>41855.64583</v>
      </c>
      <c r="B2367" s="9">
        <f>IFERROR(__xludf.DUMMYFUNCTION("""COMPUTED_VALUE"""),419.38)</f>
        <v>419.38</v>
      </c>
      <c r="C2367" s="9">
        <f>IFERROR(__xludf.DUMMYFUNCTION("""COMPUTED_VALUE"""),435.36)</f>
        <v>435.36</v>
      </c>
      <c r="D2367" s="9">
        <f>IFERROR(__xludf.DUMMYFUNCTION("""COMPUTED_VALUE"""),418.66)</f>
        <v>418.66</v>
      </c>
      <c r="E2367" s="9">
        <f>IFERROR(__xludf.DUMMYFUNCTION("""COMPUTED_VALUE"""),433.19)</f>
        <v>433.19</v>
      </c>
      <c r="F2367" s="9">
        <f>IFERROR(__xludf.DUMMYFUNCTION("""COMPUTED_VALUE"""),1635870.0)</f>
        <v>1635870</v>
      </c>
      <c r="H2367" s="27">
        <f>IFERROR(__xludf.DUMMYFUNCTION("""COMPUTED_VALUE"""),41855.645833333336)</f>
        <v>41855.64583</v>
      </c>
      <c r="I2367" s="25">
        <f>IFERROR(__xludf.DUMMYFUNCTION("""COMPUTED_VALUE"""),1266.0)</f>
        <v>1266</v>
      </c>
      <c r="J2367" s="25">
        <f>IFERROR(__xludf.DUMMYFUNCTION("""COMPUTED_VALUE"""),1270.95)</f>
        <v>1270.95</v>
      </c>
      <c r="K2367" s="25">
        <f>IFERROR(__xludf.DUMMYFUNCTION("""COMPUTED_VALUE"""),1244.0)</f>
        <v>1244</v>
      </c>
      <c r="L2367" s="25">
        <f>IFERROR(__xludf.DUMMYFUNCTION("""COMPUTED_VALUE"""),1263.03)</f>
        <v>1263.03</v>
      </c>
      <c r="M2367" s="25">
        <f>IFERROR(__xludf.DUMMYFUNCTION("""COMPUTED_VALUE"""),914318.0)</f>
        <v>914318</v>
      </c>
    </row>
    <row r="2368">
      <c r="A2368" s="26">
        <f>IFERROR(__xludf.DUMMYFUNCTION("""COMPUTED_VALUE"""),41856.645833333336)</f>
        <v>41856.64583</v>
      </c>
      <c r="B2368" s="9">
        <f>IFERROR(__xludf.DUMMYFUNCTION("""COMPUTED_VALUE"""),434.5)</f>
        <v>434.5</v>
      </c>
      <c r="C2368" s="9">
        <f>IFERROR(__xludf.DUMMYFUNCTION("""COMPUTED_VALUE"""),440.0)</f>
        <v>440</v>
      </c>
      <c r="D2368" s="9">
        <f>IFERROR(__xludf.DUMMYFUNCTION("""COMPUTED_VALUE"""),433.76)</f>
        <v>433.76</v>
      </c>
      <c r="E2368" s="9">
        <f>IFERROR(__xludf.DUMMYFUNCTION("""COMPUTED_VALUE"""),439.13)</f>
        <v>439.13</v>
      </c>
      <c r="F2368" s="9">
        <f>IFERROR(__xludf.DUMMYFUNCTION("""COMPUTED_VALUE"""),1373203.0)</f>
        <v>1373203</v>
      </c>
      <c r="H2368" s="27">
        <f>IFERROR(__xludf.DUMMYFUNCTION("""COMPUTED_VALUE"""),41856.645833333336)</f>
        <v>41856.64583</v>
      </c>
      <c r="I2368" s="25">
        <f>IFERROR(__xludf.DUMMYFUNCTION("""COMPUTED_VALUE"""),1272.45)</f>
        <v>1272.45</v>
      </c>
      <c r="J2368" s="25">
        <f>IFERROR(__xludf.DUMMYFUNCTION("""COMPUTED_VALUE"""),1272.5)</f>
        <v>1272.5</v>
      </c>
      <c r="K2368" s="25">
        <f>IFERROR(__xludf.DUMMYFUNCTION("""COMPUTED_VALUE"""),1245.05)</f>
        <v>1245.05</v>
      </c>
      <c r="L2368" s="25">
        <f>IFERROR(__xludf.DUMMYFUNCTION("""COMPUTED_VALUE"""),1261.85)</f>
        <v>1261.85</v>
      </c>
      <c r="M2368" s="25">
        <f>IFERROR(__xludf.DUMMYFUNCTION("""COMPUTED_VALUE"""),702328.0)</f>
        <v>702328</v>
      </c>
    </row>
    <row r="2369">
      <c r="A2369" s="26">
        <f>IFERROR(__xludf.DUMMYFUNCTION("""COMPUTED_VALUE"""),41857.645833333336)</f>
        <v>41857.64583</v>
      </c>
      <c r="B2369" s="9">
        <f>IFERROR(__xludf.DUMMYFUNCTION("""COMPUTED_VALUE"""),440.63)</f>
        <v>440.63</v>
      </c>
      <c r="C2369" s="9">
        <f>IFERROR(__xludf.DUMMYFUNCTION("""COMPUTED_VALUE"""),451.04)</f>
        <v>451.04</v>
      </c>
      <c r="D2369" s="9">
        <f>IFERROR(__xludf.DUMMYFUNCTION("""COMPUTED_VALUE"""),440.63)</f>
        <v>440.63</v>
      </c>
      <c r="E2369" s="9">
        <f>IFERROR(__xludf.DUMMYFUNCTION("""COMPUTED_VALUE"""),446.98)</f>
        <v>446.98</v>
      </c>
      <c r="F2369" s="9">
        <f>IFERROR(__xludf.DUMMYFUNCTION("""COMPUTED_VALUE"""),2250523.0)</f>
        <v>2250523</v>
      </c>
      <c r="H2369" s="27">
        <f>IFERROR(__xludf.DUMMYFUNCTION("""COMPUTED_VALUE"""),41857.645833333336)</f>
        <v>41857.64583</v>
      </c>
      <c r="I2369" s="25">
        <f>IFERROR(__xludf.DUMMYFUNCTION("""COMPUTED_VALUE"""),1258.07)</f>
        <v>1258.07</v>
      </c>
      <c r="J2369" s="25">
        <f>IFERROR(__xludf.DUMMYFUNCTION("""COMPUTED_VALUE"""),1267.43)</f>
        <v>1267.43</v>
      </c>
      <c r="K2369" s="25">
        <f>IFERROR(__xludf.DUMMYFUNCTION("""COMPUTED_VALUE"""),1245.13)</f>
        <v>1245.13</v>
      </c>
      <c r="L2369" s="25">
        <f>IFERROR(__xludf.DUMMYFUNCTION("""COMPUTED_VALUE"""),1253.32)</f>
        <v>1253.32</v>
      </c>
      <c r="M2369" s="25">
        <f>IFERROR(__xludf.DUMMYFUNCTION("""COMPUTED_VALUE"""),918781.0)</f>
        <v>918781</v>
      </c>
    </row>
    <row r="2370">
      <c r="A2370" s="26">
        <f>IFERROR(__xludf.DUMMYFUNCTION("""COMPUTED_VALUE"""),41858.645833333336)</f>
        <v>41858.64583</v>
      </c>
      <c r="B2370" s="9">
        <f>IFERROR(__xludf.DUMMYFUNCTION("""COMPUTED_VALUE"""),437.38)</f>
        <v>437.38</v>
      </c>
      <c r="C2370" s="9">
        <f>IFERROR(__xludf.DUMMYFUNCTION("""COMPUTED_VALUE"""),443.05)</f>
        <v>443.05</v>
      </c>
      <c r="D2370" s="9">
        <f>IFERROR(__xludf.DUMMYFUNCTION("""COMPUTED_VALUE"""),435.29)</f>
        <v>435.29</v>
      </c>
      <c r="E2370" s="9">
        <f>IFERROR(__xludf.DUMMYFUNCTION("""COMPUTED_VALUE"""),438.42)</f>
        <v>438.42</v>
      </c>
      <c r="F2370" s="9">
        <f>IFERROR(__xludf.DUMMYFUNCTION("""COMPUTED_VALUE"""),969278.0)</f>
        <v>969278</v>
      </c>
      <c r="H2370" s="27">
        <f>IFERROR(__xludf.DUMMYFUNCTION("""COMPUTED_VALUE"""),41858.645833333336)</f>
        <v>41858.64583</v>
      </c>
      <c r="I2370" s="25">
        <f>IFERROR(__xludf.DUMMYFUNCTION("""COMPUTED_VALUE"""),1245.0)</f>
        <v>1245</v>
      </c>
      <c r="J2370" s="25">
        <f>IFERROR(__xludf.DUMMYFUNCTION("""COMPUTED_VALUE"""),1247.5)</f>
        <v>1247.5</v>
      </c>
      <c r="K2370" s="25">
        <f>IFERROR(__xludf.DUMMYFUNCTION("""COMPUTED_VALUE"""),1229.53)</f>
        <v>1229.53</v>
      </c>
      <c r="L2370" s="25">
        <f>IFERROR(__xludf.DUMMYFUNCTION("""COMPUTED_VALUE"""),1234.9)</f>
        <v>1234.9</v>
      </c>
      <c r="M2370" s="25">
        <f>IFERROR(__xludf.DUMMYFUNCTION("""COMPUTED_VALUE"""),836328.0)</f>
        <v>836328</v>
      </c>
    </row>
    <row r="2371">
      <c r="A2371" s="26">
        <f>IFERROR(__xludf.DUMMYFUNCTION("""COMPUTED_VALUE"""),41859.645833333336)</f>
        <v>41859.64583</v>
      </c>
      <c r="B2371" s="9">
        <f>IFERROR(__xludf.DUMMYFUNCTION("""COMPUTED_VALUE"""),437.5)</f>
        <v>437.5</v>
      </c>
      <c r="C2371" s="9">
        <f>IFERROR(__xludf.DUMMYFUNCTION("""COMPUTED_VALUE"""),440.0)</f>
        <v>440</v>
      </c>
      <c r="D2371" s="9">
        <f>IFERROR(__xludf.DUMMYFUNCTION("""COMPUTED_VALUE"""),434.38)</f>
        <v>434.38</v>
      </c>
      <c r="E2371" s="9">
        <f>IFERROR(__xludf.DUMMYFUNCTION("""COMPUTED_VALUE"""),435.33)</f>
        <v>435.33</v>
      </c>
      <c r="F2371" s="9">
        <f>IFERROR(__xludf.DUMMYFUNCTION("""COMPUTED_VALUE"""),476419.0)</f>
        <v>476419</v>
      </c>
      <c r="H2371" s="27">
        <f>IFERROR(__xludf.DUMMYFUNCTION("""COMPUTED_VALUE"""),41859.645833333336)</f>
        <v>41859.64583</v>
      </c>
      <c r="I2371" s="25">
        <f>IFERROR(__xludf.DUMMYFUNCTION("""COMPUTED_VALUE"""),1232.5)</f>
        <v>1232.5</v>
      </c>
      <c r="J2371" s="25">
        <f>IFERROR(__xludf.DUMMYFUNCTION("""COMPUTED_VALUE"""),1253.85)</f>
        <v>1253.85</v>
      </c>
      <c r="K2371" s="25">
        <f>IFERROR(__xludf.DUMMYFUNCTION("""COMPUTED_VALUE"""),1232.5)</f>
        <v>1232.5</v>
      </c>
      <c r="L2371" s="25">
        <f>IFERROR(__xludf.DUMMYFUNCTION("""COMPUTED_VALUE"""),1239.35)</f>
        <v>1239.35</v>
      </c>
      <c r="M2371" s="25">
        <f>IFERROR(__xludf.DUMMYFUNCTION("""COMPUTED_VALUE"""),732395.0)</f>
        <v>732395</v>
      </c>
    </row>
    <row r="2372">
      <c r="A2372" s="26">
        <f>IFERROR(__xludf.DUMMYFUNCTION("""COMPUTED_VALUE"""),41862.645833333336)</f>
        <v>41862.64583</v>
      </c>
      <c r="B2372" s="9">
        <f>IFERROR(__xludf.DUMMYFUNCTION("""COMPUTED_VALUE"""),440.5)</f>
        <v>440.5</v>
      </c>
      <c r="C2372" s="9">
        <f>IFERROR(__xludf.DUMMYFUNCTION("""COMPUTED_VALUE"""),447.96)</f>
        <v>447.96</v>
      </c>
      <c r="D2372" s="9">
        <f>IFERROR(__xludf.DUMMYFUNCTION("""COMPUTED_VALUE"""),438.75)</f>
        <v>438.75</v>
      </c>
      <c r="E2372" s="9">
        <f>IFERROR(__xludf.DUMMYFUNCTION("""COMPUTED_VALUE"""),446.69)</f>
        <v>446.69</v>
      </c>
      <c r="F2372" s="9">
        <f>IFERROR(__xludf.DUMMYFUNCTION("""COMPUTED_VALUE"""),703584.0)</f>
        <v>703584</v>
      </c>
      <c r="H2372" s="27">
        <f>IFERROR(__xludf.DUMMYFUNCTION("""COMPUTED_VALUE"""),41862.645833333336)</f>
        <v>41862.64583</v>
      </c>
      <c r="I2372" s="25">
        <f>IFERROR(__xludf.DUMMYFUNCTION("""COMPUTED_VALUE"""),1245.45)</f>
        <v>1245.45</v>
      </c>
      <c r="J2372" s="25">
        <f>IFERROR(__xludf.DUMMYFUNCTION("""COMPUTED_VALUE"""),1247.78)</f>
        <v>1247.78</v>
      </c>
      <c r="K2372" s="25">
        <f>IFERROR(__xludf.DUMMYFUNCTION("""COMPUTED_VALUE"""),1227.5)</f>
        <v>1227.5</v>
      </c>
      <c r="L2372" s="25">
        <f>IFERROR(__xludf.DUMMYFUNCTION("""COMPUTED_VALUE"""),1234.2)</f>
        <v>1234.2</v>
      </c>
      <c r="M2372" s="25">
        <f>IFERROR(__xludf.DUMMYFUNCTION("""COMPUTED_VALUE"""),645448.0)</f>
        <v>645448</v>
      </c>
    </row>
    <row r="2373">
      <c r="A2373" s="26">
        <f>IFERROR(__xludf.DUMMYFUNCTION("""COMPUTED_VALUE"""),41863.645833333336)</f>
        <v>41863.64583</v>
      </c>
      <c r="B2373" s="9">
        <f>IFERROR(__xludf.DUMMYFUNCTION("""COMPUTED_VALUE"""),449.88)</f>
        <v>449.88</v>
      </c>
      <c r="C2373" s="9">
        <f>IFERROR(__xludf.DUMMYFUNCTION("""COMPUTED_VALUE"""),449.88)</f>
        <v>449.88</v>
      </c>
      <c r="D2373" s="9">
        <f>IFERROR(__xludf.DUMMYFUNCTION("""COMPUTED_VALUE"""),442.63)</f>
        <v>442.63</v>
      </c>
      <c r="E2373" s="9">
        <f>IFERROR(__xludf.DUMMYFUNCTION("""COMPUTED_VALUE"""),447.1)</f>
        <v>447.1</v>
      </c>
      <c r="F2373" s="9">
        <f>IFERROR(__xludf.DUMMYFUNCTION("""COMPUTED_VALUE"""),739617.0)</f>
        <v>739617</v>
      </c>
      <c r="H2373" s="27">
        <f>IFERROR(__xludf.DUMMYFUNCTION("""COMPUTED_VALUE"""),41863.645833333336)</f>
        <v>41863.64583</v>
      </c>
      <c r="I2373" s="25">
        <f>IFERROR(__xludf.DUMMYFUNCTION("""COMPUTED_VALUE"""),1244.95)</f>
        <v>1244.95</v>
      </c>
      <c r="J2373" s="25">
        <f>IFERROR(__xludf.DUMMYFUNCTION("""COMPUTED_VALUE"""),1244.95)</f>
        <v>1244.95</v>
      </c>
      <c r="K2373" s="25">
        <f>IFERROR(__xludf.DUMMYFUNCTION("""COMPUTED_VALUE"""),1220.1)</f>
        <v>1220.1</v>
      </c>
      <c r="L2373" s="25">
        <f>IFERROR(__xludf.DUMMYFUNCTION("""COMPUTED_VALUE"""),1235.88)</f>
        <v>1235.88</v>
      </c>
      <c r="M2373" s="25">
        <f>IFERROR(__xludf.DUMMYFUNCTION("""COMPUTED_VALUE"""),492276.0)</f>
        <v>492276</v>
      </c>
    </row>
    <row r="2374">
      <c r="A2374" s="26">
        <f>IFERROR(__xludf.DUMMYFUNCTION("""COMPUTED_VALUE"""),41864.645833333336)</f>
        <v>41864.64583</v>
      </c>
      <c r="B2374" s="9">
        <f>IFERROR(__xludf.DUMMYFUNCTION("""COMPUTED_VALUE"""),445.01)</f>
        <v>445.01</v>
      </c>
      <c r="C2374" s="9">
        <f>IFERROR(__xludf.DUMMYFUNCTION("""COMPUTED_VALUE"""),453.13)</f>
        <v>453.13</v>
      </c>
      <c r="D2374" s="9">
        <f>IFERROR(__xludf.DUMMYFUNCTION("""COMPUTED_VALUE"""),443.84)</f>
        <v>443.84</v>
      </c>
      <c r="E2374" s="9">
        <f>IFERROR(__xludf.DUMMYFUNCTION("""COMPUTED_VALUE"""),451.05)</f>
        <v>451.05</v>
      </c>
      <c r="F2374" s="9">
        <f>IFERROR(__xludf.DUMMYFUNCTION("""COMPUTED_VALUE"""),1117670.0)</f>
        <v>1117670</v>
      </c>
      <c r="H2374" s="27">
        <f>IFERROR(__xludf.DUMMYFUNCTION("""COMPUTED_VALUE"""),41864.645833333336)</f>
        <v>41864.64583</v>
      </c>
      <c r="I2374" s="25">
        <f>IFERROR(__xludf.DUMMYFUNCTION("""COMPUTED_VALUE"""),1235.0)</f>
        <v>1235</v>
      </c>
      <c r="J2374" s="25">
        <f>IFERROR(__xludf.DUMMYFUNCTION("""COMPUTED_VALUE"""),1265.0)</f>
        <v>1265</v>
      </c>
      <c r="K2374" s="25">
        <f>IFERROR(__xludf.DUMMYFUNCTION("""COMPUTED_VALUE"""),1235.0)</f>
        <v>1235</v>
      </c>
      <c r="L2374" s="25">
        <f>IFERROR(__xludf.DUMMYFUNCTION("""COMPUTED_VALUE"""),1250.03)</f>
        <v>1250.03</v>
      </c>
      <c r="M2374" s="25">
        <f>IFERROR(__xludf.DUMMYFUNCTION("""COMPUTED_VALUE"""),1384189.0)</f>
        <v>1384189</v>
      </c>
    </row>
    <row r="2375">
      <c r="A2375" s="26">
        <f>IFERROR(__xludf.DUMMYFUNCTION("""COMPUTED_VALUE"""),41865.645833333336)</f>
        <v>41865.64583</v>
      </c>
      <c r="B2375" s="9">
        <f>IFERROR(__xludf.DUMMYFUNCTION("""COMPUTED_VALUE"""),451.0)</f>
        <v>451</v>
      </c>
      <c r="C2375" s="9">
        <f>IFERROR(__xludf.DUMMYFUNCTION("""COMPUTED_VALUE"""),453.46)</f>
        <v>453.46</v>
      </c>
      <c r="D2375" s="9">
        <f>IFERROR(__xludf.DUMMYFUNCTION("""COMPUTED_VALUE"""),448.33)</f>
        <v>448.33</v>
      </c>
      <c r="E2375" s="9">
        <f>IFERROR(__xludf.DUMMYFUNCTION("""COMPUTED_VALUE"""),451.57)</f>
        <v>451.57</v>
      </c>
      <c r="F2375" s="9">
        <f>IFERROR(__xludf.DUMMYFUNCTION("""COMPUTED_VALUE"""),845310.0)</f>
        <v>845310</v>
      </c>
      <c r="H2375" s="27">
        <f>IFERROR(__xludf.DUMMYFUNCTION("""COMPUTED_VALUE"""),41865.645833333336)</f>
        <v>41865.64583</v>
      </c>
      <c r="I2375" s="25">
        <f>IFERROR(__xludf.DUMMYFUNCTION("""COMPUTED_VALUE"""),1257.0)</f>
        <v>1257</v>
      </c>
      <c r="J2375" s="25">
        <f>IFERROR(__xludf.DUMMYFUNCTION("""COMPUTED_VALUE"""),1266.0)</f>
        <v>1266</v>
      </c>
      <c r="K2375" s="25">
        <f>IFERROR(__xludf.DUMMYFUNCTION("""COMPUTED_VALUE"""),1245.03)</f>
        <v>1245.03</v>
      </c>
      <c r="L2375" s="25">
        <f>IFERROR(__xludf.DUMMYFUNCTION("""COMPUTED_VALUE"""),1249.88)</f>
        <v>1249.88</v>
      </c>
      <c r="M2375" s="25">
        <f>IFERROR(__xludf.DUMMYFUNCTION("""COMPUTED_VALUE"""),789028.0)</f>
        <v>789028</v>
      </c>
    </row>
    <row r="2376">
      <c r="A2376" s="26">
        <f>IFERROR(__xludf.DUMMYFUNCTION("""COMPUTED_VALUE"""),41869.645833333336)</f>
        <v>41869.64583</v>
      </c>
      <c r="B2376" s="9">
        <f>IFERROR(__xludf.DUMMYFUNCTION("""COMPUTED_VALUE"""),451.5)</f>
        <v>451.5</v>
      </c>
      <c r="C2376" s="9">
        <f>IFERROR(__xludf.DUMMYFUNCTION("""COMPUTED_VALUE"""),451.5)</f>
        <v>451.5</v>
      </c>
      <c r="D2376" s="9">
        <f>IFERROR(__xludf.DUMMYFUNCTION("""COMPUTED_VALUE"""),443.75)</f>
        <v>443.75</v>
      </c>
      <c r="E2376" s="9">
        <f>IFERROR(__xludf.DUMMYFUNCTION("""COMPUTED_VALUE"""),444.98)</f>
        <v>444.98</v>
      </c>
      <c r="F2376" s="9">
        <f>IFERROR(__xludf.DUMMYFUNCTION("""COMPUTED_VALUE"""),847236.0)</f>
        <v>847236</v>
      </c>
      <c r="H2376" s="27">
        <f>IFERROR(__xludf.DUMMYFUNCTION("""COMPUTED_VALUE"""),41869.645833333336)</f>
        <v>41869.64583</v>
      </c>
      <c r="I2376" s="25">
        <f>IFERROR(__xludf.DUMMYFUNCTION("""COMPUTED_VALUE"""),1245.53)</f>
        <v>1245.53</v>
      </c>
      <c r="J2376" s="25">
        <f>IFERROR(__xludf.DUMMYFUNCTION("""COMPUTED_VALUE"""),1252.5)</f>
        <v>1252.5</v>
      </c>
      <c r="K2376" s="25">
        <f>IFERROR(__xludf.DUMMYFUNCTION("""COMPUTED_VALUE"""),1235.0)</f>
        <v>1235</v>
      </c>
      <c r="L2376" s="25">
        <f>IFERROR(__xludf.DUMMYFUNCTION("""COMPUTED_VALUE"""),1243.8)</f>
        <v>1243.8</v>
      </c>
      <c r="M2376" s="25">
        <f>IFERROR(__xludf.DUMMYFUNCTION("""COMPUTED_VALUE"""),686630.0)</f>
        <v>686630</v>
      </c>
    </row>
    <row r="2377">
      <c r="A2377" s="26">
        <f>IFERROR(__xludf.DUMMYFUNCTION("""COMPUTED_VALUE"""),41870.645833333336)</f>
        <v>41870.64583</v>
      </c>
      <c r="B2377" s="9">
        <f>IFERROR(__xludf.DUMMYFUNCTION("""COMPUTED_VALUE"""),445.13)</f>
        <v>445.13</v>
      </c>
      <c r="C2377" s="9">
        <f>IFERROR(__xludf.DUMMYFUNCTION("""COMPUTED_VALUE"""),448.63)</f>
        <v>448.63</v>
      </c>
      <c r="D2377" s="9">
        <f>IFERROR(__xludf.DUMMYFUNCTION("""COMPUTED_VALUE"""),441.25)</f>
        <v>441.25</v>
      </c>
      <c r="E2377" s="9">
        <f>IFERROR(__xludf.DUMMYFUNCTION("""COMPUTED_VALUE"""),443.48)</f>
        <v>443.48</v>
      </c>
      <c r="F2377" s="9">
        <f>IFERROR(__xludf.DUMMYFUNCTION("""COMPUTED_VALUE"""),803103.0)</f>
        <v>803103</v>
      </c>
      <c r="H2377" s="27">
        <f>IFERROR(__xludf.DUMMYFUNCTION("""COMPUTED_VALUE"""),41870.645833333336)</f>
        <v>41870.64583</v>
      </c>
      <c r="I2377" s="25">
        <f>IFERROR(__xludf.DUMMYFUNCTION("""COMPUTED_VALUE"""),1250.0)</f>
        <v>1250</v>
      </c>
      <c r="J2377" s="25">
        <f>IFERROR(__xludf.DUMMYFUNCTION("""COMPUTED_VALUE"""),1252.45)</f>
        <v>1252.45</v>
      </c>
      <c r="K2377" s="25">
        <f>IFERROR(__xludf.DUMMYFUNCTION("""COMPUTED_VALUE"""),1217.5)</f>
        <v>1217.5</v>
      </c>
      <c r="L2377" s="25">
        <f>IFERROR(__xludf.DUMMYFUNCTION("""COMPUTED_VALUE"""),1219.25)</f>
        <v>1219.25</v>
      </c>
      <c r="M2377" s="25">
        <f>IFERROR(__xludf.DUMMYFUNCTION("""COMPUTED_VALUE"""),1617078.0)</f>
        <v>1617078</v>
      </c>
    </row>
    <row r="2378">
      <c r="A2378" s="26">
        <f>IFERROR(__xludf.DUMMYFUNCTION("""COMPUTED_VALUE"""),41871.645833333336)</f>
        <v>41871.64583</v>
      </c>
      <c r="B2378" s="9">
        <f>IFERROR(__xludf.DUMMYFUNCTION("""COMPUTED_VALUE"""),445.38)</f>
        <v>445.38</v>
      </c>
      <c r="C2378" s="9">
        <f>IFERROR(__xludf.DUMMYFUNCTION("""COMPUTED_VALUE"""),447.81)</f>
        <v>447.81</v>
      </c>
      <c r="D2378" s="9">
        <f>IFERROR(__xludf.DUMMYFUNCTION("""COMPUTED_VALUE"""),443.38)</f>
        <v>443.38</v>
      </c>
      <c r="E2378" s="9">
        <f>IFERROR(__xludf.DUMMYFUNCTION("""COMPUTED_VALUE"""),444.32)</f>
        <v>444.32</v>
      </c>
      <c r="F2378" s="9">
        <f>IFERROR(__xludf.DUMMYFUNCTION("""COMPUTED_VALUE"""),492278.0)</f>
        <v>492278</v>
      </c>
      <c r="H2378" s="27">
        <f>IFERROR(__xludf.DUMMYFUNCTION("""COMPUTED_VALUE"""),41871.645833333336)</f>
        <v>41871.64583</v>
      </c>
      <c r="I2378" s="25">
        <f>IFERROR(__xludf.DUMMYFUNCTION("""COMPUTED_VALUE"""),1222.25)</f>
        <v>1222.25</v>
      </c>
      <c r="J2378" s="25">
        <f>IFERROR(__xludf.DUMMYFUNCTION("""COMPUTED_VALUE"""),1227.53)</f>
        <v>1227.53</v>
      </c>
      <c r="K2378" s="25">
        <f>IFERROR(__xludf.DUMMYFUNCTION("""COMPUTED_VALUE"""),1215.03)</f>
        <v>1215.03</v>
      </c>
      <c r="L2378" s="25">
        <f>IFERROR(__xludf.DUMMYFUNCTION("""COMPUTED_VALUE"""),1218.1)</f>
        <v>1218.1</v>
      </c>
      <c r="M2378" s="25">
        <f>IFERROR(__xludf.DUMMYFUNCTION("""COMPUTED_VALUE"""),1028379.0)</f>
        <v>1028379</v>
      </c>
    </row>
    <row r="2379">
      <c r="A2379" s="26">
        <f>IFERROR(__xludf.DUMMYFUNCTION("""COMPUTED_VALUE"""),41872.645833333336)</f>
        <v>41872.64583</v>
      </c>
      <c r="B2379" s="9">
        <f>IFERROR(__xludf.DUMMYFUNCTION("""COMPUTED_VALUE"""),444.53)</f>
        <v>444.53</v>
      </c>
      <c r="C2379" s="9">
        <f>IFERROR(__xludf.DUMMYFUNCTION("""COMPUTED_VALUE"""),445.43)</f>
        <v>445.43</v>
      </c>
      <c r="D2379" s="9">
        <f>IFERROR(__xludf.DUMMYFUNCTION("""COMPUTED_VALUE"""),441.25)</f>
        <v>441.25</v>
      </c>
      <c r="E2379" s="9">
        <f>IFERROR(__xludf.DUMMYFUNCTION("""COMPUTED_VALUE"""),443.62)</f>
        <v>443.62</v>
      </c>
      <c r="F2379" s="9">
        <f>IFERROR(__xludf.DUMMYFUNCTION("""COMPUTED_VALUE"""),537360.0)</f>
        <v>537360</v>
      </c>
      <c r="H2379" s="27">
        <f>IFERROR(__xludf.DUMMYFUNCTION("""COMPUTED_VALUE"""),41872.645833333336)</f>
        <v>41872.64583</v>
      </c>
      <c r="I2379" s="25">
        <f>IFERROR(__xludf.DUMMYFUNCTION("""COMPUTED_VALUE"""),1223.5)</f>
        <v>1223.5</v>
      </c>
      <c r="J2379" s="25">
        <f>IFERROR(__xludf.DUMMYFUNCTION("""COMPUTED_VALUE"""),1230.0)</f>
        <v>1230</v>
      </c>
      <c r="K2379" s="25">
        <f>IFERROR(__xludf.DUMMYFUNCTION("""COMPUTED_VALUE"""),1215.0)</f>
        <v>1215</v>
      </c>
      <c r="L2379" s="25">
        <f>IFERROR(__xludf.DUMMYFUNCTION("""COMPUTED_VALUE"""),1216.22)</f>
        <v>1216.22</v>
      </c>
      <c r="M2379" s="25">
        <f>IFERROR(__xludf.DUMMYFUNCTION("""COMPUTED_VALUE"""),1132725.0)</f>
        <v>1132725</v>
      </c>
    </row>
    <row r="2380">
      <c r="A2380" s="26">
        <f>IFERROR(__xludf.DUMMYFUNCTION("""COMPUTED_VALUE"""),41873.645833333336)</f>
        <v>41873.64583</v>
      </c>
      <c r="B2380" s="9">
        <f>IFERROR(__xludf.DUMMYFUNCTION("""COMPUTED_VALUE"""),443.62)</f>
        <v>443.62</v>
      </c>
      <c r="C2380" s="9">
        <f>IFERROR(__xludf.DUMMYFUNCTION("""COMPUTED_VALUE"""),451.0)</f>
        <v>451</v>
      </c>
      <c r="D2380" s="9">
        <f>IFERROR(__xludf.DUMMYFUNCTION("""COMPUTED_VALUE"""),443.5)</f>
        <v>443.5</v>
      </c>
      <c r="E2380" s="9">
        <f>IFERROR(__xludf.DUMMYFUNCTION("""COMPUTED_VALUE"""),450.13)</f>
        <v>450.13</v>
      </c>
      <c r="F2380" s="9">
        <f>IFERROR(__xludf.DUMMYFUNCTION("""COMPUTED_VALUE"""),606880.0)</f>
        <v>606880</v>
      </c>
      <c r="H2380" s="27">
        <f>IFERROR(__xludf.DUMMYFUNCTION("""COMPUTED_VALUE"""),41873.645833333336)</f>
        <v>41873.64583</v>
      </c>
      <c r="I2380" s="25">
        <f>IFERROR(__xludf.DUMMYFUNCTION("""COMPUTED_VALUE"""),1222.0)</f>
        <v>1222</v>
      </c>
      <c r="J2380" s="25">
        <f>IFERROR(__xludf.DUMMYFUNCTION("""COMPUTED_VALUE"""),1234.1)</f>
        <v>1234.1</v>
      </c>
      <c r="K2380" s="25">
        <f>IFERROR(__xludf.DUMMYFUNCTION("""COMPUTED_VALUE"""),1217.9)</f>
        <v>1217.9</v>
      </c>
      <c r="L2380" s="25">
        <f>IFERROR(__xludf.DUMMYFUNCTION("""COMPUTED_VALUE"""),1232.1)</f>
        <v>1232.1</v>
      </c>
      <c r="M2380" s="25">
        <f>IFERROR(__xludf.DUMMYFUNCTION("""COMPUTED_VALUE"""),1548119.0)</f>
        <v>1548119</v>
      </c>
    </row>
    <row r="2381">
      <c r="A2381" s="26">
        <f>IFERROR(__xludf.DUMMYFUNCTION("""COMPUTED_VALUE"""),41876.645833333336)</f>
        <v>41876.64583</v>
      </c>
      <c r="B2381" s="9">
        <f>IFERROR(__xludf.DUMMYFUNCTION("""COMPUTED_VALUE"""),449.88)</f>
        <v>449.88</v>
      </c>
      <c r="C2381" s="9">
        <f>IFERROR(__xludf.DUMMYFUNCTION("""COMPUTED_VALUE"""),454.46)</f>
        <v>454.46</v>
      </c>
      <c r="D2381" s="9">
        <f>IFERROR(__xludf.DUMMYFUNCTION("""COMPUTED_VALUE"""),445.26)</f>
        <v>445.26</v>
      </c>
      <c r="E2381" s="9">
        <f>IFERROR(__xludf.DUMMYFUNCTION("""COMPUTED_VALUE"""),453.48)</f>
        <v>453.48</v>
      </c>
      <c r="F2381" s="9">
        <f>IFERROR(__xludf.DUMMYFUNCTION("""COMPUTED_VALUE"""),524794.0)</f>
        <v>524794</v>
      </c>
      <c r="H2381" s="27">
        <f>IFERROR(__xludf.DUMMYFUNCTION("""COMPUTED_VALUE"""),41876.645833333336)</f>
        <v>41876.64583</v>
      </c>
      <c r="I2381" s="25">
        <f>IFERROR(__xludf.DUMMYFUNCTION("""COMPUTED_VALUE"""),1235.0)</f>
        <v>1235</v>
      </c>
      <c r="J2381" s="25">
        <f>IFERROR(__xludf.DUMMYFUNCTION("""COMPUTED_VALUE"""),1264.25)</f>
        <v>1264.25</v>
      </c>
      <c r="K2381" s="25">
        <f>IFERROR(__xludf.DUMMYFUNCTION("""COMPUTED_VALUE"""),1233.45)</f>
        <v>1233.45</v>
      </c>
      <c r="L2381" s="25">
        <f>IFERROR(__xludf.DUMMYFUNCTION("""COMPUTED_VALUE"""),1261.03)</f>
        <v>1261.03</v>
      </c>
      <c r="M2381" s="25">
        <f>IFERROR(__xludf.DUMMYFUNCTION("""COMPUTED_VALUE"""),1571756.0)</f>
        <v>1571756</v>
      </c>
    </row>
    <row r="2382">
      <c r="A2382" s="26">
        <f>IFERROR(__xludf.DUMMYFUNCTION("""COMPUTED_VALUE"""),41877.645833333336)</f>
        <v>41877.64583</v>
      </c>
      <c r="B2382" s="9">
        <f>IFERROR(__xludf.DUMMYFUNCTION("""COMPUTED_VALUE"""),452.75)</f>
        <v>452.75</v>
      </c>
      <c r="C2382" s="9">
        <f>IFERROR(__xludf.DUMMYFUNCTION("""COMPUTED_VALUE"""),455.0)</f>
        <v>455</v>
      </c>
      <c r="D2382" s="9">
        <f>IFERROR(__xludf.DUMMYFUNCTION("""COMPUTED_VALUE"""),450.0)</f>
        <v>450</v>
      </c>
      <c r="E2382" s="9">
        <f>IFERROR(__xludf.DUMMYFUNCTION("""COMPUTED_VALUE"""),453.02)</f>
        <v>453.02</v>
      </c>
      <c r="F2382" s="9">
        <f>IFERROR(__xludf.DUMMYFUNCTION("""COMPUTED_VALUE"""),730266.0)</f>
        <v>730266</v>
      </c>
      <c r="H2382" s="27">
        <f>IFERROR(__xludf.DUMMYFUNCTION("""COMPUTED_VALUE"""),41877.645833333336)</f>
        <v>41877.64583</v>
      </c>
      <c r="I2382" s="25">
        <f>IFERROR(__xludf.DUMMYFUNCTION("""COMPUTED_VALUE"""),1264.5)</f>
        <v>1264.5</v>
      </c>
      <c r="J2382" s="25">
        <f>IFERROR(__xludf.DUMMYFUNCTION("""COMPUTED_VALUE"""),1275.0)</f>
        <v>1275</v>
      </c>
      <c r="K2382" s="25">
        <f>IFERROR(__xludf.DUMMYFUNCTION("""COMPUTED_VALUE"""),1250.0)</f>
        <v>1250</v>
      </c>
      <c r="L2382" s="25">
        <f>IFERROR(__xludf.DUMMYFUNCTION("""COMPUTED_VALUE"""),1266.9)</f>
        <v>1266.9</v>
      </c>
      <c r="M2382" s="25">
        <f>IFERROR(__xludf.DUMMYFUNCTION("""COMPUTED_VALUE"""),907745.0)</f>
        <v>907745</v>
      </c>
    </row>
    <row r="2383">
      <c r="A2383" s="26">
        <f>IFERROR(__xludf.DUMMYFUNCTION("""COMPUTED_VALUE"""),41878.645833333336)</f>
        <v>41878.64583</v>
      </c>
      <c r="B2383" s="9">
        <f>IFERROR(__xludf.DUMMYFUNCTION("""COMPUTED_VALUE"""),453.75)</f>
        <v>453.75</v>
      </c>
      <c r="C2383" s="9">
        <f>IFERROR(__xludf.DUMMYFUNCTION("""COMPUTED_VALUE"""),456.25)</f>
        <v>456.25</v>
      </c>
      <c r="D2383" s="9">
        <f>IFERROR(__xludf.DUMMYFUNCTION("""COMPUTED_VALUE"""),450.14)</f>
        <v>450.14</v>
      </c>
      <c r="E2383" s="9">
        <f>IFERROR(__xludf.DUMMYFUNCTION("""COMPUTED_VALUE"""),453.82)</f>
        <v>453.82</v>
      </c>
      <c r="F2383" s="9">
        <f>IFERROR(__xludf.DUMMYFUNCTION("""COMPUTED_VALUE"""),696234.0)</f>
        <v>696234</v>
      </c>
      <c r="H2383" s="27">
        <f>IFERROR(__xludf.DUMMYFUNCTION("""COMPUTED_VALUE"""),41878.645833333336)</f>
        <v>41878.64583</v>
      </c>
      <c r="I2383" s="25">
        <f>IFERROR(__xludf.DUMMYFUNCTION("""COMPUTED_VALUE"""),1267.0)</f>
        <v>1267</v>
      </c>
      <c r="J2383" s="25">
        <f>IFERROR(__xludf.DUMMYFUNCTION("""COMPUTED_VALUE"""),1283.7)</f>
        <v>1283.7</v>
      </c>
      <c r="K2383" s="25">
        <f>IFERROR(__xludf.DUMMYFUNCTION("""COMPUTED_VALUE"""),1257.03)</f>
        <v>1257.03</v>
      </c>
      <c r="L2383" s="25">
        <f>IFERROR(__xludf.DUMMYFUNCTION("""COMPUTED_VALUE"""),1274.97)</f>
        <v>1274.97</v>
      </c>
      <c r="M2383" s="25">
        <f>IFERROR(__xludf.DUMMYFUNCTION("""COMPUTED_VALUE"""),717730.0)</f>
        <v>717730</v>
      </c>
    </row>
    <row r="2384">
      <c r="A2384" s="26">
        <f>IFERROR(__xludf.DUMMYFUNCTION("""COMPUTED_VALUE"""),41879.645833333336)</f>
        <v>41879.64583</v>
      </c>
      <c r="B2384" s="9">
        <f>IFERROR(__xludf.DUMMYFUNCTION("""COMPUTED_VALUE"""),453.63)</f>
        <v>453.63</v>
      </c>
      <c r="C2384" s="9">
        <f>IFERROR(__xludf.DUMMYFUNCTION("""COMPUTED_VALUE"""),454.21)</f>
        <v>454.21</v>
      </c>
      <c r="D2384" s="9">
        <f>IFERROR(__xludf.DUMMYFUNCTION("""COMPUTED_VALUE"""),447.65)</f>
        <v>447.65</v>
      </c>
      <c r="E2384" s="9">
        <f>IFERROR(__xludf.DUMMYFUNCTION("""COMPUTED_VALUE"""),449.85)</f>
        <v>449.85</v>
      </c>
      <c r="F2384" s="9">
        <f>IFERROR(__xludf.DUMMYFUNCTION("""COMPUTED_VALUE"""),949913.0)</f>
        <v>949913</v>
      </c>
      <c r="H2384" s="27">
        <f>IFERROR(__xludf.DUMMYFUNCTION("""COMPUTED_VALUE"""),41879.645833333336)</f>
        <v>41879.64583</v>
      </c>
      <c r="I2384" s="25">
        <f>IFERROR(__xludf.DUMMYFUNCTION("""COMPUTED_VALUE"""),1273.5)</f>
        <v>1273.5</v>
      </c>
      <c r="J2384" s="25">
        <f>IFERROR(__xludf.DUMMYFUNCTION("""COMPUTED_VALUE"""),1274.65)</f>
        <v>1274.65</v>
      </c>
      <c r="K2384" s="25">
        <f>IFERROR(__xludf.DUMMYFUNCTION("""COMPUTED_VALUE"""),1256.5)</f>
        <v>1256.5</v>
      </c>
      <c r="L2384" s="25">
        <f>IFERROR(__xludf.DUMMYFUNCTION("""COMPUTED_VALUE"""),1261.18)</f>
        <v>1261.18</v>
      </c>
      <c r="M2384" s="25">
        <f>IFERROR(__xludf.DUMMYFUNCTION("""COMPUTED_VALUE"""),883144.0)</f>
        <v>883144</v>
      </c>
    </row>
    <row r="2385">
      <c r="A2385" s="26">
        <f>IFERROR(__xludf.DUMMYFUNCTION("""COMPUTED_VALUE"""),41883.645833333336)</f>
        <v>41883.64583</v>
      </c>
      <c r="B2385" s="9">
        <f>IFERROR(__xludf.DUMMYFUNCTION("""COMPUTED_VALUE"""),451.26)</f>
        <v>451.26</v>
      </c>
      <c r="C2385" s="9">
        <f>IFERROR(__xludf.DUMMYFUNCTION("""COMPUTED_VALUE"""),452.36)</f>
        <v>452.36</v>
      </c>
      <c r="D2385" s="9">
        <f>IFERROR(__xludf.DUMMYFUNCTION("""COMPUTED_VALUE"""),448.13)</f>
        <v>448.13</v>
      </c>
      <c r="E2385" s="9">
        <f>IFERROR(__xludf.DUMMYFUNCTION("""COMPUTED_VALUE"""),449.96)</f>
        <v>449.96</v>
      </c>
      <c r="F2385" s="9">
        <f>IFERROR(__xludf.DUMMYFUNCTION("""COMPUTED_VALUE"""),455394.0)</f>
        <v>455394</v>
      </c>
      <c r="H2385" s="27">
        <f>IFERROR(__xludf.DUMMYFUNCTION("""COMPUTED_VALUE"""),41883.645833333336)</f>
        <v>41883.64583</v>
      </c>
      <c r="I2385" s="25">
        <f>IFERROR(__xludf.DUMMYFUNCTION("""COMPUTED_VALUE"""),1262.7)</f>
        <v>1262.7</v>
      </c>
      <c r="J2385" s="25">
        <f>IFERROR(__xludf.DUMMYFUNCTION("""COMPUTED_VALUE"""),1280.0)</f>
        <v>1280</v>
      </c>
      <c r="K2385" s="25">
        <f>IFERROR(__xludf.DUMMYFUNCTION("""COMPUTED_VALUE"""),1261.53)</f>
        <v>1261.53</v>
      </c>
      <c r="L2385" s="25">
        <f>IFERROR(__xludf.DUMMYFUNCTION("""COMPUTED_VALUE"""),1268.57)</f>
        <v>1268.57</v>
      </c>
      <c r="M2385" s="25">
        <f>IFERROR(__xludf.DUMMYFUNCTION("""COMPUTED_VALUE"""),405074.0)</f>
        <v>405074</v>
      </c>
    </row>
    <row r="2386">
      <c r="A2386" s="26">
        <f>IFERROR(__xludf.DUMMYFUNCTION("""COMPUTED_VALUE"""),41884.645833333336)</f>
        <v>41884.64583</v>
      </c>
      <c r="B2386" s="9">
        <f>IFERROR(__xludf.DUMMYFUNCTION("""COMPUTED_VALUE"""),450.0)</f>
        <v>450</v>
      </c>
      <c r="C2386" s="9">
        <f>IFERROR(__xludf.DUMMYFUNCTION("""COMPUTED_VALUE"""),453.13)</f>
        <v>453.13</v>
      </c>
      <c r="D2386" s="9">
        <f>IFERROR(__xludf.DUMMYFUNCTION("""COMPUTED_VALUE"""),444.44)</f>
        <v>444.44</v>
      </c>
      <c r="E2386" s="9">
        <f>IFERROR(__xludf.DUMMYFUNCTION("""COMPUTED_VALUE"""),451.72)</f>
        <v>451.72</v>
      </c>
      <c r="F2386" s="9">
        <f>IFERROR(__xludf.DUMMYFUNCTION("""COMPUTED_VALUE"""),447979.0)</f>
        <v>447979</v>
      </c>
      <c r="H2386" s="27">
        <f>IFERROR(__xludf.DUMMYFUNCTION("""COMPUTED_VALUE"""),41884.645833333336)</f>
        <v>41884.64583</v>
      </c>
      <c r="I2386" s="25">
        <f>IFERROR(__xludf.DUMMYFUNCTION("""COMPUTED_VALUE"""),1272.9)</f>
        <v>1272.9</v>
      </c>
      <c r="J2386" s="25">
        <f>IFERROR(__xludf.DUMMYFUNCTION("""COMPUTED_VALUE"""),1277.4)</f>
        <v>1277.4</v>
      </c>
      <c r="K2386" s="25">
        <f>IFERROR(__xludf.DUMMYFUNCTION("""COMPUTED_VALUE"""),1257.05)</f>
        <v>1257.05</v>
      </c>
      <c r="L2386" s="25">
        <f>IFERROR(__xludf.DUMMYFUNCTION("""COMPUTED_VALUE"""),1268.95)</f>
        <v>1268.95</v>
      </c>
      <c r="M2386" s="25">
        <f>IFERROR(__xludf.DUMMYFUNCTION("""COMPUTED_VALUE"""),703970.0)</f>
        <v>703970</v>
      </c>
    </row>
    <row r="2387">
      <c r="A2387" s="26">
        <f>IFERROR(__xludf.DUMMYFUNCTION("""COMPUTED_VALUE"""),41885.645833333336)</f>
        <v>41885.64583</v>
      </c>
      <c r="B2387" s="9">
        <f>IFERROR(__xludf.DUMMYFUNCTION("""COMPUTED_VALUE"""),451.25)</f>
        <v>451.25</v>
      </c>
      <c r="C2387" s="9">
        <f>IFERROR(__xludf.DUMMYFUNCTION("""COMPUTED_VALUE"""),468.3)</f>
        <v>468.3</v>
      </c>
      <c r="D2387" s="9">
        <f>IFERROR(__xludf.DUMMYFUNCTION("""COMPUTED_VALUE"""),451.25)</f>
        <v>451.25</v>
      </c>
      <c r="E2387" s="9">
        <f>IFERROR(__xludf.DUMMYFUNCTION("""COMPUTED_VALUE"""),466.78)</f>
        <v>466.78</v>
      </c>
      <c r="F2387" s="9">
        <f>IFERROR(__xludf.DUMMYFUNCTION("""COMPUTED_VALUE"""),1482195.0)</f>
        <v>1482195</v>
      </c>
      <c r="H2387" s="27">
        <f>IFERROR(__xludf.DUMMYFUNCTION("""COMPUTED_VALUE"""),41885.645833333336)</f>
        <v>41885.64583</v>
      </c>
      <c r="I2387" s="25">
        <f>IFERROR(__xludf.DUMMYFUNCTION("""COMPUTED_VALUE"""),1269.5)</f>
        <v>1269.5</v>
      </c>
      <c r="J2387" s="25">
        <f>IFERROR(__xludf.DUMMYFUNCTION("""COMPUTED_VALUE"""),1308.0)</f>
        <v>1308</v>
      </c>
      <c r="K2387" s="25">
        <f>IFERROR(__xludf.DUMMYFUNCTION("""COMPUTED_VALUE"""),1269.5)</f>
        <v>1269.5</v>
      </c>
      <c r="L2387" s="25">
        <f>IFERROR(__xludf.DUMMYFUNCTION("""COMPUTED_VALUE"""),1303.2)</f>
        <v>1303.2</v>
      </c>
      <c r="M2387" s="25">
        <f>IFERROR(__xludf.DUMMYFUNCTION("""COMPUTED_VALUE"""),1530845.0)</f>
        <v>1530845</v>
      </c>
    </row>
    <row r="2388">
      <c r="A2388" s="26">
        <f>IFERROR(__xludf.DUMMYFUNCTION("""COMPUTED_VALUE"""),41886.645833333336)</f>
        <v>41886.64583</v>
      </c>
      <c r="B2388" s="9">
        <f>IFERROR(__xludf.DUMMYFUNCTION("""COMPUTED_VALUE"""),465.63)</f>
        <v>465.63</v>
      </c>
      <c r="C2388" s="9">
        <f>IFERROR(__xludf.DUMMYFUNCTION("""COMPUTED_VALUE"""),465.63)</f>
        <v>465.63</v>
      </c>
      <c r="D2388" s="9">
        <f>IFERROR(__xludf.DUMMYFUNCTION("""COMPUTED_VALUE"""),462.23)</f>
        <v>462.23</v>
      </c>
      <c r="E2388" s="9">
        <f>IFERROR(__xludf.DUMMYFUNCTION("""COMPUTED_VALUE"""),463.59)</f>
        <v>463.59</v>
      </c>
      <c r="F2388" s="9">
        <f>IFERROR(__xludf.DUMMYFUNCTION("""COMPUTED_VALUE"""),779808.0)</f>
        <v>779808</v>
      </c>
      <c r="H2388" s="27">
        <f>IFERROR(__xludf.DUMMYFUNCTION("""COMPUTED_VALUE"""),41886.645833333336)</f>
        <v>41886.64583</v>
      </c>
      <c r="I2388" s="25">
        <f>IFERROR(__xludf.DUMMYFUNCTION("""COMPUTED_VALUE"""),1311.0)</f>
        <v>1311</v>
      </c>
      <c r="J2388" s="25">
        <f>IFERROR(__xludf.DUMMYFUNCTION("""COMPUTED_VALUE"""),1313.73)</f>
        <v>1313.73</v>
      </c>
      <c r="K2388" s="25">
        <f>IFERROR(__xludf.DUMMYFUNCTION("""COMPUTED_VALUE"""),1288.72)</f>
        <v>1288.72</v>
      </c>
      <c r="L2388" s="25">
        <f>IFERROR(__xludf.DUMMYFUNCTION("""COMPUTED_VALUE"""),1292.38)</f>
        <v>1292.38</v>
      </c>
      <c r="M2388" s="25">
        <f>IFERROR(__xludf.DUMMYFUNCTION("""COMPUTED_VALUE"""),850799.0)</f>
        <v>850799</v>
      </c>
    </row>
    <row r="2389">
      <c r="A2389" s="26">
        <f>IFERROR(__xludf.DUMMYFUNCTION("""COMPUTED_VALUE"""),41887.645833333336)</f>
        <v>41887.64583</v>
      </c>
      <c r="B2389" s="9">
        <f>IFERROR(__xludf.DUMMYFUNCTION("""COMPUTED_VALUE"""),466.5)</f>
        <v>466.5</v>
      </c>
      <c r="C2389" s="9">
        <f>IFERROR(__xludf.DUMMYFUNCTION("""COMPUTED_VALUE"""),474.38)</f>
        <v>474.38</v>
      </c>
      <c r="D2389" s="9">
        <f>IFERROR(__xludf.DUMMYFUNCTION("""COMPUTED_VALUE"""),463.17)</f>
        <v>463.17</v>
      </c>
      <c r="E2389" s="9">
        <f>IFERROR(__xludf.DUMMYFUNCTION("""COMPUTED_VALUE"""),466.34)</f>
        <v>466.34</v>
      </c>
      <c r="F2389" s="9">
        <f>IFERROR(__xludf.DUMMYFUNCTION("""COMPUTED_VALUE"""),808544.0)</f>
        <v>808544</v>
      </c>
      <c r="H2389" s="27">
        <f>IFERROR(__xludf.DUMMYFUNCTION("""COMPUTED_VALUE"""),41887.645833333336)</f>
        <v>41887.64583</v>
      </c>
      <c r="I2389" s="25">
        <f>IFERROR(__xludf.DUMMYFUNCTION("""COMPUTED_VALUE"""),1299.95)</f>
        <v>1299.95</v>
      </c>
      <c r="J2389" s="25">
        <f>IFERROR(__xludf.DUMMYFUNCTION("""COMPUTED_VALUE"""),1310.9)</f>
        <v>1310.9</v>
      </c>
      <c r="K2389" s="25">
        <f>IFERROR(__xludf.DUMMYFUNCTION("""COMPUTED_VALUE"""),1291.53)</f>
        <v>1291.53</v>
      </c>
      <c r="L2389" s="25">
        <f>IFERROR(__xludf.DUMMYFUNCTION("""COMPUTED_VALUE"""),1299.3)</f>
        <v>1299.3</v>
      </c>
      <c r="M2389" s="25">
        <f>IFERROR(__xludf.DUMMYFUNCTION("""COMPUTED_VALUE"""),733530.0)</f>
        <v>733530</v>
      </c>
    </row>
    <row r="2390">
      <c r="A2390" s="26">
        <f>IFERROR(__xludf.DUMMYFUNCTION("""COMPUTED_VALUE"""),41890.645833333336)</f>
        <v>41890.64583</v>
      </c>
      <c r="B2390" s="9">
        <f>IFERROR(__xludf.DUMMYFUNCTION("""COMPUTED_VALUE"""),466.59)</f>
        <v>466.59</v>
      </c>
      <c r="C2390" s="9">
        <f>IFERROR(__xludf.DUMMYFUNCTION("""COMPUTED_VALUE"""),473.81)</f>
        <v>473.81</v>
      </c>
      <c r="D2390" s="9">
        <f>IFERROR(__xludf.DUMMYFUNCTION("""COMPUTED_VALUE"""),466.59)</f>
        <v>466.59</v>
      </c>
      <c r="E2390" s="9">
        <f>IFERROR(__xludf.DUMMYFUNCTION("""COMPUTED_VALUE"""),472.71)</f>
        <v>472.71</v>
      </c>
      <c r="F2390" s="9">
        <f>IFERROR(__xludf.DUMMYFUNCTION("""COMPUTED_VALUE"""),814662.0)</f>
        <v>814662</v>
      </c>
      <c r="H2390" s="27">
        <f>IFERROR(__xludf.DUMMYFUNCTION("""COMPUTED_VALUE"""),41890.645833333336)</f>
        <v>41890.64583</v>
      </c>
      <c r="I2390" s="25">
        <f>IFERROR(__xludf.DUMMYFUNCTION("""COMPUTED_VALUE"""),1306.0)</f>
        <v>1306</v>
      </c>
      <c r="J2390" s="25">
        <f>IFERROR(__xludf.DUMMYFUNCTION("""COMPUTED_VALUE"""),1325.0)</f>
        <v>1325</v>
      </c>
      <c r="K2390" s="25">
        <f>IFERROR(__xludf.DUMMYFUNCTION("""COMPUTED_VALUE"""),1299.53)</f>
        <v>1299.53</v>
      </c>
      <c r="L2390" s="25">
        <f>IFERROR(__xludf.DUMMYFUNCTION("""COMPUTED_VALUE"""),1321.35)</f>
        <v>1321.35</v>
      </c>
      <c r="M2390" s="25">
        <f>IFERROR(__xludf.DUMMYFUNCTION("""COMPUTED_VALUE"""),848671.0)</f>
        <v>848671</v>
      </c>
    </row>
    <row r="2391">
      <c r="A2391" s="26">
        <f>IFERROR(__xludf.DUMMYFUNCTION("""COMPUTED_VALUE"""),41891.645833333336)</f>
        <v>41891.64583</v>
      </c>
      <c r="B2391" s="9">
        <f>IFERROR(__xludf.DUMMYFUNCTION("""COMPUTED_VALUE"""),468.5)</f>
        <v>468.5</v>
      </c>
      <c r="C2391" s="9">
        <f>IFERROR(__xludf.DUMMYFUNCTION("""COMPUTED_VALUE"""),469.43)</f>
        <v>469.43</v>
      </c>
      <c r="D2391" s="9">
        <f>IFERROR(__xludf.DUMMYFUNCTION("""COMPUTED_VALUE"""),465.0)</f>
        <v>465</v>
      </c>
      <c r="E2391" s="9">
        <f>IFERROR(__xludf.DUMMYFUNCTION("""COMPUTED_VALUE"""),467.01)</f>
        <v>467.01</v>
      </c>
      <c r="F2391" s="9">
        <f>IFERROR(__xludf.DUMMYFUNCTION("""COMPUTED_VALUE"""),539600.0)</f>
        <v>539600</v>
      </c>
      <c r="H2391" s="27">
        <f>IFERROR(__xludf.DUMMYFUNCTION("""COMPUTED_VALUE"""),41891.645833333336)</f>
        <v>41891.64583</v>
      </c>
      <c r="I2391" s="25">
        <f>IFERROR(__xludf.DUMMYFUNCTION("""COMPUTED_VALUE"""),1326.0)</f>
        <v>1326</v>
      </c>
      <c r="J2391" s="25">
        <f>IFERROR(__xludf.DUMMYFUNCTION("""COMPUTED_VALUE"""),1333.5)</f>
        <v>1333.5</v>
      </c>
      <c r="K2391" s="25">
        <f>IFERROR(__xludf.DUMMYFUNCTION("""COMPUTED_VALUE"""),1312.55)</f>
        <v>1312.55</v>
      </c>
      <c r="L2391" s="25">
        <f>IFERROR(__xludf.DUMMYFUNCTION("""COMPUTED_VALUE"""),1315.63)</f>
        <v>1315.63</v>
      </c>
      <c r="M2391" s="25">
        <f>IFERROR(__xludf.DUMMYFUNCTION("""COMPUTED_VALUE"""),709049.0)</f>
        <v>709049</v>
      </c>
    </row>
    <row r="2392">
      <c r="A2392" s="26">
        <f>IFERROR(__xludf.DUMMYFUNCTION("""COMPUTED_VALUE"""),41892.645833333336)</f>
        <v>41892.64583</v>
      </c>
      <c r="B2392" s="9">
        <f>IFERROR(__xludf.DUMMYFUNCTION("""COMPUTED_VALUE"""),463.5)</f>
        <v>463.5</v>
      </c>
      <c r="C2392" s="9">
        <f>IFERROR(__xludf.DUMMYFUNCTION("""COMPUTED_VALUE"""),463.5)</f>
        <v>463.5</v>
      </c>
      <c r="D2392" s="9">
        <f>IFERROR(__xludf.DUMMYFUNCTION("""COMPUTED_VALUE"""),457.5)</f>
        <v>457.5</v>
      </c>
      <c r="E2392" s="9">
        <f>IFERROR(__xludf.DUMMYFUNCTION("""COMPUTED_VALUE"""),458.41)</f>
        <v>458.41</v>
      </c>
      <c r="F2392" s="9">
        <f>IFERROR(__xludf.DUMMYFUNCTION("""COMPUTED_VALUE"""),635094.0)</f>
        <v>635094</v>
      </c>
      <c r="H2392" s="27">
        <f>IFERROR(__xludf.DUMMYFUNCTION("""COMPUTED_VALUE"""),41892.645833333336)</f>
        <v>41892.64583</v>
      </c>
      <c r="I2392" s="25">
        <f>IFERROR(__xludf.DUMMYFUNCTION("""COMPUTED_VALUE"""),1319.0)</f>
        <v>1319</v>
      </c>
      <c r="J2392" s="25">
        <f>IFERROR(__xludf.DUMMYFUNCTION("""COMPUTED_VALUE"""),1321.38)</f>
        <v>1321.38</v>
      </c>
      <c r="K2392" s="25">
        <f>IFERROR(__xludf.DUMMYFUNCTION("""COMPUTED_VALUE"""),1295.6)</f>
        <v>1295.6</v>
      </c>
      <c r="L2392" s="25">
        <f>IFERROR(__xludf.DUMMYFUNCTION("""COMPUTED_VALUE"""),1300.07)</f>
        <v>1300.07</v>
      </c>
      <c r="M2392" s="25">
        <f>IFERROR(__xludf.DUMMYFUNCTION("""COMPUTED_VALUE"""),629384.0)</f>
        <v>629384</v>
      </c>
    </row>
    <row r="2393">
      <c r="A2393" s="26">
        <f>IFERROR(__xludf.DUMMYFUNCTION("""COMPUTED_VALUE"""),41893.645833333336)</f>
        <v>41893.64583</v>
      </c>
      <c r="B2393" s="9">
        <f>IFERROR(__xludf.DUMMYFUNCTION("""COMPUTED_VALUE"""),459.25)</f>
        <v>459.25</v>
      </c>
      <c r="C2393" s="9">
        <f>IFERROR(__xludf.DUMMYFUNCTION("""COMPUTED_VALUE"""),462.46)</f>
        <v>462.46</v>
      </c>
      <c r="D2393" s="9">
        <f>IFERROR(__xludf.DUMMYFUNCTION("""COMPUTED_VALUE"""),453.83)</f>
        <v>453.83</v>
      </c>
      <c r="E2393" s="9">
        <f>IFERROR(__xludf.DUMMYFUNCTION("""COMPUTED_VALUE"""),460.52)</f>
        <v>460.52</v>
      </c>
      <c r="F2393" s="9">
        <f>IFERROR(__xludf.DUMMYFUNCTION("""COMPUTED_VALUE"""),626629.0)</f>
        <v>626629</v>
      </c>
      <c r="H2393" s="27">
        <f>IFERROR(__xludf.DUMMYFUNCTION("""COMPUTED_VALUE"""),41893.645833333336)</f>
        <v>41893.64583</v>
      </c>
      <c r="I2393" s="25">
        <f>IFERROR(__xludf.DUMMYFUNCTION("""COMPUTED_VALUE"""),1305.0)</f>
        <v>1305</v>
      </c>
      <c r="J2393" s="25">
        <f>IFERROR(__xludf.DUMMYFUNCTION("""COMPUTED_VALUE"""),1312.2)</f>
        <v>1312.2</v>
      </c>
      <c r="K2393" s="25">
        <f>IFERROR(__xludf.DUMMYFUNCTION("""COMPUTED_VALUE"""),1295.75)</f>
        <v>1295.75</v>
      </c>
      <c r="L2393" s="25">
        <f>IFERROR(__xludf.DUMMYFUNCTION("""COMPUTED_VALUE"""),1299.18)</f>
        <v>1299.18</v>
      </c>
      <c r="M2393" s="25">
        <f>IFERROR(__xludf.DUMMYFUNCTION("""COMPUTED_VALUE"""),537811.0)</f>
        <v>537811</v>
      </c>
    </row>
    <row r="2394">
      <c r="A2394" s="26">
        <f>IFERROR(__xludf.DUMMYFUNCTION("""COMPUTED_VALUE"""),41894.645833333336)</f>
        <v>41894.64583</v>
      </c>
      <c r="B2394" s="9">
        <f>IFERROR(__xludf.DUMMYFUNCTION("""COMPUTED_VALUE"""),461.0)</f>
        <v>461</v>
      </c>
      <c r="C2394" s="9">
        <f>IFERROR(__xludf.DUMMYFUNCTION("""COMPUTED_VALUE"""),463.5)</f>
        <v>463.5</v>
      </c>
      <c r="D2394" s="9">
        <f>IFERROR(__xludf.DUMMYFUNCTION("""COMPUTED_VALUE"""),456.25)</f>
        <v>456.25</v>
      </c>
      <c r="E2394" s="9">
        <f>IFERROR(__xludf.DUMMYFUNCTION("""COMPUTED_VALUE"""),458.74)</f>
        <v>458.74</v>
      </c>
      <c r="F2394" s="9">
        <f>IFERROR(__xludf.DUMMYFUNCTION("""COMPUTED_VALUE"""),488444.0)</f>
        <v>488444</v>
      </c>
      <c r="H2394" s="27">
        <f>IFERROR(__xludf.DUMMYFUNCTION("""COMPUTED_VALUE"""),41894.645833333336)</f>
        <v>41894.64583</v>
      </c>
      <c r="I2394" s="25">
        <f>IFERROR(__xludf.DUMMYFUNCTION("""COMPUTED_VALUE"""),1305.0)</f>
        <v>1305</v>
      </c>
      <c r="J2394" s="25">
        <f>IFERROR(__xludf.DUMMYFUNCTION("""COMPUTED_VALUE"""),1312.18)</f>
        <v>1312.18</v>
      </c>
      <c r="K2394" s="25">
        <f>IFERROR(__xludf.DUMMYFUNCTION("""COMPUTED_VALUE"""),1296.6)</f>
        <v>1296.6</v>
      </c>
      <c r="L2394" s="25">
        <f>IFERROR(__xludf.DUMMYFUNCTION("""COMPUTED_VALUE"""),1303.8)</f>
        <v>1303.8</v>
      </c>
      <c r="M2394" s="25">
        <f>IFERROR(__xludf.DUMMYFUNCTION("""COMPUTED_VALUE"""),598105.0)</f>
        <v>598105</v>
      </c>
    </row>
    <row r="2395">
      <c r="A2395" s="26">
        <f>IFERROR(__xludf.DUMMYFUNCTION("""COMPUTED_VALUE"""),41897.645833333336)</f>
        <v>41897.64583</v>
      </c>
      <c r="B2395" s="9">
        <f>IFERROR(__xludf.DUMMYFUNCTION("""COMPUTED_VALUE"""),458.13)</f>
        <v>458.13</v>
      </c>
      <c r="C2395" s="9">
        <f>IFERROR(__xludf.DUMMYFUNCTION("""COMPUTED_VALUE"""),458.5)</f>
        <v>458.5</v>
      </c>
      <c r="D2395" s="9">
        <f>IFERROR(__xludf.DUMMYFUNCTION("""COMPUTED_VALUE"""),453.41)</f>
        <v>453.41</v>
      </c>
      <c r="E2395" s="9">
        <f>IFERROR(__xludf.DUMMYFUNCTION("""COMPUTED_VALUE"""),455.16)</f>
        <v>455.16</v>
      </c>
      <c r="F2395" s="9">
        <f>IFERROR(__xludf.DUMMYFUNCTION("""COMPUTED_VALUE"""),619850.0)</f>
        <v>619850</v>
      </c>
      <c r="H2395" s="27">
        <f>IFERROR(__xludf.DUMMYFUNCTION("""COMPUTED_VALUE"""),41897.645833333336)</f>
        <v>41897.64583</v>
      </c>
      <c r="I2395" s="25">
        <f>IFERROR(__xludf.DUMMYFUNCTION("""COMPUTED_VALUE"""),1307.0)</f>
        <v>1307</v>
      </c>
      <c r="J2395" s="25">
        <f>IFERROR(__xludf.DUMMYFUNCTION("""COMPUTED_VALUE"""),1309.3)</f>
        <v>1309.3</v>
      </c>
      <c r="K2395" s="25">
        <f>IFERROR(__xludf.DUMMYFUNCTION("""COMPUTED_VALUE"""),1277.0)</f>
        <v>1277</v>
      </c>
      <c r="L2395" s="25">
        <f>IFERROR(__xludf.DUMMYFUNCTION("""COMPUTED_VALUE"""),1279.15)</f>
        <v>1279.15</v>
      </c>
      <c r="M2395" s="25">
        <f>IFERROR(__xludf.DUMMYFUNCTION("""COMPUTED_VALUE"""),575772.0)</f>
        <v>575772</v>
      </c>
    </row>
    <row r="2396">
      <c r="A2396" s="26">
        <f>IFERROR(__xludf.DUMMYFUNCTION("""COMPUTED_VALUE"""),41898.645833333336)</f>
        <v>41898.64583</v>
      </c>
      <c r="B2396" s="9">
        <f>IFERROR(__xludf.DUMMYFUNCTION("""COMPUTED_VALUE"""),455.75)</f>
        <v>455.75</v>
      </c>
      <c r="C2396" s="9">
        <f>IFERROR(__xludf.DUMMYFUNCTION("""COMPUTED_VALUE"""),461.31)</f>
        <v>461.31</v>
      </c>
      <c r="D2396" s="9">
        <f>IFERROR(__xludf.DUMMYFUNCTION("""COMPUTED_VALUE"""),452.95)</f>
        <v>452.95</v>
      </c>
      <c r="E2396" s="9">
        <f>IFERROR(__xludf.DUMMYFUNCTION("""COMPUTED_VALUE"""),456.41)</f>
        <v>456.41</v>
      </c>
      <c r="F2396" s="9">
        <f>IFERROR(__xludf.DUMMYFUNCTION("""COMPUTED_VALUE"""),629363.0)</f>
        <v>629363</v>
      </c>
      <c r="H2396" s="27">
        <f>IFERROR(__xludf.DUMMYFUNCTION("""COMPUTED_VALUE"""),41898.645833333336)</f>
        <v>41898.64583</v>
      </c>
      <c r="I2396" s="25">
        <f>IFERROR(__xludf.DUMMYFUNCTION("""COMPUTED_VALUE"""),1283.0)</f>
        <v>1283</v>
      </c>
      <c r="J2396" s="25">
        <f>IFERROR(__xludf.DUMMYFUNCTION("""COMPUTED_VALUE"""),1287.5)</f>
        <v>1287.5</v>
      </c>
      <c r="K2396" s="25">
        <f>IFERROR(__xludf.DUMMYFUNCTION("""COMPUTED_VALUE"""),1272.0)</f>
        <v>1272</v>
      </c>
      <c r="L2396" s="25">
        <f>IFERROR(__xludf.DUMMYFUNCTION("""COMPUTED_VALUE"""),1275.43)</f>
        <v>1275.43</v>
      </c>
      <c r="M2396" s="25">
        <f>IFERROR(__xludf.DUMMYFUNCTION("""COMPUTED_VALUE"""),767804.0)</f>
        <v>767804</v>
      </c>
    </row>
    <row r="2397">
      <c r="A2397" s="26">
        <f>IFERROR(__xludf.DUMMYFUNCTION("""COMPUTED_VALUE"""),41899.645833333336)</f>
        <v>41899.64583</v>
      </c>
      <c r="B2397" s="9">
        <f>IFERROR(__xludf.DUMMYFUNCTION("""COMPUTED_VALUE"""),459.99)</f>
        <v>459.99</v>
      </c>
      <c r="C2397" s="9">
        <f>IFERROR(__xludf.DUMMYFUNCTION("""COMPUTED_VALUE"""),468.51)</f>
        <v>468.51</v>
      </c>
      <c r="D2397" s="9">
        <f>IFERROR(__xludf.DUMMYFUNCTION("""COMPUTED_VALUE"""),458.89)</f>
        <v>458.89</v>
      </c>
      <c r="E2397" s="9">
        <f>IFERROR(__xludf.DUMMYFUNCTION("""COMPUTED_VALUE"""),467.63)</f>
        <v>467.63</v>
      </c>
      <c r="F2397" s="9">
        <f>IFERROR(__xludf.DUMMYFUNCTION("""COMPUTED_VALUE"""),990765.0)</f>
        <v>990765</v>
      </c>
      <c r="H2397" s="27">
        <f>IFERROR(__xludf.DUMMYFUNCTION("""COMPUTED_VALUE"""),41899.645833333336)</f>
        <v>41899.64583</v>
      </c>
      <c r="I2397" s="25">
        <f>IFERROR(__xludf.DUMMYFUNCTION("""COMPUTED_VALUE"""),1280.5)</f>
        <v>1280.5</v>
      </c>
      <c r="J2397" s="25">
        <f>IFERROR(__xludf.DUMMYFUNCTION("""COMPUTED_VALUE"""),1302.38)</f>
        <v>1302.38</v>
      </c>
      <c r="K2397" s="25">
        <f>IFERROR(__xludf.DUMMYFUNCTION("""COMPUTED_VALUE"""),1280.5)</f>
        <v>1280.5</v>
      </c>
      <c r="L2397" s="25">
        <f>IFERROR(__xludf.DUMMYFUNCTION("""COMPUTED_VALUE"""),1295.6)</f>
        <v>1295.6</v>
      </c>
      <c r="M2397" s="25">
        <f>IFERROR(__xludf.DUMMYFUNCTION("""COMPUTED_VALUE"""),828850.0)</f>
        <v>828850</v>
      </c>
    </row>
    <row r="2398">
      <c r="A2398" s="26">
        <f>IFERROR(__xludf.DUMMYFUNCTION("""COMPUTED_VALUE"""),41900.645833333336)</f>
        <v>41900.64583</v>
      </c>
      <c r="B2398" s="9">
        <f>IFERROR(__xludf.DUMMYFUNCTION("""COMPUTED_VALUE"""),459.24)</f>
        <v>459.24</v>
      </c>
      <c r="C2398" s="9">
        <f>IFERROR(__xludf.DUMMYFUNCTION("""COMPUTED_VALUE"""),466.21)</f>
        <v>466.21</v>
      </c>
      <c r="D2398" s="9">
        <f>IFERROR(__xludf.DUMMYFUNCTION("""COMPUTED_VALUE"""),456.81)</f>
        <v>456.81</v>
      </c>
      <c r="E2398" s="9">
        <f>IFERROR(__xludf.DUMMYFUNCTION("""COMPUTED_VALUE"""),462.13)</f>
        <v>462.13</v>
      </c>
      <c r="F2398" s="9">
        <f>IFERROR(__xludf.DUMMYFUNCTION("""COMPUTED_VALUE"""),1138097.0)</f>
        <v>1138097</v>
      </c>
      <c r="H2398" s="27">
        <f>IFERROR(__xludf.DUMMYFUNCTION("""COMPUTED_VALUE"""),41900.645833333336)</f>
        <v>41900.64583</v>
      </c>
      <c r="I2398" s="25">
        <f>IFERROR(__xludf.DUMMYFUNCTION("""COMPUTED_VALUE"""),1295.85)</f>
        <v>1295.85</v>
      </c>
      <c r="J2398" s="25">
        <f>IFERROR(__xludf.DUMMYFUNCTION("""COMPUTED_VALUE"""),1325.9)</f>
        <v>1325.9</v>
      </c>
      <c r="K2398" s="25">
        <f>IFERROR(__xludf.DUMMYFUNCTION("""COMPUTED_VALUE"""),1290.5)</f>
        <v>1290.5</v>
      </c>
      <c r="L2398" s="25">
        <f>IFERROR(__xludf.DUMMYFUNCTION("""COMPUTED_VALUE"""),1321.15)</f>
        <v>1321.15</v>
      </c>
      <c r="M2398" s="25">
        <f>IFERROR(__xludf.DUMMYFUNCTION("""COMPUTED_VALUE"""),741539.0)</f>
        <v>741539</v>
      </c>
    </row>
    <row r="2399">
      <c r="A2399" s="26">
        <f>IFERROR(__xludf.DUMMYFUNCTION("""COMPUTED_VALUE"""),41901.645833333336)</f>
        <v>41901.64583</v>
      </c>
      <c r="B2399" s="9">
        <f>IFERROR(__xludf.DUMMYFUNCTION("""COMPUTED_VALUE"""),462.38)</f>
        <v>462.38</v>
      </c>
      <c r="C2399" s="9">
        <f>IFERROR(__xludf.DUMMYFUNCTION("""COMPUTED_VALUE"""),473.49)</f>
        <v>473.49</v>
      </c>
      <c r="D2399" s="9">
        <f>IFERROR(__xludf.DUMMYFUNCTION("""COMPUTED_VALUE"""),460.16)</f>
        <v>460.16</v>
      </c>
      <c r="E2399" s="9">
        <f>IFERROR(__xludf.DUMMYFUNCTION("""COMPUTED_VALUE"""),462.76)</f>
        <v>462.76</v>
      </c>
      <c r="F2399" s="9">
        <f>IFERROR(__xludf.DUMMYFUNCTION("""COMPUTED_VALUE"""),1844377.0)</f>
        <v>1844377</v>
      </c>
      <c r="H2399" s="27">
        <f>IFERROR(__xludf.DUMMYFUNCTION("""COMPUTED_VALUE"""),41901.645833333336)</f>
        <v>41901.64583</v>
      </c>
      <c r="I2399" s="25">
        <f>IFERROR(__xludf.DUMMYFUNCTION("""COMPUTED_VALUE"""),1321.5)</f>
        <v>1321.5</v>
      </c>
      <c r="J2399" s="25">
        <f>IFERROR(__xludf.DUMMYFUNCTION("""COMPUTED_VALUE"""),1370.0)</f>
        <v>1370</v>
      </c>
      <c r="K2399" s="25">
        <f>IFERROR(__xludf.DUMMYFUNCTION("""COMPUTED_VALUE"""),1321.0)</f>
        <v>1321</v>
      </c>
      <c r="L2399" s="25">
        <f>IFERROR(__xludf.DUMMYFUNCTION("""COMPUTED_VALUE"""),1357.1)</f>
        <v>1357.1</v>
      </c>
      <c r="M2399" s="25">
        <f>IFERROR(__xludf.DUMMYFUNCTION("""COMPUTED_VALUE"""),1793932.0)</f>
        <v>1793932</v>
      </c>
    </row>
    <row r="2400">
      <c r="A2400" s="26">
        <f>IFERROR(__xludf.DUMMYFUNCTION("""COMPUTED_VALUE"""),41904.645833333336)</f>
        <v>41904.64583</v>
      </c>
      <c r="B2400" s="9">
        <f>IFERROR(__xludf.DUMMYFUNCTION("""COMPUTED_VALUE"""),460.0)</f>
        <v>460</v>
      </c>
      <c r="C2400" s="9">
        <f>IFERROR(__xludf.DUMMYFUNCTION("""COMPUTED_VALUE"""),460.34)</f>
        <v>460.34</v>
      </c>
      <c r="D2400" s="9">
        <f>IFERROR(__xludf.DUMMYFUNCTION("""COMPUTED_VALUE"""),454.0)</f>
        <v>454</v>
      </c>
      <c r="E2400" s="9">
        <f>IFERROR(__xludf.DUMMYFUNCTION("""COMPUTED_VALUE"""),456.33)</f>
        <v>456.33</v>
      </c>
      <c r="F2400" s="9">
        <f>IFERROR(__xludf.DUMMYFUNCTION("""COMPUTED_VALUE"""),1076505.0)</f>
        <v>1076505</v>
      </c>
      <c r="H2400" s="27">
        <f>IFERROR(__xludf.DUMMYFUNCTION("""COMPUTED_VALUE"""),41904.645833333336)</f>
        <v>41904.64583</v>
      </c>
      <c r="I2400" s="25">
        <f>IFERROR(__xludf.DUMMYFUNCTION("""COMPUTED_VALUE"""),1357.0)</f>
        <v>1357</v>
      </c>
      <c r="J2400" s="25">
        <f>IFERROR(__xludf.DUMMYFUNCTION("""COMPUTED_VALUE"""),1367.0)</f>
        <v>1367</v>
      </c>
      <c r="K2400" s="25">
        <f>IFERROR(__xludf.DUMMYFUNCTION("""COMPUTED_VALUE"""),1338.13)</f>
        <v>1338.13</v>
      </c>
      <c r="L2400" s="25">
        <f>IFERROR(__xludf.DUMMYFUNCTION("""COMPUTED_VALUE"""),1360.9)</f>
        <v>1360.9</v>
      </c>
      <c r="M2400" s="25">
        <f>IFERROR(__xludf.DUMMYFUNCTION("""COMPUTED_VALUE"""),499792.0)</f>
        <v>499792</v>
      </c>
    </row>
    <row r="2401">
      <c r="A2401" s="26">
        <f>IFERROR(__xludf.DUMMYFUNCTION("""COMPUTED_VALUE"""),41905.645833333336)</f>
        <v>41905.64583</v>
      </c>
      <c r="B2401" s="9">
        <f>IFERROR(__xludf.DUMMYFUNCTION("""COMPUTED_VALUE"""),455.63)</f>
        <v>455.63</v>
      </c>
      <c r="C2401" s="9">
        <f>IFERROR(__xludf.DUMMYFUNCTION("""COMPUTED_VALUE"""),460.43)</f>
        <v>460.43</v>
      </c>
      <c r="D2401" s="9">
        <f>IFERROR(__xludf.DUMMYFUNCTION("""COMPUTED_VALUE"""),449.44)</f>
        <v>449.44</v>
      </c>
      <c r="E2401" s="9">
        <f>IFERROR(__xludf.DUMMYFUNCTION("""COMPUTED_VALUE"""),450.89)</f>
        <v>450.89</v>
      </c>
      <c r="F2401" s="9">
        <f>IFERROR(__xludf.DUMMYFUNCTION("""COMPUTED_VALUE"""),1620288.0)</f>
        <v>1620288</v>
      </c>
      <c r="H2401" s="27">
        <f>IFERROR(__xludf.DUMMYFUNCTION("""COMPUTED_VALUE"""),41905.645833333336)</f>
        <v>41905.64583</v>
      </c>
      <c r="I2401" s="25">
        <f>IFERROR(__xludf.DUMMYFUNCTION("""COMPUTED_VALUE"""),1362.0)</f>
        <v>1362</v>
      </c>
      <c r="J2401" s="25">
        <f>IFERROR(__xludf.DUMMYFUNCTION("""COMPUTED_VALUE"""),1391.23)</f>
        <v>1391.23</v>
      </c>
      <c r="K2401" s="25">
        <f>IFERROR(__xludf.DUMMYFUNCTION("""COMPUTED_VALUE"""),1341.65)</f>
        <v>1341.65</v>
      </c>
      <c r="L2401" s="25">
        <f>IFERROR(__xludf.DUMMYFUNCTION("""COMPUTED_VALUE"""),1344.1)</f>
        <v>1344.1</v>
      </c>
      <c r="M2401" s="25">
        <f>IFERROR(__xludf.DUMMYFUNCTION("""COMPUTED_VALUE"""),1027995.0)</f>
        <v>1027995</v>
      </c>
    </row>
    <row r="2402">
      <c r="A2402" s="26">
        <f>IFERROR(__xludf.DUMMYFUNCTION("""COMPUTED_VALUE"""),41906.645833333336)</f>
        <v>41906.64583</v>
      </c>
      <c r="B2402" s="9">
        <f>IFERROR(__xludf.DUMMYFUNCTION("""COMPUTED_VALUE"""),453.75)</f>
        <v>453.75</v>
      </c>
      <c r="C2402" s="9">
        <f>IFERROR(__xludf.DUMMYFUNCTION("""COMPUTED_VALUE"""),459.03)</f>
        <v>459.03</v>
      </c>
      <c r="D2402" s="9">
        <f>IFERROR(__xludf.DUMMYFUNCTION("""COMPUTED_VALUE"""),449.78)</f>
        <v>449.78</v>
      </c>
      <c r="E2402" s="9">
        <f>IFERROR(__xludf.DUMMYFUNCTION("""COMPUTED_VALUE"""),455.6)</f>
        <v>455.6</v>
      </c>
      <c r="F2402" s="9">
        <f>IFERROR(__xludf.DUMMYFUNCTION("""COMPUTED_VALUE"""),695570.0)</f>
        <v>695570</v>
      </c>
      <c r="H2402" s="27">
        <f>IFERROR(__xludf.DUMMYFUNCTION("""COMPUTED_VALUE"""),41906.645833333336)</f>
        <v>41906.64583</v>
      </c>
      <c r="I2402" s="25">
        <f>IFERROR(__xludf.DUMMYFUNCTION("""COMPUTED_VALUE"""),1346.5)</f>
        <v>1346.5</v>
      </c>
      <c r="J2402" s="25">
        <f>IFERROR(__xludf.DUMMYFUNCTION("""COMPUTED_VALUE"""),1353.48)</f>
        <v>1353.48</v>
      </c>
      <c r="K2402" s="25">
        <f>IFERROR(__xludf.DUMMYFUNCTION("""COMPUTED_VALUE"""),1316.38)</f>
        <v>1316.38</v>
      </c>
      <c r="L2402" s="25">
        <f>IFERROR(__xludf.DUMMYFUNCTION("""COMPUTED_VALUE"""),1321.5)</f>
        <v>1321.5</v>
      </c>
      <c r="M2402" s="25">
        <f>IFERROR(__xludf.DUMMYFUNCTION("""COMPUTED_VALUE"""),1221066.0)</f>
        <v>1221066</v>
      </c>
    </row>
    <row r="2403">
      <c r="A2403" s="26">
        <f>IFERROR(__xludf.DUMMYFUNCTION("""COMPUTED_VALUE"""),41907.645833333336)</f>
        <v>41907.64583</v>
      </c>
      <c r="B2403" s="9">
        <f>IFERROR(__xludf.DUMMYFUNCTION("""COMPUTED_VALUE"""),456.25)</f>
        <v>456.25</v>
      </c>
      <c r="C2403" s="9">
        <f>IFERROR(__xludf.DUMMYFUNCTION("""COMPUTED_VALUE"""),464.85)</f>
        <v>464.85</v>
      </c>
      <c r="D2403" s="9">
        <f>IFERROR(__xludf.DUMMYFUNCTION("""COMPUTED_VALUE"""),455.75)</f>
        <v>455.75</v>
      </c>
      <c r="E2403" s="9">
        <f>IFERROR(__xludf.DUMMYFUNCTION("""COMPUTED_VALUE"""),461.38)</f>
        <v>461.38</v>
      </c>
      <c r="F2403" s="9">
        <f>IFERROR(__xludf.DUMMYFUNCTION("""COMPUTED_VALUE"""),3121939.0)</f>
        <v>3121939</v>
      </c>
      <c r="H2403" s="27">
        <f>IFERROR(__xludf.DUMMYFUNCTION("""COMPUTED_VALUE"""),41907.645833333336)</f>
        <v>41907.64583</v>
      </c>
      <c r="I2403" s="25">
        <f>IFERROR(__xludf.DUMMYFUNCTION("""COMPUTED_VALUE"""),1330.48)</f>
        <v>1330.48</v>
      </c>
      <c r="J2403" s="25">
        <f>IFERROR(__xludf.DUMMYFUNCTION("""COMPUTED_VALUE"""),1362.5)</f>
        <v>1362.5</v>
      </c>
      <c r="K2403" s="25">
        <f>IFERROR(__xludf.DUMMYFUNCTION("""COMPUTED_VALUE"""),1330.0)</f>
        <v>1330</v>
      </c>
      <c r="L2403" s="25">
        <f>IFERROR(__xludf.DUMMYFUNCTION("""COMPUTED_VALUE"""),1354.3)</f>
        <v>1354.3</v>
      </c>
      <c r="M2403" s="25">
        <f>IFERROR(__xludf.DUMMYFUNCTION("""COMPUTED_VALUE"""),1236579.0)</f>
        <v>1236579</v>
      </c>
    </row>
    <row r="2404">
      <c r="A2404" s="26">
        <f>IFERROR(__xludf.DUMMYFUNCTION("""COMPUTED_VALUE"""),41908.645833333336)</f>
        <v>41908.64583</v>
      </c>
      <c r="B2404" s="9">
        <f>IFERROR(__xludf.DUMMYFUNCTION("""COMPUTED_VALUE"""),460.63)</f>
        <v>460.63</v>
      </c>
      <c r="C2404" s="9">
        <f>IFERROR(__xludf.DUMMYFUNCTION("""COMPUTED_VALUE"""),465.03)</f>
        <v>465.03</v>
      </c>
      <c r="D2404" s="9">
        <f>IFERROR(__xludf.DUMMYFUNCTION("""COMPUTED_VALUE"""),457.56)</f>
        <v>457.56</v>
      </c>
      <c r="E2404" s="9">
        <f>IFERROR(__xludf.DUMMYFUNCTION("""COMPUTED_VALUE"""),460.02)</f>
        <v>460.02</v>
      </c>
      <c r="F2404" s="9">
        <f>IFERROR(__xludf.DUMMYFUNCTION("""COMPUTED_VALUE"""),1108105.0)</f>
        <v>1108105</v>
      </c>
      <c r="H2404" s="27">
        <f>IFERROR(__xludf.DUMMYFUNCTION("""COMPUTED_VALUE"""),41908.645833333336)</f>
        <v>41908.64583</v>
      </c>
      <c r="I2404" s="25">
        <f>IFERROR(__xludf.DUMMYFUNCTION("""COMPUTED_VALUE"""),1355.0)</f>
        <v>1355</v>
      </c>
      <c r="J2404" s="25">
        <f>IFERROR(__xludf.DUMMYFUNCTION("""COMPUTED_VALUE"""),1362.45)</f>
        <v>1362.45</v>
      </c>
      <c r="K2404" s="25">
        <f>IFERROR(__xludf.DUMMYFUNCTION("""COMPUTED_VALUE"""),1335.05)</f>
        <v>1335.05</v>
      </c>
      <c r="L2404" s="25">
        <f>IFERROR(__xludf.DUMMYFUNCTION("""COMPUTED_VALUE"""),1342.0)</f>
        <v>1342</v>
      </c>
      <c r="M2404" s="25">
        <f>IFERROR(__xludf.DUMMYFUNCTION("""COMPUTED_VALUE"""),806356.0)</f>
        <v>806356</v>
      </c>
    </row>
    <row r="2405">
      <c r="A2405" s="26">
        <f>IFERROR(__xludf.DUMMYFUNCTION("""COMPUTED_VALUE"""),41911.645833333336)</f>
        <v>41911.64583</v>
      </c>
      <c r="B2405" s="9">
        <f>IFERROR(__xludf.DUMMYFUNCTION("""COMPUTED_VALUE"""),462.63)</f>
        <v>462.63</v>
      </c>
      <c r="C2405" s="9">
        <f>IFERROR(__xludf.DUMMYFUNCTION("""COMPUTED_VALUE"""),470.12)</f>
        <v>470.12</v>
      </c>
      <c r="D2405" s="9">
        <f>IFERROR(__xludf.DUMMYFUNCTION("""COMPUTED_VALUE"""),460.14)</f>
        <v>460.14</v>
      </c>
      <c r="E2405" s="9">
        <f>IFERROR(__xludf.DUMMYFUNCTION("""COMPUTED_VALUE"""),468.63)</f>
        <v>468.63</v>
      </c>
      <c r="F2405" s="9">
        <f>IFERROR(__xludf.DUMMYFUNCTION("""COMPUTED_VALUE"""),624518.0)</f>
        <v>624518</v>
      </c>
      <c r="H2405" s="27">
        <f>IFERROR(__xludf.DUMMYFUNCTION("""COMPUTED_VALUE"""),41911.645833333336)</f>
        <v>41911.64583</v>
      </c>
      <c r="I2405" s="25">
        <f>IFERROR(__xludf.DUMMYFUNCTION("""COMPUTED_VALUE"""),1347.7)</f>
        <v>1347.7</v>
      </c>
      <c r="J2405" s="25">
        <f>IFERROR(__xludf.DUMMYFUNCTION("""COMPUTED_VALUE"""),1387.73)</f>
        <v>1387.73</v>
      </c>
      <c r="K2405" s="25">
        <f>IFERROR(__xludf.DUMMYFUNCTION("""COMPUTED_VALUE"""),1337.65)</f>
        <v>1337.65</v>
      </c>
      <c r="L2405" s="25">
        <f>IFERROR(__xludf.DUMMYFUNCTION("""COMPUTED_VALUE"""),1383.98)</f>
        <v>1383.98</v>
      </c>
      <c r="M2405" s="25">
        <f>IFERROR(__xludf.DUMMYFUNCTION("""COMPUTED_VALUE"""),1044767.0)</f>
        <v>1044767</v>
      </c>
    </row>
    <row r="2406">
      <c r="A2406" s="26">
        <f>IFERROR(__xludf.DUMMYFUNCTION("""COMPUTED_VALUE"""),41912.645833333336)</f>
        <v>41912.64583</v>
      </c>
      <c r="B2406" s="9">
        <f>IFERROR(__xludf.DUMMYFUNCTION("""COMPUTED_VALUE"""),468.03)</f>
        <v>468.03</v>
      </c>
      <c r="C2406" s="9">
        <f>IFERROR(__xludf.DUMMYFUNCTION("""COMPUTED_VALUE"""),469.54)</f>
        <v>469.54</v>
      </c>
      <c r="D2406" s="9">
        <f>IFERROR(__xludf.DUMMYFUNCTION("""COMPUTED_VALUE"""),462.64)</f>
        <v>462.64</v>
      </c>
      <c r="E2406" s="9">
        <f>IFERROR(__xludf.DUMMYFUNCTION("""COMPUTED_VALUE"""),468.47)</f>
        <v>468.47</v>
      </c>
      <c r="F2406" s="9">
        <f>IFERROR(__xludf.DUMMYFUNCTION("""COMPUTED_VALUE"""),865921.0)</f>
        <v>865921</v>
      </c>
      <c r="H2406" s="27">
        <f>IFERROR(__xludf.DUMMYFUNCTION("""COMPUTED_VALUE"""),41912.645833333336)</f>
        <v>41912.64583</v>
      </c>
      <c r="I2406" s="25">
        <f>IFERROR(__xludf.DUMMYFUNCTION("""COMPUTED_VALUE"""),1386.48)</f>
        <v>1386.48</v>
      </c>
      <c r="J2406" s="25">
        <f>IFERROR(__xludf.DUMMYFUNCTION("""COMPUTED_VALUE"""),1388.32)</f>
        <v>1388.32</v>
      </c>
      <c r="K2406" s="25">
        <f>IFERROR(__xludf.DUMMYFUNCTION("""COMPUTED_VALUE"""),1354.07)</f>
        <v>1354.07</v>
      </c>
      <c r="L2406" s="25">
        <f>IFERROR(__xludf.DUMMYFUNCTION("""COMPUTED_VALUE"""),1368.3)</f>
        <v>1368.3</v>
      </c>
      <c r="M2406" s="25">
        <f>IFERROR(__xludf.DUMMYFUNCTION("""COMPUTED_VALUE"""),1394477.0)</f>
        <v>1394477</v>
      </c>
    </row>
    <row r="2407">
      <c r="A2407" s="26">
        <f>IFERROR(__xludf.DUMMYFUNCTION("""COMPUTED_VALUE"""),41913.645833333336)</f>
        <v>41913.64583</v>
      </c>
      <c r="B2407" s="9">
        <f>IFERROR(__xludf.DUMMYFUNCTION("""COMPUTED_VALUE"""),465.25)</f>
        <v>465.25</v>
      </c>
      <c r="C2407" s="9">
        <f>IFERROR(__xludf.DUMMYFUNCTION("""COMPUTED_VALUE"""),482.49)</f>
        <v>482.49</v>
      </c>
      <c r="D2407" s="9">
        <f>IFERROR(__xludf.DUMMYFUNCTION("""COMPUTED_VALUE"""),465.25)</f>
        <v>465.25</v>
      </c>
      <c r="E2407" s="9">
        <f>IFERROR(__xludf.DUMMYFUNCTION("""COMPUTED_VALUE"""),480.91)</f>
        <v>480.91</v>
      </c>
      <c r="F2407" s="9">
        <f>IFERROR(__xludf.DUMMYFUNCTION("""COMPUTED_VALUE"""),1183858.0)</f>
        <v>1183858</v>
      </c>
      <c r="H2407" s="27">
        <f>IFERROR(__xludf.DUMMYFUNCTION("""COMPUTED_VALUE"""),41913.645833333336)</f>
        <v>41913.64583</v>
      </c>
      <c r="I2407" s="25">
        <f>IFERROR(__xludf.DUMMYFUNCTION("""COMPUTED_VALUE"""),1376.0)</f>
        <v>1376</v>
      </c>
      <c r="J2407" s="25">
        <f>IFERROR(__xludf.DUMMYFUNCTION("""COMPUTED_VALUE"""),1401.0)</f>
        <v>1401</v>
      </c>
      <c r="K2407" s="25">
        <f>IFERROR(__xludf.DUMMYFUNCTION("""COMPUTED_VALUE"""),1368.5)</f>
        <v>1368.5</v>
      </c>
      <c r="L2407" s="25">
        <f>IFERROR(__xludf.DUMMYFUNCTION("""COMPUTED_VALUE"""),1387.8)</f>
        <v>1387.8</v>
      </c>
      <c r="M2407" s="25">
        <f>IFERROR(__xludf.DUMMYFUNCTION("""COMPUTED_VALUE"""),1071011.0)</f>
        <v>1071011</v>
      </c>
    </row>
    <row r="2408">
      <c r="A2408" s="26">
        <f>IFERROR(__xludf.DUMMYFUNCTION("""COMPUTED_VALUE"""),41919.645833333336)</f>
        <v>41919.64583</v>
      </c>
      <c r="B2408" s="9">
        <f>IFERROR(__xludf.DUMMYFUNCTION("""COMPUTED_VALUE"""),471.16)</f>
        <v>471.16</v>
      </c>
      <c r="C2408" s="9">
        <f>IFERROR(__xludf.DUMMYFUNCTION("""COMPUTED_VALUE"""),486.62)</f>
        <v>486.62</v>
      </c>
      <c r="D2408" s="9">
        <f>IFERROR(__xludf.DUMMYFUNCTION("""COMPUTED_VALUE"""),471.16)</f>
        <v>471.16</v>
      </c>
      <c r="E2408" s="9">
        <f>IFERROR(__xludf.DUMMYFUNCTION("""COMPUTED_VALUE"""),478.91)</f>
        <v>478.91</v>
      </c>
      <c r="F2408" s="9">
        <f>IFERROR(__xludf.DUMMYFUNCTION("""COMPUTED_VALUE"""),2507932.0)</f>
        <v>2507932</v>
      </c>
      <c r="H2408" s="27">
        <f>IFERROR(__xludf.DUMMYFUNCTION("""COMPUTED_VALUE"""),41919.645833333336)</f>
        <v>41919.64583</v>
      </c>
      <c r="I2408" s="25">
        <f>IFERROR(__xludf.DUMMYFUNCTION("""COMPUTED_VALUE"""),1369.8)</f>
        <v>1369.8</v>
      </c>
      <c r="J2408" s="25">
        <f>IFERROR(__xludf.DUMMYFUNCTION("""COMPUTED_VALUE"""),1419.85)</f>
        <v>1419.85</v>
      </c>
      <c r="K2408" s="25">
        <f>IFERROR(__xludf.DUMMYFUNCTION("""COMPUTED_VALUE"""),1362.8)</f>
        <v>1362.8</v>
      </c>
      <c r="L2408" s="25">
        <f>IFERROR(__xludf.DUMMYFUNCTION("""COMPUTED_VALUE"""),1365.68)</f>
        <v>1365.68</v>
      </c>
      <c r="M2408" s="25">
        <f>IFERROR(__xludf.DUMMYFUNCTION("""COMPUTED_VALUE"""),1728837.0)</f>
        <v>1728837</v>
      </c>
    </row>
    <row r="2409">
      <c r="A2409" s="26">
        <f>IFERROR(__xludf.DUMMYFUNCTION("""COMPUTED_VALUE"""),41920.645833333336)</f>
        <v>41920.64583</v>
      </c>
      <c r="B2409" s="9">
        <f>IFERROR(__xludf.DUMMYFUNCTION("""COMPUTED_VALUE"""),473.13)</f>
        <v>473.13</v>
      </c>
      <c r="C2409" s="9">
        <f>IFERROR(__xludf.DUMMYFUNCTION("""COMPUTED_VALUE"""),474.0)</f>
        <v>474</v>
      </c>
      <c r="D2409" s="9">
        <f>IFERROR(__xludf.DUMMYFUNCTION("""COMPUTED_VALUE"""),455.13)</f>
        <v>455.13</v>
      </c>
      <c r="E2409" s="9">
        <f>IFERROR(__xludf.DUMMYFUNCTION("""COMPUTED_VALUE"""),456.27)</f>
        <v>456.27</v>
      </c>
      <c r="F2409" s="9">
        <f>IFERROR(__xludf.DUMMYFUNCTION("""COMPUTED_VALUE"""),2540960.0)</f>
        <v>2540960</v>
      </c>
      <c r="H2409" s="27">
        <f>IFERROR(__xludf.DUMMYFUNCTION("""COMPUTED_VALUE"""),41920.645833333336)</f>
        <v>41920.64583</v>
      </c>
      <c r="I2409" s="25">
        <f>IFERROR(__xludf.DUMMYFUNCTION("""COMPUTED_VALUE"""),1369.0)</f>
        <v>1369</v>
      </c>
      <c r="J2409" s="25">
        <f>IFERROR(__xludf.DUMMYFUNCTION("""COMPUTED_VALUE"""),1369.98)</f>
        <v>1369.98</v>
      </c>
      <c r="K2409" s="25">
        <f>IFERROR(__xludf.DUMMYFUNCTION("""COMPUTED_VALUE"""),1324.63)</f>
        <v>1324.63</v>
      </c>
      <c r="L2409" s="25">
        <f>IFERROR(__xludf.DUMMYFUNCTION("""COMPUTED_VALUE"""),1341.6)</f>
        <v>1341.6</v>
      </c>
      <c r="M2409" s="25">
        <f>IFERROR(__xludf.DUMMYFUNCTION("""COMPUTED_VALUE"""),981221.0)</f>
        <v>981221</v>
      </c>
    </row>
    <row r="2410">
      <c r="A2410" s="26">
        <f>IFERROR(__xludf.DUMMYFUNCTION("""COMPUTED_VALUE"""),41921.645833333336)</f>
        <v>41921.64583</v>
      </c>
      <c r="B2410" s="9">
        <f>IFERROR(__xludf.DUMMYFUNCTION("""COMPUTED_VALUE"""),462.5)</f>
        <v>462.5</v>
      </c>
      <c r="C2410" s="9">
        <f>IFERROR(__xludf.DUMMYFUNCTION("""COMPUTED_VALUE"""),464.25)</f>
        <v>464.25</v>
      </c>
      <c r="D2410" s="9">
        <f>IFERROR(__xludf.DUMMYFUNCTION("""COMPUTED_VALUE"""),453.24)</f>
        <v>453.24</v>
      </c>
      <c r="E2410" s="9">
        <f>IFERROR(__xludf.DUMMYFUNCTION("""COMPUTED_VALUE"""),455.85)</f>
        <v>455.85</v>
      </c>
      <c r="F2410" s="9">
        <f>IFERROR(__xludf.DUMMYFUNCTION("""COMPUTED_VALUE"""),1554104.0)</f>
        <v>1554104</v>
      </c>
      <c r="H2410" s="27">
        <f>IFERROR(__xludf.DUMMYFUNCTION("""COMPUTED_VALUE"""),41921.645833333336)</f>
        <v>41921.64583</v>
      </c>
      <c r="I2410" s="25">
        <f>IFERROR(__xludf.DUMMYFUNCTION("""COMPUTED_VALUE"""),1354.0)</f>
        <v>1354</v>
      </c>
      <c r="J2410" s="25">
        <f>IFERROR(__xludf.DUMMYFUNCTION("""COMPUTED_VALUE"""),1361.65)</f>
        <v>1361.65</v>
      </c>
      <c r="K2410" s="25">
        <f>IFERROR(__xludf.DUMMYFUNCTION("""COMPUTED_VALUE"""),1343.25)</f>
        <v>1343.25</v>
      </c>
      <c r="L2410" s="25">
        <f>IFERROR(__xludf.DUMMYFUNCTION("""COMPUTED_VALUE"""),1353.03)</f>
        <v>1353.03</v>
      </c>
      <c r="M2410" s="25">
        <f>IFERROR(__xludf.DUMMYFUNCTION("""COMPUTED_VALUE"""),842588.0)</f>
        <v>842588</v>
      </c>
    </row>
    <row r="2411">
      <c r="A2411" s="26">
        <f>IFERROR(__xludf.DUMMYFUNCTION("""COMPUTED_VALUE"""),41922.645833333336)</f>
        <v>41922.64583</v>
      </c>
      <c r="B2411" s="9">
        <f>IFERROR(__xludf.DUMMYFUNCTION("""COMPUTED_VALUE"""),457.5)</f>
        <v>457.5</v>
      </c>
      <c r="C2411" s="9">
        <f>IFERROR(__xludf.DUMMYFUNCTION("""COMPUTED_VALUE"""),488.5)</f>
        <v>488.5</v>
      </c>
      <c r="D2411" s="9">
        <f>IFERROR(__xludf.DUMMYFUNCTION("""COMPUTED_VALUE"""),446.59)</f>
        <v>446.59</v>
      </c>
      <c r="E2411" s="9">
        <f>IFERROR(__xludf.DUMMYFUNCTION("""COMPUTED_VALUE"""),486.08)</f>
        <v>486.08</v>
      </c>
      <c r="F2411" s="9">
        <f>IFERROR(__xludf.DUMMYFUNCTION("""COMPUTED_VALUE"""),5736632.0)</f>
        <v>5736632</v>
      </c>
      <c r="H2411" s="27">
        <f>IFERROR(__xludf.DUMMYFUNCTION("""COMPUTED_VALUE"""),41922.645833333336)</f>
        <v>41922.64583</v>
      </c>
      <c r="I2411" s="25">
        <f>IFERROR(__xludf.DUMMYFUNCTION("""COMPUTED_VALUE"""),1353.0)</f>
        <v>1353</v>
      </c>
      <c r="J2411" s="25">
        <f>IFERROR(__xludf.DUMMYFUNCTION("""COMPUTED_VALUE"""),1363.73)</f>
        <v>1363.73</v>
      </c>
      <c r="K2411" s="25">
        <f>IFERROR(__xludf.DUMMYFUNCTION("""COMPUTED_VALUE"""),1334.25)</f>
        <v>1334.25</v>
      </c>
      <c r="L2411" s="25">
        <f>IFERROR(__xludf.DUMMYFUNCTION("""COMPUTED_VALUE"""),1339.25)</f>
        <v>1339.25</v>
      </c>
      <c r="M2411" s="25">
        <f>IFERROR(__xludf.DUMMYFUNCTION("""COMPUTED_VALUE"""),1172181.0)</f>
        <v>1172181</v>
      </c>
    </row>
    <row r="2412">
      <c r="A2412" s="26">
        <f>IFERROR(__xludf.DUMMYFUNCTION("""COMPUTED_VALUE"""),41925.645833333336)</f>
        <v>41925.64583</v>
      </c>
      <c r="B2412" s="9">
        <f>IFERROR(__xludf.DUMMYFUNCTION("""COMPUTED_VALUE"""),486.16)</f>
        <v>486.16</v>
      </c>
      <c r="C2412" s="9">
        <f>IFERROR(__xludf.DUMMYFUNCTION("""COMPUTED_VALUE"""),498.13)</f>
        <v>498.13</v>
      </c>
      <c r="D2412" s="9">
        <f>IFERROR(__xludf.DUMMYFUNCTION("""COMPUTED_VALUE"""),486.16)</f>
        <v>486.16</v>
      </c>
      <c r="E2412" s="9">
        <f>IFERROR(__xludf.DUMMYFUNCTION("""COMPUTED_VALUE"""),492.82)</f>
        <v>492.82</v>
      </c>
      <c r="F2412" s="9">
        <f>IFERROR(__xludf.DUMMYFUNCTION("""COMPUTED_VALUE"""),2215873.0)</f>
        <v>2215873</v>
      </c>
      <c r="H2412" s="27">
        <f>IFERROR(__xludf.DUMMYFUNCTION("""COMPUTED_VALUE"""),41925.645833333336)</f>
        <v>41925.64583</v>
      </c>
      <c r="I2412" s="25">
        <f>IFERROR(__xludf.DUMMYFUNCTION("""COMPUTED_VALUE"""),1340.0)</f>
        <v>1340</v>
      </c>
      <c r="J2412" s="25">
        <f>IFERROR(__xludf.DUMMYFUNCTION("""COMPUTED_VALUE"""),1362.4)</f>
        <v>1362.4</v>
      </c>
      <c r="K2412" s="25">
        <f>IFERROR(__xludf.DUMMYFUNCTION("""COMPUTED_VALUE"""),1335.0)</f>
        <v>1335</v>
      </c>
      <c r="L2412" s="25">
        <f>IFERROR(__xludf.DUMMYFUNCTION("""COMPUTED_VALUE"""),1358.28)</f>
        <v>1358.28</v>
      </c>
      <c r="M2412" s="25">
        <f>IFERROR(__xludf.DUMMYFUNCTION("""COMPUTED_VALUE"""),1104766.0)</f>
        <v>1104766</v>
      </c>
    </row>
    <row r="2413">
      <c r="A2413" s="26">
        <f>IFERROR(__xludf.DUMMYFUNCTION("""COMPUTED_VALUE"""),41926.645833333336)</f>
        <v>41926.64583</v>
      </c>
      <c r="B2413" s="9">
        <f>IFERROR(__xludf.DUMMYFUNCTION("""COMPUTED_VALUE"""),495.63)</f>
        <v>495.63</v>
      </c>
      <c r="C2413" s="9">
        <f>IFERROR(__xludf.DUMMYFUNCTION("""COMPUTED_VALUE"""),495.63)</f>
        <v>495.63</v>
      </c>
      <c r="D2413" s="9">
        <f>IFERROR(__xludf.DUMMYFUNCTION("""COMPUTED_VALUE"""),487.5)</f>
        <v>487.5</v>
      </c>
      <c r="E2413" s="9">
        <f>IFERROR(__xludf.DUMMYFUNCTION("""COMPUTED_VALUE"""),489.79)</f>
        <v>489.79</v>
      </c>
      <c r="F2413" s="9">
        <f>IFERROR(__xludf.DUMMYFUNCTION("""COMPUTED_VALUE"""),857564.0)</f>
        <v>857564</v>
      </c>
      <c r="H2413" s="27">
        <f>IFERROR(__xludf.DUMMYFUNCTION("""COMPUTED_VALUE"""),41926.645833333336)</f>
        <v>41926.64583</v>
      </c>
      <c r="I2413" s="25">
        <f>IFERROR(__xludf.DUMMYFUNCTION("""COMPUTED_VALUE"""),1365.0)</f>
        <v>1365</v>
      </c>
      <c r="J2413" s="25">
        <f>IFERROR(__xludf.DUMMYFUNCTION("""COMPUTED_VALUE"""),1367.85)</f>
        <v>1367.85</v>
      </c>
      <c r="K2413" s="25">
        <f>IFERROR(__xludf.DUMMYFUNCTION("""COMPUTED_VALUE"""),1339.4)</f>
        <v>1339.4</v>
      </c>
      <c r="L2413" s="25">
        <f>IFERROR(__xludf.DUMMYFUNCTION("""COMPUTED_VALUE"""),1349.6)</f>
        <v>1349.6</v>
      </c>
      <c r="M2413" s="25">
        <f>IFERROR(__xludf.DUMMYFUNCTION("""COMPUTED_VALUE"""),1184703.0)</f>
        <v>1184703</v>
      </c>
    </row>
    <row r="2414">
      <c r="A2414" s="26">
        <f>IFERROR(__xludf.DUMMYFUNCTION("""COMPUTED_VALUE"""),41928.645833333336)</f>
        <v>41928.64583</v>
      </c>
      <c r="B2414" s="9">
        <f>IFERROR(__xludf.DUMMYFUNCTION("""COMPUTED_VALUE"""),487.51)</f>
        <v>487.51</v>
      </c>
      <c r="C2414" s="9">
        <f>IFERROR(__xludf.DUMMYFUNCTION("""COMPUTED_VALUE"""),492.29)</f>
        <v>492.29</v>
      </c>
      <c r="D2414" s="9">
        <f>IFERROR(__xludf.DUMMYFUNCTION("""COMPUTED_VALUE"""),481.79)</f>
        <v>481.79</v>
      </c>
      <c r="E2414" s="9">
        <f>IFERROR(__xludf.DUMMYFUNCTION("""COMPUTED_VALUE"""),483.16)</f>
        <v>483.16</v>
      </c>
      <c r="F2414" s="9">
        <f>IFERROR(__xludf.DUMMYFUNCTION("""COMPUTED_VALUE"""),1252174.0)</f>
        <v>1252174</v>
      </c>
      <c r="H2414" s="27">
        <f>IFERROR(__xludf.DUMMYFUNCTION("""COMPUTED_VALUE"""),41928.645833333336)</f>
        <v>41928.64583</v>
      </c>
      <c r="I2414" s="25">
        <f>IFERROR(__xludf.DUMMYFUNCTION("""COMPUTED_VALUE"""),1365.0)</f>
        <v>1365</v>
      </c>
      <c r="J2414" s="25">
        <f>IFERROR(__xludf.DUMMYFUNCTION("""COMPUTED_VALUE"""),1379.3)</f>
        <v>1379.3</v>
      </c>
      <c r="K2414" s="25">
        <f>IFERROR(__xludf.DUMMYFUNCTION("""COMPUTED_VALUE"""),1332.13)</f>
        <v>1332.13</v>
      </c>
      <c r="L2414" s="25">
        <f>IFERROR(__xludf.DUMMYFUNCTION("""COMPUTED_VALUE"""),1339.05)</f>
        <v>1339.05</v>
      </c>
      <c r="M2414" s="25">
        <f>IFERROR(__xludf.DUMMYFUNCTION("""COMPUTED_VALUE"""),1924007.0)</f>
        <v>1924007</v>
      </c>
    </row>
    <row r="2415">
      <c r="A2415" s="26">
        <f>IFERROR(__xludf.DUMMYFUNCTION("""COMPUTED_VALUE"""),41929.645833333336)</f>
        <v>41929.64583</v>
      </c>
      <c r="B2415" s="9">
        <f>IFERROR(__xludf.DUMMYFUNCTION("""COMPUTED_VALUE"""),483.11)</f>
        <v>483.11</v>
      </c>
      <c r="C2415" s="9">
        <f>IFERROR(__xludf.DUMMYFUNCTION("""COMPUTED_VALUE"""),490.35)</f>
        <v>490.35</v>
      </c>
      <c r="D2415" s="9">
        <f>IFERROR(__xludf.DUMMYFUNCTION("""COMPUTED_VALUE"""),479.64)</f>
        <v>479.64</v>
      </c>
      <c r="E2415" s="9">
        <f>IFERROR(__xludf.DUMMYFUNCTION("""COMPUTED_VALUE"""),481.46)</f>
        <v>481.46</v>
      </c>
      <c r="F2415" s="9">
        <f>IFERROR(__xludf.DUMMYFUNCTION("""COMPUTED_VALUE"""),1023752.0)</f>
        <v>1023752</v>
      </c>
      <c r="H2415" s="27">
        <f>IFERROR(__xludf.DUMMYFUNCTION("""COMPUTED_VALUE"""),41929.645833333336)</f>
        <v>41929.64583</v>
      </c>
      <c r="I2415" s="25">
        <f>IFERROR(__xludf.DUMMYFUNCTION("""COMPUTED_VALUE"""),1237.5)</f>
        <v>1237.5</v>
      </c>
      <c r="J2415" s="25">
        <f>IFERROR(__xludf.DUMMYFUNCTION("""COMPUTED_VALUE"""),1255.68)</f>
        <v>1255.68</v>
      </c>
      <c r="K2415" s="25">
        <f>IFERROR(__xludf.DUMMYFUNCTION("""COMPUTED_VALUE"""),1215.0)</f>
        <v>1215</v>
      </c>
      <c r="L2415" s="25">
        <f>IFERROR(__xludf.DUMMYFUNCTION("""COMPUTED_VALUE"""),1220.57)</f>
        <v>1220.57</v>
      </c>
      <c r="M2415" s="25">
        <f>IFERROR(__xludf.DUMMYFUNCTION("""COMPUTED_VALUE"""),4946406.0)</f>
        <v>4946406</v>
      </c>
    </row>
    <row r="2416">
      <c r="A2416" s="26">
        <f>IFERROR(__xludf.DUMMYFUNCTION("""COMPUTED_VALUE"""),41932.645833333336)</f>
        <v>41932.64583</v>
      </c>
      <c r="B2416" s="9">
        <f>IFERROR(__xludf.DUMMYFUNCTION("""COMPUTED_VALUE"""),481.63)</f>
        <v>481.63</v>
      </c>
      <c r="C2416" s="9">
        <f>IFERROR(__xludf.DUMMYFUNCTION("""COMPUTED_VALUE"""),482.82)</f>
        <v>482.82</v>
      </c>
      <c r="D2416" s="9">
        <f>IFERROR(__xludf.DUMMYFUNCTION("""COMPUTED_VALUE"""),475.26)</f>
        <v>475.26</v>
      </c>
      <c r="E2416" s="9">
        <f>IFERROR(__xludf.DUMMYFUNCTION("""COMPUTED_VALUE"""),476.54)</f>
        <v>476.54</v>
      </c>
      <c r="F2416" s="9">
        <f>IFERROR(__xludf.DUMMYFUNCTION("""COMPUTED_VALUE"""),962840.0)</f>
        <v>962840</v>
      </c>
      <c r="H2416" s="27">
        <f>IFERROR(__xludf.DUMMYFUNCTION("""COMPUTED_VALUE"""),41932.645833333336)</f>
        <v>41932.64583</v>
      </c>
      <c r="I2416" s="25">
        <f>IFERROR(__xludf.DUMMYFUNCTION("""COMPUTED_VALUE"""),1245.0)</f>
        <v>1245</v>
      </c>
      <c r="J2416" s="25">
        <f>IFERROR(__xludf.DUMMYFUNCTION("""COMPUTED_VALUE"""),1246.8)</f>
        <v>1246.8</v>
      </c>
      <c r="K2416" s="25">
        <f>IFERROR(__xludf.DUMMYFUNCTION("""COMPUTED_VALUE"""),1208.97)</f>
        <v>1208.97</v>
      </c>
      <c r="L2416" s="25">
        <f>IFERROR(__xludf.DUMMYFUNCTION("""COMPUTED_VALUE"""),1211.65)</f>
        <v>1211.65</v>
      </c>
      <c r="M2416" s="25">
        <f>IFERROR(__xludf.DUMMYFUNCTION("""COMPUTED_VALUE"""),1699621.0)</f>
        <v>1699621</v>
      </c>
    </row>
    <row r="2417">
      <c r="A2417" s="26">
        <f>IFERROR(__xludf.DUMMYFUNCTION("""COMPUTED_VALUE"""),41933.645833333336)</f>
        <v>41933.64583</v>
      </c>
      <c r="B2417" s="9">
        <f>IFERROR(__xludf.DUMMYFUNCTION("""COMPUTED_VALUE"""),481.24)</f>
        <v>481.24</v>
      </c>
      <c r="C2417" s="9">
        <f>IFERROR(__xludf.DUMMYFUNCTION("""COMPUTED_VALUE"""),481.24)</f>
        <v>481.24</v>
      </c>
      <c r="D2417" s="9">
        <f>IFERROR(__xludf.DUMMYFUNCTION("""COMPUTED_VALUE"""),463.75)</f>
        <v>463.75</v>
      </c>
      <c r="E2417" s="9">
        <f>IFERROR(__xludf.DUMMYFUNCTION("""COMPUTED_VALUE"""),471.62)</f>
        <v>471.62</v>
      </c>
      <c r="F2417" s="9">
        <f>IFERROR(__xludf.DUMMYFUNCTION("""COMPUTED_VALUE"""),3260173.0)</f>
        <v>3260173</v>
      </c>
      <c r="H2417" s="27">
        <f>IFERROR(__xludf.DUMMYFUNCTION("""COMPUTED_VALUE"""),41933.645833333336)</f>
        <v>41933.64583</v>
      </c>
      <c r="I2417" s="25">
        <f>IFERROR(__xludf.DUMMYFUNCTION("""COMPUTED_VALUE"""),1212.93)</f>
        <v>1212.93</v>
      </c>
      <c r="J2417" s="25">
        <f>IFERROR(__xludf.DUMMYFUNCTION("""COMPUTED_VALUE"""),1221.88)</f>
        <v>1221.88</v>
      </c>
      <c r="K2417" s="25">
        <f>IFERROR(__xludf.DUMMYFUNCTION("""COMPUTED_VALUE"""),1207.5)</f>
        <v>1207.5</v>
      </c>
      <c r="L2417" s="25">
        <f>IFERROR(__xludf.DUMMYFUNCTION("""COMPUTED_VALUE"""),1216.7)</f>
        <v>1216.7</v>
      </c>
      <c r="M2417" s="25">
        <f>IFERROR(__xludf.DUMMYFUNCTION("""COMPUTED_VALUE"""),975366.0)</f>
        <v>975366</v>
      </c>
    </row>
    <row r="2418">
      <c r="A2418" s="26">
        <f>IFERROR(__xludf.DUMMYFUNCTION("""COMPUTED_VALUE"""),41934.645833333336)</f>
        <v>41934.64583</v>
      </c>
      <c r="B2418" s="9">
        <f>IFERROR(__xludf.DUMMYFUNCTION("""COMPUTED_VALUE"""),476.16)</f>
        <v>476.16</v>
      </c>
      <c r="C2418" s="9">
        <f>IFERROR(__xludf.DUMMYFUNCTION("""COMPUTED_VALUE"""),476.49)</f>
        <v>476.49</v>
      </c>
      <c r="D2418" s="9">
        <f>IFERROR(__xludf.DUMMYFUNCTION("""COMPUTED_VALUE"""),472.03)</f>
        <v>472.03</v>
      </c>
      <c r="E2418" s="9">
        <f>IFERROR(__xludf.DUMMYFUNCTION("""COMPUTED_VALUE"""),474.51)</f>
        <v>474.51</v>
      </c>
      <c r="F2418" s="9">
        <f>IFERROR(__xludf.DUMMYFUNCTION("""COMPUTED_VALUE"""),669165.0)</f>
        <v>669165</v>
      </c>
      <c r="H2418" s="27">
        <f>IFERROR(__xludf.DUMMYFUNCTION("""COMPUTED_VALUE"""),41934.645833333336)</f>
        <v>41934.64583</v>
      </c>
      <c r="I2418" s="25">
        <f>IFERROR(__xludf.DUMMYFUNCTION("""COMPUTED_VALUE"""),1242.5)</f>
        <v>1242.5</v>
      </c>
      <c r="J2418" s="25">
        <f>IFERROR(__xludf.DUMMYFUNCTION("""COMPUTED_VALUE"""),1244.5)</f>
        <v>1244.5</v>
      </c>
      <c r="K2418" s="25">
        <f>IFERROR(__xludf.DUMMYFUNCTION("""COMPUTED_VALUE"""),1222.55)</f>
        <v>1222.55</v>
      </c>
      <c r="L2418" s="25">
        <f>IFERROR(__xludf.DUMMYFUNCTION("""COMPUTED_VALUE"""),1225.93)</f>
        <v>1225.93</v>
      </c>
      <c r="M2418" s="25">
        <f>IFERROR(__xludf.DUMMYFUNCTION("""COMPUTED_VALUE"""),1033832.0)</f>
        <v>1033832</v>
      </c>
    </row>
    <row r="2419">
      <c r="A2419" s="26">
        <f>IFERROR(__xludf.DUMMYFUNCTION("""COMPUTED_VALUE"""),41935.645833333336)</f>
        <v>41935.64583</v>
      </c>
      <c r="B2419" s="9">
        <f>IFERROR(__xludf.DUMMYFUNCTION("""COMPUTED_VALUE"""),475.61)</f>
        <v>475.61</v>
      </c>
      <c r="C2419" s="9">
        <f>IFERROR(__xludf.DUMMYFUNCTION("""COMPUTED_VALUE"""),476.68)</f>
        <v>476.68</v>
      </c>
      <c r="D2419" s="9">
        <f>IFERROR(__xludf.DUMMYFUNCTION("""COMPUTED_VALUE"""),474.64)</f>
        <v>474.64</v>
      </c>
      <c r="E2419" s="9">
        <f>IFERROR(__xludf.DUMMYFUNCTION("""COMPUTED_VALUE"""),475.49)</f>
        <v>475.49</v>
      </c>
      <c r="F2419" s="9">
        <f>IFERROR(__xludf.DUMMYFUNCTION("""COMPUTED_VALUE"""),52766.0)</f>
        <v>52766</v>
      </c>
      <c r="H2419" s="27">
        <f>IFERROR(__xludf.DUMMYFUNCTION("""COMPUTED_VALUE"""),41935.645833333336)</f>
        <v>41935.64583</v>
      </c>
      <c r="I2419" s="25">
        <f>IFERROR(__xludf.DUMMYFUNCTION("""COMPUTED_VALUE"""),1232.5)</f>
        <v>1232.5</v>
      </c>
      <c r="J2419" s="25">
        <f>IFERROR(__xludf.DUMMYFUNCTION("""COMPUTED_VALUE"""),1233.68)</f>
        <v>1233.68</v>
      </c>
      <c r="K2419" s="25">
        <f>IFERROR(__xludf.DUMMYFUNCTION("""COMPUTED_VALUE"""),1227.5)</f>
        <v>1227.5</v>
      </c>
      <c r="L2419" s="25">
        <f>IFERROR(__xludf.DUMMYFUNCTION("""COMPUTED_VALUE"""),1232.55)</f>
        <v>1232.55</v>
      </c>
      <c r="M2419" s="25">
        <f>IFERROR(__xludf.DUMMYFUNCTION("""COMPUTED_VALUE"""),109922.0)</f>
        <v>109922</v>
      </c>
    </row>
    <row r="2420">
      <c r="A2420" s="26">
        <f>IFERROR(__xludf.DUMMYFUNCTION("""COMPUTED_VALUE"""),41939.645833333336)</f>
        <v>41939.64583</v>
      </c>
      <c r="B2420" s="9">
        <f>IFERROR(__xludf.DUMMYFUNCTION("""COMPUTED_VALUE"""),481.25)</f>
        <v>481.25</v>
      </c>
      <c r="C2420" s="9">
        <f>IFERROR(__xludf.DUMMYFUNCTION("""COMPUTED_VALUE"""),481.25)</f>
        <v>481.25</v>
      </c>
      <c r="D2420" s="9">
        <f>IFERROR(__xludf.DUMMYFUNCTION("""COMPUTED_VALUE"""),472.78)</f>
        <v>472.78</v>
      </c>
      <c r="E2420" s="9">
        <f>IFERROR(__xludf.DUMMYFUNCTION("""COMPUTED_VALUE"""),475.38)</f>
        <v>475.38</v>
      </c>
      <c r="F2420" s="9">
        <f>IFERROR(__xludf.DUMMYFUNCTION("""COMPUTED_VALUE"""),595969.0)</f>
        <v>595969</v>
      </c>
      <c r="H2420" s="27">
        <f>IFERROR(__xludf.DUMMYFUNCTION("""COMPUTED_VALUE"""),41939.645833333336)</f>
        <v>41939.64583</v>
      </c>
      <c r="I2420" s="25">
        <f>IFERROR(__xludf.DUMMYFUNCTION("""COMPUTED_VALUE"""),1259.5)</f>
        <v>1259.5</v>
      </c>
      <c r="J2420" s="25">
        <f>IFERROR(__xludf.DUMMYFUNCTION("""COMPUTED_VALUE"""),1259.85)</f>
        <v>1259.85</v>
      </c>
      <c r="K2420" s="25">
        <f>IFERROR(__xludf.DUMMYFUNCTION("""COMPUTED_VALUE"""),1222.47)</f>
        <v>1222.47</v>
      </c>
      <c r="L2420" s="25">
        <f>IFERROR(__xludf.DUMMYFUNCTION("""COMPUTED_VALUE"""),1228.57)</f>
        <v>1228.57</v>
      </c>
      <c r="M2420" s="25">
        <f>IFERROR(__xludf.DUMMYFUNCTION("""COMPUTED_VALUE"""),1398604.0)</f>
        <v>1398604</v>
      </c>
    </row>
    <row r="2421">
      <c r="A2421" s="26">
        <f>IFERROR(__xludf.DUMMYFUNCTION("""COMPUTED_VALUE"""),41940.645833333336)</f>
        <v>41940.64583</v>
      </c>
      <c r="B2421" s="9">
        <f>IFERROR(__xludf.DUMMYFUNCTION("""COMPUTED_VALUE"""),470.63)</f>
        <v>470.63</v>
      </c>
      <c r="C2421" s="9">
        <f>IFERROR(__xludf.DUMMYFUNCTION("""COMPUTED_VALUE"""),476.54)</f>
        <v>476.54</v>
      </c>
      <c r="D2421" s="9">
        <f>IFERROR(__xludf.DUMMYFUNCTION("""COMPUTED_VALUE"""),470.63)</f>
        <v>470.63</v>
      </c>
      <c r="E2421" s="9">
        <f>IFERROR(__xludf.DUMMYFUNCTION("""COMPUTED_VALUE"""),473.53)</f>
        <v>473.53</v>
      </c>
      <c r="F2421" s="9">
        <f>IFERROR(__xludf.DUMMYFUNCTION("""COMPUTED_VALUE"""),833296.0)</f>
        <v>833296</v>
      </c>
      <c r="H2421" s="27">
        <f>IFERROR(__xludf.DUMMYFUNCTION("""COMPUTED_VALUE"""),41940.645833333336)</f>
        <v>41940.64583</v>
      </c>
      <c r="I2421" s="25">
        <f>IFERROR(__xludf.DUMMYFUNCTION("""COMPUTED_VALUE"""),1242.45)</f>
        <v>1242.45</v>
      </c>
      <c r="J2421" s="25">
        <f>IFERROR(__xludf.DUMMYFUNCTION("""COMPUTED_VALUE"""),1242.45)</f>
        <v>1242.45</v>
      </c>
      <c r="K2421" s="25">
        <f>IFERROR(__xludf.DUMMYFUNCTION("""COMPUTED_VALUE"""),1226.72)</f>
        <v>1226.72</v>
      </c>
      <c r="L2421" s="25">
        <f>IFERROR(__xludf.DUMMYFUNCTION("""COMPUTED_VALUE"""),1239.3)</f>
        <v>1239.3</v>
      </c>
      <c r="M2421" s="25">
        <f>IFERROR(__xludf.DUMMYFUNCTION("""COMPUTED_VALUE"""),1144979.0)</f>
        <v>1144979</v>
      </c>
    </row>
    <row r="2422">
      <c r="A2422" s="26">
        <f>IFERROR(__xludf.DUMMYFUNCTION("""COMPUTED_VALUE"""),41941.645833333336)</f>
        <v>41941.64583</v>
      </c>
      <c r="B2422" s="9">
        <f>IFERROR(__xludf.DUMMYFUNCTION("""COMPUTED_VALUE"""),476.62)</f>
        <v>476.62</v>
      </c>
      <c r="C2422" s="9">
        <f>IFERROR(__xludf.DUMMYFUNCTION("""COMPUTED_VALUE"""),486.59)</f>
        <v>486.59</v>
      </c>
      <c r="D2422" s="9">
        <f>IFERROR(__xludf.DUMMYFUNCTION("""COMPUTED_VALUE"""),476.62)</f>
        <v>476.62</v>
      </c>
      <c r="E2422" s="9">
        <f>IFERROR(__xludf.DUMMYFUNCTION("""COMPUTED_VALUE"""),485.18)</f>
        <v>485.18</v>
      </c>
      <c r="F2422" s="9">
        <f>IFERROR(__xludf.DUMMYFUNCTION("""COMPUTED_VALUE"""),1028667.0)</f>
        <v>1028667</v>
      </c>
      <c r="H2422" s="27">
        <f>IFERROR(__xludf.DUMMYFUNCTION("""COMPUTED_VALUE"""),41941.645833333336)</f>
        <v>41941.64583</v>
      </c>
      <c r="I2422" s="25">
        <f>IFERROR(__xludf.DUMMYFUNCTION("""COMPUTED_VALUE"""),1237.5)</f>
        <v>1237.5</v>
      </c>
      <c r="J2422" s="25">
        <f>IFERROR(__xludf.DUMMYFUNCTION("""COMPUTED_VALUE"""),1257.0)</f>
        <v>1257</v>
      </c>
      <c r="K2422" s="25">
        <f>IFERROR(__xludf.DUMMYFUNCTION("""COMPUTED_VALUE"""),1236.5)</f>
        <v>1236.5</v>
      </c>
      <c r="L2422" s="25">
        <f>IFERROR(__xludf.DUMMYFUNCTION("""COMPUTED_VALUE"""),1253.03)</f>
        <v>1253.03</v>
      </c>
      <c r="M2422" s="25">
        <f>IFERROR(__xludf.DUMMYFUNCTION("""COMPUTED_VALUE"""),1212508.0)</f>
        <v>1212508</v>
      </c>
    </row>
    <row r="2423">
      <c r="A2423" s="26">
        <f>IFERROR(__xludf.DUMMYFUNCTION("""COMPUTED_VALUE"""),41942.645833333336)</f>
        <v>41942.64583</v>
      </c>
      <c r="B2423" s="9">
        <f>IFERROR(__xludf.DUMMYFUNCTION("""COMPUTED_VALUE"""),487.0)</f>
        <v>487</v>
      </c>
      <c r="C2423" s="9">
        <f>IFERROR(__xludf.DUMMYFUNCTION("""COMPUTED_VALUE"""),497.66)</f>
        <v>497.66</v>
      </c>
      <c r="D2423" s="9">
        <f>IFERROR(__xludf.DUMMYFUNCTION("""COMPUTED_VALUE"""),487.0)</f>
        <v>487</v>
      </c>
      <c r="E2423" s="9">
        <f>IFERROR(__xludf.DUMMYFUNCTION("""COMPUTED_VALUE"""),493.32)</f>
        <v>493.32</v>
      </c>
      <c r="F2423" s="9">
        <f>IFERROR(__xludf.DUMMYFUNCTION("""COMPUTED_VALUE"""),1905651.0)</f>
        <v>1905651</v>
      </c>
      <c r="H2423" s="27">
        <f>IFERROR(__xludf.DUMMYFUNCTION("""COMPUTED_VALUE"""),41942.645833333336)</f>
        <v>41942.64583</v>
      </c>
      <c r="I2423" s="25">
        <f>IFERROR(__xludf.DUMMYFUNCTION("""COMPUTED_VALUE"""),1260.9)</f>
        <v>1260.9</v>
      </c>
      <c r="J2423" s="25">
        <f>IFERROR(__xludf.DUMMYFUNCTION("""COMPUTED_VALUE"""),1287.45)</f>
        <v>1287.45</v>
      </c>
      <c r="K2423" s="25">
        <f>IFERROR(__xludf.DUMMYFUNCTION("""COMPUTED_VALUE"""),1254.5)</f>
        <v>1254.5</v>
      </c>
      <c r="L2423" s="25">
        <f>IFERROR(__xludf.DUMMYFUNCTION("""COMPUTED_VALUE"""),1279.1)</f>
        <v>1279.1</v>
      </c>
      <c r="M2423" s="25">
        <f>IFERROR(__xludf.DUMMYFUNCTION("""COMPUTED_VALUE"""),2055646.0)</f>
        <v>2055646</v>
      </c>
    </row>
    <row r="2424">
      <c r="A2424" s="26">
        <f>IFERROR(__xludf.DUMMYFUNCTION("""COMPUTED_VALUE"""),41943.645833333336)</f>
        <v>41943.64583</v>
      </c>
      <c r="B2424" s="9">
        <f>IFERROR(__xludf.DUMMYFUNCTION("""COMPUTED_VALUE"""),498.38)</f>
        <v>498.38</v>
      </c>
      <c r="C2424" s="9">
        <f>IFERROR(__xludf.DUMMYFUNCTION("""COMPUTED_VALUE"""),508.25)</f>
        <v>508.25</v>
      </c>
      <c r="D2424" s="9">
        <f>IFERROR(__xludf.DUMMYFUNCTION("""COMPUTED_VALUE"""),498.38)</f>
        <v>498.38</v>
      </c>
      <c r="E2424" s="9">
        <f>IFERROR(__xludf.DUMMYFUNCTION("""COMPUTED_VALUE"""),506.41)</f>
        <v>506.41</v>
      </c>
      <c r="F2424" s="9">
        <f>IFERROR(__xludf.DUMMYFUNCTION("""COMPUTED_VALUE"""),1083850.0)</f>
        <v>1083850</v>
      </c>
      <c r="H2424" s="27">
        <f>IFERROR(__xludf.DUMMYFUNCTION("""COMPUTED_VALUE"""),41943.645833333336)</f>
        <v>41943.64583</v>
      </c>
      <c r="I2424" s="25">
        <f>IFERROR(__xludf.DUMMYFUNCTION("""COMPUTED_VALUE"""),1280.5)</f>
        <v>1280.5</v>
      </c>
      <c r="J2424" s="25">
        <f>IFERROR(__xludf.DUMMYFUNCTION("""COMPUTED_VALUE"""),1310.0)</f>
        <v>1310</v>
      </c>
      <c r="K2424" s="25">
        <f>IFERROR(__xludf.DUMMYFUNCTION("""COMPUTED_VALUE"""),1280.5)</f>
        <v>1280.5</v>
      </c>
      <c r="L2424" s="25">
        <f>IFERROR(__xludf.DUMMYFUNCTION("""COMPUTED_VALUE"""),1303.93)</f>
        <v>1303.93</v>
      </c>
      <c r="M2424" s="25">
        <f>IFERROR(__xludf.DUMMYFUNCTION("""COMPUTED_VALUE"""),1585035.0)</f>
        <v>1585035</v>
      </c>
    </row>
    <row r="2425">
      <c r="A2425" s="26">
        <f>IFERROR(__xludf.DUMMYFUNCTION("""COMPUTED_VALUE"""),41946.645833333336)</f>
        <v>41946.64583</v>
      </c>
      <c r="B2425" s="9">
        <f>IFERROR(__xludf.DUMMYFUNCTION("""COMPUTED_VALUE"""),509.61)</f>
        <v>509.61</v>
      </c>
      <c r="C2425" s="9">
        <f>IFERROR(__xludf.DUMMYFUNCTION("""COMPUTED_VALUE"""),513.75)</f>
        <v>513.75</v>
      </c>
      <c r="D2425" s="9">
        <f>IFERROR(__xludf.DUMMYFUNCTION("""COMPUTED_VALUE"""),504.06)</f>
        <v>504.06</v>
      </c>
      <c r="E2425" s="9">
        <f>IFERROR(__xludf.DUMMYFUNCTION("""COMPUTED_VALUE"""),510.74)</f>
        <v>510.74</v>
      </c>
      <c r="F2425" s="9">
        <f>IFERROR(__xludf.DUMMYFUNCTION("""COMPUTED_VALUE"""),1072301.0)</f>
        <v>1072301</v>
      </c>
      <c r="H2425" s="27">
        <f>IFERROR(__xludf.DUMMYFUNCTION("""COMPUTED_VALUE"""),41946.645833333336)</f>
        <v>41946.64583</v>
      </c>
      <c r="I2425" s="25">
        <f>IFERROR(__xludf.DUMMYFUNCTION("""COMPUTED_VALUE"""),1324.5)</f>
        <v>1324.5</v>
      </c>
      <c r="J2425" s="25">
        <f>IFERROR(__xludf.DUMMYFUNCTION("""COMPUTED_VALUE"""),1324.5)</f>
        <v>1324.5</v>
      </c>
      <c r="K2425" s="25">
        <f>IFERROR(__xludf.DUMMYFUNCTION("""COMPUTED_VALUE"""),1290.25)</f>
        <v>1290.25</v>
      </c>
      <c r="L2425" s="25">
        <f>IFERROR(__xludf.DUMMYFUNCTION("""COMPUTED_VALUE"""),1295.18)</f>
        <v>1295.18</v>
      </c>
      <c r="M2425" s="25">
        <f>IFERROR(__xludf.DUMMYFUNCTION("""COMPUTED_VALUE"""),1270816.0)</f>
        <v>1270816</v>
      </c>
    </row>
    <row r="2426">
      <c r="A2426" s="26">
        <f>IFERROR(__xludf.DUMMYFUNCTION("""COMPUTED_VALUE"""),41948.645833333336)</f>
        <v>41948.64583</v>
      </c>
      <c r="B2426" s="9">
        <f>IFERROR(__xludf.DUMMYFUNCTION("""COMPUTED_VALUE"""),510.63)</f>
        <v>510.63</v>
      </c>
      <c r="C2426" s="9">
        <f>IFERROR(__xludf.DUMMYFUNCTION("""COMPUTED_VALUE"""),519.25)</f>
        <v>519.25</v>
      </c>
      <c r="D2426" s="9">
        <f>IFERROR(__xludf.DUMMYFUNCTION("""COMPUTED_VALUE"""),507.13)</f>
        <v>507.13</v>
      </c>
      <c r="E2426" s="9">
        <f>IFERROR(__xludf.DUMMYFUNCTION("""COMPUTED_VALUE"""),515.6)</f>
        <v>515.6</v>
      </c>
      <c r="F2426" s="9">
        <f>IFERROR(__xludf.DUMMYFUNCTION("""COMPUTED_VALUE"""),1280135.0)</f>
        <v>1280135</v>
      </c>
      <c r="H2426" s="27">
        <f>IFERROR(__xludf.DUMMYFUNCTION("""COMPUTED_VALUE"""),41948.645833333336)</f>
        <v>41948.64583</v>
      </c>
      <c r="I2426" s="25">
        <f>IFERROR(__xludf.DUMMYFUNCTION("""COMPUTED_VALUE"""),1319.0)</f>
        <v>1319</v>
      </c>
      <c r="J2426" s="25">
        <f>IFERROR(__xludf.DUMMYFUNCTION("""COMPUTED_VALUE"""),1319.0)</f>
        <v>1319</v>
      </c>
      <c r="K2426" s="25">
        <f>IFERROR(__xludf.DUMMYFUNCTION("""COMPUTED_VALUE"""),1295.0)</f>
        <v>1295</v>
      </c>
      <c r="L2426" s="25">
        <f>IFERROR(__xludf.DUMMYFUNCTION("""COMPUTED_VALUE"""),1299.75)</f>
        <v>1299.75</v>
      </c>
      <c r="M2426" s="25">
        <f>IFERROR(__xludf.DUMMYFUNCTION("""COMPUTED_VALUE"""),1155321.0)</f>
        <v>1155321</v>
      </c>
    </row>
    <row r="2427">
      <c r="A2427" s="26">
        <f>IFERROR(__xludf.DUMMYFUNCTION("""COMPUTED_VALUE"""),41950.645833333336)</f>
        <v>41950.64583</v>
      </c>
      <c r="B2427" s="9">
        <f>IFERROR(__xludf.DUMMYFUNCTION("""COMPUTED_VALUE"""),514.79)</f>
        <v>514.79</v>
      </c>
      <c r="C2427" s="9">
        <f>IFERROR(__xludf.DUMMYFUNCTION("""COMPUTED_VALUE"""),522.88)</f>
        <v>522.88</v>
      </c>
      <c r="D2427" s="9">
        <f>IFERROR(__xludf.DUMMYFUNCTION("""COMPUTED_VALUE"""),514.79)</f>
        <v>514.79</v>
      </c>
      <c r="E2427" s="9">
        <f>IFERROR(__xludf.DUMMYFUNCTION("""COMPUTED_VALUE"""),520.83)</f>
        <v>520.83</v>
      </c>
      <c r="F2427" s="9">
        <f>IFERROR(__xludf.DUMMYFUNCTION("""COMPUTED_VALUE"""),1246300.0)</f>
        <v>1246300</v>
      </c>
      <c r="H2427" s="27">
        <f>IFERROR(__xludf.DUMMYFUNCTION("""COMPUTED_VALUE"""),41950.645833333336)</f>
        <v>41950.64583</v>
      </c>
      <c r="I2427" s="25">
        <f>IFERROR(__xludf.DUMMYFUNCTION("""COMPUTED_VALUE"""),1302.4)</f>
        <v>1302.4</v>
      </c>
      <c r="J2427" s="25">
        <f>IFERROR(__xludf.DUMMYFUNCTION("""COMPUTED_VALUE"""),1307.85)</f>
        <v>1307.85</v>
      </c>
      <c r="K2427" s="25">
        <f>IFERROR(__xludf.DUMMYFUNCTION("""COMPUTED_VALUE"""),1278.5)</f>
        <v>1278.5</v>
      </c>
      <c r="L2427" s="25">
        <f>IFERROR(__xludf.DUMMYFUNCTION("""COMPUTED_VALUE"""),1286.43)</f>
        <v>1286.43</v>
      </c>
      <c r="M2427" s="25">
        <f>IFERROR(__xludf.DUMMYFUNCTION("""COMPUTED_VALUE"""),1063370.0)</f>
        <v>1063370</v>
      </c>
    </row>
    <row r="2428">
      <c r="A2428" s="26">
        <f>IFERROR(__xludf.DUMMYFUNCTION("""COMPUTED_VALUE"""),41953.64583333333)</f>
        <v>41953.64583</v>
      </c>
      <c r="B2428" s="9">
        <f>IFERROR(__xludf.DUMMYFUNCTION("""COMPUTED_VALUE"""),521.88)</f>
        <v>521.88</v>
      </c>
      <c r="C2428" s="9">
        <f>IFERROR(__xludf.DUMMYFUNCTION("""COMPUTED_VALUE"""),522.64)</f>
        <v>522.64</v>
      </c>
      <c r="D2428" s="9">
        <f>IFERROR(__xludf.DUMMYFUNCTION("""COMPUTED_VALUE"""),517.5)</f>
        <v>517.5</v>
      </c>
      <c r="E2428" s="9">
        <f>IFERROR(__xludf.DUMMYFUNCTION("""COMPUTED_VALUE"""),520.69)</f>
        <v>520.69</v>
      </c>
      <c r="F2428" s="9">
        <f>IFERROR(__xludf.DUMMYFUNCTION("""COMPUTED_VALUE"""),699271.0)</f>
        <v>699271</v>
      </c>
      <c r="H2428" s="27">
        <f>IFERROR(__xludf.DUMMYFUNCTION("""COMPUTED_VALUE"""),41953.64583333333)</f>
        <v>41953.64583</v>
      </c>
      <c r="I2428" s="25">
        <f>IFERROR(__xludf.DUMMYFUNCTION("""COMPUTED_VALUE"""),1287.55)</f>
        <v>1287.55</v>
      </c>
      <c r="J2428" s="25">
        <f>IFERROR(__xludf.DUMMYFUNCTION("""COMPUTED_VALUE"""),1291.0)</f>
        <v>1291</v>
      </c>
      <c r="K2428" s="25">
        <f>IFERROR(__xludf.DUMMYFUNCTION("""COMPUTED_VALUE"""),1275.5)</f>
        <v>1275.5</v>
      </c>
      <c r="L2428" s="25">
        <f>IFERROR(__xludf.DUMMYFUNCTION("""COMPUTED_VALUE"""),1284.82)</f>
        <v>1284.82</v>
      </c>
      <c r="M2428" s="25">
        <f>IFERROR(__xludf.DUMMYFUNCTION("""COMPUTED_VALUE"""),770982.0)</f>
        <v>770982</v>
      </c>
    </row>
    <row r="2429">
      <c r="A2429" s="26">
        <f>IFERROR(__xludf.DUMMYFUNCTION("""COMPUTED_VALUE"""),41954.64583333333)</f>
        <v>41954.64583</v>
      </c>
      <c r="B2429" s="9">
        <f>IFERROR(__xludf.DUMMYFUNCTION("""COMPUTED_VALUE"""),520.63)</f>
        <v>520.63</v>
      </c>
      <c r="C2429" s="9">
        <f>IFERROR(__xludf.DUMMYFUNCTION("""COMPUTED_VALUE"""),520.63)</f>
        <v>520.63</v>
      </c>
      <c r="D2429" s="9">
        <f>IFERROR(__xludf.DUMMYFUNCTION("""COMPUTED_VALUE"""),512.97)</f>
        <v>512.97</v>
      </c>
      <c r="E2429" s="9">
        <f>IFERROR(__xludf.DUMMYFUNCTION("""COMPUTED_VALUE"""),515.65)</f>
        <v>515.65</v>
      </c>
      <c r="F2429" s="9">
        <f>IFERROR(__xludf.DUMMYFUNCTION("""COMPUTED_VALUE"""),781886.0)</f>
        <v>781886</v>
      </c>
      <c r="H2429" s="27">
        <f>IFERROR(__xludf.DUMMYFUNCTION("""COMPUTED_VALUE"""),41954.64583333333)</f>
        <v>41954.64583</v>
      </c>
      <c r="I2429" s="25">
        <f>IFERROR(__xludf.DUMMYFUNCTION("""COMPUTED_VALUE"""),1289.0)</f>
        <v>1289</v>
      </c>
      <c r="J2429" s="25">
        <f>IFERROR(__xludf.DUMMYFUNCTION("""COMPUTED_VALUE"""),1297.0)</f>
        <v>1297</v>
      </c>
      <c r="K2429" s="25">
        <f>IFERROR(__xludf.DUMMYFUNCTION("""COMPUTED_VALUE"""),1277.7)</f>
        <v>1277.7</v>
      </c>
      <c r="L2429" s="25">
        <f>IFERROR(__xludf.DUMMYFUNCTION("""COMPUTED_VALUE"""),1290.35)</f>
        <v>1290.35</v>
      </c>
      <c r="M2429" s="25">
        <f>IFERROR(__xludf.DUMMYFUNCTION("""COMPUTED_VALUE"""),624970.0)</f>
        <v>624970</v>
      </c>
    </row>
    <row r="2430">
      <c r="A2430" s="26">
        <f>IFERROR(__xludf.DUMMYFUNCTION("""COMPUTED_VALUE"""),41955.64583333333)</f>
        <v>41955.64583</v>
      </c>
      <c r="B2430" s="9">
        <f>IFERROR(__xludf.DUMMYFUNCTION("""COMPUTED_VALUE"""),515.13)</f>
        <v>515.13</v>
      </c>
      <c r="C2430" s="9">
        <f>IFERROR(__xludf.DUMMYFUNCTION("""COMPUTED_VALUE"""),518.84)</f>
        <v>518.84</v>
      </c>
      <c r="D2430" s="9">
        <f>IFERROR(__xludf.DUMMYFUNCTION("""COMPUTED_VALUE"""),512.14)</f>
        <v>512.14</v>
      </c>
      <c r="E2430" s="9">
        <f>IFERROR(__xludf.DUMMYFUNCTION("""COMPUTED_VALUE"""),513.25)</f>
        <v>513.25</v>
      </c>
      <c r="F2430" s="9">
        <f>IFERROR(__xludf.DUMMYFUNCTION("""COMPUTED_VALUE"""),674112.0)</f>
        <v>674112</v>
      </c>
      <c r="H2430" s="27">
        <f>IFERROR(__xludf.DUMMYFUNCTION("""COMPUTED_VALUE"""),41955.64583333333)</f>
        <v>41955.64583</v>
      </c>
      <c r="I2430" s="25">
        <f>IFERROR(__xludf.DUMMYFUNCTION("""COMPUTED_VALUE"""),1290.0)</f>
        <v>1290</v>
      </c>
      <c r="J2430" s="25">
        <f>IFERROR(__xludf.DUMMYFUNCTION("""COMPUTED_VALUE"""),1305.5)</f>
        <v>1305.5</v>
      </c>
      <c r="K2430" s="25">
        <f>IFERROR(__xludf.DUMMYFUNCTION("""COMPUTED_VALUE"""),1287.5)</f>
        <v>1287.5</v>
      </c>
      <c r="L2430" s="25">
        <f>IFERROR(__xludf.DUMMYFUNCTION("""COMPUTED_VALUE"""),1295.88)</f>
        <v>1295.88</v>
      </c>
      <c r="M2430" s="25">
        <f>IFERROR(__xludf.DUMMYFUNCTION("""COMPUTED_VALUE"""),660291.0)</f>
        <v>660291</v>
      </c>
    </row>
    <row r="2431">
      <c r="A2431" s="26">
        <f>IFERROR(__xludf.DUMMYFUNCTION("""COMPUTED_VALUE"""),41956.64583333333)</f>
        <v>41956.64583</v>
      </c>
      <c r="B2431" s="9">
        <f>IFERROR(__xludf.DUMMYFUNCTION("""COMPUTED_VALUE"""),515.25)</f>
        <v>515.25</v>
      </c>
      <c r="C2431" s="9">
        <f>IFERROR(__xludf.DUMMYFUNCTION("""COMPUTED_VALUE"""),525.13)</f>
        <v>525.13</v>
      </c>
      <c r="D2431" s="9">
        <f>IFERROR(__xludf.DUMMYFUNCTION("""COMPUTED_VALUE"""),514.05)</f>
        <v>514.05</v>
      </c>
      <c r="E2431" s="9">
        <f>IFERROR(__xludf.DUMMYFUNCTION("""COMPUTED_VALUE"""),522.33)</f>
        <v>522.33</v>
      </c>
      <c r="F2431" s="9">
        <f>IFERROR(__xludf.DUMMYFUNCTION("""COMPUTED_VALUE"""),619585.0)</f>
        <v>619585</v>
      </c>
      <c r="H2431" s="27">
        <f>IFERROR(__xludf.DUMMYFUNCTION("""COMPUTED_VALUE"""),41956.64583333333)</f>
        <v>41956.64583</v>
      </c>
      <c r="I2431" s="25">
        <f>IFERROR(__xludf.DUMMYFUNCTION("""COMPUTED_VALUE"""),1297.5)</f>
        <v>1297.5</v>
      </c>
      <c r="J2431" s="25">
        <f>IFERROR(__xludf.DUMMYFUNCTION("""COMPUTED_VALUE"""),1302.45)</f>
        <v>1302.45</v>
      </c>
      <c r="K2431" s="25">
        <f>IFERROR(__xludf.DUMMYFUNCTION("""COMPUTED_VALUE"""),1282.57)</f>
        <v>1282.57</v>
      </c>
      <c r="L2431" s="25">
        <f>IFERROR(__xludf.DUMMYFUNCTION("""COMPUTED_VALUE"""),1294.22)</f>
        <v>1294.22</v>
      </c>
      <c r="M2431" s="25">
        <f>IFERROR(__xludf.DUMMYFUNCTION("""COMPUTED_VALUE"""),822770.0)</f>
        <v>822770</v>
      </c>
    </row>
    <row r="2432">
      <c r="A2432" s="26">
        <f>IFERROR(__xludf.DUMMYFUNCTION("""COMPUTED_VALUE"""),41957.64583333333)</f>
        <v>41957.64583</v>
      </c>
      <c r="B2432" s="9">
        <f>IFERROR(__xludf.DUMMYFUNCTION("""COMPUTED_VALUE"""),524.25)</f>
        <v>524.25</v>
      </c>
      <c r="C2432" s="9">
        <f>IFERROR(__xludf.DUMMYFUNCTION("""COMPUTED_VALUE"""),526.43)</f>
        <v>526.43</v>
      </c>
      <c r="D2432" s="9">
        <f>IFERROR(__xludf.DUMMYFUNCTION("""COMPUTED_VALUE"""),521.75)</f>
        <v>521.75</v>
      </c>
      <c r="E2432" s="9">
        <f>IFERROR(__xludf.DUMMYFUNCTION("""COMPUTED_VALUE"""),523.96)</f>
        <v>523.96</v>
      </c>
      <c r="F2432" s="9">
        <f>IFERROR(__xludf.DUMMYFUNCTION("""COMPUTED_VALUE"""),654147.0)</f>
        <v>654147</v>
      </c>
      <c r="H2432" s="27">
        <f>IFERROR(__xludf.DUMMYFUNCTION("""COMPUTED_VALUE"""),41957.64583333333)</f>
        <v>41957.64583</v>
      </c>
      <c r="I2432" s="25">
        <f>IFERROR(__xludf.DUMMYFUNCTION("""COMPUTED_VALUE"""),1292.6)</f>
        <v>1292.6</v>
      </c>
      <c r="J2432" s="25">
        <f>IFERROR(__xludf.DUMMYFUNCTION("""COMPUTED_VALUE"""),1305.57)</f>
        <v>1305.57</v>
      </c>
      <c r="K2432" s="25">
        <f>IFERROR(__xludf.DUMMYFUNCTION("""COMPUTED_VALUE"""),1287.5)</f>
        <v>1287.5</v>
      </c>
      <c r="L2432" s="25">
        <f>IFERROR(__xludf.DUMMYFUNCTION("""COMPUTED_VALUE"""),1303.22)</f>
        <v>1303.22</v>
      </c>
      <c r="M2432" s="25">
        <f>IFERROR(__xludf.DUMMYFUNCTION("""COMPUTED_VALUE"""),728587.0)</f>
        <v>728587</v>
      </c>
    </row>
    <row r="2433">
      <c r="A2433" s="26">
        <f>IFERROR(__xludf.DUMMYFUNCTION("""COMPUTED_VALUE"""),41960.64583333333)</f>
        <v>41960.64583</v>
      </c>
      <c r="B2433" s="9">
        <f>IFERROR(__xludf.DUMMYFUNCTION("""COMPUTED_VALUE"""),523.13)</f>
        <v>523.13</v>
      </c>
      <c r="C2433" s="9">
        <f>IFERROR(__xludf.DUMMYFUNCTION("""COMPUTED_VALUE"""),528.49)</f>
        <v>528.49</v>
      </c>
      <c r="D2433" s="9">
        <f>IFERROR(__xludf.DUMMYFUNCTION("""COMPUTED_VALUE"""),518.51)</f>
        <v>518.51</v>
      </c>
      <c r="E2433" s="9">
        <f>IFERROR(__xludf.DUMMYFUNCTION("""COMPUTED_VALUE"""),527.31)</f>
        <v>527.31</v>
      </c>
      <c r="F2433" s="9">
        <f>IFERROR(__xludf.DUMMYFUNCTION("""COMPUTED_VALUE"""),682273.0)</f>
        <v>682273</v>
      </c>
      <c r="H2433" s="27">
        <f>IFERROR(__xludf.DUMMYFUNCTION("""COMPUTED_VALUE"""),41960.64583333333)</f>
        <v>41960.64583</v>
      </c>
      <c r="I2433" s="25">
        <f>IFERROR(__xludf.DUMMYFUNCTION("""COMPUTED_VALUE"""),1297.55)</f>
        <v>1297.55</v>
      </c>
      <c r="J2433" s="25">
        <f>IFERROR(__xludf.DUMMYFUNCTION("""COMPUTED_VALUE"""),1312.5)</f>
        <v>1312.5</v>
      </c>
      <c r="K2433" s="25">
        <f>IFERROR(__xludf.DUMMYFUNCTION("""COMPUTED_VALUE"""),1296.13)</f>
        <v>1296.13</v>
      </c>
      <c r="L2433" s="25">
        <f>IFERROR(__xludf.DUMMYFUNCTION("""COMPUTED_VALUE"""),1309.15)</f>
        <v>1309.15</v>
      </c>
      <c r="M2433" s="25">
        <f>IFERROR(__xludf.DUMMYFUNCTION("""COMPUTED_VALUE"""),785276.0)</f>
        <v>785276</v>
      </c>
    </row>
    <row r="2434">
      <c r="A2434" s="26">
        <f>IFERROR(__xludf.DUMMYFUNCTION("""COMPUTED_VALUE"""),41961.64583333333)</f>
        <v>41961.64583</v>
      </c>
      <c r="B2434" s="9">
        <f>IFERROR(__xludf.DUMMYFUNCTION("""COMPUTED_VALUE"""),528.13)</f>
        <v>528.13</v>
      </c>
      <c r="C2434" s="9">
        <f>IFERROR(__xludf.DUMMYFUNCTION("""COMPUTED_VALUE"""),528.47)</f>
        <v>528.47</v>
      </c>
      <c r="D2434" s="9">
        <f>IFERROR(__xludf.DUMMYFUNCTION("""COMPUTED_VALUE"""),521.51)</f>
        <v>521.51</v>
      </c>
      <c r="E2434" s="9">
        <f>IFERROR(__xludf.DUMMYFUNCTION("""COMPUTED_VALUE"""),522.79)</f>
        <v>522.79</v>
      </c>
      <c r="F2434" s="9">
        <f>IFERROR(__xludf.DUMMYFUNCTION("""COMPUTED_VALUE"""),658390.0)</f>
        <v>658390</v>
      </c>
      <c r="H2434" s="27">
        <f>IFERROR(__xludf.DUMMYFUNCTION("""COMPUTED_VALUE"""),41961.64583333333)</f>
        <v>41961.64583</v>
      </c>
      <c r="I2434" s="25">
        <f>IFERROR(__xludf.DUMMYFUNCTION("""COMPUTED_VALUE"""),1310.0)</f>
        <v>1310</v>
      </c>
      <c r="J2434" s="25">
        <f>IFERROR(__xludf.DUMMYFUNCTION("""COMPUTED_VALUE"""),1313.32)</f>
        <v>1313.32</v>
      </c>
      <c r="K2434" s="25">
        <f>IFERROR(__xludf.DUMMYFUNCTION("""COMPUTED_VALUE"""),1289.88)</f>
        <v>1289.88</v>
      </c>
      <c r="L2434" s="25">
        <f>IFERROR(__xludf.DUMMYFUNCTION("""COMPUTED_VALUE"""),1292.93)</f>
        <v>1292.93</v>
      </c>
      <c r="M2434" s="25">
        <f>IFERROR(__xludf.DUMMYFUNCTION("""COMPUTED_VALUE"""),733513.0)</f>
        <v>733513</v>
      </c>
    </row>
    <row r="2435">
      <c r="A2435" s="26">
        <f>IFERROR(__xludf.DUMMYFUNCTION("""COMPUTED_VALUE"""),41962.64583333333)</f>
        <v>41962.64583</v>
      </c>
      <c r="B2435" s="9">
        <f>IFERROR(__xludf.DUMMYFUNCTION("""COMPUTED_VALUE"""),522.5)</f>
        <v>522.5</v>
      </c>
      <c r="C2435" s="9">
        <f>IFERROR(__xludf.DUMMYFUNCTION("""COMPUTED_VALUE"""),523.74)</f>
        <v>523.74</v>
      </c>
      <c r="D2435" s="9">
        <f>IFERROR(__xludf.DUMMYFUNCTION("""COMPUTED_VALUE"""),517.47)</f>
        <v>517.47</v>
      </c>
      <c r="E2435" s="9">
        <f>IFERROR(__xludf.DUMMYFUNCTION("""COMPUTED_VALUE"""),521.67)</f>
        <v>521.67</v>
      </c>
      <c r="F2435" s="9">
        <f>IFERROR(__xludf.DUMMYFUNCTION("""COMPUTED_VALUE"""),650140.0)</f>
        <v>650140</v>
      </c>
      <c r="H2435" s="27">
        <f>IFERROR(__xludf.DUMMYFUNCTION("""COMPUTED_VALUE"""),41962.64583333333)</f>
        <v>41962.64583</v>
      </c>
      <c r="I2435" s="25">
        <f>IFERROR(__xludf.DUMMYFUNCTION("""COMPUTED_VALUE"""),1299.0)</f>
        <v>1299</v>
      </c>
      <c r="J2435" s="25">
        <f>IFERROR(__xludf.DUMMYFUNCTION("""COMPUTED_VALUE"""),1299.0)</f>
        <v>1299</v>
      </c>
      <c r="K2435" s="25">
        <f>IFERROR(__xludf.DUMMYFUNCTION("""COMPUTED_VALUE"""),1278.72)</f>
        <v>1278.72</v>
      </c>
      <c r="L2435" s="25">
        <f>IFERROR(__xludf.DUMMYFUNCTION("""COMPUTED_VALUE"""),1286.88)</f>
        <v>1286.88</v>
      </c>
      <c r="M2435" s="25">
        <f>IFERROR(__xludf.DUMMYFUNCTION("""COMPUTED_VALUE"""),932873.0)</f>
        <v>932873</v>
      </c>
    </row>
    <row r="2436">
      <c r="A2436" s="26">
        <f>IFERROR(__xludf.DUMMYFUNCTION("""COMPUTED_VALUE"""),41963.64583333333)</f>
        <v>41963.64583</v>
      </c>
      <c r="B2436" s="9">
        <f>IFERROR(__xludf.DUMMYFUNCTION("""COMPUTED_VALUE"""),523.75)</f>
        <v>523.75</v>
      </c>
      <c r="C2436" s="9">
        <f>IFERROR(__xludf.DUMMYFUNCTION("""COMPUTED_VALUE"""),529.06)</f>
        <v>529.06</v>
      </c>
      <c r="D2436" s="9">
        <f>IFERROR(__xludf.DUMMYFUNCTION("""COMPUTED_VALUE"""),522.98)</f>
        <v>522.98</v>
      </c>
      <c r="E2436" s="9">
        <f>IFERROR(__xludf.DUMMYFUNCTION("""COMPUTED_VALUE"""),528.2)</f>
        <v>528.2</v>
      </c>
      <c r="F2436" s="9">
        <f>IFERROR(__xludf.DUMMYFUNCTION("""COMPUTED_VALUE"""),668491.0)</f>
        <v>668491</v>
      </c>
      <c r="H2436" s="27">
        <f>IFERROR(__xludf.DUMMYFUNCTION("""COMPUTED_VALUE"""),41963.64583333333)</f>
        <v>41963.64583</v>
      </c>
      <c r="I2436" s="25">
        <f>IFERROR(__xludf.DUMMYFUNCTION("""COMPUTED_VALUE"""),1294.0)</f>
        <v>1294</v>
      </c>
      <c r="J2436" s="25">
        <f>IFERROR(__xludf.DUMMYFUNCTION("""COMPUTED_VALUE"""),1305.13)</f>
        <v>1305.13</v>
      </c>
      <c r="K2436" s="25">
        <f>IFERROR(__xludf.DUMMYFUNCTION("""COMPUTED_VALUE"""),1280.28)</f>
        <v>1280.28</v>
      </c>
      <c r="L2436" s="25">
        <f>IFERROR(__xludf.DUMMYFUNCTION("""COMPUTED_VALUE"""),1302.72)</f>
        <v>1302.72</v>
      </c>
      <c r="M2436" s="25">
        <f>IFERROR(__xludf.DUMMYFUNCTION("""COMPUTED_VALUE"""),897693.0)</f>
        <v>897693</v>
      </c>
    </row>
    <row r="2437">
      <c r="A2437" s="26">
        <f>IFERROR(__xludf.DUMMYFUNCTION("""COMPUTED_VALUE"""),41964.64583333333)</f>
        <v>41964.64583</v>
      </c>
      <c r="B2437" s="9">
        <f>IFERROR(__xludf.DUMMYFUNCTION("""COMPUTED_VALUE"""),521.25)</f>
        <v>521.25</v>
      </c>
      <c r="C2437" s="9">
        <f>IFERROR(__xludf.DUMMYFUNCTION("""COMPUTED_VALUE"""),522.38)</f>
        <v>522.38</v>
      </c>
      <c r="D2437" s="9">
        <f>IFERROR(__xludf.DUMMYFUNCTION("""COMPUTED_VALUE"""),512.7)</f>
        <v>512.7</v>
      </c>
      <c r="E2437" s="9">
        <f>IFERROR(__xludf.DUMMYFUNCTION("""COMPUTED_VALUE"""),518.27)</f>
        <v>518.27</v>
      </c>
      <c r="F2437" s="9">
        <f>IFERROR(__xludf.DUMMYFUNCTION("""COMPUTED_VALUE"""),1307909.0)</f>
        <v>1307909</v>
      </c>
      <c r="H2437" s="27">
        <f>IFERROR(__xludf.DUMMYFUNCTION("""COMPUTED_VALUE"""),41964.64583333333)</f>
        <v>41964.64583</v>
      </c>
      <c r="I2437" s="25">
        <f>IFERROR(__xludf.DUMMYFUNCTION("""COMPUTED_VALUE"""),1304.0)</f>
        <v>1304</v>
      </c>
      <c r="J2437" s="25">
        <f>IFERROR(__xludf.DUMMYFUNCTION("""COMPUTED_VALUE"""),1320.0)</f>
        <v>1320</v>
      </c>
      <c r="K2437" s="25">
        <f>IFERROR(__xludf.DUMMYFUNCTION("""COMPUTED_VALUE"""),1293.32)</f>
        <v>1293.32</v>
      </c>
      <c r="L2437" s="25">
        <f>IFERROR(__xludf.DUMMYFUNCTION("""COMPUTED_VALUE"""),1311.07)</f>
        <v>1311.07</v>
      </c>
      <c r="M2437" s="25">
        <f>IFERROR(__xludf.DUMMYFUNCTION("""COMPUTED_VALUE"""),1000797.0)</f>
        <v>1000797</v>
      </c>
    </row>
    <row r="2438">
      <c r="A2438" s="26">
        <f>IFERROR(__xludf.DUMMYFUNCTION("""COMPUTED_VALUE"""),41967.64583333333)</f>
        <v>41967.64583</v>
      </c>
      <c r="B2438" s="9">
        <f>IFERROR(__xludf.DUMMYFUNCTION("""COMPUTED_VALUE"""),525.0)</f>
        <v>525</v>
      </c>
      <c r="C2438" s="9">
        <f>IFERROR(__xludf.DUMMYFUNCTION("""COMPUTED_VALUE"""),535.21)</f>
        <v>535.21</v>
      </c>
      <c r="D2438" s="9">
        <f>IFERROR(__xludf.DUMMYFUNCTION("""COMPUTED_VALUE"""),523.99)</f>
        <v>523.99</v>
      </c>
      <c r="E2438" s="9">
        <f>IFERROR(__xludf.DUMMYFUNCTION("""COMPUTED_VALUE"""),534.39)</f>
        <v>534.39</v>
      </c>
      <c r="F2438" s="9">
        <f>IFERROR(__xludf.DUMMYFUNCTION("""COMPUTED_VALUE"""),1380930.0)</f>
        <v>1380930</v>
      </c>
      <c r="H2438" s="27">
        <f>IFERROR(__xludf.DUMMYFUNCTION("""COMPUTED_VALUE"""),41967.64583333333)</f>
        <v>41967.64583</v>
      </c>
      <c r="I2438" s="25">
        <f>IFERROR(__xludf.DUMMYFUNCTION("""COMPUTED_VALUE"""),1311.0)</f>
        <v>1311</v>
      </c>
      <c r="J2438" s="25">
        <f>IFERROR(__xludf.DUMMYFUNCTION("""COMPUTED_VALUE"""),1332.5)</f>
        <v>1332.5</v>
      </c>
      <c r="K2438" s="25">
        <f>IFERROR(__xludf.DUMMYFUNCTION("""COMPUTED_VALUE"""),1311.0)</f>
        <v>1311</v>
      </c>
      <c r="L2438" s="25">
        <f>IFERROR(__xludf.DUMMYFUNCTION("""COMPUTED_VALUE"""),1328.85)</f>
        <v>1328.85</v>
      </c>
      <c r="M2438" s="25">
        <f>IFERROR(__xludf.DUMMYFUNCTION("""COMPUTED_VALUE"""),971383.0)</f>
        <v>971383</v>
      </c>
    </row>
    <row r="2439">
      <c r="A2439" s="26">
        <f>IFERROR(__xludf.DUMMYFUNCTION("""COMPUTED_VALUE"""),41968.64583333333)</f>
        <v>41968.64583</v>
      </c>
      <c r="B2439" s="9">
        <f>IFERROR(__xludf.DUMMYFUNCTION("""COMPUTED_VALUE"""),536.88)</f>
        <v>536.88</v>
      </c>
      <c r="C2439" s="9">
        <f>IFERROR(__xludf.DUMMYFUNCTION("""COMPUTED_VALUE"""),539.99)</f>
        <v>539.99</v>
      </c>
      <c r="D2439" s="9">
        <f>IFERROR(__xludf.DUMMYFUNCTION("""COMPUTED_VALUE"""),530.75)</f>
        <v>530.75</v>
      </c>
      <c r="E2439" s="9">
        <f>IFERROR(__xludf.DUMMYFUNCTION("""COMPUTED_VALUE"""),537.9)</f>
        <v>537.9</v>
      </c>
      <c r="F2439" s="9">
        <f>IFERROR(__xludf.DUMMYFUNCTION("""COMPUTED_VALUE"""),1860822.0)</f>
        <v>1860822</v>
      </c>
      <c r="H2439" s="27">
        <f>IFERROR(__xludf.DUMMYFUNCTION("""COMPUTED_VALUE"""),41968.64583333333)</f>
        <v>41968.64583</v>
      </c>
      <c r="I2439" s="25">
        <f>IFERROR(__xludf.DUMMYFUNCTION("""COMPUTED_VALUE"""),1330.0)</f>
        <v>1330</v>
      </c>
      <c r="J2439" s="25">
        <f>IFERROR(__xludf.DUMMYFUNCTION("""COMPUTED_VALUE"""),1339.7)</f>
        <v>1339.7</v>
      </c>
      <c r="K2439" s="25">
        <f>IFERROR(__xludf.DUMMYFUNCTION("""COMPUTED_VALUE"""),1308.0)</f>
        <v>1308</v>
      </c>
      <c r="L2439" s="25">
        <f>IFERROR(__xludf.DUMMYFUNCTION("""COMPUTED_VALUE"""),1318.0)</f>
        <v>1318</v>
      </c>
      <c r="M2439" s="25">
        <f>IFERROR(__xludf.DUMMYFUNCTION("""COMPUTED_VALUE"""),1185842.0)</f>
        <v>1185842</v>
      </c>
    </row>
    <row r="2440">
      <c r="A2440" s="26">
        <f>IFERROR(__xludf.DUMMYFUNCTION("""COMPUTED_VALUE"""),41969.64583333333)</f>
        <v>41969.64583</v>
      </c>
      <c r="B2440" s="9">
        <f>IFERROR(__xludf.DUMMYFUNCTION("""COMPUTED_VALUE"""),537.5)</f>
        <v>537.5</v>
      </c>
      <c r="C2440" s="9">
        <f>IFERROR(__xludf.DUMMYFUNCTION("""COMPUTED_VALUE"""),539.71)</f>
        <v>539.71</v>
      </c>
      <c r="D2440" s="9">
        <f>IFERROR(__xludf.DUMMYFUNCTION("""COMPUTED_VALUE"""),533.95)</f>
        <v>533.95</v>
      </c>
      <c r="E2440" s="9">
        <f>IFERROR(__xludf.DUMMYFUNCTION("""COMPUTED_VALUE"""),537.56)</f>
        <v>537.56</v>
      </c>
      <c r="F2440" s="9">
        <f>IFERROR(__xludf.DUMMYFUNCTION("""COMPUTED_VALUE"""),991350.0)</f>
        <v>991350</v>
      </c>
      <c r="H2440" s="27">
        <f>IFERROR(__xludf.DUMMYFUNCTION("""COMPUTED_VALUE"""),41969.64583333333)</f>
        <v>41969.64583</v>
      </c>
      <c r="I2440" s="25">
        <f>IFERROR(__xludf.DUMMYFUNCTION("""COMPUTED_VALUE"""),1315.03)</f>
        <v>1315.03</v>
      </c>
      <c r="J2440" s="25">
        <f>IFERROR(__xludf.DUMMYFUNCTION("""COMPUTED_VALUE"""),1328.18)</f>
        <v>1328.18</v>
      </c>
      <c r="K2440" s="25">
        <f>IFERROR(__xludf.DUMMYFUNCTION("""COMPUTED_VALUE"""),1307.5)</f>
        <v>1307.5</v>
      </c>
      <c r="L2440" s="25">
        <f>IFERROR(__xludf.DUMMYFUNCTION("""COMPUTED_VALUE"""),1313.65)</f>
        <v>1313.65</v>
      </c>
      <c r="M2440" s="25">
        <f>IFERROR(__xludf.DUMMYFUNCTION("""COMPUTED_VALUE"""),792400.0)</f>
        <v>792400</v>
      </c>
    </row>
    <row r="2441">
      <c r="A2441" s="26">
        <f>IFERROR(__xludf.DUMMYFUNCTION("""COMPUTED_VALUE"""),41970.64583333333)</f>
        <v>41970.64583</v>
      </c>
      <c r="B2441" s="9">
        <f>IFERROR(__xludf.DUMMYFUNCTION("""COMPUTED_VALUE"""),540.24)</f>
        <v>540.24</v>
      </c>
      <c r="C2441" s="9">
        <f>IFERROR(__xludf.DUMMYFUNCTION("""COMPUTED_VALUE"""),547.05)</f>
        <v>547.05</v>
      </c>
      <c r="D2441" s="9">
        <f>IFERROR(__xludf.DUMMYFUNCTION("""COMPUTED_VALUE"""),539.0)</f>
        <v>539</v>
      </c>
      <c r="E2441" s="9">
        <f>IFERROR(__xludf.DUMMYFUNCTION("""COMPUTED_VALUE"""),545.74)</f>
        <v>545.74</v>
      </c>
      <c r="F2441" s="9">
        <f>IFERROR(__xludf.DUMMYFUNCTION("""COMPUTED_VALUE"""),2173629.0)</f>
        <v>2173629</v>
      </c>
      <c r="H2441" s="27">
        <f>IFERROR(__xludf.DUMMYFUNCTION("""COMPUTED_VALUE"""),41970.64583333333)</f>
        <v>41970.64583</v>
      </c>
      <c r="I2441" s="25">
        <f>IFERROR(__xludf.DUMMYFUNCTION("""COMPUTED_VALUE"""),1313.65)</f>
        <v>1313.65</v>
      </c>
      <c r="J2441" s="25">
        <f>IFERROR(__xludf.DUMMYFUNCTION("""COMPUTED_VALUE"""),1334.0)</f>
        <v>1334</v>
      </c>
      <c r="K2441" s="25">
        <f>IFERROR(__xludf.DUMMYFUNCTION("""COMPUTED_VALUE"""),1312.65)</f>
        <v>1312.65</v>
      </c>
      <c r="L2441" s="25">
        <f>IFERROR(__xludf.DUMMYFUNCTION("""COMPUTED_VALUE"""),1326.65)</f>
        <v>1326.65</v>
      </c>
      <c r="M2441" s="25">
        <f>IFERROR(__xludf.DUMMYFUNCTION("""COMPUTED_VALUE"""),866209.0)</f>
        <v>866209</v>
      </c>
    </row>
    <row r="2442">
      <c r="A2442" s="26">
        <f>IFERROR(__xludf.DUMMYFUNCTION("""COMPUTED_VALUE"""),41971.64583333333)</f>
        <v>41971.64583</v>
      </c>
      <c r="B2442" s="9">
        <f>IFERROR(__xludf.DUMMYFUNCTION("""COMPUTED_VALUE"""),546.26)</f>
        <v>546.26</v>
      </c>
      <c r="C2442" s="9">
        <f>IFERROR(__xludf.DUMMYFUNCTION("""COMPUTED_VALUE"""),549.75)</f>
        <v>549.75</v>
      </c>
      <c r="D2442" s="9">
        <f>IFERROR(__xludf.DUMMYFUNCTION("""COMPUTED_VALUE"""),542.92)</f>
        <v>542.92</v>
      </c>
      <c r="E2442" s="9">
        <f>IFERROR(__xludf.DUMMYFUNCTION("""COMPUTED_VALUE"""),544.98)</f>
        <v>544.98</v>
      </c>
      <c r="F2442" s="9">
        <f>IFERROR(__xludf.DUMMYFUNCTION("""COMPUTED_VALUE"""),1793408.0)</f>
        <v>1793408</v>
      </c>
      <c r="H2442" s="27">
        <f>IFERROR(__xludf.DUMMYFUNCTION("""COMPUTED_VALUE"""),41971.64583333333)</f>
        <v>41971.64583</v>
      </c>
      <c r="I2442" s="25">
        <f>IFERROR(__xludf.DUMMYFUNCTION("""COMPUTED_VALUE"""),1329.18)</f>
        <v>1329.18</v>
      </c>
      <c r="J2442" s="25">
        <f>IFERROR(__xludf.DUMMYFUNCTION("""COMPUTED_VALUE"""),1345.95)</f>
        <v>1345.95</v>
      </c>
      <c r="K2442" s="25">
        <f>IFERROR(__xludf.DUMMYFUNCTION("""COMPUTED_VALUE"""),1317.68)</f>
        <v>1317.68</v>
      </c>
      <c r="L2442" s="25">
        <f>IFERROR(__xludf.DUMMYFUNCTION("""COMPUTED_VALUE"""),1321.5)</f>
        <v>1321.5</v>
      </c>
      <c r="M2442" s="25">
        <f>IFERROR(__xludf.DUMMYFUNCTION("""COMPUTED_VALUE"""),994884.0)</f>
        <v>994884</v>
      </c>
    </row>
    <row r="2443">
      <c r="A2443" s="26">
        <f>IFERROR(__xludf.DUMMYFUNCTION("""COMPUTED_VALUE"""),41974.64583333333)</f>
        <v>41974.64583</v>
      </c>
      <c r="B2443" s="9">
        <f>IFERROR(__xludf.DUMMYFUNCTION("""COMPUTED_VALUE"""),548.38)</f>
        <v>548.38</v>
      </c>
      <c r="C2443" s="9">
        <f>IFERROR(__xludf.DUMMYFUNCTION("""COMPUTED_VALUE"""),550.28)</f>
        <v>550.28</v>
      </c>
      <c r="D2443" s="9">
        <f>IFERROR(__xludf.DUMMYFUNCTION("""COMPUTED_VALUE"""),536.58)</f>
        <v>536.58</v>
      </c>
      <c r="E2443" s="9">
        <f>IFERROR(__xludf.DUMMYFUNCTION("""COMPUTED_VALUE"""),543.73)</f>
        <v>543.73</v>
      </c>
      <c r="F2443" s="9">
        <f>IFERROR(__xludf.DUMMYFUNCTION("""COMPUTED_VALUE"""),2292733.0)</f>
        <v>2292733</v>
      </c>
      <c r="H2443" s="27">
        <f>IFERROR(__xludf.DUMMYFUNCTION("""COMPUTED_VALUE"""),41974.64583333333)</f>
        <v>41974.64583</v>
      </c>
      <c r="I2443" s="25">
        <f>IFERROR(__xludf.DUMMYFUNCTION("""COMPUTED_VALUE"""),1325.25)</f>
        <v>1325.25</v>
      </c>
      <c r="J2443" s="25">
        <f>IFERROR(__xludf.DUMMYFUNCTION("""COMPUTED_VALUE"""),1350.0)</f>
        <v>1350</v>
      </c>
      <c r="K2443" s="25">
        <f>IFERROR(__xludf.DUMMYFUNCTION("""COMPUTED_VALUE"""),1322.63)</f>
        <v>1322.63</v>
      </c>
      <c r="L2443" s="25">
        <f>IFERROR(__xludf.DUMMYFUNCTION("""COMPUTED_VALUE"""),1346.48)</f>
        <v>1346.48</v>
      </c>
      <c r="M2443" s="25">
        <f>IFERROR(__xludf.DUMMYFUNCTION("""COMPUTED_VALUE"""),948177.0)</f>
        <v>948177</v>
      </c>
    </row>
    <row r="2444">
      <c r="A2444" s="26">
        <f>IFERROR(__xludf.DUMMYFUNCTION("""COMPUTED_VALUE"""),41975.64583333333)</f>
        <v>41975.64583</v>
      </c>
      <c r="B2444" s="9">
        <f>IFERROR(__xludf.DUMMYFUNCTION("""COMPUTED_VALUE"""),541.24)</f>
        <v>541.24</v>
      </c>
      <c r="C2444" s="9">
        <f>IFERROR(__xludf.DUMMYFUNCTION("""COMPUTED_VALUE"""),541.24)</f>
        <v>541.24</v>
      </c>
      <c r="D2444" s="9">
        <f>IFERROR(__xludf.DUMMYFUNCTION("""COMPUTED_VALUE"""),528.75)</f>
        <v>528.75</v>
      </c>
      <c r="E2444" s="9">
        <f>IFERROR(__xludf.DUMMYFUNCTION("""COMPUTED_VALUE"""),531.65)</f>
        <v>531.65</v>
      </c>
      <c r="F2444" s="9">
        <f>IFERROR(__xludf.DUMMYFUNCTION("""COMPUTED_VALUE"""),2663748.0)</f>
        <v>2663748</v>
      </c>
      <c r="H2444" s="27">
        <f>IFERROR(__xludf.DUMMYFUNCTION("""COMPUTED_VALUE"""),41975.64583333333)</f>
        <v>41975.64583</v>
      </c>
      <c r="I2444" s="25">
        <f>IFERROR(__xludf.DUMMYFUNCTION("""COMPUTED_VALUE"""),1346.5)</f>
        <v>1346.5</v>
      </c>
      <c r="J2444" s="25">
        <f>IFERROR(__xludf.DUMMYFUNCTION("""COMPUTED_VALUE"""),1355.48)</f>
        <v>1355.48</v>
      </c>
      <c r="K2444" s="25">
        <f>IFERROR(__xludf.DUMMYFUNCTION("""COMPUTED_VALUE"""),1324.68)</f>
        <v>1324.68</v>
      </c>
      <c r="L2444" s="25">
        <f>IFERROR(__xludf.DUMMYFUNCTION("""COMPUTED_VALUE"""),1328.65)</f>
        <v>1328.65</v>
      </c>
      <c r="M2444" s="25">
        <f>IFERROR(__xludf.DUMMYFUNCTION("""COMPUTED_VALUE"""),718286.0)</f>
        <v>718286</v>
      </c>
    </row>
    <row r="2445">
      <c r="A2445" s="26">
        <f>IFERROR(__xludf.DUMMYFUNCTION("""COMPUTED_VALUE"""),41976.64583333333)</f>
        <v>41976.64583</v>
      </c>
      <c r="B2445" s="9">
        <f>IFERROR(__xludf.DUMMYFUNCTION("""COMPUTED_VALUE"""),525.38)</f>
        <v>525.38</v>
      </c>
      <c r="C2445" s="9">
        <f>IFERROR(__xludf.DUMMYFUNCTION("""COMPUTED_VALUE"""),533.24)</f>
        <v>533.24</v>
      </c>
      <c r="D2445" s="9">
        <f>IFERROR(__xludf.DUMMYFUNCTION("""COMPUTED_VALUE"""),521.14)</f>
        <v>521.14</v>
      </c>
      <c r="E2445" s="9">
        <f>IFERROR(__xludf.DUMMYFUNCTION("""COMPUTED_VALUE"""),530.88)</f>
        <v>530.88</v>
      </c>
      <c r="F2445" s="9">
        <f>IFERROR(__xludf.DUMMYFUNCTION("""COMPUTED_VALUE"""),3193761.0)</f>
        <v>3193761</v>
      </c>
      <c r="H2445" s="27">
        <f>IFERROR(__xludf.DUMMYFUNCTION("""COMPUTED_VALUE"""),41976.64583333333)</f>
        <v>41976.64583</v>
      </c>
      <c r="I2445" s="25">
        <f>IFERROR(__xludf.DUMMYFUNCTION("""COMPUTED_VALUE"""),1335.95)</f>
        <v>1335.95</v>
      </c>
      <c r="J2445" s="25">
        <f>IFERROR(__xludf.DUMMYFUNCTION("""COMPUTED_VALUE"""),1336.7)</f>
        <v>1336.7</v>
      </c>
      <c r="K2445" s="25">
        <f>IFERROR(__xludf.DUMMYFUNCTION("""COMPUTED_VALUE"""),1309.25)</f>
        <v>1309.25</v>
      </c>
      <c r="L2445" s="25">
        <f>IFERROR(__xludf.DUMMYFUNCTION("""COMPUTED_VALUE"""),1317.68)</f>
        <v>1317.68</v>
      </c>
      <c r="M2445" s="25">
        <f>IFERROR(__xludf.DUMMYFUNCTION("""COMPUTED_VALUE"""),1547335.0)</f>
        <v>1547335</v>
      </c>
    </row>
    <row r="2446">
      <c r="A2446" s="26">
        <f>IFERROR(__xludf.DUMMYFUNCTION("""COMPUTED_VALUE"""),41977.64583333333)</f>
        <v>41977.64583</v>
      </c>
      <c r="B2446" s="9">
        <f>IFERROR(__xludf.DUMMYFUNCTION("""COMPUTED_VALUE"""),527.5)</f>
        <v>527.5</v>
      </c>
      <c r="C2446" s="9">
        <f>IFERROR(__xludf.DUMMYFUNCTION("""COMPUTED_VALUE"""),536.23)</f>
        <v>536.23</v>
      </c>
      <c r="D2446" s="9">
        <f>IFERROR(__xludf.DUMMYFUNCTION("""COMPUTED_VALUE"""),523.75)</f>
        <v>523.75</v>
      </c>
      <c r="E2446" s="9">
        <f>IFERROR(__xludf.DUMMYFUNCTION("""COMPUTED_VALUE"""),525.45)</f>
        <v>525.45</v>
      </c>
      <c r="F2446" s="9">
        <f>IFERROR(__xludf.DUMMYFUNCTION("""COMPUTED_VALUE"""),2349807.0)</f>
        <v>2349807</v>
      </c>
      <c r="H2446" s="27">
        <f>IFERROR(__xludf.DUMMYFUNCTION("""COMPUTED_VALUE"""),41977.64583333333)</f>
        <v>41977.64583</v>
      </c>
      <c r="I2446" s="25">
        <f>IFERROR(__xludf.DUMMYFUNCTION("""COMPUTED_VALUE"""),1332.0)</f>
        <v>1332</v>
      </c>
      <c r="J2446" s="25">
        <f>IFERROR(__xludf.DUMMYFUNCTION("""COMPUTED_VALUE"""),1333.5)</f>
        <v>1333.5</v>
      </c>
      <c r="K2446" s="25">
        <f>IFERROR(__xludf.DUMMYFUNCTION("""COMPUTED_VALUE"""),1314.95)</f>
        <v>1314.95</v>
      </c>
      <c r="L2446" s="25">
        <f>IFERROR(__xludf.DUMMYFUNCTION("""COMPUTED_VALUE"""),1318.98)</f>
        <v>1318.98</v>
      </c>
      <c r="M2446" s="25">
        <f>IFERROR(__xludf.DUMMYFUNCTION("""COMPUTED_VALUE"""),642654.0)</f>
        <v>642654</v>
      </c>
    </row>
    <row r="2447">
      <c r="A2447" s="26">
        <f>IFERROR(__xludf.DUMMYFUNCTION("""COMPUTED_VALUE"""),41978.64583333333)</f>
        <v>41978.64583</v>
      </c>
      <c r="B2447" s="9">
        <f>IFERROR(__xludf.DUMMYFUNCTION("""COMPUTED_VALUE"""),528.75)</f>
        <v>528.75</v>
      </c>
      <c r="C2447" s="9">
        <f>IFERROR(__xludf.DUMMYFUNCTION("""COMPUTED_VALUE"""),529.15)</f>
        <v>529.15</v>
      </c>
      <c r="D2447" s="9">
        <f>IFERROR(__xludf.DUMMYFUNCTION("""COMPUTED_VALUE"""),514.95)</f>
        <v>514.95</v>
      </c>
      <c r="E2447" s="9">
        <f>IFERROR(__xludf.DUMMYFUNCTION("""COMPUTED_VALUE"""),517.58)</f>
        <v>517.58</v>
      </c>
      <c r="F2447" s="9">
        <f>IFERROR(__xludf.DUMMYFUNCTION("""COMPUTED_VALUE"""),1839690.0)</f>
        <v>1839690</v>
      </c>
      <c r="H2447" s="27">
        <f>IFERROR(__xludf.DUMMYFUNCTION("""COMPUTED_VALUE"""),41978.64583333333)</f>
        <v>41978.64583</v>
      </c>
      <c r="I2447" s="25">
        <f>IFERROR(__xludf.DUMMYFUNCTION("""COMPUTED_VALUE"""),1320.45)</f>
        <v>1320.45</v>
      </c>
      <c r="J2447" s="25">
        <f>IFERROR(__xludf.DUMMYFUNCTION("""COMPUTED_VALUE"""),1324.9)</f>
        <v>1324.9</v>
      </c>
      <c r="K2447" s="25">
        <f>IFERROR(__xludf.DUMMYFUNCTION("""COMPUTED_VALUE"""),1286.07)</f>
        <v>1286.07</v>
      </c>
      <c r="L2447" s="25">
        <f>IFERROR(__xludf.DUMMYFUNCTION("""COMPUTED_VALUE"""),1289.47)</f>
        <v>1289.47</v>
      </c>
      <c r="M2447" s="25">
        <f>IFERROR(__xludf.DUMMYFUNCTION("""COMPUTED_VALUE"""),1179838.0)</f>
        <v>1179838</v>
      </c>
    </row>
    <row r="2448">
      <c r="A2448" s="26">
        <f>IFERROR(__xludf.DUMMYFUNCTION("""COMPUTED_VALUE"""),41981.64583333333)</f>
        <v>41981.64583</v>
      </c>
      <c r="B2448" s="9">
        <f>IFERROR(__xludf.DUMMYFUNCTION("""COMPUTED_VALUE"""),502.25)</f>
        <v>502.25</v>
      </c>
      <c r="C2448" s="9">
        <f>IFERROR(__xludf.DUMMYFUNCTION("""COMPUTED_VALUE"""),504.75)</f>
        <v>504.75</v>
      </c>
      <c r="D2448" s="9">
        <f>IFERROR(__xludf.DUMMYFUNCTION("""COMPUTED_VALUE"""),489.44)</f>
        <v>489.44</v>
      </c>
      <c r="E2448" s="9">
        <f>IFERROR(__xludf.DUMMYFUNCTION("""COMPUTED_VALUE"""),492.54)</f>
        <v>492.54</v>
      </c>
      <c r="F2448" s="9">
        <f>IFERROR(__xludf.DUMMYFUNCTION("""COMPUTED_VALUE"""),4.1580104E7)</f>
        <v>41580104</v>
      </c>
      <c r="H2448" s="27">
        <f>IFERROR(__xludf.DUMMYFUNCTION("""COMPUTED_VALUE"""),41981.64583333333)</f>
        <v>41981.64583</v>
      </c>
      <c r="I2448" s="25">
        <f>IFERROR(__xludf.DUMMYFUNCTION("""COMPUTED_VALUE"""),1297.5)</f>
        <v>1297.5</v>
      </c>
      <c r="J2448" s="25">
        <f>IFERROR(__xludf.DUMMYFUNCTION("""COMPUTED_VALUE"""),1297.5)</f>
        <v>1297.5</v>
      </c>
      <c r="K2448" s="25">
        <f>IFERROR(__xludf.DUMMYFUNCTION("""COMPUTED_VALUE"""),1250.82)</f>
        <v>1250.82</v>
      </c>
      <c r="L2448" s="25">
        <f>IFERROR(__xludf.DUMMYFUNCTION("""COMPUTED_VALUE"""),1256.4)</f>
        <v>1256.4</v>
      </c>
      <c r="M2448" s="25">
        <f>IFERROR(__xludf.DUMMYFUNCTION("""COMPUTED_VALUE"""),1616287.0)</f>
        <v>1616287</v>
      </c>
    </row>
    <row r="2449">
      <c r="A2449" s="26">
        <f>IFERROR(__xludf.DUMMYFUNCTION("""COMPUTED_VALUE"""),41982.64583333333)</f>
        <v>41982.64583</v>
      </c>
      <c r="B2449" s="9">
        <f>IFERROR(__xludf.DUMMYFUNCTION("""COMPUTED_VALUE"""),495.69)</f>
        <v>495.69</v>
      </c>
      <c r="C2449" s="9">
        <f>IFERROR(__xludf.DUMMYFUNCTION("""COMPUTED_VALUE"""),496.5)</f>
        <v>496.5</v>
      </c>
      <c r="D2449" s="9">
        <f>IFERROR(__xludf.DUMMYFUNCTION("""COMPUTED_VALUE"""),488.11)</f>
        <v>488.11</v>
      </c>
      <c r="E2449" s="9">
        <f>IFERROR(__xludf.DUMMYFUNCTION("""COMPUTED_VALUE"""),491.2)</f>
        <v>491.2</v>
      </c>
      <c r="F2449" s="9">
        <f>IFERROR(__xludf.DUMMYFUNCTION("""COMPUTED_VALUE"""),2512615.0)</f>
        <v>2512615</v>
      </c>
      <c r="H2449" s="27">
        <f>IFERROR(__xludf.DUMMYFUNCTION("""COMPUTED_VALUE"""),41982.64583333333)</f>
        <v>41982.64583</v>
      </c>
      <c r="I2449" s="25">
        <f>IFERROR(__xludf.DUMMYFUNCTION("""COMPUTED_VALUE"""),1258.0)</f>
        <v>1258</v>
      </c>
      <c r="J2449" s="25">
        <f>IFERROR(__xludf.DUMMYFUNCTION("""COMPUTED_VALUE"""),1279.5)</f>
        <v>1279.5</v>
      </c>
      <c r="K2449" s="25">
        <f>IFERROR(__xludf.DUMMYFUNCTION("""COMPUTED_VALUE"""),1254.55)</f>
        <v>1254.55</v>
      </c>
      <c r="L2449" s="25">
        <f>IFERROR(__xludf.DUMMYFUNCTION("""COMPUTED_VALUE"""),1257.43)</f>
        <v>1257.43</v>
      </c>
      <c r="M2449" s="25">
        <f>IFERROR(__xludf.DUMMYFUNCTION("""COMPUTED_VALUE"""),1243970.0)</f>
        <v>1243970</v>
      </c>
    </row>
    <row r="2450">
      <c r="A2450" s="26">
        <f>IFERROR(__xludf.DUMMYFUNCTION("""COMPUTED_VALUE"""),41983.64583333333)</f>
        <v>41983.64583</v>
      </c>
      <c r="B2450" s="9">
        <f>IFERROR(__xludf.DUMMYFUNCTION("""COMPUTED_VALUE"""),491.5)</f>
        <v>491.5</v>
      </c>
      <c r="C2450" s="9">
        <f>IFERROR(__xludf.DUMMYFUNCTION("""COMPUTED_VALUE"""),496.25)</f>
        <v>496.25</v>
      </c>
      <c r="D2450" s="9">
        <f>IFERROR(__xludf.DUMMYFUNCTION("""COMPUTED_VALUE"""),489.78)</f>
        <v>489.78</v>
      </c>
      <c r="E2450" s="9">
        <f>IFERROR(__xludf.DUMMYFUNCTION("""COMPUTED_VALUE"""),490.94)</f>
        <v>490.94</v>
      </c>
      <c r="F2450" s="9">
        <f>IFERROR(__xludf.DUMMYFUNCTION("""COMPUTED_VALUE"""),1951178.0)</f>
        <v>1951178</v>
      </c>
      <c r="H2450" s="27">
        <f>IFERROR(__xludf.DUMMYFUNCTION("""COMPUTED_VALUE"""),41983.64583333333)</f>
        <v>41983.64583</v>
      </c>
      <c r="I2450" s="25">
        <f>IFERROR(__xludf.DUMMYFUNCTION("""COMPUTED_VALUE"""),1257.5)</f>
        <v>1257.5</v>
      </c>
      <c r="J2450" s="25">
        <f>IFERROR(__xludf.DUMMYFUNCTION("""COMPUTED_VALUE"""),1265.95)</f>
        <v>1265.95</v>
      </c>
      <c r="K2450" s="25">
        <f>IFERROR(__xludf.DUMMYFUNCTION("""COMPUTED_VALUE"""),1248.1)</f>
        <v>1248.1</v>
      </c>
      <c r="L2450" s="25">
        <f>IFERROR(__xludf.DUMMYFUNCTION("""COMPUTED_VALUE"""),1253.95)</f>
        <v>1253.95</v>
      </c>
      <c r="M2450" s="25">
        <f>IFERROR(__xludf.DUMMYFUNCTION("""COMPUTED_VALUE"""),1043985.0)</f>
        <v>1043985</v>
      </c>
    </row>
    <row r="2451">
      <c r="A2451" s="26">
        <f>IFERROR(__xludf.DUMMYFUNCTION("""COMPUTED_VALUE"""),41984.64583333333)</f>
        <v>41984.64583</v>
      </c>
      <c r="B2451" s="9">
        <f>IFERROR(__xludf.DUMMYFUNCTION("""COMPUTED_VALUE"""),487.75)</f>
        <v>487.75</v>
      </c>
      <c r="C2451" s="9">
        <f>IFERROR(__xludf.DUMMYFUNCTION("""COMPUTED_VALUE"""),488.49)</f>
        <v>488.49</v>
      </c>
      <c r="D2451" s="9">
        <f>IFERROR(__xludf.DUMMYFUNCTION("""COMPUTED_VALUE"""),478.75)</f>
        <v>478.75</v>
      </c>
      <c r="E2451" s="9">
        <f>IFERROR(__xludf.DUMMYFUNCTION("""COMPUTED_VALUE"""),480.26)</f>
        <v>480.26</v>
      </c>
      <c r="F2451" s="9">
        <f>IFERROR(__xludf.DUMMYFUNCTION("""COMPUTED_VALUE"""),2071483.0)</f>
        <v>2071483</v>
      </c>
      <c r="H2451" s="27">
        <f>IFERROR(__xludf.DUMMYFUNCTION("""COMPUTED_VALUE"""),41984.64583333333)</f>
        <v>41984.64583</v>
      </c>
      <c r="I2451" s="25">
        <f>IFERROR(__xludf.DUMMYFUNCTION("""COMPUTED_VALUE"""),1250.3)</f>
        <v>1250.3</v>
      </c>
      <c r="J2451" s="25">
        <f>IFERROR(__xludf.DUMMYFUNCTION("""COMPUTED_VALUE"""),1261.45)</f>
        <v>1261.45</v>
      </c>
      <c r="K2451" s="25">
        <f>IFERROR(__xludf.DUMMYFUNCTION("""COMPUTED_VALUE"""),1243.5)</f>
        <v>1243.5</v>
      </c>
      <c r="L2451" s="25">
        <f>IFERROR(__xludf.DUMMYFUNCTION("""COMPUTED_VALUE"""),1246.07)</f>
        <v>1246.07</v>
      </c>
      <c r="M2451" s="25">
        <f>IFERROR(__xludf.DUMMYFUNCTION("""COMPUTED_VALUE"""),969411.0)</f>
        <v>969411</v>
      </c>
    </row>
    <row r="2452">
      <c r="A2452" s="26">
        <f>IFERROR(__xludf.DUMMYFUNCTION("""COMPUTED_VALUE"""),41985.64583333333)</f>
        <v>41985.64583</v>
      </c>
      <c r="B2452" s="9">
        <f>IFERROR(__xludf.DUMMYFUNCTION("""COMPUTED_VALUE"""),484.76)</f>
        <v>484.76</v>
      </c>
      <c r="C2452" s="9">
        <f>IFERROR(__xludf.DUMMYFUNCTION("""COMPUTED_VALUE"""),490.1)</f>
        <v>490.1</v>
      </c>
      <c r="D2452" s="9">
        <f>IFERROR(__xludf.DUMMYFUNCTION("""COMPUTED_VALUE"""),479.53)</f>
        <v>479.53</v>
      </c>
      <c r="E2452" s="9">
        <f>IFERROR(__xludf.DUMMYFUNCTION("""COMPUTED_VALUE"""),484.66)</f>
        <v>484.66</v>
      </c>
      <c r="F2452" s="9">
        <f>IFERROR(__xludf.DUMMYFUNCTION("""COMPUTED_VALUE"""),3643125.0)</f>
        <v>3643125</v>
      </c>
      <c r="H2452" s="27">
        <f>IFERROR(__xludf.DUMMYFUNCTION("""COMPUTED_VALUE"""),41985.64583333333)</f>
        <v>41985.64583</v>
      </c>
      <c r="I2452" s="25">
        <f>IFERROR(__xludf.DUMMYFUNCTION("""COMPUTED_VALUE"""),1250.0)</f>
        <v>1250</v>
      </c>
      <c r="J2452" s="25">
        <f>IFERROR(__xludf.DUMMYFUNCTION("""COMPUTED_VALUE"""),1260.0)</f>
        <v>1260</v>
      </c>
      <c r="K2452" s="25">
        <f>IFERROR(__xludf.DUMMYFUNCTION("""COMPUTED_VALUE"""),1211.32)</f>
        <v>1211.32</v>
      </c>
      <c r="L2452" s="25">
        <f>IFERROR(__xludf.DUMMYFUNCTION("""COMPUTED_VALUE"""),1225.35)</f>
        <v>1225.35</v>
      </c>
      <c r="M2452" s="25">
        <f>IFERROR(__xludf.DUMMYFUNCTION("""COMPUTED_VALUE"""),1190393.0)</f>
        <v>1190393</v>
      </c>
    </row>
    <row r="2453">
      <c r="A2453" s="26">
        <f>IFERROR(__xludf.DUMMYFUNCTION("""COMPUTED_VALUE"""),41988.64583333333)</f>
        <v>41988.64583</v>
      </c>
      <c r="B2453" s="9">
        <f>IFERROR(__xludf.DUMMYFUNCTION("""COMPUTED_VALUE"""),476.24)</f>
        <v>476.24</v>
      </c>
      <c r="C2453" s="9">
        <f>IFERROR(__xludf.DUMMYFUNCTION("""COMPUTED_VALUE"""),489.31)</f>
        <v>489.31</v>
      </c>
      <c r="D2453" s="9">
        <f>IFERROR(__xludf.DUMMYFUNCTION("""COMPUTED_VALUE"""),476.23)</f>
        <v>476.23</v>
      </c>
      <c r="E2453" s="9">
        <f>IFERROR(__xludf.DUMMYFUNCTION("""COMPUTED_VALUE"""),481.2)</f>
        <v>481.2</v>
      </c>
      <c r="F2453" s="9">
        <f>IFERROR(__xludf.DUMMYFUNCTION("""COMPUTED_VALUE"""),3241571.0)</f>
        <v>3241571</v>
      </c>
      <c r="H2453" s="27">
        <f>IFERROR(__xludf.DUMMYFUNCTION("""COMPUTED_VALUE"""),41988.64583333333)</f>
        <v>41988.64583</v>
      </c>
      <c r="I2453" s="25">
        <f>IFERROR(__xludf.DUMMYFUNCTION("""COMPUTED_VALUE"""),1192.45)</f>
        <v>1192.45</v>
      </c>
      <c r="J2453" s="25">
        <f>IFERROR(__xludf.DUMMYFUNCTION("""COMPUTED_VALUE"""),1192.5)</f>
        <v>1192.5</v>
      </c>
      <c r="K2453" s="25">
        <f>IFERROR(__xludf.DUMMYFUNCTION("""COMPUTED_VALUE"""),1176.13)</f>
        <v>1176.13</v>
      </c>
      <c r="L2453" s="25">
        <f>IFERROR(__xludf.DUMMYFUNCTION("""COMPUTED_VALUE"""),1179.32)</f>
        <v>1179.32</v>
      </c>
      <c r="M2453" s="25">
        <f>IFERROR(__xludf.DUMMYFUNCTION("""COMPUTED_VALUE"""),1743894.0)</f>
        <v>1743894</v>
      </c>
    </row>
    <row r="2454">
      <c r="A2454" s="26">
        <f>IFERROR(__xludf.DUMMYFUNCTION("""COMPUTED_VALUE"""),41989.64583333333)</f>
        <v>41989.64583</v>
      </c>
      <c r="B2454" s="9">
        <f>IFERROR(__xludf.DUMMYFUNCTION("""COMPUTED_VALUE"""),481.43)</f>
        <v>481.43</v>
      </c>
      <c r="C2454" s="9">
        <f>IFERROR(__xludf.DUMMYFUNCTION("""COMPUTED_VALUE"""),487.9)</f>
        <v>487.9</v>
      </c>
      <c r="D2454" s="9">
        <f>IFERROR(__xludf.DUMMYFUNCTION("""COMPUTED_VALUE"""),481.43)</f>
        <v>481.43</v>
      </c>
      <c r="E2454" s="9">
        <f>IFERROR(__xludf.DUMMYFUNCTION("""COMPUTED_VALUE"""),484.5)</f>
        <v>484.5</v>
      </c>
      <c r="F2454" s="9">
        <f>IFERROR(__xludf.DUMMYFUNCTION("""COMPUTED_VALUE"""),4448189.0)</f>
        <v>4448189</v>
      </c>
      <c r="H2454" s="27">
        <f>IFERROR(__xludf.DUMMYFUNCTION("""COMPUTED_VALUE"""),41989.64583333333)</f>
        <v>41989.64583</v>
      </c>
      <c r="I2454" s="25">
        <f>IFERROR(__xludf.DUMMYFUNCTION("""COMPUTED_VALUE"""),1175.0)</f>
        <v>1175</v>
      </c>
      <c r="J2454" s="25">
        <f>IFERROR(__xludf.DUMMYFUNCTION("""COMPUTED_VALUE"""),1229.63)</f>
        <v>1229.63</v>
      </c>
      <c r="K2454" s="25">
        <f>IFERROR(__xludf.DUMMYFUNCTION("""COMPUTED_VALUE"""),1172.5)</f>
        <v>1172.5</v>
      </c>
      <c r="L2454" s="25">
        <f>IFERROR(__xludf.DUMMYFUNCTION("""COMPUTED_VALUE"""),1221.53)</f>
        <v>1221.53</v>
      </c>
      <c r="M2454" s="25">
        <f>IFERROR(__xludf.DUMMYFUNCTION("""COMPUTED_VALUE"""),1669570.0)</f>
        <v>1669570</v>
      </c>
    </row>
    <row r="2455">
      <c r="A2455" s="26">
        <f>IFERROR(__xludf.DUMMYFUNCTION("""COMPUTED_VALUE"""),41990.64583333333)</f>
        <v>41990.64583</v>
      </c>
      <c r="B2455" s="9">
        <f>IFERROR(__xludf.DUMMYFUNCTION("""COMPUTED_VALUE"""),484.0)</f>
        <v>484</v>
      </c>
      <c r="C2455" s="9">
        <f>IFERROR(__xludf.DUMMYFUNCTION("""COMPUTED_VALUE"""),488.88)</f>
        <v>488.88</v>
      </c>
      <c r="D2455" s="9">
        <f>IFERROR(__xludf.DUMMYFUNCTION("""COMPUTED_VALUE"""),474.08)</f>
        <v>474.08</v>
      </c>
      <c r="E2455" s="9">
        <f>IFERROR(__xludf.DUMMYFUNCTION("""COMPUTED_VALUE"""),484.63)</f>
        <v>484.63</v>
      </c>
      <c r="F2455" s="9">
        <f>IFERROR(__xludf.DUMMYFUNCTION("""COMPUTED_VALUE"""),4462944.0)</f>
        <v>4462944</v>
      </c>
      <c r="H2455" s="27">
        <f>IFERROR(__xludf.DUMMYFUNCTION("""COMPUTED_VALUE"""),41990.64583333333)</f>
        <v>41990.64583</v>
      </c>
      <c r="I2455" s="25">
        <f>IFERROR(__xludf.DUMMYFUNCTION("""COMPUTED_VALUE"""),1226.7)</f>
        <v>1226.7</v>
      </c>
      <c r="J2455" s="25">
        <f>IFERROR(__xludf.DUMMYFUNCTION("""COMPUTED_VALUE"""),1235.0)</f>
        <v>1235</v>
      </c>
      <c r="K2455" s="25">
        <f>IFERROR(__xludf.DUMMYFUNCTION("""COMPUTED_VALUE"""),1202.63)</f>
        <v>1202.63</v>
      </c>
      <c r="L2455" s="25">
        <f>IFERROR(__xludf.DUMMYFUNCTION("""COMPUTED_VALUE"""),1222.05)</f>
        <v>1222.05</v>
      </c>
      <c r="M2455" s="25">
        <f>IFERROR(__xludf.DUMMYFUNCTION("""COMPUTED_VALUE"""),1143538.0)</f>
        <v>1143538</v>
      </c>
    </row>
    <row r="2456">
      <c r="A2456" s="26">
        <f>IFERROR(__xludf.DUMMYFUNCTION("""COMPUTED_VALUE"""),41991.64583333333)</f>
        <v>41991.64583</v>
      </c>
      <c r="B2456" s="9">
        <f>IFERROR(__xludf.DUMMYFUNCTION("""COMPUTED_VALUE"""),488.5)</f>
        <v>488.5</v>
      </c>
      <c r="C2456" s="9">
        <f>IFERROR(__xludf.DUMMYFUNCTION("""COMPUTED_VALUE"""),495.45)</f>
        <v>495.45</v>
      </c>
      <c r="D2456" s="9">
        <f>IFERROR(__xludf.DUMMYFUNCTION("""COMPUTED_VALUE"""),486.19)</f>
        <v>486.19</v>
      </c>
      <c r="E2456" s="9">
        <f>IFERROR(__xludf.DUMMYFUNCTION("""COMPUTED_VALUE"""),491.48)</f>
        <v>491.48</v>
      </c>
      <c r="F2456" s="9">
        <f>IFERROR(__xludf.DUMMYFUNCTION("""COMPUTED_VALUE"""),4987495.0)</f>
        <v>4987495</v>
      </c>
      <c r="H2456" s="27">
        <f>IFERROR(__xludf.DUMMYFUNCTION("""COMPUTED_VALUE"""),41991.64583333333)</f>
        <v>41991.64583</v>
      </c>
      <c r="I2456" s="25">
        <f>IFERROR(__xludf.DUMMYFUNCTION("""COMPUTED_VALUE"""),1227.55)</f>
        <v>1227.55</v>
      </c>
      <c r="J2456" s="25">
        <f>IFERROR(__xludf.DUMMYFUNCTION("""COMPUTED_VALUE"""),1234.25)</f>
        <v>1234.25</v>
      </c>
      <c r="K2456" s="25">
        <f>IFERROR(__xludf.DUMMYFUNCTION("""COMPUTED_VALUE"""),1217.4)</f>
        <v>1217.4</v>
      </c>
      <c r="L2456" s="25">
        <f>IFERROR(__xludf.DUMMYFUNCTION("""COMPUTED_VALUE"""),1230.35)</f>
        <v>1230.35</v>
      </c>
      <c r="M2456" s="25">
        <f>IFERROR(__xludf.DUMMYFUNCTION("""COMPUTED_VALUE"""),740722.0)</f>
        <v>740722</v>
      </c>
    </row>
    <row r="2457">
      <c r="A2457" s="26">
        <f>IFERROR(__xludf.DUMMYFUNCTION("""COMPUTED_VALUE"""),41992.64583333333)</f>
        <v>41992.64583</v>
      </c>
      <c r="B2457" s="9">
        <f>IFERROR(__xludf.DUMMYFUNCTION("""COMPUTED_VALUE"""),499.4)</f>
        <v>499.4</v>
      </c>
      <c r="C2457" s="9">
        <f>IFERROR(__xludf.DUMMYFUNCTION("""COMPUTED_VALUE"""),502.0)</f>
        <v>502</v>
      </c>
      <c r="D2457" s="9">
        <f>IFERROR(__xludf.DUMMYFUNCTION("""COMPUTED_VALUE"""),496.5)</f>
        <v>496.5</v>
      </c>
      <c r="E2457" s="9">
        <f>IFERROR(__xludf.DUMMYFUNCTION("""COMPUTED_VALUE"""),499.66)</f>
        <v>499.66</v>
      </c>
      <c r="F2457" s="9">
        <f>IFERROR(__xludf.DUMMYFUNCTION("""COMPUTED_VALUE"""),3573658.0)</f>
        <v>3573658</v>
      </c>
      <c r="H2457" s="27">
        <f>IFERROR(__xludf.DUMMYFUNCTION("""COMPUTED_VALUE"""),41992.64583333333)</f>
        <v>41992.64583</v>
      </c>
      <c r="I2457" s="25">
        <f>IFERROR(__xludf.DUMMYFUNCTION("""COMPUTED_VALUE"""),1235.65)</f>
        <v>1235.65</v>
      </c>
      <c r="J2457" s="25">
        <f>IFERROR(__xludf.DUMMYFUNCTION("""COMPUTED_VALUE"""),1261.88)</f>
        <v>1261.88</v>
      </c>
      <c r="K2457" s="25">
        <f>IFERROR(__xludf.DUMMYFUNCTION("""COMPUTED_VALUE"""),1234.0)</f>
        <v>1234</v>
      </c>
      <c r="L2457" s="25">
        <f>IFERROR(__xludf.DUMMYFUNCTION("""COMPUTED_VALUE"""),1255.28)</f>
        <v>1255.28</v>
      </c>
      <c r="M2457" s="25">
        <f>IFERROR(__xludf.DUMMYFUNCTION("""COMPUTED_VALUE"""),951565.0)</f>
        <v>951565</v>
      </c>
    </row>
    <row r="2458">
      <c r="A2458" s="26">
        <f>IFERROR(__xludf.DUMMYFUNCTION("""COMPUTED_VALUE"""),41995.64583333333)</f>
        <v>41995.64583</v>
      </c>
      <c r="B2458" s="9">
        <f>IFERROR(__xludf.DUMMYFUNCTION("""COMPUTED_VALUE"""),501.5)</f>
        <v>501.5</v>
      </c>
      <c r="C2458" s="9">
        <f>IFERROR(__xludf.DUMMYFUNCTION("""COMPUTED_VALUE"""),502.53)</f>
        <v>502.53</v>
      </c>
      <c r="D2458" s="9">
        <f>IFERROR(__xludf.DUMMYFUNCTION("""COMPUTED_VALUE"""),493.84)</f>
        <v>493.84</v>
      </c>
      <c r="E2458" s="9">
        <f>IFERROR(__xludf.DUMMYFUNCTION("""COMPUTED_VALUE"""),499.9)</f>
        <v>499.9</v>
      </c>
      <c r="F2458" s="9">
        <f>IFERROR(__xludf.DUMMYFUNCTION("""COMPUTED_VALUE"""),2616276.0)</f>
        <v>2616276</v>
      </c>
      <c r="H2458" s="27">
        <f>IFERROR(__xludf.DUMMYFUNCTION("""COMPUTED_VALUE"""),41995.64583333333)</f>
        <v>41995.64583</v>
      </c>
      <c r="I2458" s="25">
        <f>IFERROR(__xludf.DUMMYFUNCTION("""COMPUTED_VALUE"""),1263.0)</f>
        <v>1263</v>
      </c>
      <c r="J2458" s="25">
        <f>IFERROR(__xludf.DUMMYFUNCTION("""COMPUTED_VALUE"""),1264.5)</f>
        <v>1264.5</v>
      </c>
      <c r="K2458" s="25">
        <f>IFERROR(__xludf.DUMMYFUNCTION("""COMPUTED_VALUE"""),1237.2)</f>
        <v>1237.2</v>
      </c>
      <c r="L2458" s="25">
        <f>IFERROR(__xludf.DUMMYFUNCTION("""COMPUTED_VALUE"""),1256.7)</f>
        <v>1256.7</v>
      </c>
      <c r="M2458" s="25">
        <f>IFERROR(__xludf.DUMMYFUNCTION("""COMPUTED_VALUE"""),821977.0)</f>
        <v>821977</v>
      </c>
    </row>
    <row r="2459">
      <c r="A2459" s="26">
        <f>IFERROR(__xludf.DUMMYFUNCTION("""COMPUTED_VALUE"""),41996.64583333333)</f>
        <v>41996.64583</v>
      </c>
      <c r="B2459" s="9">
        <f>IFERROR(__xludf.DUMMYFUNCTION("""COMPUTED_VALUE"""),500.21)</f>
        <v>500.21</v>
      </c>
      <c r="C2459" s="9">
        <f>IFERROR(__xludf.DUMMYFUNCTION("""COMPUTED_VALUE"""),505.48)</f>
        <v>505.48</v>
      </c>
      <c r="D2459" s="9">
        <f>IFERROR(__xludf.DUMMYFUNCTION("""COMPUTED_VALUE"""),490.9)</f>
        <v>490.9</v>
      </c>
      <c r="E2459" s="9">
        <f>IFERROR(__xludf.DUMMYFUNCTION("""COMPUTED_VALUE"""),492.91)</f>
        <v>492.91</v>
      </c>
      <c r="F2459" s="9">
        <f>IFERROR(__xludf.DUMMYFUNCTION("""COMPUTED_VALUE"""),2049238.0)</f>
        <v>2049238</v>
      </c>
      <c r="H2459" s="27">
        <f>IFERROR(__xludf.DUMMYFUNCTION("""COMPUTED_VALUE"""),41996.64583333333)</f>
        <v>41996.64583</v>
      </c>
      <c r="I2459" s="25">
        <f>IFERROR(__xludf.DUMMYFUNCTION("""COMPUTED_VALUE"""),1250.0)</f>
        <v>1250</v>
      </c>
      <c r="J2459" s="25">
        <f>IFERROR(__xludf.DUMMYFUNCTION("""COMPUTED_VALUE"""),1268.32)</f>
        <v>1268.32</v>
      </c>
      <c r="K2459" s="25">
        <f>IFERROR(__xludf.DUMMYFUNCTION("""COMPUTED_VALUE"""),1247.3)</f>
        <v>1247.3</v>
      </c>
      <c r="L2459" s="25">
        <f>IFERROR(__xludf.DUMMYFUNCTION("""COMPUTED_VALUE"""),1258.35)</f>
        <v>1258.35</v>
      </c>
      <c r="M2459" s="25">
        <f>IFERROR(__xludf.DUMMYFUNCTION("""COMPUTED_VALUE"""),633238.0)</f>
        <v>633238</v>
      </c>
    </row>
    <row r="2460">
      <c r="A2460" s="26">
        <f>IFERROR(__xludf.DUMMYFUNCTION("""COMPUTED_VALUE"""),41997.64583333333)</f>
        <v>41997.64583</v>
      </c>
      <c r="B2460" s="9">
        <f>IFERROR(__xludf.DUMMYFUNCTION("""COMPUTED_VALUE"""),494.0)</f>
        <v>494</v>
      </c>
      <c r="C2460" s="9">
        <f>IFERROR(__xludf.DUMMYFUNCTION("""COMPUTED_VALUE"""),496.75)</f>
        <v>496.75</v>
      </c>
      <c r="D2460" s="9">
        <f>IFERROR(__xludf.DUMMYFUNCTION("""COMPUTED_VALUE"""),478.76)</f>
        <v>478.76</v>
      </c>
      <c r="E2460" s="9">
        <f>IFERROR(__xludf.DUMMYFUNCTION("""COMPUTED_VALUE"""),482.64)</f>
        <v>482.64</v>
      </c>
      <c r="F2460" s="9">
        <f>IFERROR(__xludf.DUMMYFUNCTION("""COMPUTED_VALUE"""),6834872.0)</f>
        <v>6834872</v>
      </c>
      <c r="H2460" s="27">
        <f>IFERROR(__xludf.DUMMYFUNCTION("""COMPUTED_VALUE"""),41997.64583333333)</f>
        <v>41997.64583</v>
      </c>
      <c r="I2460" s="25">
        <f>IFERROR(__xludf.DUMMYFUNCTION("""COMPUTED_VALUE"""),1257.5)</f>
        <v>1257.5</v>
      </c>
      <c r="J2460" s="25">
        <f>IFERROR(__xludf.DUMMYFUNCTION("""COMPUTED_VALUE"""),1260.43)</f>
        <v>1260.43</v>
      </c>
      <c r="K2460" s="25">
        <f>IFERROR(__xludf.DUMMYFUNCTION("""COMPUTED_VALUE"""),1232.82)</f>
        <v>1232.82</v>
      </c>
      <c r="L2460" s="25">
        <f>IFERROR(__xludf.DUMMYFUNCTION("""COMPUTED_VALUE"""),1239.95)</f>
        <v>1239.95</v>
      </c>
      <c r="M2460" s="25">
        <f>IFERROR(__xludf.DUMMYFUNCTION("""COMPUTED_VALUE"""),1644486.0)</f>
        <v>1644486</v>
      </c>
    </row>
    <row r="2461">
      <c r="A2461" s="26">
        <f>IFERROR(__xludf.DUMMYFUNCTION("""COMPUTED_VALUE"""),41999.64583333333)</f>
        <v>41999.64583</v>
      </c>
      <c r="B2461" s="9">
        <f>IFERROR(__xludf.DUMMYFUNCTION("""COMPUTED_VALUE"""),486.28)</f>
        <v>486.28</v>
      </c>
      <c r="C2461" s="9">
        <f>IFERROR(__xludf.DUMMYFUNCTION("""COMPUTED_VALUE"""),490.18)</f>
        <v>490.18</v>
      </c>
      <c r="D2461" s="9">
        <f>IFERROR(__xludf.DUMMYFUNCTION("""COMPUTED_VALUE"""),482.74)</f>
        <v>482.74</v>
      </c>
      <c r="E2461" s="9">
        <f>IFERROR(__xludf.DUMMYFUNCTION("""COMPUTED_VALUE"""),488.06)</f>
        <v>488.06</v>
      </c>
      <c r="F2461" s="9">
        <f>IFERROR(__xludf.DUMMYFUNCTION("""COMPUTED_VALUE"""),567187.0)</f>
        <v>567187</v>
      </c>
      <c r="H2461" s="27">
        <f>IFERROR(__xludf.DUMMYFUNCTION("""COMPUTED_VALUE"""),41999.64583333333)</f>
        <v>41999.64583</v>
      </c>
      <c r="I2461" s="25">
        <f>IFERROR(__xludf.DUMMYFUNCTION("""COMPUTED_VALUE"""),1243.0)</f>
        <v>1243</v>
      </c>
      <c r="J2461" s="25">
        <f>IFERROR(__xludf.DUMMYFUNCTION("""COMPUTED_VALUE"""),1255.0)</f>
        <v>1255</v>
      </c>
      <c r="K2461" s="25">
        <f>IFERROR(__xludf.DUMMYFUNCTION("""COMPUTED_VALUE"""),1232.5)</f>
        <v>1232.5</v>
      </c>
      <c r="L2461" s="25">
        <f>IFERROR(__xludf.DUMMYFUNCTION("""COMPUTED_VALUE"""),1252.5)</f>
        <v>1252.5</v>
      </c>
      <c r="M2461" s="25">
        <f>IFERROR(__xludf.DUMMYFUNCTION("""COMPUTED_VALUE"""),313103.0)</f>
        <v>313103</v>
      </c>
    </row>
    <row r="2462">
      <c r="A2462" s="26">
        <f>IFERROR(__xludf.DUMMYFUNCTION("""COMPUTED_VALUE"""),42002.64583333333)</f>
        <v>42002.64583</v>
      </c>
      <c r="B2462" s="9">
        <f>IFERROR(__xludf.DUMMYFUNCTION("""COMPUTED_VALUE"""),489.01)</f>
        <v>489.01</v>
      </c>
      <c r="C2462" s="9">
        <f>IFERROR(__xludf.DUMMYFUNCTION("""COMPUTED_VALUE"""),493.2)</f>
        <v>493.2</v>
      </c>
      <c r="D2462" s="9">
        <f>IFERROR(__xludf.DUMMYFUNCTION("""COMPUTED_VALUE"""),488.13)</f>
        <v>488.13</v>
      </c>
      <c r="E2462" s="9">
        <f>IFERROR(__xludf.DUMMYFUNCTION("""COMPUTED_VALUE"""),489.45)</f>
        <v>489.45</v>
      </c>
      <c r="F2462" s="9">
        <f>IFERROR(__xludf.DUMMYFUNCTION("""COMPUTED_VALUE"""),698169.0)</f>
        <v>698169</v>
      </c>
      <c r="H2462" s="27">
        <f>IFERROR(__xludf.DUMMYFUNCTION("""COMPUTED_VALUE"""),42002.64583333333)</f>
        <v>42002.64583</v>
      </c>
      <c r="I2462" s="25">
        <f>IFERROR(__xludf.DUMMYFUNCTION("""COMPUTED_VALUE"""),1254.0)</f>
        <v>1254</v>
      </c>
      <c r="J2462" s="25">
        <f>IFERROR(__xludf.DUMMYFUNCTION("""COMPUTED_VALUE"""),1268.47)</f>
        <v>1268.47</v>
      </c>
      <c r="K2462" s="25">
        <f>IFERROR(__xludf.DUMMYFUNCTION("""COMPUTED_VALUE"""),1253.5)</f>
        <v>1253.5</v>
      </c>
      <c r="L2462" s="25">
        <f>IFERROR(__xludf.DUMMYFUNCTION("""COMPUTED_VALUE"""),1261.45)</f>
        <v>1261.45</v>
      </c>
      <c r="M2462" s="25">
        <f>IFERROR(__xludf.DUMMYFUNCTION("""COMPUTED_VALUE"""),389460.0)</f>
        <v>389460</v>
      </c>
    </row>
    <row r="2463">
      <c r="A2463" s="26">
        <f>IFERROR(__xludf.DUMMYFUNCTION("""COMPUTED_VALUE"""),42003.64583333333)</f>
        <v>42003.64583</v>
      </c>
      <c r="B2463" s="9">
        <f>IFERROR(__xludf.DUMMYFUNCTION("""COMPUTED_VALUE"""),490.56)</f>
        <v>490.56</v>
      </c>
      <c r="C2463" s="9">
        <f>IFERROR(__xludf.DUMMYFUNCTION("""COMPUTED_VALUE"""),493.75)</f>
        <v>493.75</v>
      </c>
      <c r="D2463" s="9">
        <f>IFERROR(__xludf.DUMMYFUNCTION("""COMPUTED_VALUE"""),489.2)</f>
        <v>489.2</v>
      </c>
      <c r="E2463" s="9">
        <f>IFERROR(__xludf.DUMMYFUNCTION("""COMPUTED_VALUE"""),491.59)</f>
        <v>491.59</v>
      </c>
      <c r="F2463" s="9">
        <f>IFERROR(__xludf.DUMMYFUNCTION("""COMPUTED_VALUE"""),1160138.0)</f>
        <v>1160138</v>
      </c>
      <c r="H2463" s="27">
        <f>IFERROR(__xludf.DUMMYFUNCTION("""COMPUTED_VALUE"""),42003.64583333333)</f>
        <v>42003.64583</v>
      </c>
      <c r="I2463" s="25">
        <f>IFERROR(__xludf.DUMMYFUNCTION("""COMPUTED_VALUE"""),1262.5)</f>
        <v>1262.5</v>
      </c>
      <c r="J2463" s="25">
        <f>IFERROR(__xludf.DUMMYFUNCTION("""COMPUTED_VALUE"""),1271.22)</f>
        <v>1271.22</v>
      </c>
      <c r="K2463" s="25">
        <f>IFERROR(__xludf.DUMMYFUNCTION("""COMPUTED_VALUE"""),1258.0)</f>
        <v>1258</v>
      </c>
      <c r="L2463" s="25">
        <f>IFERROR(__xludf.DUMMYFUNCTION("""COMPUTED_VALUE"""),1265.03)</f>
        <v>1265.03</v>
      </c>
      <c r="M2463" s="25">
        <f>IFERROR(__xludf.DUMMYFUNCTION("""COMPUTED_VALUE"""),350671.0)</f>
        <v>350671</v>
      </c>
    </row>
    <row r="2464">
      <c r="A2464" s="26">
        <f>IFERROR(__xludf.DUMMYFUNCTION("""COMPUTED_VALUE"""),42004.64583333333)</f>
        <v>42004.64583</v>
      </c>
      <c r="B2464" s="9">
        <f>IFERROR(__xludf.DUMMYFUNCTION("""COMPUTED_VALUE"""),488.75)</f>
        <v>488.75</v>
      </c>
      <c r="C2464" s="9">
        <f>IFERROR(__xludf.DUMMYFUNCTION("""COMPUTED_VALUE"""),494.74)</f>
        <v>494.74</v>
      </c>
      <c r="D2464" s="9">
        <f>IFERROR(__xludf.DUMMYFUNCTION("""COMPUTED_VALUE"""),487.5)</f>
        <v>487.5</v>
      </c>
      <c r="E2464" s="9">
        <f>IFERROR(__xludf.DUMMYFUNCTION("""COMPUTED_VALUE"""),493.14)</f>
        <v>493.14</v>
      </c>
      <c r="F2464" s="9">
        <f>IFERROR(__xludf.DUMMYFUNCTION("""COMPUTED_VALUE"""),1742202.0)</f>
        <v>1742202</v>
      </c>
      <c r="H2464" s="27">
        <f>IFERROR(__xludf.DUMMYFUNCTION("""COMPUTED_VALUE"""),42004.64583333333)</f>
        <v>42004.64583</v>
      </c>
      <c r="I2464" s="25">
        <f>IFERROR(__xludf.DUMMYFUNCTION("""COMPUTED_VALUE"""),1266.35)</f>
        <v>1266.35</v>
      </c>
      <c r="J2464" s="25">
        <f>IFERROR(__xludf.DUMMYFUNCTION("""COMPUTED_VALUE"""),1283.2)</f>
        <v>1283.2</v>
      </c>
      <c r="K2464" s="25">
        <f>IFERROR(__xludf.DUMMYFUNCTION("""COMPUTED_VALUE"""),1262.5)</f>
        <v>1262.5</v>
      </c>
      <c r="L2464" s="25">
        <f>IFERROR(__xludf.DUMMYFUNCTION("""COMPUTED_VALUE"""),1279.13)</f>
        <v>1279.13</v>
      </c>
      <c r="M2464" s="25">
        <f>IFERROR(__xludf.DUMMYFUNCTION("""COMPUTED_VALUE"""),786896.0)</f>
        <v>786896</v>
      </c>
    </row>
    <row r="2465">
      <c r="A2465" s="26">
        <f>IFERROR(__xludf.DUMMYFUNCTION("""COMPUTED_VALUE"""),42005.64583333333)</f>
        <v>42005.64583</v>
      </c>
      <c r="B2465" s="9">
        <f>IFERROR(__xludf.DUMMYFUNCTION("""COMPUTED_VALUE"""),492.24)</f>
        <v>492.24</v>
      </c>
      <c r="C2465" s="9">
        <f>IFERROR(__xludf.DUMMYFUNCTION("""COMPUTED_VALUE"""),495.5)</f>
        <v>495.5</v>
      </c>
      <c r="D2465" s="9">
        <f>IFERROR(__xludf.DUMMYFUNCTION("""COMPUTED_VALUE"""),489.23)</f>
        <v>489.23</v>
      </c>
      <c r="E2465" s="9">
        <f>IFERROR(__xludf.DUMMYFUNCTION("""COMPUTED_VALUE"""),493.6)</f>
        <v>493.6</v>
      </c>
      <c r="F2465" s="9">
        <f>IFERROR(__xludf.DUMMYFUNCTION("""COMPUTED_VALUE"""),500691.0)</f>
        <v>500691</v>
      </c>
      <c r="H2465" s="27">
        <f>IFERROR(__xludf.DUMMYFUNCTION("""COMPUTED_VALUE"""),42005.64583333333)</f>
        <v>42005.64583</v>
      </c>
      <c r="I2465" s="25">
        <f>IFERROR(__xludf.DUMMYFUNCTION("""COMPUTED_VALUE"""),1283.5)</f>
        <v>1283.5</v>
      </c>
      <c r="J2465" s="25">
        <f>IFERROR(__xludf.DUMMYFUNCTION("""COMPUTED_VALUE"""),1283.5)</f>
        <v>1283.5</v>
      </c>
      <c r="K2465" s="25">
        <f>IFERROR(__xludf.DUMMYFUNCTION("""COMPUTED_VALUE"""),1270.5)</f>
        <v>1270.5</v>
      </c>
      <c r="L2465" s="25">
        <f>IFERROR(__xludf.DUMMYFUNCTION("""COMPUTED_VALUE"""),1272.78)</f>
        <v>1272.78</v>
      </c>
      <c r="M2465" s="25">
        <f>IFERROR(__xludf.DUMMYFUNCTION("""COMPUTED_VALUE"""),183415.0)</f>
        <v>183415</v>
      </c>
    </row>
    <row r="2466">
      <c r="A2466" s="26">
        <f>IFERROR(__xludf.DUMMYFUNCTION("""COMPUTED_VALUE"""),42006.64583333333)</f>
        <v>42006.64583</v>
      </c>
      <c r="B2466" s="9">
        <f>IFERROR(__xludf.DUMMYFUNCTION("""COMPUTED_VALUE"""),493.0)</f>
        <v>493</v>
      </c>
      <c r="C2466" s="9">
        <f>IFERROR(__xludf.DUMMYFUNCTION("""COMPUTED_VALUE"""),504.76)</f>
        <v>504.76</v>
      </c>
      <c r="D2466" s="9">
        <f>IFERROR(__xludf.DUMMYFUNCTION("""COMPUTED_VALUE"""),493.0)</f>
        <v>493</v>
      </c>
      <c r="E2466" s="9">
        <f>IFERROR(__xludf.DUMMYFUNCTION("""COMPUTED_VALUE"""),503.3)</f>
        <v>503.3</v>
      </c>
      <c r="F2466" s="9">
        <f>IFERROR(__xludf.DUMMYFUNCTION("""COMPUTED_VALUE"""),1694580.0)</f>
        <v>1694580</v>
      </c>
      <c r="H2466" s="27">
        <f>IFERROR(__xludf.DUMMYFUNCTION("""COMPUTED_VALUE"""),42006.64583333333)</f>
        <v>42006.64583</v>
      </c>
      <c r="I2466" s="25">
        <f>IFERROR(__xludf.DUMMYFUNCTION("""COMPUTED_VALUE"""),1275.5)</f>
        <v>1275.5</v>
      </c>
      <c r="J2466" s="25">
        <f>IFERROR(__xludf.DUMMYFUNCTION("""COMPUTED_VALUE"""),1295.47)</f>
        <v>1295.47</v>
      </c>
      <c r="K2466" s="25">
        <f>IFERROR(__xludf.DUMMYFUNCTION("""COMPUTED_VALUE"""),1275.3)</f>
        <v>1275.3</v>
      </c>
      <c r="L2466" s="25">
        <f>IFERROR(__xludf.DUMMYFUNCTION("""COMPUTED_VALUE"""),1289.72)</f>
        <v>1289.72</v>
      </c>
      <c r="M2466" s="25">
        <f>IFERROR(__xludf.DUMMYFUNCTION("""COMPUTED_VALUE"""),462870.0)</f>
        <v>462870</v>
      </c>
    </row>
    <row r="2467">
      <c r="A2467" s="26">
        <f>IFERROR(__xludf.DUMMYFUNCTION("""COMPUTED_VALUE"""),42009.64583333333)</f>
        <v>42009.64583</v>
      </c>
      <c r="B2467" s="9">
        <f>IFERROR(__xludf.DUMMYFUNCTION("""COMPUTED_VALUE"""),502.48)</f>
        <v>502.48</v>
      </c>
      <c r="C2467" s="9">
        <f>IFERROR(__xludf.DUMMYFUNCTION("""COMPUTED_VALUE"""),507.5)</f>
        <v>507.5</v>
      </c>
      <c r="D2467" s="9">
        <f>IFERROR(__xludf.DUMMYFUNCTION("""COMPUTED_VALUE"""),494.38)</f>
        <v>494.38</v>
      </c>
      <c r="E2467" s="9">
        <f>IFERROR(__xludf.DUMMYFUNCTION("""COMPUTED_VALUE"""),498.98)</f>
        <v>498.98</v>
      </c>
      <c r="F2467" s="9">
        <f>IFERROR(__xludf.DUMMYFUNCTION("""COMPUTED_VALUE"""),2484256.0)</f>
        <v>2484256</v>
      </c>
      <c r="H2467" s="27">
        <f>IFERROR(__xludf.DUMMYFUNCTION("""COMPUTED_VALUE"""),42009.64583333333)</f>
        <v>42009.64583</v>
      </c>
      <c r="I2467" s="25">
        <f>IFERROR(__xludf.DUMMYFUNCTION("""COMPUTED_VALUE"""),1290.5)</f>
        <v>1290.5</v>
      </c>
      <c r="J2467" s="25">
        <f>IFERROR(__xludf.DUMMYFUNCTION("""COMPUTED_VALUE"""),1299.95)</f>
        <v>1299.95</v>
      </c>
      <c r="K2467" s="25">
        <f>IFERROR(__xludf.DUMMYFUNCTION("""COMPUTED_VALUE"""),1262.33)</f>
        <v>1262.33</v>
      </c>
      <c r="L2467" s="25">
        <f>IFERROR(__xludf.DUMMYFUNCTION("""COMPUTED_VALUE"""),1270.13)</f>
        <v>1270.13</v>
      </c>
      <c r="M2467" s="25">
        <f>IFERROR(__xludf.DUMMYFUNCTION("""COMPUTED_VALUE"""),877121.0)</f>
        <v>877121</v>
      </c>
    </row>
    <row r="2468">
      <c r="A2468" s="26">
        <f>IFERROR(__xludf.DUMMYFUNCTION("""COMPUTED_VALUE"""),42010.64583333333)</f>
        <v>42010.64583</v>
      </c>
      <c r="B2468" s="9">
        <f>IFERROR(__xludf.DUMMYFUNCTION("""COMPUTED_VALUE"""),495.0)</f>
        <v>495</v>
      </c>
      <c r="C2468" s="9">
        <f>IFERROR(__xludf.DUMMYFUNCTION("""COMPUTED_VALUE"""),496.25)</f>
        <v>496.25</v>
      </c>
      <c r="D2468" s="9">
        <f>IFERROR(__xludf.DUMMYFUNCTION("""COMPUTED_VALUE"""),483.53)</f>
        <v>483.53</v>
      </c>
      <c r="E2468" s="9">
        <f>IFERROR(__xludf.DUMMYFUNCTION("""COMPUTED_VALUE"""),488.55)</f>
        <v>488.55</v>
      </c>
      <c r="F2468" s="9">
        <f>IFERROR(__xludf.DUMMYFUNCTION("""COMPUTED_VALUE"""),2416829.0)</f>
        <v>2416829</v>
      </c>
      <c r="H2468" s="27">
        <f>IFERROR(__xludf.DUMMYFUNCTION("""COMPUTED_VALUE"""),42010.64583333333)</f>
        <v>42010.64583</v>
      </c>
      <c r="I2468" s="25">
        <f>IFERROR(__xludf.DUMMYFUNCTION("""COMPUTED_VALUE"""),1264.55)</f>
        <v>1264.55</v>
      </c>
      <c r="J2468" s="25">
        <f>IFERROR(__xludf.DUMMYFUNCTION("""COMPUTED_VALUE"""),1264.55)</f>
        <v>1264.55</v>
      </c>
      <c r="K2468" s="25">
        <f>IFERROR(__xludf.DUMMYFUNCTION("""COMPUTED_VALUE"""),1220.0)</f>
        <v>1220</v>
      </c>
      <c r="L2468" s="25">
        <f>IFERROR(__xludf.DUMMYFUNCTION("""COMPUTED_VALUE"""),1223.3)</f>
        <v>1223.3</v>
      </c>
      <c r="M2468" s="25">
        <f>IFERROR(__xludf.DUMMYFUNCTION("""COMPUTED_VALUE"""),1211892.0)</f>
        <v>1211892</v>
      </c>
    </row>
    <row r="2469">
      <c r="A2469" s="26">
        <f>IFERROR(__xludf.DUMMYFUNCTION("""COMPUTED_VALUE"""),42011.64583333333)</f>
        <v>42011.64583</v>
      </c>
      <c r="B2469" s="9">
        <f>IFERROR(__xludf.DUMMYFUNCTION("""COMPUTED_VALUE"""),491.25)</f>
        <v>491.25</v>
      </c>
      <c r="C2469" s="9">
        <f>IFERROR(__xludf.DUMMYFUNCTION("""COMPUTED_VALUE"""),493.69)</f>
        <v>493.69</v>
      </c>
      <c r="D2469" s="9">
        <f>IFERROR(__xludf.DUMMYFUNCTION("""COMPUTED_VALUE"""),487.5)</f>
        <v>487.5</v>
      </c>
      <c r="E2469" s="9">
        <f>IFERROR(__xludf.DUMMYFUNCTION("""COMPUTED_VALUE"""),490.89)</f>
        <v>490.89</v>
      </c>
      <c r="F2469" s="9">
        <f>IFERROR(__xludf.DUMMYFUNCTION("""COMPUTED_VALUE"""),1812479.0)</f>
        <v>1812479</v>
      </c>
      <c r="H2469" s="27">
        <f>IFERROR(__xludf.DUMMYFUNCTION("""COMPUTED_VALUE"""),42011.64583333333)</f>
        <v>42011.64583</v>
      </c>
      <c r="I2469" s="25">
        <f>IFERROR(__xludf.DUMMYFUNCTION("""COMPUTED_VALUE"""),1235.0)</f>
        <v>1235</v>
      </c>
      <c r="J2469" s="25">
        <f>IFERROR(__xludf.DUMMYFUNCTION("""COMPUTED_VALUE"""),1239.58)</f>
        <v>1239.58</v>
      </c>
      <c r="K2469" s="25">
        <f>IFERROR(__xludf.DUMMYFUNCTION("""COMPUTED_VALUE"""),1203.72)</f>
        <v>1203.72</v>
      </c>
      <c r="L2469" s="25">
        <f>IFERROR(__xludf.DUMMYFUNCTION("""COMPUTED_VALUE"""),1208.85)</f>
        <v>1208.85</v>
      </c>
      <c r="M2469" s="25">
        <f>IFERROR(__xludf.DUMMYFUNCTION("""COMPUTED_VALUE"""),1318166.0)</f>
        <v>1318166</v>
      </c>
    </row>
    <row r="2470">
      <c r="A2470" s="26">
        <f>IFERROR(__xludf.DUMMYFUNCTION("""COMPUTED_VALUE"""),42012.64583333333)</f>
        <v>42012.64583</v>
      </c>
      <c r="B2470" s="9">
        <f>IFERROR(__xludf.DUMMYFUNCTION("""COMPUTED_VALUE"""),496.4)</f>
        <v>496.4</v>
      </c>
      <c r="C2470" s="9">
        <f>IFERROR(__xludf.DUMMYFUNCTION("""COMPUTED_VALUE"""),499.25)</f>
        <v>499.25</v>
      </c>
      <c r="D2470" s="9">
        <f>IFERROR(__xludf.DUMMYFUNCTION("""COMPUTED_VALUE"""),487.5)</f>
        <v>487.5</v>
      </c>
      <c r="E2470" s="9">
        <f>IFERROR(__xludf.DUMMYFUNCTION("""COMPUTED_VALUE"""),493.36)</f>
        <v>493.36</v>
      </c>
      <c r="F2470" s="9">
        <f>IFERROR(__xludf.DUMMYFUNCTION("""COMPUTED_VALUE"""),3391230.0)</f>
        <v>3391230</v>
      </c>
      <c r="H2470" s="27">
        <f>IFERROR(__xludf.DUMMYFUNCTION("""COMPUTED_VALUE"""),42012.64583333333)</f>
        <v>42012.64583</v>
      </c>
      <c r="I2470" s="25">
        <f>IFERROR(__xludf.DUMMYFUNCTION("""COMPUTED_VALUE"""),1221.2)</f>
        <v>1221.2</v>
      </c>
      <c r="J2470" s="25">
        <f>IFERROR(__xludf.DUMMYFUNCTION("""COMPUTED_VALUE"""),1224.5)</f>
        <v>1224.5</v>
      </c>
      <c r="K2470" s="25">
        <f>IFERROR(__xludf.DUMMYFUNCTION("""COMPUTED_VALUE"""),1210.28)</f>
        <v>1210.28</v>
      </c>
      <c r="L2470" s="25">
        <f>IFERROR(__xludf.DUMMYFUNCTION("""COMPUTED_VALUE"""),1221.9)</f>
        <v>1221.9</v>
      </c>
      <c r="M2470" s="25">
        <f>IFERROR(__xludf.DUMMYFUNCTION("""COMPUTED_VALUE"""),782704.0)</f>
        <v>782704</v>
      </c>
    </row>
    <row r="2471">
      <c r="A2471" s="26">
        <f>IFERROR(__xludf.DUMMYFUNCTION("""COMPUTED_VALUE"""),42013.64583333333)</f>
        <v>42013.64583</v>
      </c>
      <c r="B2471" s="9">
        <f>IFERROR(__xludf.DUMMYFUNCTION("""COMPUTED_VALUE"""),495.03)</f>
        <v>495.03</v>
      </c>
      <c r="C2471" s="9">
        <f>IFERROR(__xludf.DUMMYFUNCTION("""COMPUTED_VALUE"""),527.25)</f>
        <v>527.25</v>
      </c>
      <c r="D2471" s="9">
        <f>IFERROR(__xludf.DUMMYFUNCTION("""COMPUTED_VALUE"""),478.26)</f>
        <v>478.26</v>
      </c>
      <c r="E2471" s="9">
        <f>IFERROR(__xludf.DUMMYFUNCTION("""COMPUTED_VALUE"""),518.61)</f>
        <v>518.61</v>
      </c>
      <c r="F2471" s="9">
        <f>IFERROR(__xludf.DUMMYFUNCTION("""COMPUTED_VALUE"""),1.1215832E7)</f>
        <v>11215832</v>
      </c>
      <c r="H2471" s="27">
        <f>IFERROR(__xludf.DUMMYFUNCTION("""COMPUTED_VALUE"""),42013.64583333333)</f>
        <v>42013.64583</v>
      </c>
      <c r="I2471" s="25">
        <f>IFERROR(__xludf.DUMMYFUNCTION("""COMPUTED_VALUE"""),1227.5)</f>
        <v>1227.5</v>
      </c>
      <c r="J2471" s="25">
        <f>IFERROR(__xludf.DUMMYFUNCTION("""COMPUTED_VALUE"""),1259.95)</f>
        <v>1259.95</v>
      </c>
      <c r="K2471" s="25">
        <f>IFERROR(__xludf.DUMMYFUNCTION("""COMPUTED_VALUE"""),1225.0)</f>
        <v>1225</v>
      </c>
      <c r="L2471" s="25">
        <f>IFERROR(__xludf.DUMMYFUNCTION("""COMPUTED_VALUE"""),1256.15)</f>
        <v>1256.15</v>
      </c>
      <c r="M2471" s="25">
        <f>IFERROR(__xludf.DUMMYFUNCTION("""COMPUTED_VALUE"""),1598821.0)</f>
        <v>1598821</v>
      </c>
    </row>
    <row r="2472">
      <c r="A2472" s="26">
        <f>IFERROR(__xludf.DUMMYFUNCTION("""COMPUTED_VALUE"""),42016.64583333333)</f>
        <v>42016.64583</v>
      </c>
      <c r="B2472" s="9">
        <f>IFERROR(__xludf.DUMMYFUNCTION("""COMPUTED_VALUE"""),523.0)</f>
        <v>523</v>
      </c>
      <c r="C2472" s="9">
        <f>IFERROR(__xludf.DUMMYFUNCTION("""COMPUTED_VALUE"""),529.8)</f>
        <v>529.8</v>
      </c>
      <c r="D2472" s="9">
        <f>IFERROR(__xludf.DUMMYFUNCTION("""COMPUTED_VALUE"""),518.75)</f>
        <v>518.75</v>
      </c>
      <c r="E2472" s="9">
        <f>IFERROR(__xludf.DUMMYFUNCTION("""COMPUTED_VALUE"""),528.99)</f>
        <v>528.99</v>
      </c>
      <c r="F2472" s="9">
        <f>IFERROR(__xludf.DUMMYFUNCTION("""COMPUTED_VALUE"""),3189722.0)</f>
        <v>3189722</v>
      </c>
      <c r="H2472" s="27">
        <f>IFERROR(__xludf.DUMMYFUNCTION("""COMPUTED_VALUE"""),42016.64583333333)</f>
        <v>42016.64583</v>
      </c>
      <c r="I2472" s="25">
        <f>IFERROR(__xludf.DUMMYFUNCTION("""COMPUTED_VALUE"""),1258.5)</f>
        <v>1258.5</v>
      </c>
      <c r="J2472" s="25">
        <f>IFERROR(__xludf.DUMMYFUNCTION("""COMPUTED_VALUE"""),1264.0)</f>
        <v>1264</v>
      </c>
      <c r="K2472" s="25">
        <f>IFERROR(__xludf.DUMMYFUNCTION("""COMPUTED_VALUE"""),1240.13)</f>
        <v>1240.13</v>
      </c>
      <c r="L2472" s="25">
        <f>IFERROR(__xludf.DUMMYFUNCTION("""COMPUTED_VALUE"""),1254.85)</f>
        <v>1254.85</v>
      </c>
      <c r="M2472" s="25">
        <f>IFERROR(__xludf.DUMMYFUNCTION("""COMPUTED_VALUE"""),798003.0)</f>
        <v>798003</v>
      </c>
    </row>
    <row r="2473">
      <c r="A2473" s="26">
        <f>IFERROR(__xludf.DUMMYFUNCTION("""COMPUTED_VALUE"""),42017.64583333333)</f>
        <v>42017.64583</v>
      </c>
      <c r="B2473" s="9">
        <f>IFERROR(__xludf.DUMMYFUNCTION("""COMPUTED_VALUE"""),526.95)</f>
        <v>526.95</v>
      </c>
      <c r="C2473" s="9">
        <f>IFERROR(__xludf.DUMMYFUNCTION("""COMPUTED_VALUE"""),526.95)</f>
        <v>526.95</v>
      </c>
      <c r="D2473" s="9">
        <f>IFERROR(__xludf.DUMMYFUNCTION("""COMPUTED_VALUE"""),518.75)</f>
        <v>518.75</v>
      </c>
      <c r="E2473" s="9">
        <f>IFERROR(__xludf.DUMMYFUNCTION("""COMPUTED_VALUE"""),522.23)</f>
        <v>522.23</v>
      </c>
      <c r="F2473" s="9">
        <f>IFERROR(__xludf.DUMMYFUNCTION("""COMPUTED_VALUE"""),2200309.0)</f>
        <v>2200309</v>
      </c>
      <c r="H2473" s="27">
        <f>IFERROR(__xludf.DUMMYFUNCTION("""COMPUTED_VALUE"""),42017.64583333333)</f>
        <v>42017.64583</v>
      </c>
      <c r="I2473" s="25">
        <f>IFERROR(__xludf.DUMMYFUNCTION("""COMPUTED_VALUE"""),1260.0)</f>
        <v>1260</v>
      </c>
      <c r="J2473" s="25">
        <f>IFERROR(__xludf.DUMMYFUNCTION("""COMPUTED_VALUE"""),1265.2)</f>
        <v>1265.2</v>
      </c>
      <c r="K2473" s="25">
        <f>IFERROR(__xludf.DUMMYFUNCTION("""COMPUTED_VALUE"""),1240.05)</f>
        <v>1240.05</v>
      </c>
      <c r="L2473" s="25">
        <f>IFERROR(__xludf.DUMMYFUNCTION("""COMPUTED_VALUE"""),1248.95)</f>
        <v>1248.95</v>
      </c>
      <c r="M2473" s="25">
        <f>IFERROR(__xludf.DUMMYFUNCTION("""COMPUTED_VALUE"""),734216.0)</f>
        <v>734216</v>
      </c>
    </row>
    <row r="2474">
      <c r="A2474" s="26">
        <f>IFERROR(__xludf.DUMMYFUNCTION("""COMPUTED_VALUE"""),42018.64583333333)</f>
        <v>42018.64583</v>
      </c>
      <c r="B2474" s="9">
        <f>IFERROR(__xludf.DUMMYFUNCTION("""COMPUTED_VALUE"""),524.63)</f>
        <v>524.63</v>
      </c>
      <c r="C2474" s="9">
        <f>IFERROR(__xludf.DUMMYFUNCTION("""COMPUTED_VALUE"""),533.25)</f>
        <v>533.25</v>
      </c>
      <c r="D2474" s="9">
        <f>IFERROR(__xludf.DUMMYFUNCTION("""COMPUTED_VALUE"""),523.15)</f>
        <v>523.15</v>
      </c>
      <c r="E2474" s="9">
        <f>IFERROR(__xludf.DUMMYFUNCTION("""COMPUTED_VALUE"""),532.16)</f>
        <v>532.16</v>
      </c>
      <c r="F2474" s="9">
        <f>IFERROR(__xludf.DUMMYFUNCTION("""COMPUTED_VALUE"""),2480315.0)</f>
        <v>2480315</v>
      </c>
      <c r="H2474" s="27">
        <f>IFERROR(__xludf.DUMMYFUNCTION("""COMPUTED_VALUE"""),42018.64583333333)</f>
        <v>42018.64583</v>
      </c>
      <c r="I2474" s="25">
        <f>IFERROR(__xludf.DUMMYFUNCTION("""COMPUTED_VALUE"""),1258.0)</f>
        <v>1258</v>
      </c>
      <c r="J2474" s="25">
        <f>IFERROR(__xludf.DUMMYFUNCTION("""COMPUTED_VALUE"""),1265.9)</f>
        <v>1265.9</v>
      </c>
      <c r="K2474" s="25">
        <f>IFERROR(__xludf.DUMMYFUNCTION("""COMPUTED_VALUE"""),1250.25)</f>
        <v>1250.25</v>
      </c>
      <c r="L2474" s="25">
        <f>IFERROR(__xludf.DUMMYFUNCTION("""COMPUTED_VALUE"""),1260.97)</f>
        <v>1260.97</v>
      </c>
      <c r="M2474" s="25">
        <f>IFERROR(__xludf.DUMMYFUNCTION("""COMPUTED_VALUE"""),893548.0)</f>
        <v>893548</v>
      </c>
    </row>
    <row r="2475">
      <c r="A2475" s="26">
        <f>IFERROR(__xludf.DUMMYFUNCTION("""COMPUTED_VALUE"""),42019.64583333333)</f>
        <v>42019.64583</v>
      </c>
      <c r="B2475" s="9">
        <f>IFERROR(__xludf.DUMMYFUNCTION("""COMPUTED_VALUE"""),533.8)</f>
        <v>533.8</v>
      </c>
      <c r="C2475" s="9">
        <f>IFERROR(__xludf.DUMMYFUNCTION("""COMPUTED_VALUE"""),538.2)</f>
        <v>538.2</v>
      </c>
      <c r="D2475" s="9">
        <f>IFERROR(__xludf.DUMMYFUNCTION("""COMPUTED_VALUE"""),528.06)</f>
        <v>528.06</v>
      </c>
      <c r="E2475" s="9">
        <f>IFERROR(__xludf.DUMMYFUNCTION("""COMPUTED_VALUE"""),533.56)</f>
        <v>533.56</v>
      </c>
      <c r="F2475" s="9">
        <f>IFERROR(__xludf.DUMMYFUNCTION("""COMPUTED_VALUE"""),2085613.0)</f>
        <v>2085613</v>
      </c>
      <c r="H2475" s="27">
        <f>IFERROR(__xludf.DUMMYFUNCTION("""COMPUTED_VALUE"""),42019.64583333333)</f>
        <v>42019.64583</v>
      </c>
      <c r="I2475" s="25">
        <f>IFERROR(__xludf.DUMMYFUNCTION("""COMPUTED_VALUE"""),1266.5)</f>
        <v>1266.5</v>
      </c>
      <c r="J2475" s="25">
        <f>IFERROR(__xludf.DUMMYFUNCTION("""COMPUTED_VALUE"""),1290.88)</f>
        <v>1290.88</v>
      </c>
      <c r="K2475" s="25">
        <f>IFERROR(__xludf.DUMMYFUNCTION("""COMPUTED_VALUE"""),1261.63)</f>
        <v>1261.63</v>
      </c>
      <c r="L2475" s="25">
        <f>IFERROR(__xludf.DUMMYFUNCTION("""COMPUTED_VALUE"""),1269.55)</f>
        <v>1269.55</v>
      </c>
      <c r="M2475" s="25">
        <f>IFERROR(__xludf.DUMMYFUNCTION("""COMPUTED_VALUE"""),2504960.0)</f>
        <v>2504960</v>
      </c>
    </row>
    <row r="2476">
      <c r="A2476" s="26">
        <f>IFERROR(__xludf.DUMMYFUNCTION("""COMPUTED_VALUE"""),42020.64583333333)</f>
        <v>42020.64583</v>
      </c>
      <c r="B2476" s="9">
        <f>IFERROR(__xludf.DUMMYFUNCTION("""COMPUTED_VALUE"""),537.0)</f>
        <v>537</v>
      </c>
      <c r="C2476" s="9">
        <f>IFERROR(__xludf.DUMMYFUNCTION("""COMPUTED_VALUE"""),540.0)</f>
        <v>540</v>
      </c>
      <c r="D2476" s="9">
        <f>IFERROR(__xludf.DUMMYFUNCTION("""COMPUTED_VALUE"""),528.0)</f>
        <v>528</v>
      </c>
      <c r="E2476" s="9">
        <f>IFERROR(__xludf.DUMMYFUNCTION("""COMPUTED_VALUE"""),529.58)</f>
        <v>529.58</v>
      </c>
      <c r="F2476" s="9">
        <f>IFERROR(__xludf.DUMMYFUNCTION("""COMPUTED_VALUE"""),1672740.0)</f>
        <v>1672740</v>
      </c>
      <c r="H2476" s="27">
        <f>IFERROR(__xludf.DUMMYFUNCTION("""COMPUTED_VALUE"""),42020.64583333333)</f>
        <v>42020.64583</v>
      </c>
      <c r="I2476" s="25">
        <f>IFERROR(__xludf.DUMMYFUNCTION("""COMPUTED_VALUE"""),1271.85)</f>
        <v>1271.85</v>
      </c>
      <c r="J2476" s="25">
        <f>IFERROR(__xludf.DUMMYFUNCTION("""COMPUTED_VALUE"""),1272.5)</f>
        <v>1272.5</v>
      </c>
      <c r="K2476" s="25">
        <f>IFERROR(__xludf.DUMMYFUNCTION("""COMPUTED_VALUE"""),1242.15)</f>
        <v>1242.15</v>
      </c>
      <c r="L2476" s="25">
        <f>IFERROR(__xludf.DUMMYFUNCTION("""COMPUTED_VALUE"""),1266.08)</f>
        <v>1266.08</v>
      </c>
      <c r="M2476" s="25">
        <f>IFERROR(__xludf.DUMMYFUNCTION("""COMPUTED_VALUE"""),2646915.0)</f>
        <v>2646915</v>
      </c>
    </row>
    <row r="2477">
      <c r="A2477" s="26">
        <f>IFERROR(__xludf.DUMMYFUNCTION("""COMPUTED_VALUE"""),42023.64583333333)</f>
        <v>42023.64583</v>
      </c>
      <c r="B2477" s="9">
        <f>IFERROR(__xludf.DUMMYFUNCTION("""COMPUTED_VALUE"""),530.0)</f>
        <v>530</v>
      </c>
      <c r="C2477" s="9">
        <f>IFERROR(__xludf.DUMMYFUNCTION("""COMPUTED_VALUE"""),533.09)</f>
        <v>533.09</v>
      </c>
      <c r="D2477" s="9">
        <f>IFERROR(__xludf.DUMMYFUNCTION("""COMPUTED_VALUE"""),523.65)</f>
        <v>523.65</v>
      </c>
      <c r="E2477" s="9">
        <f>IFERROR(__xludf.DUMMYFUNCTION("""COMPUTED_VALUE"""),525.63)</f>
        <v>525.63</v>
      </c>
      <c r="F2477" s="9">
        <f>IFERROR(__xludf.DUMMYFUNCTION("""COMPUTED_VALUE"""),1021936.0)</f>
        <v>1021936</v>
      </c>
      <c r="H2477" s="27">
        <f>IFERROR(__xludf.DUMMYFUNCTION("""COMPUTED_VALUE"""),42023.64583333333)</f>
        <v>42023.64583</v>
      </c>
      <c r="I2477" s="25">
        <f>IFERROR(__xludf.DUMMYFUNCTION("""COMPUTED_VALUE"""),1268.0)</f>
        <v>1268</v>
      </c>
      <c r="J2477" s="25">
        <f>IFERROR(__xludf.DUMMYFUNCTION("""COMPUTED_VALUE"""),1275.5)</f>
        <v>1275.5</v>
      </c>
      <c r="K2477" s="25">
        <f>IFERROR(__xludf.DUMMYFUNCTION("""COMPUTED_VALUE"""),1251.5)</f>
        <v>1251.5</v>
      </c>
      <c r="L2477" s="25">
        <f>IFERROR(__xludf.DUMMYFUNCTION("""COMPUTED_VALUE"""),1255.5)</f>
        <v>1255.5</v>
      </c>
      <c r="M2477" s="25">
        <f>IFERROR(__xludf.DUMMYFUNCTION("""COMPUTED_VALUE"""),567537.0)</f>
        <v>567537</v>
      </c>
    </row>
    <row r="2478">
      <c r="A2478" s="26">
        <f>IFERROR(__xludf.DUMMYFUNCTION("""COMPUTED_VALUE"""),42024.64583333333)</f>
        <v>42024.64583</v>
      </c>
      <c r="B2478" s="9">
        <f>IFERROR(__xludf.DUMMYFUNCTION("""COMPUTED_VALUE"""),526.75)</f>
        <v>526.75</v>
      </c>
      <c r="C2478" s="9">
        <f>IFERROR(__xludf.DUMMYFUNCTION("""COMPUTED_VALUE"""),533.25)</f>
        <v>533.25</v>
      </c>
      <c r="D2478" s="9">
        <f>IFERROR(__xludf.DUMMYFUNCTION("""COMPUTED_VALUE"""),525.36)</f>
        <v>525.36</v>
      </c>
      <c r="E2478" s="9">
        <f>IFERROR(__xludf.DUMMYFUNCTION("""COMPUTED_VALUE"""),531.05)</f>
        <v>531.05</v>
      </c>
      <c r="F2478" s="9">
        <f>IFERROR(__xludf.DUMMYFUNCTION("""COMPUTED_VALUE"""),1701126.0)</f>
        <v>1701126</v>
      </c>
      <c r="H2478" s="27">
        <f>IFERROR(__xludf.DUMMYFUNCTION("""COMPUTED_VALUE"""),42024.64583333333)</f>
        <v>42024.64583</v>
      </c>
      <c r="I2478" s="25">
        <f>IFERROR(__xludf.DUMMYFUNCTION("""COMPUTED_VALUE"""),1260.0)</f>
        <v>1260</v>
      </c>
      <c r="J2478" s="25">
        <f>IFERROR(__xludf.DUMMYFUNCTION("""COMPUTED_VALUE"""),1265.0)</f>
        <v>1265</v>
      </c>
      <c r="K2478" s="25">
        <f>IFERROR(__xludf.DUMMYFUNCTION("""COMPUTED_VALUE"""),1241.63)</f>
        <v>1241.63</v>
      </c>
      <c r="L2478" s="25">
        <f>IFERROR(__xludf.DUMMYFUNCTION("""COMPUTED_VALUE"""),1250.22)</f>
        <v>1250.22</v>
      </c>
      <c r="M2478" s="25">
        <f>IFERROR(__xludf.DUMMYFUNCTION("""COMPUTED_VALUE"""),1029283.0)</f>
        <v>1029283</v>
      </c>
    </row>
    <row r="2479">
      <c r="A2479" s="26">
        <f>IFERROR(__xludf.DUMMYFUNCTION("""COMPUTED_VALUE"""),42025.64583333333)</f>
        <v>42025.64583</v>
      </c>
      <c r="B2479" s="9">
        <f>IFERROR(__xludf.DUMMYFUNCTION("""COMPUTED_VALUE"""),532.88)</f>
        <v>532.88</v>
      </c>
      <c r="C2479" s="9">
        <f>IFERROR(__xludf.DUMMYFUNCTION("""COMPUTED_VALUE"""),543.99)</f>
        <v>543.99</v>
      </c>
      <c r="D2479" s="9">
        <f>IFERROR(__xludf.DUMMYFUNCTION("""COMPUTED_VALUE"""),529.5)</f>
        <v>529.5</v>
      </c>
      <c r="E2479" s="9">
        <f>IFERROR(__xludf.DUMMYFUNCTION("""COMPUTED_VALUE"""),542.48)</f>
        <v>542.48</v>
      </c>
      <c r="F2479" s="9">
        <f>IFERROR(__xludf.DUMMYFUNCTION("""COMPUTED_VALUE"""),2123727.0)</f>
        <v>2123727</v>
      </c>
      <c r="H2479" s="27">
        <f>IFERROR(__xludf.DUMMYFUNCTION("""COMPUTED_VALUE"""),42025.64583333333)</f>
        <v>42025.64583</v>
      </c>
      <c r="I2479" s="25">
        <f>IFERROR(__xludf.DUMMYFUNCTION("""COMPUTED_VALUE"""),1261.0)</f>
        <v>1261</v>
      </c>
      <c r="J2479" s="25">
        <f>IFERROR(__xludf.DUMMYFUNCTION("""COMPUTED_VALUE"""),1261.0)</f>
        <v>1261</v>
      </c>
      <c r="K2479" s="25">
        <f>IFERROR(__xludf.DUMMYFUNCTION("""COMPUTED_VALUE"""),1244.13)</f>
        <v>1244.13</v>
      </c>
      <c r="L2479" s="25">
        <f>IFERROR(__xludf.DUMMYFUNCTION("""COMPUTED_VALUE"""),1256.9)</f>
        <v>1256.9</v>
      </c>
      <c r="M2479" s="25">
        <f>IFERROR(__xludf.DUMMYFUNCTION("""COMPUTED_VALUE"""),1155240.0)</f>
        <v>1155240</v>
      </c>
    </row>
    <row r="2480">
      <c r="A2480" s="26">
        <f>IFERROR(__xludf.DUMMYFUNCTION("""COMPUTED_VALUE"""),42026.64583333333)</f>
        <v>42026.64583</v>
      </c>
      <c r="B2480" s="9">
        <f>IFERROR(__xludf.DUMMYFUNCTION("""COMPUTED_VALUE"""),543.7)</f>
        <v>543.7</v>
      </c>
      <c r="C2480" s="9">
        <f>IFERROR(__xludf.DUMMYFUNCTION("""COMPUTED_VALUE"""),550.75)</f>
        <v>550.75</v>
      </c>
      <c r="D2480" s="9">
        <f>IFERROR(__xludf.DUMMYFUNCTION("""COMPUTED_VALUE"""),540.33)</f>
        <v>540.33</v>
      </c>
      <c r="E2480" s="9">
        <f>IFERROR(__xludf.DUMMYFUNCTION("""COMPUTED_VALUE"""),549.11)</f>
        <v>549.11</v>
      </c>
      <c r="F2480" s="9">
        <f>IFERROR(__xludf.DUMMYFUNCTION("""COMPUTED_VALUE"""),2489599.0)</f>
        <v>2489599</v>
      </c>
      <c r="H2480" s="27">
        <f>IFERROR(__xludf.DUMMYFUNCTION("""COMPUTED_VALUE"""),42026.64583333333)</f>
        <v>42026.64583</v>
      </c>
      <c r="I2480" s="25">
        <f>IFERROR(__xludf.DUMMYFUNCTION("""COMPUTED_VALUE"""),1258.25)</f>
        <v>1258.25</v>
      </c>
      <c r="J2480" s="25">
        <f>IFERROR(__xludf.DUMMYFUNCTION("""COMPUTED_VALUE"""),1260.63)</f>
        <v>1260.63</v>
      </c>
      <c r="K2480" s="25">
        <f>IFERROR(__xludf.DUMMYFUNCTION("""COMPUTED_VALUE"""),1247.75)</f>
        <v>1247.75</v>
      </c>
      <c r="L2480" s="25">
        <f>IFERROR(__xludf.DUMMYFUNCTION("""COMPUTED_VALUE"""),1256.78)</f>
        <v>1256.78</v>
      </c>
      <c r="M2480" s="25">
        <f>IFERROR(__xludf.DUMMYFUNCTION("""COMPUTED_VALUE"""),1056607.0)</f>
        <v>1056607</v>
      </c>
    </row>
    <row r="2481">
      <c r="A2481" s="26">
        <f>IFERROR(__xludf.DUMMYFUNCTION("""COMPUTED_VALUE"""),42027.64583333333)</f>
        <v>42027.64583</v>
      </c>
      <c r="B2481" s="9">
        <f>IFERROR(__xludf.DUMMYFUNCTION("""COMPUTED_VALUE"""),550.0)</f>
        <v>550</v>
      </c>
      <c r="C2481" s="9">
        <f>IFERROR(__xludf.DUMMYFUNCTION("""COMPUTED_VALUE"""),556.25)</f>
        <v>556.25</v>
      </c>
      <c r="D2481" s="9">
        <f>IFERROR(__xludf.DUMMYFUNCTION("""COMPUTED_VALUE"""),541.28)</f>
        <v>541.28</v>
      </c>
      <c r="E2481" s="9">
        <f>IFERROR(__xludf.DUMMYFUNCTION("""COMPUTED_VALUE"""),553.76)</f>
        <v>553.76</v>
      </c>
      <c r="F2481" s="9">
        <f>IFERROR(__xludf.DUMMYFUNCTION("""COMPUTED_VALUE"""),2371582.0)</f>
        <v>2371582</v>
      </c>
      <c r="H2481" s="27">
        <f>IFERROR(__xludf.DUMMYFUNCTION("""COMPUTED_VALUE"""),42027.64583333333)</f>
        <v>42027.64583</v>
      </c>
      <c r="I2481" s="25">
        <f>IFERROR(__xludf.DUMMYFUNCTION("""COMPUTED_VALUE"""),1257.0)</f>
        <v>1257</v>
      </c>
      <c r="J2481" s="25">
        <f>IFERROR(__xludf.DUMMYFUNCTION("""COMPUTED_VALUE"""),1266.03)</f>
        <v>1266.03</v>
      </c>
      <c r="K2481" s="25">
        <f>IFERROR(__xludf.DUMMYFUNCTION("""COMPUTED_VALUE"""),1248.05)</f>
        <v>1248.05</v>
      </c>
      <c r="L2481" s="25">
        <f>IFERROR(__xludf.DUMMYFUNCTION("""COMPUTED_VALUE"""),1251.8)</f>
        <v>1251.8</v>
      </c>
      <c r="M2481" s="25">
        <f>IFERROR(__xludf.DUMMYFUNCTION("""COMPUTED_VALUE"""),1575190.0)</f>
        <v>1575190</v>
      </c>
    </row>
    <row r="2482">
      <c r="A2482" s="26">
        <f>IFERROR(__xludf.DUMMYFUNCTION("""COMPUTED_VALUE"""),42031.64583333333)</f>
        <v>42031.64583</v>
      </c>
      <c r="B2482" s="9">
        <f>IFERROR(__xludf.DUMMYFUNCTION("""COMPUTED_VALUE"""),555.25)</f>
        <v>555.25</v>
      </c>
      <c r="C2482" s="9">
        <f>IFERROR(__xludf.DUMMYFUNCTION("""COMPUTED_VALUE"""),555.25)</f>
        <v>555.25</v>
      </c>
      <c r="D2482" s="9">
        <f>IFERROR(__xludf.DUMMYFUNCTION("""COMPUTED_VALUE"""),532.53)</f>
        <v>532.53</v>
      </c>
      <c r="E2482" s="9">
        <f>IFERROR(__xludf.DUMMYFUNCTION("""COMPUTED_VALUE"""),534.13)</f>
        <v>534.13</v>
      </c>
      <c r="F2482" s="9">
        <f>IFERROR(__xludf.DUMMYFUNCTION("""COMPUTED_VALUE"""),3434992.0)</f>
        <v>3434992</v>
      </c>
      <c r="H2482" s="27">
        <f>IFERROR(__xludf.DUMMYFUNCTION("""COMPUTED_VALUE"""),42031.64583333333)</f>
        <v>42031.64583</v>
      </c>
      <c r="I2482" s="25">
        <f>IFERROR(__xludf.DUMMYFUNCTION("""COMPUTED_VALUE"""),1256.18)</f>
        <v>1256.18</v>
      </c>
      <c r="J2482" s="25">
        <f>IFERROR(__xludf.DUMMYFUNCTION("""COMPUTED_VALUE"""),1257.5)</f>
        <v>1257.5</v>
      </c>
      <c r="K2482" s="25">
        <f>IFERROR(__xludf.DUMMYFUNCTION("""COMPUTED_VALUE"""),1244.78)</f>
        <v>1244.78</v>
      </c>
      <c r="L2482" s="25">
        <f>IFERROR(__xludf.DUMMYFUNCTION("""COMPUTED_VALUE"""),1251.03)</f>
        <v>1251.03</v>
      </c>
      <c r="M2482" s="25">
        <f>IFERROR(__xludf.DUMMYFUNCTION("""COMPUTED_VALUE"""),1369368.0)</f>
        <v>1369368</v>
      </c>
    </row>
    <row r="2483">
      <c r="A2483" s="26">
        <f>IFERROR(__xludf.DUMMYFUNCTION("""COMPUTED_VALUE"""),42032.64583333333)</f>
        <v>42032.64583</v>
      </c>
      <c r="B2483" s="9">
        <f>IFERROR(__xludf.DUMMYFUNCTION("""COMPUTED_VALUE"""),537.5)</f>
        <v>537.5</v>
      </c>
      <c r="C2483" s="9">
        <f>IFERROR(__xludf.DUMMYFUNCTION("""COMPUTED_VALUE"""),538.7)</f>
        <v>538.7</v>
      </c>
      <c r="D2483" s="9">
        <f>IFERROR(__xludf.DUMMYFUNCTION("""COMPUTED_VALUE"""),532.58)</f>
        <v>532.58</v>
      </c>
      <c r="E2483" s="9">
        <f>IFERROR(__xludf.DUMMYFUNCTION("""COMPUTED_VALUE"""),536.14)</f>
        <v>536.14</v>
      </c>
      <c r="F2483" s="9">
        <f>IFERROR(__xludf.DUMMYFUNCTION("""COMPUTED_VALUE"""),3283589.0)</f>
        <v>3283589</v>
      </c>
      <c r="H2483" s="27">
        <f>IFERROR(__xludf.DUMMYFUNCTION("""COMPUTED_VALUE"""),42032.64583333333)</f>
        <v>42032.64583</v>
      </c>
      <c r="I2483" s="25">
        <f>IFERROR(__xludf.DUMMYFUNCTION("""COMPUTED_VALUE"""),1251.5)</f>
        <v>1251.5</v>
      </c>
      <c r="J2483" s="25">
        <f>IFERROR(__xludf.DUMMYFUNCTION("""COMPUTED_VALUE"""),1272.45)</f>
        <v>1272.45</v>
      </c>
      <c r="K2483" s="25">
        <f>IFERROR(__xludf.DUMMYFUNCTION("""COMPUTED_VALUE"""),1251.45)</f>
        <v>1251.45</v>
      </c>
      <c r="L2483" s="25">
        <f>IFERROR(__xludf.DUMMYFUNCTION("""COMPUTED_VALUE"""),1269.8)</f>
        <v>1269.8</v>
      </c>
      <c r="M2483" s="25">
        <f>IFERROR(__xludf.DUMMYFUNCTION("""COMPUTED_VALUE"""),1560990.0)</f>
        <v>1560990</v>
      </c>
    </row>
    <row r="2484">
      <c r="A2484" s="26">
        <f>IFERROR(__xludf.DUMMYFUNCTION("""COMPUTED_VALUE"""),42033.64583333333)</f>
        <v>42033.64583</v>
      </c>
      <c r="B2484" s="9">
        <f>IFERROR(__xludf.DUMMYFUNCTION("""COMPUTED_VALUE"""),536.25)</f>
        <v>536.25</v>
      </c>
      <c r="C2484" s="9">
        <f>IFERROR(__xludf.DUMMYFUNCTION("""COMPUTED_VALUE"""),537.48)</f>
        <v>537.48</v>
      </c>
      <c r="D2484" s="9">
        <f>IFERROR(__xludf.DUMMYFUNCTION("""COMPUTED_VALUE"""),531.9)</f>
        <v>531.9</v>
      </c>
      <c r="E2484" s="9">
        <f>IFERROR(__xludf.DUMMYFUNCTION("""COMPUTED_VALUE"""),536.38)</f>
        <v>536.38</v>
      </c>
      <c r="F2484" s="9">
        <f>IFERROR(__xludf.DUMMYFUNCTION("""COMPUTED_VALUE"""),3842356.0)</f>
        <v>3842356</v>
      </c>
      <c r="H2484" s="27">
        <f>IFERROR(__xludf.DUMMYFUNCTION("""COMPUTED_VALUE"""),42033.64583333333)</f>
        <v>42033.64583</v>
      </c>
      <c r="I2484" s="25">
        <f>IFERROR(__xludf.DUMMYFUNCTION("""COMPUTED_VALUE"""),1269.0)</f>
        <v>1269</v>
      </c>
      <c r="J2484" s="25">
        <f>IFERROR(__xludf.DUMMYFUNCTION("""COMPUTED_VALUE"""),1284.35)</f>
        <v>1284.35</v>
      </c>
      <c r="K2484" s="25">
        <f>IFERROR(__xludf.DUMMYFUNCTION("""COMPUTED_VALUE"""),1256.45)</f>
        <v>1256.45</v>
      </c>
      <c r="L2484" s="25">
        <f>IFERROR(__xludf.DUMMYFUNCTION("""COMPUTED_VALUE"""),1272.33)</f>
        <v>1272.33</v>
      </c>
      <c r="M2484" s="25">
        <f>IFERROR(__xludf.DUMMYFUNCTION("""COMPUTED_VALUE"""),1867196.0)</f>
        <v>1867196</v>
      </c>
    </row>
    <row r="2485">
      <c r="A2485" s="26">
        <f>IFERROR(__xludf.DUMMYFUNCTION("""COMPUTED_VALUE"""),42034.64583333333)</f>
        <v>42034.64583</v>
      </c>
      <c r="B2485" s="9">
        <f>IFERROR(__xludf.DUMMYFUNCTION("""COMPUTED_VALUE"""),540.38)</f>
        <v>540.38</v>
      </c>
      <c r="C2485" s="9">
        <f>IFERROR(__xludf.DUMMYFUNCTION("""COMPUTED_VALUE"""),540.64)</f>
        <v>540.64</v>
      </c>
      <c r="D2485" s="9">
        <f>IFERROR(__xludf.DUMMYFUNCTION("""COMPUTED_VALUE"""),531.74)</f>
        <v>531.74</v>
      </c>
      <c r="E2485" s="9">
        <f>IFERROR(__xludf.DUMMYFUNCTION("""COMPUTED_VALUE"""),535.48)</f>
        <v>535.48</v>
      </c>
      <c r="F2485" s="9">
        <f>IFERROR(__xludf.DUMMYFUNCTION("""COMPUTED_VALUE"""),2708436.0)</f>
        <v>2708436</v>
      </c>
      <c r="H2485" s="27">
        <f>IFERROR(__xludf.DUMMYFUNCTION("""COMPUTED_VALUE"""),42034.64583333333)</f>
        <v>42034.64583</v>
      </c>
      <c r="I2485" s="25">
        <f>IFERROR(__xludf.DUMMYFUNCTION("""COMPUTED_VALUE"""),1280.35)</f>
        <v>1280.35</v>
      </c>
      <c r="J2485" s="25">
        <f>IFERROR(__xludf.DUMMYFUNCTION("""COMPUTED_VALUE"""),1287.5)</f>
        <v>1287.5</v>
      </c>
      <c r="K2485" s="25">
        <f>IFERROR(__xludf.DUMMYFUNCTION("""COMPUTED_VALUE"""),1235.0)</f>
        <v>1235</v>
      </c>
      <c r="L2485" s="25">
        <f>IFERROR(__xludf.DUMMYFUNCTION("""COMPUTED_VALUE"""),1241.03)</f>
        <v>1241.03</v>
      </c>
      <c r="M2485" s="25">
        <f>IFERROR(__xludf.DUMMYFUNCTION("""COMPUTED_VALUE"""),2908701.0)</f>
        <v>2908701</v>
      </c>
    </row>
    <row r="2486">
      <c r="A2486" s="26">
        <f>IFERROR(__xludf.DUMMYFUNCTION("""COMPUTED_VALUE"""),42037.64583333333)</f>
        <v>42037.64583</v>
      </c>
      <c r="B2486" s="9">
        <f>IFERROR(__xludf.DUMMYFUNCTION("""COMPUTED_VALUE"""),535.38)</f>
        <v>535.38</v>
      </c>
      <c r="C2486" s="9">
        <f>IFERROR(__xludf.DUMMYFUNCTION("""COMPUTED_VALUE"""),538.0)</f>
        <v>538</v>
      </c>
      <c r="D2486" s="9">
        <f>IFERROR(__xludf.DUMMYFUNCTION("""COMPUTED_VALUE"""),531.51)</f>
        <v>531.51</v>
      </c>
      <c r="E2486" s="9">
        <f>IFERROR(__xludf.DUMMYFUNCTION("""COMPUTED_VALUE"""),534.21)</f>
        <v>534.21</v>
      </c>
      <c r="F2486" s="9">
        <f>IFERROR(__xludf.DUMMYFUNCTION("""COMPUTED_VALUE"""),2175635.0)</f>
        <v>2175635</v>
      </c>
      <c r="H2486" s="27">
        <f>IFERROR(__xludf.DUMMYFUNCTION("""COMPUTED_VALUE"""),42037.64583333333)</f>
        <v>42037.64583</v>
      </c>
      <c r="I2486" s="25">
        <f>IFERROR(__xludf.DUMMYFUNCTION("""COMPUTED_VALUE"""),1241.0)</f>
        <v>1241</v>
      </c>
      <c r="J2486" s="25">
        <f>IFERROR(__xludf.DUMMYFUNCTION("""COMPUTED_VALUE"""),1260.72)</f>
        <v>1260.72</v>
      </c>
      <c r="K2486" s="25">
        <f>IFERROR(__xludf.DUMMYFUNCTION("""COMPUTED_VALUE"""),1231.03)</f>
        <v>1231.03</v>
      </c>
      <c r="L2486" s="25">
        <f>IFERROR(__xludf.DUMMYFUNCTION("""COMPUTED_VALUE"""),1257.1)</f>
        <v>1257.1</v>
      </c>
      <c r="M2486" s="25">
        <f>IFERROR(__xludf.DUMMYFUNCTION("""COMPUTED_VALUE"""),1590901.0)</f>
        <v>1590901</v>
      </c>
    </row>
    <row r="2487">
      <c r="A2487" s="26">
        <f>IFERROR(__xludf.DUMMYFUNCTION("""COMPUTED_VALUE"""),42038.64583333333)</f>
        <v>42038.64583</v>
      </c>
      <c r="B2487" s="9">
        <f>IFERROR(__xludf.DUMMYFUNCTION("""COMPUTED_VALUE"""),534.21)</f>
        <v>534.21</v>
      </c>
      <c r="C2487" s="9">
        <f>IFERROR(__xludf.DUMMYFUNCTION("""COMPUTED_VALUE"""),534.99)</f>
        <v>534.99</v>
      </c>
      <c r="D2487" s="9">
        <f>IFERROR(__xludf.DUMMYFUNCTION("""COMPUTED_VALUE"""),525.5)</f>
        <v>525.5</v>
      </c>
      <c r="E2487" s="9">
        <f>IFERROR(__xludf.DUMMYFUNCTION("""COMPUTED_VALUE"""),530.23)</f>
        <v>530.23</v>
      </c>
      <c r="F2487" s="9">
        <f>IFERROR(__xludf.DUMMYFUNCTION("""COMPUTED_VALUE"""),1316489.0)</f>
        <v>1316489</v>
      </c>
      <c r="H2487" s="27">
        <f>IFERROR(__xludf.DUMMYFUNCTION("""COMPUTED_VALUE"""),42038.64583333333)</f>
        <v>42038.64583</v>
      </c>
      <c r="I2487" s="25">
        <f>IFERROR(__xludf.DUMMYFUNCTION("""COMPUTED_VALUE"""),1255.83)</f>
        <v>1255.83</v>
      </c>
      <c r="J2487" s="25">
        <f>IFERROR(__xludf.DUMMYFUNCTION("""COMPUTED_VALUE"""),1282.5)</f>
        <v>1282.5</v>
      </c>
      <c r="K2487" s="25">
        <f>IFERROR(__xludf.DUMMYFUNCTION("""COMPUTED_VALUE"""),1253.55)</f>
        <v>1253.55</v>
      </c>
      <c r="L2487" s="25">
        <f>IFERROR(__xludf.DUMMYFUNCTION("""COMPUTED_VALUE"""),1279.13)</f>
        <v>1279.13</v>
      </c>
      <c r="M2487" s="25">
        <f>IFERROR(__xludf.DUMMYFUNCTION("""COMPUTED_VALUE"""),1172527.0)</f>
        <v>1172527</v>
      </c>
    </row>
    <row r="2488">
      <c r="A2488" s="26">
        <f>IFERROR(__xludf.DUMMYFUNCTION("""COMPUTED_VALUE"""),42039.64583333333)</f>
        <v>42039.64583</v>
      </c>
      <c r="B2488" s="9">
        <f>IFERROR(__xludf.DUMMYFUNCTION("""COMPUTED_VALUE"""),534.98)</f>
        <v>534.98</v>
      </c>
      <c r="C2488" s="9">
        <f>IFERROR(__xludf.DUMMYFUNCTION("""COMPUTED_VALUE"""),537.5)</f>
        <v>537.5</v>
      </c>
      <c r="D2488" s="9">
        <f>IFERROR(__xludf.DUMMYFUNCTION("""COMPUTED_VALUE"""),531.6)</f>
        <v>531.6</v>
      </c>
      <c r="E2488" s="9">
        <f>IFERROR(__xludf.DUMMYFUNCTION("""COMPUTED_VALUE"""),535.71)</f>
        <v>535.71</v>
      </c>
      <c r="F2488" s="9">
        <f>IFERROR(__xludf.DUMMYFUNCTION("""COMPUTED_VALUE"""),1290004.0)</f>
        <v>1290004</v>
      </c>
      <c r="H2488" s="27">
        <f>IFERROR(__xludf.DUMMYFUNCTION("""COMPUTED_VALUE"""),42039.64583333333)</f>
        <v>42039.64583</v>
      </c>
      <c r="I2488" s="25">
        <f>IFERROR(__xludf.DUMMYFUNCTION("""COMPUTED_VALUE"""),1284.0)</f>
        <v>1284</v>
      </c>
      <c r="J2488" s="25">
        <f>IFERROR(__xludf.DUMMYFUNCTION("""COMPUTED_VALUE"""),1285.85)</f>
        <v>1285.85</v>
      </c>
      <c r="K2488" s="25">
        <f>IFERROR(__xludf.DUMMYFUNCTION("""COMPUTED_VALUE"""),1251.05)</f>
        <v>1251.05</v>
      </c>
      <c r="L2488" s="25">
        <f>IFERROR(__xludf.DUMMYFUNCTION("""COMPUTED_VALUE"""),1257.15)</f>
        <v>1257.15</v>
      </c>
      <c r="M2488" s="25">
        <f>IFERROR(__xludf.DUMMYFUNCTION("""COMPUTED_VALUE"""),1122709.0)</f>
        <v>1122709</v>
      </c>
    </row>
    <row r="2489">
      <c r="A2489" s="26">
        <f>IFERROR(__xludf.DUMMYFUNCTION("""COMPUTED_VALUE"""),42040.64583333333)</f>
        <v>42040.64583</v>
      </c>
      <c r="B2489" s="9">
        <f>IFERROR(__xludf.DUMMYFUNCTION("""COMPUTED_VALUE"""),537.7)</f>
        <v>537.7</v>
      </c>
      <c r="C2489" s="9">
        <f>IFERROR(__xludf.DUMMYFUNCTION("""COMPUTED_VALUE"""),555.0)</f>
        <v>555</v>
      </c>
      <c r="D2489" s="9">
        <f>IFERROR(__xludf.DUMMYFUNCTION("""COMPUTED_VALUE"""),537.0)</f>
        <v>537</v>
      </c>
      <c r="E2489" s="9">
        <f>IFERROR(__xludf.DUMMYFUNCTION("""COMPUTED_VALUE"""),548.45)</f>
        <v>548.45</v>
      </c>
      <c r="F2489" s="9">
        <f>IFERROR(__xludf.DUMMYFUNCTION("""COMPUTED_VALUE"""),2968984.0)</f>
        <v>2968984</v>
      </c>
      <c r="H2489" s="27">
        <f>IFERROR(__xludf.DUMMYFUNCTION("""COMPUTED_VALUE"""),42040.64583333333)</f>
        <v>42040.64583</v>
      </c>
      <c r="I2489" s="25">
        <f>IFERROR(__xludf.DUMMYFUNCTION("""COMPUTED_VALUE"""),1260.0)</f>
        <v>1260</v>
      </c>
      <c r="J2489" s="25">
        <f>IFERROR(__xludf.DUMMYFUNCTION("""COMPUTED_VALUE"""),1295.85)</f>
        <v>1295.85</v>
      </c>
      <c r="K2489" s="25">
        <f>IFERROR(__xludf.DUMMYFUNCTION("""COMPUTED_VALUE"""),1259.5)</f>
        <v>1259.5</v>
      </c>
      <c r="L2489" s="25">
        <f>IFERROR(__xludf.DUMMYFUNCTION("""COMPUTED_VALUE"""),1276.2)</f>
        <v>1276.2</v>
      </c>
      <c r="M2489" s="25">
        <f>IFERROR(__xludf.DUMMYFUNCTION("""COMPUTED_VALUE"""),2265084.0)</f>
        <v>2265084</v>
      </c>
    </row>
    <row r="2490">
      <c r="A2490" s="26">
        <f>IFERROR(__xludf.DUMMYFUNCTION("""COMPUTED_VALUE"""),42041.64583333333)</f>
        <v>42041.64583</v>
      </c>
      <c r="B2490" s="9">
        <f>IFERROR(__xludf.DUMMYFUNCTION("""COMPUTED_VALUE"""),551.25)</f>
        <v>551.25</v>
      </c>
      <c r="C2490" s="9">
        <f>IFERROR(__xludf.DUMMYFUNCTION("""COMPUTED_VALUE"""),561.95)</f>
        <v>561.95</v>
      </c>
      <c r="D2490" s="9">
        <f>IFERROR(__xludf.DUMMYFUNCTION("""COMPUTED_VALUE"""),547.13)</f>
        <v>547.13</v>
      </c>
      <c r="E2490" s="9">
        <f>IFERROR(__xludf.DUMMYFUNCTION("""COMPUTED_VALUE"""),557.63)</f>
        <v>557.63</v>
      </c>
      <c r="F2490" s="9">
        <f>IFERROR(__xludf.DUMMYFUNCTION("""COMPUTED_VALUE"""),1863432.0)</f>
        <v>1863432</v>
      </c>
      <c r="H2490" s="27">
        <f>IFERROR(__xludf.DUMMYFUNCTION("""COMPUTED_VALUE"""),42041.64583333333)</f>
        <v>42041.64583</v>
      </c>
      <c r="I2490" s="25">
        <f>IFERROR(__xludf.DUMMYFUNCTION("""COMPUTED_VALUE"""),1276.5)</f>
        <v>1276.5</v>
      </c>
      <c r="J2490" s="25">
        <f>IFERROR(__xludf.DUMMYFUNCTION("""COMPUTED_VALUE"""),1297.4)</f>
        <v>1297.4</v>
      </c>
      <c r="K2490" s="25">
        <f>IFERROR(__xludf.DUMMYFUNCTION("""COMPUTED_VALUE"""),1275.43)</f>
        <v>1275.43</v>
      </c>
      <c r="L2490" s="25">
        <f>IFERROR(__xludf.DUMMYFUNCTION("""COMPUTED_VALUE"""),1287.88)</f>
        <v>1287.88</v>
      </c>
      <c r="M2490" s="25">
        <f>IFERROR(__xludf.DUMMYFUNCTION("""COMPUTED_VALUE"""),1068208.0)</f>
        <v>1068208</v>
      </c>
    </row>
    <row r="2491">
      <c r="A2491" s="26">
        <f>IFERROR(__xludf.DUMMYFUNCTION("""COMPUTED_VALUE"""),42044.64583333333)</f>
        <v>42044.64583</v>
      </c>
      <c r="B2491" s="9">
        <f>IFERROR(__xludf.DUMMYFUNCTION("""COMPUTED_VALUE"""),550.0)</f>
        <v>550</v>
      </c>
      <c r="C2491" s="9">
        <f>IFERROR(__xludf.DUMMYFUNCTION("""COMPUTED_VALUE"""),563.5)</f>
        <v>563.5</v>
      </c>
      <c r="D2491" s="9">
        <f>IFERROR(__xludf.DUMMYFUNCTION("""COMPUTED_VALUE"""),550.0)</f>
        <v>550</v>
      </c>
      <c r="E2491" s="9">
        <f>IFERROR(__xludf.DUMMYFUNCTION("""COMPUTED_VALUE"""),562.23)</f>
        <v>562.23</v>
      </c>
      <c r="F2491" s="9">
        <f>IFERROR(__xludf.DUMMYFUNCTION("""COMPUTED_VALUE"""),1634217.0)</f>
        <v>1634217</v>
      </c>
      <c r="H2491" s="27">
        <f>IFERROR(__xludf.DUMMYFUNCTION("""COMPUTED_VALUE"""),42044.64583333333)</f>
        <v>42044.64583</v>
      </c>
      <c r="I2491" s="25">
        <f>IFERROR(__xludf.DUMMYFUNCTION("""COMPUTED_VALUE"""),1280.75)</f>
        <v>1280.75</v>
      </c>
      <c r="J2491" s="25">
        <f>IFERROR(__xludf.DUMMYFUNCTION("""COMPUTED_VALUE"""),1284.55)</f>
        <v>1284.55</v>
      </c>
      <c r="K2491" s="25">
        <f>IFERROR(__xludf.DUMMYFUNCTION("""COMPUTED_VALUE"""),1250.0)</f>
        <v>1250</v>
      </c>
      <c r="L2491" s="25">
        <f>IFERROR(__xludf.DUMMYFUNCTION("""COMPUTED_VALUE"""),1256.45)</f>
        <v>1256.45</v>
      </c>
      <c r="M2491" s="25">
        <f>IFERROR(__xludf.DUMMYFUNCTION("""COMPUTED_VALUE"""),1038216.0)</f>
        <v>1038216</v>
      </c>
    </row>
    <row r="2492">
      <c r="A2492" s="26">
        <f>IFERROR(__xludf.DUMMYFUNCTION("""COMPUTED_VALUE"""),42045.64583333333)</f>
        <v>42045.64583</v>
      </c>
      <c r="B2492" s="9">
        <f>IFERROR(__xludf.DUMMYFUNCTION("""COMPUTED_VALUE"""),560.75)</f>
        <v>560.75</v>
      </c>
      <c r="C2492" s="9">
        <f>IFERROR(__xludf.DUMMYFUNCTION("""COMPUTED_VALUE"""),574.5)</f>
        <v>574.5</v>
      </c>
      <c r="D2492" s="9">
        <f>IFERROR(__xludf.DUMMYFUNCTION("""COMPUTED_VALUE"""),560.25)</f>
        <v>560.25</v>
      </c>
      <c r="E2492" s="9">
        <f>IFERROR(__xludf.DUMMYFUNCTION("""COMPUTED_VALUE"""),569.58)</f>
        <v>569.58</v>
      </c>
      <c r="F2492" s="9">
        <f>IFERROR(__xludf.DUMMYFUNCTION("""COMPUTED_VALUE"""),2129230.0)</f>
        <v>2129230</v>
      </c>
      <c r="H2492" s="27">
        <f>IFERROR(__xludf.DUMMYFUNCTION("""COMPUTED_VALUE"""),42045.64583333333)</f>
        <v>42045.64583</v>
      </c>
      <c r="I2492" s="25">
        <f>IFERROR(__xludf.DUMMYFUNCTION("""COMPUTED_VALUE"""),1255.0)</f>
        <v>1255</v>
      </c>
      <c r="J2492" s="25">
        <f>IFERROR(__xludf.DUMMYFUNCTION("""COMPUTED_VALUE"""),1263.13)</f>
        <v>1263.13</v>
      </c>
      <c r="K2492" s="25">
        <f>IFERROR(__xludf.DUMMYFUNCTION("""COMPUTED_VALUE"""),1216.5)</f>
        <v>1216.5</v>
      </c>
      <c r="L2492" s="25">
        <f>IFERROR(__xludf.DUMMYFUNCTION("""COMPUTED_VALUE"""),1220.58)</f>
        <v>1220.58</v>
      </c>
      <c r="M2492" s="25">
        <f>IFERROR(__xludf.DUMMYFUNCTION("""COMPUTED_VALUE"""),1899527.0)</f>
        <v>1899527</v>
      </c>
    </row>
    <row r="2493">
      <c r="A2493" s="26">
        <f>IFERROR(__xludf.DUMMYFUNCTION("""COMPUTED_VALUE"""),42046.64583333333)</f>
        <v>42046.64583</v>
      </c>
      <c r="B2493" s="9">
        <f>IFERROR(__xludf.DUMMYFUNCTION("""COMPUTED_VALUE"""),570.13)</f>
        <v>570.13</v>
      </c>
      <c r="C2493" s="9">
        <f>IFERROR(__xludf.DUMMYFUNCTION("""COMPUTED_VALUE"""),573.3)</f>
        <v>573.3</v>
      </c>
      <c r="D2493" s="9">
        <f>IFERROR(__xludf.DUMMYFUNCTION("""COMPUTED_VALUE"""),564.06)</f>
        <v>564.06</v>
      </c>
      <c r="E2493" s="9">
        <f>IFERROR(__xludf.DUMMYFUNCTION("""COMPUTED_VALUE"""),571.21)</f>
        <v>571.21</v>
      </c>
      <c r="F2493" s="9">
        <f>IFERROR(__xludf.DUMMYFUNCTION("""COMPUTED_VALUE"""),1449243.0)</f>
        <v>1449243</v>
      </c>
      <c r="H2493" s="27">
        <f>IFERROR(__xludf.DUMMYFUNCTION("""COMPUTED_VALUE"""),42046.64583333333)</f>
        <v>42046.64583</v>
      </c>
      <c r="I2493" s="25">
        <f>IFERROR(__xludf.DUMMYFUNCTION("""COMPUTED_VALUE"""),1227.53)</f>
        <v>1227.53</v>
      </c>
      <c r="J2493" s="25">
        <f>IFERROR(__xludf.DUMMYFUNCTION("""COMPUTED_VALUE"""),1243.63)</f>
        <v>1243.63</v>
      </c>
      <c r="K2493" s="25">
        <f>IFERROR(__xludf.DUMMYFUNCTION("""COMPUTED_VALUE"""),1223.63)</f>
        <v>1223.63</v>
      </c>
      <c r="L2493" s="25">
        <f>IFERROR(__xludf.DUMMYFUNCTION("""COMPUTED_VALUE"""),1229.95)</f>
        <v>1229.95</v>
      </c>
      <c r="M2493" s="25">
        <f>IFERROR(__xludf.DUMMYFUNCTION("""COMPUTED_VALUE"""),1468761.0)</f>
        <v>1468761</v>
      </c>
    </row>
    <row r="2494">
      <c r="A2494" s="26">
        <f>IFERROR(__xludf.DUMMYFUNCTION("""COMPUTED_VALUE"""),42047.64583333333)</f>
        <v>42047.64583</v>
      </c>
      <c r="B2494" s="9">
        <f>IFERROR(__xludf.DUMMYFUNCTION("""COMPUTED_VALUE"""),570.75)</f>
        <v>570.75</v>
      </c>
      <c r="C2494" s="9">
        <f>IFERROR(__xludf.DUMMYFUNCTION("""COMPUTED_VALUE"""),580.49)</f>
        <v>580.49</v>
      </c>
      <c r="D2494" s="9">
        <f>IFERROR(__xludf.DUMMYFUNCTION("""COMPUTED_VALUE"""),568.25)</f>
        <v>568.25</v>
      </c>
      <c r="E2494" s="9">
        <f>IFERROR(__xludf.DUMMYFUNCTION("""COMPUTED_VALUE"""),577.8)</f>
        <v>577.8</v>
      </c>
      <c r="F2494" s="9">
        <f>IFERROR(__xludf.DUMMYFUNCTION("""COMPUTED_VALUE"""),1571884.0)</f>
        <v>1571884</v>
      </c>
      <c r="H2494" s="27">
        <f>IFERROR(__xludf.DUMMYFUNCTION("""COMPUTED_VALUE"""),42047.64583333333)</f>
        <v>42047.64583</v>
      </c>
      <c r="I2494" s="25">
        <f>IFERROR(__xludf.DUMMYFUNCTION("""COMPUTED_VALUE"""),1239.9)</f>
        <v>1239.9</v>
      </c>
      <c r="J2494" s="25">
        <f>IFERROR(__xludf.DUMMYFUNCTION("""COMPUTED_VALUE"""),1239.9)</f>
        <v>1239.9</v>
      </c>
      <c r="K2494" s="25">
        <f>IFERROR(__xludf.DUMMYFUNCTION("""COMPUTED_VALUE"""),1223.5)</f>
        <v>1223.5</v>
      </c>
      <c r="L2494" s="25">
        <f>IFERROR(__xludf.DUMMYFUNCTION("""COMPUTED_VALUE"""),1231.08)</f>
        <v>1231.08</v>
      </c>
      <c r="M2494" s="25">
        <f>IFERROR(__xludf.DUMMYFUNCTION("""COMPUTED_VALUE"""),1553990.0)</f>
        <v>1553990</v>
      </c>
    </row>
    <row r="2495">
      <c r="A2495" s="26">
        <f>IFERROR(__xludf.DUMMYFUNCTION("""COMPUTED_VALUE"""),42048.64583333333)</f>
        <v>42048.64583</v>
      </c>
      <c r="B2495" s="9">
        <f>IFERROR(__xludf.DUMMYFUNCTION("""COMPUTED_VALUE"""),574.9)</f>
        <v>574.9</v>
      </c>
      <c r="C2495" s="9">
        <f>IFERROR(__xludf.DUMMYFUNCTION("""COMPUTED_VALUE"""),581.67)</f>
        <v>581.67</v>
      </c>
      <c r="D2495" s="9">
        <f>IFERROR(__xludf.DUMMYFUNCTION("""COMPUTED_VALUE"""),571.5)</f>
        <v>571.5</v>
      </c>
      <c r="E2495" s="9">
        <f>IFERROR(__xludf.DUMMYFUNCTION("""COMPUTED_VALUE"""),574.03)</f>
        <v>574.03</v>
      </c>
      <c r="F2495" s="9">
        <f>IFERROR(__xludf.DUMMYFUNCTION("""COMPUTED_VALUE"""),1414379.0)</f>
        <v>1414379</v>
      </c>
      <c r="H2495" s="27">
        <f>IFERROR(__xludf.DUMMYFUNCTION("""COMPUTED_VALUE"""),42048.64583333333)</f>
        <v>42048.64583</v>
      </c>
      <c r="I2495" s="25">
        <f>IFERROR(__xludf.DUMMYFUNCTION("""COMPUTED_VALUE"""),1235.0)</f>
        <v>1235</v>
      </c>
      <c r="J2495" s="25">
        <f>IFERROR(__xludf.DUMMYFUNCTION("""COMPUTED_VALUE"""),1273.88)</f>
        <v>1273.88</v>
      </c>
      <c r="K2495" s="25">
        <f>IFERROR(__xludf.DUMMYFUNCTION("""COMPUTED_VALUE"""),1230.13)</f>
        <v>1230.13</v>
      </c>
      <c r="L2495" s="25">
        <f>IFERROR(__xludf.DUMMYFUNCTION("""COMPUTED_VALUE"""),1269.38)</f>
        <v>1269.38</v>
      </c>
      <c r="M2495" s="25">
        <f>IFERROR(__xludf.DUMMYFUNCTION("""COMPUTED_VALUE"""),2079163.0)</f>
        <v>2079163</v>
      </c>
    </row>
    <row r="2496">
      <c r="A2496" s="26">
        <f>IFERROR(__xludf.DUMMYFUNCTION("""COMPUTED_VALUE"""),42051.64583333333)</f>
        <v>42051.64583</v>
      </c>
      <c r="B2496" s="9">
        <f>IFERROR(__xludf.DUMMYFUNCTION("""COMPUTED_VALUE"""),570.08)</f>
        <v>570.08</v>
      </c>
      <c r="C2496" s="9">
        <f>IFERROR(__xludf.DUMMYFUNCTION("""COMPUTED_VALUE"""),576.73)</f>
        <v>576.73</v>
      </c>
      <c r="D2496" s="9">
        <f>IFERROR(__xludf.DUMMYFUNCTION("""COMPUTED_VALUE"""),566.31)</f>
        <v>566.31</v>
      </c>
      <c r="E2496" s="9">
        <f>IFERROR(__xludf.DUMMYFUNCTION("""COMPUTED_VALUE"""),569.69)</f>
        <v>569.69</v>
      </c>
      <c r="F2496" s="9">
        <f>IFERROR(__xludf.DUMMYFUNCTION("""COMPUTED_VALUE"""),1561069.0)</f>
        <v>1561069</v>
      </c>
      <c r="H2496" s="27">
        <f>IFERROR(__xludf.DUMMYFUNCTION("""COMPUTED_VALUE"""),42051.64583333333)</f>
        <v>42051.64583</v>
      </c>
      <c r="I2496" s="25">
        <f>IFERROR(__xludf.DUMMYFUNCTION("""COMPUTED_VALUE"""),1280.0)</f>
        <v>1280</v>
      </c>
      <c r="J2496" s="25">
        <f>IFERROR(__xludf.DUMMYFUNCTION("""COMPUTED_VALUE"""),1297.5)</f>
        <v>1297.5</v>
      </c>
      <c r="K2496" s="25">
        <f>IFERROR(__xludf.DUMMYFUNCTION("""COMPUTED_VALUE"""),1277.5)</f>
        <v>1277.5</v>
      </c>
      <c r="L2496" s="25">
        <f>IFERROR(__xludf.DUMMYFUNCTION("""COMPUTED_VALUE"""),1292.4)</f>
        <v>1292.4</v>
      </c>
      <c r="M2496" s="25">
        <f>IFERROR(__xludf.DUMMYFUNCTION("""COMPUTED_VALUE"""),1182196.0)</f>
        <v>1182196</v>
      </c>
    </row>
    <row r="2497">
      <c r="A2497" s="26">
        <f>IFERROR(__xludf.DUMMYFUNCTION("""COMPUTED_VALUE"""),42053.64583333333)</f>
        <v>42053.64583</v>
      </c>
      <c r="B2497" s="9">
        <f>IFERROR(__xludf.DUMMYFUNCTION("""COMPUTED_VALUE"""),572.64)</f>
        <v>572.64</v>
      </c>
      <c r="C2497" s="9">
        <f>IFERROR(__xludf.DUMMYFUNCTION("""COMPUTED_VALUE"""),576.24)</f>
        <v>576.24</v>
      </c>
      <c r="D2497" s="9">
        <f>IFERROR(__xludf.DUMMYFUNCTION("""COMPUTED_VALUE"""),564.54)</f>
        <v>564.54</v>
      </c>
      <c r="E2497" s="9">
        <f>IFERROR(__xludf.DUMMYFUNCTION("""COMPUTED_VALUE"""),574.13)</f>
        <v>574.13</v>
      </c>
      <c r="F2497" s="9">
        <f>IFERROR(__xludf.DUMMYFUNCTION("""COMPUTED_VALUE"""),2153441.0)</f>
        <v>2153441</v>
      </c>
      <c r="H2497" s="27">
        <f>IFERROR(__xludf.DUMMYFUNCTION("""COMPUTED_VALUE"""),42053.64583333333)</f>
        <v>42053.64583</v>
      </c>
      <c r="I2497" s="25">
        <f>IFERROR(__xludf.DUMMYFUNCTION("""COMPUTED_VALUE"""),1292.53)</f>
        <v>1292.53</v>
      </c>
      <c r="J2497" s="25">
        <f>IFERROR(__xludf.DUMMYFUNCTION("""COMPUTED_VALUE"""),1321.5)</f>
        <v>1321.5</v>
      </c>
      <c r="K2497" s="25">
        <f>IFERROR(__xludf.DUMMYFUNCTION("""COMPUTED_VALUE"""),1282.63)</f>
        <v>1282.63</v>
      </c>
      <c r="L2497" s="25">
        <f>IFERROR(__xludf.DUMMYFUNCTION("""COMPUTED_VALUE"""),1317.83)</f>
        <v>1317.83</v>
      </c>
      <c r="M2497" s="25">
        <f>IFERROR(__xludf.DUMMYFUNCTION("""COMPUTED_VALUE"""),1330007.0)</f>
        <v>1330007</v>
      </c>
    </row>
    <row r="2498">
      <c r="A2498" s="26">
        <f>IFERROR(__xludf.DUMMYFUNCTION("""COMPUTED_VALUE"""),42054.64583333333)</f>
        <v>42054.64583</v>
      </c>
      <c r="B2498" s="9">
        <f>IFERROR(__xludf.DUMMYFUNCTION("""COMPUTED_VALUE"""),573.5)</f>
        <v>573.5</v>
      </c>
      <c r="C2498" s="9">
        <f>IFERROR(__xludf.DUMMYFUNCTION("""COMPUTED_VALUE"""),583.5)</f>
        <v>583.5</v>
      </c>
      <c r="D2498" s="9">
        <f>IFERROR(__xludf.DUMMYFUNCTION("""COMPUTED_VALUE"""),573.01)</f>
        <v>573.01</v>
      </c>
      <c r="E2498" s="9">
        <f>IFERROR(__xludf.DUMMYFUNCTION("""COMPUTED_VALUE"""),581.17)</f>
        <v>581.17</v>
      </c>
      <c r="F2498" s="9">
        <f>IFERROR(__xludf.DUMMYFUNCTION("""COMPUTED_VALUE"""),2418406.0)</f>
        <v>2418406</v>
      </c>
      <c r="H2498" s="27">
        <f>IFERROR(__xludf.DUMMYFUNCTION("""COMPUTED_VALUE"""),42054.64583333333)</f>
        <v>42054.64583</v>
      </c>
      <c r="I2498" s="25">
        <f>IFERROR(__xludf.DUMMYFUNCTION("""COMPUTED_VALUE"""),1318.0)</f>
        <v>1318</v>
      </c>
      <c r="J2498" s="25">
        <f>IFERROR(__xludf.DUMMYFUNCTION("""COMPUTED_VALUE"""),1343.65)</f>
        <v>1343.65</v>
      </c>
      <c r="K2498" s="25">
        <f>IFERROR(__xludf.DUMMYFUNCTION("""COMPUTED_VALUE"""),1317.5)</f>
        <v>1317.5</v>
      </c>
      <c r="L2498" s="25">
        <f>IFERROR(__xludf.DUMMYFUNCTION("""COMPUTED_VALUE"""),1340.53)</f>
        <v>1340.53</v>
      </c>
      <c r="M2498" s="25">
        <f>IFERROR(__xludf.DUMMYFUNCTION("""COMPUTED_VALUE"""),1309001.0)</f>
        <v>1309001</v>
      </c>
    </row>
    <row r="2499">
      <c r="A2499" s="26">
        <f>IFERROR(__xludf.DUMMYFUNCTION("""COMPUTED_VALUE"""),42055.64583333333)</f>
        <v>42055.64583</v>
      </c>
      <c r="B2499" s="9">
        <f>IFERROR(__xludf.DUMMYFUNCTION("""COMPUTED_VALUE"""),582.13)</f>
        <v>582.13</v>
      </c>
      <c r="C2499" s="9">
        <f>IFERROR(__xludf.DUMMYFUNCTION("""COMPUTED_VALUE"""),584.0)</f>
        <v>584</v>
      </c>
      <c r="D2499" s="9">
        <f>IFERROR(__xludf.DUMMYFUNCTION("""COMPUTED_VALUE"""),569.23)</f>
        <v>569.23</v>
      </c>
      <c r="E2499" s="9">
        <f>IFERROR(__xludf.DUMMYFUNCTION("""COMPUTED_VALUE"""),570.78)</f>
        <v>570.78</v>
      </c>
      <c r="F2499" s="9">
        <f>IFERROR(__xludf.DUMMYFUNCTION("""COMPUTED_VALUE"""),1742907.0)</f>
        <v>1742907</v>
      </c>
      <c r="H2499" s="27">
        <f>IFERROR(__xludf.DUMMYFUNCTION("""COMPUTED_VALUE"""),42055.64583333333)</f>
        <v>42055.64583</v>
      </c>
      <c r="I2499" s="25">
        <f>IFERROR(__xludf.DUMMYFUNCTION("""COMPUTED_VALUE"""),1349.4)</f>
        <v>1349.4</v>
      </c>
      <c r="J2499" s="25">
        <f>IFERROR(__xludf.DUMMYFUNCTION("""COMPUTED_VALUE"""),1349.4)</f>
        <v>1349.4</v>
      </c>
      <c r="K2499" s="25">
        <f>IFERROR(__xludf.DUMMYFUNCTION("""COMPUTED_VALUE"""),1321.13)</f>
        <v>1321.13</v>
      </c>
      <c r="L2499" s="25">
        <f>IFERROR(__xludf.DUMMYFUNCTION("""COMPUTED_VALUE"""),1337.78)</f>
        <v>1337.78</v>
      </c>
      <c r="M2499" s="25">
        <f>IFERROR(__xludf.DUMMYFUNCTION("""COMPUTED_VALUE"""),900794.0)</f>
        <v>900794</v>
      </c>
    </row>
    <row r="2500">
      <c r="A2500" s="26">
        <f>IFERROR(__xludf.DUMMYFUNCTION("""COMPUTED_VALUE"""),42058.64583333333)</f>
        <v>42058.64583</v>
      </c>
      <c r="B2500" s="9">
        <f>IFERROR(__xludf.DUMMYFUNCTION("""COMPUTED_VALUE"""),575.0)</f>
        <v>575</v>
      </c>
      <c r="C2500" s="9">
        <f>IFERROR(__xludf.DUMMYFUNCTION("""COMPUTED_VALUE"""),577.3)</f>
        <v>577.3</v>
      </c>
      <c r="D2500" s="9">
        <f>IFERROR(__xludf.DUMMYFUNCTION("""COMPUTED_VALUE"""),562.03)</f>
        <v>562.03</v>
      </c>
      <c r="E2500" s="9">
        <f>IFERROR(__xludf.DUMMYFUNCTION("""COMPUTED_VALUE"""),566.4)</f>
        <v>566.4</v>
      </c>
      <c r="F2500" s="9">
        <f>IFERROR(__xludf.DUMMYFUNCTION("""COMPUTED_VALUE"""),1272622.0)</f>
        <v>1272622</v>
      </c>
      <c r="H2500" s="27">
        <f>IFERROR(__xludf.DUMMYFUNCTION("""COMPUTED_VALUE"""),42058.64583333333)</f>
        <v>42058.64583</v>
      </c>
      <c r="I2500" s="25">
        <f>IFERROR(__xludf.DUMMYFUNCTION("""COMPUTED_VALUE"""),1335.5)</f>
        <v>1335.5</v>
      </c>
      <c r="J2500" s="25">
        <f>IFERROR(__xludf.DUMMYFUNCTION("""COMPUTED_VALUE"""),1361.0)</f>
        <v>1361</v>
      </c>
      <c r="K2500" s="25">
        <f>IFERROR(__xludf.DUMMYFUNCTION("""COMPUTED_VALUE"""),1335.5)</f>
        <v>1335.5</v>
      </c>
      <c r="L2500" s="25">
        <f>IFERROR(__xludf.DUMMYFUNCTION("""COMPUTED_VALUE"""),1348.33)</f>
        <v>1348.33</v>
      </c>
      <c r="M2500" s="25">
        <f>IFERROR(__xludf.DUMMYFUNCTION("""COMPUTED_VALUE"""),807446.0)</f>
        <v>807446</v>
      </c>
    </row>
    <row r="2501">
      <c r="A2501" s="26">
        <f>IFERROR(__xludf.DUMMYFUNCTION("""COMPUTED_VALUE"""),42059.64583333333)</f>
        <v>42059.64583</v>
      </c>
      <c r="B2501" s="9">
        <f>IFERROR(__xludf.DUMMYFUNCTION("""COMPUTED_VALUE"""),569.75)</f>
        <v>569.75</v>
      </c>
      <c r="C2501" s="9">
        <f>IFERROR(__xludf.DUMMYFUNCTION("""COMPUTED_VALUE"""),573.99)</f>
        <v>573.99</v>
      </c>
      <c r="D2501" s="9">
        <f>IFERROR(__xludf.DUMMYFUNCTION("""COMPUTED_VALUE"""),564.4)</f>
        <v>564.4</v>
      </c>
      <c r="E2501" s="9">
        <f>IFERROR(__xludf.DUMMYFUNCTION("""COMPUTED_VALUE"""),568.2)</f>
        <v>568.2</v>
      </c>
      <c r="F2501" s="9">
        <f>IFERROR(__xludf.DUMMYFUNCTION("""COMPUTED_VALUE"""),1609419.0)</f>
        <v>1609419</v>
      </c>
      <c r="H2501" s="27">
        <f>IFERROR(__xludf.DUMMYFUNCTION("""COMPUTED_VALUE"""),42059.64583333333)</f>
        <v>42059.64583</v>
      </c>
      <c r="I2501" s="25">
        <f>IFERROR(__xludf.DUMMYFUNCTION("""COMPUTED_VALUE"""),1347.0)</f>
        <v>1347</v>
      </c>
      <c r="J2501" s="25">
        <f>IFERROR(__xludf.DUMMYFUNCTION("""COMPUTED_VALUE"""),1365.0)</f>
        <v>1365</v>
      </c>
      <c r="K2501" s="25">
        <f>IFERROR(__xludf.DUMMYFUNCTION("""COMPUTED_VALUE"""),1339.5)</f>
        <v>1339.5</v>
      </c>
      <c r="L2501" s="25">
        <f>IFERROR(__xludf.DUMMYFUNCTION("""COMPUTED_VALUE"""),1352.38)</f>
        <v>1352.38</v>
      </c>
      <c r="M2501" s="25">
        <f>IFERROR(__xludf.DUMMYFUNCTION("""COMPUTED_VALUE"""),1099961.0)</f>
        <v>1099961</v>
      </c>
    </row>
    <row r="2502">
      <c r="A2502" s="26">
        <f>IFERROR(__xludf.DUMMYFUNCTION("""COMPUTED_VALUE"""),42060.64583333333)</f>
        <v>42060.64583</v>
      </c>
      <c r="B2502" s="9">
        <f>IFERROR(__xludf.DUMMYFUNCTION("""COMPUTED_VALUE"""),572.23)</f>
        <v>572.23</v>
      </c>
      <c r="C2502" s="9">
        <f>IFERROR(__xludf.DUMMYFUNCTION("""COMPUTED_VALUE"""),583.7)</f>
        <v>583.7</v>
      </c>
      <c r="D2502" s="9">
        <f>IFERROR(__xludf.DUMMYFUNCTION("""COMPUTED_VALUE"""),570.0)</f>
        <v>570</v>
      </c>
      <c r="E2502" s="9">
        <f>IFERROR(__xludf.DUMMYFUNCTION("""COMPUTED_VALUE"""),579.4)</f>
        <v>579.4</v>
      </c>
      <c r="F2502" s="9">
        <f>IFERROR(__xludf.DUMMYFUNCTION("""COMPUTED_VALUE"""),1511243.0)</f>
        <v>1511243</v>
      </c>
      <c r="H2502" s="27">
        <f>IFERROR(__xludf.DUMMYFUNCTION("""COMPUTED_VALUE"""),42060.64583333333)</f>
        <v>42060.64583</v>
      </c>
      <c r="I2502" s="25">
        <f>IFERROR(__xludf.DUMMYFUNCTION("""COMPUTED_VALUE"""),1355.0)</f>
        <v>1355</v>
      </c>
      <c r="J2502" s="25">
        <f>IFERROR(__xludf.DUMMYFUNCTION("""COMPUTED_VALUE"""),1361.0)</f>
        <v>1361</v>
      </c>
      <c r="K2502" s="25">
        <f>IFERROR(__xludf.DUMMYFUNCTION("""COMPUTED_VALUE"""),1333.93)</f>
        <v>1333.93</v>
      </c>
      <c r="L2502" s="25">
        <f>IFERROR(__xludf.DUMMYFUNCTION("""COMPUTED_VALUE"""),1336.1)</f>
        <v>1336.1</v>
      </c>
      <c r="M2502" s="25">
        <f>IFERROR(__xludf.DUMMYFUNCTION("""COMPUTED_VALUE"""),883997.0)</f>
        <v>883997</v>
      </c>
    </row>
    <row r="2503">
      <c r="A2503" s="26">
        <f>IFERROR(__xludf.DUMMYFUNCTION("""COMPUTED_VALUE"""),42061.64583333333)</f>
        <v>42061.64583</v>
      </c>
      <c r="B2503" s="9">
        <f>IFERROR(__xludf.DUMMYFUNCTION("""COMPUTED_VALUE"""),576.88)</f>
        <v>576.88</v>
      </c>
      <c r="C2503" s="9">
        <f>IFERROR(__xludf.DUMMYFUNCTION("""COMPUTED_VALUE"""),577.25)</f>
        <v>577.25</v>
      </c>
      <c r="D2503" s="9">
        <f>IFERROR(__xludf.DUMMYFUNCTION("""COMPUTED_VALUE"""),561.35)</f>
        <v>561.35</v>
      </c>
      <c r="E2503" s="9">
        <f>IFERROR(__xludf.DUMMYFUNCTION("""COMPUTED_VALUE"""),564.53)</f>
        <v>564.53</v>
      </c>
      <c r="F2503" s="9">
        <f>IFERROR(__xludf.DUMMYFUNCTION("""COMPUTED_VALUE"""),1611444.0)</f>
        <v>1611444</v>
      </c>
      <c r="H2503" s="27">
        <f>IFERROR(__xludf.DUMMYFUNCTION("""COMPUTED_VALUE"""),42061.64583333333)</f>
        <v>42061.64583</v>
      </c>
      <c r="I2503" s="25">
        <f>IFERROR(__xludf.DUMMYFUNCTION("""COMPUTED_VALUE"""),1339.5)</f>
        <v>1339.5</v>
      </c>
      <c r="J2503" s="25">
        <f>IFERROR(__xludf.DUMMYFUNCTION("""COMPUTED_VALUE"""),1346.38)</f>
        <v>1346.38</v>
      </c>
      <c r="K2503" s="25">
        <f>IFERROR(__xludf.DUMMYFUNCTION("""COMPUTED_VALUE"""),1312.68)</f>
        <v>1312.68</v>
      </c>
      <c r="L2503" s="25">
        <f>IFERROR(__xludf.DUMMYFUNCTION("""COMPUTED_VALUE"""),1328.23)</f>
        <v>1328.23</v>
      </c>
      <c r="M2503" s="25">
        <f>IFERROR(__xludf.DUMMYFUNCTION("""COMPUTED_VALUE"""),995997.0)</f>
        <v>995997</v>
      </c>
    </row>
    <row r="2504">
      <c r="A2504" s="26">
        <f>IFERROR(__xludf.DUMMYFUNCTION("""COMPUTED_VALUE"""),42062.64583333333)</f>
        <v>42062.64583</v>
      </c>
      <c r="B2504" s="9">
        <f>IFERROR(__xludf.DUMMYFUNCTION("""COMPUTED_VALUE"""),568.73)</f>
        <v>568.73</v>
      </c>
      <c r="C2504" s="9">
        <f>IFERROR(__xludf.DUMMYFUNCTION("""COMPUTED_VALUE"""),570.16)</f>
        <v>570.16</v>
      </c>
      <c r="D2504" s="9">
        <f>IFERROR(__xludf.DUMMYFUNCTION("""COMPUTED_VALUE"""),562.88)</f>
        <v>562.88</v>
      </c>
      <c r="E2504" s="9">
        <f>IFERROR(__xludf.DUMMYFUNCTION("""COMPUTED_VALUE"""),566.44)</f>
        <v>566.44</v>
      </c>
      <c r="F2504" s="9">
        <f>IFERROR(__xludf.DUMMYFUNCTION("""COMPUTED_VALUE"""),1950269.0)</f>
        <v>1950269</v>
      </c>
      <c r="H2504" s="27">
        <f>IFERROR(__xludf.DUMMYFUNCTION("""COMPUTED_VALUE"""),42062.64583333333)</f>
        <v>42062.64583</v>
      </c>
      <c r="I2504" s="25">
        <f>IFERROR(__xludf.DUMMYFUNCTION("""COMPUTED_VALUE"""),1329.73)</f>
        <v>1329.73</v>
      </c>
      <c r="J2504" s="25">
        <f>IFERROR(__xludf.DUMMYFUNCTION("""COMPUTED_VALUE"""),1337.88)</f>
        <v>1337.88</v>
      </c>
      <c r="K2504" s="25">
        <f>IFERROR(__xludf.DUMMYFUNCTION("""COMPUTED_VALUE"""),1308.15)</f>
        <v>1308.15</v>
      </c>
      <c r="L2504" s="25">
        <f>IFERROR(__xludf.DUMMYFUNCTION("""COMPUTED_VALUE"""),1331.18)</f>
        <v>1331.18</v>
      </c>
      <c r="M2504" s="25">
        <f>IFERROR(__xludf.DUMMYFUNCTION("""COMPUTED_VALUE"""),1438688.0)</f>
        <v>1438688</v>
      </c>
    </row>
    <row r="2505">
      <c r="A2505" s="26">
        <f>IFERROR(__xludf.DUMMYFUNCTION("""COMPUTED_VALUE"""),42065.64583333333)</f>
        <v>42065.64583</v>
      </c>
      <c r="B2505" s="9">
        <f>IFERROR(__xludf.DUMMYFUNCTION("""COMPUTED_VALUE"""),575.75)</f>
        <v>575.75</v>
      </c>
      <c r="C2505" s="9">
        <f>IFERROR(__xludf.DUMMYFUNCTION("""COMPUTED_VALUE"""),577.13)</f>
        <v>577.13</v>
      </c>
      <c r="D2505" s="9">
        <f>IFERROR(__xludf.DUMMYFUNCTION("""COMPUTED_VALUE"""),569.51)</f>
        <v>569.51</v>
      </c>
      <c r="E2505" s="9">
        <f>IFERROR(__xludf.DUMMYFUNCTION("""COMPUTED_VALUE"""),572.92)</f>
        <v>572.92</v>
      </c>
      <c r="F2505" s="9">
        <f>IFERROR(__xludf.DUMMYFUNCTION("""COMPUTED_VALUE"""),1760248.0)</f>
        <v>1760248</v>
      </c>
      <c r="H2505" s="27">
        <f>IFERROR(__xludf.DUMMYFUNCTION("""COMPUTED_VALUE"""),42065.64583333333)</f>
        <v>42065.64583</v>
      </c>
      <c r="I2505" s="25">
        <f>IFERROR(__xludf.DUMMYFUNCTION("""COMPUTED_VALUE"""),1339.85)</f>
        <v>1339.85</v>
      </c>
      <c r="J2505" s="25">
        <f>IFERROR(__xludf.DUMMYFUNCTION("""COMPUTED_VALUE"""),1354.48)</f>
        <v>1354.48</v>
      </c>
      <c r="K2505" s="25">
        <f>IFERROR(__xludf.DUMMYFUNCTION("""COMPUTED_VALUE"""),1326.28)</f>
        <v>1326.28</v>
      </c>
      <c r="L2505" s="25">
        <f>IFERROR(__xludf.DUMMYFUNCTION("""COMPUTED_VALUE"""),1334.7)</f>
        <v>1334.7</v>
      </c>
      <c r="M2505" s="25">
        <f>IFERROR(__xludf.DUMMYFUNCTION("""COMPUTED_VALUE"""),1088019.0)</f>
        <v>1088019</v>
      </c>
    </row>
    <row r="2506">
      <c r="A2506" s="26">
        <f>IFERROR(__xludf.DUMMYFUNCTION("""COMPUTED_VALUE"""),42066.64583333333)</f>
        <v>42066.64583</v>
      </c>
      <c r="B2506" s="9">
        <f>IFERROR(__xludf.DUMMYFUNCTION("""COMPUTED_VALUE"""),572.5)</f>
        <v>572.5</v>
      </c>
      <c r="C2506" s="9">
        <f>IFERROR(__xludf.DUMMYFUNCTION("""COMPUTED_VALUE"""),575.74)</f>
        <v>575.74</v>
      </c>
      <c r="D2506" s="9">
        <f>IFERROR(__xludf.DUMMYFUNCTION("""COMPUTED_VALUE"""),569.58)</f>
        <v>569.58</v>
      </c>
      <c r="E2506" s="9">
        <f>IFERROR(__xludf.DUMMYFUNCTION("""COMPUTED_VALUE"""),574.46)</f>
        <v>574.46</v>
      </c>
      <c r="F2506" s="9">
        <f>IFERROR(__xludf.DUMMYFUNCTION("""COMPUTED_VALUE"""),1226388.0)</f>
        <v>1226388</v>
      </c>
      <c r="H2506" s="27">
        <f>IFERROR(__xludf.DUMMYFUNCTION("""COMPUTED_VALUE"""),42066.64583333333)</f>
        <v>42066.64583</v>
      </c>
      <c r="I2506" s="25">
        <f>IFERROR(__xludf.DUMMYFUNCTION("""COMPUTED_VALUE"""),1341.0)</f>
        <v>1341</v>
      </c>
      <c r="J2506" s="25">
        <f>IFERROR(__xludf.DUMMYFUNCTION("""COMPUTED_VALUE"""),1395.0)</f>
        <v>1395</v>
      </c>
      <c r="K2506" s="25">
        <f>IFERROR(__xludf.DUMMYFUNCTION("""COMPUTED_VALUE"""),1338.08)</f>
        <v>1338.08</v>
      </c>
      <c r="L2506" s="25">
        <f>IFERROR(__xludf.DUMMYFUNCTION("""COMPUTED_VALUE"""),1388.0)</f>
        <v>1388</v>
      </c>
      <c r="M2506" s="25">
        <f>IFERROR(__xludf.DUMMYFUNCTION("""COMPUTED_VALUE"""),1712154.0)</f>
        <v>1712154</v>
      </c>
    </row>
    <row r="2507">
      <c r="A2507" s="26">
        <f>IFERROR(__xludf.DUMMYFUNCTION("""COMPUTED_VALUE"""),42067.64583333333)</f>
        <v>42067.64583</v>
      </c>
      <c r="B2507" s="9">
        <f>IFERROR(__xludf.DUMMYFUNCTION("""COMPUTED_VALUE"""),575.0)</f>
        <v>575</v>
      </c>
      <c r="C2507" s="9">
        <f>IFERROR(__xludf.DUMMYFUNCTION("""COMPUTED_VALUE"""),578.48)</f>
        <v>578.48</v>
      </c>
      <c r="D2507" s="9">
        <f>IFERROR(__xludf.DUMMYFUNCTION("""COMPUTED_VALUE"""),562.98)</f>
        <v>562.98</v>
      </c>
      <c r="E2507" s="9">
        <f>IFERROR(__xludf.DUMMYFUNCTION("""COMPUTED_VALUE"""),568.66)</f>
        <v>568.66</v>
      </c>
      <c r="F2507" s="9">
        <f>IFERROR(__xludf.DUMMYFUNCTION("""COMPUTED_VALUE"""),1093807.0)</f>
        <v>1093807</v>
      </c>
      <c r="H2507" s="27">
        <f>IFERROR(__xludf.DUMMYFUNCTION("""COMPUTED_VALUE"""),42067.64583333333)</f>
        <v>42067.64583</v>
      </c>
      <c r="I2507" s="25">
        <f>IFERROR(__xludf.DUMMYFUNCTION("""COMPUTED_VALUE"""),1394.0)</f>
        <v>1394</v>
      </c>
      <c r="J2507" s="25">
        <f>IFERROR(__xludf.DUMMYFUNCTION("""COMPUTED_VALUE"""),1406.05)</f>
        <v>1406.05</v>
      </c>
      <c r="K2507" s="25">
        <f>IFERROR(__xludf.DUMMYFUNCTION("""COMPUTED_VALUE"""),1357.83)</f>
        <v>1357.83</v>
      </c>
      <c r="L2507" s="25">
        <f>IFERROR(__xludf.DUMMYFUNCTION("""COMPUTED_VALUE"""),1373.0)</f>
        <v>1373</v>
      </c>
      <c r="M2507" s="25">
        <f>IFERROR(__xludf.DUMMYFUNCTION("""COMPUTED_VALUE"""),1931497.0)</f>
        <v>1931497</v>
      </c>
    </row>
    <row r="2508">
      <c r="A2508" s="26">
        <f>IFERROR(__xludf.DUMMYFUNCTION("""COMPUTED_VALUE"""),42068.64583333333)</f>
        <v>42068.64583</v>
      </c>
      <c r="B2508" s="9">
        <f>IFERROR(__xludf.DUMMYFUNCTION("""COMPUTED_VALUE"""),566.76)</f>
        <v>566.76</v>
      </c>
      <c r="C2508" s="9">
        <f>IFERROR(__xludf.DUMMYFUNCTION("""COMPUTED_VALUE"""),574.69)</f>
        <v>574.69</v>
      </c>
      <c r="D2508" s="9">
        <f>IFERROR(__xludf.DUMMYFUNCTION("""COMPUTED_VALUE"""),558.34)</f>
        <v>558.34</v>
      </c>
      <c r="E2508" s="9">
        <f>IFERROR(__xludf.DUMMYFUNCTION("""COMPUTED_VALUE"""),561.9)</f>
        <v>561.9</v>
      </c>
      <c r="F2508" s="9">
        <f>IFERROR(__xludf.DUMMYFUNCTION("""COMPUTED_VALUE"""),1421229.0)</f>
        <v>1421229</v>
      </c>
      <c r="H2508" s="27">
        <f>IFERROR(__xludf.DUMMYFUNCTION("""COMPUTED_VALUE"""),42068.64583333333)</f>
        <v>42068.64583</v>
      </c>
      <c r="I2508" s="25">
        <f>IFERROR(__xludf.DUMMYFUNCTION("""COMPUTED_VALUE"""),1375.0)</f>
        <v>1375</v>
      </c>
      <c r="J2508" s="25">
        <f>IFERROR(__xludf.DUMMYFUNCTION("""COMPUTED_VALUE"""),1385.35)</f>
        <v>1385.35</v>
      </c>
      <c r="K2508" s="25">
        <f>IFERROR(__xludf.DUMMYFUNCTION("""COMPUTED_VALUE"""),1340.53)</f>
        <v>1340.53</v>
      </c>
      <c r="L2508" s="25">
        <f>IFERROR(__xludf.DUMMYFUNCTION("""COMPUTED_VALUE"""),1348.23)</f>
        <v>1348.23</v>
      </c>
      <c r="M2508" s="25">
        <f>IFERROR(__xludf.DUMMYFUNCTION("""COMPUTED_VALUE"""),1086757.0)</f>
        <v>1086757</v>
      </c>
    </row>
    <row r="2509">
      <c r="A2509" s="26">
        <f>IFERROR(__xludf.DUMMYFUNCTION("""COMPUTED_VALUE"""),42072.64583333333)</f>
        <v>42072.64583</v>
      </c>
      <c r="B2509" s="9">
        <f>IFERROR(__xludf.DUMMYFUNCTION("""COMPUTED_VALUE"""),564.75)</f>
        <v>564.75</v>
      </c>
      <c r="C2509" s="9">
        <f>IFERROR(__xludf.DUMMYFUNCTION("""COMPUTED_VALUE"""),564.75)</f>
        <v>564.75</v>
      </c>
      <c r="D2509" s="9">
        <f>IFERROR(__xludf.DUMMYFUNCTION("""COMPUTED_VALUE"""),544.75)</f>
        <v>544.75</v>
      </c>
      <c r="E2509" s="9">
        <f>IFERROR(__xludf.DUMMYFUNCTION("""COMPUTED_VALUE"""),547.51)</f>
        <v>547.51</v>
      </c>
      <c r="F2509" s="9">
        <f>IFERROR(__xludf.DUMMYFUNCTION("""COMPUTED_VALUE"""),1996180.0)</f>
        <v>1996180</v>
      </c>
      <c r="H2509" s="27">
        <f>IFERROR(__xludf.DUMMYFUNCTION("""COMPUTED_VALUE"""),42072.64583333333)</f>
        <v>42072.64583</v>
      </c>
      <c r="I2509" s="25">
        <f>IFERROR(__xludf.DUMMYFUNCTION("""COMPUTED_VALUE"""),1320.0)</f>
        <v>1320</v>
      </c>
      <c r="J2509" s="25">
        <f>IFERROR(__xludf.DUMMYFUNCTION("""COMPUTED_VALUE"""),1339.9)</f>
        <v>1339.9</v>
      </c>
      <c r="K2509" s="25">
        <f>IFERROR(__xludf.DUMMYFUNCTION("""COMPUTED_VALUE"""),1305.0)</f>
        <v>1305</v>
      </c>
      <c r="L2509" s="25">
        <f>IFERROR(__xludf.DUMMYFUNCTION("""COMPUTED_VALUE"""),1323.4)</f>
        <v>1323.4</v>
      </c>
      <c r="M2509" s="25">
        <f>IFERROR(__xludf.DUMMYFUNCTION("""COMPUTED_VALUE"""),1441587.0)</f>
        <v>1441587</v>
      </c>
    </row>
    <row r="2510">
      <c r="A2510" s="26">
        <f>IFERROR(__xludf.DUMMYFUNCTION("""COMPUTED_VALUE"""),42073.64583333333)</f>
        <v>42073.64583</v>
      </c>
      <c r="B2510" s="9">
        <f>IFERROR(__xludf.DUMMYFUNCTION("""COMPUTED_VALUE"""),549.53)</f>
        <v>549.53</v>
      </c>
      <c r="C2510" s="9">
        <f>IFERROR(__xludf.DUMMYFUNCTION("""COMPUTED_VALUE"""),551.74)</f>
        <v>551.74</v>
      </c>
      <c r="D2510" s="9">
        <f>IFERROR(__xludf.DUMMYFUNCTION("""COMPUTED_VALUE"""),540.05)</f>
        <v>540.05</v>
      </c>
      <c r="E2510" s="9">
        <f>IFERROR(__xludf.DUMMYFUNCTION("""COMPUTED_VALUE"""),549.5)</f>
        <v>549.5</v>
      </c>
      <c r="F2510" s="9">
        <f>IFERROR(__xludf.DUMMYFUNCTION("""COMPUTED_VALUE"""),1582479.0)</f>
        <v>1582479</v>
      </c>
      <c r="H2510" s="27">
        <f>IFERROR(__xludf.DUMMYFUNCTION("""COMPUTED_VALUE"""),42073.64583333333)</f>
        <v>42073.64583</v>
      </c>
      <c r="I2510" s="25">
        <f>IFERROR(__xludf.DUMMYFUNCTION("""COMPUTED_VALUE"""),1324.45)</f>
        <v>1324.45</v>
      </c>
      <c r="J2510" s="25">
        <f>IFERROR(__xludf.DUMMYFUNCTION("""COMPUTED_VALUE"""),1339.13)</f>
        <v>1339.13</v>
      </c>
      <c r="K2510" s="25">
        <f>IFERROR(__xludf.DUMMYFUNCTION("""COMPUTED_VALUE"""),1297.63)</f>
        <v>1297.63</v>
      </c>
      <c r="L2510" s="25">
        <f>IFERROR(__xludf.DUMMYFUNCTION("""COMPUTED_VALUE"""),1321.35)</f>
        <v>1321.35</v>
      </c>
      <c r="M2510" s="25">
        <f>IFERROR(__xludf.DUMMYFUNCTION("""COMPUTED_VALUE"""),1518526.0)</f>
        <v>1518526</v>
      </c>
    </row>
    <row r="2511">
      <c r="A2511" s="26">
        <f>IFERROR(__xludf.DUMMYFUNCTION("""COMPUTED_VALUE"""),42074.64583333333)</f>
        <v>42074.64583</v>
      </c>
      <c r="B2511" s="9">
        <f>IFERROR(__xludf.DUMMYFUNCTION("""COMPUTED_VALUE"""),548.53)</f>
        <v>548.53</v>
      </c>
      <c r="C2511" s="9">
        <f>IFERROR(__xludf.DUMMYFUNCTION("""COMPUTED_VALUE"""),560.0)</f>
        <v>560</v>
      </c>
      <c r="D2511" s="9">
        <f>IFERROR(__xludf.DUMMYFUNCTION("""COMPUTED_VALUE"""),542.28)</f>
        <v>542.28</v>
      </c>
      <c r="E2511" s="9">
        <f>IFERROR(__xludf.DUMMYFUNCTION("""COMPUTED_VALUE"""),545.55)</f>
        <v>545.55</v>
      </c>
      <c r="F2511" s="9">
        <f>IFERROR(__xludf.DUMMYFUNCTION("""COMPUTED_VALUE"""),1695228.0)</f>
        <v>1695228</v>
      </c>
      <c r="H2511" s="27">
        <f>IFERROR(__xludf.DUMMYFUNCTION("""COMPUTED_VALUE"""),42074.64583333333)</f>
        <v>42074.64583</v>
      </c>
      <c r="I2511" s="25">
        <f>IFERROR(__xludf.DUMMYFUNCTION("""COMPUTED_VALUE"""),1321.0)</f>
        <v>1321</v>
      </c>
      <c r="J2511" s="25">
        <f>IFERROR(__xludf.DUMMYFUNCTION("""COMPUTED_VALUE"""),1329.98)</f>
        <v>1329.98</v>
      </c>
      <c r="K2511" s="25">
        <f>IFERROR(__xludf.DUMMYFUNCTION("""COMPUTED_VALUE"""),1298.9)</f>
        <v>1298.9</v>
      </c>
      <c r="L2511" s="25">
        <f>IFERROR(__xludf.DUMMYFUNCTION("""COMPUTED_VALUE"""),1303.28)</f>
        <v>1303.28</v>
      </c>
      <c r="M2511" s="25">
        <f>IFERROR(__xludf.DUMMYFUNCTION("""COMPUTED_VALUE"""),1120100.0)</f>
        <v>1120100</v>
      </c>
    </row>
    <row r="2512">
      <c r="A2512" s="26">
        <f>IFERROR(__xludf.DUMMYFUNCTION("""COMPUTED_VALUE"""),42075.64583333333)</f>
        <v>42075.64583</v>
      </c>
      <c r="B2512" s="9">
        <f>IFERROR(__xludf.DUMMYFUNCTION("""COMPUTED_VALUE"""),544.75)</f>
        <v>544.75</v>
      </c>
      <c r="C2512" s="9">
        <f>IFERROR(__xludf.DUMMYFUNCTION("""COMPUTED_VALUE"""),556.61)</f>
        <v>556.61</v>
      </c>
      <c r="D2512" s="9">
        <f>IFERROR(__xludf.DUMMYFUNCTION("""COMPUTED_VALUE"""),544.25)</f>
        <v>544.25</v>
      </c>
      <c r="E2512" s="9">
        <f>IFERROR(__xludf.DUMMYFUNCTION("""COMPUTED_VALUE"""),554.58)</f>
        <v>554.58</v>
      </c>
      <c r="F2512" s="9">
        <f>IFERROR(__xludf.DUMMYFUNCTION("""COMPUTED_VALUE"""),1422141.0)</f>
        <v>1422141</v>
      </c>
      <c r="H2512" s="27">
        <f>IFERROR(__xludf.DUMMYFUNCTION("""COMPUTED_VALUE"""),42075.64583333333)</f>
        <v>42075.64583</v>
      </c>
      <c r="I2512" s="25">
        <f>IFERROR(__xludf.DUMMYFUNCTION("""COMPUTED_VALUE"""),1311.95)</f>
        <v>1311.95</v>
      </c>
      <c r="J2512" s="25">
        <f>IFERROR(__xludf.DUMMYFUNCTION("""COMPUTED_VALUE"""),1312.45)</f>
        <v>1312.45</v>
      </c>
      <c r="K2512" s="25">
        <f>IFERROR(__xludf.DUMMYFUNCTION("""COMPUTED_VALUE"""),1295.05)</f>
        <v>1295.05</v>
      </c>
      <c r="L2512" s="25">
        <f>IFERROR(__xludf.DUMMYFUNCTION("""COMPUTED_VALUE"""),1309.53)</f>
        <v>1309.53</v>
      </c>
      <c r="M2512" s="25">
        <f>IFERROR(__xludf.DUMMYFUNCTION("""COMPUTED_VALUE"""),913818.0)</f>
        <v>913818</v>
      </c>
    </row>
    <row r="2513">
      <c r="A2513" s="26">
        <f>IFERROR(__xludf.DUMMYFUNCTION("""COMPUTED_VALUE"""),42076.64583333333)</f>
        <v>42076.64583</v>
      </c>
      <c r="B2513" s="9">
        <f>IFERROR(__xludf.DUMMYFUNCTION("""COMPUTED_VALUE"""),556.25)</f>
        <v>556.25</v>
      </c>
      <c r="C2513" s="9">
        <f>IFERROR(__xludf.DUMMYFUNCTION("""COMPUTED_VALUE"""),557.5)</f>
        <v>557.5</v>
      </c>
      <c r="D2513" s="9">
        <f>IFERROR(__xludf.DUMMYFUNCTION("""COMPUTED_VALUE"""),548.1)</f>
        <v>548.1</v>
      </c>
      <c r="E2513" s="9">
        <f>IFERROR(__xludf.DUMMYFUNCTION("""COMPUTED_VALUE"""),555.1)</f>
        <v>555.1</v>
      </c>
      <c r="F2513" s="9">
        <f>IFERROR(__xludf.DUMMYFUNCTION("""COMPUTED_VALUE"""),1544921.0)</f>
        <v>1544921</v>
      </c>
      <c r="H2513" s="27">
        <f>IFERROR(__xludf.DUMMYFUNCTION("""COMPUTED_VALUE"""),42076.64583333333)</f>
        <v>42076.64583</v>
      </c>
      <c r="I2513" s="25">
        <f>IFERROR(__xludf.DUMMYFUNCTION("""COMPUTED_VALUE"""),1319.0)</f>
        <v>1319</v>
      </c>
      <c r="J2513" s="25">
        <f>IFERROR(__xludf.DUMMYFUNCTION("""COMPUTED_VALUE"""),1319.98)</f>
        <v>1319.98</v>
      </c>
      <c r="K2513" s="25">
        <f>IFERROR(__xludf.DUMMYFUNCTION("""COMPUTED_VALUE"""),1287.5)</f>
        <v>1287.5</v>
      </c>
      <c r="L2513" s="25">
        <f>IFERROR(__xludf.DUMMYFUNCTION("""COMPUTED_VALUE"""),1291.18)</f>
        <v>1291.18</v>
      </c>
      <c r="M2513" s="25">
        <f>IFERROR(__xludf.DUMMYFUNCTION("""COMPUTED_VALUE"""),793419.0)</f>
        <v>793419</v>
      </c>
    </row>
    <row r="2514">
      <c r="A2514" s="26">
        <f>IFERROR(__xludf.DUMMYFUNCTION("""COMPUTED_VALUE"""),42079.64583333333)</f>
        <v>42079.64583</v>
      </c>
      <c r="B2514" s="9">
        <f>IFERROR(__xludf.DUMMYFUNCTION("""COMPUTED_VALUE"""),552.64)</f>
        <v>552.64</v>
      </c>
      <c r="C2514" s="9">
        <f>IFERROR(__xludf.DUMMYFUNCTION("""COMPUTED_VALUE"""),570.5)</f>
        <v>570.5</v>
      </c>
      <c r="D2514" s="9">
        <f>IFERROR(__xludf.DUMMYFUNCTION("""COMPUTED_VALUE"""),552.64)</f>
        <v>552.64</v>
      </c>
      <c r="E2514" s="9">
        <f>IFERROR(__xludf.DUMMYFUNCTION("""COMPUTED_VALUE"""),566.66)</f>
        <v>566.66</v>
      </c>
      <c r="F2514" s="9">
        <f>IFERROR(__xludf.DUMMYFUNCTION("""COMPUTED_VALUE"""),1704658.0)</f>
        <v>1704658</v>
      </c>
      <c r="H2514" s="27">
        <f>IFERROR(__xludf.DUMMYFUNCTION("""COMPUTED_VALUE"""),42079.64583333333)</f>
        <v>42079.64583</v>
      </c>
      <c r="I2514" s="25">
        <f>IFERROR(__xludf.DUMMYFUNCTION("""COMPUTED_VALUE"""),1292.6)</f>
        <v>1292.6</v>
      </c>
      <c r="J2514" s="25">
        <f>IFERROR(__xludf.DUMMYFUNCTION("""COMPUTED_VALUE"""),1305.0)</f>
        <v>1305</v>
      </c>
      <c r="K2514" s="25">
        <f>IFERROR(__xludf.DUMMYFUNCTION("""COMPUTED_VALUE"""),1276.0)</f>
        <v>1276</v>
      </c>
      <c r="L2514" s="25">
        <f>IFERROR(__xludf.DUMMYFUNCTION("""COMPUTED_VALUE"""),1281.15)</f>
        <v>1281.15</v>
      </c>
      <c r="M2514" s="25">
        <f>IFERROR(__xludf.DUMMYFUNCTION("""COMPUTED_VALUE"""),778148.0)</f>
        <v>778148</v>
      </c>
    </row>
    <row r="2515">
      <c r="A2515" s="26">
        <f>IFERROR(__xludf.DUMMYFUNCTION("""COMPUTED_VALUE"""),42080.64583333333)</f>
        <v>42080.64583</v>
      </c>
      <c r="B2515" s="9">
        <f>IFERROR(__xludf.DUMMYFUNCTION("""COMPUTED_VALUE"""),566.66)</f>
        <v>566.66</v>
      </c>
      <c r="C2515" s="9">
        <f>IFERROR(__xludf.DUMMYFUNCTION("""COMPUTED_VALUE"""),569.88)</f>
        <v>569.88</v>
      </c>
      <c r="D2515" s="9">
        <f>IFERROR(__xludf.DUMMYFUNCTION("""COMPUTED_VALUE"""),554.31)</f>
        <v>554.31</v>
      </c>
      <c r="E2515" s="9">
        <f>IFERROR(__xludf.DUMMYFUNCTION("""COMPUTED_VALUE"""),560.13)</f>
        <v>560.13</v>
      </c>
      <c r="F2515" s="9">
        <f>IFERROR(__xludf.DUMMYFUNCTION("""COMPUTED_VALUE"""),1384828.0)</f>
        <v>1384828</v>
      </c>
      <c r="H2515" s="27">
        <f>IFERROR(__xludf.DUMMYFUNCTION("""COMPUTED_VALUE"""),42080.64583333333)</f>
        <v>42080.64583</v>
      </c>
      <c r="I2515" s="25">
        <f>IFERROR(__xludf.DUMMYFUNCTION("""COMPUTED_VALUE"""),1291.25)</f>
        <v>1291.25</v>
      </c>
      <c r="J2515" s="25">
        <f>IFERROR(__xludf.DUMMYFUNCTION("""COMPUTED_VALUE"""),1303.35)</f>
        <v>1303.35</v>
      </c>
      <c r="K2515" s="25">
        <f>IFERROR(__xludf.DUMMYFUNCTION("""COMPUTED_VALUE"""),1278.88)</f>
        <v>1278.88</v>
      </c>
      <c r="L2515" s="25">
        <f>IFERROR(__xludf.DUMMYFUNCTION("""COMPUTED_VALUE"""),1291.85)</f>
        <v>1291.85</v>
      </c>
      <c r="M2515" s="25">
        <f>IFERROR(__xludf.DUMMYFUNCTION("""COMPUTED_VALUE"""),633659.0)</f>
        <v>633659</v>
      </c>
    </row>
    <row r="2516">
      <c r="A2516" s="26">
        <f>IFERROR(__xludf.DUMMYFUNCTION("""COMPUTED_VALUE"""),42081.64583333333)</f>
        <v>42081.64583</v>
      </c>
      <c r="B2516" s="9">
        <f>IFERROR(__xludf.DUMMYFUNCTION("""COMPUTED_VALUE"""),563.63)</f>
        <v>563.63</v>
      </c>
      <c r="C2516" s="9">
        <f>IFERROR(__xludf.DUMMYFUNCTION("""COMPUTED_VALUE"""),565.71)</f>
        <v>565.71</v>
      </c>
      <c r="D2516" s="9">
        <f>IFERROR(__xludf.DUMMYFUNCTION("""COMPUTED_VALUE"""),555.64)</f>
        <v>555.64</v>
      </c>
      <c r="E2516" s="9">
        <f>IFERROR(__xludf.DUMMYFUNCTION("""COMPUTED_VALUE"""),557.38)</f>
        <v>557.38</v>
      </c>
      <c r="F2516" s="9">
        <f>IFERROR(__xludf.DUMMYFUNCTION("""COMPUTED_VALUE"""),1226391.0)</f>
        <v>1226391</v>
      </c>
      <c r="H2516" s="27">
        <f>IFERROR(__xludf.DUMMYFUNCTION("""COMPUTED_VALUE"""),42081.64583333333)</f>
        <v>42081.64583</v>
      </c>
      <c r="I2516" s="25">
        <f>IFERROR(__xludf.DUMMYFUNCTION("""COMPUTED_VALUE"""),1295.47)</f>
        <v>1295.47</v>
      </c>
      <c r="J2516" s="25">
        <f>IFERROR(__xludf.DUMMYFUNCTION("""COMPUTED_VALUE"""),1299.72)</f>
        <v>1299.72</v>
      </c>
      <c r="K2516" s="25">
        <f>IFERROR(__xludf.DUMMYFUNCTION("""COMPUTED_VALUE"""),1275.85)</f>
        <v>1275.85</v>
      </c>
      <c r="L2516" s="25">
        <f>IFERROR(__xludf.DUMMYFUNCTION("""COMPUTED_VALUE"""),1279.68)</f>
        <v>1279.68</v>
      </c>
      <c r="M2516" s="25">
        <f>IFERROR(__xludf.DUMMYFUNCTION("""COMPUTED_VALUE"""),627585.0)</f>
        <v>627585</v>
      </c>
    </row>
    <row r="2517">
      <c r="A2517" s="26">
        <f>IFERROR(__xludf.DUMMYFUNCTION("""COMPUTED_VALUE"""),42082.64583333333)</f>
        <v>42082.64583</v>
      </c>
      <c r="B2517" s="9">
        <f>IFERROR(__xludf.DUMMYFUNCTION("""COMPUTED_VALUE"""),558.65)</f>
        <v>558.65</v>
      </c>
      <c r="C2517" s="9">
        <f>IFERROR(__xludf.DUMMYFUNCTION("""COMPUTED_VALUE"""),562.25)</f>
        <v>562.25</v>
      </c>
      <c r="D2517" s="9">
        <f>IFERROR(__xludf.DUMMYFUNCTION("""COMPUTED_VALUE"""),555.69)</f>
        <v>555.69</v>
      </c>
      <c r="E2517" s="9">
        <f>IFERROR(__xludf.DUMMYFUNCTION("""COMPUTED_VALUE"""),557.61)</f>
        <v>557.61</v>
      </c>
      <c r="F2517" s="9">
        <f>IFERROR(__xludf.DUMMYFUNCTION("""COMPUTED_VALUE"""),1722935.0)</f>
        <v>1722935</v>
      </c>
      <c r="H2517" s="27">
        <f>IFERROR(__xludf.DUMMYFUNCTION("""COMPUTED_VALUE"""),42082.64583333333)</f>
        <v>42082.64583</v>
      </c>
      <c r="I2517" s="25">
        <f>IFERROR(__xludf.DUMMYFUNCTION("""COMPUTED_VALUE"""),1288.0)</f>
        <v>1288</v>
      </c>
      <c r="J2517" s="25">
        <f>IFERROR(__xludf.DUMMYFUNCTION("""COMPUTED_VALUE"""),1302.93)</f>
        <v>1302.93</v>
      </c>
      <c r="K2517" s="25">
        <f>IFERROR(__xludf.DUMMYFUNCTION("""COMPUTED_VALUE"""),1284.05)</f>
        <v>1284.05</v>
      </c>
      <c r="L2517" s="25">
        <f>IFERROR(__xludf.DUMMYFUNCTION("""COMPUTED_VALUE"""),1298.13)</f>
        <v>1298.13</v>
      </c>
      <c r="M2517" s="25">
        <f>IFERROR(__xludf.DUMMYFUNCTION("""COMPUTED_VALUE"""),1224482.0)</f>
        <v>1224482</v>
      </c>
    </row>
    <row r="2518">
      <c r="A2518" s="26">
        <f>IFERROR(__xludf.DUMMYFUNCTION("""COMPUTED_VALUE"""),42083.64583333333)</f>
        <v>42083.64583</v>
      </c>
      <c r="B2518" s="9">
        <f>IFERROR(__xludf.DUMMYFUNCTION("""COMPUTED_VALUE"""),560.25)</f>
        <v>560.25</v>
      </c>
      <c r="C2518" s="9">
        <f>IFERROR(__xludf.DUMMYFUNCTION("""COMPUTED_VALUE"""),567.23)</f>
        <v>567.23</v>
      </c>
      <c r="D2518" s="9">
        <f>IFERROR(__xludf.DUMMYFUNCTION("""COMPUTED_VALUE"""),558.24)</f>
        <v>558.24</v>
      </c>
      <c r="E2518" s="9">
        <f>IFERROR(__xludf.DUMMYFUNCTION("""COMPUTED_VALUE"""),564.36)</f>
        <v>564.36</v>
      </c>
      <c r="F2518" s="9">
        <f>IFERROR(__xludf.DUMMYFUNCTION("""COMPUTED_VALUE"""),1607724.0)</f>
        <v>1607724</v>
      </c>
      <c r="H2518" s="27">
        <f>IFERROR(__xludf.DUMMYFUNCTION("""COMPUTED_VALUE"""),42083.64583333333)</f>
        <v>42083.64583</v>
      </c>
      <c r="I2518" s="25">
        <f>IFERROR(__xludf.DUMMYFUNCTION("""COMPUTED_VALUE"""),1298.0)</f>
        <v>1298</v>
      </c>
      <c r="J2518" s="25">
        <f>IFERROR(__xludf.DUMMYFUNCTION("""COMPUTED_VALUE"""),1309.0)</f>
        <v>1309</v>
      </c>
      <c r="K2518" s="25">
        <f>IFERROR(__xludf.DUMMYFUNCTION("""COMPUTED_VALUE"""),1289.43)</f>
        <v>1289.43</v>
      </c>
      <c r="L2518" s="25">
        <f>IFERROR(__xludf.DUMMYFUNCTION("""COMPUTED_VALUE"""),1305.47)</f>
        <v>1305.47</v>
      </c>
      <c r="M2518" s="25">
        <f>IFERROR(__xludf.DUMMYFUNCTION("""COMPUTED_VALUE"""),981954.0)</f>
        <v>981954</v>
      </c>
    </row>
    <row r="2519">
      <c r="A2519" s="26">
        <f>IFERROR(__xludf.DUMMYFUNCTION("""COMPUTED_VALUE"""),42086.64583333333)</f>
        <v>42086.64583</v>
      </c>
      <c r="B2519" s="9">
        <f>IFERROR(__xludf.DUMMYFUNCTION("""COMPUTED_VALUE"""),563.25)</f>
        <v>563.25</v>
      </c>
      <c r="C2519" s="9">
        <f>IFERROR(__xludf.DUMMYFUNCTION("""COMPUTED_VALUE"""),568.75)</f>
        <v>568.75</v>
      </c>
      <c r="D2519" s="9">
        <f>IFERROR(__xludf.DUMMYFUNCTION("""COMPUTED_VALUE"""),556.38)</f>
        <v>556.38</v>
      </c>
      <c r="E2519" s="9">
        <f>IFERROR(__xludf.DUMMYFUNCTION("""COMPUTED_VALUE"""),558.36)</f>
        <v>558.36</v>
      </c>
      <c r="F2519" s="9">
        <f>IFERROR(__xludf.DUMMYFUNCTION("""COMPUTED_VALUE"""),1269675.0)</f>
        <v>1269675</v>
      </c>
      <c r="H2519" s="27">
        <f>IFERROR(__xludf.DUMMYFUNCTION("""COMPUTED_VALUE"""),42086.64583333333)</f>
        <v>42086.64583</v>
      </c>
      <c r="I2519" s="25">
        <f>IFERROR(__xludf.DUMMYFUNCTION("""COMPUTED_VALUE"""),1308.0)</f>
        <v>1308</v>
      </c>
      <c r="J2519" s="25">
        <f>IFERROR(__xludf.DUMMYFUNCTION("""COMPUTED_VALUE"""),1315.5)</f>
        <v>1315.5</v>
      </c>
      <c r="K2519" s="25">
        <f>IFERROR(__xludf.DUMMYFUNCTION("""COMPUTED_VALUE"""),1303.0)</f>
        <v>1303</v>
      </c>
      <c r="L2519" s="25">
        <f>IFERROR(__xludf.DUMMYFUNCTION("""COMPUTED_VALUE"""),1308.58)</f>
        <v>1308.58</v>
      </c>
      <c r="M2519" s="25">
        <f>IFERROR(__xludf.DUMMYFUNCTION("""COMPUTED_VALUE"""),783304.0)</f>
        <v>783304</v>
      </c>
    </row>
    <row r="2520">
      <c r="A2520" s="26">
        <f>IFERROR(__xludf.DUMMYFUNCTION("""COMPUTED_VALUE"""),42087.64583333333)</f>
        <v>42087.64583</v>
      </c>
      <c r="B2520" s="9">
        <f>IFERROR(__xludf.DUMMYFUNCTION("""COMPUTED_VALUE"""),558.73)</f>
        <v>558.73</v>
      </c>
      <c r="C2520" s="9">
        <f>IFERROR(__xludf.DUMMYFUNCTION("""COMPUTED_VALUE"""),563.35)</f>
        <v>563.35</v>
      </c>
      <c r="D2520" s="9">
        <f>IFERROR(__xludf.DUMMYFUNCTION("""COMPUTED_VALUE"""),551.5)</f>
        <v>551.5</v>
      </c>
      <c r="E2520" s="9">
        <f>IFERROR(__xludf.DUMMYFUNCTION("""COMPUTED_VALUE"""),552.86)</f>
        <v>552.86</v>
      </c>
      <c r="F2520" s="9">
        <f>IFERROR(__xludf.DUMMYFUNCTION("""COMPUTED_VALUE"""),1684133.0)</f>
        <v>1684133</v>
      </c>
      <c r="H2520" s="27">
        <f>IFERROR(__xludf.DUMMYFUNCTION("""COMPUTED_VALUE"""),42087.64583333333)</f>
        <v>42087.64583</v>
      </c>
      <c r="I2520" s="25">
        <f>IFERROR(__xludf.DUMMYFUNCTION("""COMPUTED_VALUE"""),1315.0)</f>
        <v>1315</v>
      </c>
      <c r="J2520" s="25">
        <f>IFERROR(__xludf.DUMMYFUNCTION("""COMPUTED_VALUE"""),1318.5)</f>
        <v>1318.5</v>
      </c>
      <c r="K2520" s="25">
        <f>IFERROR(__xludf.DUMMYFUNCTION("""COMPUTED_VALUE"""),1291.05)</f>
        <v>1291.05</v>
      </c>
      <c r="L2520" s="25">
        <f>IFERROR(__xludf.DUMMYFUNCTION("""COMPUTED_VALUE"""),1295.65)</f>
        <v>1295.65</v>
      </c>
      <c r="M2520" s="25">
        <f>IFERROR(__xludf.DUMMYFUNCTION("""COMPUTED_VALUE"""),1197439.0)</f>
        <v>1197439</v>
      </c>
    </row>
    <row r="2521">
      <c r="A2521" s="26">
        <f>IFERROR(__xludf.DUMMYFUNCTION("""COMPUTED_VALUE"""),42088.64583333333)</f>
        <v>42088.64583</v>
      </c>
      <c r="B2521" s="9">
        <f>IFERROR(__xludf.DUMMYFUNCTION("""COMPUTED_VALUE"""),555.73)</f>
        <v>555.73</v>
      </c>
      <c r="C2521" s="9">
        <f>IFERROR(__xludf.DUMMYFUNCTION("""COMPUTED_VALUE"""),557.29)</f>
        <v>557.29</v>
      </c>
      <c r="D2521" s="9">
        <f>IFERROR(__xludf.DUMMYFUNCTION("""COMPUTED_VALUE"""),550.19)</f>
        <v>550.19</v>
      </c>
      <c r="E2521" s="9">
        <f>IFERROR(__xludf.DUMMYFUNCTION("""COMPUTED_VALUE"""),554.78)</f>
        <v>554.78</v>
      </c>
      <c r="F2521" s="9">
        <f>IFERROR(__xludf.DUMMYFUNCTION("""COMPUTED_VALUE"""),1542742.0)</f>
        <v>1542742</v>
      </c>
      <c r="H2521" s="27">
        <f>IFERROR(__xludf.DUMMYFUNCTION("""COMPUTED_VALUE"""),42088.64583333333)</f>
        <v>42088.64583</v>
      </c>
      <c r="I2521" s="25">
        <f>IFERROR(__xludf.DUMMYFUNCTION("""COMPUTED_VALUE"""),1295.7)</f>
        <v>1295.7</v>
      </c>
      <c r="J2521" s="25">
        <f>IFERROR(__xludf.DUMMYFUNCTION("""COMPUTED_VALUE"""),1307.0)</f>
        <v>1307</v>
      </c>
      <c r="K2521" s="25">
        <f>IFERROR(__xludf.DUMMYFUNCTION("""COMPUTED_VALUE"""),1272.6)</f>
        <v>1272.6</v>
      </c>
      <c r="L2521" s="25">
        <f>IFERROR(__xludf.DUMMYFUNCTION("""COMPUTED_VALUE"""),1286.88)</f>
        <v>1286.88</v>
      </c>
      <c r="M2521" s="25">
        <f>IFERROR(__xludf.DUMMYFUNCTION("""COMPUTED_VALUE"""),1112429.0)</f>
        <v>1112429</v>
      </c>
    </row>
    <row r="2522">
      <c r="A2522" s="26">
        <f>IFERROR(__xludf.DUMMYFUNCTION("""COMPUTED_VALUE"""),42089.64583333333)</f>
        <v>42089.64583</v>
      </c>
      <c r="B2522" s="9">
        <f>IFERROR(__xludf.DUMMYFUNCTION("""COMPUTED_VALUE"""),552.0)</f>
        <v>552</v>
      </c>
      <c r="C2522" s="9">
        <f>IFERROR(__xludf.DUMMYFUNCTION("""COMPUTED_VALUE"""),553.73)</f>
        <v>553.73</v>
      </c>
      <c r="D2522" s="9">
        <f>IFERROR(__xludf.DUMMYFUNCTION("""COMPUTED_VALUE"""),533.0)</f>
        <v>533</v>
      </c>
      <c r="E2522" s="9">
        <f>IFERROR(__xludf.DUMMYFUNCTION("""COMPUTED_VALUE"""),536.59)</f>
        <v>536.59</v>
      </c>
      <c r="F2522" s="9">
        <f>IFERROR(__xludf.DUMMYFUNCTION("""COMPUTED_VALUE"""),3935210.0)</f>
        <v>3935210</v>
      </c>
      <c r="H2522" s="27">
        <f>IFERROR(__xludf.DUMMYFUNCTION("""COMPUTED_VALUE"""),42089.64583333333)</f>
        <v>42089.64583</v>
      </c>
      <c r="I2522" s="25">
        <f>IFERROR(__xludf.DUMMYFUNCTION("""COMPUTED_VALUE"""),1276.65)</f>
        <v>1276.65</v>
      </c>
      <c r="J2522" s="25">
        <f>IFERROR(__xludf.DUMMYFUNCTION("""COMPUTED_VALUE"""),1293.35)</f>
        <v>1293.35</v>
      </c>
      <c r="K2522" s="25">
        <f>IFERROR(__xludf.DUMMYFUNCTION("""COMPUTED_VALUE"""),1250.5)</f>
        <v>1250.5</v>
      </c>
      <c r="L2522" s="25">
        <f>IFERROR(__xludf.DUMMYFUNCTION("""COMPUTED_VALUE"""),1256.55)</f>
        <v>1256.55</v>
      </c>
      <c r="M2522" s="25">
        <f>IFERROR(__xludf.DUMMYFUNCTION("""COMPUTED_VALUE"""),1545821.0)</f>
        <v>1545821</v>
      </c>
    </row>
    <row r="2523">
      <c r="A2523" s="26">
        <f>IFERROR(__xludf.DUMMYFUNCTION("""COMPUTED_VALUE"""),42090.64583333333)</f>
        <v>42090.64583</v>
      </c>
      <c r="B2523" s="9">
        <f>IFERROR(__xludf.DUMMYFUNCTION("""COMPUTED_VALUE"""),541.0)</f>
        <v>541</v>
      </c>
      <c r="C2523" s="9">
        <f>IFERROR(__xludf.DUMMYFUNCTION("""COMPUTED_VALUE"""),556.17)</f>
        <v>556.17</v>
      </c>
      <c r="D2523" s="9">
        <f>IFERROR(__xludf.DUMMYFUNCTION("""COMPUTED_VALUE"""),540.75)</f>
        <v>540.75</v>
      </c>
      <c r="E2523" s="9">
        <f>IFERROR(__xludf.DUMMYFUNCTION("""COMPUTED_VALUE"""),550.54)</f>
        <v>550.54</v>
      </c>
      <c r="F2523" s="9">
        <f>IFERROR(__xludf.DUMMYFUNCTION("""COMPUTED_VALUE"""),2518555.0)</f>
        <v>2518555</v>
      </c>
      <c r="H2523" s="27">
        <f>IFERROR(__xludf.DUMMYFUNCTION("""COMPUTED_VALUE"""),42090.64583333333)</f>
        <v>42090.64583</v>
      </c>
      <c r="I2523" s="25">
        <f>IFERROR(__xludf.DUMMYFUNCTION("""COMPUTED_VALUE"""),1265.5)</f>
        <v>1265.5</v>
      </c>
      <c r="J2523" s="25">
        <f>IFERROR(__xludf.DUMMYFUNCTION("""COMPUTED_VALUE"""),1285.95)</f>
        <v>1285.95</v>
      </c>
      <c r="K2523" s="25">
        <f>IFERROR(__xludf.DUMMYFUNCTION("""COMPUTED_VALUE"""),1252.05)</f>
        <v>1252.05</v>
      </c>
      <c r="L2523" s="25">
        <f>IFERROR(__xludf.DUMMYFUNCTION("""COMPUTED_VALUE"""),1257.4)</f>
        <v>1257.4</v>
      </c>
      <c r="M2523" s="25">
        <f>IFERROR(__xludf.DUMMYFUNCTION("""COMPUTED_VALUE"""),1375888.0)</f>
        <v>1375888</v>
      </c>
    </row>
    <row r="2524">
      <c r="A2524" s="26">
        <f>IFERROR(__xludf.DUMMYFUNCTION("""COMPUTED_VALUE"""),42093.64583333333)</f>
        <v>42093.64583</v>
      </c>
      <c r="B2524" s="9">
        <f>IFERROR(__xludf.DUMMYFUNCTION("""COMPUTED_VALUE"""),551.4)</f>
        <v>551.4</v>
      </c>
      <c r="C2524" s="9">
        <f>IFERROR(__xludf.DUMMYFUNCTION("""COMPUTED_VALUE"""),560.0)</f>
        <v>560</v>
      </c>
      <c r="D2524" s="9">
        <f>IFERROR(__xludf.DUMMYFUNCTION("""COMPUTED_VALUE"""),548.73)</f>
        <v>548.73</v>
      </c>
      <c r="E2524" s="9">
        <f>IFERROR(__xludf.DUMMYFUNCTION("""COMPUTED_VALUE"""),557.0)</f>
        <v>557</v>
      </c>
      <c r="F2524" s="9">
        <f>IFERROR(__xludf.DUMMYFUNCTION("""COMPUTED_VALUE"""),1155772.0)</f>
        <v>1155772</v>
      </c>
      <c r="H2524" s="27">
        <f>IFERROR(__xludf.DUMMYFUNCTION("""COMPUTED_VALUE"""),42093.64583333333)</f>
        <v>42093.64583</v>
      </c>
      <c r="I2524" s="25">
        <f>IFERROR(__xludf.DUMMYFUNCTION("""COMPUTED_VALUE"""),1262.5)</f>
        <v>1262.5</v>
      </c>
      <c r="J2524" s="25">
        <f>IFERROR(__xludf.DUMMYFUNCTION("""COMPUTED_VALUE"""),1284.95)</f>
        <v>1284.95</v>
      </c>
      <c r="K2524" s="25">
        <f>IFERROR(__xludf.DUMMYFUNCTION("""COMPUTED_VALUE"""),1260.0)</f>
        <v>1260</v>
      </c>
      <c r="L2524" s="25">
        <f>IFERROR(__xludf.DUMMYFUNCTION("""COMPUTED_VALUE"""),1282.08)</f>
        <v>1282.08</v>
      </c>
      <c r="M2524" s="25">
        <f>IFERROR(__xludf.DUMMYFUNCTION("""COMPUTED_VALUE"""),669503.0)</f>
        <v>669503</v>
      </c>
    </row>
    <row r="2525">
      <c r="A2525" s="26">
        <f>IFERROR(__xludf.DUMMYFUNCTION("""COMPUTED_VALUE"""),42094.64583333333)</f>
        <v>42094.64583</v>
      </c>
      <c r="B2525" s="9">
        <f>IFERROR(__xludf.DUMMYFUNCTION("""COMPUTED_VALUE"""),561.25)</f>
        <v>561.25</v>
      </c>
      <c r="C2525" s="9">
        <f>IFERROR(__xludf.DUMMYFUNCTION("""COMPUTED_VALUE"""),568.41)</f>
        <v>568.41</v>
      </c>
      <c r="D2525" s="9">
        <f>IFERROR(__xludf.DUMMYFUNCTION("""COMPUTED_VALUE"""),551.09)</f>
        <v>551.09</v>
      </c>
      <c r="E2525" s="9">
        <f>IFERROR(__xludf.DUMMYFUNCTION("""COMPUTED_VALUE"""),554.59)</f>
        <v>554.59</v>
      </c>
      <c r="F2525" s="9">
        <f>IFERROR(__xludf.DUMMYFUNCTION("""COMPUTED_VALUE"""),2004103.0)</f>
        <v>2004103</v>
      </c>
      <c r="H2525" s="27">
        <f>IFERROR(__xludf.DUMMYFUNCTION("""COMPUTED_VALUE"""),42094.64583333333)</f>
        <v>42094.64583</v>
      </c>
      <c r="I2525" s="25">
        <f>IFERROR(__xludf.DUMMYFUNCTION("""COMPUTED_VALUE"""),1284.72)</f>
        <v>1284.72</v>
      </c>
      <c r="J2525" s="25">
        <f>IFERROR(__xludf.DUMMYFUNCTION("""COMPUTED_VALUE"""),1284.72)</f>
        <v>1284.72</v>
      </c>
      <c r="K2525" s="25">
        <f>IFERROR(__xludf.DUMMYFUNCTION("""COMPUTED_VALUE"""),1260.5)</f>
        <v>1260.5</v>
      </c>
      <c r="L2525" s="25">
        <f>IFERROR(__xludf.DUMMYFUNCTION("""COMPUTED_VALUE"""),1276.97)</f>
        <v>1276.97</v>
      </c>
      <c r="M2525" s="25">
        <f>IFERROR(__xludf.DUMMYFUNCTION("""COMPUTED_VALUE"""),1213514.0)</f>
        <v>1213514</v>
      </c>
    </row>
    <row r="2526">
      <c r="A2526" s="26">
        <f>IFERROR(__xludf.DUMMYFUNCTION("""COMPUTED_VALUE"""),42095.64583333333)</f>
        <v>42095.64583</v>
      </c>
      <c r="B2526" s="9">
        <f>IFERROR(__xludf.DUMMYFUNCTION("""COMPUTED_VALUE"""),549.73)</f>
        <v>549.73</v>
      </c>
      <c r="C2526" s="9">
        <f>IFERROR(__xludf.DUMMYFUNCTION("""COMPUTED_VALUE"""),549.88)</f>
        <v>549.88</v>
      </c>
      <c r="D2526" s="9">
        <f>IFERROR(__xludf.DUMMYFUNCTION("""COMPUTED_VALUE"""),539.42)</f>
        <v>539.42</v>
      </c>
      <c r="E2526" s="9">
        <f>IFERROR(__xludf.DUMMYFUNCTION("""COMPUTED_VALUE"""),543.49)</f>
        <v>543.49</v>
      </c>
      <c r="F2526" s="9">
        <f>IFERROR(__xludf.DUMMYFUNCTION("""COMPUTED_VALUE"""),1684622.0)</f>
        <v>1684622</v>
      </c>
      <c r="H2526" s="27">
        <f>IFERROR(__xludf.DUMMYFUNCTION("""COMPUTED_VALUE"""),42095.64583333333)</f>
        <v>42095.64583</v>
      </c>
      <c r="I2526" s="25">
        <f>IFERROR(__xludf.DUMMYFUNCTION("""COMPUTED_VALUE"""),1279.0)</f>
        <v>1279</v>
      </c>
      <c r="J2526" s="25">
        <f>IFERROR(__xludf.DUMMYFUNCTION("""COMPUTED_VALUE"""),1281.8)</f>
        <v>1281.8</v>
      </c>
      <c r="K2526" s="25">
        <f>IFERROR(__xludf.DUMMYFUNCTION("""COMPUTED_VALUE"""),1261.13)</f>
        <v>1261.13</v>
      </c>
      <c r="L2526" s="25">
        <f>IFERROR(__xludf.DUMMYFUNCTION("""COMPUTED_VALUE"""),1271.33)</f>
        <v>1271.33</v>
      </c>
      <c r="M2526" s="25">
        <f>IFERROR(__xludf.DUMMYFUNCTION("""COMPUTED_VALUE"""),1037879.0)</f>
        <v>1037879</v>
      </c>
    </row>
    <row r="2527">
      <c r="A2527" s="26">
        <f>IFERROR(__xludf.DUMMYFUNCTION("""COMPUTED_VALUE"""),42100.64583333333)</f>
        <v>42100.64583</v>
      </c>
      <c r="B2527" s="9">
        <f>IFERROR(__xludf.DUMMYFUNCTION("""COMPUTED_VALUE"""),544.75)</f>
        <v>544.75</v>
      </c>
      <c r="C2527" s="9">
        <f>IFERROR(__xludf.DUMMYFUNCTION("""COMPUTED_VALUE"""),546.17)</f>
        <v>546.17</v>
      </c>
      <c r="D2527" s="9">
        <f>IFERROR(__xludf.DUMMYFUNCTION("""COMPUTED_VALUE"""),540.1)</f>
        <v>540.1</v>
      </c>
      <c r="E2527" s="9">
        <f>IFERROR(__xludf.DUMMYFUNCTION("""COMPUTED_VALUE"""),544.55)</f>
        <v>544.55</v>
      </c>
      <c r="F2527" s="9">
        <f>IFERROR(__xludf.DUMMYFUNCTION("""COMPUTED_VALUE"""),1935438.0)</f>
        <v>1935438</v>
      </c>
      <c r="H2527" s="27">
        <f>IFERROR(__xludf.DUMMYFUNCTION("""COMPUTED_VALUE"""),42100.64583333333)</f>
        <v>42100.64583</v>
      </c>
      <c r="I2527" s="25">
        <f>IFERROR(__xludf.DUMMYFUNCTION("""COMPUTED_VALUE"""),1279.0)</f>
        <v>1279</v>
      </c>
      <c r="J2527" s="25">
        <f>IFERROR(__xludf.DUMMYFUNCTION("""COMPUTED_VALUE"""),1281.45)</f>
        <v>1281.45</v>
      </c>
      <c r="K2527" s="25">
        <f>IFERROR(__xludf.DUMMYFUNCTION("""COMPUTED_VALUE"""),1250.05)</f>
        <v>1250.05</v>
      </c>
      <c r="L2527" s="25">
        <f>IFERROR(__xludf.DUMMYFUNCTION("""COMPUTED_VALUE"""),1273.65)</f>
        <v>1273.65</v>
      </c>
      <c r="M2527" s="25">
        <f>IFERROR(__xludf.DUMMYFUNCTION("""COMPUTED_VALUE"""),784271.0)</f>
        <v>784271</v>
      </c>
    </row>
    <row r="2528">
      <c r="A2528" s="26">
        <f>IFERROR(__xludf.DUMMYFUNCTION("""COMPUTED_VALUE"""),42101.64583333333)</f>
        <v>42101.64583</v>
      </c>
      <c r="B2528" s="9">
        <f>IFERROR(__xludf.DUMMYFUNCTION("""COMPUTED_VALUE"""),543.75)</f>
        <v>543.75</v>
      </c>
      <c r="C2528" s="9">
        <f>IFERROR(__xludf.DUMMYFUNCTION("""COMPUTED_VALUE"""),545.7)</f>
        <v>545.7</v>
      </c>
      <c r="D2528" s="9">
        <f>IFERROR(__xludf.DUMMYFUNCTION("""COMPUTED_VALUE"""),534.5)</f>
        <v>534.5</v>
      </c>
      <c r="E2528" s="9">
        <f>IFERROR(__xludf.DUMMYFUNCTION("""COMPUTED_VALUE"""),539.88)</f>
        <v>539.88</v>
      </c>
      <c r="F2528" s="9">
        <f>IFERROR(__xludf.DUMMYFUNCTION("""COMPUTED_VALUE"""),2135567.0)</f>
        <v>2135567</v>
      </c>
      <c r="H2528" s="27">
        <f>IFERROR(__xludf.DUMMYFUNCTION("""COMPUTED_VALUE"""),42101.64583333333)</f>
        <v>42101.64583</v>
      </c>
      <c r="I2528" s="25">
        <f>IFERROR(__xludf.DUMMYFUNCTION("""COMPUTED_VALUE"""),1281.22)</f>
        <v>1281.22</v>
      </c>
      <c r="J2528" s="25">
        <f>IFERROR(__xludf.DUMMYFUNCTION("""COMPUTED_VALUE"""),1299.5)</f>
        <v>1299.5</v>
      </c>
      <c r="K2528" s="25">
        <f>IFERROR(__xludf.DUMMYFUNCTION("""COMPUTED_VALUE"""),1272.0)</f>
        <v>1272</v>
      </c>
      <c r="L2528" s="25">
        <f>IFERROR(__xludf.DUMMYFUNCTION("""COMPUTED_VALUE"""),1292.5)</f>
        <v>1292.5</v>
      </c>
      <c r="M2528" s="25">
        <f>IFERROR(__xludf.DUMMYFUNCTION("""COMPUTED_VALUE"""),943461.0)</f>
        <v>943461</v>
      </c>
    </row>
    <row r="2529">
      <c r="A2529" s="26">
        <f>IFERROR(__xludf.DUMMYFUNCTION("""COMPUTED_VALUE"""),42102.64583333333)</f>
        <v>42102.64583</v>
      </c>
      <c r="B2529" s="9">
        <f>IFERROR(__xludf.DUMMYFUNCTION("""COMPUTED_VALUE"""),545.63)</f>
        <v>545.63</v>
      </c>
      <c r="C2529" s="9">
        <f>IFERROR(__xludf.DUMMYFUNCTION("""COMPUTED_VALUE"""),551.23)</f>
        <v>551.23</v>
      </c>
      <c r="D2529" s="9">
        <f>IFERROR(__xludf.DUMMYFUNCTION("""COMPUTED_VALUE"""),543.26)</f>
        <v>543.26</v>
      </c>
      <c r="E2529" s="9">
        <f>IFERROR(__xludf.DUMMYFUNCTION("""COMPUTED_VALUE"""),550.14)</f>
        <v>550.14</v>
      </c>
      <c r="F2529" s="9">
        <f>IFERROR(__xludf.DUMMYFUNCTION("""COMPUTED_VALUE"""),2546394.0)</f>
        <v>2546394</v>
      </c>
      <c r="H2529" s="27">
        <f>IFERROR(__xludf.DUMMYFUNCTION("""COMPUTED_VALUE"""),42102.64583333333)</f>
        <v>42102.64583</v>
      </c>
      <c r="I2529" s="25">
        <f>IFERROR(__xludf.DUMMYFUNCTION("""COMPUTED_VALUE"""),1297.0)</f>
        <v>1297</v>
      </c>
      <c r="J2529" s="25">
        <f>IFERROR(__xludf.DUMMYFUNCTION("""COMPUTED_VALUE"""),1328.25)</f>
        <v>1328.25</v>
      </c>
      <c r="K2529" s="25">
        <f>IFERROR(__xludf.DUMMYFUNCTION("""COMPUTED_VALUE"""),1295.43)</f>
        <v>1295.43</v>
      </c>
      <c r="L2529" s="25">
        <f>IFERROR(__xludf.DUMMYFUNCTION("""COMPUTED_VALUE"""),1320.7)</f>
        <v>1320.7</v>
      </c>
      <c r="M2529" s="25">
        <f>IFERROR(__xludf.DUMMYFUNCTION("""COMPUTED_VALUE"""),826067.0)</f>
        <v>826067</v>
      </c>
    </row>
    <row r="2530">
      <c r="A2530" s="26">
        <f>IFERROR(__xludf.DUMMYFUNCTION("""COMPUTED_VALUE"""),42103.64583333333)</f>
        <v>42103.64583</v>
      </c>
      <c r="B2530" s="9">
        <f>IFERROR(__xludf.DUMMYFUNCTION("""COMPUTED_VALUE"""),552.85)</f>
        <v>552.85</v>
      </c>
      <c r="C2530" s="9">
        <f>IFERROR(__xludf.DUMMYFUNCTION("""COMPUTED_VALUE"""),554.73)</f>
        <v>554.73</v>
      </c>
      <c r="D2530" s="9">
        <f>IFERROR(__xludf.DUMMYFUNCTION("""COMPUTED_VALUE"""),546.1)</f>
        <v>546.1</v>
      </c>
      <c r="E2530" s="9">
        <f>IFERROR(__xludf.DUMMYFUNCTION("""COMPUTED_VALUE"""),553.75)</f>
        <v>553.75</v>
      </c>
      <c r="F2530" s="9">
        <f>IFERROR(__xludf.DUMMYFUNCTION("""COMPUTED_VALUE"""),2645387.0)</f>
        <v>2645387</v>
      </c>
      <c r="H2530" s="27">
        <f>IFERROR(__xludf.DUMMYFUNCTION("""COMPUTED_VALUE"""),42103.64583333333)</f>
        <v>42103.64583</v>
      </c>
      <c r="I2530" s="25">
        <f>IFERROR(__xludf.DUMMYFUNCTION("""COMPUTED_VALUE"""),1329.5)</f>
        <v>1329.5</v>
      </c>
      <c r="J2530" s="25">
        <f>IFERROR(__xludf.DUMMYFUNCTION("""COMPUTED_VALUE"""),1343.73)</f>
        <v>1343.73</v>
      </c>
      <c r="K2530" s="25">
        <f>IFERROR(__xludf.DUMMYFUNCTION("""COMPUTED_VALUE"""),1317.58)</f>
        <v>1317.58</v>
      </c>
      <c r="L2530" s="25">
        <f>IFERROR(__xludf.DUMMYFUNCTION("""COMPUTED_VALUE"""),1332.28)</f>
        <v>1332.28</v>
      </c>
      <c r="M2530" s="25">
        <f>IFERROR(__xludf.DUMMYFUNCTION("""COMPUTED_VALUE"""),1272225.0)</f>
        <v>1272225</v>
      </c>
    </row>
    <row r="2531">
      <c r="A2531" s="26">
        <f>IFERROR(__xludf.DUMMYFUNCTION("""COMPUTED_VALUE"""),42104.64583333333)</f>
        <v>42104.64583</v>
      </c>
      <c r="B2531" s="9">
        <f>IFERROR(__xludf.DUMMYFUNCTION("""COMPUTED_VALUE"""),552.55)</f>
        <v>552.55</v>
      </c>
      <c r="C2531" s="9">
        <f>IFERROR(__xludf.DUMMYFUNCTION("""COMPUTED_VALUE"""),559.5)</f>
        <v>559.5</v>
      </c>
      <c r="D2531" s="9">
        <f>IFERROR(__xludf.DUMMYFUNCTION("""COMPUTED_VALUE"""),552.55)</f>
        <v>552.55</v>
      </c>
      <c r="E2531" s="9">
        <f>IFERROR(__xludf.DUMMYFUNCTION("""COMPUTED_VALUE"""),558.49)</f>
        <v>558.49</v>
      </c>
      <c r="F2531" s="9">
        <f>IFERROR(__xludf.DUMMYFUNCTION("""COMPUTED_VALUE"""),1780944.0)</f>
        <v>1780944</v>
      </c>
      <c r="H2531" s="27">
        <f>IFERROR(__xludf.DUMMYFUNCTION("""COMPUTED_VALUE"""),42104.64583333333)</f>
        <v>42104.64583</v>
      </c>
      <c r="I2531" s="25">
        <f>IFERROR(__xludf.DUMMYFUNCTION("""COMPUTED_VALUE"""),1324.25)</f>
        <v>1324.25</v>
      </c>
      <c r="J2531" s="25">
        <f>IFERROR(__xludf.DUMMYFUNCTION("""COMPUTED_VALUE"""),1335.4)</f>
        <v>1335.4</v>
      </c>
      <c r="K2531" s="25">
        <f>IFERROR(__xludf.DUMMYFUNCTION("""COMPUTED_VALUE"""),1314.0)</f>
        <v>1314</v>
      </c>
      <c r="L2531" s="25">
        <f>IFERROR(__xludf.DUMMYFUNCTION("""COMPUTED_VALUE"""),1326.88)</f>
        <v>1326.88</v>
      </c>
      <c r="M2531" s="25">
        <f>IFERROR(__xludf.DUMMYFUNCTION("""COMPUTED_VALUE"""),907772.0)</f>
        <v>907772</v>
      </c>
    </row>
    <row r="2532">
      <c r="A2532" s="26">
        <f>IFERROR(__xludf.DUMMYFUNCTION("""COMPUTED_VALUE"""),42107.64583333333)</f>
        <v>42107.64583</v>
      </c>
      <c r="B2532" s="9">
        <f>IFERROR(__xludf.DUMMYFUNCTION("""COMPUTED_VALUE"""),559.5)</f>
        <v>559.5</v>
      </c>
      <c r="C2532" s="9">
        <f>IFERROR(__xludf.DUMMYFUNCTION("""COMPUTED_VALUE"""),561.0)</f>
        <v>561</v>
      </c>
      <c r="D2532" s="9">
        <f>IFERROR(__xludf.DUMMYFUNCTION("""COMPUTED_VALUE"""),554.03)</f>
        <v>554.03</v>
      </c>
      <c r="E2532" s="9">
        <f>IFERROR(__xludf.DUMMYFUNCTION("""COMPUTED_VALUE"""),559.7)</f>
        <v>559.7</v>
      </c>
      <c r="F2532" s="9">
        <f>IFERROR(__xludf.DUMMYFUNCTION("""COMPUTED_VALUE"""),1218084.0)</f>
        <v>1218084</v>
      </c>
      <c r="H2532" s="27">
        <f>IFERROR(__xludf.DUMMYFUNCTION("""COMPUTED_VALUE"""),42107.64583333333)</f>
        <v>42107.64583</v>
      </c>
      <c r="I2532" s="25">
        <f>IFERROR(__xludf.DUMMYFUNCTION("""COMPUTED_VALUE"""),1332.0)</f>
        <v>1332</v>
      </c>
      <c r="J2532" s="25">
        <f>IFERROR(__xludf.DUMMYFUNCTION("""COMPUTED_VALUE"""),1332.5)</f>
        <v>1332.5</v>
      </c>
      <c r="K2532" s="25">
        <f>IFERROR(__xludf.DUMMYFUNCTION("""COMPUTED_VALUE"""),1314.0)</f>
        <v>1314</v>
      </c>
      <c r="L2532" s="25">
        <f>IFERROR(__xludf.DUMMYFUNCTION("""COMPUTED_VALUE"""),1327.75)</f>
        <v>1327.75</v>
      </c>
      <c r="M2532" s="25">
        <f>IFERROR(__xludf.DUMMYFUNCTION("""COMPUTED_VALUE"""),654321.0)</f>
        <v>654321</v>
      </c>
    </row>
    <row r="2533">
      <c r="A2533" s="26">
        <f>IFERROR(__xludf.DUMMYFUNCTION("""COMPUTED_VALUE"""),42109.64583333333)</f>
        <v>42109.64583</v>
      </c>
      <c r="B2533" s="9">
        <f>IFERROR(__xludf.DUMMYFUNCTION("""COMPUTED_VALUE"""),559.13)</f>
        <v>559.13</v>
      </c>
      <c r="C2533" s="9">
        <f>IFERROR(__xludf.DUMMYFUNCTION("""COMPUTED_VALUE"""),561.25)</f>
        <v>561.25</v>
      </c>
      <c r="D2533" s="9">
        <f>IFERROR(__xludf.DUMMYFUNCTION("""COMPUTED_VALUE"""),548.76)</f>
        <v>548.76</v>
      </c>
      <c r="E2533" s="9">
        <f>IFERROR(__xludf.DUMMYFUNCTION("""COMPUTED_VALUE"""),553.42)</f>
        <v>553.42</v>
      </c>
      <c r="F2533" s="9">
        <f>IFERROR(__xludf.DUMMYFUNCTION("""COMPUTED_VALUE"""),1559446.0)</f>
        <v>1559446</v>
      </c>
      <c r="H2533" s="27">
        <f>IFERROR(__xludf.DUMMYFUNCTION("""COMPUTED_VALUE"""),42109.64583333333)</f>
        <v>42109.64583</v>
      </c>
      <c r="I2533" s="25">
        <f>IFERROR(__xludf.DUMMYFUNCTION("""COMPUTED_VALUE"""),1327.35)</f>
        <v>1327.35</v>
      </c>
      <c r="J2533" s="25">
        <f>IFERROR(__xludf.DUMMYFUNCTION("""COMPUTED_VALUE"""),1356.95)</f>
        <v>1356.95</v>
      </c>
      <c r="K2533" s="25">
        <f>IFERROR(__xludf.DUMMYFUNCTION("""COMPUTED_VALUE"""),1304.7)</f>
        <v>1304.7</v>
      </c>
      <c r="L2533" s="25">
        <f>IFERROR(__xludf.DUMMYFUNCTION("""COMPUTED_VALUE"""),1313.88)</f>
        <v>1313.88</v>
      </c>
      <c r="M2533" s="25">
        <f>IFERROR(__xludf.DUMMYFUNCTION("""COMPUTED_VALUE"""),1456967.0)</f>
        <v>1456967</v>
      </c>
    </row>
    <row r="2534">
      <c r="A2534" s="26">
        <f>IFERROR(__xludf.DUMMYFUNCTION("""COMPUTED_VALUE"""),42110.64583333333)</f>
        <v>42110.64583</v>
      </c>
      <c r="B2534" s="9">
        <f>IFERROR(__xludf.DUMMYFUNCTION("""COMPUTED_VALUE"""),555.5)</f>
        <v>555.5</v>
      </c>
      <c r="C2534" s="9">
        <f>IFERROR(__xludf.DUMMYFUNCTION("""COMPUTED_VALUE"""),557.75)</f>
        <v>557.75</v>
      </c>
      <c r="D2534" s="9">
        <f>IFERROR(__xludf.DUMMYFUNCTION("""COMPUTED_VALUE"""),540.13)</f>
        <v>540.13</v>
      </c>
      <c r="E2534" s="9">
        <f>IFERROR(__xludf.DUMMYFUNCTION("""COMPUTED_VALUE"""),548.66)</f>
        <v>548.66</v>
      </c>
      <c r="F2534" s="9">
        <f>IFERROR(__xludf.DUMMYFUNCTION("""COMPUTED_VALUE"""),2251953.0)</f>
        <v>2251953</v>
      </c>
      <c r="H2534" s="27">
        <f>IFERROR(__xludf.DUMMYFUNCTION("""COMPUTED_VALUE"""),42110.64583333333)</f>
        <v>42110.64583</v>
      </c>
      <c r="I2534" s="25">
        <f>IFERROR(__xludf.DUMMYFUNCTION("""COMPUTED_VALUE"""),1313.48)</f>
        <v>1313.48</v>
      </c>
      <c r="J2534" s="25">
        <f>IFERROR(__xludf.DUMMYFUNCTION("""COMPUTED_VALUE"""),1313.5)</f>
        <v>1313.5</v>
      </c>
      <c r="K2534" s="25">
        <f>IFERROR(__xludf.DUMMYFUNCTION("""COMPUTED_VALUE"""),1285.68)</f>
        <v>1285.68</v>
      </c>
      <c r="L2534" s="25">
        <f>IFERROR(__xludf.DUMMYFUNCTION("""COMPUTED_VALUE"""),1291.4)</f>
        <v>1291.4</v>
      </c>
      <c r="M2534" s="25">
        <f>IFERROR(__xludf.DUMMYFUNCTION("""COMPUTED_VALUE"""),1608785.0)</f>
        <v>1608785</v>
      </c>
    </row>
    <row r="2535">
      <c r="A2535" s="26">
        <f>IFERROR(__xludf.DUMMYFUNCTION("""COMPUTED_VALUE"""),42111.64583333333)</f>
        <v>42111.64583</v>
      </c>
      <c r="B2535" s="9">
        <f>IFERROR(__xludf.DUMMYFUNCTION("""COMPUTED_VALUE"""),545.01)</f>
        <v>545.01</v>
      </c>
      <c r="C2535" s="9">
        <f>IFERROR(__xludf.DUMMYFUNCTION("""COMPUTED_VALUE"""),548.74)</f>
        <v>548.74</v>
      </c>
      <c r="D2535" s="9">
        <f>IFERROR(__xludf.DUMMYFUNCTION("""COMPUTED_VALUE"""),538.36)</f>
        <v>538.36</v>
      </c>
      <c r="E2535" s="9">
        <f>IFERROR(__xludf.DUMMYFUNCTION("""COMPUTED_VALUE"""),544.81)</f>
        <v>544.81</v>
      </c>
      <c r="F2535" s="9">
        <f>IFERROR(__xludf.DUMMYFUNCTION("""COMPUTED_VALUE"""),1612579.0)</f>
        <v>1612579</v>
      </c>
      <c r="H2535" s="27">
        <f>IFERROR(__xludf.DUMMYFUNCTION("""COMPUTED_VALUE"""),42111.64583333333)</f>
        <v>42111.64583</v>
      </c>
      <c r="I2535" s="25">
        <f>IFERROR(__xludf.DUMMYFUNCTION("""COMPUTED_VALUE"""),1278.55)</f>
        <v>1278.55</v>
      </c>
      <c r="J2535" s="25">
        <f>IFERROR(__xludf.DUMMYFUNCTION("""COMPUTED_VALUE"""),1280.0)</f>
        <v>1280</v>
      </c>
      <c r="K2535" s="25">
        <f>IFERROR(__xludf.DUMMYFUNCTION("""COMPUTED_VALUE"""),1235.0)</f>
        <v>1235</v>
      </c>
      <c r="L2535" s="25">
        <f>IFERROR(__xludf.DUMMYFUNCTION("""COMPUTED_VALUE"""),1237.43)</f>
        <v>1237.43</v>
      </c>
      <c r="M2535" s="25">
        <f>IFERROR(__xludf.DUMMYFUNCTION("""COMPUTED_VALUE"""),4834371.0)</f>
        <v>4834371</v>
      </c>
    </row>
    <row r="2536">
      <c r="A2536" s="26">
        <f>IFERROR(__xludf.DUMMYFUNCTION("""COMPUTED_VALUE"""),42114.64583333333)</f>
        <v>42114.64583</v>
      </c>
      <c r="B2536" s="9">
        <f>IFERROR(__xludf.DUMMYFUNCTION("""COMPUTED_VALUE"""),544.0)</f>
        <v>544</v>
      </c>
      <c r="C2536" s="9">
        <f>IFERROR(__xludf.DUMMYFUNCTION("""COMPUTED_VALUE"""),545.0)</f>
        <v>545</v>
      </c>
      <c r="D2536" s="9">
        <f>IFERROR(__xludf.DUMMYFUNCTION("""COMPUTED_VALUE"""),528.79)</f>
        <v>528.79</v>
      </c>
      <c r="E2536" s="9">
        <f>IFERROR(__xludf.DUMMYFUNCTION("""COMPUTED_VALUE"""),533.04)</f>
        <v>533.04</v>
      </c>
      <c r="F2536" s="9">
        <f>IFERROR(__xludf.DUMMYFUNCTION("""COMPUTED_VALUE"""),3206346.0)</f>
        <v>3206346</v>
      </c>
      <c r="H2536" s="27">
        <f>IFERROR(__xludf.DUMMYFUNCTION("""COMPUTED_VALUE"""),42114.64583333333)</f>
        <v>42114.64583</v>
      </c>
      <c r="I2536" s="25">
        <f>IFERROR(__xludf.DUMMYFUNCTION("""COMPUTED_VALUE"""),1240.03)</f>
        <v>1240.03</v>
      </c>
      <c r="J2536" s="25">
        <f>IFERROR(__xludf.DUMMYFUNCTION("""COMPUTED_VALUE"""),1241.95)</f>
        <v>1241.95</v>
      </c>
      <c r="K2536" s="25">
        <f>IFERROR(__xludf.DUMMYFUNCTION("""COMPUTED_VALUE"""),1212.43)</f>
        <v>1212.43</v>
      </c>
      <c r="L2536" s="25">
        <f>IFERROR(__xludf.DUMMYFUNCTION("""COMPUTED_VALUE"""),1214.4)</f>
        <v>1214.4</v>
      </c>
      <c r="M2536" s="25">
        <f>IFERROR(__xludf.DUMMYFUNCTION("""COMPUTED_VALUE"""),1445361.0)</f>
        <v>1445361</v>
      </c>
    </row>
    <row r="2537">
      <c r="A2537" s="26">
        <f>IFERROR(__xludf.DUMMYFUNCTION("""COMPUTED_VALUE"""),42115.64583333333)</f>
        <v>42115.64583</v>
      </c>
      <c r="B2537" s="9">
        <f>IFERROR(__xludf.DUMMYFUNCTION("""COMPUTED_VALUE"""),537.0)</f>
        <v>537</v>
      </c>
      <c r="C2537" s="9">
        <f>IFERROR(__xludf.DUMMYFUNCTION("""COMPUTED_VALUE"""),538.78)</f>
        <v>538.78</v>
      </c>
      <c r="D2537" s="9">
        <f>IFERROR(__xludf.DUMMYFUNCTION("""COMPUTED_VALUE"""),530.03)</f>
        <v>530.03</v>
      </c>
      <c r="E2537" s="9">
        <f>IFERROR(__xludf.DUMMYFUNCTION("""COMPUTED_VALUE"""),535.65)</f>
        <v>535.65</v>
      </c>
      <c r="F2537" s="9">
        <f>IFERROR(__xludf.DUMMYFUNCTION("""COMPUTED_VALUE"""),2220412.0)</f>
        <v>2220412</v>
      </c>
      <c r="H2537" s="27">
        <f>IFERROR(__xludf.DUMMYFUNCTION("""COMPUTED_VALUE"""),42115.64583333333)</f>
        <v>42115.64583</v>
      </c>
      <c r="I2537" s="25">
        <f>IFERROR(__xludf.DUMMYFUNCTION("""COMPUTED_VALUE"""),1214.4)</f>
        <v>1214.4</v>
      </c>
      <c r="J2537" s="25">
        <f>IFERROR(__xludf.DUMMYFUNCTION("""COMPUTED_VALUE"""),1226.0)</f>
        <v>1226</v>
      </c>
      <c r="K2537" s="25">
        <f>IFERROR(__xludf.DUMMYFUNCTION("""COMPUTED_VALUE"""),1200.5)</f>
        <v>1200.5</v>
      </c>
      <c r="L2537" s="25">
        <f>IFERROR(__xludf.DUMMYFUNCTION("""COMPUTED_VALUE"""),1213.53)</f>
        <v>1213.53</v>
      </c>
      <c r="M2537" s="25">
        <f>IFERROR(__xludf.DUMMYFUNCTION("""COMPUTED_VALUE"""),1273016.0)</f>
        <v>1273016</v>
      </c>
    </row>
    <row r="2538">
      <c r="A2538" s="26">
        <f>IFERROR(__xludf.DUMMYFUNCTION("""COMPUTED_VALUE"""),42116.64583333333)</f>
        <v>42116.64583</v>
      </c>
      <c r="B2538" s="9">
        <f>IFERROR(__xludf.DUMMYFUNCTION("""COMPUTED_VALUE"""),537.76)</f>
        <v>537.76</v>
      </c>
      <c r="C2538" s="9">
        <f>IFERROR(__xludf.DUMMYFUNCTION("""COMPUTED_VALUE"""),538.75)</f>
        <v>538.75</v>
      </c>
      <c r="D2538" s="9">
        <f>IFERROR(__xludf.DUMMYFUNCTION("""COMPUTED_VALUE"""),524.49)</f>
        <v>524.49</v>
      </c>
      <c r="E2538" s="9">
        <f>IFERROR(__xludf.DUMMYFUNCTION("""COMPUTED_VALUE"""),534.42)</f>
        <v>534.42</v>
      </c>
      <c r="F2538" s="9">
        <f>IFERROR(__xludf.DUMMYFUNCTION("""COMPUTED_VALUE"""),3087746.0)</f>
        <v>3087746</v>
      </c>
      <c r="H2538" s="27">
        <f>IFERROR(__xludf.DUMMYFUNCTION("""COMPUTED_VALUE"""),42116.64583333333)</f>
        <v>42116.64583</v>
      </c>
      <c r="I2538" s="25">
        <f>IFERROR(__xludf.DUMMYFUNCTION("""COMPUTED_VALUE"""),1215.75)</f>
        <v>1215.75</v>
      </c>
      <c r="J2538" s="25">
        <f>IFERROR(__xludf.DUMMYFUNCTION("""COMPUTED_VALUE"""),1236.5)</f>
        <v>1236.5</v>
      </c>
      <c r="K2538" s="25">
        <f>IFERROR(__xludf.DUMMYFUNCTION("""COMPUTED_VALUE"""),1203.78)</f>
        <v>1203.78</v>
      </c>
      <c r="L2538" s="25">
        <f>IFERROR(__xludf.DUMMYFUNCTION("""COMPUTED_VALUE"""),1222.55)</f>
        <v>1222.55</v>
      </c>
      <c r="M2538" s="25">
        <f>IFERROR(__xludf.DUMMYFUNCTION("""COMPUTED_VALUE"""),2093406.0)</f>
        <v>2093406</v>
      </c>
    </row>
    <row r="2539">
      <c r="A2539" s="26">
        <f>IFERROR(__xludf.DUMMYFUNCTION("""COMPUTED_VALUE"""),42117.64583333333)</f>
        <v>42117.64583</v>
      </c>
      <c r="B2539" s="9">
        <f>IFERROR(__xludf.DUMMYFUNCTION("""COMPUTED_VALUE"""),537.17)</f>
        <v>537.17</v>
      </c>
      <c r="C2539" s="9">
        <f>IFERROR(__xludf.DUMMYFUNCTION("""COMPUTED_VALUE"""),537.5)</f>
        <v>537.5</v>
      </c>
      <c r="D2539" s="9">
        <f>IFERROR(__xludf.DUMMYFUNCTION("""COMPUTED_VALUE"""),528.0)</f>
        <v>528</v>
      </c>
      <c r="E2539" s="9">
        <f>IFERROR(__xludf.DUMMYFUNCTION("""COMPUTED_VALUE"""),530.5)</f>
        <v>530.5</v>
      </c>
      <c r="F2539" s="9">
        <f>IFERROR(__xludf.DUMMYFUNCTION("""COMPUTED_VALUE"""),2972950.0)</f>
        <v>2972950</v>
      </c>
      <c r="H2539" s="27">
        <f>IFERROR(__xludf.DUMMYFUNCTION("""COMPUTED_VALUE"""),42117.64583333333)</f>
        <v>42117.64583</v>
      </c>
      <c r="I2539" s="25">
        <f>IFERROR(__xludf.DUMMYFUNCTION("""COMPUTED_VALUE"""),1236.0)</f>
        <v>1236</v>
      </c>
      <c r="J2539" s="25">
        <f>IFERROR(__xludf.DUMMYFUNCTION("""COMPUTED_VALUE"""),1239.9)</f>
        <v>1239.9</v>
      </c>
      <c r="K2539" s="25">
        <f>IFERROR(__xludf.DUMMYFUNCTION("""COMPUTED_VALUE"""),1215.85)</f>
        <v>1215.85</v>
      </c>
      <c r="L2539" s="25">
        <f>IFERROR(__xludf.DUMMYFUNCTION("""COMPUTED_VALUE"""),1228.63)</f>
        <v>1228.63</v>
      </c>
      <c r="M2539" s="25">
        <f>IFERROR(__xludf.DUMMYFUNCTION("""COMPUTED_VALUE"""),2171495.0)</f>
        <v>2171495</v>
      </c>
    </row>
    <row r="2540">
      <c r="A2540" s="26">
        <f>IFERROR(__xludf.DUMMYFUNCTION("""COMPUTED_VALUE"""),42118.64583333333)</f>
        <v>42118.64583</v>
      </c>
      <c r="B2540" s="9">
        <f>IFERROR(__xludf.DUMMYFUNCTION("""COMPUTED_VALUE"""),533.98)</f>
        <v>533.98</v>
      </c>
      <c r="C2540" s="9">
        <f>IFERROR(__xludf.DUMMYFUNCTION("""COMPUTED_VALUE"""),537.55)</f>
        <v>537.55</v>
      </c>
      <c r="D2540" s="9">
        <f>IFERROR(__xludf.DUMMYFUNCTION("""COMPUTED_VALUE"""),495.0)</f>
        <v>495</v>
      </c>
      <c r="E2540" s="9">
        <f>IFERROR(__xludf.DUMMYFUNCTION("""COMPUTED_VALUE"""),498.8)</f>
        <v>498.8</v>
      </c>
      <c r="F2540" s="9">
        <f>IFERROR(__xludf.DUMMYFUNCTION("""COMPUTED_VALUE"""),1.0891363E7)</f>
        <v>10891363</v>
      </c>
      <c r="H2540" s="27">
        <f>IFERROR(__xludf.DUMMYFUNCTION("""COMPUTED_VALUE"""),42118.64583333333)</f>
        <v>42118.64583</v>
      </c>
      <c r="I2540" s="25">
        <f>IFERROR(__xludf.DUMMYFUNCTION("""COMPUTED_VALUE"""),1227.65)</f>
        <v>1227.65</v>
      </c>
      <c r="J2540" s="25">
        <f>IFERROR(__xludf.DUMMYFUNCTION("""COMPUTED_VALUE"""),1257.0)</f>
        <v>1257</v>
      </c>
      <c r="K2540" s="25">
        <f>IFERROR(__xludf.DUMMYFUNCTION("""COMPUTED_VALUE"""),1223.78)</f>
        <v>1223.78</v>
      </c>
      <c r="L2540" s="25">
        <f>IFERROR(__xludf.DUMMYFUNCTION("""COMPUTED_VALUE"""),1246.53)</f>
        <v>1246.53</v>
      </c>
      <c r="M2540" s="25">
        <f>IFERROR(__xludf.DUMMYFUNCTION("""COMPUTED_VALUE"""),1812579.0)</f>
        <v>1812579</v>
      </c>
    </row>
    <row r="2541">
      <c r="A2541" s="26">
        <f>IFERROR(__xludf.DUMMYFUNCTION("""COMPUTED_VALUE"""),42121.64583333333)</f>
        <v>42121.64583</v>
      </c>
      <c r="B2541" s="9">
        <f>IFERROR(__xludf.DUMMYFUNCTION("""COMPUTED_VALUE"""),500.0)</f>
        <v>500</v>
      </c>
      <c r="C2541" s="9">
        <f>IFERROR(__xludf.DUMMYFUNCTION("""COMPUTED_VALUE"""),500.5)</f>
        <v>500.5</v>
      </c>
      <c r="D2541" s="9">
        <f>IFERROR(__xludf.DUMMYFUNCTION("""COMPUTED_VALUE"""),487.03)</f>
        <v>487.03</v>
      </c>
      <c r="E2541" s="9">
        <f>IFERROR(__xludf.DUMMYFUNCTION("""COMPUTED_VALUE"""),496.16)</f>
        <v>496.16</v>
      </c>
      <c r="F2541" s="9">
        <f>IFERROR(__xludf.DUMMYFUNCTION("""COMPUTED_VALUE"""),4955660.0)</f>
        <v>4955660</v>
      </c>
      <c r="H2541" s="27">
        <f>IFERROR(__xludf.DUMMYFUNCTION("""COMPUTED_VALUE"""),42121.64583333333)</f>
        <v>42121.64583</v>
      </c>
      <c r="I2541" s="25">
        <f>IFERROR(__xludf.DUMMYFUNCTION("""COMPUTED_VALUE"""),1249.75)</f>
        <v>1249.75</v>
      </c>
      <c r="J2541" s="25">
        <f>IFERROR(__xludf.DUMMYFUNCTION("""COMPUTED_VALUE"""),1260.0)</f>
        <v>1260</v>
      </c>
      <c r="K2541" s="25">
        <f>IFERROR(__xludf.DUMMYFUNCTION("""COMPUTED_VALUE"""),1243.0)</f>
        <v>1243</v>
      </c>
      <c r="L2541" s="25">
        <f>IFERROR(__xludf.DUMMYFUNCTION("""COMPUTED_VALUE"""),1250.1)</f>
        <v>1250.1</v>
      </c>
      <c r="M2541" s="25">
        <f>IFERROR(__xludf.DUMMYFUNCTION("""COMPUTED_VALUE"""),1366526.0)</f>
        <v>1366526</v>
      </c>
    </row>
    <row r="2542">
      <c r="A2542" s="26">
        <f>IFERROR(__xludf.DUMMYFUNCTION("""COMPUTED_VALUE"""),42122.64583333333)</f>
        <v>42122.64583</v>
      </c>
      <c r="B2542" s="9">
        <f>IFERROR(__xludf.DUMMYFUNCTION("""COMPUTED_VALUE"""),495.5)</f>
        <v>495.5</v>
      </c>
      <c r="C2542" s="9">
        <f>IFERROR(__xludf.DUMMYFUNCTION("""COMPUTED_VALUE"""),495.5)</f>
        <v>495.5</v>
      </c>
      <c r="D2542" s="9">
        <f>IFERROR(__xludf.DUMMYFUNCTION("""COMPUTED_VALUE"""),488.0)</f>
        <v>488</v>
      </c>
      <c r="E2542" s="9">
        <f>IFERROR(__xludf.DUMMYFUNCTION("""COMPUTED_VALUE"""),490.23)</f>
        <v>490.23</v>
      </c>
      <c r="F2542" s="9">
        <f>IFERROR(__xludf.DUMMYFUNCTION("""COMPUTED_VALUE"""),2598375.0)</f>
        <v>2598375</v>
      </c>
      <c r="H2542" s="27">
        <f>IFERROR(__xludf.DUMMYFUNCTION("""COMPUTED_VALUE"""),42122.64583333333)</f>
        <v>42122.64583</v>
      </c>
      <c r="I2542" s="25">
        <f>IFERROR(__xludf.DUMMYFUNCTION("""COMPUTED_VALUE"""),1255.0)</f>
        <v>1255</v>
      </c>
      <c r="J2542" s="25">
        <f>IFERROR(__xludf.DUMMYFUNCTION("""COMPUTED_VALUE"""),1255.0)</f>
        <v>1255</v>
      </c>
      <c r="K2542" s="25">
        <f>IFERROR(__xludf.DUMMYFUNCTION("""COMPUTED_VALUE"""),1227.55)</f>
        <v>1227.55</v>
      </c>
      <c r="L2542" s="25">
        <f>IFERROR(__xludf.DUMMYFUNCTION("""COMPUTED_VALUE"""),1247.5)</f>
        <v>1247.5</v>
      </c>
      <c r="M2542" s="25">
        <f>IFERROR(__xludf.DUMMYFUNCTION("""COMPUTED_VALUE"""),1544149.0)</f>
        <v>1544149</v>
      </c>
    </row>
    <row r="2543">
      <c r="A2543" s="26">
        <f>IFERROR(__xludf.DUMMYFUNCTION("""COMPUTED_VALUE"""),42123.64583333333)</f>
        <v>42123.64583</v>
      </c>
      <c r="B2543" s="9">
        <f>IFERROR(__xludf.DUMMYFUNCTION("""COMPUTED_VALUE"""),490.23)</f>
        <v>490.23</v>
      </c>
      <c r="C2543" s="9">
        <f>IFERROR(__xludf.DUMMYFUNCTION("""COMPUTED_VALUE"""),493.0)</f>
        <v>493</v>
      </c>
      <c r="D2543" s="9">
        <f>IFERROR(__xludf.DUMMYFUNCTION("""COMPUTED_VALUE"""),484.49)</f>
        <v>484.49</v>
      </c>
      <c r="E2543" s="9">
        <f>IFERROR(__xludf.DUMMYFUNCTION("""COMPUTED_VALUE"""),490.29)</f>
        <v>490.29</v>
      </c>
      <c r="F2543" s="9">
        <f>IFERROR(__xludf.DUMMYFUNCTION("""COMPUTED_VALUE"""),2072264.0)</f>
        <v>2072264</v>
      </c>
      <c r="H2543" s="27">
        <f>IFERROR(__xludf.DUMMYFUNCTION("""COMPUTED_VALUE"""),42123.64583333333)</f>
        <v>42123.64583</v>
      </c>
      <c r="I2543" s="25">
        <f>IFERROR(__xludf.DUMMYFUNCTION("""COMPUTED_VALUE"""),1242.0)</f>
        <v>1242</v>
      </c>
      <c r="J2543" s="25">
        <f>IFERROR(__xludf.DUMMYFUNCTION("""COMPUTED_VALUE"""),1247.5)</f>
        <v>1247.5</v>
      </c>
      <c r="K2543" s="25">
        <f>IFERROR(__xludf.DUMMYFUNCTION("""COMPUTED_VALUE"""),1225.53)</f>
        <v>1225.53</v>
      </c>
      <c r="L2543" s="25">
        <f>IFERROR(__xludf.DUMMYFUNCTION("""COMPUTED_VALUE"""),1243.65)</f>
        <v>1243.65</v>
      </c>
      <c r="M2543" s="25">
        <f>IFERROR(__xludf.DUMMYFUNCTION("""COMPUTED_VALUE"""),1009810.0)</f>
        <v>1009810</v>
      </c>
    </row>
    <row r="2544">
      <c r="A2544" s="26">
        <f>IFERROR(__xludf.DUMMYFUNCTION("""COMPUTED_VALUE"""),42124.64583333333)</f>
        <v>42124.64583</v>
      </c>
      <c r="B2544" s="9">
        <f>IFERROR(__xludf.DUMMYFUNCTION("""COMPUTED_VALUE"""),490.0)</f>
        <v>490</v>
      </c>
      <c r="C2544" s="9">
        <f>IFERROR(__xludf.DUMMYFUNCTION("""COMPUTED_VALUE"""),491.25)</f>
        <v>491.25</v>
      </c>
      <c r="D2544" s="9">
        <f>IFERROR(__xludf.DUMMYFUNCTION("""COMPUTED_VALUE"""),483.08)</f>
        <v>483.08</v>
      </c>
      <c r="E2544" s="9">
        <f>IFERROR(__xludf.DUMMYFUNCTION("""COMPUTED_VALUE"""),485.56)</f>
        <v>485.56</v>
      </c>
      <c r="F2544" s="9">
        <f>IFERROR(__xludf.DUMMYFUNCTION("""COMPUTED_VALUE"""),3283565.0)</f>
        <v>3283565</v>
      </c>
      <c r="H2544" s="27">
        <f>IFERROR(__xludf.DUMMYFUNCTION("""COMPUTED_VALUE"""),42124.64583333333)</f>
        <v>42124.64583</v>
      </c>
      <c r="I2544" s="25">
        <f>IFERROR(__xludf.DUMMYFUNCTION("""COMPUTED_VALUE"""),1240.0)</f>
        <v>1240</v>
      </c>
      <c r="J2544" s="25">
        <f>IFERROR(__xludf.DUMMYFUNCTION("""COMPUTED_VALUE"""),1245.0)</f>
        <v>1245</v>
      </c>
      <c r="K2544" s="25">
        <f>IFERROR(__xludf.DUMMYFUNCTION("""COMPUTED_VALUE"""),1213.55)</f>
        <v>1213.55</v>
      </c>
      <c r="L2544" s="25">
        <f>IFERROR(__xludf.DUMMYFUNCTION("""COMPUTED_VALUE"""),1231.85)</f>
        <v>1231.85</v>
      </c>
      <c r="M2544" s="25">
        <f>IFERROR(__xludf.DUMMYFUNCTION("""COMPUTED_VALUE"""),1869027.0)</f>
        <v>1869027</v>
      </c>
    </row>
    <row r="2545">
      <c r="A2545" s="26">
        <f>IFERROR(__xludf.DUMMYFUNCTION("""COMPUTED_VALUE"""),42128.64583333333)</f>
        <v>42128.64583</v>
      </c>
      <c r="B2545" s="9">
        <f>IFERROR(__xludf.DUMMYFUNCTION("""COMPUTED_VALUE"""),489.88)</f>
        <v>489.88</v>
      </c>
      <c r="C2545" s="9">
        <f>IFERROR(__xludf.DUMMYFUNCTION("""COMPUTED_VALUE"""),500.0)</f>
        <v>500</v>
      </c>
      <c r="D2545" s="9">
        <f>IFERROR(__xludf.DUMMYFUNCTION("""COMPUTED_VALUE"""),487.48)</f>
        <v>487.48</v>
      </c>
      <c r="E2545" s="9">
        <f>IFERROR(__xludf.DUMMYFUNCTION("""COMPUTED_VALUE"""),498.28)</f>
        <v>498.28</v>
      </c>
      <c r="F2545" s="9">
        <f>IFERROR(__xludf.DUMMYFUNCTION("""COMPUTED_VALUE"""),3340398.0)</f>
        <v>3340398</v>
      </c>
      <c r="H2545" s="27">
        <f>IFERROR(__xludf.DUMMYFUNCTION("""COMPUTED_VALUE"""),42128.64583333333)</f>
        <v>42128.64583</v>
      </c>
      <c r="I2545" s="25">
        <f>IFERROR(__xludf.DUMMYFUNCTION("""COMPUTED_VALUE"""),1245.5)</f>
        <v>1245.5</v>
      </c>
      <c r="J2545" s="25">
        <f>IFERROR(__xludf.DUMMYFUNCTION("""COMPUTED_VALUE"""),1252.4)</f>
        <v>1252.4</v>
      </c>
      <c r="K2545" s="25">
        <f>IFERROR(__xludf.DUMMYFUNCTION("""COMPUTED_VALUE"""),1228.6)</f>
        <v>1228.6</v>
      </c>
      <c r="L2545" s="25">
        <f>IFERROR(__xludf.DUMMYFUNCTION("""COMPUTED_VALUE"""),1240.78)</f>
        <v>1240.78</v>
      </c>
      <c r="M2545" s="25">
        <f>IFERROR(__xludf.DUMMYFUNCTION("""COMPUTED_VALUE"""),945315.0)</f>
        <v>945315</v>
      </c>
    </row>
    <row r="2546">
      <c r="A2546" s="26">
        <f>IFERROR(__xludf.DUMMYFUNCTION("""COMPUTED_VALUE"""),42129.64583333333)</f>
        <v>42129.64583</v>
      </c>
      <c r="B2546" s="9">
        <f>IFERROR(__xludf.DUMMYFUNCTION("""COMPUTED_VALUE"""),500.0)</f>
        <v>500</v>
      </c>
      <c r="C2546" s="9">
        <f>IFERROR(__xludf.DUMMYFUNCTION("""COMPUTED_VALUE"""),500.93)</f>
        <v>500.93</v>
      </c>
      <c r="D2546" s="9">
        <f>IFERROR(__xludf.DUMMYFUNCTION("""COMPUTED_VALUE"""),488.01)</f>
        <v>488.01</v>
      </c>
      <c r="E2546" s="9">
        <f>IFERROR(__xludf.DUMMYFUNCTION("""COMPUTED_VALUE"""),490.69)</f>
        <v>490.69</v>
      </c>
      <c r="F2546" s="9">
        <f>IFERROR(__xludf.DUMMYFUNCTION("""COMPUTED_VALUE"""),2352129.0)</f>
        <v>2352129</v>
      </c>
      <c r="H2546" s="27">
        <f>IFERROR(__xludf.DUMMYFUNCTION("""COMPUTED_VALUE"""),42129.64583333333)</f>
        <v>42129.64583</v>
      </c>
      <c r="I2546" s="25">
        <f>IFERROR(__xludf.DUMMYFUNCTION("""COMPUTED_VALUE"""),1250.5)</f>
        <v>1250.5</v>
      </c>
      <c r="J2546" s="25">
        <f>IFERROR(__xludf.DUMMYFUNCTION("""COMPUTED_VALUE"""),1268.22)</f>
        <v>1268.22</v>
      </c>
      <c r="K2546" s="25">
        <f>IFERROR(__xludf.DUMMYFUNCTION("""COMPUTED_VALUE"""),1250.0)</f>
        <v>1250</v>
      </c>
      <c r="L2546" s="25">
        <f>IFERROR(__xludf.DUMMYFUNCTION("""COMPUTED_VALUE"""),1258.93)</f>
        <v>1258.93</v>
      </c>
      <c r="M2546" s="25">
        <f>IFERROR(__xludf.DUMMYFUNCTION("""COMPUTED_VALUE"""),1627535.0)</f>
        <v>1627535</v>
      </c>
    </row>
    <row r="2547">
      <c r="A2547" s="26">
        <f>IFERROR(__xludf.DUMMYFUNCTION("""COMPUTED_VALUE"""),42130.64583333333)</f>
        <v>42130.64583</v>
      </c>
      <c r="B2547" s="9">
        <f>IFERROR(__xludf.DUMMYFUNCTION("""COMPUTED_VALUE"""),493.75)</f>
        <v>493.75</v>
      </c>
      <c r="C2547" s="9">
        <f>IFERROR(__xludf.DUMMYFUNCTION("""COMPUTED_VALUE"""),493.75)</f>
        <v>493.75</v>
      </c>
      <c r="D2547" s="9">
        <f>IFERROR(__xludf.DUMMYFUNCTION("""COMPUTED_VALUE"""),478.83)</f>
        <v>478.83</v>
      </c>
      <c r="E2547" s="9">
        <f>IFERROR(__xludf.DUMMYFUNCTION("""COMPUTED_VALUE"""),480.51)</f>
        <v>480.51</v>
      </c>
      <c r="F2547" s="9">
        <f>IFERROR(__xludf.DUMMYFUNCTION("""COMPUTED_VALUE"""),2627102.0)</f>
        <v>2627102</v>
      </c>
      <c r="H2547" s="27">
        <f>IFERROR(__xludf.DUMMYFUNCTION("""COMPUTED_VALUE"""),42130.64583333333)</f>
        <v>42130.64583</v>
      </c>
      <c r="I2547" s="25">
        <f>IFERROR(__xludf.DUMMYFUNCTION("""COMPUTED_VALUE"""),1257.5)</f>
        <v>1257.5</v>
      </c>
      <c r="J2547" s="25">
        <f>IFERROR(__xludf.DUMMYFUNCTION("""COMPUTED_VALUE"""),1257.5)</f>
        <v>1257.5</v>
      </c>
      <c r="K2547" s="25">
        <f>IFERROR(__xludf.DUMMYFUNCTION("""COMPUTED_VALUE"""),1227.9)</f>
        <v>1227.9</v>
      </c>
      <c r="L2547" s="25">
        <f>IFERROR(__xludf.DUMMYFUNCTION("""COMPUTED_VALUE"""),1231.53)</f>
        <v>1231.53</v>
      </c>
      <c r="M2547" s="25">
        <f>IFERROR(__xludf.DUMMYFUNCTION("""COMPUTED_VALUE"""),1697203.0)</f>
        <v>1697203</v>
      </c>
    </row>
    <row r="2548">
      <c r="A2548" s="26">
        <f>IFERROR(__xludf.DUMMYFUNCTION("""COMPUTED_VALUE"""),42131.64583333333)</f>
        <v>42131.64583</v>
      </c>
      <c r="B2548" s="9">
        <f>IFERROR(__xludf.DUMMYFUNCTION("""COMPUTED_VALUE"""),480.5)</f>
        <v>480.5</v>
      </c>
      <c r="C2548" s="9">
        <f>IFERROR(__xludf.DUMMYFUNCTION("""COMPUTED_VALUE"""),491.78)</f>
        <v>491.78</v>
      </c>
      <c r="D2548" s="9">
        <f>IFERROR(__xludf.DUMMYFUNCTION("""COMPUTED_VALUE"""),477.5)</f>
        <v>477.5</v>
      </c>
      <c r="E2548" s="9">
        <f>IFERROR(__xludf.DUMMYFUNCTION("""COMPUTED_VALUE"""),486.0)</f>
        <v>486</v>
      </c>
      <c r="F2548" s="9">
        <f>IFERROR(__xludf.DUMMYFUNCTION("""COMPUTED_VALUE"""),1694996.0)</f>
        <v>1694996</v>
      </c>
      <c r="H2548" s="27">
        <f>IFERROR(__xludf.DUMMYFUNCTION("""COMPUTED_VALUE"""),42131.64583333333)</f>
        <v>42131.64583</v>
      </c>
      <c r="I2548" s="25">
        <f>IFERROR(__xludf.DUMMYFUNCTION("""COMPUTED_VALUE"""),1232.45)</f>
        <v>1232.45</v>
      </c>
      <c r="J2548" s="25">
        <f>IFERROR(__xludf.DUMMYFUNCTION("""COMPUTED_VALUE"""),1276.88)</f>
        <v>1276.88</v>
      </c>
      <c r="K2548" s="25">
        <f>IFERROR(__xludf.DUMMYFUNCTION("""COMPUTED_VALUE"""),1226.85)</f>
        <v>1226.85</v>
      </c>
      <c r="L2548" s="25">
        <f>IFERROR(__xludf.DUMMYFUNCTION("""COMPUTED_VALUE"""),1272.63)</f>
        <v>1272.63</v>
      </c>
      <c r="M2548" s="25">
        <f>IFERROR(__xludf.DUMMYFUNCTION("""COMPUTED_VALUE"""),1602514.0)</f>
        <v>1602514</v>
      </c>
    </row>
    <row r="2549">
      <c r="A2549" s="26">
        <f>IFERROR(__xludf.DUMMYFUNCTION("""COMPUTED_VALUE"""),42132.64583333333)</f>
        <v>42132.64583</v>
      </c>
      <c r="B2549" s="9">
        <f>IFERROR(__xludf.DUMMYFUNCTION("""COMPUTED_VALUE"""),489.5)</f>
        <v>489.5</v>
      </c>
      <c r="C2549" s="9">
        <f>IFERROR(__xludf.DUMMYFUNCTION("""COMPUTED_VALUE"""),491.89)</f>
        <v>491.89</v>
      </c>
      <c r="D2549" s="9">
        <f>IFERROR(__xludf.DUMMYFUNCTION("""COMPUTED_VALUE"""),486.31)</f>
        <v>486.31</v>
      </c>
      <c r="E2549" s="9">
        <f>IFERROR(__xludf.DUMMYFUNCTION("""COMPUTED_VALUE"""),489.49)</f>
        <v>489.49</v>
      </c>
      <c r="F2549" s="9">
        <f>IFERROR(__xludf.DUMMYFUNCTION("""COMPUTED_VALUE"""),1444419.0)</f>
        <v>1444419</v>
      </c>
      <c r="H2549" s="27">
        <f>IFERROR(__xludf.DUMMYFUNCTION("""COMPUTED_VALUE"""),42132.64583333333)</f>
        <v>42132.64583</v>
      </c>
      <c r="I2549" s="25">
        <f>IFERROR(__xludf.DUMMYFUNCTION("""COMPUTED_VALUE"""),1280.0)</f>
        <v>1280</v>
      </c>
      <c r="J2549" s="25">
        <f>IFERROR(__xludf.DUMMYFUNCTION("""COMPUTED_VALUE"""),1294.0)</f>
        <v>1294</v>
      </c>
      <c r="K2549" s="25">
        <f>IFERROR(__xludf.DUMMYFUNCTION("""COMPUTED_VALUE"""),1258.15)</f>
        <v>1258.15</v>
      </c>
      <c r="L2549" s="25">
        <f>IFERROR(__xludf.DUMMYFUNCTION("""COMPUTED_VALUE"""),1263.63)</f>
        <v>1263.63</v>
      </c>
      <c r="M2549" s="25">
        <f>IFERROR(__xludf.DUMMYFUNCTION("""COMPUTED_VALUE"""),1501832.0)</f>
        <v>1501832</v>
      </c>
    </row>
    <row r="2550">
      <c r="A2550" s="26">
        <f>IFERROR(__xludf.DUMMYFUNCTION("""COMPUTED_VALUE"""),42135.64583333333)</f>
        <v>42135.64583</v>
      </c>
      <c r="B2550" s="9">
        <f>IFERROR(__xludf.DUMMYFUNCTION("""COMPUTED_VALUE"""),491.25)</f>
        <v>491.25</v>
      </c>
      <c r="C2550" s="9">
        <f>IFERROR(__xludf.DUMMYFUNCTION("""COMPUTED_VALUE"""),500.0)</f>
        <v>500</v>
      </c>
      <c r="D2550" s="9">
        <f>IFERROR(__xludf.DUMMYFUNCTION("""COMPUTED_VALUE"""),488.05)</f>
        <v>488.05</v>
      </c>
      <c r="E2550" s="9">
        <f>IFERROR(__xludf.DUMMYFUNCTION("""COMPUTED_VALUE"""),498.41)</f>
        <v>498.41</v>
      </c>
      <c r="F2550" s="9">
        <f>IFERROR(__xludf.DUMMYFUNCTION("""COMPUTED_VALUE"""),1196378.0)</f>
        <v>1196378</v>
      </c>
      <c r="H2550" s="27">
        <f>IFERROR(__xludf.DUMMYFUNCTION("""COMPUTED_VALUE"""),42135.64583333333)</f>
        <v>42135.64583</v>
      </c>
      <c r="I2550" s="25">
        <f>IFERROR(__xludf.DUMMYFUNCTION("""COMPUTED_VALUE"""),1267.5)</f>
        <v>1267.5</v>
      </c>
      <c r="J2550" s="25">
        <f>IFERROR(__xludf.DUMMYFUNCTION("""COMPUTED_VALUE"""),1281.53)</f>
        <v>1281.53</v>
      </c>
      <c r="K2550" s="25">
        <f>IFERROR(__xludf.DUMMYFUNCTION("""COMPUTED_VALUE"""),1262.5)</f>
        <v>1262.5</v>
      </c>
      <c r="L2550" s="25">
        <f>IFERROR(__xludf.DUMMYFUNCTION("""COMPUTED_VALUE"""),1278.0)</f>
        <v>1278</v>
      </c>
      <c r="M2550" s="25">
        <f>IFERROR(__xludf.DUMMYFUNCTION("""COMPUTED_VALUE"""),1286541.0)</f>
        <v>1286541</v>
      </c>
    </row>
    <row r="2551">
      <c r="A2551" s="26">
        <f>IFERROR(__xludf.DUMMYFUNCTION("""COMPUTED_VALUE"""),42136.64583333333)</f>
        <v>42136.64583</v>
      </c>
      <c r="B2551" s="9">
        <f>IFERROR(__xludf.DUMMYFUNCTION("""COMPUTED_VALUE"""),498.41)</f>
        <v>498.41</v>
      </c>
      <c r="C2551" s="9">
        <f>IFERROR(__xludf.DUMMYFUNCTION("""COMPUTED_VALUE"""),498.65)</f>
        <v>498.65</v>
      </c>
      <c r="D2551" s="9">
        <f>IFERROR(__xludf.DUMMYFUNCTION("""COMPUTED_VALUE"""),485.5)</f>
        <v>485.5</v>
      </c>
      <c r="E2551" s="9">
        <f>IFERROR(__xludf.DUMMYFUNCTION("""COMPUTED_VALUE"""),486.78)</f>
        <v>486.78</v>
      </c>
      <c r="F2551" s="9">
        <f>IFERROR(__xludf.DUMMYFUNCTION("""COMPUTED_VALUE"""),2071223.0)</f>
        <v>2071223</v>
      </c>
      <c r="H2551" s="27">
        <f>IFERROR(__xludf.DUMMYFUNCTION("""COMPUTED_VALUE"""),42136.64583333333)</f>
        <v>42136.64583</v>
      </c>
      <c r="I2551" s="25">
        <f>IFERROR(__xludf.DUMMYFUNCTION("""COMPUTED_VALUE"""),1280.0)</f>
        <v>1280</v>
      </c>
      <c r="J2551" s="25">
        <f>IFERROR(__xludf.DUMMYFUNCTION("""COMPUTED_VALUE"""),1282.5)</f>
        <v>1282.5</v>
      </c>
      <c r="K2551" s="25">
        <f>IFERROR(__xludf.DUMMYFUNCTION("""COMPUTED_VALUE"""),1256.5)</f>
        <v>1256.5</v>
      </c>
      <c r="L2551" s="25">
        <f>IFERROR(__xludf.DUMMYFUNCTION("""COMPUTED_VALUE"""),1261.45)</f>
        <v>1261.45</v>
      </c>
      <c r="M2551" s="25">
        <f>IFERROR(__xludf.DUMMYFUNCTION("""COMPUTED_VALUE"""),1233693.0)</f>
        <v>1233693</v>
      </c>
    </row>
    <row r="2552">
      <c r="A2552" s="26">
        <f>IFERROR(__xludf.DUMMYFUNCTION("""COMPUTED_VALUE"""),42137.64583333333)</f>
        <v>42137.64583</v>
      </c>
      <c r="B2552" s="9">
        <f>IFERROR(__xludf.DUMMYFUNCTION("""COMPUTED_VALUE"""),487.94)</f>
        <v>487.94</v>
      </c>
      <c r="C2552" s="9">
        <f>IFERROR(__xludf.DUMMYFUNCTION("""COMPUTED_VALUE"""),491.23)</f>
        <v>491.23</v>
      </c>
      <c r="D2552" s="9">
        <f>IFERROR(__xludf.DUMMYFUNCTION("""COMPUTED_VALUE"""),482.13)</f>
        <v>482.13</v>
      </c>
      <c r="E2552" s="9">
        <f>IFERROR(__xludf.DUMMYFUNCTION("""COMPUTED_VALUE"""),489.18)</f>
        <v>489.18</v>
      </c>
      <c r="F2552" s="9">
        <f>IFERROR(__xludf.DUMMYFUNCTION("""COMPUTED_VALUE"""),1774771.0)</f>
        <v>1774771</v>
      </c>
      <c r="H2552" s="27">
        <f>IFERROR(__xludf.DUMMYFUNCTION("""COMPUTED_VALUE"""),42137.64583333333)</f>
        <v>42137.64583</v>
      </c>
      <c r="I2552" s="25">
        <f>IFERROR(__xludf.DUMMYFUNCTION("""COMPUTED_VALUE"""),1273.5)</f>
        <v>1273.5</v>
      </c>
      <c r="J2552" s="25">
        <f>IFERROR(__xludf.DUMMYFUNCTION("""COMPUTED_VALUE"""),1273.5)</f>
        <v>1273.5</v>
      </c>
      <c r="K2552" s="25">
        <f>IFERROR(__xludf.DUMMYFUNCTION("""COMPUTED_VALUE"""),1240.22)</f>
        <v>1240.22</v>
      </c>
      <c r="L2552" s="25">
        <f>IFERROR(__xludf.DUMMYFUNCTION("""COMPUTED_VALUE"""),1257.7)</f>
        <v>1257.7</v>
      </c>
      <c r="M2552" s="25">
        <f>IFERROR(__xludf.DUMMYFUNCTION("""COMPUTED_VALUE"""),931887.0)</f>
        <v>931887</v>
      </c>
    </row>
    <row r="2553">
      <c r="A2553" s="26">
        <f>IFERROR(__xludf.DUMMYFUNCTION("""COMPUTED_VALUE"""),42138.64583333333)</f>
        <v>42138.64583</v>
      </c>
      <c r="B2553" s="9">
        <f>IFERROR(__xludf.DUMMYFUNCTION("""COMPUTED_VALUE"""),490.0)</f>
        <v>490</v>
      </c>
      <c r="C2553" s="9">
        <f>IFERROR(__xludf.DUMMYFUNCTION("""COMPUTED_VALUE"""),490.2)</f>
        <v>490.2</v>
      </c>
      <c r="D2553" s="9">
        <f>IFERROR(__xludf.DUMMYFUNCTION("""COMPUTED_VALUE"""),477.0)</f>
        <v>477</v>
      </c>
      <c r="E2553" s="9">
        <f>IFERROR(__xludf.DUMMYFUNCTION("""COMPUTED_VALUE"""),483.7)</f>
        <v>483.7</v>
      </c>
      <c r="F2553" s="9">
        <f>IFERROR(__xludf.DUMMYFUNCTION("""COMPUTED_VALUE"""),1558461.0)</f>
        <v>1558461</v>
      </c>
      <c r="H2553" s="27">
        <f>IFERROR(__xludf.DUMMYFUNCTION("""COMPUTED_VALUE"""),42138.64583333333)</f>
        <v>42138.64583</v>
      </c>
      <c r="I2553" s="25">
        <f>IFERROR(__xludf.DUMMYFUNCTION("""COMPUTED_VALUE"""),1260.0)</f>
        <v>1260</v>
      </c>
      <c r="J2553" s="25">
        <f>IFERROR(__xludf.DUMMYFUNCTION("""COMPUTED_VALUE"""),1260.0)</f>
        <v>1260</v>
      </c>
      <c r="K2553" s="25">
        <f>IFERROR(__xludf.DUMMYFUNCTION("""COMPUTED_VALUE"""),1242.5)</f>
        <v>1242.5</v>
      </c>
      <c r="L2553" s="25">
        <f>IFERROR(__xludf.DUMMYFUNCTION("""COMPUTED_VALUE"""),1249.63)</f>
        <v>1249.63</v>
      </c>
      <c r="M2553" s="25">
        <f>IFERROR(__xludf.DUMMYFUNCTION("""COMPUTED_VALUE"""),654525.0)</f>
        <v>654525</v>
      </c>
    </row>
    <row r="2554">
      <c r="A2554" s="26">
        <f>IFERROR(__xludf.DUMMYFUNCTION("""COMPUTED_VALUE"""),42139.64583333333)</f>
        <v>42139.64583</v>
      </c>
      <c r="B2554" s="9">
        <f>IFERROR(__xludf.DUMMYFUNCTION("""COMPUTED_VALUE"""),483.75)</f>
        <v>483.75</v>
      </c>
      <c r="C2554" s="9">
        <f>IFERROR(__xludf.DUMMYFUNCTION("""COMPUTED_VALUE"""),491.65)</f>
        <v>491.65</v>
      </c>
      <c r="D2554" s="9">
        <f>IFERROR(__xludf.DUMMYFUNCTION("""COMPUTED_VALUE"""),483.08)</f>
        <v>483.08</v>
      </c>
      <c r="E2554" s="9">
        <f>IFERROR(__xludf.DUMMYFUNCTION("""COMPUTED_VALUE"""),490.44)</f>
        <v>490.44</v>
      </c>
      <c r="F2554" s="9">
        <f>IFERROR(__xludf.DUMMYFUNCTION("""COMPUTED_VALUE"""),1297336.0)</f>
        <v>1297336</v>
      </c>
      <c r="H2554" s="27">
        <f>IFERROR(__xludf.DUMMYFUNCTION("""COMPUTED_VALUE"""),42139.64583333333)</f>
        <v>42139.64583</v>
      </c>
      <c r="I2554" s="25">
        <f>IFERROR(__xludf.DUMMYFUNCTION("""COMPUTED_VALUE"""),1257.5)</f>
        <v>1257.5</v>
      </c>
      <c r="J2554" s="25">
        <f>IFERROR(__xludf.DUMMYFUNCTION("""COMPUTED_VALUE"""),1266.2)</f>
        <v>1266.2</v>
      </c>
      <c r="K2554" s="25">
        <f>IFERROR(__xludf.DUMMYFUNCTION("""COMPUTED_VALUE"""),1250.5)</f>
        <v>1250.5</v>
      </c>
      <c r="L2554" s="25">
        <f>IFERROR(__xludf.DUMMYFUNCTION("""COMPUTED_VALUE"""),1255.58)</f>
        <v>1255.58</v>
      </c>
      <c r="M2554" s="25">
        <f>IFERROR(__xludf.DUMMYFUNCTION("""COMPUTED_VALUE"""),730727.0)</f>
        <v>730727</v>
      </c>
    </row>
    <row r="2555">
      <c r="A2555" s="26">
        <f>IFERROR(__xludf.DUMMYFUNCTION("""COMPUTED_VALUE"""),42142.64583333333)</f>
        <v>42142.64583</v>
      </c>
      <c r="B2555" s="9">
        <f>IFERROR(__xludf.DUMMYFUNCTION("""COMPUTED_VALUE"""),492.5)</f>
        <v>492.5</v>
      </c>
      <c r="C2555" s="9">
        <f>IFERROR(__xludf.DUMMYFUNCTION("""COMPUTED_VALUE"""),499.73)</f>
        <v>499.73</v>
      </c>
      <c r="D2555" s="9">
        <f>IFERROR(__xludf.DUMMYFUNCTION("""COMPUTED_VALUE"""),490.4)</f>
        <v>490.4</v>
      </c>
      <c r="E2555" s="9">
        <f>IFERROR(__xludf.DUMMYFUNCTION("""COMPUTED_VALUE"""),498.26)</f>
        <v>498.26</v>
      </c>
      <c r="F2555" s="9">
        <f>IFERROR(__xludf.DUMMYFUNCTION("""COMPUTED_VALUE"""),1617494.0)</f>
        <v>1617494</v>
      </c>
      <c r="H2555" s="27">
        <f>IFERROR(__xludf.DUMMYFUNCTION("""COMPUTED_VALUE"""),42142.64583333333)</f>
        <v>42142.64583</v>
      </c>
      <c r="I2555" s="25">
        <f>IFERROR(__xludf.DUMMYFUNCTION("""COMPUTED_VALUE"""),1257.05)</f>
        <v>1257.05</v>
      </c>
      <c r="J2555" s="25">
        <f>IFERROR(__xludf.DUMMYFUNCTION("""COMPUTED_VALUE"""),1262.63)</f>
        <v>1262.63</v>
      </c>
      <c r="K2555" s="25">
        <f>IFERROR(__xludf.DUMMYFUNCTION("""COMPUTED_VALUE"""),1248.55)</f>
        <v>1248.55</v>
      </c>
      <c r="L2555" s="25">
        <f>IFERROR(__xludf.DUMMYFUNCTION("""COMPUTED_VALUE"""),1260.2)</f>
        <v>1260.2</v>
      </c>
      <c r="M2555" s="25">
        <f>IFERROR(__xludf.DUMMYFUNCTION("""COMPUTED_VALUE"""),2253876.0)</f>
        <v>2253876</v>
      </c>
    </row>
    <row r="2556">
      <c r="A2556" s="26">
        <f>IFERROR(__xludf.DUMMYFUNCTION("""COMPUTED_VALUE"""),42143.64583333333)</f>
        <v>42143.64583</v>
      </c>
      <c r="B2556" s="9">
        <f>IFERROR(__xludf.DUMMYFUNCTION("""COMPUTED_VALUE"""),496.83)</f>
        <v>496.83</v>
      </c>
      <c r="C2556" s="9">
        <f>IFERROR(__xludf.DUMMYFUNCTION("""COMPUTED_VALUE"""),508.93)</f>
        <v>508.93</v>
      </c>
      <c r="D2556" s="9">
        <f>IFERROR(__xludf.DUMMYFUNCTION("""COMPUTED_VALUE"""),496.5)</f>
        <v>496.5</v>
      </c>
      <c r="E2556" s="9">
        <f>IFERROR(__xludf.DUMMYFUNCTION("""COMPUTED_VALUE"""),505.59)</f>
        <v>505.59</v>
      </c>
      <c r="F2556" s="9">
        <f>IFERROR(__xludf.DUMMYFUNCTION("""COMPUTED_VALUE"""),2568019.0)</f>
        <v>2568019</v>
      </c>
      <c r="H2556" s="27">
        <f>IFERROR(__xludf.DUMMYFUNCTION("""COMPUTED_VALUE"""),42143.64583333333)</f>
        <v>42143.64583</v>
      </c>
      <c r="I2556" s="25">
        <f>IFERROR(__xludf.DUMMYFUNCTION("""COMPUTED_VALUE"""),1259.7)</f>
        <v>1259.7</v>
      </c>
      <c r="J2556" s="25">
        <f>IFERROR(__xludf.DUMMYFUNCTION("""COMPUTED_VALUE"""),1265.0)</f>
        <v>1265</v>
      </c>
      <c r="K2556" s="25">
        <f>IFERROR(__xludf.DUMMYFUNCTION("""COMPUTED_VALUE"""),1248.38)</f>
        <v>1248.38</v>
      </c>
      <c r="L2556" s="25">
        <f>IFERROR(__xludf.DUMMYFUNCTION("""COMPUTED_VALUE"""),1256.35)</f>
        <v>1256.35</v>
      </c>
      <c r="M2556" s="25">
        <f>IFERROR(__xludf.DUMMYFUNCTION("""COMPUTED_VALUE"""),978861.0)</f>
        <v>978861</v>
      </c>
    </row>
    <row r="2557">
      <c r="A2557" s="26">
        <f>IFERROR(__xludf.DUMMYFUNCTION("""COMPUTED_VALUE"""),42144.64583333333)</f>
        <v>42144.64583</v>
      </c>
      <c r="B2557" s="9">
        <f>IFERROR(__xludf.DUMMYFUNCTION("""COMPUTED_VALUE"""),510.0)</f>
        <v>510</v>
      </c>
      <c r="C2557" s="9">
        <f>IFERROR(__xludf.DUMMYFUNCTION("""COMPUTED_VALUE"""),513.0)</f>
        <v>513</v>
      </c>
      <c r="D2557" s="9">
        <f>IFERROR(__xludf.DUMMYFUNCTION("""COMPUTED_VALUE"""),508.4)</f>
        <v>508.4</v>
      </c>
      <c r="E2557" s="9">
        <f>IFERROR(__xludf.DUMMYFUNCTION("""COMPUTED_VALUE"""),511.83)</f>
        <v>511.83</v>
      </c>
      <c r="F2557" s="9">
        <f>IFERROR(__xludf.DUMMYFUNCTION("""COMPUTED_VALUE"""),1470547.0)</f>
        <v>1470547</v>
      </c>
      <c r="H2557" s="27">
        <f>IFERROR(__xludf.DUMMYFUNCTION("""COMPUTED_VALUE"""),42144.64583333333)</f>
        <v>42144.64583</v>
      </c>
      <c r="I2557" s="25">
        <f>IFERROR(__xludf.DUMMYFUNCTION("""COMPUTED_VALUE"""),1260.0)</f>
        <v>1260</v>
      </c>
      <c r="J2557" s="25">
        <f>IFERROR(__xludf.DUMMYFUNCTION("""COMPUTED_VALUE"""),1284.95)</f>
        <v>1284.95</v>
      </c>
      <c r="K2557" s="25">
        <f>IFERROR(__xludf.DUMMYFUNCTION("""COMPUTED_VALUE"""),1258.45)</f>
        <v>1258.45</v>
      </c>
      <c r="L2557" s="25">
        <f>IFERROR(__xludf.DUMMYFUNCTION("""COMPUTED_VALUE"""),1278.53)</f>
        <v>1278.53</v>
      </c>
      <c r="M2557" s="25">
        <f>IFERROR(__xludf.DUMMYFUNCTION("""COMPUTED_VALUE"""),948907.0)</f>
        <v>948907</v>
      </c>
    </row>
    <row r="2558">
      <c r="A2558" s="26">
        <f>IFERROR(__xludf.DUMMYFUNCTION("""COMPUTED_VALUE"""),42145.64583333333)</f>
        <v>42145.64583</v>
      </c>
      <c r="B2558" s="9">
        <f>IFERROR(__xludf.DUMMYFUNCTION("""COMPUTED_VALUE"""),512.23)</f>
        <v>512.23</v>
      </c>
      <c r="C2558" s="9">
        <f>IFERROR(__xludf.DUMMYFUNCTION("""COMPUTED_VALUE"""),515.48)</f>
        <v>515.48</v>
      </c>
      <c r="D2558" s="9">
        <f>IFERROR(__xludf.DUMMYFUNCTION("""COMPUTED_VALUE"""),509.31)</f>
        <v>509.31</v>
      </c>
      <c r="E2558" s="9">
        <f>IFERROR(__xludf.DUMMYFUNCTION("""COMPUTED_VALUE"""),512.11)</f>
        <v>512.11</v>
      </c>
      <c r="F2558" s="9">
        <f>IFERROR(__xludf.DUMMYFUNCTION("""COMPUTED_VALUE"""),2514828.0)</f>
        <v>2514828</v>
      </c>
      <c r="H2558" s="27">
        <f>IFERROR(__xludf.DUMMYFUNCTION("""COMPUTED_VALUE"""),42145.64583333333)</f>
        <v>42145.64583</v>
      </c>
      <c r="I2558" s="25">
        <f>IFERROR(__xludf.DUMMYFUNCTION("""COMPUTED_VALUE"""),1278.5)</f>
        <v>1278.5</v>
      </c>
      <c r="J2558" s="25">
        <f>IFERROR(__xludf.DUMMYFUNCTION("""COMPUTED_VALUE"""),1290.0)</f>
        <v>1290</v>
      </c>
      <c r="K2558" s="25">
        <f>IFERROR(__xludf.DUMMYFUNCTION("""COMPUTED_VALUE"""),1274.08)</f>
        <v>1274.08</v>
      </c>
      <c r="L2558" s="25">
        <f>IFERROR(__xludf.DUMMYFUNCTION("""COMPUTED_VALUE"""),1277.75)</f>
        <v>1277.75</v>
      </c>
      <c r="M2558" s="25">
        <f>IFERROR(__xludf.DUMMYFUNCTION("""COMPUTED_VALUE"""),789789.0)</f>
        <v>789789</v>
      </c>
    </row>
    <row r="2559">
      <c r="A2559" s="26">
        <f>IFERROR(__xludf.DUMMYFUNCTION("""COMPUTED_VALUE"""),42146.64583333333)</f>
        <v>42146.64583</v>
      </c>
      <c r="B2559" s="9">
        <f>IFERROR(__xludf.DUMMYFUNCTION("""COMPUTED_VALUE"""),511.0)</f>
        <v>511</v>
      </c>
      <c r="C2559" s="9">
        <f>IFERROR(__xludf.DUMMYFUNCTION("""COMPUTED_VALUE"""),512.89)</f>
        <v>512.89</v>
      </c>
      <c r="D2559" s="9">
        <f>IFERROR(__xludf.DUMMYFUNCTION("""COMPUTED_VALUE"""),507.53)</f>
        <v>507.53</v>
      </c>
      <c r="E2559" s="9">
        <f>IFERROR(__xludf.DUMMYFUNCTION("""COMPUTED_VALUE"""),511.61)</f>
        <v>511.61</v>
      </c>
      <c r="F2559" s="9">
        <f>IFERROR(__xludf.DUMMYFUNCTION("""COMPUTED_VALUE"""),1722206.0)</f>
        <v>1722206</v>
      </c>
      <c r="H2559" s="27">
        <f>IFERROR(__xludf.DUMMYFUNCTION("""COMPUTED_VALUE"""),42146.64583333333)</f>
        <v>42146.64583</v>
      </c>
      <c r="I2559" s="25">
        <f>IFERROR(__xludf.DUMMYFUNCTION("""COMPUTED_VALUE"""),1275.0)</f>
        <v>1275</v>
      </c>
      <c r="J2559" s="25">
        <f>IFERROR(__xludf.DUMMYFUNCTION("""COMPUTED_VALUE"""),1314.38)</f>
        <v>1314.38</v>
      </c>
      <c r="K2559" s="25">
        <f>IFERROR(__xludf.DUMMYFUNCTION("""COMPUTED_VALUE"""),1269.63)</f>
        <v>1269.63</v>
      </c>
      <c r="L2559" s="25">
        <f>IFERROR(__xludf.DUMMYFUNCTION("""COMPUTED_VALUE"""),1308.95)</f>
        <v>1308.95</v>
      </c>
      <c r="M2559" s="25">
        <f>IFERROR(__xludf.DUMMYFUNCTION("""COMPUTED_VALUE"""),1345816.0)</f>
        <v>1345816</v>
      </c>
    </row>
    <row r="2560">
      <c r="A2560" s="26">
        <f>IFERROR(__xludf.DUMMYFUNCTION("""COMPUTED_VALUE"""),42149.64583333333)</f>
        <v>42149.64583</v>
      </c>
      <c r="B2560" s="9">
        <f>IFERROR(__xludf.DUMMYFUNCTION("""COMPUTED_VALUE"""),512.63)</f>
        <v>512.63</v>
      </c>
      <c r="C2560" s="9">
        <f>IFERROR(__xludf.DUMMYFUNCTION("""COMPUTED_VALUE"""),514.14)</f>
        <v>514.14</v>
      </c>
      <c r="D2560" s="9">
        <f>IFERROR(__xludf.DUMMYFUNCTION("""COMPUTED_VALUE"""),501.76)</f>
        <v>501.76</v>
      </c>
      <c r="E2560" s="9">
        <f>IFERROR(__xludf.DUMMYFUNCTION("""COMPUTED_VALUE"""),504.2)</f>
        <v>504.2</v>
      </c>
      <c r="F2560" s="9">
        <f>IFERROR(__xludf.DUMMYFUNCTION("""COMPUTED_VALUE"""),1168952.0)</f>
        <v>1168952</v>
      </c>
      <c r="H2560" s="27">
        <f>IFERROR(__xludf.DUMMYFUNCTION("""COMPUTED_VALUE"""),42149.64583333333)</f>
        <v>42149.64583</v>
      </c>
      <c r="I2560" s="25">
        <f>IFERROR(__xludf.DUMMYFUNCTION("""COMPUTED_VALUE"""),1310.0)</f>
        <v>1310</v>
      </c>
      <c r="J2560" s="25">
        <f>IFERROR(__xludf.DUMMYFUNCTION("""COMPUTED_VALUE"""),1318.45)</f>
        <v>1318.45</v>
      </c>
      <c r="K2560" s="25">
        <f>IFERROR(__xludf.DUMMYFUNCTION("""COMPUTED_VALUE"""),1292.85)</f>
        <v>1292.85</v>
      </c>
      <c r="L2560" s="25">
        <f>IFERROR(__xludf.DUMMYFUNCTION("""COMPUTED_VALUE"""),1300.5)</f>
        <v>1300.5</v>
      </c>
      <c r="M2560" s="25">
        <f>IFERROR(__xludf.DUMMYFUNCTION("""COMPUTED_VALUE"""),491489.0)</f>
        <v>491489</v>
      </c>
    </row>
    <row r="2561">
      <c r="A2561" s="26">
        <f>IFERROR(__xludf.DUMMYFUNCTION("""COMPUTED_VALUE"""),42150.64583333333)</f>
        <v>42150.64583</v>
      </c>
      <c r="B2561" s="9">
        <f>IFERROR(__xludf.DUMMYFUNCTION("""COMPUTED_VALUE"""),505.0)</f>
        <v>505</v>
      </c>
      <c r="C2561" s="9">
        <f>IFERROR(__xludf.DUMMYFUNCTION("""COMPUTED_VALUE"""),507.86)</f>
        <v>507.86</v>
      </c>
      <c r="D2561" s="9">
        <f>IFERROR(__xludf.DUMMYFUNCTION("""COMPUTED_VALUE"""),500.54)</f>
        <v>500.54</v>
      </c>
      <c r="E2561" s="9">
        <f>IFERROR(__xludf.DUMMYFUNCTION("""COMPUTED_VALUE"""),501.83)</f>
        <v>501.83</v>
      </c>
      <c r="F2561" s="9">
        <f>IFERROR(__xludf.DUMMYFUNCTION("""COMPUTED_VALUE"""),991260.0)</f>
        <v>991260</v>
      </c>
      <c r="H2561" s="27">
        <f>IFERROR(__xludf.DUMMYFUNCTION("""COMPUTED_VALUE"""),42150.64583333333)</f>
        <v>42150.64583</v>
      </c>
      <c r="I2561" s="25">
        <f>IFERROR(__xludf.DUMMYFUNCTION("""COMPUTED_VALUE"""),1302.5)</f>
        <v>1302.5</v>
      </c>
      <c r="J2561" s="25">
        <f>IFERROR(__xludf.DUMMYFUNCTION("""COMPUTED_VALUE"""),1311.63)</f>
        <v>1311.63</v>
      </c>
      <c r="K2561" s="25">
        <f>IFERROR(__xludf.DUMMYFUNCTION("""COMPUTED_VALUE"""),1294.45)</f>
        <v>1294.45</v>
      </c>
      <c r="L2561" s="25">
        <f>IFERROR(__xludf.DUMMYFUNCTION("""COMPUTED_VALUE"""),1304.43)</f>
        <v>1304.43</v>
      </c>
      <c r="M2561" s="25">
        <f>IFERROR(__xludf.DUMMYFUNCTION("""COMPUTED_VALUE"""),980870.0)</f>
        <v>980870</v>
      </c>
    </row>
    <row r="2562">
      <c r="A2562" s="26">
        <f>IFERROR(__xludf.DUMMYFUNCTION("""COMPUTED_VALUE"""),42151.64583333333)</f>
        <v>42151.64583</v>
      </c>
      <c r="B2562" s="9">
        <f>IFERROR(__xludf.DUMMYFUNCTION("""COMPUTED_VALUE"""),501.75)</f>
        <v>501.75</v>
      </c>
      <c r="C2562" s="9">
        <f>IFERROR(__xludf.DUMMYFUNCTION("""COMPUTED_VALUE"""),502.25)</f>
        <v>502.25</v>
      </c>
      <c r="D2562" s="9">
        <f>IFERROR(__xludf.DUMMYFUNCTION("""COMPUTED_VALUE"""),488.75)</f>
        <v>488.75</v>
      </c>
      <c r="E2562" s="9">
        <f>IFERROR(__xludf.DUMMYFUNCTION("""COMPUTED_VALUE"""),492.13)</f>
        <v>492.13</v>
      </c>
      <c r="F2562" s="9">
        <f>IFERROR(__xludf.DUMMYFUNCTION("""COMPUTED_VALUE"""),2113677.0)</f>
        <v>2113677</v>
      </c>
      <c r="H2562" s="27">
        <f>IFERROR(__xludf.DUMMYFUNCTION("""COMPUTED_VALUE"""),42151.64583333333)</f>
        <v>42151.64583</v>
      </c>
      <c r="I2562" s="25">
        <f>IFERROR(__xludf.DUMMYFUNCTION("""COMPUTED_VALUE"""),1304.0)</f>
        <v>1304</v>
      </c>
      <c r="J2562" s="25">
        <f>IFERROR(__xludf.DUMMYFUNCTION("""COMPUTED_VALUE"""),1316.58)</f>
        <v>1316.58</v>
      </c>
      <c r="K2562" s="25">
        <f>IFERROR(__xludf.DUMMYFUNCTION("""COMPUTED_VALUE"""),1296.0)</f>
        <v>1296</v>
      </c>
      <c r="L2562" s="25">
        <f>IFERROR(__xludf.DUMMYFUNCTION("""COMPUTED_VALUE"""),1307.63)</f>
        <v>1307.63</v>
      </c>
      <c r="M2562" s="25">
        <f>IFERROR(__xludf.DUMMYFUNCTION("""COMPUTED_VALUE"""),810345.0)</f>
        <v>810345</v>
      </c>
    </row>
    <row r="2563">
      <c r="A2563" s="26">
        <f>IFERROR(__xludf.DUMMYFUNCTION("""COMPUTED_VALUE"""),42152.64583333333)</f>
        <v>42152.64583</v>
      </c>
      <c r="B2563" s="9">
        <f>IFERROR(__xludf.DUMMYFUNCTION("""COMPUTED_VALUE"""),493.8)</f>
        <v>493.8</v>
      </c>
      <c r="C2563" s="9">
        <f>IFERROR(__xludf.DUMMYFUNCTION("""COMPUTED_VALUE"""),508.0)</f>
        <v>508</v>
      </c>
      <c r="D2563" s="9">
        <f>IFERROR(__xludf.DUMMYFUNCTION("""COMPUTED_VALUE"""),493.8)</f>
        <v>493.8</v>
      </c>
      <c r="E2563" s="9">
        <f>IFERROR(__xludf.DUMMYFUNCTION("""COMPUTED_VALUE"""),504.15)</f>
        <v>504.15</v>
      </c>
      <c r="F2563" s="9">
        <f>IFERROR(__xludf.DUMMYFUNCTION("""COMPUTED_VALUE"""),2745135.0)</f>
        <v>2745135</v>
      </c>
      <c r="H2563" s="27">
        <f>IFERROR(__xludf.DUMMYFUNCTION("""COMPUTED_VALUE"""),42152.64583333333)</f>
        <v>42152.64583</v>
      </c>
      <c r="I2563" s="25">
        <f>IFERROR(__xludf.DUMMYFUNCTION("""COMPUTED_VALUE"""),1301.95)</f>
        <v>1301.95</v>
      </c>
      <c r="J2563" s="25">
        <f>IFERROR(__xludf.DUMMYFUNCTION("""COMPUTED_VALUE"""),1311.5)</f>
        <v>1311.5</v>
      </c>
      <c r="K2563" s="25">
        <f>IFERROR(__xludf.DUMMYFUNCTION("""COMPUTED_VALUE"""),1291.13)</f>
        <v>1291.13</v>
      </c>
      <c r="L2563" s="25">
        <f>IFERROR(__xludf.DUMMYFUNCTION("""COMPUTED_VALUE"""),1304.75)</f>
        <v>1304.75</v>
      </c>
      <c r="M2563" s="25">
        <f>IFERROR(__xludf.DUMMYFUNCTION("""COMPUTED_VALUE"""),1381804.0)</f>
        <v>1381804</v>
      </c>
    </row>
    <row r="2564">
      <c r="A2564" s="26">
        <f>IFERROR(__xludf.DUMMYFUNCTION("""COMPUTED_VALUE"""),42153.64583333333)</f>
        <v>42153.64583</v>
      </c>
      <c r="B2564" s="9">
        <f>IFERROR(__xludf.DUMMYFUNCTION("""COMPUTED_VALUE"""),501.21)</f>
        <v>501.21</v>
      </c>
      <c r="C2564" s="9">
        <f>IFERROR(__xludf.DUMMYFUNCTION("""COMPUTED_VALUE"""),514.11)</f>
        <v>514.11</v>
      </c>
      <c r="D2564" s="9">
        <f>IFERROR(__xludf.DUMMYFUNCTION("""COMPUTED_VALUE"""),500.25)</f>
        <v>500.25</v>
      </c>
      <c r="E2564" s="9">
        <f>IFERROR(__xludf.DUMMYFUNCTION("""COMPUTED_VALUE"""),505.79)</f>
        <v>505.79</v>
      </c>
      <c r="F2564" s="9">
        <f>IFERROR(__xludf.DUMMYFUNCTION("""COMPUTED_VALUE"""),4748261.0)</f>
        <v>4748261</v>
      </c>
      <c r="H2564" s="27">
        <f>IFERROR(__xludf.DUMMYFUNCTION("""COMPUTED_VALUE"""),42153.64583333333)</f>
        <v>42153.64583</v>
      </c>
      <c r="I2564" s="25">
        <f>IFERROR(__xludf.DUMMYFUNCTION("""COMPUTED_VALUE"""),1308.5)</f>
        <v>1308.5</v>
      </c>
      <c r="J2564" s="25">
        <f>IFERROR(__xludf.DUMMYFUNCTION("""COMPUTED_VALUE"""),1324.3)</f>
        <v>1324.3</v>
      </c>
      <c r="K2564" s="25">
        <f>IFERROR(__xludf.DUMMYFUNCTION("""COMPUTED_VALUE"""),1298.63)</f>
        <v>1298.63</v>
      </c>
      <c r="L2564" s="25">
        <f>IFERROR(__xludf.DUMMYFUNCTION("""COMPUTED_VALUE"""),1305.15)</f>
        <v>1305.15</v>
      </c>
      <c r="M2564" s="25">
        <f>IFERROR(__xludf.DUMMYFUNCTION("""COMPUTED_VALUE"""),2211766.0)</f>
        <v>2211766</v>
      </c>
    </row>
    <row r="2565">
      <c r="A2565" s="26">
        <f>IFERROR(__xludf.DUMMYFUNCTION("""COMPUTED_VALUE"""),42156.64583333333)</f>
        <v>42156.64583</v>
      </c>
      <c r="B2565" s="9">
        <f>IFERROR(__xludf.DUMMYFUNCTION("""COMPUTED_VALUE"""),508.2)</f>
        <v>508.2</v>
      </c>
      <c r="C2565" s="9">
        <f>IFERROR(__xludf.DUMMYFUNCTION("""COMPUTED_VALUE"""),516.0)</f>
        <v>516</v>
      </c>
      <c r="D2565" s="9">
        <f>IFERROR(__xludf.DUMMYFUNCTION("""COMPUTED_VALUE"""),505.81)</f>
        <v>505.81</v>
      </c>
      <c r="E2565" s="9">
        <f>IFERROR(__xludf.DUMMYFUNCTION("""COMPUTED_VALUE"""),511.95)</f>
        <v>511.95</v>
      </c>
      <c r="F2565" s="9">
        <f>IFERROR(__xludf.DUMMYFUNCTION("""COMPUTED_VALUE"""),1431223.0)</f>
        <v>1431223</v>
      </c>
      <c r="H2565" s="27">
        <f>IFERROR(__xludf.DUMMYFUNCTION("""COMPUTED_VALUE"""),42156.64583333333)</f>
        <v>42156.64583</v>
      </c>
      <c r="I2565" s="25">
        <f>IFERROR(__xludf.DUMMYFUNCTION("""COMPUTED_VALUE"""),1304.72)</f>
        <v>1304.72</v>
      </c>
      <c r="J2565" s="25">
        <f>IFERROR(__xludf.DUMMYFUNCTION("""COMPUTED_VALUE"""),1323.55)</f>
        <v>1323.55</v>
      </c>
      <c r="K2565" s="25">
        <f>IFERROR(__xludf.DUMMYFUNCTION("""COMPUTED_VALUE"""),1304.18)</f>
        <v>1304.18</v>
      </c>
      <c r="L2565" s="25">
        <f>IFERROR(__xludf.DUMMYFUNCTION("""COMPUTED_VALUE"""),1308.88)</f>
        <v>1308.88</v>
      </c>
      <c r="M2565" s="25">
        <f>IFERROR(__xludf.DUMMYFUNCTION("""COMPUTED_VALUE"""),441132.0)</f>
        <v>441132</v>
      </c>
    </row>
    <row r="2566">
      <c r="A2566" s="26">
        <f>IFERROR(__xludf.DUMMYFUNCTION("""COMPUTED_VALUE"""),42157.64583333333)</f>
        <v>42157.64583</v>
      </c>
      <c r="B2566" s="9">
        <f>IFERROR(__xludf.DUMMYFUNCTION("""COMPUTED_VALUE"""),512.03)</f>
        <v>512.03</v>
      </c>
      <c r="C2566" s="9">
        <f>IFERROR(__xludf.DUMMYFUNCTION("""COMPUTED_VALUE"""),513.78)</f>
        <v>513.78</v>
      </c>
      <c r="D2566" s="9">
        <f>IFERROR(__xludf.DUMMYFUNCTION("""COMPUTED_VALUE"""),501.25)</f>
        <v>501.25</v>
      </c>
      <c r="E2566" s="9">
        <f>IFERROR(__xludf.DUMMYFUNCTION("""COMPUTED_VALUE"""),502.16)</f>
        <v>502.16</v>
      </c>
      <c r="F2566" s="9">
        <f>IFERROR(__xludf.DUMMYFUNCTION("""COMPUTED_VALUE"""),1168285.0)</f>
        <v>1168285</v>
      </c>
      <c r="H2566" s="27">
        <f>IFERROR(__xludf.DUMMYFUNCTION("""COMPUTED_VALUE"""),42157.64583333333)</f>
        <v>42157.64583</v>
      </c>
      <c r="I2566" s="25">
        <f>IFERROR(__xludf.DUMMYFUNCTION("""COMPUTED_VALUE"""),1308.0)</f>
        <v>1308</v>
      </c>
      <c r="J2566" s="25">
        <f>IFERROR(__xludf.DUMMYFUNCTION("""COMPUTED_VALUE"""),1315.0)</f>
        <v>1315</v>
      </c>
      <c r="K2566" s="25">
        <f>IFERROR(__xludf.DUMMYFUNCTION("""COMPUTED_VALUE"""),1295.25)</f>
        <v>1295.25</v>
      </c>
      <c r="L2566" s="25">
        <f>IFERROR(__xludf.DUMMYFUNCTION("""COMPUTED_VALUE"""),1299.95)</f>
        <v>1299.95</v>
      </c>
      <c r="M2566" s="25">
        <f>IFERROR(__xludf.DUMMYFUNCTION("""COMPUTED_VALUE"""),1967910.0)</f>
        <v>1967910</v>
      </c>
    </row>
    <row r="2567">
      <c r="A2567" s="26">
        <f>IFERROR(__xludf.DUMMYFUNCTION("""COMPUTED_VALUE"""),42158.64583333333)</f>
        <v>42158.64583</v>
      </c>
      <c r="B2567" s="9">
        <f>IFERROR(__xludf.DUMMYFUNCTION("""COMPUTED_VALUE"""),504.55)</f>
        <v>504.55</v>
      </c>
      <c r="C2567" s="9">
        <f>IFERROR(__xludf.DUMMYFUNCTION("""COMPUTED_VALUE"""),509.86)</f>
        <v>509.86</v>
      </c>
      <c r="D2567" s="9">
        <f>IFERROR(__xludf.DUMMYFUNCTION("""COMPUTED_VALUE"""),502.0)</f>
        <v>502</v>
      </c>
      <c r="E2567" s="9">
        <f>IFERROR(__xludf.DUMMYFUNCTION("""COMPUTED_VALUE"""),505.23)</f>
        <v>505.23</v>
      </c>
      <c r="F2567" s="9">
        <f>IFERROR(__xludf.DUMMYFUNCTION("""COMPUTED_VALUE"""),1373949.0)</f>
        <v>1373949</v>
      </c>
      <c r="H2567" s="27">
        <f>IFERROR(__xludf.DUMMYFUNCTION("""COMPUTED_VALUE"""),42158.64583333333)</f>
        <v>42158.64583</v>
      </c>
      <c r="I2567" s="25">
        <f>IFERROR(__xludf.DUMMYFUNCTION("""COMPUTED_VALUE"""),1302.0)</f>
        <v>1302</v>
      </c>
      <c r="J2567" s="25">
        <f>IFERROR(__xludf.DUMMYFUNCTION("""COMPUTED_VALUE"""),1312.8)</f>
        <v>1312.8</v>
      </c>
      <c r="K2567" s="25">
        <f>IFERROR(__xludf.DUMMYFUNCTION("""COMPUTED_VALUE"""),1295.25)</f>
        <v>1295.25</v>
      </c>
      <c r="L2567" s="25">
        <f>IFERROR(__xludf.DUMMYFUNCTION("""COMPUTED_VALUE"""),1305.45)</f>
        <v>1305.45</v>
      </c>
      <c r="M2567" s="25">
        <f>IFERROR(__xludf.DUMMYFUNCTION("""COMPUTED_VALUE"""),902342.0)</f>
        <v>902342</v>
      </c>
    </row>
    <row r="2568">
      <c r="A2568" s="26">
        <f>IFERROR(__xludf.DUMMYFUNCTION("""COMPUTED_VALUE"""),42159.64583333333)</f>
        <v>42159.64583</v>
      </c>
      <c r="B2568" s="9">
        <f>IFERROR(__xludf.DUMMYFUNCTION("""COMPUTED_VALUE"""),507.5)</f>
        <v>507.5</v>
      </c>
      <c r="C2568" s="9">
        <f>IFERROR(__xludf.DUMMYFUNCTION("""COMPUTED_VALUE"""),513.75)</f>
        <v>513.75</v>
      </c>
      <c r="D2568" s="9">
        <f>IFERROR(__xludf.DUMMYFUNCTION("""COMPUTED_VALUE"""),503.15)</f>
        <v>503.15</v>
      </c>
      <c r="E2568" s="9">
        <f>IFERROR(__xludf.DUMMYFUNCTION("""COMPUTED_VALUE"""),507.01)</f>
        <v>507.01</v>
      </c>
      <c r="F2568" s="9">
        <f>IFERROR(__xludf.DUMMYFUNCTION("""COMPUTED_VALUE"""),1872366.0)</f>
        <v>1872366</v>
      </c>
      <c r="H2568" s="27">
        <f>IFERROR(__xludf.DUMMYFUNCTION("""COMPUTED_VALUE"""),42159.64583333333)</f>
        <v>42159.64583</v>
      </c>
      <c r="I2568" s="25">
        <f>IFERROR(__xludf.DUMMYFUNCTION("""COMPUTED_VALUE"""),1308.55)</f>
        <v>1308.55</v>
      </c>
      <c r="J2568" s="25">
        <f>IFERROR(__xludf.DUMMYFUNCTION("""COMPUTED_VALUE"""),1311.4)</f>
        <v>1311.4</v>
      </c>
      <c r="K2568" s="25">
        <f>IFERROR(__xludf.DUMMYFUNCTION("""COMPUTED_VALUE"""),1294.25)</f>
        <v>1294.25</v>
      </c>
      <c r="L2568" s="25">
        <f>IFERROR(__xludf.DUMMYFUNCTION("""COMPUTED_VALUE"""),1302.83)</f>
        <v>1302.83</v>
      </c>
      <c r="M2568" s="25">
        <f>IFERROR(__xludf.DUMMYFUNCTION("""COMPUTED_VALUE"""),2065734.0)</f>
        <v>2065734</v>
      </c>
    </row>
    <row r="2569">
      <c r="A2569" s="26">
        <f>IFERROR(__xludf.DUMMYFUNCTION("""COMPUTED_VALUE"""),42160.64583333333)</f>
        <v>42160.64583</v>
      </c>
      <c r="B2569" s="9">
        <f>IFERROR(__xludf.DUMMYFUNCTION("""COMPUTED_VALUE"""),507.5)</f>
        <v>507.5</v>
      </c>
      <c r="C2569" s="9">
        <f>IFERROR(__xludf.DUMMYFUNCTION("""COMPUTED_VALUE"""),511.0)</f>
        <v>511</v>
      </c>
      <c r="D2569" s="9">
        <f>IFERROR(__xludf.DUMMYFUNCTION("""COMPUTED_VALUE"""),502.04)</f>
        <v>502.04</v>
      </c>
      <c r="E2569" s="9">
        <f>IFERROR(__xludf.DUMMYFUNCTION("""COMPUTED_VALUE"""),502.91)</f>
        <v>502.91</v>
      </c>
      <c r="F2569" s="9">
        <f>IFERROR(__xludf.DUMMYFUNCTION("""COMPUTED_VALUE"""),1531447.0)</f>
        <v>1531447</v>
      </c>
      <c r="H2569" s="27">
        <f>IFERROR(__xludf.DUMMYFUNCTION("""COMPUTED_VALUE"""),42160.64583333333)</f>
        <v>42160.64583</v>
      </c>
      <c r="I2569" s="25">
        <f>IFERROR(__xludf.DUMMYFUNCTION("""COMPUTED_VALUE"""),1296.0)</f>
        <v>1296</v>
      </c>
      <c r="J2569" s="25">
        <f>IFERROR(__xludf.DUMMYFUNCTION("""COMPUTED_VALUE"""),1304.5)</f>
        <v>1304.5</v>
      </c>
      <c r="K2569" s="25">
        <f>IFERROR(__xludf.DUMMYFUNCTION("""COMPUTED_VALUE"""),1285.0)</f>
        <v>1285</v>
      </c>
      <c r="L2569" s="25">
        <f>IFERROR(__xludf.DUMMYFUNCTION("""COMPUTED_VALUE"""),1287.93)</f>
        <v>1287.93</v>
      </c>
      <c r="M2569" s="25">
        <f>IFERROR(__xludf.DUMMYFUNCTION("""COMPUTED_VALUE"""),1154267.0)</f>
        <v>1154267</v>
      </c>
    </row>
    <row r="2570">
      <c r="A2570" s="26">
        <f>IFERROR(__xludf.DUMMYFUNCTION("""COMPUTED_VALUE"""),42163.64583333333)</f>
        <v>42163.64583</v>
      </c>
      <c r="B2570" s="9">
        <f>IFERROR(__xludf.DUMMYFUNCTION("""COMPUTED_VALUE"""),505.0)</f>
        <v>505</v>
      </c>
      <c r="C2570" s="9">
        <f>IFERROR(__xludf.DUMMYFUNCTION("""COMPUTED_VALUE"""),506.16)</f>
        <v>506.16</v>
      </c>
      <c r="D2570" s="9">
        <f>IFERROR(__xludf.DUMMYFUNCTION("""COMPUTED_VALUE"""),496.75)</f>
        <v>496.75</v>
      </c>
      <c r="E2570" s="9">
        <f>IFERROR(__xludf.DUMMYFUNCTION("""COMPUTED_VALUE"""),500.01)</f>
        <v>500.01</v>
      </c>
      <c r="F2570" s="9">
        <f>IFERROR(__xludf.DUMMYFUNCTION("""COMPUTED_VALUE"""),1535262.0)</f>
        <v>1535262</v>
      </c>
      <c r="H2570" s="27">
        <f>IFERROR(__xludf.DUMMYFUNCTION("""COMPUTED_VALUE"""),42163.64583333333)</f>
        <v>42163.64583</v>
      </c>
      <c r="I2570" s="25">
        <f>IFERROR(__xludf.DUMMYFUNCTION("""COMPUTED_VALUE"""),1295.0)</f>
        <v>1295</v>
      </c>
      <c r="J2570" s="25">
        <f>IFERROR(__xludf.DUMMYFUNCTION("""COMPUTED_VALUE"""),1295.0)</f>
        <v>1295</v>
      </c>
      <c r="K2570" s="25">
        <f>IFERROR(__xludf.DUMMYFUNCTION("""COMPUTED_VALUE"""),1280.83)</f>
        <v>1280.83</v>
      </c>
      <c r="L2570" s="25">
        <f>IFERROR(__xludf.DUMMYFUNCTION("""COMPUTED_VALUE"""),1288.72)</f>
        <v>1288.72</v>
      </c>
      <c r="M2570" s="25">
        <f>IFERROR(__xludf.DUMMYFUNCTION("""COMPUTED_VALUE"""),785160.0)</f>
        <v>785160</v>
      </c>
    </row>
    <row r="2571">
      <c r="A2571" s="26">
        <f>IFERROR(__xludf.DUMMYFUNCTION("""COMPUTED_VALUE"""),42164.64583333333)</f>
        <v>42164.64583</v>
      </c>
      <c r="B2571" s="9">
        <f>IFERROR(__xludf.DUMMYFUNCTION("""COMPUTED_VALUE"""),500.94)</f>
        <v>500.94</v>
      </c>
      <c r="C2571" s="9">
        <f>IFERROR(__xludf.DUMMYFUNCTION("""COMPUTED_VALUE"""),501.91)</f>
        <v>501.91</v>
      </c>
      <c r="D2571" s="9">
        <f>IFERROR(__xludf.DUMMYFUNCTION("""COMPUTED_VALUE"""),495.75)</f>
        <v>495.75</v>
      </c>
      <c r="E2571" s="9">
        <f>IFERROR(__xludf.DUMMYFUNCTION("""COMPUTED_VALUE"""),498.03)</f>
        <v>498.03</v>
      </c>
      <c r="F2571" s="9">
        <f>IFERROR(__xludf.DUMMYFUNCTION("""COMPUTED_VALUE"""),1890435.0)</f>
        <v>1890435</v>
      </c>
      <c r="H2571" s="27">
        <f>IFERROR(__xludf.DUMMYFUNCTION("""COMPUTED_VALUE"""),42164.64583333333)</f>
        <v>42164.64583</v>
      </c>
      <c r="I2571" s="25">
        <f>IFERROR(__xludf.DUMMYFUNCTION("""COMPUTED_VALUE"""),1292.5)</f>
        <v>1292.5</v>
      </c>
      <c r="J2571" s="25">
        <f>IFERROR(__xludf.DUMMYFUNCTION("""COMPUTED_VALUE"""),1295.0)</f>
        <v>1295</v>
      </c>
      <c r="K2571" s="25">
        <f>IFERROR(__xludf.DUMMYFUNCTION("""COMPUTED_VALUE"""),1275.5)</f>
        <v>1275.5</v>
      </c>
      <c r="L2571" s="25">
        <f>IFERROR(__xludf.DUMMYFUNCTION("""COMPUTED_VALUE"""),1280.83)</f>
        <v>1280.83</v>
      </c>
      <c r="M2571" s="25">
        <f>IFERROR(__xludf.DUMMYFUNCTION("""COMPUTED_VALUE"""),1289457.0)</f>
        <v>1289457</v>
      </c>
    </row>
    <row r="2572">
      <c r="A2572" s="26">
        <f>IFERROR(__xludf.DUMMYFUNCTION("""COMPUTED_VALUE"""),42165.64583333333)</f>
        <v>42165.64583</v>
      </c>
      <c r="B2572" s="9">
        <f>IFERROR(__xludf.DUMMYFUNCTION("""COMPUTED_VALUE"""),497.5)</f>
        <v>497.5</v>
      </c>
      <c r="C2572" s="9">
        <f>IFERROR(__xludf.DUMMYFUNCTION("""COMPUTED_VALUE"""),509.84)</f>
        <v>509.84</v>
      </c>
      <c r="D2572" s="9">
        <f>IFERROR(__xludf.DUMMYFUNCTION("""COMPUTED_VALUE"""),496.25)</f>
        <v>496.25</v>
      </c>
      <c r="E2572" s="9">
        <f>IFERROR(__xludf.DUMMYFUNCTION("""COMPUTED_VALUE"""),506.63)</f>
        <v>506.63</v>
      </c>
      <c r="F2572" s="9">
        <f>IFERROR(__xludf.DUMMYFUNCTION("""COMPUTED_VALUE"""),1596460.0)</f>
        <v>1596460</v>
      </c>
      <c r="H2572" s="27">
        <f>IFERROR(__xludf.DUMMYFUNCTION("""COMPUTED_VALUE"""),42165.64583333333)</f>
        <v>42165.64583</v>
      </c>
      <c r="I2572" s="25">
        <f>IFERROR(__xludf.DUMMYFUNCTION("""COMPUTED_VALUE"""),1283.0)</f>
        <v>1283</v>
      </c>
      <c r="J2572" s="25">
        <f>IFERROR(__xludf.DUMMYFUNCTION("""COMPUTED_VALUE"""),1305.0)</f>
        <v>1305</v>
      </c>
      <c r="K2572" s="25">
        <f>IFERROR(__xludf.DUMMYFUNCTION("""COMPUTED_VALUE"""),1281.9)</f>
        <v>1281.9</v>
      </c>
      <c r="L2572" s="25">
        <f>IFERROR(__xludf.DUMMYFUNCTION("""COMPUTED_VALUE"""),1300.38)</f>
        <v>1300.38</v>
      </c>
      <c r="M2572" s="25">
        <f>IFERROR(__xludf.DUMMYFUNCTION("""COMPUTED_VALUE"""),1381675.0)</f>
        <v>1381675</v>
      </c>
    </row>
    <row r="2573">
      <c r="A2573" s="26">
        <f>IFERROR(__xludf.DUMMYFUNCTION("""COMPUTED_VALUE"""),42166.64583333333)</f>
        <v>42166.64583</v>
      </c>
      <c r="B2573" s="9">
        <f>IFERROR(__xludf.DUMMYFUNCTION("""COMPUTED_VALUE"""),508.99)</f>
        <v>508.99</v>
      </c>
      <c r="C2573" s="9">
        <f>IFERROR(__xludf.DUMMYFUNCTION("""COMPUTED_VALUE"""),511.19)</f>
        <v>511.19</v>
      </c>
      <c r="D2573" s="9">
        <f>IFERROR(__xludf.DUMMYFUNCTION("""COMPUTED_VALUE"""),498.76)</f>
        <v>498.76</v>
      </c>
      <c r="E2573" s="9">
        <f>IFERROR(__xludf.DUMMYFUNCTION("""COMPUTED_VALUE"""),499.41)</f>
        <v>499.41</v>
      </c>
      <c r="F2573" s="9">
        <f>IFERROR(__xludf.DUMMYFUNCTION("""COMPUTED_VALUE"""),2307366.0)</f>
        <v>2307366</v>
      </c>
      <c r="H2573" s="27">
        <f>IFERROR(__xludf.DUMMYFUNCTION("""COMPUTED_VALUE"""),42166.64583333333)</f>
        <v>42166.64583</v>
      </c>
      <c r="I2573" s="25">
        <f>IFERROR(__xludf.DUMMYFUNCTION("""COMPUTED_VALUE"""),1302.75)</f>
        <v>1302.75</v>
      </c>
      <c r="J2573" s="25">
        <f>IFERROR(__xludf.DUMMYFUNCTION("""COMPUTED_VALUE"""),1306.5)</f>
        <v>1306.5</v>
      </c>
      <c r="K2573" s="25">
        <f>IFERROR(__xludf.DUMMYFUNCTION("""COMPUTED_VALUE"""),1278.38)</f>
        <v>1278.38</v>
      </c>
      <c r="L2573" s="25">
        <f>IFERROR(__xludf.DUMMYFUNCTION("""COMPUTED_VALUE"""),1285.65)</f>
        <v>1285.65</v>
      </c>
      <c r="M2573" s="25">
        <f>IFERROR(__xludf.DUMMYFUNCTION("""COMPUTED_VALUE"""),923668.0)</f>
        <v>923668</v>
      </c>
    </row>
    <row r="2574">
      <c r="A2574" s="26">
        <f>IFERROR(__xludf.DUMMYFUNCTION("""COMPUTED_VALUE"""),42167.64583333333)</f>
        <v>42167.64583</v>
      </c>
      <c r="B2574" s="9">
        <f>IFERROR(__xludf.DUMMYFUNCTION("""COMPUTED_VALUE"""),501.25)</f>
        <v>501.25</v>
      </c>
      <c r="C2574" s="9">
        <f>IFERROR(__xludf.DUMMYFUNCTION("""COMPUTED_VALUE"""),506.39)</f>
        <v>506.39</v>
      </c>
      <c r="D2574" s="9">
        <f>IFERROR(__xludf.DUMMYFUNCTION("""COMPUTED_VALUE"""),488.88)</f>
        <v>488.88</v>
      </c>
      <c r="E2574" s="9">
        <f>IFERROR(__xludf.DUMMYFUNCTION("""COMPUTED_VALUE"""),493.76)</f>
        <v>493.76</v>
      </c>
      <c r="F2574" s="9">
        <f>IFERROR(__xludf.DUMMYFUNCTION("""COMPUTED_VALUE"""),2463231.0)</f>
        <v>2463231</v>
      </c>
      <c r="H2574" s="27">
        <f>IFERROR(__xludf.DUMMYFUNCTION("""COMPUTED_VALUE"""),42167.64583333333)</f>
        <v>42167.64583</v>
      </c>
      <c r="I2574" s="25">
        <f>IFERROR(__xludf.DUMMYFUNCTION("""COMPUTED_VALUE"""),1285.95)</f>
        <v>1285.95</v>
      </c>
      <c r="J2574" s="25">
        <f>IFERROR(__xludf.DUMMYFUNCTION("""COMPUTED_VALUE"""),1294.47)</f>
        <v>1294.47</v>
      </c>
      <c r="K2574" s="25">
        <f>IFERROR(__xludf.DUMMYFUNCTION("""COMPUTED_VALUE"""),1238.4)</f>
        <v>1238.4</v>
      </c>
      <c r="L2574" s="25">
        <f>IFERROR(__xludf.DUMMYFUNCTION("""COMPUTED_VALUE"""),1252.9)</f>
        <v>1252.9</v>
      </c>
      <c r="M2574" s="25">
        <f>IFERROR(__xludf.DUMMYFUNCTION("""COMPUTED_VALUE"""),1285728.0)</f>
        <v>1285728</v>
      </c>
    </row>
    <row r="2575">
      <c r="A2575" s="26">
        <f>IFERROR(__xludf.DUMMYFUNCTION("""COMPUTED_VALUE"""),42170.64583333333)</f>
        <v>42170.64583</v>
      </c>
      <c r="B2575" s="9">
        <f>IFERROR(__xludf.DUMMYFUNCTION("""COMPUTED_VALUE"""),488.48)</f>
        <v>488.48</v>
      </c>
      <c r="C2575" s="9">
        <f>IFERROR(__xludf.DUMMYFUNCTION("""COMPUTED_VALUE"""),499.4)</f>
        <v>499.4</v>
      </c>
      <c r="D2575" s="9">
        <f>IFERROR(__xludf.DUMMYFUNCTION("""COMPUTED_VALUE"""),484.0)</f>
        <v>484</v>
      </c>
      <c r="E2575" s="9">
        <f>IFERROR(__xludf.DUMMYFUNCTION("""COMPUTED_VALUE"""),495.23)</f>
        <v>495.23</v>
      </c>
      <c r="F2575" s="9">
        <f>IFERROR(__xludf.DUMMYFUNCTION("""COMPUTED_VALUE"""),2618213.0)</f>
        <v>2618213</v>
      </c>
      <c r="H2575" s="27">
        <f>IFERROR(__xludf.DUMMYFUNCTION("""COMPUTED_VALUE"""),42170.64583333333)</f>
        <v>42170.64583</v>
      </c>
      <c r="I2575" s="25">
        <f>IFERROR(__xludf.DUMMYFUNCTION("""COMPUTED_VALUE"""),1252.65)</f>
        <v>1252.65</v>
      </c>
      <c r="J2575" s="25">
        <f>IFERROR(__xludf.DUMMYFUNCTION("""COMPUTED_VALUE"""),1260.22)</f>
        <v>1260.22</v>
      </c>
      <c r="K2575" s="25">
        <f>IFERROR(__xludf.DUMMYFUNCTION("""COMPUTED_VALUE"""),1240.5)</f>
        <v>1240.5</v>
      </c>
      <c r="L2575" s="25">
        <f>IFERROR(__xludf.DUMMYFUNCTION("""COMPUTED_VALUE"""),1252.4)</f>
        <v>1252.4</v>
      </c>
      <c r="M2575" s="25">
        <f>IFERROR(__xludf.DUMMYFUNCTION("""COMPUTED_VALUE"""),1262588.0)</f>
        <v>1262588</v>
      </c>
    </row>
    <row r="2576">
      <c r="A2576" s="26">
        <f>IFERROR(__xludf.DUMMYFUNCTION("""COMPUTED_VALUE"""),42171.64583333333)</f>
        <v>42171.64583</v>
      </c>
      <c r="B2576" s="9">
        <f>IFERROR(__xludf.DUMMYFUNCTION("""COMPUTED_VALUE"""),497.18)</f>
        <v>497.18</v>
      </c>
      <c r="C2576" s="9">
        <f>IFERROR(__xludf.DUMMYFUNCTION("""COMPUTED_VALUE"""),501.5)</f>
        <v>501.5</v>
      </c>
      <c r="D2576" s="9">
        <f>IFERROR(__xludf.DUMMYFUNCTION("""COMPUTED_VALUE"""),492.5)</f>
        <v>492.5</v>
      </c>
      <c r="E2576" s="9">
        <f>IFERROR(__xludf.DUMMYFUNCTION("""COMPUTED_VALUE"""),499.68)</f>
        <v>499.68</v>
      </c>
      <c r="F2576" s="9">
        <f>IFERROR(__xludf.DUMMYFUNCTION("""COMPUTED_VALUE"""),2611722.0)</f>
        <v>2611722</v>
      </c>
      <c r="H2576" s="27">
        <f>IFERROR(__xludf.DUMMYFUNCTION("""COMPUTED_VALUE"""),42171.64583333333)</f>
        <v>42171.64583</v>
      </c>
      <c r="I2576" s="25">
        <f>IFERROR(__xludf.DUMMYFUNCTION("""COMPUTED_VALUE"""),1250.0)</f>
        <v>1250</v>
      </c>
      <c r="J2576" s="25">
        <f>IFERROR(__xludf.DUMMYFUNCTION("""COMPUTED_VALUE"""),1259.65)</f>
        <v>1259.65</v>
      </c>
      <c r="K2576" s="25">
        <f>IFERROR(__xludf.DUMMYFUNCTION("""COMPUTED_VALUE"""),1247.22)</f>
        <v>1247.22</v>
      </c>
      <c r="L2576" s="25">
        <f>IFERROR(__xludf.DUMMYFUNCTION("""COMPUTED_VALUE"""),1256.0)</f>
        <v>1256</v>
      </c>
      <c r="M2576" s="25">
        <f>IFERROR(__xludf.DUMMYFUNCTION("""COMPUTED_VALUE"""),633698.0)</f>
        <v>633698</v>
      </c>
    </row>
    <row r="2577">
      <c r="A2577" s="26">
        <f>IFERROR(__xludf.DUMMYFUNCTION("""COMPUTED_VALUE"""),42172.64583333333)</f>
        <v>42172.64583</v>
      </c>
      <c r="B2577" s="9">
        <f>IFERROR(__xludf.DUMMYFUNCTION("""COMPUTED_VALUE"""),505.5)</f>
        <v>505.5</v>
      </c>
      <c r="C2577" s="9">
        <f>IFERROR(__xludf.DUMMYFUNCTION("""COMPUTED_VALUE"""),510.5)</f>
        <v>510.5</v>
      </c>
      <c r="D2577" s="9">
        <f>IFERROR(__xludf.DUMMYFUNCTION("""COMPUTED_VALUE"""),496.1)</f>
        <v>496.1</v>
      </c>
      <c r="E2577" s="9">
        <f>IFERROR(__xludf.DUMMYFUNCTION("""COMPUTED_VALUE"""),497.85)</f>
        <v>497.85</v>
      </c>
      <c r="F2577" s="9">
        <f>IFERROR(__xludf.DUMMYFUNCTION("""COMPUTED_VALUE"""),3206034.0)</f>
        <v>3206034</v>
      </c>
      <c r="H2577" s="27">
        <f>IFERROR(__xludf.DUMMYFUNCTION("""COMPUTED_VALUE"""),42172.64583333333)</f>
        <v>42172.64583</v>
      </c>
      <c r="I2577" s="25">
        <f>IFERROR(__xludf.DUMMYFUNCTION("""COMPUTED_VALUE"""),1260.5)</f>
        <v>1260.5</v>
      </c>
      <c r="J2577" s="25">
        <f>IFERROR(__xludf.DUMMYFUNCTION("""COMPUTED_VALUE"""),1264.58)</f>
        <v>1264.58</v>
      </c>
      <c r="K2577" s="25">
        <f>IFERROR(__xludf.DUMMYFUNCTION("""COMPUTED_VALUE"""),1250.9)</f>
        <v>1250.9</v>
      </c>
      <c r="L2577" s="25">
        <f>IFERROR(__xludf.DUMMYFUNCTION("""COMPUTED_VALUE"""),1256.9)</f>
        <v>1256.9</v>
      </c>
      <c r="M2577" s="25">
        <f>IFERROR(__xludf.DUMMYFUNCTION("""COMPUTED_VALUE"""),987860.0)</f>
        <v>987860</v>
      </c>
    </row>
    <row r="2578">
      <c r="A2578" s="26">
        <f>IFERROR(__xludf.DUMMYFUNCTION("""COMPUTED_VALUE"""),42173.64583333333)</f>
        <v>42173.64583</v>
      </c>
      <c r="B2578" s="9">
        <f>IFERROR(__xludf.DUMMYFUNCTION("""COMPUTED_VALUE"""),502.8)</f>
        <v>502.8</v>
      </c>
      <c r="C2578" s="9">
        <f>IFERROR(__xludf.DUMMYFUNCTION("""COMPUTED_VALUE"""),503.98)</f>
        <v>503.98</v>
      </c>
      <c r="D2578" s="9">
        <f>IFERROR(__xludf.DUMMYFUNCTION("""COMPUTED_VALUE"""),497.9)</f>
        <v>497.9</v>
      </c>
      <c r="E2578" s="9">
        <f>IFERROR(__xludf.DUMMYFUNCTION("""COMPUTED_VALUE"""),500.98)</f>
        <v>500.98</v>
      </c>
      <c r="F2578" s="9">
        <f>IFERROR(__xludf.DUMMYFUNCTION("""COMPUTED_VALUE"""),1737213.0)</f>
        <v>1737213</v>
      </c>
      <c r="H2578" s="27">
        <f>IFERROR(__xludf.DUMMYFUNCTION("""COMPUTED_VALUE"""),42173.64583333333)</f>
        <v>42173.64583</v>
      </c>
      <c r="I2578" s="25">
        <f>IFERROR(__xludf.DUMMYFUNCTION("""COMPUTED_VALUE"""),1257.5)</f>
        <v>1257.5</v>
      </c>
      <c r="J2578" s="25">
        <f>IFERROR(__xludf.DUMMYFUNCTION("""COMPUTED_VALUE"""),1273.15)</f>
        <v>1273.15</v>
      </c>
      <c r="K2578" s="25">
        <f>IFERROR(__xludf.DUMMYFUNCTION("""COMPUTED_VALUE"""),1254.0)</f>
        <v>1254</v>
      </c>
      <c r="L2578" s="25">
        <f>IFERROR(__xludf.DUMMYFUNCTION("""COMPUTED_VALUE"""),1265.03)</f>
        <v>1265.03</v>
      </c>
      <c r="M2578" s="25">
        <f>IFERROR(__xludf.DUMMYFUNCTION("""COMPUTED_VALUE"""),1082523.0)</f>
        <v>1082523</v>
      </c>
    </row>
    <row r="2579">
      <c r="A2579" s="26">
        <f>IFERROR(__xludf.DUMMYFUNCTION("""COMPUTED_VALUE"""),42174.64583333333)</f>
        <v>42174.64583</v>
      </c>
      <c r="B2579" s="9">
        <f>IFERROR(__xludf.DUMMYFUNCTION("""COMPUTED_VALUE"""),505.15)</f>
        <v>505.15</v>
      </c>
      <c r="C2579" s="9">
        <f>IFERROR(__xludf.DUMMYFUNCTION("""COMPUTED_VALUE"""),505.2)</f>
        <v>505.2</v>
      </c>
      <c r="D2579" s="9">
        <f>IFERROR(__xludf.DUMMYFUNCTION("""COMPUTED_VALUE"""),496.55)</f>
        <v>496.55</v>
      </c>
      <c r="E2579" s="9">
        <f>IFERROR(__xludf.DUMMYFUNCTION("""COMPUTED_VALUE"""),497.68)</f>
        <v>497.68</v>
      </c>
      <c r="F2579" s="9">
        <f>IFERROR(__xludf.DUMMYFUNCTION("""COMPUTED_VALUE"""),3335229.0)</f>
        <v>3335229</v>
      </c>
      <c r="H2579" s="27">
        <f>IFERROR(__xludf.DUMMYFUNCTION("""COMPUTED_VALUE"""),42174.64583333333)</f>
        <v>42174.64583</v>
      </c>
      <c r="I2579" s="25">
        <f>IFERROR(__xludf.DUMMYFUNCTION("""COMPUTED_VALUE"""),1267.5)</f>
        <v>1267.5</v>
      </c>
      <c r="J2579" s="25">
        <f>IFERROR(__xludf.DUMMYFUNCTION("""COMPUTED_VALUE"""),1277.5)</f>
        <v>1277.5</v>
      </c>
      <c r="K2579" s="25">
        <f>IFERROR(__xludf.DUMMYFUNCTION("""COMPUTED_VALUE"""),1263.55)</f>
        <v>1263.55</v>
      </c>
      <c r="L2579" s="25">
        <f>IFERROR(__xludf.DUMMYFUNCTION("""COMPUTED_VALUE"""),1274.78)</f>
        <v>1274.78</v>
      </c>
      <c r="M2579" s="25">
        <f>IFERROR(__xludf.DUMMYFUNCTION("""COMPUTED_VALUE"""),999805.0)</f>
        <v>999805</v>
      </c>
    </row>
    <row r="2580">
      <c r="A2580" s="26">
        <f>IFERROR(__xludf.DUMMYFUNCTION("""COMPUTED_VALUE"""),42177.64583333333)</f>
        <v>42177.64583</v>
      </c>
      <c r="B2580" s="9">
        <f>IFERROR(__xludf.DUMMYFUNCTION("""COMPUTED_VALUE"""),502.45)</f>
        <v>502.45</v>
      </c>
      <c r="C2580" s="9">
        <f>IFERROR(__xludf.DUMMYFUNCTION("""COMPUTED_VALUE"""),514.38)</f>
        <v>514.38</v>
      </c>
      <c r="D2580" s="9">
        <f>IFERROR(__xludf.DUMMYFUNCTION("""COMPUTED_VALUE"""),498.5)</f>
        <v>498.5</v>
      </c>
      <c r="E2580" s="9">
        <f>IFERROR(__xludf.DUMMYFUNCTION("""COMPUTED_VALUE"""),511.93)</f>
        <v>511.93</v>
      </c>
      <c r="F2580" s="9">
        <f>IFERROR(__xludf.DUMMYFUNCTION("""COMPUTED_VALUE"""),2855434.0)</f>
        <v>2855434</v>
      </c>
      <c r="H2580" s="27">
        <f>IFERROR(__xludf.DUMMYFUNCTION("""COMPUTED_VALUE"""),42177.64583333333)</f>
        <v>42177.64583</v>
      </c>
      <c r="I2580" s="25">
        <f>IFERROR(__xludf.DUMMYFUNCTION("""COMPUTED_VALUE"""),1273.5)</f>
        <v>1273.5</v>
      </c>
      <c r="J2580" s="25">
        <f>IFERROR(__xludf.DUMMYFUNCTION("""COMPUTED_VALUE"""),1300.0)</f>
        <v>1300</v>
      </c>
      <c r="K2580" s="25">
        <f>IFERROR(__xludf.DUMMYFUNCTION("""COMPUTED_VALUE"""),1273.5)</f>
        <v>1273.5</v>
      </c>
      <c r="L2580" s="25">
        <f>IFERROR(__xludf.DUMMYFUNCTION("""COMPUTED_VALUE"""),1295.75)</f>
        <v>1295.75</v>
      </c>
      <c r="M2580" s="25">
        <f>IFERROR(__xludf.DUMMYFUNCTION("""COMPUTED_VALUE"""),551001.0)</f>
        <v>551001</v>
      </c>
    </row>
    <row r="2581">
      <c r="A2581" s="26">
        <f>IFERROR(__xludf.DUMMYFUNCTION("""COMPUTED_VALUE"""),42178.64583333333)</f>
        <v>42178.64583</v>
      </c>
      <c r="B2581" s="9">
        <f>IFERROR(__xludf.DUMMYFUNCTION("""COMPUTED_VALUE"""),512.5)</f>
        <v>512.5</v>
      </c>
      <c r="C2581" s="9">
        <f>IFERROR(__xludf.DUMMYFUNCTION("""COMPUTED_VALUE"""),513.7)</f>
        <v>513.7</v>
      </c>
      <c r="D2581" s="9">
        <f>IFERROR(__xludf.DUMMYFUNCTION("""COMPUTED_VALUE"""),499.08)</f>
        <v>499.08</v>
      </c>
      <c r="E2581" s="9">
        <f>IFERROR(__xludf.DUMMYFUNCTION("""COMPUTED_VALUE"""),500.2)</f>
        <v>500.2</v>
      </c>
      <c r="F2581" s="9">
        <f>IFERROR(__xludf.DUMMYFUNCTION("""COMPUTED_VALUE"""),3476058.0)</f>
        <v>3476058</v>
      </c>
      <c r="H2581" s="27">
        <f>IFERROR(__xludf.DUMMYFUNCTION("""COMPUTED_VALUE"""),42178.64583333333)</f>
        <v>42178.64583</v>
      </c>
      <c r="I2581" s="25">
        <f>IFERROR(__xludf.DUMMYFUNCTION("""COMPUTED_VALUE"""),1300.0)</f>
        <v>1300</v>
      </c>
      <c r="J2581" s="25">
        <f>IFERROR(__xludf.DUMMYFUNCTION("""COMPUTED_VALUE"""),1304.0)</f>
        <v>1304</v>
      </c>
      <c r="K2581" s="25">
        <f>IFERROR(__xludf.DUMMYFUNCTION("""COMPUTED_VALUE"""),1283.6)</f>
        <v>1283.6</v>
      </c>
      <c r="L2581" s="25">
        <f>IFERROR(__xludf.DUMMYFUNCTION("""COMPUTED_VALUE"""),1287.3)</f>
        <v>1287.3</v>
      </c>
      <c r="M2581" s="25">
        <f>IFERROR(__xludf.DUMMYFUNCTION("""COMPUTED_VALUE"""),449159.0)</f>
        <v>449159</v>
      </c>
    </row>
    <row r="2582">
      <c r="A2582" s="26">
        <f>IFERROR(__xludf.DUMMYFUNCTION("""COMPUTED_VALUE"""),42179.64583333333)</f>
        <v>42179.64583</v>
      </c>
      <c r="B2582" s="9">
        <f>IFERROR(__xludf.DUMMYFUNCTION("""COMPUTED_VALUE"""),507.5)</f>
        <v>507.5</v>
      </c>
      <c r="C2582" s="9">
        <f>IFERROR(__xludf.DUMMYFUNCTION("""COMPUTED_VALUE"""),507.5)</f>
        <v>507.5</v>
      </c>
      <c r="D2582" s="9">
        <f>IFERROR(__xludf.DUMMYFUNCTION("""COMPUTED_VALUE"""),495.6)</f>
        <v>495.6</v>
      </c>
      <c r="E2582" s="9">
        <f>IFERROR(__xludf.DUMMYFUNCTION("""COMPUTED_VALUE"""),497.55)</f>
        <v>497.55</v>
      </c>
      <c r="F2582" s="9">
        <f>IFERROR(__xludf.DUMMYFUNCTION("""COMPUTED_VALUE"""),3536847.0)</f>
        <v>3536847</v>
      </c>
      <c r="H2582" s="27">
        <f>IFERROR(__xludf.DUMMYFUNCTION("""COMPUTED_VALUE"""),42179.64583333333)</f>
        <v>42179.64583</v>
      </c>
      <c r="I2582" s="25">
        <f>IFERROR(__xludf.DUMMYFUNCTION("""COMPUTED_VALUE"""),1290.0)</f>
        <v>1290</v>
      </c>
      <c r="J2582" s="25">
        <f>IFERROR(__xludf.DUMMYFUNCTION("""COMPUTED_VALUE"""),1293.95)</f>
        <v>1293.95</v>
      </c>
      <c r="K2582" s="25">
        <f>IFERROR(__xludf.DUMMYFUNCTION("""COMPUTED_VALUE"""),1279.43)</f>
        <v>1279.43</v>
      </c>
      <c r="L2582" s="25">
        <f>IFERROR(__xludf.DUMMYFUNCTION("""COMPUTED_VALUE"""),1285.15)</f>
        <v>1285.15</v>
      </c>
      <c r="M2582" s="25">
        <f>IFERROR(__xludf.DUMMYFUNCTION("""COMPUTED_VALUE"""),585123.0)</f>
        <v>585123</v>
      </c>
    </row>
    <row r="2583">
      <c r="A2583" s="26">
        <f>IFERROR(__xludf.DUMMYFUNCTION("""COMPUTED_VALUE"""),42180.64583333333)</f>
        <v>42180.64583</v>
      </c>
      <c r="B2583" s="9">
        <f>IFERROR(__xludf.DUMMYFUNCTION("""COMPUTED_VALUE"""),499.6)</f>
        <v>499.6</v>
      </c>
      <c r="C2583" s="9">
        <f>IFERROR(__xludf.DUMMYFUNCTION("""COMPUTED_VALUE"""),501.75)</f>
        <v>501.75</v>
      </c>
      <c r="D2583" s="9">
        <f>IFERROR(__xludf.DUMMYFUNCTION("""COMPUTED_VALUE"""),493.83)</f>
        <v>493.83</v>
      </c>
      <c r="E2583" s="9">
        <f>IFERROR(__xludf.DUMMYFUNCTION("""COMPUTED_VALUE"""),495.23)</f>
        <v>495.23</v>
      </c>
      <c r="F2583" s="9">
        <f>IFERROR(__xludf.DUMMYFUNCTION("""COMPUTED_VALUE"""),3558733.0)</f>
        <v>3558733</v>
      </c>
      <c r="H2583" s="27">
        <f>IFERROR(__xludf.DUMMYFUNCTION("""COMPUTED_VALUE"""),42180.64583333333)</f>
        <v>42180.64583</v>
      </c>
      <c r="I2583" s="25">
        <f>IFERROR(__xludf.DUMMYFUNCTION("""COMPUTED_VALUE"""),1281.0)</f>
        <v>1281</v>
      </c>
      <c r="J2583" s="25">
        <f>IFERROR(__xludf.DUMMYFUNCTION("""COMPUTED_VALUE"""),1286.5)</f>
        <v>1286.5</v>
      </c>
      <c r="K2583" s="25">
        <f>IFERROR(__xludf.DUMMYFUNCTION("""COMPUTED_VALUE"""),1272.08)</f>
        <v>1272.08</v>
      </c>
      <c r="L2583" s="25">
        <f>IFERROR(__xludf.DUMMYFUNCTION("""COMPUTED_VALUE"""),1275.0)</f>
        <v>1275</v>
      </c>
      <c r="M2583" s="25">
        <f>IFERROR(__xludf.DUMMYFUNCTION("""COMPUTED_VALUE"""),965496.0)</f>
        <v>965496</v>
      </c>
    </row>
    <row r="2584">
      <c r="A2584" s="26">
        <f>IFERROR(__xludf.DUMMYFUNCTION("""COMPUTED_VALUE"""),42181.64583333333)</f>
        <v>42181.64583</v>
      </c>
      <c r="B2584" s="9">
        <f>IFERROR(__xludf.DUMMYFUNCTION("""COMPUTED_VALUE"""),499.5)</f>
        <v>499.5</v>
      </c>
      <c r="C2584" s="9">
        <f>IFERROR(__xludf.DUMMYFUNCTION("""COMPUTED_VALUE"""),505.8)</f>
        <v>505.8</v>
      </c>
      <c r="D2584" s="9">
        <f>IFERROR(__xludf.DUMMYFUNCTION("""COMPUTED_VALUE"""),499.05)</f>
        <v>499.05</v>
      </c>
      <c r="E2584" s="9">
        <f>IFERROR(__xludf.DUMMYFUNCTION("""COMPUTED_VALUE"""),502.63)</f>
        <v>502.63</v>
      </c>
      <c r="F2584" s="9">
        <f>IFERROR(__xludf.DUMMYFUNCTION("""COMPUTED_VALUE"""),2660142.0)</f>
        <v>2660142</v>
      </c>
      <c r="H2584" s="27">
        <f>IFERROR(__xludf.DUMMYFUNCTION("""COMPUTED_VALUE"""),42181.64583333333)</f>
        <v>42181.64583</v>
      </c>
      <c r="I2584" s="25">
        <f>IFERROR(__xludf.DUMMYFUNCTION("""COMPUTED_VALUE"""),1275.1)</f>
        <v>1275.1</v>
      </c>
      <c r="J2584" s="25">
        <f>IFERROR(__xludf.DUMMYFUNCTION("""COMPUTED_VALUE"""),1298.18)</f>
        <v>1298.18</v>
      </c>
      <c r="K2584" s="25">
        <f>IFERROR(__xludf.DUMMYFUNCTION("""COMPUTED_VALUE"""),1275.1)</f>
        <v>1275.1</v>
      </c>
      <c r="L2584" s="25">
        <f>IFERROR(__xludf.DUMMYFUNCTION("""COMPUTED_VALUE"""),1296.4)</f>
        <v>1296.4</v>
      </c>
      <c r="M2584" s="25">
        <f>IFERROR(__xludf.DUMMYFUNCTION("""COMPUTED_VALUE"""),645051.0)</f>
        <v>645051</v>
      </c>
    </row>
    <row r="2585">
      <c r="A2585" s="26">
        <f>IFERROR(__xludf.DUMMYFUNCTION("""COMPUTED_VALUE"""),42184.64583333333)</f>
        <v>42184.64583</v>
      </c>
      <c r="B2585" s="9">
        <f>IFERROR(__xludf.DUMMYFUNCTION("""COMPUTED_VALUE"""),493.5)</f>
        <v>493.5</v>
      </c>
      <c r="C2585" s="9">
        <f>IFERROR(__xludf.DUMMYFUNCTION("""COMPUTED_VALUE"""),499.75)</f>
        <v>499.75</v>
      </c>
      <c r="D2585" s="9">
        <f>IFERROR(__xludf.DUMMYFUNCTION("""COMPUTED_VALUE"""),491.25)</f>
        <v>491.25</v>
      </c>
      <c r="E2585" s="9">
        <f>IFERROR(__xludf.DUMMYFUNCTION("""COMPUTED_VALUE"""),495.08)</f>
        <v>495.08</v>
      </c>
      <c r="F2585" s="9">
        <f>IFERROR(__xludf.DUMMYFUNCTION("""COMPUTED_VALUE"""),2845334.0)</f>
        <v>2845334</v>
      </c>
      <c r="H2585" s="27">
        <f>IFERROR(__xludf.DUMMYFUNCTION("""COMPUTED_VALUE"""),42184.64583333333)</f>
        <v>42184.64583</v>
      </c>
      <c r="I2585" s="25">
        <f>IFERROR(__xludf.DUMMYFUNCTION("""COMPUTED_VALUE"""),1286.0)</f>
        <v>1286</v>
      </c>
      <c r="J2585" s="25">
        <f>IFERROR(__xludf.DUMMYFUNCTION("""COMPUTED_VALUE"""),1302.0)</f>
        <v>1302</v>
      </c>
      <c r="K2585" s="25">
        <f>IFERROR(__xludf.DUMMYFUNCTION("""COMPUTED_VALUE"""),1271.7)</f>
        <v>1271.7</v>
      </c>
      <c r="L2585" s="25">
        <f>IFERROR(__xludf.DUMMYFUNCTION("""COMPUTED_VALUE"""),1296.45)</f>
        <v>1296.45</v>
      </c>
      <c r="M2585" s="25">
        <f>IFERROR(__xludf.DUMMYFUNCTION("""COMPUTED_VALUE"""),686378.0)</f>
        <v>686378</v>
      </c>
    </row>
    <row r="2586">
      <c r="A2586" s="26">
        <f>IFERROR(__xludf.DUMMYFUNCTION("""COMPUTED_VALUE"""),42185.64583333333)</f>
        <v>42185.64583</v>
      </c>
      <c r="B2586" s="9">
        <f>IFERROR(__xludf.DUMMYFUNCTION("""COMPUTED_VALUE"""),495.0)</f>
        <v>495</v>
      </c>
      <c r="C2586" s="9">
        <f>IFERROR(__xludf.DUMMYFUNCTION("""COMPUTED_VALUE"""),496.73)</f>
        <v>496.73</v>
      </c>
      <c r="D2586" s="9">
        <f>IFERROR(__xludf.DUMMYFUNCTION("""COMPUTED_VALUE"""),490.0)</f>
        <v>490</v>
      </c>
      <c r="E2586" s="9">
        <f>IFERROR(__xludf.DUMMYFUNCTION("""COMPUTED_VALUE"""),492.18)</f>
        <v>492.18</v>
      </c>
      <c r="F2586" s="9">
        <f>IFERROR(__xludf.DUMMYFUNCTION("""COMPUTED_VALUE"""),3106265.0)</f>
        <v>3106265</v>
      </c>
      <c r="H2586" s="27">
        <f>IFERROR(__xludf.DUMMYFUNCTION("""COMPUTED_VALUE"""),42185.64583333333)</f>
        <v>42185.64583</v>
      </c>
      <c r="I2586" s="25">
        <f>IFERROR(__xludf.DUMMYFUNCTION("""COMPUTED_VALUE"""),1292.5)</f>
        <v>1292.5</v>
      </c>
      <c r="J2586" s="25">
        <f>IFERROR(__xludf.DUMMYFUNCTION("""COMPUTED_VALUE"""),1294.38)</f>
        <v>1294.38</v>
      </c>
      <c r="K2586" s="25">
        <f>IFERROR(__xludf.DUMMYFUNCTION("""COMPUTED_VALUE"""),1270.0)</f>
        <v>1270</v>
      </c>
      <c r="L2586" s="25">
        <f>IFERROR(__xludf.DUMMYFUNCTION("""COMPUTED_VALUE"""),1275.47)</f>
        <v>1275.47</v>
      </c>
      <c r="M2586" s="25">
        <f>IFERROR(__xludf.DUMMYFUNCTION("""COMPUTED_VALUE"""),774976.0)</f>
        <v>774976</v>
      </c>
    </row>
    <row r="2587">
      <c r="A2587" s="26">
        <f>IFERROR(__xludf.DUMMYFUNCTION("""COMPUTED_VALUE"""),42186.64583333333)</f>
        <v>42186.64583</v>
      </c>
      <c r="B2587" s="9">
        <f>IFERROR(__xludf.DUMMYFUNCTION("""COMPUTED_VALUE"""),494.5)</f>
        <v>494.5</v>
      </c>
      <c r="C2587" s="9">
        <f>IFERROR(__xludf.DUMMYFUNCTION("""COMPUTED_VALUE"""),502.5)</f>
        <v>502.5</v>
      </c>
      <c r="D2587" s="9">
        <f>IFERROR(__xludf.DUMMYFUNCTION("""COMPUTED_VALUE"""),493.0)</f>
        <v>493</v>
      </c>
      <c r="E2587" s="9">
        <f>IFERROR(__xludf.DUMMYFUNCTION("""COMPUTED_VALUE"""),498.7)</f>
        <v>498.7</v>
      </c>
      <c r="F2587" s="9">
        <f>IFERROR(__xludf.DUMMYFUNCTION("""COMPUTED_VALUE"""),3440426.0)</f>
        <v>3440426</v>
      </c>
      <c r="H2587" s="27">
        <f>IFERROR(__xludf.DUMMYFUNCTION("""COMPUTED_VALUE"""),42186.64583333333)</f>
        <v>42186.64583</v>
      </c>
      <c r="I2587" s="25">
        <f>IFERROR(__xludf.DUMMYFUNCTION("""COMPUTED_VALUE"""),1281.95)</f>
        <v>1281.95</v>
      </c>
      <c r="J2587" s="25">
        <f>IFERROR(__xludf.DUMMYFUNCTION("""COMPUTED_VALUE"""),1304.0)</f>
        <v>1304</v>
      </c>
      <c r="K2587" s="25">
        <f>IFERROR(__xludf.DUMMYFUNCTION("""COMPUTED_VALUE"""),1278.38)</f>
        <v>1278.38</v>
      </c>
      <c r="L2587" s="25">
        <f>IFERROR(__xludf.DUMMYFUNCTION("""COMPUTED_VALUE"""),1296.55)</f>
        <v>1296.55</v>
      </c>
      <c r="M2587" s="25">
        <f>IFERROR(__xludf.DUMMYFUNCTION("""COMPUTED_VALUE"""),639854.0)</f>
        <v>639854</v>
      </c>
    </row>
    <row r="2588">
      <c r="A2588" s="26">
        <f>IFERROR(__xludf.DUMMYFUNCTION("""COMPUTED_VALUE"""),42187.64583333333)</f>
        <v>42187.64583</v>
      </c>
      <c r="B2588" s="9">
        <f>IFERROR(__xludf.DUMMYFUNCTION("""COMPUTED_VALUE"""),499.5)</f>
        <v>499.5</v>
      </c>
      <c r="C2588" s="9">
        <f>IFERROR(__xludf.DUMMYFUNCTION("""COMPUTED_VALUE"""),500.7)</f>
        <v>500.7</v>
      </c>
      <c r="D2588" s="9">
        <f>IFERROR(__xludf.DUMMYFUNCTION("""COMPUTED_VALUE"""),492.53)</f>
        <v>492.53</v>
      </c>
      <c r="E2588" s="9">
        <f>IFERROR(__xludf.DUMMYFUNCTION("""COMPUTED_VALUE"""),494.0)</f>
        <v>494</v>
      </c>
      <c r="F2588" s="9">
        <f>IFERROR(__xludf.DUMMYFUNCTION("""COMPUTED_VALUE"""),2003784.0)</f>
        <v>2003784</v>
      </c>
      <c r="H2588" s="27">
        <f>IFERROR(__xludf.DUMMYFUNCTION("""COMPUTED_VALUE"""),42187.64583333333)</f>
        <v>42187.64583</v>
      </c>
      <c r="I2588" s="25">
        <f>IFERROR(__xludf.DUMMYFUNCTION("""COMPUTED_VALUE"""),1300.0)</f>
        <v>1300</v>
      </c>
      <c r="J2588" s="25">
        <f>IFERROR(__xludf.DUMMYFUNCTION("""COMPUTED_VALUE"""),1301.47)</f>
        <v>1301.47</v>
      </c>
      <c r="K2588" s="25">
        <f>IFERROR(__xludf.DUMMYFUNCTION("""COMPUTED_VALUE"""),1285.53)</f>
        <v>1285.53</v>
      </c>
      <c r="L2588" s="25">
        <f>IFERROR(__xludf.DUMMYFUNCTION("""COMPUTED_VALUE"""),1288.88)</f>
        <v>1288.88</v>
      </c>
      <c r="M2588" s="25">
        <f>IFERROR(__xludf.DUMMYFUNCTION("""COMPUTED_VALUE"""),722940.0)</f>
        <v>722940</v>
      </c>
    </row>
    <row r="2589">
      <c r="A2589" s="26">
        <f>IFERROR(__xludf.DUMMYFUNCTION("""COMPUTED_VALUE"""),42188.64583333333)</f>
        <v>42188.64583</v>
      </c>
      <c r="B2589" s="9">
        <f>IFERROR(__xludf.DUMMYFUNCTION("""COMPUTED_VALUE"""),494.0)</f>
        <v>494</v>
      </c>
      <c r="C2589" s="9">
        <f>IFERROR(__xludf.DUMMYFUNCTION("""COMPUTED_VALUE"""),496.5)</f>
        <v>496.5</v>
      </c>
      <c r="D2589" s="9">
        <f>IFERROR(__xludf.DUMMYFUNCTION("""COMPUTED_VALUE"""),491.0)</f>
        <v>491</v>
      </c>
      <c r="E2589" s="9">
        <f>IFERROR(__xludf.DUMMYFUNCTION("""COMPUTED_VALUE"""),495.15)</f>
        <v>495.15</v>
      </c>
      <c r="F2589" s="9">
        <f>IFERROR(__xludf.DUMMYFUNCTION("""COMPUTED_VALUE"""),1347653.0)</f>
        <v>1347653</v>
      </c>
      <c r="H2589" s="27">
        <f>IFERROR(__xludf.DUMMYFUNCTION("""COMPUTED_VALUE"""),42188.64583333333)</f>
        <v>42188.64583</v>
      </c>
      <c r="I2589" s="25">
        <f>IFERROR(__xludf.DUMMYFUNCTION("""COMPUTED_VALUE"""),1286.53)</f>
        <v>1286.53</v>
      </c>
      <c r="J2589" s="25">
        <f>IFERROR(__xludf.DUMMYFUNCTION("""COMPUTED_VALUE"""),1305.0)</f>
        <v>1305</v>
      </c>
      <c r="K2589" s="25">
        <f>IFERROR(__xludf.DUMMYFUNCTION("""COMPUTED_VALUE"""),1285.0)</f>
        <v>1285</v>
      </c>
      <c r="L2589" s="25">
        <f>IFERROR(__xludf.DUMMYFUNCTION("""COMPUTED_VALUE"""),1301.95)</f>
        <v>1301.95</v>
      </c>
      <c r="M2589" s="25">
        <f>IFERROR(__xludf.DUMMYFUNCTION("""COMPUTED_VALUE"""),481735.0)</f>
        <v>481735</v>
      </c>
    </row>
    <row r="2590">
      <c r="A2590" s="26">
        <f>IFERROR(__xludf.DUMMYFUNCTION("""COMPUTED_VALUE"""),42191.64583333333)</f>
        <v>42191.64583</v>
      </c>
      <c r="B2590" s="9">
        <f>IFERROR(__xludf.DUMMYFUNCTION("""COMPUTED_VALUE"""),492.5)</f>
        <v>492.5</v>
      </c>
      <c r="C2590" s="9">
        <f>IFERROR(__xludf.DUMMYFUNCTION("""COMPUTED_VALUE"""),494.0)</f>
        <v>494</v>
      </c>
      <c r="D2590" s="9">
        <f>IFERROR(__xludf.DUMMYFUNCTION("""COMPUTED_VALUE"""),487.5)</f>
        <v>487.5</v>
      </c>
      <c r="E2590" s="9">
        <f>IFERROR(__xludf.DUMMYFUNCTION("""COMPUTED_VALUE"""),491.65)</f>
        <v>491.65</v>
      </c>
      <c r="F2590" s="9">
        <f>IFERROR(__xludf.DUMMYFUNCTION("""COMPUTED_VALUE"""),2152801.0)</f>
        <v>2152801</v>
      </c>
      <c r="H2590" s="27">
        <f>IFERROR(__xludf.DUMMYFUNCTION("""COMPUTED_VALUE"""),42191.64583333333)</f>
        <v>42191.64583</v>
      </c>
      <c r="I2590" s="25">
        <f>IFERROR(__xludf.DUMMYFUNCTION("""COMPUTED_VALUE"""),1290.15)</f>
        <v>1290.15</v>
      </c>
      <c r="J2590" s="25">
        <f>IFERROR(__xludf.DUMMYFUNCTION("""COMPUTED_VALUE"""),1322.5)</f>
        <v>1322.5</v>
      </c>
      <c r="K2590" s="25">
        <f>IFERROR(__xludf.DUMMYFUNCTION("""COMPUTED_VALUE"""),1290.15)</f>
        <v>1290.15</v>
      </c>
      <c r="L2590" s="25">
        <f>IFERROR(__xludf.DUMMYFUNCTION("""COMPUTED_VALUE"""),1316.65)</f>
        <v>1316.65</v>
      </c>
      <c r="M2590" s="25">
        <f>IFERROR(__xludf.DUMMYFUNCTION("""COMPUTED_VALUE"""),591169.0)</f>
        <v>591169</v>
      </c>
    </row>
    <row r="2591">
      <c r="A2591" s="26">
        <f>IFERROR(__xludf.DUMMYFUNCTION("""COMPUTED_VALUE"""),42192.64583333333)</f>
        <v>42192.64583</v>
      </c>
      <c r="B2591" s="9">
        <f>IFERROR(__xludf.DUMMYFUNCTION("""COMPUTED_VALUE"""),492.5)</f>
        <v>492.5</v>
      </c>
      <c r="C2591" s="9">
        <f>IFERROR(__xludf.DUMMYFUNCTION("""COMPUTED_VALUE"""),495.0)</f>
        <v>495</v>
      </c>
      <c r="D2591" s="9">
        <f>IFERROR(__xludf.DUMMYFUNCTION("""COMPUTED_VALUE"""),489.5)</f>
        <v>489.5</v>
      </c>
      <c r="E2591" s="9">
        <f>IFERROR(__xludf.DUMMYFUNCTION("""COMPUTED_VALUE"""),490.25)</f>
        <v>490.25</v>
      </c>
      <c r="F2591" s="9">
        <f>IFERROR(__xludf.DUMMYFUNCTION("""COMPUTED_VALUE"""),1748709.0)</f>
        <v>1748709</v>
      </c>
      <c r="H2591" s="27">
        <f>IFERROR(__xludf.DUMMYFUNCTION("""COMPUTED_VALUE"""),42192.64583333333)</f>
        <v>42192.64583</v>
      </c>
      <c r="I2591" s="25">
        <f>IFERROR(__xludf.DUMMYFUNCTION("""COMPUTED_VALUE"""),1316.38)</f>
        <v>1316.38</v>
      </c>
      <c r="J2591" s="25">
        <f>IFERROR(__xludf.DUMMYFUNCTION("""COMPUTED_VALUE"""),1323.45)</f>
        <v>1323.45</v>
      </c>
      <c r="K2591" s="25">
        <f>IFERROR(__xludf.DUMMYFUNCTION("""COMPUTED_VALUE"""),1301.5)</f>
        <v>1301.5</v>
      </c>
      <c r="L2591" s="25">
        <f>IFERROR(__xludf.DUMMYFUNCTION("""COMPUTED_VALUE"""),1308.13)</f>
        <v>1308.13</v>
      </c>
      <c r="M2591" s="25">
        <f>IFERROR(__xludf.DUMMYFUNCTION("""COMPUTED_VALUE"""),821418.0)</f>
        <v>821418</v>
      </c>
    </row>
    <row r="2592">
      <c r="A2592" s="26">
        <f>IFERROR(__xludf.DUMMYFUNCTION("""COMPUTED_VALUE"""),42193.64583333333)</f>
        <v>42193.64583</v>
      </c>
      <c r="B2592" s="9">
        <f>IFERROR(__xludf.DUMMYFUNCTION("""COMPUTED_VALUE"""),489.5)</f>
        <v>489.5</v>
      </c>
      <c r="C2592" s="9">
        <f>IFERROR(__xludf.DUMMYFUNCTION("""COMPUTED_VALUE"""),489.5)</f>
        <v>489.5</v>
      </c>
      <c r="D2592" s="9">
        <f>IFERROR(__xludf.DUMMYFUNCTION("""COMPUTED_VALUE"""),477.4)</f>
        <v>477.4</v>
      </c>
      <c r="E2592" s="9">
        <f>IFERROR(__xludf.DUMMYFUNCTION("""COMPUTED_VALUE"""),478.75)</f>
        <v>478.75</v>
      </c>
      <c r="F2592" s="9">
        <f>IFERROR(__xludf.DUMMYFUNCTION("""COMPUTED_VALUE"""),3512089.0)</f>
        <v>3512089</v>
      </c>
      <c r="H2592" s="27">
        <f>IFERROR(__xludf.DUMMYFUNCTION("""COMPUTED_VALUE"""),42193.64583333333)</f>
        <v>42193.64583</v>
      </c>
      <c r="I2592" s="25">
        <f>IFERROR(__xludf.DUMMYFUNCTION("""COMPUTED_VALUE"""),1298.97)</f>
        <v>1298.97</v>
      </c>
      <c r="J2592" s="25">
        <f>IFERROR(__xludf.DUMMYFUNCTION("""COMPUTED_VALUE"""),1310.85)</f>
        <v>1310.85</v>
      </c>
      <c r="K2592" s="25">
        <f>IFERROR(__xludf.DUMMYFUNCTION("""COMPUTED_VALUE"""),1290.25)</f>
        <v>1290.25</v>
      </c>
      <c r="L2592" s="25">
        <f>IFERROR(__xludf.DUMMYFUNCTION("""COMPUTED_VALUE"""),1297.55)</f>
        <v>1297.55</v>
      </c>
      <c r="M2592" s="25">
        <f>IFERROR(__xludf.DUMMYFUNCTION("""COMPUTED_VALUE"""),1333925.0)</f>
        <v>1333925</v>
      </c>
    </row>
    <row r="2593">
      <c r="A2593" s="26">
        <f>IFERROR(__xludf.DUMMYFUNCTION("""COMPUTED_VALUE"""),42194.64583333333)</f>
        <v>42194.64583</v>
      </c>
      <c r="B2593" s="9">
        <f>IFERROR(__xludf.DUMMYFUNCTION("""COMPUTED_VALUE"""),478.75)</f>
        <v>478.75</v>
      </c>
      <c r="C2593" s="9">
        <f>IFERROR(__xludf.DUMMYFUNCTION("""COMPUTED_VALUE"""),483.0)</f>
        <v>483</v>
      </c>
      <c r="D2593" s="9">
        <f>IFERROR(__xludf.DUMMYFUNCTION("""COMPUTED_VALUE"""),467.03)</f>
        <v>467.03</v>
      </c>
      <c r="E2593" s="9">
        <f>IFERROR(__xludf.DUMMYFUNCTION("""COMPUTED_VALUE"""),469.0)</f>
        <v>469</v>
      </c>
      <c r="F2593" s="9">
        <f>IFERROR(__xludf.DUMMYFUNCTION("""COMPUTED_VALUE"""),4293886.0)</f>
        <v>4293886</v>
      </c>
      <c r="H2593" s="27">
        <f>IFERROR(__xludf.DUMMYFUNCTION("""COMPUTED_VALUE"""),42194.64583333333)</f>
        <v>42194.64583</v>
      </c>
      <c r="I2593" s="25">
        <f>IFERROR(__xludf.DUMMYFUNCTION("""COMPUTED_VALUE"""),1297.5)</f>
        <v>1297.5</v>
      </c>
      <c r="J2593" s="25">
        <f>IFERROR(__xludf.DUMMYFUNCTION("""COMPUTED_VALUE"""),1299.13)</f>
        <v>1299.13</v>
      </c>
      <c r="K2593" s="25">
        <f>IFERROR(__xludf.DUMMYFUNCTION("""COMPUTED_VALUE"""),1253.33)</f>
        <v>1253.33</v>
      </c>
      <c r="L2593" s="25">
        <f>IFERROR(__xludf.DUMMYFUNCTION("""COMPUTED_VALUE"""),1261.25)</f>
        <v>1261.25</v>
      </c>
      <c r="M2593" s="25">
        <f>IFERROR(__xludf.DUMMYFUNCTION("""COMPUTED_VALUE"""),1967061.0)</f>
        <v>1967061</v>
      </c>
    </row>
    <row r="2594">
      <c r="A2594" s="26">
        <f>IFERROR(__xludf.DUMMYFUNCTION("""COMPUTED_VALUE"""),42195.64583333333)</f>
        <v>42195.64583</v>
      </c>
      <c r="B2594" s="9">
        <f>IFERROR(__xludf.DUMMYFUNCTION("""COMPUTED_VALUE"""),474.05)</f>
        <v>474.05</v>
      </c>
      <c r="C2594" s="9">
        <f>IFERROR(__xludf.DUMMYFUNCTION("""COMPUTED_VALUE"""),476.05)</f>
        <v>476.05</v>
      </c>
      <c r="D2594" s="9">
        <f>IFERROR(__xludf.DUMMYFUNCTION("""COMPUTED_VALUE"""),466.33)</f>
        <v>466.33</v>
      </c>
      <c r="E2594" s="9">
        <f>IFERROR(__xludf.DUMMYFUNCTION("""COMPUTED_VALUE"""),468.75)</f>
        <v>468.75</v>
      </c>
      <c r="F2594" s="9">
        <f>IFERROR(__xludf.DUMMYFUNCTION("""COMPUTED_VALUE"""),3705761.0)</f>
        <v>3705761</v>
      </c>
      <c r="H2594" s="27">
        <f>IFERROR(__xludf.DUMMYFUNCTION("""COMPUTED_VALUE"""),42195.64583333333)</f>
        <v>42195.64583</v>
      </c>
      <c r="I2594" s="25">
        <f>IFERROR(__xludf.DUMMYFUNCTION("""COMPUTED_VALUE"""),1279.5)</f>
        <v>1279.5</v>
      </c>
      <c r="J2594" s="25">
        <f>IFERROR(__xludf.DUMMYFUNCTION("""COMPUTED_VALUE"""),1279.5)</f>
        <v>1279.5</v>
      </c>
      <c r="K2594" s="25">
        <f>IFERROR(__xludf.DUMMYFUNCTION("""COMPUTED_VALUE"""),1227.5)</f>
        <v>1227.5</v>
      </c>
      <c r="L2594" s="25">
        <f>IFERROR(__xludf.DUMMYFUNCTION("""COMPUTED_VALUE"""),1237.18)</f>
        <v>1237.18</v>
      </c>
      <c r="M2594" s="25">
        <f>IFERROR(__xludf.DUMMYFUNCTION("""COMPUTED_VALUE"""),4131827.0)</f>
        <v>4131827</v>
      </c>
    </row>
    <row r="2595">
      <c r="A2595" s="26">
        <f>IFERROR(__xludf.DUMMYFUNCTION("""COMPUTED_VALUE"""),42198.64583333333)</f>
        <v>42198.64583</v>
      </c>
      <c r="B2595" s="9">
        <f>IFERROR(__xludf.DUMMYFUNCTION("""COMPUTED_VALUE"""),470.5)</f>
        <v>470.5</v>
      </c>
      <c r="C2595" s="9">
        <f>IFERROR(__xludf.DUMMYFUNCTION("""COMPUTED_VALUE"""),477.5)</f>
        <v>477.5</v>
      </c>
      <c r="D2595" s="9">
        <f>IFERROR(__xludf.DUMMYFUNCTION("""COMPUTED_VALUE"""),467.03)</f>
        <v>467.03</v>
      </c>
      <c r="E2595" s="9">
        <f>IFERROR(__xludf.DUMMYFUNCTION("""COMPUTED_VALUE"""),475.08)</f>
        <v>475.08</v>
      </c>
      <c r="F2595" s="9">
        <f>IFERROR(__xludf.DUMMYFUNCTION("""COMPUTED_VALUE"""),3265884.0)</f>
        <v>3265884</v>
      </c>
      <c r="H2595" s="27">
        <f>IFERROR(__xludf.DUMMYFUNCTION("""COMPUTED_VALUE"""),42198.64583333333)</f>
        <v>42198.64583</v>
      </c>
      <c r="I2595" s="25">
        <f>IFERROR(__xludf.DUMMYFUNCTION("""COMPUTED_VALUE"""),1237.7)</f>
        <v>1237.7</v>
      </c>
      <c r="J2595" s="25">
        <f>IFERROR(__xludf.DUMMYFUNCTION("""COMPUTED_VALUE"""),1259.3)</f>
        <v>1259.3</v>
      </c>
      <c r="K2595" s="25">
        <f>IFERROR(__xludf.DUMMYFUNCTION("""COMPUTED_VALUE"""),1237.7)</f>
        <v>1237.7</v>
      </c>
      <c r="L2595" s="25">
        <f>IFERROR(__xludf.DUMMYFUNCTION("""COMPUTED_VALUE"""),1254.78)</f>
        <v>1254.78</v>
      </c>
      <c r="M2595" s="25">
        <f>IFERROR(__xludf.DUMMYFUNCTION("""COMPUTED_VALUE"""),1140154.0)</f>
        <v>1140154</v>
      </c>
    </row>
    <row r="2596">
      <c r="A2596" s="26">
        <f>IFERROR(__xludf.DUMMYFUNCTION("""COMPUTED_VALUE"""),42199.64583333333)</f>
        <v>42199.64583</v>
      </c>
      <c r="B2596" s="9">
        <f>IFERROR(__xludf.DUMMYFUNCTION("""COMPUTED_VALUE"""),477.5)</f>
        <v>477.5</v>
      </c>
      <c r="C2596" s="9">
        <f>IFERROR(__xludf.DUMMYFUNCTION("""COMPUTED_VALUE"""),486.75)</f>
        <v>486.75</v>
      </c>
      <c r="D2596" s="9">
        <f>IFERROR(__xludf.DUMMYFUNCTION("""COMPUTED_VALUE"""),472.75)</f>
        <v>472.75</v>
      </c>
      <c r="E2596" s="9">
        <f>IFERROR(__xludf.DUMMYFUNCTION("""COMPUTED_VALUE"""),485.63)</f>
        <v>485.63</v>
      </c>
      <c r="F2596" s="9">
        <f>IFERROR(__xludf.DUMMYFUNCTION("""COMPUTED_VALUE"""),2683537.0)</f>
        <v>2683537</v>
      </c>
      <c r="H2596" s="27">
        <f>IFERROR(__xludf.DUMMYFUNCTION("""COMPUTED_VALUE"""),42199.64583333333)</f>
        <v>42199.64583</v>
      </c>
      <c r="I2596" s="25">
        <f>IFERROR(__xludf.DUMMYFUNCTION("""COMPUTED_VALUE"""),1255.5)</f>
        <v>1255.5</v>
      </c>
      <c r="J2596" s="25">
        <f>IFERROR(__xludf.DUMMYFUNCTION("""COMPUTED_VALUE"""),1257.5)</f>
        <v>1257.5</v>
      </c>
      <c r="K2596" s="25">
        <f>IFERROR(__xludf.DUMMYFUNCTION("""COMPUTED_VALUE"""),1245.0)</f>
        <v>1245</v>
      </c>
      <c r="L2596" s="25">
        <f>IFERROR(__xludf.DUMMYFUNCTION("""COMPUTED_VALUE"""),1249.75)</f>
        <v>1249.75</v>
      </c>
      <c r="M2596" s="25">
        <f>IFERROR(__xludf.DUMMYFUNCTION("""COMPUTED_VALUE"""),851637.0)</f>
        <v>851637</v>
      </c>
    </row>
    <row r="2597">
      <c r="A2597" s="26">
        <f>IFERROR(__xludf.DUMMYFUNCTION("""COMPUTED_VALUE"""),42200.64583333333)</f>
        <v>42200.64583</v>
      </c>
      <c r="B2597" s="9">
        <f>IFERROR(__xludf.DUMMYFUNCTION("""COMPUTED_VALUE"""),485.0)</f>
        <v>485</v>
      </c>
      <c r="C2597" s="9">
        <f>IFERROR(__xludf.DUMMYFUNCTION("""COMPUTED_VALUE"""),492.98)</f>
        <v>492.98</v>
      </c>
      <c r="D2597" s="9">
        <f>IFERROR(__xludf.DUMMYFUNCTION("""COMPUTED_VALUE"""),484.0)</f>
        <v>484</v>
      </c>
      <c r="E2597" s="9">
        <f>IFERROR(__xludf.DUMMYFUNCTION("""COMPUTED_VALUE"""),492.0)</f>
        <v>492</v>
      </c>
      <c r="F2597" s="9">
        <f>IFERROR(__xludf.DUMMYFUNCTION("""COMPUTED_VALUE"""),2064783.0)</f>
        <v>2064783</v>
      </c>
      <c r="H2597" s="27">
        <f>IFERROR(__xludf.DUMMYFUNCTION("""COMPUTED_VALUE"""),42200.64583333333)</f>
        <v>42200.64583</v>
      </c>
      <c r="I2597" s="25">
        <f>IFERROR(__xludf.DUMMYFUNCTION("""COMPUTED_VALUE"""),1250.5)</f>
        <v>1250.5</v>
      </c>
      <c r="J2597" s="25">
        <f>IFERROR(__xludf.DUMMYFUNCTION("""COMPUTED_VALUE"""),1274.97)</f>
        <v>1274.97</v>
      </c>
      <c r="K2597" s="25">
        <f>IFERROR(__xludf.DUMMYFUNCTION("""COMPUTED_VALUE"""),1250.0)</f>
        <v>1250</v>
      </c>
      <c r="L2597" s="25">
        <f>IFERROR(__xludf.DUMMYFUNCTION("""COMPUTED_VALUE"""),1272.88)</f>
        <v>1272.88</v>
      </c>
      <c r="M2597" s="25">
        <f>IFERROR(__xludf.DUMMYFUNCTION("""COMPUTED_VALUE"""),1001830.0)</f>
        <v>1001830</v>
      </c>
    </row>
    <row r="2598">
      <c r="A2598" s="26">
        <f>IFERROR(__xludf.DUMMYFUNCTION("""COMPUTED_VALUE"""),42201.64583333333)</f>
        <v>42201.64583</v>
      </c>
      <c r="B2598" s="9">
        <f>IFERROR(__xludf.DUMMYFUNCTION("""COMPUTED_VALUE"""),493.85)</f>
        <v>493.85</v>
      </c>
      <c r="C2598" s="9">
        <f>IFERROR(__xludf.DUMMYFUNCTION("""COMPUTED_VALUE"""),495.75)</f>
        <v>495.75</v>
      </c>
      <c r="D2598" s="9">
        <f>IFERROR(__xludf.DUMMYFUNCTION("""COMPUTED_VALUE"""),489.75)</f>
        <v>489.75</v>
      </c>
      <c r="E2598" s="9">
        <f>IFERROR(__xludf.DUMMYFUNCTION("""COMPUTED_VALUE"""),494.53)</f>
        <v>494.53</v>
      </c>
      <c r="F2598" s="9">
        <f>IFERROR(__xludf.DUMMYFUNCTION("""COMPUTED_VALUE"""),1736469.0)</f>
        <v>1736469</v>
      </c>
      <c r="H2598" s="27">
        <f>IFERROR(__xludf.DUMMYFUNCTION("""COMPUTED_VALUE"""),42201.64583333333)</f>
        <v>42201.64583</v>
      </c>
      <c r="I2598" s="25">
        <f>IFERROR(__xludf.DUMMYFUNCTION("""COMPUTED_VALUE"""),1271.85)</f>
        <v>1271.85</v>
      </c>
      <c r="J2598" s="25">
        <f>IFERROR(__xludf.DUMMYFUNCTION("""COMPUTED_VALUE"""),1279.43)</f>
        <v>1279.43</v>
      </c>
      <c r="K2598" s="25">
        <f>IFERROR(__xludf.DUMMYFUNCTION("""COMPUTED_VALUE"""),1263.3)</f>
        <v>1263.3</v>
      </c>
      <c r="L2598" s="25">
        <f>IFERROR(__xludf.DUMMYFUNCTION("""COMPUTED_VALUE"""),1270.1)</f>
        <v>1270.1</v>
      </c>
      <c r="M2598" s="25">
        <f>IFERROR(__xludf.DUMMYFUNCTION("""COMPUTED_VALUE"""),728304.0)</f>
        <v>728304</v>
      </c>
    </row>
    <row r="2599">
      <c r="A2599" s="26">
        <f>IFERROR(__xludf.DUMMYFUNCTION("""COMPUTED_VALUE"""),42202.64583333333)</f>
        <v>42202.64583</v>
      </c>
      <c r="B2599" s="9">
        <f>IFERROR(__xludf.DUMMYFUNCTION("""COMPUTED_VALUE"""),495.5)</f>
        <v>495.5</v>
      </c>
      <c r="C2599" s="9">
        <f>IFERROR(__xludf.DUMMYFUNCTION("""COMPUTED_VALUE"""),502.25)</f>
        <v>502.25</v>
      </c>
      <c r="D2599" s="9">
        <f>IFERROR(__xludf.DUMMYFUNCTION("""COMPUTED_VALUE"""),494.55)</f>
        <v>494.55</v>
      </c>
      <c r="E2599" s="9">
        <f>IFERROR(__xludf.DUMMYFUNCTION("""COMPUTED_VALUE"""),500.93)</f>
        <v>500.93</v>
      </c>
      <c r="F2599" s="9">
        <f>IFERROR(__xludf.DUMMYFUNCTION("""COMPUTED_VALUE"""),1723989.0)</f>
        <v>1723989</v>
      </c>
      <c r="H2599" s="27">
        <f>IFERROR(__xludf.DUMMYFUNCTION("""COMPUTED_VALUE"""),42202.64583333333)</f>
        <v>42202.64583</v>
      </c>
      <c r="I2599" s="25">
        <f>IFERROR(__xludf.DUMMYFUNCTION("""COMPUTED_VALUE"""),1273.4)</f>
        <v>1273.4</v>
      </c>
      <c r="J2599" s="25">
        <f>IFERROR(__xludf.DUMMYFUNCTION("""COMPUTED_VALUE"""),1285.05)</f>
        <v>1285.05</v>
      </c>
      <c r="K2599" s="25">
        <f>IFERROR(__xludf.DUMMYFUNCTION("""COMPUTED_VALUE"""),1271.65)</f>
        <v>1271.65</v>
      </c>
      <c r="L2599" s="25">
        <f>IFERROR(__xludf.DUMMYFUNCTION("""COMPUTED_VALUE"""),1282.2)</f>
        <v>1282.2</v>
      </c>
      <c r="M2599" s="25">
        <f>IFERROR(__xludf.DUMMYFUNCTION("""COMPUTED_VALUE"""),535263.0)</f>
        <v>535263</v>
      </c>
    </row>
    <row r="2600">
      <c r="A2600" s="26">
        <f>IFERROR(__xludf.DUMMYFUNCTION("""COMPUTED_VALUE"""),42205.64583333333)</f>
        <v>42205.64583</v>
      </c>
      <c r="B2600" s="9">
        <f>IFERROR(__xludf.DUMMYFUNCTION("""COMPUTED_VALUE"""),500.7)</f>
        <v>500.7</v>
      </c>
      <c r="C2600" s="9">
        <f>IFERROR(__xludf.DUMMYFUNCTION("""COMPUTED_VALUE"""),505.4)</f>
        <v>505.4</v>
      </c>
      <c r="D2600" s="9">
        <f>IFERROR(__xludf.DUMMYFUNCTION("""COMPUTED_VALUE"""),493.7)</f>
        <v>493.7</v>
      </c>
      <c r="E2600" s="9">
        <f>IFERROR(__xludf.DUMMYFUNCTION("""COMPUTED_VALUE"""),500.63)</f>
        <v>500.63</v>
      </c>
      <c r="F2600" s="9">
        <f>IFERROR(__xludf.DUMMYFUNCTION("""COMPUTED_VALUE"""),2188590.0)</f>
        <v>2188590</v>
      </c>
      <c r="H2600" s="27">
        <f>IFERROR(__xludf.DUMMYFUNCTION("""COMPUTED_VALUE"""),42205.64583333333)</f>
        <v>42205.64583</v>
      </c>
      <c r="I2600" s="25">
        <f>IFERROR(__xludf.DUMMYFUNCTION("""COMPUTED_VALUE"""),1282.0)</f>
        <v>1282</v>
      </c>
      <c r="J2600" s="25">
        <f>IFERROR(__xludf.DUMMYFUNCTION("""COMPUTED_VALUE"""),1291.95)</f>
        <v>1291.95</v>
      </c>
      <c r="K2600" s="25">
        <f>IFERROR(__xludf.DUMMYFUNCTION("""COMPUTED_VALUE"""),1275.95)</f>
        <v>1275.95</v>
      </c>
      <c r="L2600" s="25">
        <f>IFERROR(__xludf.DUMMYFUNCTION("""COMPUTED_VALUE"""),1289.58)</f>
        <v>1289.58</v>
      </c>
      <c r="M2600" s="25">
        <f>IFERROR(__xludf.DUMMYFUNCTION("""COMPUTED_VALUE"""),426893.0)</f>
        <v>426893</v>
      </c>
    </row>
    <row r="2601">
      <c r="A2601" s="26">
        <f>IFERROR(__xludf.DUMMYFUNCTION("""COMPUTED_VALUE"""),42206.64583333333)</f>
        <v>42206.64583</v>
      </c>
      <c r="B2601" s="9">
        <f>IFERROR(__xludf.DUMMYFUNCTION("""COMPUTED_VALUE"""),517.5)</f>
        <v>517.5</v>
      </c>
      <c r="C2601" s="9">
        <f>IFERROR(__xludf.DUMMYFUNCTION("""COMPUTED_VALUE"""),574.5)</f>
        <v>574.5</v>
      </c>
      <c r="D2601" s="9">
        <f>IFERROR(__xludf.DUMMYFUNCTION("""COMPUTED_VALUE"""),517.5)</f>
        <v>517.5</v>
      </c>
      <c r="E2601" s="9">
        <f>IFERROR(__xludf.DUMMYFUNCTION("""COMPUTED_VALUE"""),556.33)</f>
        <v>556.33</v>
      </c>
      <c r="F2601" s="9">
        <f>IFERROR(__xludf.DUMMYFUNCTION("""COMPUTED_VALUE"""),1.9155056E7)</f>
        <v>19155056</v>
      </c>
      <c r="H2601" s="27">
        <f>IFERROR(__xludf.DUMMYFUNCTION("""COMPUTED_VALUE"""),42206.64583333333)</f>
        <v>42206.64583</v>
      </c>
      <c r="I2601" s="25">
        <f>IFERROR(__xludf.DUMMYFUNCTION("""COMPUTED_VALUE"""),1288.0)</f>
        <v>1288</v>
      </c>
      <c r="J2601" s="25">
        <f>IFERROR(__xludf.DUMMYFUNCTION("""COMPUTED_VALUE"""),1300.18)</f>
        <v>1300.18</v>
      </c>
      <c r="K2601" s="25">
        <f>IFERROR(__xludf.DUMMYFUNCTION("""COMPUTED_VALUE"""),1277.55)</f>
        <v>1277.55</v>
      </c>
      <c r="L2601" s="25">
        <f>IFERROR(__xludf.DUMMYFUNCTION("""COMPUTED_VALUE"""),1280.7)</f>
        <v>1280.7</v>
      </c>
      <c r="M2601" s="25">
        <f>IFERROR(__xludf.DUMMYFUNCTION("""COMPUTED_VALUE"""),637250.0)</f>
        <v>637250</v>
      </c>
    </row>
    <row r="2602">
      <c r="A2602" s="26">
        <f>IFERROR(__xludf.DUMMYFUNCTION("""COMPUTED_VALUE"""),42207.64583333333)</f>
        <v>42207.64583</v>
      </c>
      <c r="B2602" s="9">
        <f>IFERROR(__xludf.DUMMYFUNCTION("""COMPUTED_VALUE"""),552.5)</f>
        <v>552.5</v>
      </c>
      <c r="C2602" s="9">
        <f>IFERROR(__xludf.DUMMYFUNCTION("""COMPUTED_VALUE"""),556.0)</f>
        <v>556</v>
      </c>
      <c r="D2602" s="9">
        <f>IFERROR(__xludf.DUMMYFUNCTION("""COMPUTED_VALUE"""),538.33)</f>
        <v>538.33</v>
      </c>
      <c r="E2602" s="9">
        <f>IFERROR(__xludf.DUMMYFUNCTION("""COMPUTED_VALUE"""),551.58)</f>
        <v>551.58</v>
      </c>
      <c r="F2602" s="9">
        <f>IFERROR(__xludf.DUMMYFUNCTION("""COMPUTED_VALUE"""),6332830.0)</f>
        <v>6332830</v>
      </c>
      <c r="H2602" s="27">
        <f>IFERROR(__xludf.DUMMYFUNCTION("""COMPUTED_VALUE"""),42207.64583333333)</f>
        <v>42207.64583</v>
      </c>
      <c r="I2602" s="25">
        <f>IFERROR(__xludf.DUMMYFUNCTION("""COMPUTED_VALUE"""),1280.5)</f>
        <v>1280.5</v>
      </c>
      <c r="J2602" s="25">
        <f>IFERROR(__xludf.DUMMYFUNCTION("""COMPUTED_VALUE"""),1284.5)</f>
        <v>1284.5</v>
      </c>
      <c r="K2602" s="25">
        <f>IFERROR(__xludf.DUMMYFUNCTION("""COMPUTED_VALUE"""),1260.53)</f>
        <v>1260.53</v>
      </c>
      <c r="L2602" s="25">
        <f>IFERROR(__xludf.DUMMYFUNCTION("""COMPUTED_VALUE"""),1264.03)</f>
        <v>1264.03</v>
      </c>
      <c r="M2602" s="25">
        <f>IFERROR(__xludf.DUMMYFUNCTION("""COMPUTED_VALUE"""),660314.0)</f>
        <v>660314</v>
      </c>
    </row>
    <row r="2603">
      <c r="A2603" s="26">
        <f>IFERROR(__xludf.DUMMYFUNCTION("""COMPUTED_VALUE"""),42208.64583333333)</f>
        <v>42208.64583</v>
      </c>
      <c r="B2603" s="9">
        <f>IFERROR(__xludf.DUMMYFUNCTION("""COMPUTED_VALUE"""),551.98)</f>
        <v>551.98</v>
      </c>
      <c r="C2603" s="9">
        <f>IFERROR(__xludf.DUMMYFUNCTION("""COMPUTED_VALUE"""),558.5)</f>
        <v>558.5</v>
      </c>
      <c r="D2603" s="9">
        <f>IFERROR(__xludf.DUMMYFUNCTION("""COMPUTED_VALUE"""),545.0)</f>
        <v>545</v>
      </c>
      <c r="E2603" s="9">
        <f>IFERROR(__xludf.DUMMYFUNCTION("""COMPUTED_VALUE"""),549.0)</f>
        <v>549</v>
      </c>
      <c r="F2603" s="9">
        <f>IFERROR(__xludf.DUMMYFUNCTION("""COMPUTED_VALUE"""),3855374.0)</f>
        <v>3855374</v>
      </c>
      <c r="H2603" s="27">
        <f>IFERROR(__xludf.DUMMYFUNCTION("""COMPUTED_VALUE"""),42208.64583333333)</f>
        <v>42208.64583</v>
      </c>
      <c r="I2603" s="25">
        <f>IFERROR(__xludf.DUMMYFUNCTION("""COMPUTED_VALUE"""),1258.75)</f>
        <v>1258.75</v>
      </c>
      <c r="J2603" s="25">
        <f>IFERROR(__xludf.DUMMYFUNCTION("""COMPUTED_VALUE"""),1268.93)</f>
        <v>1268.93</v>
      </c>
      <c r="K2603" s="25">
        <f>IFERROR(__xludf.DUMMYFUNCTION("""COMPUTED_VALUE"""),1241.5)</f>
        <v>1241.5</v>
      </c>
      <c r="L2603" s="25">
        <f>IFERROR(__xludf.DUMMYFUNCTION("""COMPUTED_VALUE"""),1244.3)</f>
        <v>1244.3</v>
      </c>
      <c r="M2603" s="25">
        <f>IFERROR(__xludf.DUMMYFUNCTION("""COMPUTED_VALUE"""),748390.0)</f>
        <v>748390</v>
      </c>
    </row>
    <row r="2604">
      <c r="A2604" s="26">
        <f>IFERROR(__xludf.DUMMYFUNCTION("""COMPUTED_VALUE"""),42209.64583333333)</f>
        <v>42209.64583</v>
      </c>
      <c r="B2604" s="9">
        <f>IFERROR(__xludf.DUMMYFUNCTION("""COMPUTED_VALUE"""),547.78)</f>
        <v>547.78</v>
      </c>
      <c r="C2604" s="9">
        <f>IFERROR(__xludf.DUMMYFUNCTION("""COMPUTED_VALUE"""),553.23)</f>
        <v>553.23</v>
      </c>
      <c r="D2604" s="9">
        <f>IFERROR(__xludf.DUMMYFUNCTION("""COMPUTED_VALUE"""),541.55)</f>
        <v>541.55</v>
      </c>
      <c r="E2604" s="9">
        <f>IFERROR(__xludf.DUMMYFUNCTION("""COMPUTED_VALUE"""),543.8)</f>
        <v>543.8</v>
      </c>
      <c r="F2604" s="9">
        <f>IFERROR(__xludf.DUMMYFUNCTION("""COMPUTED_VALUE"""),2240151.0)</f>
        <v>2240151</v>
      </c>
      <c r="H2604" s="27">
        <f>IFERROR(__xludf.DUMMYFUNCTION("""COMPUTED_VALUE"""),42209.64583333333)</f>
        <v>42209.64583</v>
      </c>
      <c r="I2604" s="25">
        <f>IFERROR(__xludf.DUMMYFUNCTION("""COMPUTED_VALUE"""),1248.75)</f>
        <v>1248.75</v>
      </c>
      <c r="J2604" s="25">
        <f>IFERROR(__xludf.DUMMYFUNCTION("""COMPUTED_VALUE"""),1258.25)</f>
        <v>1258.25</v>
      </c>
      <c r="K2604" s="25">
        <f>IFERROR(__xludf.DUMMYFUNCTION("""COMPUTED_VALUE"""),1246.05)</f>
        <v>1246.05</v>
      </c>
      <c r="L2604" s="25">
        <f>IFERROR(__xludf.DUMMYFUNCTION("""COMPUTED_VALUE"""),1252.58)</f>
        <v>1252.58</v>
      </c>
      <c r="M2604" s="25">
        <f>IFERROR(__xludf.DUMMYFUNCTION("""COMPUTED_VALUE"""),787486.0)</f>
        <v>787486</v>
      </c>
    </row>
    <row r="2605">
      <c r="A2605" s="26">
        <f>IFERROR(__xludf.DUMMYFUNCTION("""COMPUTED_VALUE"""),42212.64583333333)</f>
        <v>42212.64583</v>
      </c>
      <c r="B2605" s="9">
        <f>IFERROR(__xludf.DUMMYFUNCTION("""COMPUTED_VALUE"""),543.45)</f>
        <v>543.45</v>
      </c>
      <c r="C2605" s="9">
        <f>IFERROR(__xludf.DUMMYFUNCTION("""COMPUTED_VALUE"""),543.98)</f>
        <v>543.98</v>
      </c>
      <c r="D2605" s="9">
        <f>IFERROR(__xludf.DUMMYFUNCTION("""COMPUTED_VALUE"""),530.23)</f>
        <v>530.23</v>
      </c>
      <c r="E2605" s="9">
        <f>IFERROR(__xludf.DUMMYFUNCTION("""COMPUTED_VALUE"""),532.65)</f>
        <v>532.65</v>
      </c>
      <c r="F2605" s="9">
        <f>IFERROR(__xludf.DUMMYFUNCTION("""COMPUTED_VALUE"""),3376122.0)</f>
        <v>3376122</v>
      </c>
      <c r="H2605" s="27">
        <f>IFERROR(__xludf.DUMMYFUNCTION("""COMPUTED_VALUE"""),42212.64583333333)</f>
        <v>42212.64583</v>
      </c>
      <c r="I2605" s="25">
        <f>IFERROR(__xludf.DUMMYFUNCTION("""COMPUTED_VALUE"""),1244.0)</f>
        <v>1244</v>
      </c>
      <c r="J2605" s="25">
        <f>IFERROR(__xludf.DUMMYFUNCTION("""COMPUTED_VALUE"""),1252.5)</f>
        <v>1252.5</v>
      </c>
      <c r="K2605" s="25">
        <f>IFERROR(__xludf.DUMMYFUNCTION("""COMPUTED_VALUE"""),1240.58)</f>
        <v>1240.58</v>
      </c>
      <c r="L2605" s="25">
        <f>IFERROR(__xludf.DUMMYFUNCTION("""COMPUTED_VALUE"""),1248.53)</f>
        <v>1248.53</v>
      </c>
      <c r="M2605" s="25">
        <f>IFERROR(__xludf.DUMMYFUNCTION("""COMPUTED_VALUE"""),1001869.0)</f>
        <v>1001869</v>
      </c>
    </row>
    <row r="2606">
      <c r="A2606" s="26">
        <f>IFERROR(__xludf.DUMMYFUNCTION("""COMPUTED_VALUE"""),42213.64583333333)</f>
        <v>42213.64583</v>
      </c>
      <c r="B2606" s="9">
        <f>IFERROR(__xludf.DUMMYFUNCTION("""COMPUTED_VALUE"""),534.25)</f>
        <v>534.25</v>
      </c>
      <c r="C2606" s="9">
        <f>IFERROR(__xludf.DUMMYFUNCTION("""COMPUTED_VALUE"""),538.0)</f>
        <v>538</v>
      </c>
      <c r="D2606" s="9">
        <f>IFERROR(__xludf.DUMMYFUNCTION("""COMPUTED_VALUE"""),527.13)</f>
        <v>527.13</v>
      </c>
      <c r="E2606" s="9">
        <f>IFERROR(__xludf.DUMMYFUNCTION("""COMPUTED_VALUE"""),531.42)</f>
        <v>531.42</v>
      </c>
      <c r="F2606" s="9">
        <f>IFERROR(__xludf.DUMMYFUNCTION("""COMPUTED_VALUE"""),4238301.0)</f>
        <v>4238301</v>
      </c>
      <c r="H2606" s="27">
        <f>IFERROR(__xludf.DUMMYFUNCTION("""COMPUTED_VALUE"""),42213.64583333333)</f>
        <v>42213.64583</v>
      </c>
      <c r="I2606" s="25">
        <f>IFERROR(__xludf.DUMMYFUNCTION("""COMPUTED_VALUE"""),1249.75)</f>
        <v>1249.75</v>
      </c>
      <c r="J2606" s="25">
        <f>IFERROR(__xludf.DUMMYFUNCTION("""COMPUTED_VALUE"""),1259.5)</f>
        <v>1259.5</v>
      </c>
      <c r="K2606" s="25">
        <f>IFERROR(__xludf.DUMMYFUNCTION("""COMPUTED_VALUE"""),1246.08)</f>
        <v>1246.08</v>
      </c>
      <c r="L2606" s="25">
        <f>IFERROR(__xludf.DUMMYFUNCTION("""COMPUTED_VALUE"""),1251.03)</f>
        <v>1251.03</v>
      </c>
      <c r="M2606" s="25">
        <f>IFERROR(__xludf.DUMMYFUNCTION("""COMPUTED_VALUE"""),945594.0)</f>
        <v>945594</v>
      </c>
    </row>
    <row r="2607">
      <c r="A2607" s="26">
        <f>IFERROR(__xludf.DUMMYFUNCTION("""COMPUTED_VALUE"""),42214.64583333333)</f>
        <v>42214.64583</v>
      </c>
      <c r="B2607" s="9">
        <f>IFERROR(__xludf.DUMMYFUNCTION("""COMPUTED_VALUE"""),537.0)</f>
        <v>537</v>
      </c>
      <c r="C2607" s="9">
        <f>IFERROR(__xludf.DUMMYFUNCTION("""COMPUTED_VALUE"""),546.0)</f>
        <v>546</v>
      </c>
      <c r="D2607" s="9">
        <f>IFERROR(__xludf.DUMMYFUNCTION("""COMPUTED_VALUE"""),532.5)</f>
        <v>532.5</v>
      </c>
      <c r="E2607" s="9">
        <f>IFERROR(__xludf.DUMMYFUNCTION("""COMPUTED_VALUE"""),542.7)</f>
        <v>542.7</v>
      </c>
      <c r="F2607" s="9">
        <f>IFERROR(__xludf.DUMMYFUNCTION("""COMPUTED_VALUE"""),3535667.0)</f>
        <v>3535667</v>
      </c>
      <c r="H2607" s="27">
        <f>IFERROR(__xludf.DUMMYFUNCTION("""COMPUTED_VALUE"""),42214.64583333333)</f>
        <v>42214.64583</v>
      </c>
      <c r="I2607" s="25">
        <f>IFERROR(__xludf.DUMMYFUNCTION("""COMPUTED_VALUE"""),1255.5)</f>
        <v>1255.5</v>
      </c>
      <c r="J2607" s="25">
        <f>IFERROR(__xludf.DUMMYFUNCTION("""COMPUTED_VALUE"""),1257.53)</f>
        <v>1257.53</v>
      </c>
      <c r="K2607" s="25">
        <f>IFERROR(__xludf.DUMMYFUNCTION("""COMPUTED_VALUE"""),1241.75)</f>
        <v>1241.75</v>
      </c>
      <c r="L2607" s="25">
        <f>IFERROR(__xludf.DUMMYFUNCTION("""COMPUTED_VALUE"""),1253.38)</f>
        <v>1253.38</v>
      </c>
      <c r="M2607" s="25">
        <f>IFERROR(__xludf.DUMMYFUNCTION("""COMPUTED_VALUE"""),1206659.0)</f>
        <v>1206659</v>
      </c>
    </row>
    <row r="2608">
      <c r="A2608" s="26">
        <f>IFERROR(__xludf.DUMMYFUNCTION("""COMPUTED_VALUE"""),42215.64583333333)</f>
        <v>42215.64583</v>
      </c>
      <c r="B2608" s="9">
        <f>IFERROR(__xludf.DUMMYFUNCTION("""COMPUTED_VALUE"""),545.0)</f>
        <v>545</v>
      </c>
      <c r="C2608" s="9">
        <f>IFERROR(__xludf.DUMMYFUNCTION("""COMPUTED_VALUE"""),545.0)</f>
        <v>545</v>
      </c>
      <c r="D2608" s="9">
        <f>IFERROR(__xludf.DUMMYFUNCTION("""COMPUTED_VALUE"""),529.0)</f>
        <v>529</v>
      </c>
      <c r="E2608" s="9">
        <f>IFERROR(__xludf.DUMMYFUNCTION("""COMPUTED_VALUE"""),535.0)</f>
        <v>535</v>
      </c>
      <c r="F2608" s="9">
        <f>IFERROR(__xludf.DUMMYFUNCTION("""COMPUTED_VALUE"""),5978299.0)</f>
        <v>5978299</v>
      </c>
      <c r="H2608" s="27">
        <f>IFERROR(__xludf.DUMMYFUNCTION("""COMPUTED_VALUE"""),42215.64583333333)</f>
        <v>42215.64583</v>
      </c>
      <c r="I2608" s="25">
        <f>IFERROR(__xludf.DUMMYFUNCTION("""COMPUTED_VALUE"""),1258.03)</f>
        <v>1258.03</v>
      </c>
      <c r="J2608" s="25">
        <f>IFERROR(__xludf.DUMMYFUNCTION("""COMPUTED_VALUE"""),1258.4)</f>
        <v>1258.4</v>
      </c>
      <c r="K2608" s="25">
        <f>IFERROR(__xludf.DUMMYFUNCTION("""COMPUTED_VALUE"""),1236.4)</f>
        <v>1236.4</v>
      </c>
      <c r="L2608" s="25">
        <f>IFERROR(__xludf.DUMMYFUNCTION("""COMPUTED_VALUE"""),1240.33)</f>
        <v>1240.33</v>
      </c>
      <c r="M2608" s="25">
        <f>IFERROR(__xludf.DUMMYFUNCTION("""COMPUTED_VALUE"""),1385287.0)</f>
        <v>1385287</v>
      </c>
    </row>
    <row r="2609">
      <c r="A2609" s="26">
        <f>IFERROR(__xludf.DUMMYFUNCTION("""COMPUTED_VALUE"""),42216.64583333333)</f>
        <v>42216.64583</v>
      </c>
      <c r="B2609" s="9">
        <f>IFERROR(__xludf.DUMMYFUNCTION("""COMPUTED_VALUE"""),539.28)</f>
        <v>539.28</v>
      </c>
      <c r="C2609" s="9">
        <f>IFERROR(__xludf.DUMMYFUNCTION("""COMPUTED_VALUE"""),540.67)</f>
        <v>540.67</v>
      </c>
      <c r="D2609" s="9">
        <f>IFERROR(__xludf.DUMMYFUNCTION("""COMPUTED_VALUE"""),530.0)</f>
        <v>530</v>
      </c>
      <c r="E2609" s="9">
        <f>IFERROR(__xludf.DUMMYFUNCTION("""COMPUTED_VALUE"""),538.53)</f>
        <v>538.53</v>
      </c>
      <c r="F2609" s="9">
        <f>IFERROR(__xludf.DUMMYFUNCTION("""COMPUTED_VALUE"""),3965506.0)</f>
        <v>3965506</v>
      </c>
      <c r="H2609" s="27">
        <f>IFERROR(__xludf.DUMMYFUNCTION("""COMPUTED_VALUE"""),42216.64583333333)</f>
        <v>42216.64583</v>
      </c>
      <c r="I2609" s="25">
        <f>IFERROR(__xludf.DUMMYFUNCTION("""COMPUTED_VALUE"""),1244.95)</f>
        <v>1244.95</v>
      </c>
      <c r="J2609" s="25">
        <f>IFERROR(__xludf.DUMMYFUNCTION("""COMPUTED_VALUE"""),1259.5)</f>
        <v>1259.5</v>
      </c>
      <c r="K2609" s="25">
        <f>IFERROR(__xludf.DUMMYFUNCTION("""COMPUTED_VALUE"""),1243.5)</f>
        <v>1243.5</v>
      </c>
      <c r="L2609" s="25">
        <f>IFERROR(__xludf.DUMMYFUNCTION("""COMPUTED_VALUE"""),1255.38)</f>
        <v>1255.38</v>
      </c>
      <c r="M2609" s="25">
        <f>IFERROR(__xludf.DUMMYFUNCTION("""COMPUTED_VALUE"""),981888.0)</f>
        <v>981888</v>
      </c>
    </row>
    <row r="2610">
      <c r="A2610" s="26">
        <f>IFERROR(__xludf.DUMMYFUNCTION("""COMPUTED_VALUE"""),42219.64583333333)</f>
        <v>42219.64583</v>
      </c>
      <c r="B2610" s="9">
        <f>IFERROR(__xludf.DUMMYFUNCTION("""COMPUTED_VALUE"""),539.0)</f>
        <v>539</v>
      </c>
      <c r="C2610" s="9">
        <f>IFERROR(__xludf.DUMMYFUNCTION("""COMPUTED_VALUE"""),546.0)</f>
        <v>546</v>
      </c>
      <c r="D2610" s="9">
        <f>IFERROR(__xludf.DUMMYFUNCTION("""COMPUTED_VALUE"""),534.48)</f>
        <v>534.48</v>
      </c>
      <c r="E2610" s="9">
        <f>IFERROR(__xludf.DUMMYFUNCTION("""COMPUTED_VALUE"""),539.48)</f>
        <v>539.48</v>
      </c>
      <c r="F2610" s="9">
        <f>IFERROR(__xludf.DUMMYFUNCTION("""COMPUTED_VALUE"""),3980506.0)</f>
        <v>3980506</v>
      </c>
      <c r="H2610" s="27">
        <f>IFERROR(__xludf.DUMMYFUNCTION("""COMPUTED_VALUE"""),42219.64583333333)</f>
        <v>42219.64583</v>
      </c>
      <c r="I2610" s="25">
        <f>IFERROR(__xludf.DUMMYFUNCTION("""COMPUTED_VALUE"""),1251.7)</f>
        <v>1251.7</v>
      </c>
      <c r="J2610" s="25">
        <f>IFERROR(__xludf.DUMMYFUNCTION("""COMPUTED_VALUE"""),1262.5)</f>
        <v>1262.5</v>
      </c>
      <c r="K2610" s="25">
        <f>IFERROR(__xludf.DUMMYFUNCTION("""COMPUTED_VALUE"""),1250.45)</f>
        <v>1250.45</v>
      </c>
      <c r="L2610" s="25">
        <f>IFERROR(__xludf.DUMMYFUNCTION("""COMPUTED_VALUE"""),1254.8)</f>
        <v>1254.8</v>
      </c>
      <c r="M2610" s="25">
        <f>IFERROR(__xludf.DUMMYFUNCTION("""COMPUTED_VALUE"""),589662.0)</f>
        <v>589662</v>
      </c>
    </row>
    <row r="2611">
      <c r="A2611" s="26">
        <f>IFERROR(__xludf.DUMMYFUNCTION("""COMPUTED_VALUE"""),42220.64583333333)</f>
        <v>42220.64583</v>
      </c>
      <c r="B2611" s="9">
        <f>IFERROR(__xludf.DUMMYFUNCTION("""COMPUTED_VALUE"""),539.0)</f>
        <v>539</v>
      </c>
      <c r="C2611" s="9">
        <f>IFERROR(__xludf.DUMMYFUNCTION("""COMPUTED_VALUE"""),539.48)</f>
        <v>539.48</v>
      </c>
      <c r="D2611" s="9">
        <f>IFERROR(__xludf.DUMMYFUNCTION("""COMPUTED_VALUE"""),525.5)</f>
        <v>525.5</v>
      </c>
      <c r="E2611" s="9">
        <f>IFERROR(__xludf.DUMMYFUNCTION("""COMPUTED_VALUE"""),528.63)</f>
        <v>528.63</v>
      </c>
      <c r="F2611" s="9">
        <f>IFERROR(__xludf.DUMMYFUNCTION("""COMPUTED_VALUE"""),4549527.0)</f>
        <v>4549527</v>
      </c>
      <c r="H2611" s="27">
        <f>IFERROR(__xludf.DUMMYFUNCTION("""COMPUTED_VALUE"""),42220.64583333333)</f>
        <v>42220.64583</v>
      </c>
      <c r="I2611" s="25">
        <f>IFERROR(__xludf.DUMMYFUNCTION("""COMPUTED_VALUE"""),1255.2)</f>
        <v>1255.2</v>
      </c>
      <c r="J2611" s="25">
        <f>IFERROR(__xludf.DUMMYFUNCTION("""COMPUTED_VALUE"""),1261.5)</f>
        <v>1261.5</v>
      </c>
      <c r="K2611" s="25">
        <f>IFERROR(__xludf.DUMMYFUNCTION("""COMPUTED_VALUE"""),1243.0)</f>
        <v>1243</v>
      </c>
      <c r="L2611" s="25">
        <f>IFERROR(__xludf.DUMMYFUNCTION("""COMPUTED_VALUE"""),1254.45)</f>
        <v>1254.45</v>
      </c>
      <c r="M2611" s="25">
        <f>IFERROR(__xludf.DUMMYFUNCTION("""COMPUTED_VALUE"""),1171346.0)</f>
        <v>1171346</v>
      </c>
    </row>
    <row r="2612">
      <c r="A2612" s="26">
        <f>IFERROR(__xludf.DUMMYFUNCTION("""COMPUTED_VALUE"""),42221.64583333333)</f>
        <v>42221.64583</v>
      </c>
      <c r="B2612" s="9">
        <f>IFERROR(__xludf.DUMMYFUNCTION("""COMPUTED_VALUE"""),531.0)</f>
        <v>531</v>
      </c>
      <c r="C2612" s="9">
        <f>IFERROR(__xludf.DUMMYFUNCTION("""COMPUTED_VALUE"""),545.0)</f>
        <v>545</v>
      </c>
      <c r="D2612" s="9">
        <f>IFERROR(__xludf.DUMMYFUNCTION("""COMPUTED_VALUE"""),530.98)</f>
        <v>530.98</v>
      </c>
      <c r="E2612" s="9">
        <f>IFERROR(__xludf.DUMMYFUNCTION("""COMPUTED_VALUE"""),543.17)</f>
        <v>543.17</v>
      </c>
      <c r="F2612" s="9">
        <f>IFERROR(__xludf.DUMMYFUNCTION("""COMPUTED_VALUE"""),2376738.0)</f>
        <v>2376738</v>
      </c>
      <c r="H2612" s="27">
        <f>IFERROR(__xludf.DUMMYFUNCTION("""COMPUTED_VALUE"""),42221.64583333333)</f>
        <v>42221.64583</v>
      </c>
      <c r="I2612" s="25">
        <f>IFERROR(__xludf.DUMMYFUNCTION("""COMPUTED_VALUE"""),1260.0)</f>
        <v>1260</v>
      </c>
      <c r="J2612" s="25">
        <f>IFERROR(__xludf.DUMMYFUNCTION("""COMPUTED_VALUE"""),1275.0)</f>
        <v>1275</v>
      </c>
      <c r="K2612" s="25">
        <f>IFERROR(__xludf.DUMMYFUNCTION("""COMPUTED_VALUE"""),1255.5)</f>
        <v>1255.5</v>
      </c>
      <c r="L2612" s="25">
        <f>IFERROR(__xludf.DUMMYFUNCTION("""COMPUTED_VALUE"""),1273.58)</f>
        <v>1273.58</v>
      </c>
      <c r="M2612" s="25">
        <f>IFERROR(__xludf.DUMMYFUNCTION("""COMPUTED_VALUE"""),494497.0)</f>
        <v>494497</v>
      </c>
    </row>
    <row r="2613">
      <c r="A2613" s="26">
        <f>IFERROR(__xludf.DUMMYFUNCTION("""COMPUTED_VALUE"""),42222.64583333333)</f>
        <v>42222.64583</v>
      </c>
      <c r="B2613" s="9">
        <f>IFERROR(__xludf.DUMMYFUNCTION("""COMPUTED_VALUE"""),547.0)</f>
        <v>547</v>
      </c>
      <c r="C2613" s="9">
        <f>IFERROR(__xludf.DUMMYFUNCTION("""COMPUTED_VALUE"""),552.75)</f>
        <v>552.75</v>
      </c>
      <c r="D2613" s="9">
        <f>IFERROR(__xludf.DUMMYFUNCTION("""COMPUTED_VALUE"""),538.5)</f>
        <v>538.5</v>
      </c>
      <c r="E2613" s="9">
        <f>IFERROR(__xludf.DUMMYFUNCTION("""COMPUTED_VALUE"""),543.48)</f>
        <v>543.48</v>
      </c>
      <c r="F2613" s="9">
        <f>IFERROR(__xludf.DUMMYFUNCTION("""COMPUTED_VALUE"""),3619126.0)</f>
        <v>3619126</v>
      </c>
      <c r="H2613" s="27">
        <f>IFERROR(__xludf.DUMMYFUNCTION("""COMPUTED_VALUE"""),42222.64583333333)</f>
        <v>42222.64583</v>
      </c>
      <c r="I2613" s="25">
        <f>IFERROR(__xludf.DUMMYFUNCTION("""COMPUTED_VALUE"""),1282.5)</f>
        <v>1282.5</v>
      </c>
      <c r="J2613" s="25">
        <f>IFERROR(__xludf.DUMMYFUNCTION("""COMPUTED_VALUE"""),1291.5)</f>
        <v>1291.5</v>
      </c>
      <c r="K2613" s="25">
        <f>IFERROR(__xludf.DUMMYFUNCTION("""COMPUTED_VALUE"""),1275.05)</f>
        <v>1275.05</v>
      </c>
      <c r="L2613" s="25">
        <f>IFERROR(__xludf.DUMMYFUNCTION("""COMPUTED_VALUE"""),1286.65)</f>
        <v>1286.65</v>
      </c>
      <c r="M2613" s="25">
        <f>IFERROR(__xludf.DUMMYFUNCTION("""COMPUTED_VALUE"""),1105683.0)</f>
        <v>1105683</v>
      </c>
    </row>
    <row r="2614">
      <c r="A2614" s="26">
        <f>IFERROR(__xludf.DUMMYFUNCTION("""COMPUTED_VALUE"""),42223.64583333333)</f>
        <v>42223.64583</v>
      </c>
      <c r="B2614" s="9">
        <f>IFERROR(__xludf.DUMMYFUNCTION("""COMPUTED_VALUE"""),539.75)</f>
        <v>539.75</v>
      </c>
      <c r="C2614" s="9">
        <f>IFERROR(__xludf.DUMMYFUNCTION("""COMPUTED_VALUE"""),550.5)</f>
        <v>550.5</v>
      </c>
      <c r="D2614" s="9">
        <f>IFERROR(__xludf.DUMMYFUNCTION("""COMPUTED_VALUE"""),539.25)</f>
        <v>539.25</v>
      </c>
      <c r="E2614" s="9">
        <f>IFERROR(__xludf.DUMMYFUNCTION("""COMPUTED_VALUE"""),547.8)</f>
        <v>547.8</v>
      </c>
      <c r="F2614" s="9">
        <f>IFERROR(__xludf.DUMMYFUNCTION("""COMPUTED_VALUE"""),2494029.0)</f>
        <v>2494029</v>
      </c>
      <c r="H2614" s="27">
        <f>IFERROR(__xludf.DUMMYFUNCTION("""COMPUTED_VALUE"""),42223.64583333333)</f>
        <v>42223.64583</v>
      </c>
      <c r="I2614" s="25">
        <f>IFERROR(__xludf.DUMMYFUNCTION("""COMPUTED_VALUE"""),1286.5)</f>
        <v>1286.5</v>
      </c>
      <c r="J2614" s="25">
        <f>IFERROR(__xludf.DUMMYFUNCTION("""COMPUTED_VALUE"""),1286.5)</f>
        <v>1286.5</v>
      </c>
      <c r="K2614" s="25">
        <f>IFERROR(__xludf.DUMMYFUNCTION("""COMPUTED_VALUE"""),1273.5)</f>
        <v>1273.5</v>
      </c>
      <c r="L2614" s="25">
        <f>IFERROR(__xludf.DUMMYFUNCTION("""COMPUTED_VALUE"""),1276.03)</f>
        <v>1276.03</v>
      </c>
      <c r="M2614" s="25">
        <f>IFERROR(__xludf.DUMMYFUNCTION("""COMPUTED_VALUE"""),594253.0)</f>
        <v>594253</v>
      </c>
    </row>
    <row r="2615">
      <c r="A2615" s="26">
        <f>IFERROR(__xludf.DUMMYFUNCTION("""COMPUTED_VALUE"""),42226.64583333333)</f>
        <v>42226.64583</v>
      </c>
      <c r="B2615" s="9">
        <f>IFERROR(__xludf.DUMMYFUNCTION("""COMPUTED_VALUE"""),549.0)</f>
        <v>549</v>
      </c>
      <c r="C2615" s="9">
        <f>IFERROR(__xludf.DUMMYFUNCTION("""COMPUTED_VALUE"""),553.17)</f>
        <v>553.17</v>
      </c>
      <c r="D2615" s="9">
        <f>IFERROR(__xludf.DUMMYFUNCTION("""COMPUTED_VALUE"""),533.5)</f>
        <v>533.5</v>
      </c>
      <c r="E2615" s="9">
        <f>IFERROR(__xludf.DUMMYFUNCTION("""COMPUTED_VALUE"""),543.0)</f>
        <v>543</v>
      </c>
      <c r="F2615" s="9">
        <f>IFERROR(__xludf.DUMMYFUNCTION("""COMPUTED_VALUE"""),1996377.0)</f>
        <v>1996377</v>
      </c>
      <c r="H2615" s="27">
        <f>IFERROR(__xludf.DUMMYFUNCTION("""COMPUTED_VALUE"""),42226.64583333333)</f>
        <v>42226.64583</v>
      </c>
      <c r="I2615" s="25">
        <f>IFERROR(__xludf.DUMMYFUNCTION("""COMPUTED_VALUE"""),1286.0)</f>
        <v>1286</v>
      </c>
      <c r="J2615" s="25">
        <f>IFERROR(__xludf.DUMMYFUNCTION("""COMPUTED_VALUE"""),1294.5)</f>
        <v>1294.5</v>
      </c>
      <c r="K2615" s="25">
        <f>IFERROR(__xludf.DUMMYFUNCTION("""COMPUTED_VALUE"""),1278.3)</f>
        <v>1278.3</v>
      </c>
      <c r="L2615" s="25">
        <f>IFERROR(__xludf.DUMMYFUNCTION("""COMPUTED_VALUE"""),1286.05)</f>
        <v>1286.05</v>
      </c>
      <c r="M2615" s="25">
        <f>IFERROR(__xludf.DUMMYFUNCTION("""COMPUTED_VALUE"""),715591.0)</f>
        <v>715591</v>
      </c>
    </row>
    <row r="2616">
      <c r="A2616" s="26">
        <f>IFERROR(__xludf.DUMMYFUNCTION("""COMPUTED_VALUE"""),42227.64583333333)</f>
        <v>42227.64583</v>
      </c>
      <c r="B2616" s="9">
        <f>IFERROR(__xludf.DUMMYFUNCTION("""COMPUTED_VALUE"""),549.4)</f>
        <v>549.4</v>
      </c>
      <c r="C2616" s="9">
        <f>IFERROR(__xludf.DUMMYFUNCTION("""COMPUTED_VALUE"""),558.45)</f>
        <v>558.45</v>
      </c>
      <c r="D2616" s="9">
        <f>IFERROR(__xludf.DUMMYFUNCTION("""COMPUTED_VALUE"""),547.85)</f>
        <v>547.85</v>
      </c>
      <c r="E2616" s="9">
        <f>IFERROR(__xludf.DUMMYFUNCTION("""COMPUTED_VALUE"""),554.58)</f>
        <v>554.58</v>
      </c>
      <c r="F2616" s="9">
        <f>IFERROR(__xludf.DUMMYFUNCTION("""COMPUTED_VALUE"""),3787203.0)</f>
        <v>3787203</v>
      </c>
      <c r="H2616" s="27">
        <f>IFERROR(__xludf.DUMMYFUNCTION("""COMPUTED_VALUE"""),42227.64583333333)</f>
        <v>42227.64583</v>
      </c>
      <c r="I2616" s="25">
        <f>IFERROR(__xludf.DUMMYFUNCTION("""COMPUTED_VALUE"""),1289.0)</f>
        <v>1289</v>
      </c>
      <c r="J2616" s="25">
        <f>IFERROR(__xludf.DUMMYFUNCTION("""COMPUTED_VALUE"""),1305.0)</f>
        <v>1305</v>
      </c>
      <c r="K2616" s="25">
        <f>IFERROR(__xludf.DUMMYFUNCTION("""COMPUTED_VALUE"""),1271.05)</f>
        <v>1271.05</v>
      </c>
      <c r="L2616" s="25">
        <f>IFERROR(__xludf.DUMMYFUNCTION("""COMPUTED_VALUE"""),1302.1)</f>
        <v>1302.1</v>
      </c>
      <c r="M2616" s="25">
        <f>IFERROR(__xludf.DUMMYFUNCTION("""COMPUTED_VALUE"""),1100153.0)</f>
        <v>1100153</v>
      </c>
    </row>
    <row r="2617">
      <c r="A2617" s="26">
        <f>IFERROR(__xludf.DUMMYFUNCTION("""COMPUTED_VALUE"""),42228.64583333333)</f>
        <v>42228.64583</v>
      </c>
      <c r="B2617" s="9">
        <f>IFERROR(__xludf.DUMMYFUNCTION("""COMPUTED_VALUE"""),557.5)</f>
        <v>557.5</v>
      </c>
      <c r="C2617" s="9">
        <f>IFERROR(__xludf.DUMMYFUNCTION("""COMPUTED_VALUE"""),0.0)</f>
        <v>0</v>
      </c>
      <c r="D2617" s="9">
        <f>IFERROR(__xludf.DUMMYFUNCTION("""COMPUTED_VALUE"""),0.0)</f>
        <v>0</v>
      </c>
      <c r="E2617" s="9">
        <f>IFERROR(__xludf.DUMMYFUNCTION("""COMPUTED_VALUE"""),557.5)</f>
        <v>557.5</v>
      </c>
      <c r="F2617" s="9">
        <f>IFERROR(__xludf.DUMMYFUNCTION("""COMPUTED_VALUE"""),0.0)</f>
        <v>0</v>
      </c>
      <c r="H2617" s="27">
        <f>IFERROR(__xludf.DUMMYFUNCTION("""COMPUTED_VALUE"""),42228.64583333333)</f>
        <v>42228.64583</v>
      </c>
      <c r="I2617" s="25">
        <f>IFERROR(__xludf.DUMMYFUNCTION("""COMPUTED_VALUE"""),1301.55)</f>
        <v>1301.55</v>
      </c>
      <c r="J2617" s="25">
        <f>IFERROR(__xludf.DUMMYFUNCTION("""COMPUTED_VALUE"""),1301.55)</f>
        <v>1301.55</v>
      </c>
      <c r="K2617" s="25">
        <f>IFERROR(__xludf.DUMMYFUNCTION("""COMPUTED_VALUE"""),1300.4)</f>
        <v>1300.4</v>
      </c>
      <c r="L2617" s="25">
        <f>IFERROR(__xludf.DUMMYFUNCTION("""COMPUTED_VALUE"""),1300.4)</f>
        <v>1300.4</v>
      </c>
      <c r="M2617" s="25">
        <f>IFERROR(__xludf.DUMMYFUNCTION("""COMPUTED_VALUE"""),0.0)</f>
        <v>0</v>
      </c>
    </row>
    <row r="2618">
      <c r="A2618" s="26">
        <f>IFERROR(__xludf.DUMMYFUNCTION("""COMPUTED_VALUE"""),42229.64583333333)</f>
        <v>42229.64583</v>
      </c>
      <c r="B2618" s="9">
        <f>IFERROR(__xludf.DUMMYFUNCTION("""COMPUTED_VALUE"""),573.5)</f>
        <v>573.5</v>
      </c>
      <c r="C2618" s="9">
        <f>IFERROR(__xludf.DUMMYFUNCTION("""COMPUTED_VALUE"""),583.42)</f>
        <v>583.42</v>
      </c>
      <c r="D2618" s="9">
        <f>IFERROR(__xludf.DUMMYFUNCTION("""COMPUTED_VALUE"""),527.78)</f>
        <v>527.78</v>
      </c>
      <c r="E2618" s="9">
        <f>IFERROR(__xludf.DUMMYFUNCTION("""COMPUTED_VALUE"""),579.0)</f>
        <v>579</v>
      </c>
      <c r="F2618" s="9">
        <f>IFERROR(__xludf.DUMMYFUNCTION("""COMPUTED_VALUE"""),4893980.0)</f>
        <v>4893980</v>
      </c>
      <c r="H2618" s="27">
        <f>IFERROR(__xludf.DUMMYFUNCTION("""COMPUTED_VALUE"""),42229.64583333333)</f>
        <v>42229.64583</v>
      </c>
      <c r="I2618" s="25">
        <f>IFERROR(__xludf.DUMMYFUNCTION("""COMPUTED_VALUE"""),1335.0)</f>
        <v>1335</v>
      </c>
      <c r="J2618" s="25">
        <f>IFERROR(__xludf.DUMMYFUNCTION("""COMPUTED_VALUE"""),1342.0)</f>
        <v>1342</v>
      </c>
      <c r="K2618" s="25">
        <f>IFERROR(__xludf.DUMMYFUNCTION("""COMPUTED_VALUE"""),1278.0)</f>
        <v>1278</v>
      </c>
      <c r="L2618" s="25">
        <f>IFERROR(__xludf.DUMMYFUNCTION("""COMPUTED_VALUE"""),1317.8)</f>
        <v>1317.8</v>
      </c>
      <c r="M2618" s="25">
        <f>IFERROR(__xludf.DUMMYFUNCTION("""COMPUTED_VALUE"""),703213.0)</f>
        <v>703213</v>
      </c>
    </row>
    <row r="2619">
      <c r="A2619" s="26">
        <f>IFERROR(__xludf.DUMMYFUNCTION("""COMPUTED_VALUE"""),42230.64583333333)</f>
        <v>42230.64583</v>
      </c>
      <c r="B2619" s="9">
        <f>IFERROR(__xludf.DUMMYFUNCTION("""COMPUTED_VALUE"""),582.5)</f>
        <v>582.5</v>
      </c>
      <c r="C2619" s="9">
        <f>IFERROR(__xludf.DUMMYFUNCTION("""COMPUTED_VALUE"""),584.35)</f>
        <v>584.35</v>
      </c>
      <c r="D2619" s="9">
        <f>IFERROR(__xludf.DUMMYFUNCTION("""COMPUTED_VALUE"""),571.55)</f>
        <v>571.55</v>
      </c>
      <c r="E2619" s="9">
        <f>IFERROR(__xludf.DUMMYFUNCTION("""COMPUTED_VALUE"""),574.63)</f>
        <v>574.63</v>
      </c>
      <c r="F2619" s="9">
        <f>IFERROR(__xludf.DUMMYFUNCTION("""COMPUTED_VALUE"""),2554533.0)</f>
        <v>2554533</v>
      </c>
      <c r="H2619" s="27">
        <f>IFERROR(__xludf.DUMMYFUNCTION("""COMPUTED_VALUE"""),42230.64583333333)</f>
        <v>42230.64583</v>
      </c>
      <c r="I2619" s="25">
        <f>IFERROR(__xludf.DUMMYFUNCTION("""COMPUTED_VALUE"""),1319.0)</f>
        <v>1319</v>
      </c>
      <c r="J2619" s="25">
        <f>IFERROR(__xludf.DUMMYFUNCTION("""COMPUTED_VALUE"""),1359.68)</f>
        <v>1359.68</v>
      </c>
      <c r="K2619" s="25">
        <f>IFERROR(__xludf.DUMMYFUNCTION("""COMPUTED_VALUE"""),1318.55)</f>
        <v>1318.55</v>
      </c>
      <c r="L2619" s="25">
        <f>IFERROR(__xludf.DUMMYFUNCTION("""COMPUTED_VALUE"""),1351.6)</f>
        <v>1351.6</v>
      </c>
      <c r="M2619" s="25">
        <f>IFERROR(__xludf.DUMMYFUNCTION("""COMPUTED_VALUE"""),1146982.0)</f>
        <v>1146982</v>
      </c>
    </row>
    <row r="2620">
      <c r="A2620" s="26">
        <f>IFERROR(__xludf.DUMMYFUNCTION("""COMPUTED_VALUE"""),42233.64583333333)</f>
        <v>42233.64583</v>
      </c>
      <c r="B2620" s="9">
        <f>IFERROR(__xludf.DUMMYFUNCTION("""COMPUTED_VALUE"""),575.0)</f>
        <v>575</v>
      </c>
      <c r="C2620" s="9">
        <f>IFERROR(__xludf.DUMMYFUNCTION("""COMPUTED_VALUE"""),576.73)</f>
        <v>576.73</v>
      </c>
      <c r="D2620" s="9">
        <f>IFERROR(__xludf.DUMMYFUNCTION("""COMPUTED_VALUE"""),561.25)</f>
        <v>561.25</v>
      </c>
      <c r="E2620" s="9">
        <f>IFERROR(__xludf.DUMMYFUNCTION("""COMPUTED_VALUE"""),571.08)</f>
        <v>571.08</v>
      </c>
      <c r="F2620" s="9">
        <f>IFERROR(__xludf.DUMMYFUNCTION("""COMPUTED_VALUE"""),1553718.0)</f>
        <v>1553718</v>
      </c>
      <c r="H2620" s="27">
        <f>IFERROR(__xludf.DUMMYFUNCTION("""COMPUTED_VALUE"""),42233.64583333333)</f>
        <v>42233.64583</v>
      </c>
      <c r="I2620" s="25">
        <f>IFERROR(__xludf.DUMMYFUNCTION("""COMPUTED_VALUE"""),1345.05)</f>
        <v>1345.05</v>
      </c>
      <c r="J2620" s="25">
        <f>IFERROR(__xludf.DUMMYFUNCTION("""COMPUTED_VALUE"""),1348.4)</f>
        <v>1348.4</v>
      </c>
      <c r="K2620" s="25">
        <f>IFERROR(__xludf.DUMMYFUNCTION("""COMPUTED_VALUE"""),1327.5)</f>
        <v>1327.5</v>
      </c>
      <c r="L2620" s="25">
        <f>IFERROR(__xludf.DUMMYFUNCTION("""COMPUTED_VALUE"""),1342.38)</f>
        <v>1342.38</v>
      </c>
      <c r="M2620" s="25">
        <f>IFERROR(__xludf.DUMMYFUNCTION("""COMPUTED_VALUE"""),386822.0)</f>
        <v>386822</v>
      </c>
    </row>
    <row r="2621">
      <c r="A2621" s="26">
        <f>IFERROR(__xludf.DUMMYFUNCTION("""COMPUTED_VALUE"""),42234.64583333333)</f>
        <v>42234.64583</v>
      </c>
      <c r="B2621" s="9">
        <f>IFERROR(__xludf.DUMMYFUNCTION("""COMPUTED_VALUE"""),575.0)</f>
        <v>575</v>
      </c>
      <c r="C2621" s="9">
        <f>IFERROR(__xludf.DUMMYFUNCTION("""COMPUTED_VALUE"""),588.85)</f>
        <v>588.85</v>
      </c>
      <c r="D2621" s="9">
        <f>IFERROR(__xludf.DUMMYFUNCTION("""COMPUTED_VALUE"""),575.0)</f>
        <v>575</v>
      </c>
      <c r="E2621" s="9">
        <f>IFERROR(__xludf.DUMMYFUNCTION("""COMPUTED_VALUE"""),582.17)</f>
        <v>582.17</v>
      </c>
      <c r="F2621" s="9">
        <f>IFERROR(__xludf.DUMMYFUNCTION("""COMPUTED_VALUE"""),2075223.0)</f>
        <v>2075223</v>
      </c>
      <c r="H2621" s="27">
        <f>IFERROR(__xludf.DUMMYFUNCTION("""COMPUTED_VALUE"""),42234.64583333333)</f>
        <v>42234.64583</v>
      </c>
      <c r="I2621" s="25">
        <f>IFERROR(__xludf.DUMMYFUNCTION("""COMPUTED_VALUE"""),1353.45)</f>
        <v>1353.45</v>
      </c>
      <c r="J2621" s="25">
        <f>IFERROR(__xludf.DUMMYFUNCTION("""COMPUTED_VALUE"""),1374.95)</f>
        <v>1374.95</v>
      </c>
      <c r="K2621" s="25">
        <f>IFERROR(__xludf.DUMMYFUNCTION("""COMPUTED_VALUE"""),1345.0)</f>
        <v>1345</v>
      </c>
      <c r="L2621" s="25">
        <f>IFERROR(__xludf.DUMMYFUNCTION("""COMPUTED_VALUE"""),1370.45)</f>
        <v>1370.45</v>
      </c>
      <c r="M2621" s="25">
        <f>IFERROR(__xludf.DUMMYFUNCTION("""COMPUTED_VALUE"""),958463.0)</f>
        <v>958463</v>
      </c>
    </row>
    <row r="2622">
      <c r="A2622" s="26">
        <f>IFERROR(__xludf.DUMMYFUNCTION("""COMPUTED_VALUE"""),42235.64583333333)</f>
        <v>42235.64583</v>
      </c>
      <c r="B2622" s="9">
        <f>IFERROR(__xludf.DUMMYFUNCTION("""COMPUTED_VALUE"""),585.0)</f>
        <v>585</v>
      </c>
      <c r="C2622" s="9">
        <f>IFERROR(__xludf.DUMMYFUNCTION("""COMPUTED_VALUE"""),593.1)</f>
        <v>593.1</v>
      </c>
      <c r="D2622" s="9">
        <f>IFERROR(__xludf.DUMMYFUNCTION("""COMPUTED_VALUE"""),581.4)</f>
        <v>581.4</v>
      </c>
      <c r="E2622" s="9">
        <f>IFERROR(__xludf.DUMMYFUNCTION("""COMPUTED_VALUE"""),587.78)</f>
        <v>587.78</v>
      </c>
      <c r="F2622" s="9">
        <f>IFERROR(__xludf.DUMMYFUNCTION("""COMPUTED_VALUE"""),3434759.0)</f>
        <v>3434759</v>
      </c>
      <c r="H2622" s="27">
        <f>IFERROR(__xludf.DUMMYFUNCTION("""COMPUTED_VALUE"""),42235.64583333333)</f>
        <v>42235.64583</v>
      </c>
      <c r="I2622" s="25">
        <f>IFERROR(__xludf.DUMMYFUNCTION("""COMPUTED_VALUE"""),1375.0)</f>
        <v>1375</v>
      </c>
      <c r="J2622" s="25">
        <f>IFERROR(__xludf.DUMMYFUNCTION("""COMPUTED_VALUE"""),1376.43)</f>
        <v>1376.43</v>
      </c>
      <c r="K2622" s="25">
        <f>IFERROR(__xludf.DUMMYFUNCTION("""COMPUTED_VALUE"""),1360.95)</f>
        <v>1360.95</v>
      </c>
      <c r="L2622" s="25">
        <f>IFERROR(__xludf.DUMMYFUNCTION("""COMPUTED_VALUE"""),1366.8)</f>
        <v>1366.8</v>
      </c>
      <c r="M2622" s="25">
        <f>IFERROR(__xludf.DUMMYFUNCTION("""COMPUTED_VALUE"""),845035.0)</f>
        <v>845035</v>
      </c>
    </row>
    <row r="2623">
      <c r="A2623" s="26">
        <f>IFERROR(__xludf.DUMMYFUNCTION("""COMPUTED_VALUE"""),42236.64583333333)</f>
        <v>42236.64583</v>
      </c>
      <c r="B2623" s="9">
        <f>IFERROR(__xludf.DUMMYFUNCTION("""COMPUTED_VALUE"""),579.5)</f>
        <v>579.5</v>
      </c>
      <c r="C2623" s="9">
        <f>IFERROR(__xludf.DUMMYFUNCTION("""COMPUTED_VALUE"""),584.25)</f>
        <v>584.25</v>
      </c>
      <c r="D2623" s="9">
        <f>IFERROR(__xludf.DUMMYFUNCTION("""COMPUTED_VALUE"""),564.0)</f>
        <v>564</v>
      </c>
      <c r="E2623" s="9">
        <f>IFERROR(__xludf.DUMMYFUNCTION("""COMPUTED_VALUE"""),567.28)</f>
        <v>567.28</v>
      </c>
      <c r="F2623" s="9">
        <f>IFERROR(__xludf.DUMMYFUNCTION("""COMPUTED_VALUE"""),4184557.0)</f>
        <v>4184557</v>
      </c>
      <c r="H2623" s="27">
        <f>IFERROR(__xludf.DUMMYFUNCTION("""COMPUTED_VALUE"""),42236.64583333333)</f>
        <v>42236.64583</v>
      </c>
      <c r="I2623" s="25">
        <f>IFERROR(__xludf.DUMMYFUNCTION("""COMPUTED_VALUE"""),1372.5)</f>
        <v>1372.5</v>
      </c>
      <c r="J2623" s="25">
        <f>IFERROR(__xludf.DUMMYFUNCTION("""COMPUTED_VALUE"""),1372.5)</f>
        <v>1372.5</v>
      </c>
      <c r="K2623" s="25">
        <f>IFERROR(__xludf.DUMMYFUNCTION("""COMPUTED_VALUE"""),1336.0)</f>
        <v>1336</v>
      </c>
      <c r="L2623" s="25">
        <f>IFERROR(__xludf.DUMMYFUNCTION("""COMPUTED_VALUE"""),1343.43)</f>
        <v>1343.43</v>
      </c>
      <c r="M2623" s="25">
        <f>IFERROR(__xludf.DUMMYFUNCTION("""COMPUTED_VALUE"""),1174649.0)</f>
        <v>1174649</v>
      </c>
    </row>
    <row r="2624">
      <c r="A2624" s="26">
        <f>IFERROR(__xludf.DUMMYFUNCTION("""COMPUTED_VALUE"""),42237.64583333333)</f>
        <v>42237.64583</v>
      </c>
      <c r="B2624" s="9">
        <f>IFERROR(__xludf.DUMMYFUNCTION("""COMPUTED_VALUE"""),570.45)</f>
        <v>570.45</v>
      </c>
      <c r="C2624" s="9">
        <f>IFERROR(__xludf.DUMMYFUNCTION("""COMPUTED_VALUE"""),580.48)</f>
        <v>580.48</v>
      </c>
      <c r="D2624" s="9">
        <f>IFERROR(__xludf.DUMMYFUNCTION("""COMPUTED_VALUE"""),558.75)</f>
        <v>558.75</v>
      </c>
      <c r="E2624" s="9">
        <f>IFERROR(__xludf.DUMMYFUNCTION("""COMPUTED_VALUE"""),574.95)</f>
        <v>574.95</v>
      </c>
      <c r="F2624" s="9">
        <f>IFERROR(__xludf.DUMMYFUNCTION("""COMPUTED_VALUE"""),5411071.0)</f>
        <v>5411071</v>
      </c>
      <c r="H2624" s="27">
        <f>IFERROR(__xludf.DUMMYFUNCTION("""COMPUTED_VALUE"""),42237.64583333333)</f>
        <v>42237.64583</v>
      </c>
      <c r="I2624" s="25">
        <f>IFERROR(__xludf.DUMMYFUNCTION("""COMPUTED_VALUE"""),1356.0)</f>
        <v>1356</v>
      </c>
      <c r="J2624" s="25">
        <f>IFERROR(__xludf.DUMMYFUNCTION("""COMPUTED_VALUE"""),1364.95)</f>
        <v>1364.95</v>
      </c>
      <c r="K2624" s="25">
        <f>IFERROR(__xludf.DUMMYFUNCTION("""COMPUTED_VALUE"""),1327.55)</f>
        <v>1327.55</v>
      </c>
      <c r="L2624" s="25">
        <f>IFERROR(__xludf.DUMMYFUNCTION("""COMPUTED_VALUE"""),1338.08)</f>
        <v>1338.08</v>
      </c>
      <c r="M2624" s="25">
        <f>IFERROR(__xludf.DUMMYFUNCTION("""COMPUTED_VALUE"""),1768040.0)</f>
        <v>1768040</v>
      </c>
    </row>
    <row r="2625">
      <c r="A2625" s="26">
        <f>IFERROR(__xludf.DUMMYFUNCTION("""COMPUTED_VALUE"""),42240.64583333333)</f>
        <v>42240.64583</v>
      </c>
      <c r="B2625" s="9">
        <f>IFERROR(__xludf.DUMMYFUNCTION("""COMPUTED_VALUE"""),554.98)</f>
        <v>554.98</v>
      </c>
      <c r="C2625" s="9">
        <f>IFERROR(__xludf.DUMMYFUNCTION("""COMPUTED_VALUE"""),561.5)</f>
        <v>561.5</v>
      </c>
      <c r="D2625" s="9">
        <f>IFERROR(__xludf.DUMMYFUNCTION("""COMPUTED_VALUE"""),539.3)</f>
        <v>539.3</v>
      </c>
      <c r="E2625" s="9">
        <f>IFERROR(__xludf.DUMMYFUNCTION("""COMPUTED_VALUE"""),546.03)</f>
        <v>546.03</v>
      </c>
      <c r="F2625" s="9">
        <f>IFERROR(__xludf.DUMMYFUNCTION("""COMPUTED_VALUE"""),7061342.0)</f>
        <v>7061342</v>
      </c>
      <c r="H2625" s="27">
        <f>IFERROR(__xludf.DUMMYFUNCTION("""COMPUTED_VALUE"""),42240.64583333333)</f>
        <v>42240.64583</v>
      </c>
      <c r="I2625" s="25">
        <f>IFERROR(__xludf.DUMMYFUNCTION("""COMPUTED_VALUE"""),1319.5)</f>
        <v>1319.5</v>
      </c>
      <c r="J2625" s="25">
        <f>IFERROR(__xludf.DUMMYFUNCTION("""COMPUTED_VALUE"""),1322.5)</f>
        <v>1322.5</v>
      </c>
      <c r="K2625" s="25">
        <f>IFERROR(__xludf.DUMMYFUNCTION("""COMPUTED_VALUE"""),1284.55)</f>
        <v>1284.55</v>
      </c>
      <c r="L2625" s="25">
        <f>IFERROR(__xludf.DUMMYFUNCTION("""COMPUTED_VALUE"""),1289.33)</f>
        <v>1289.33</v>
      </c>
      <c r="M2625" s="25">
        <f>IFERROR(__xludf.DUMMYFUNCTION("""COMPUTED_VALUE"""),2346172.0)</f>
        <v>2346172</v>
      </c>
    </row>
    <row r="2626">
      <c r="A2626" s="26">
        <f>IFERROR(__xludf.DUMMYFUNCTION("""COMPUTED_VALUE"""),42241.64583333333)</f>
        <v>42241.64583</v>
      </c>
      <c r="B2626" s="9">
        <f>IFERROR(__xludf.DUMMYFUNCTION("""COMPUTED_VALUE"""),550.0)</f>
        <v>550</v>
      </c>
      <c r="C2626" s="9">
        <f>IFERROR(__xludf.DUMMYFUNCTION("""COMPUTED_VALUE"""),559.5)</f>
        <v>559.5</v>
      </c>
      <c r="D2626" s="9">
        <f>IFERROR(__xludf.DUMMYFUNCTION("""COMPUTED_VALUE"""),522.25)</f>
        <v>522.25</v>
      </c>
      <c r="E2626" s="9">
        <f>IFERROR(__xludf.DUMMYFUNCTION("""COMPUTED_VALUE"""),542.83)</f>
        <v>542.83</v>
      </c>
      <c r="F2626" s="9">
        <f>IFERROR(__xludf.DUMMYFUNCTION("""COMPUTED_VALUE"""),6867539.0)</f>
        <v>6867539</v>
      </c>
      <c r="H2626" s="27">
        <f>IFERROR(__xludf.DUMMYFUNCTION("""COMPUTED_VALUE"""),42241.64583333333)</f>
        <v>42241.64583</v>
      </c>
      <c r="I2626" s="25">
        <f>IFERROR(__xludf.DUMMYFUNCTION("""COMPUTED_VALUE"""),1293.95)</f>
        <v>1293.95</v>
      </c>
      <c r="J2626" s="25">
        <f>IFERROR(__xludf.DUMMYFUNCTION("""COMPUTED_VALUE"""),1311.0)</f>
        <v>1311</v>
      </c>
      <c r="K2626" s="25">
        <f>IFERROR(__xludf.DUMMYFUNCTION("""COMPUTED_VALUE"""),1267.75)</f>
        <v>1267.75</v>
      </c>
      <c r="L2626" s="25">
        <f>IFERROR(__xludf.DUMMYFUNCTION("""COMPUTED_VALUE"""),1283.58)</f>
        <v>1283.58</v>
      </c>
      <c r="M2626" s="25">
        <f>IFERROR(__xludf.DUMMYFUNCTION("""COMPUTED_VALUE"""),1962900.0)</f>
        <v>1962900</v>
      </c>
    </row>
    <row r="2627">
      <c r="A2627" s="26">
        <f>IFERROR(__xludf.DUMMYFUNCTION("""COMPUTED_VALUE"""),42242.64583333333)</f>
        <v>42242.64583</v>
      </c>
      <c r="B2627" s="9">
        <f>IFERROR(__xludf.DUMMYFUNCTION("""COMPUTED_VALUE"""),544.9)</f>
        <v>544.9</v>
      </c>
      <c r="C2627" s="9">
        <f>IFERROR(__xludf.DUMMYFUNCTION("""COMPUTED_VALUE"""),548.5)</f>
        <v>548.5</v>
      </c>
      <c r="D2627" s="9">
        <f>IFERROR(__xludf.DUMMYFUNCTION("""COMPUTED_VALUE"""),529.5)</f>
        <v>529.5</v>
      </c>
      <c r="E2627" s="9">
        <f>IFERROR(__xludf.DUMMYFUNCTION("""COMPUTED_VALUE"""),532.3)</f>
        <v>532.3</v>
      </c>
      <c r="F2627" s="9">
        <f>IFERROR(__xludf.DUMMYFUNCTION("""COMPUTED_VALUE"""),5749106.0)</f>
        <v>5749106</v>
      </c>
      <c r="H2627" s="27">
        <f>IFERROR(__xludf.DUMMYFUNCTION("""COMPUTED_VALUE"""),42242.64583333333)</f>
        <v>42242.64583</v>
      </c>
      <c r="I2627" s="25">
        <f>IFERROR(__xludf.DUMMYFUNCTION("""COMPUTED_VALUE"""),1279.03)</f>
        <v>1279.03</v>
      </c>
      <c r="J2627" s="25">
        <f>IFERROR(__xludf.DUMMYFUNCTION("""COMPUTED_VALUE"""),1319.5)</f>
        <v>1319.5</v>
      </c>
      <c r="K2627" s="25">
        <f>IFERROR(__xludf.DUMMYFUNCTION("""COMPUTED_VALUE"""),1255.97)</f>
        <v>1255.97</v>
      </c>
      <c r="L2627" s="25">
        <f>IFERROR(__xludf.DUMMYFUNCTION("""COMPUTED_VALUE"""),1288.38)</f>
        <v>1288.38</v>
      </c>
      <c r="M2627" s="25">
        <f>IFERROR(__xludf.DUMMYFUNCTION("""COMPUTED_VALUE"""),1608079.0)</f>
        <v>1608079</v>
      </c>
    </row>
    <row r="2628">
      <c r="A2628" s="26">
        <f>IFERROR(__xludf.DUMMYFUNCTION("""COMPUTED_VALUE"""),42243.64583333333)</f>
        <v>42243.64583</v>
      </c>
      <c r="B2628" s="9">
        <f>IFERROR(__xludf.DUMMYFUNCTION("""COMPUTED_VALUE"""),544.0)</f>
        <v>544</v>
      </c>
      <c r="C2628" s="9">
        <f>IFERROR(__xludf.DUMMYFUNCTION("""COMPUTED_VALUE"""),550.05)</f>
        <v>550.05</v>
      </c>
      <c r="D2628" s="9">
        <f>IFERROR(__xludf.DUMMYFUNCTION("""COMPUTED_VALUE"""),539.03)</f>
        <v>539.03</v>
      </c>
      <c r="E2628" s="9">
        <f>IFERROR(__xludf.DUMMYFUNCTION("""COMPUTED_VALUE"""),541.4)</f>
        <v>541.4</v>
      </c>
      <c r="F2628" s="9">
        <f>IFERROR(__xludf.DUMMYFUNCTION("""COMPUTED_VALUE"""),7671696.0)</f>
        <v>7671696</v>
      </c>
      <c r="H2628" s="27">
        <f>IFERROR(__xludf.DUMMYFUNCTION("""COMPUTED_VALUE"""),42243.64583333333)</f>
        <v>42243.64583</v>
      </c>
      <c r="I2628" s="25">
        <f>IFERROR(__xludf.DUMMYFUNCTION("""COMPUTED_VALUE"""),1307.45)</f>
        <v>1307.45</v>
      </c>
      <c r="J2628" s="25">
        <f>IFERROR(__xludf.DUMMYFUNCTION("""COMPUTED_VALUE"""),1307.45)</f>
        <v>1307.45</v>
      </c>
      <c r="K2628" s="25">
        <f>IFERROR(__xludf.DUMMYFUNCTION("""COMPUTED_VALUE"""),1272.9)</f>
        <v>1272.9</v>
      </c>
      <c r="L2628" s="25">
        <f>IFERROR(__xludf.DUMMYFUNCTION("""COMPUTED_VALUE"""),1287.33)</f>
        <v>1287.33</v>
      </c>
      <c r="M2628" s="25">
        <f>IFERROR(__xludf.DUMMYFUNCTION("""COMPUTED_VALUE"""),2632399.0)</f>
        <v>2632399</v>
      </c>
    </row>
    <row r="2629">
      <c r="A2629" s="26">
        <f>IFERROR(__xludf.DUMMYFUNCTION("""COMPUTED_VALUE"""),42244.64583333333)</f>
        <v>42244.64583</v>
      </c>
      <c r="B2629" s="9">
        <f>IFERROR(__xludf.DUMMYFUNCTION("""COMPUTED_VALUE"""),550.8)</f>
        <v>550.8</v>
      </c>
      <c r="C2629" s="9">
        <f>IFERROR(__xludf.DUMMYFUNCTION("""COMPUTED_VALUE"""),562.45)</f>
        <v>562.45</v>
      </c>
      <c r="D2629" s="9">
        <f>IFERROR(__xludf.DUMMYFUNCTION("""COMPUTED_VALUE"""),550.8)</f>
        <v>550.8</v>
      </c>
      <c r="E2629" s="9">
        <f>IFERROR(__xludf.DUMMYFUNCTION("""COMPUTED_VALUE"""),555.53)</f>
        <v>555.53</v>
      </c>
      <c r="F2629" s="9">
        <f>IFERROR(__xludf.DUMMYFUNCTION("""COMPUTED_VALUE"""),3604410.0)</f>
        <v>3604410</v>
      </c>
      <c r="H2629" s="27">
        <f>IFERROR(__xludf.DUMMYFUNCTION("""COMPUTED_VALUE"""),42244.64583333333)</f>
        <v>42244.64583</v>
      </c>
      <c r="I2629" s="25">
        <f>IFERROR(__xludf.DUMMYFUNCTION("""COMPUTED_VALUE"""),1304.5)</f>
        <v>1304.5</v>
      </c>
      <c r="J2629" s="25">
        <f>IFERROR(__xludf.DUMMYFUNCTION("""COMPUTED_VALUE"""),1304.5)</f>
        <v>1304.5</v>
      </c>
      <c r="K2629" s="25">
        <f>IFERROR(__xludf.DUMMYFUNCTION("""COMPUTED_VALUE"""),1278.85)</f>
        <v>1278.85</v>
      </c>
      <c r="L2629" s="25">
        <f>IFERROR(__xludf.DUMMYFUNCTION("""COMPUTED_VALUE"""),1285.43)</f>
        <v>1285.43</v>
      </c>
      <c r="M2629" s="25">
        <f>IFERROR(__xludf.DUMMYFUNCTION("""COMPUTED_VALUE"""),1372076.0)</f>
        <v>1372076</v>
      </c>
    </row>
    <row r="2630">
      <c r="A2630" s="26">
        <f>IFERROR(__xludf.DUMMYFUNCTION("""COMPUTED_VALUE"""),42247.64583333333)</f>
        <v>42247.64583</v>
      </c>
      <c r="B2630" s="9">
        <f>IFERROR(__xludf.DUMMYFUNCTION("""COMPUTED_VALUE"""),567.42)</f>
        <v>567.42</v>
      </c>
      <c r="C2630" s="9">
        <f>IFERROR(__xludf.DUMMYFUNCTION("""COMPUTED_VALUE"""),567.42)</f>
        <v>567.42</v>
      </c>
      <c r="D2630" s="9">
        <f>IFERROR(__xludf.DUMMYFUNCTION("""COMPUTED_VALUE"""),541.25)</f>
        <v>541.25</v>
      </c>
      <c r="E2630" s="9">
        <f>IFERROR(__xludf.DUMMYFUNCTION("""COMPUTED_VALUE"""),547.2)</f>
        <v>547.2</v>
      </c>
      <c r="F2630" s="9">
        <f>IFERROR(__xludf.DUMMYFUNCTION("""COMPUTED_VALUE"""),4958532.0)</f>
        <v>4958532</v>
      </c>
      <c r="H2630" s="27">
        <f>IFERROR(__xludf.DUMMYFUNCTION("""COMPUTED_VALUE"""),42247.64583333333)</f>
        <v>42247.64583</v>
      </c>
      <c r="I2630" s="25">
        <f>IFERROR(__xludf.DUMMYFUNCTION("""COMPUTED_VALUE"""),1295.0)</f>
        <v>1295</v>
      </c>
      <c r="J2630" s="25">
        <f>IFERROR(__xludf.DUMMYFUNCTION("""COMPUTED_VALUE"""),1295.0)</f>
        <v>1295</v>
      </c>
      <c r="K2630" s="25">
        <f>IFERROR(__xludf.DUMMYFUNCTION("""COMPUTED_VALUE"""),1265.53)</f>
        <v>1265.53</v>
      </c>
      <c r="L2630" s="25">
        <f>IFERROR(__xludf.DUMMYFUNCTION("""COMPUTED_VALUE"""),1282.03)</f>
        <v>1282.03</v>
      </c>
      <c r="M2630" s="25">
        <f>IFERROR(__xludf.DUMMYFUNCTION("""COMPUTED_VALUE"""),1846022.0)</f>
        <v>1846022</v>
      </c>
    </row>
    <row r="2631">
      <c r="A2631" s="26">
        <f>IFERROR(__xludf.DUMMYFUNCTION("""COMPUTED_VALUE"""),42248.64583333333)</f>
        <v>42248.64583</v>
      </c>
      <c r="B2631" s="9">
        <f>IFERROR(__xludf.DUMMYFUNCTION("""COMPUTED_VALUE"""),545.0)</f>
        <v>545</v>
      </c>
      <c r="C2631" s="9">
        <f>IFERROR(__xludf.DUMMYFUNCTION("""COMPUTED_VALUE"""),557.3)</f>
        <v>557.3</v>
      </c>
      <c r="D2631" s="9">
        <f>IFERROR(__xludf.DUMMYFUNCTION("""COMPUTED_VALUE"""),541.0)</f>
        <v>541</v>
      </c>
      <c r="E2631" s="9">
        <f>IFERROR(__xludf.DUMMYFUNCTION("""COMPUTED_VALUE"""),544.5)</f>
        <v>544.5</v>
      </c>
      <c r="F2631" s="9">
        <f>IFERROR(__xludf.DUMMYFUNCTION("""COMPUTED_VALUE"""),4535775.0)</f>
        <v>4535775</v>
      </c>
      <c r="H2631" s="27">
        <f>IFERROR(__xludf.DUMMYFUNCTION("""COMPUTED_VALUE"""),42248.64583333333)</f>
        <v>42248.64583</v>
      </c>
      <c r="I2631" s="25">
        <f>IFERROR(__xludf.DUMMYFUNCTION("""COMPUTED_VALUE"""),1278.0)</f>
        <v>1278</v>
      </c>
      <c r="J2631" s="25">
        <f>IFERROR(__xludf.DUMMYFUNCTION("""COMPUTED_VALUE"""),1305.6)</f>
        <v>1305.6</v>
      </c>
      <c r="K2631" s="25">
        <f>IFERROR(__xludf.DUMMYFUNCTION("""COMPUTED_VALUE"""),1265.0)</f>
        <v>1265</v>
      </c>
      <c r="L2631" s="25">
        <f>IFERROR(__xludf.DUMMYFUNCTION("""COMPUTED_VALUE"""),1268.7)</f>
        <v>1268.7</v>
      </c>
      <c r="M2631" s="25">
        <f>IFERROR(__xludf.DUMMYFUNCTION("""COMPUTED_VALUE"""),1493801.0)</f>
        <v>1493801</v>
      </c>
    </row>
    <row r="2632">
      <c r="A2632" s="26">
        <f>IFERROR(__xludf.DUMMYFUNCTION("""COMPUTED_VALUE"""),42249.64583333333)</f>
        <v>42249.64583</v>
      </c>
      <c r="B2632" s="9">
        <f>IFERROR(__xludf.DUMMYFUNCTION("""COMPUTED_VALUE"""),549.0)</f>
        <v>549</v>
      </c>
      <c r="C2632" s="9">
        <f>IFERROR(__xludf.DUMMYFUNCTION("""COMPUTED_VALUE"""),557.5)</f>
        <v>557.5</v>
      </c>
      <c r="D2632" s="9">
        <f>IFERROR(__xludf.DUMMYFUNCTION("""COMPUTED_VALUE"""),545.0)</f>
        <v>545</v>
      </c>
      <c r="E2632" s="9">
        <f>IFERROR(__xludf.DUMMYFUNCTION("""COMPUTED_VALUE"""),549.73)</f>
        <v>549.73</v>
      </c>
      <c r="F2632" s="9">
        <f>IFERROR(__xludf.DUMMYFUNCTION("""COMPUTED_VALUE"""),5585915.0)</f>
        <v>5585915</v>
      </c>
      <c r="H2632" s="27">
        <f>IFERROR(__xludf.DUMMYFUNCTION("""COMPUTED_VALUE"""),42249.64583333333)</f>
        <v>42249.64583</v>
      </c>
      <c r="I2632" s="25">
        <f>IFERROR(__xludf.DUMMYFUNCTION("""COMPUTED_VALUE"""),1279.85)</f>
        <v>1279.85</v>
      </c>
      <c r="J2632" s="25">
        <f>IFERROR(__xludf.DUMMYFUNCTION("""COMPUTED_VALUE"""),1310.22)</f>
        <v>1310.22</v>
      </c>
      <c r="K2632" s="25">
        <f>IFERROR(__xludf.DUMMYFUNCTION("""COMPUTED_VALUE"""),1274.0)</f>
        <v>1274</v>
      </c>
      <c r="L2632" s="25">
        <f>IFERROR(__xludf.DUMMYFUNCTION("""COMPUTED_VALUE"""),1295.9)</f>
        <v>1295.9</v>
      </c>
      <c r="M2632" s="25">
        <f>IFERROR(__xludf.DUMMYFUNCTION("""COMPUTED_VALUE"""),1882975.0)</f>
        <v>1882975</v>
      </c>
    </row>
    <row r="2633">
      <c r="A2633" s="26">
        <f>IFERROR(__xludf.DUMMYFUNCTION("""COMPUTED_VALUE"""),42250.64583333333)</f>
        <v>42250.64583</v>
      </c>
      <c r="B2633" s="9">
        <f>IFERROR(__xludf.DUMMYFUNCTION("""COMPUTED_VALUE"""),555.08)</f>
        <v>555.08</v>
      </c>
      <c r="C2633" s="9">
        <f>IFERROR(__xludf.DUMMYFUNCTION("""COMPUTED_VALUE"""),556.0)</f>
        <v>556</v>
      </c>
      <c r="D2633" s="9">
        <f>IFERROR(__xludf.DUMMYFUNCTION("""COMPUTED_VALUE"""),546.25)</f>
        <v>546.25</v>
      </c>
      <c r="E2633" s="9">
        <f>IFERROR(__xludf.DUMMYFUNCTION("""COMPUTED_VALUE"""),549.67)</f>
        <v>549.67</v>
      </c>
      <c r="F2633" s="9">
        <f>IFERROR(__xludf.DUMMYFUNCTION("""COMPUTED_VALUE"""),4295268.0)</f>
        <v>4295268</v>
      </c>
      <c r="H2633" s="27">
        <f>IFERROR(__xludf.DUMMYFUNCTION("""COMPUTED_VALUE"""),42250.64583333333)</f>
        <v>42250.64583</v>
      </c>
      <c r="I2633" s="25">
        <f>IFERROR(__xludf.DUMMYFUNCTION("""COMPUTED_VALUE"""),1298.05)</f>
        <v>1298.05</v>
      </c>
      <c r="J2633" s="25">
        <f>IFERROR(__xludf.DUMMYFUNCTION("""COMPUTED_VALUE"""),1307.5)</f>
        <v>1307.5</v>
      </c>
      <c r="K2633" s="25">
        <f>IFERROR(__xludf.DUMMYFUNCTION("""COMPUTED_VALUE"""),1288.13)</f>
        <v>1288.13</v>
      </c>
      <c r="L2633" s="25">
        <f>IFERROR(__xludf.DUMMYFUNCTION("""COMPUTED_VALUE"""),1302.8)</f>
        <v>1302.8</v>
      </c>
      <c r="M2633" s="25">
        <f>IFERROR(__xludf.DUMMYFUNCTION("""COMPUTED_VALUE"""),1132537.0)</f>
        <v>1132537</v>
      </c>
    </row>
    <row r="2634">
      <c r="A2634" s="26">
        <f>IFERROR(__xludf.DUMMYFUNCTION("""COMPUTED_VALUE"""),42251.64583333333)</f>
        <v>42251.64583</v>
      </c>
      <c r="B2634" s="9">
        <f>IFERROR(__xludf.DUMMYFUNCTION("""COMPUTED_VALUE"""),551.5)</f>
        <v>551.5</v>
      </c>
      <c r="C2634" s="9">
        <f>IFERROR(__xludf.DUMMYFUNCTION("""COMPUTED_VALUE"""),555.5)</f>
        <v>555.5</v>
      </c>
      <c r="D2634" s="9">
        <f>IFERROR(__xludf.DUMMYFUNCTION("""COMPUTED_VALUE"""),533.5)</f>
        <v>533.5</v>
      </c>
      <c r="E2634" s="9">
        <f>IFERROR(__xludf.DUMMYFUNCTION("""COMPUTED_VALUE"""),536.98)</f>
        <v>536.98</v>
      </c>
      <c r="F2634" s="9">
        <f>IFERROR(__xludf.DUMMYFUNCTION("""COMPUTED_VALUE"""),3659444.0)</f>
        <v>3659444</v>
      </c>
      <c r="H2634" s="27">
        <f>IFERROR(__xludf.DUMMYFUNCTION("""COMPUTED_VALUE"""),42251.64583333333)</f>
        <v>42251.64583</v>
      </c>
      <c r="I2634" s="25">
        <f>IFERROR(__xludf.DUMMYFUNCTION("""COMPUTED_VALUE"""),1305.7)</f>
        <v>1305.7</v>
      </c>
      <c r="J2634" s="25">
        <f>IFERROR(__xludf.DUMMYFUNCTION("""COMPUTED_VALUE"""),1307.45)</f>
        <v>1307.45</v>
      </c>
      <c r="K2634" s="25">
        <f>IFERROR(__xludf.DUMMYFUNCTION("""COMPUTED_VALUE"""),1269.58)</f>
        <v>1269.58</v>
      </c>
      <c r="L2634" s="25">
        <f>IFERROR(__xludf.DUMMYFUNCTION("""COMPUTED_VALUE"""),1273.72)</f>
        <v>1273.72</v>
      </c>
      <c r="M2634" s="25">
        <f>IFERROR(__xludf.DUMMYFUNCTION("""COMPUTED_VALUE"""),1213198.0)</f>
        <v>1213198</v>
      </c>
    </row>
    <row r="2635">
      <c r="A2635" s="26">
        <f>IFERROR(__xludf.DUMMYFUNCTION("""COMPUTED_VALUE"""),42254.64583333333)</f>
        <v>42254.64583</v>
      </c>
      <c r="B2635" s="9">
        <f>IFERROR(__xludf.DUMMYFUNCTION("""COMPUTED_VALUE"""),542.48)</f>
        <v>542.48</v>
      </c>
      <c r="C2635" s="9">
        <f>IFERROR(__xludf.DUMMYFUNCTION("""COMPUTED_VALUE"""),542.5)</f>
        <v>542.5</v>
      </c>
      <c r="D2635" s="9">
        <f>IFERROR(__xludf.DUMMYFUNCTION("""COMPUTED_VALUE"""),527.5)</f>
        <v>527.5</v>
      </c>
      <c r="E2635" s="9">
        <f>IFERROR(__xludf.DUMMYFUNCTION("""COMPUTED_VALUE"""),529.38)</f>
        <v>529.38</v>
      </c>
      <c r="F2635" s="9">
        <f>IFERROR(__xludf.DUMMYFUNCTION("""COMPUTED_VALUE"""),2590494.0)</f>
        <v>2590494</v>
      </c>
      <c r="H2635" s="27">
        <f>IFERROR(__xludf.DUMMYFUNCTION("""COMPUTED_VALUE"""),42254.64583333333)</f>
        <v>42254.64583</v>
      </c>
      <c r="I2635" s="25">
        <f>IFERROR(__xludf.DUMMYFUNCTION("""COMPUTED_VALUE"""),1276.5)</f>
        <v>1276.5</v>
      </c>
      <c r="J2635" s="25">
        <f>IFERROR(__xludf.DUMMYFUNCTION("""COMPUTED_VALUE"""),1279.97)</f>
        <v>1279.97</v>
      </c>
      <c r="K2635" s="25">
        <f>IFERROR(__xludf.DUMMYFUNCTION("""COMPUTED_VALUE"""),1266.35)</f>
        <v>1266.35</v>
      </c>
      <c r="L2635" s="25">
        <f>IFERROR(__xludf.DUMMYFUNCTION("""COMPUTED_VALUE"""),1269.88)</f>
        <v>1269.88</v>
      </c>
      <c r="M2635" s="25">
        <f>IFERROR(__xludf.DUMMYFUNCTION("""COMPUTED_VALUE"""),879592.0)</f>
        <v>879592</v>
      </c>
    </row>
    <row r="2636">
      <c r="A2636" s="26">
        <f>IFERROR(__xludf.DUMMYFUNCTION("""COMPUTED_VALUE"""),42255.64583333333)</f>
        <v>42255.64583</v>
      </c>
      <c r="B2636" s="9">
        <f>IFERROR(__xludf.DUMMYFUNCTION("""COMPUTED_VALUE"""),531.0)</f>
        <v>531</v>
      </c>
      <c r="C2636" s="9">
        <f>IFERROR(__xludf.DUMMYFUNCTION("""COMPUTED_VALUE"""),537.0)</f>
        <v>537</v>
      </c>
      <c r="D2636" s="9">
        <f>IFERROR(__xludf.DUMMYFUNCTION("""COMPUTED_VALUE"""),526.15)</f>
        <v>526.15</v>
      </c>
      <c r="E2636" s="9">
        <f>IFERROR(__xludf.DUMMYFUNCTION("""COMPUTED_VALUE"""),529.4)</f>
        <v>529.4</v>
      </c>
      <c r="F2636" s="9">
        <f>IFERROR(__xludf.DUMMYFUNCTION("""COMPUTED_VALUE"""),2729748.0)</f>
        <v>2729748</v>
      </c>
      <c r="H2636" s="27">
        <f>IFERROR(__xludf.DUMMYFUNCTION("""COMPUTED_VALUE"""),42255.64583333333)</f>
        <v>42255.64583</v>
      </c>
      <c r="I2636" s="25">
        <f>IFERROR(__xludf.DUMMYFUNCTION("""COMPUTED_VALUE"""),1272.5)</f>
        <v>1272.5</v>
      </c>
      <c r="J2636" s="25">
        <f>IFERROR(__xludf.DUMMYFUNCTION("""COMPUTED_VALUE"""),1282.05)</f>
        <v>1282.05</v>
      </c>
      <c r="K2636" s="25">
        <f>IFERROR(__xludf.DUMMYFUNCTION("""COMPUTED_VALUE"""),1261.75)</f>
        <v>1261.75</v>
      </c>
      <c r="L2636" s="25">
        <f>IFERROR(__xludf.DUMMYFUNCTION("""COMPUTED_VALUE"""),1270.15)</f>
        <v>1270.15</v>
      </c>
      <c r="M2636" s="25">
        <f>IFERROR(__xludf.DUMMYFUNCTION("""COMPUTED_VALUE"""),893873.0)</f>
        <v>893873</v>
      </c>
    </row>
    <row r="2637">
      <c r="A2637" s="26">
        <f>IFERROR(__xludf.DUMMYFUNCTION("""COMPUTED_VALUE"""),42256.64583333333)</f>
        <v>42256.64583</v>
      </c>
      <c r="B2637" s="9">
        <f>IFERROR(__xludf.DUMMYFUNCTION("""COMPUTED_VALUE"""),543.55)</f>
        <v>543.55</v>
      </c>
      <c r="C2637" s="9">
        <f>IFERROR(__xludf.DUMMYFUNCTION("""COMPUTED_VALUE"""),549.8)</f>
        <v>549.8</v>
      </c>
      <c r="D2637" s="9">
        <f>IFERROR(__xludf.DUMMYFUNCTION("""COMPUTED_VALUE"""),536.0)</f>
        <v>536</v>
      </c>
      <c r="E2637" s="9">
        <f>IFERROR(__xludf.DUMMYFUNCTION("""COMPUTED_VALUE"""),544.35)</f>
        <v>544.35</v>
      </c>
      <c r="F2637" s="9">
        <f>IFERROR(__xludf.DUMMYFUNCTION("""COMPUTED_VALUE"""),4574332.0)</f>
        <v>4574332</v>
      </c>
      <c r="H2637" s="27">
        <f>IFERROR(__xludf.DUMMYFUNCTION("""COMPUTED_VALUE"""),42256.64583333333)</f>
        <v>42256.64583</v>
      </c>
      <c r="I2637" s="25">
        <f>IFERROR(__xludf.DUMMYFUNCTION("""COMPUTED_VALUE"""),1281.47)</f>
        <v>1281.47</v>
      </c>
      <c r="J2637" s="25">
        <f>IFERROR(__xludf.DUMMYFUNCTION("""COMPUTED_VALUE"""),1287.0)</f>
        <v>1287</v>
      </c>
      <c r="K2637" s="25">
        <f>IFERROR(__xludf.DUMMYFUNCTION("""COMPUTED_VALUE"""),1272.0)</f>
        <v>1272</v>
      </c>
      <c r="L2637" s="25">
        <f>IFERROR(__xludf.DUMMYFUNCTION("""COMPUTED_VALUE"""),1274.88)</f>
        <v>1274.88</v>
      </c>
      <c r="M2637" s="25">
        <f>IFERROR(__xludf.DUMMYFUNCTION("""COMPUTED_VALUE"""),1022538.0)</f>
        <v>1022538</v>
      </c>
    </row>
    <row r="2638">
      <c r="A2638" s="26">
        <f>IFERROR(__xludf.DUMMYFUNCTION("""COMPUTED_VALUE"""),42257.64583333333)</f>
        <v>42257.64583</v>
      </c>
      <c r="B2638" s="9">
        <f>IFERROR(__xludf.DUMMYFUNCTION("""COMPUTED_VALUE"""),542.45)</f>
        <v>542.45</v>
      </c>
      <c r="C2638" s="9">
        <f>IFERROR(__xludf.DUMMYFUNCTION("""COMPUTED_VALUE"""),545.75)</f>
        <v>545.75</v>
      </c>
      <c r="D2638" s="9">
        <f>IFERROR(__xludf.DUMMYFUNCTION("""COMPUTED_VALUE"""),530.5)</f>
        <v>530.5</v>
      </c>
      <c r="E2638" s="9">
        <f>IFERROR(__xludf.DUMMYFUNCTION("""COMPUTED_VALUE"""),540.23)</f>
        <v>540.23</v>
      </c>
      <c r="F2638" s="9">
        <f>IFERROR(__xludf.DUMMYFUNCTION("""COMPUTED_VALUE"""),4181502.0)</f>
        <v>4181502</v>
      </c>
      <c r="H2638" s="27">
        <f>IFERROR(__xludf.DUMMYFUNCTION("""COMPUTED_VALUE"""),42257.64583333333)</f>
        <v>42257.64583</v>
      </c>
      <c r="I2638" s="25">
        <f>IFERROR(__xludf.DUMMYFUNCTION("""COMPUTED_VALUE"""),1271.0)</f>
        <v>1271</v>
      </c>
      <c r="J2638" s="25">
        <f>IFERROR(__xludf.DUMMYFUNCTION("""COMPUTED_VALUE"""),1289.25)</f>
        <v>1289.25</v>
      </c>
      <c r="K2638" s="25">
        <f>IFERROR(__xludf.DUMMYFUNCTION("""COMPUTED_VALUE"""),1263.5)</f>
        <v>1263.5</v>
      </c>
      <c r="L2638" s="25">
        <f>IFERROR(__xludf.DUMMYFUNCTION("""COMPUTED_VALUE"""),1272.7)</f>
        <v>1272.7</v>
      </c>
      <c r="M2638" s="25">
        <f>IFERROR(__xludf.DUMMYFUNCTION("""COMPUTED_VALUE"""),1332909.0)</f>
        <v>1332909</v>
      </c>
    </row>
    <row r="2639">
      <c r="A2639" s="26">
        <f>IFERROR(__xludf.DUMMYFUNCTION("""COMPUTED_VALUE"""),42258.64583333333)</f>
        <v>42258.64583</v>
      </c>
      <c r="B2639" s="9">
        <f>IFERROR(__xludf.DUMMYFUNCTION("""COMPUTED_VALUE"""),545.78)</f>
        <v>545.78</v>
      </c>
      <c r="C2639" s="9">
        <f>IFERROR(__xludf.DUMMYFUNCTION("""COMPUTED_VALUE"""),553.2)</f>
        <v>553.2</v>
      </c>
      <c r="D2639" s="9">
        <f>IFERROR(__xludf.DUMMYFUNCTION("""COMPUTED_VALUE"""),542.75)</f>
        <v>542.75</v>
      </c>
      <c r="E2639" s="9">
        <f>IFERROR(__xludf.DUMMYFUNCTION("""COMPUTED_VALUE"""),545.38)</f>
        <v>545.38</v>
      </c>
      <c r="F2639" s="9">
        <f>IFERROR(__xludf.DUMMYFUNCTION("""COMPUTED_VALUE"""),4941905.0)</f>
        <v>4941905</v>
      </c>
      <c r="H2639" s="27">
        <f>IFERROR(__xludf.DUMMYFUNCTION("""COMPUTED_VALUE"""),42258.64583333333)</f>
        <v>42258.64583</v>
      </c>
      <c r="I2639" s="25">
        <f>IFERROR(__xludf.DUMMYFUNCTION("""COMPUTED_VALUE"""),1273.25)</f>
        <v>1273.25</v>
      </c>
      <c r="J2639" s="25">
        <f>IFERROR(__xludf.DUMMYFUNCTION("""COMPUTED_VALUE"""),1284.2)</f>
        <v>1284.2</v>
      </c>
      <c r="K2639" s="25">
        <f>IFERROR(__xludf.DUMMYFUNCTION("""COMPUTED_VALUE"""),1270.3)</f>
        <v>1270.3</v>
      </c>
      <c r="L2639" s="25">
        <f>IFERROR(__xludf.DUMMYFUNCTION("""COMPUTED_VALUE"""),1276.0)</f>
        <v>1276</v>
      </c>
      <c r="M2639" s="25">
        <f>IFERROR(__xludf.DUMMYFUNCTION("""COMPUTED_VALUE"""),796336.0)</f>
        <v>796336</v>
      </c>
    </row>
    <row r="2640">
      <c r="A2640" s="26">
        <f>IFERROR(__xludf.DUMMYFUNCTION("""COMPUTED_VALUE"""),42261.64583333333)</f>
        <v>42261.64583</v>
      </c>
      <c r="B2640" s="9">
        <f>IFERROR(__xludf.DUMMYFUNCTION("""COMPUTED_VALUE"""),549.5)</f>
        <v>549.5</v>
      </c>
      <c r="C2640" s="9">
        <f>IFERROR(__xludf.DUMMYFUNCTION("""COMPUTED_VALUE"""),552.0)</f>
        <v>552</v>
      </c>
      <c r="D2640" s="9">
        <f>IFERROR(__xludf.DUMMYFUNCTION("""COMPUTED_VALUE"""),541.33)</f>
        <v>541.33</v>
      </c>
      <c r="E2640" s="9">
        <f>IFERROR(__xludf.DUMMYFUNCTION("""COMPUTED_VALUE"""),549.88)</f>
        <v>549.88</v>
      </c>
      <c r="F2640" s="9">
        <f>IFERROR(__xludf.DUMMYFUNCTION("""COMPUTED_VALUE"""),3278538.0)</f>
        <v>3278538</v>
      </c>
      <c r="H2640" s="27">
        <f>IFERROR(__xludf.DUMMYFUNCTION("""COMPUTED_VALUE"""),42261.64583333333)</f>
        <v>42261.64583</v>
      </c>
      <c r="I2640" s="25">
        <f>IFERROR(__xludf.DUMMYFUNCTION("""COMPUTED_VALUE"""),1282.5)</f>
        <v>1282.5</v>
      </c>
      <c r="J2640" s="25">
        <f>IFERROR(__xludf.DUMMYFUNCTION("""COMPUTED_VALUE"""),1282.5)</f>
        <v>1282.5</v>
      </c>
      <c r="K2640" s="25">
        <f>IFERROR(__xludf.DUMMYFUNCTION("""COMPUTED_VALUE"""),1271.5)</f>
        <v>1271.5</v>
      </c>
      <c r="L2640" s="25">
        <f>IFERROR(__xludf.DUMMYFUNCTION("""COMPUTED_VALUE"""),1275.83)</f>
        <v>1275.83</v>
      </c>
      <c r="M2640" s="25">
        <f>IFERROR(__xludf.DUMMYFUNCTION("""COMPUTED_VALUE"""),794659.0)</f>
        <v>794659</v>
      </c>
    </row>
    <row r="2641">
      <c r="A2641" s="26">
        <f>IFERROR(__xludf.DUMMYFUNCTION("""COMPUTED_VALUE"""),42262.64583333333)</f>
        <v>42262.64583</v>
      </c>
      <c r="B2641" s="9">
        <f>IFERROR(__xludf.DUMMYFUNCTION("""COMPUTED_VALUE"""),549.7)</f>
        <v>549.7</v>
      </c>
      <c r="C2641" s="9">
        <f>IFERROR(__xludf.DUMMYFUNCTION("""COMPUTED_VALUE"""),0.0)</f>
        <v>0</v>
      </c>
      <c r="D2641" s="9">
        <f>IFERROR(__xludf.DUMMYFUNCTION("""COMPUTED_VALUE"""),0.0)</f>
        <v>0</v>
      </c>
      <c r="E2641" s="9">
        <f>IFERROR(__xludf.DUMMYFUNCTION("""COMPUTED_VALUE"""),550.0)</f>
        <v>550</v>
      </c>
      <c r="F2641" s="9">
        <f>IFERROR(__xludf.DUMMYFUNCTION("""COMPUTED_VALUE"""),0.0)</f>
        <v>0</v>
      </c>
      <c r="H2641" s="27">
        <f>IFERROR(__xludf.DUMMYFUNCTION("""COMPUTED_VALUE"""),42262.64583333333)</f>
        <v>42262.64583</v>
      </c>
      <c r="I2641" s="25">
        <f>IFERROR(__xludf.DUMMYFUNCTION("""COMPUTED_VALUE"""),1275.83)</f>
        <v>1275.83</v>
      </c>
      <c r="J2641" s="25">
        <f>IFERROR(__xludf.DUMMYFUNCTION("""COMPUTED_VALUE"""),1279.45)</f>
        <v>1279.45</v>
      </c>
      <c r="K2641" s="25">
        <f>IFERROR(__xludf.DUMMYFUNCTION("""COMPUTED_VALUE"""),1268.0)</f>
        <v>1268</v>
      </c>
      <c r="L2641" s="25">
        <f>IFERROR(__xludf.DUMMYFUNCTION("""COMPUTED_VALUE"""),1268.63)</f>
        <v>1268.63</v>
      </c>
      <c r="M2641" s="25">
        <f>IFERROR(__xludf.DUMMYFUNCTION("""COMPUTED_VALUE"""),689950.0)</f>
        <v>689950</v>
      </c>
    </row>
    <row r="2642">
      <c r="A2642" s="26">
        <f>IFERROR(__xludf.DUMMYFUNCTION("""COMPUTED_VALUE"""),42263.64583333333)</f>
        <v>42263.64583</v>
      </c>
      <c r="B2642" s="9">
        <f>IFERROR(__xludf.DUMMYFUNCTION("""COMPUTED_VALUE"""),554.0)</f>
        <v>554</v>
      </c>
      <c r="C2642" s="9">
        <f>IFERROR(__xludf.DUMMYFUNCTION("""COMPUTED_VALUE"""),554.88)</f>
        <v>554.88</v>
      </c>
      <c r="D2642" s="9">
        <f>IFERROR(__xludf.DUMMYFUNCTION("""COMPUTED_VALUE"""),549.15)</f>
        <v>549.15</v>
      </c>
      <c r="E2642" s="9">
        <f>IFERROR(__xludf.DUMMYFUNCTION("""COMPUTED_VALUE"""),550.83)</f>
        <v>550.83</v>
      </c>
      <c r="F2642" s="9">
        <f>IFERROR(__xludf.DUMMYFUNCTION("""COMPUTED_VALUE"""),3739120.0)</f>
        <v>3739120</v>
      </c>
      <c r="H2642" s="27">
        <f>IFERROR(__xludf.DUMMYFUNCTION("""COMPUTED_VALUE"""),42263.64583333333)</f>
        <v>42263.64583</v>
      </c>
      <c r="I2642" s="25">
        <f>IFERROR(__xludf.DUMMYFUNCTION("""COMPUTED_VALUE"""),1277.5)</f>
        <v>1277.5</v>
      </c>
      <c r="J2642" s="25">
        <f>IFERROR(__xludf.DUMMYFUNCTION("""COMPUTED_VALUE"""),1282.5)</f>
        <v>1282.5</v>
      </c>
      <c r="K2642" s="25">
        <f>IFERROR(__xludf.DUMMYFUNCTION("""COMPUTED_VALUE"""),1270.53)</f>
        <v>1270.53</v>
      </c>
      <c r="L2642" s="25">
        <f>IFERROR(__xludf.DUMMYFUNCTION("""COMPUTED_VALUE"""),1275.18)</f>
        <v>1275.18</v>
      </c>
      <c r="M2642" s="25">
        <f>IFERROR(__xludf.DUMMYFUNCTION("""COMPUTED_VALUE"""),878408.0)</f>
        <v>878408</v>
      </c>
    </row>
    <row r="2643">
      <c r="A2643" s="26">
        <f>IFERROR(__xludf.DUMMYFUNCTION("""COMPUTED_VALUE"""),42265.64583333333)</f>
        <v>42265.64583</v>
      </c>
      <c r="B2643" s="9">
        <f>IFERROR(__xludf.DUMMYFUNCTION("""COMPUTED_VALUE"""),555.9)</f>
        <v>555.9</v>
      </c>
      <c r="C2643" s="9">
        <f>IFERROR(__xludf.DUMMYFUNCTION("""COMPUTED_VALUE"""),558.95)</f>
        <v>558.95</v>
      </c>
      <c r="D2643" s="9">
        <f>IFERROR(__xludf.DUMMYFUNCTION("""COMPUTED_VALUE"""),549.53)</f>
        <v>549.53</v>
      </c>
      <c r="E2643" s="9">
        <f>IFERROR(__xludf.DUMMYFUNCTION("""COMPUTED_VALUE"""),552.23)</f>
        <v>552.23</v>
      </c>
      <c r="F2643" s="9">
        <f>IFERROR(__xludf.DUMMYFUNCTION("""COMPUTED_VALUE"""),5788438.0)</f>
        <v>5788438</v>
      </c>
      <c r="H2643" s="27">
        <f>IFERROR(__xludf.DUMMYFUNCTION("""COMPUTED_VALUE"""),42265.64583333333)</f>
        <v>42265.64583</v>
      </c>
      <c r="I2643" s="25">
        <f>IFERROR(__xludf.DUMMYFUNCTION("""COMPUTED_VALUE"""),1282.5)</f>
        <v>1282.5</v>
      </c>
      <c r="J2643" s="25">
        <f>IFERROR(__xludf.DUMMYFUNCTION("""COMPUTED_VALUE"""),1293.0)</f>
        <v>1293</v>
      </c>
      <c r="K2643" s="25">
        <f>IFERROR(__xludf.DUMMYFUNCTION("""COMPUTED_VALUE"""),1269.5)</f>
        <v>1269.5</v>
      </c>
      <c r="L2643" s="25">
        <f>IFERROR(__xludf.DUMMYFUNCTION("""COMPUTED_VALUE"""),1275.63)</f>
        <v>1275.63</v>
      </c>
      <c r="M2643" s="25">
        <f>IFERROR(__xludf.DUMMYFUNCTION("""COMPUTED_VALUE"""),1227647.0)</f>
        <v>1227647</v>
      </c>
    </row>
    <row r="2644">
      <c r="A2644" s="26">
        <f>IFERROR(__xludf.DUMMYFUNCTION("""COMPUTED_VALUE"""),42268.64583333333)</f>
        <v>42268.64583</v>
      </c>
      <c r="B2644" s="9">
        <f>IFERROR(__xludf.DUMMYFUNCTION("""COMPUTED_VALUE"""),550.0)</f>
        <v>550</v>
      </c>
      <c r="C2644" s="9">
        <f>IFERROR(__xludf.DUMMYFUNCTION("""COMPUTED_VALUE"""),554.42)</f>
        <v>554.42</v>
      </c>
      <c r="D2644" s="9">
        <f>IFERROR(__xludf.DUMMYFUNCTION("""COMPUTED_VALUE"""),546.25)</f>
        <v>546.25</v>
      </c>
      <c r="E2644" s="9">
        <f>IFERROR(__xludf.DUMMYFUNCTION("""COMPUTED_VALUE"""),552.33)</f>
        <v>552.33</v>
      </c>
      <c r="F2644" s="9">
        <f>IFERROR(__xludf.DUMMYFUNCTION("""COMPUTED_VALUE"""),2175617.0)</f>
        <v>2175617</v>
      </c>
      <c r="H2644" s="27">
        <f>IFERROR(__xludf.DUMMYFUNCTION("""COMPUTED_VALUE"""),42268.64583333333)</f>
        <v>42268.64583</v>
      </c>
      <c r="I2644" s="25">
        <f>IFERROR(__xludf.DUMMYFUNCTION("""COMPUTED_VALUE"""),1275.0)</f>
        <v>1275</v>
      </c>
      <c r="J2644" s="25">
        <f>IFERROR(__xludf.DUMMYFUNCTION("""COMPUTED_VALUE"""),1278.55)</f>
        <v>1278.55</v>
      </c>
      <c r="K2644" s="25">
        <f>IFERROR(__xludf.DUMMYFUNCTION("""COMPUTED_VALUE"""),1266.6)</f>
        <v>1266.6</v>
      </c>
      <c r="L2644" s="25">
        <f>IFERROR(__xludf.DUMMYFUNCTION("""COMPUTED_VALUE"""),1275.53)</f>
        <v>1275.53</v>
      </c>
      <c r="M2644" s="25">
        <f>IFERROR(__xludf.DUMMYFUNCTION("""COMPUTED_VALUE"""),554420.0)</f>
        <v>554420</v>
      </c>
    </row>
    <row r="2645">
      <c r="A2645" s="26">
        <f>IFERROR(__xludf.DUMMYFUNCTION("""COMPUTED_VALUE"""),42269.64583333333)</f>
        <v>42269.64583</v>
      </c>
      <c r="B2645" s="9">
        <f>IFERROR(__xludf.DUMMYFUNCTION("""COMPUTED_VALUE"""),557.5)</f>
        <v>557.5</v>
      </c>
      <c r="C2645" s="9">
        <f>IFERROR(__xludf.DUMMYFUNCTION("""COMPUTED_VALUE"""),567.98)</f>
        <v>567.98</v>
      </c>
      <c r="D2645" s="9">
        <f>IFERROR(__xludf.DUMMYFUNCTION("""COMPUTED_VALUE"""),550.55)</f>
        <v>550.55</v>
      </c>
      <c r="E2645" s="9">
        <f>IFERROR(__xludf.DUMMYFUNCTION("""COMPUTED_VALUE"""),553.73)</f>
        <v>553.73</v>
      </c>
      <c r="F2645" s="9">
        <f>IFERROR(__xludf.DUMMYFUNCTION("""COMPUTED_VALUE"""),4813493.0)</f>
        <v>4813493</v>
      </c>
      <c r="H2645" s="27">
        <f>IFERROR(__xludf.DUMMYFUNCTION("""COMPUTED_VALUE"""),42269.64583333333)</f>
        <v>42269.64583</v>
      </c>
      <c r="I2645" s="25">
        <f>IFERROR(__xludf.DUMMYFUNCTION("""COMPUTED_VALUE"""),1278.75)</f>
        <v>1278.75</v>
      </c>
      <c r="J2645" s="25">
        <f>IFERROR(__xludf.DUMMYFUNCTION("""COMPUTED_VALUE"""),1286.2)</f>
        <v>1286.2</v>
      </c>
      <c r="K2645" s="25">
        <f>IFERROR(__xludf.DUMMYFUNCTION("""COMPUTED_VALUE"""),1245.0)</f>
        <v>1245</v>
      </c>
      <c r="L2645" s="25">
        <f>IFERROR(__xludf.DUMMYFUNCTION("""COMPUTED_VALUE"""),1263.4)</f>
        <v>1263.4</v>
      </c>
      <c r="M2645" s="25">
        <f>IFERROR(__xludf.DUMMYFUNCTION("""COMPUTED_VALUE"""),1040623.0)</f>
        <v>1040623</v>
      </c>
    </row>
    <row r="2646">
      <c r="A2646" s="26">
        <f>IFERROR(__xludf.DUMMYFUNCTION("""COMPUTED_VALUE"""),42270.64583333333)</f>
        <v>42270.64583</v>
      </c>
      <c r="B2646" s="9">
        <f>IFERROR(__xludf.DUMMYFUNCTION("""COMPUTED_VALUE"""),553.73)</f>
        <v>553.73</v>
      </c>
      <c r="C2646" s="9">
        <f>IFERROR(__xludf.DUMMYFUNCTION("""COMPUTED_VALUE"""),563.17)</f>
        <v>563.17</v>
      </c>
      <c r="D2646" s="9">
        <f>IFERROR(__xludf.DUMMYFUNCTION("""COMPUTED_VALUE"""),548.73)</f>
        <v>548.73</v>
      </c>
      <c r="E2646" s="9">
        <f>IFERROR(__xludf.DUMMYFUNCTION("""COMPUTED_VALUE"""),558.13)</f>
        <v>558.13</v>
      </c>
      <c r="F2646" s="9">
        <f>IFERROR(__xludf.DUMMYFUNCTION("""COMPUTED_VALUE"""),2379127.0)</f>
        <v>2379127</v>
      </c>
      <c r="H2646" s="27">
        <f>IFERROR(__xludf.DUMMYFUNCTION("""COMPUTED_VALUE"""),42270.64583333333)</f>
        <v>42270.64583</v>
      </c>
      <c r="I2646" s="25">
        <f>IFERROR(__xludf.DUMMYFUNCTION("""COMPUTED_VALUE"""),1267.15)</f>
        <v>1267.15</v>
      </c>
      <c r="J2646" s="25">
        <f>IFERROR(__xludf.DUMMYFUNCTION("""COMPUTED_VALUE"""),1278.88)</f>
        <v>1278.88</v>
      </c>
      <c r="K2646" s="25">
        <f>IFERROR(__xludf.DUMMYFUNCTION("""COMPUTED_VALUE"""),1256.3)</f>
        <v>1256.3</v>
      </c>
      <c r="L2646" s="25">
        <f>IFERROR(__xludf.DUMMYFUNCTION("""COMPUTED_VALUE"""),1266.33)</f>
        <v>1266.33</v>
      </c>
      <c r="M2646" s="25">
        <f>IFERROR(__xludf.DUMMYFUNCTION("""COMPUTED_VALUE"""),614176.0)</f>
        <v>614176</v>
      </c>
    </row>
    <row r="2647">
      <c r="A2647" s="26">
        <f>IFERROR(__xludf.DUMMYFUNCTION("""COMPUTED_VALUE"""),42271.64583333333)</f>
        <v>42271.64583</v>
      </c>
      <c r="B2647" s="9">
        <f>IFERROR(__xludf.DUMMYFUNCTION("""COMPUTED_VALUE"""),556.75)</f>
        <v>556.75</v>
      </c>
      <c r="C2647" s="9">
        <f>IFERROR(__xludf.DUMMYFUNCTION("""COMPUTED_VALUE"""),576.35)</f>
        <v>576.35</v>
      </c>
      <c r="D2647" s="9">
        <f>IFERROR(__xludf.DUMMYFUNCTION("""COMPUTED_VALUE"""),555.0)</f>
        <v>555</v>
      </c>
      <c r="E2647" s="9">
        <f>IFERROR(__xludf.DUMMYFUNCTION("""COMPUTED_VALUE"""),570.28)</f>
        <v>570.28</v>
      </c>
      <c r="F2647" s="9">
        <f>IFERROR(__xludf.DUMMYFUNCTION("""COMPUTED_VALUE"""),6699631.0)</f>
        <v>6699631</v>
      </c>
      <c r="H2647" s="27">
        <f>IFERROR(__xludf.DUMMYFUNCTION("""COMPUTED_VALUE"""),42271.64583333333)</f>
        <v>42271.64583</v>
      </c>
      <c r="I2647" s="25">
        <f>IFERROR(__xludf.DUMMYFUNCTION("""COMPUTED_VALUE"""),1267.75)</f>
        <v>1267.75</v>
      </c>
      <c r="J2647" s="25">
        <f>IFERROR(__xludf.DUMMYFUNCTION("""COMPUTED_VALUE"""),1295.0)</f>
        <v>1295</v>
      </c>
      <c r="K2647" s="25">
        <f>IFERROR(__xludf.DUMMYFUNCTION("""COMPUTED_VALUE"""),1264.95)</f>
        <v>1264.95</v>
      </c>
      <c r="L2647" s="25">
        <f>IFERROR(__xludf.DUMMYFUNCTION("""COMPUTED_VALUE"""),1290.2)</f>
        <v>1290.2</v>
      </c>
      <c r="M2647" s="25">
        <f>IFERROR(__xludf.DUMMYFUNCTION("""COMPUTED_VALUE"""),1177127.0)</f>
        <v>1177127</v>
      </c>
    </row>
    <row r="2648">
      <c r="A2648" s="26">
        <f>IFERROR(__xludf.DUMMYFUNCTION("""COMPUTED_VALUE"""),42275.64583333333)</f>
        <v>42275.64583</v>
      </c>
      <c r="B2648" s="9">
        <f>IFERROR(__xludf.DUMMYFUNCTION("""COMPUTED_VALUE"""),569.98)</f>
        <v>569.98</v>
      </c>
      <c r="C2648" s="9">
        <f>IFERROR(__xludf.DUMMYFUNCTION("""COMPUTED_VALUE"""),571.42)</f>
        <v>571.42</v>
      </c>
      <c r="D2648" s="9">
        <f>IFERROR(__xludf.DUMMYFUNCTION("""COMPUTED_VALUE"""),550.5)</f>
        <v>550.5</v>
      </c>
      <c r="E2648" s="9">
        <f>IFERROR(__xludf.DUMMYFUNCTION("""COMPUTED_VALUE"""),552.78)</f>
        <v>552.78</v>
      </c>
      <c r="F2648" s="9">
        <f>IFERROR(__xludf.DUMMYFUNCTION("""COMPUTED_VALUE"""),4894232.0)</f>
        <v>4894232</v>
      </c>
      <c r="H2648" s="27">
        <f>IFERROR(__xludf.DUMMYFUNCTION("""COMPUTED_VALUE"""),42275.64583333333)</f>
        <v>42275.64583</v>
      </c>
      <c r="I2648" s="25">
        <f>IFERROR(__xludf.DUMMYFUNCTION("""COMPUTED_VALUE"""),1297.0)</f>
        <v>1297</v>
      </c>
      <c r="J2648" s="25">
        <f>IFERROR(__xludf.DUMMYFUNCTION("""COMPUTED_VALUE"""),1309.5)</f>
        <v>1309.5</v>
      </c>
      <c r="K2648" s="25">
        <f>IFERROR(__xludf.DUMMYFUNCTION("""COMPUTED_VALUE"""),1289.75)</f>
        <v>1289.75</v>
      </c>
      <c r="L2648" s="25">
        <f>IFERROR(__xludf.DUMMYFUNCTION("""COMPUTED_VALUE"""),1296.85)</f>
        <v>1296.85</v>
      </c>
      <c r="M2648" s="25">
        <f>IFERROR(__xludf.DUMMYFUNCTION("""COMPUTED_VALUE"""),1183406.0)</f>
        <v>1183406</v>
      </c>
    </row>
    <row r="2649">
      <c r="A2649" s="26">
        <f>IFERROR(__xludf.DUMMYFUNCTION("""COMPUTED_VALUE"""),42276.64583333333)</f>
        <v>42276.64583</v>
      </c>
      <c r="B2649" s="9">
        <f>IFERROR(__xludf.DUMMYFUNCTION("""COMPUTED_VALUE"""),551.0)</f>
        <v>551</v>
      </c>
      <c r="C2649" s="9">
        <f>IFERROR(__xludf.DUMMYFUNCTION("""COMPUTED_VALUE"""),566.7)</f>
        <v>566.7</v>
      </c>
      <c r="D2649" s="9">
        <f>IFERROR(__xludf.DUMMYFUNCTION("""COMPUTED_VALUE"""),548.75)</f>
        <v>548.75</v>
      </c>
      <c r="E2649" s="9">
        <f>IFERROR(__xludf.DUMMYFUNCTION("""COMPUTED_VALUE"""),560.92)</f>
        <v>560.92</v>
      </c>
      <c r="F2649" s="9">
        <f>IFERROR(__xludf.DUMMYFUNCTION("""COMPUTED_VALUE"""),4349685.0)</f>
        <v>4349685</v>
      </c>
      <c r="H2649" s="27">
        <f>IFERROR(__xludf.DUMMYFUNCTION("""COMPUTED_VALUE"""),42276.64583333333)</f>
        <v>42276.64583</v>
      </c>
      <c r="I2649" s="25">
        <f>IFERROR(__xludf.DUMMYFUNCTION("""COMPUTED_VALUE"""),1291.68)</f>
        <v>1291.68</v>
      </c>
      <c r="J2649" s="25">
        <f>IFERROR(__xludf.DUMMYFUNCTION("""COMPUTED_VALUE"""),1317.0)</f>
        <v>1317</v>
      </c>
      <c r="K2649" s="25">
        <f>IFERROR(__xludf.DUMMYFUNCTION("""COMPUTED_VALUE"""),1284.93)</f>
        <v>1284.93</v>
      </c>
      <c r="L2649" s="25">
        <f>IFERROR(__xludf.DUMMYFUNCTION("""COMPUTED_VALUE"""),1294.13)</f>
        <v>1294.13</v>
      </c>
      <c r="M2649" s="25">
        <f>IFERROR(__xludf.DUMMYFUNCTION("""COMPUTED_VALUE"""),1662976.0)</f>
        <v>1662976</v>
      </c>
    </row>
    <row r="2650">
      <c r="A2650" s="26">
        <f>IFERROR(__xludf.DUMMYFUNCTION("""COMPUTED_VALUE"""),42277.64583333333)</f>
        <v>42277.64583</v>
      </c>
      <c r="B2650" s="9">
        <f>IFERROR(__xludf.DUMMYFUNCTION("""COMPUTED_VALUE"""),567.2)</f>
        <v>567.2</v>
      </c>
      <c r="C2650" s="9">
        <f>IFERROR(__xludf.DUMMYFUNCTION("""COMPUTED_VALUE"""),584.48)</f>
        <v>584.48</v>
      </c>
      <c r="D2650" s="9">
        <f>IFERROR(__xludf.DUMMYFUNCTION("""COMPUTED_VALUE"""),562.98)</f>
        <v>562.98</v>
      </c>
      <c r="E2650" s="9">
        <f>IFERROR(__xludf.DUMMYFUNCTION("""COMPUTED_VALUE"""),580.98)</f>
        <v>580.98</v>
      </c>
      <c r="F2650" s="9">
        <f>IFERROR(__xludf.DUMMYFUNCTION("""COMPUTED_VALUE"""),4747846.0)</f>
        <v>4747846</v>
      </c>
      <c r="H2650" s="27">
        <f>IFERROR(__xludf.DUMMYFUNCTION("""COMPUTED_VALUE"""),42277.64583333333)</f>
        <v>42277.64583</v>
      </c>
      <c r="I2650" s="25">
        <f>IFERROR(__xludf.DUMMYFUNCTION("""COMPUTED_VALUE"""),1321.85)</f>
        <v>1321.85</v>
      </c>
      <c r="J2650" s="25">
        <f>IFERROR(__xludf.DUMMYFUNCTION("""COMPUTED_VALUE"""),1321.85)</f>
        <v>1321.85</v>
      </c>
      <c r="K2650" s="25">
        <f>IFERROR(__xludf.DUMMYFUNCTION("""COMPUTED_VALUE"""),1285.47)</f>
        <v>1285.47</v>
      </c>
      <c r="L2650" s="25">
        <f>IFERROR(__xludf.DUMMYFUNCTION("""COMPUTED_VALUE"""),1294.03)</f>
        <v>1294.03</v>
      </c>
      <c r="M2650" s="25">
        <f>IFERROR(__xludf.DUMMYFUNCTION("""COMPUTED_VALUE"""),1684168.0)</f>
        <v>1684168</v>
      </c>
    </row>
    <row r="2651">
      <c r="A2651" s="26">
        <f>IFERROR(__xludf.DUMMYFUNCTION("""COMPUTED_VALUE"""),42278.64583333333)</f>
        <v>42278.64583</v>
      </c>
      <c r="B2651" s="9">
        <f>IFERROR(__xludf.DUMMYFUNCTION("""COMPUTED_VALUE"""),584.95)</f>
        <v>584.95</v>
      </c>
      <c r="C2651" s="9">
        <f>IFERROR(__xludf.DUMMYFUNCTION("""COMPUTED_VALUE"""),598.88)</f>
        <v>598.88</v>
      </c>
      <c r="D2651" s="9">
        <f>IFERROR(__xludf.DUMMYFUNCTION("""COMPUTED_VALUE"""),580.0)</f>
        <v>580</v>
      </c>
      <c r="E2651" s="9">
        <f>IFERROR(__xludf.DUMMYFUNCTION("""COMPUTED_VALUE"""),586.53)</f>
        <v>586.53</v>
      </c>
      <c r="F2651" s="9">
        <f>IFERROR(__xludf.DUMMYFUNCTION("""COMPUTED_VALUE"""),5432197.0)</f>
        <v>5432197</v>
      </c>
      <c r="H2651" s="27">
        <f>IFERROR(__xludf.DUMMYFUNCTION("""COMPUTED_VALUE"""),42278.64583333333)</f>
        <v>42278.64583</v>
      </c>
      <c r="I2651" s="25">
        <f>IFERROR(__xludf.DUMMYFUNCTION("""COMPUTED_VALUE"""),1299.5)</f>
        <v>1299.5</v>
      </c>
      <c r="J2651" s="25">
        <f>IFERROR(__xludf.DUMMYFUNCTION("""COMPUTED_VALUE"""),1324.98)</f>
        <v>1324.98</v>
      </c>
      <c r="K2651" s="25">
        <f>IFERROR(__xludf.DUMMYFUNCTION("""COMPUTED_VALUE"""),1296.1)</f>
        <v>1296.1</v>
      </c>
      <c r="L2651" s="25">
        <f>IFERROR(__xludf.DUMMYFUNCTION("""COMPUTED_VALUE"""),1322.3)</f>
        <v>1322.3</v>
      </c>
      <c r="M2651" s="25">
        <f>IFERROR(__xludf.DUMMYFUNCTION("""COMPUTED_VALUE"""),1417204.0)</f>
        <v>1417204</v>
      </c>
    </row>
    <row r="2652">
      <c r="A2652" s="26">
        <f>IFERROR(__xludf.DUMMYFUNCTION("""COMPUTED_VALUE"""),42282.64583333333)</f>
        <v>42282.64583</v>
      </c>
      <c r="B2652" s="9">
        <f>IFERROR(__xludf.DUMMYFUNCTION("""COMPUTED_VALUE"""),586.5)</f>
        <v>586.5</v>
      </c>
      <c r="C2652" s="9">
        <f>IFERROR(__xludf.DUMMYFUNCTION("""COMPUTED_VALUE"""),594.67)</f>
        <v>594.67</v>
      </c>
      <c r="D2652" s="9">
        <f>IFERROR(__xludf.DUMMYFUNCTION("""COMPUTED_VALUE"""),581.0)</f>
        <v>581</v>
      </c>
      <c r="E2652" s="9">
        <f>IFERROR(__xludf.DUMMYFUNCTION("""COMPUTED_VALUE"""),590.88)</f>
        <v>590.88</v>
      </c>
      <c r="F2652" s="9">
        <f>IFERROR(__xludf.DUMMYFUNCTION("""COMPUTED_VALUE"""),3440880.0)</f>
        <v>3440880</v>
      </c>
      <c r="H2652" s="27">
        <f>IFERROR(__xludf.DUMMYFUNCTION("""COMPUTED_VALUE"""),42282.64583333333)</f>
        <v>42282.64583</v>
      </c>
      <c r="I2652" s="25">
        <f>IFERROR(__xludf.DUMMYFUNCTION("""COMPUTED_VALUE"""),1326.35)</f>
        <v>1326.35</v>
      </c>
      <c r="J2652" s="25">
        <f>IFERROR(__xludf.DUMMYFUNCTION("""COMPUTED_VALUE"""),1385.0)</f>
        <v>1385</v>
      </c>
      <c r="K2652" s="25">
        <f>IFERROR(__xludf.DUMMYFUNCTION("""COMPUTED_VALUE"""),1326.35)</f>
        <v>1326.35</v>
      </c>
      <c r="L2652" s="25">
        <f>IFERROR(__xludf.DUMMYFUNCTION("""COMPUTED_VALUE"""),1355.83)</f>
        <v>1355.83</v>
      </c>
      <c r="M2652" s="25">
        <f>IFERROR(__xludf.DUMMYFUNCTION("""COMPUTED_VALUE"""),2403653.0)</f>
        <v>2403653</v>
      </c>
    </row>
    <row r="2653">
      <c r="A2653" s="26">
        <f>IFERROR(__xludf.DUMMYFUNCTION("""COMPUTED_VALUE"""),42283.64583333333)</f>
        <v>42283.64583</v>
      </c>
      <c r="B2653" s="9">
        <f>IFERROR(__xludf.DUMMYFUNCTION("""COMPUTED_VALUE"""),593.53)</f>
        <v>593.53</v>
      </c>
      <c r="C2653" s="9">
        <f>IFERROR(__xludf.DUMMYFUNCTION("""COMPUTED_VALUE"""),596.28)</f>
        <v>596.28</v>
      </c>
      <c r="D2653" s="9">
        <f>IFERROR(__xludf.DUMMYFUNCTION("""COMPUTED_VALUE"""),574.05)</f>
        <v>574.05</v>
      </c>
      <c r="E2653" s="9">
        <f>IFERROR(__xludf.DUMMYFUNCTION("""COMPUTED_VALUE"""),577.3)</f>
        <v>577.3</v>
      </c>
      <c r="F2653" s="9">
        <f>IFERROR(__xludf.DUMMYFUNCTION("""COMPUTED_VALUE"""),4355940.0)</f>
        <v>4355940</v>
      </c>
      <c r="H2653" s="27">
        <f>IFERROR(__xludf.DUMMYFUNCTION("""COMPUTED_VALUE"""),42283.64583333333)</f>
        <v>42283.64583</v>
      </c>
      <c r="I2653" s="25">
        <f>IFERROR(__xludf.DUMMYFUNCTION("""COMPUTED_VALUE"""),1362.5)</f>
        <v>1362.5</v>
      </c>
      <c r="J2653" s="25">
        <f>IFERROR(__xludf.DUMMYFUNCTION("""COMPUTED_VALUE"""),1363.0)</f>
        <v>1363</v>
      </c>
      <c r="K2653" s="25">
        <f>IFERROR(__xludf.DUMMYFUNCTION("""COMPUTED_VALUE"""),1342.0)</f>
        <v>1342</v>
      </c>
      <c r="L2653" s="25">
        <f>IFERROR(__xludf.DUMMYFUNCTION("""COMPUTED_VALUE"""),1350.0)</f>
        <v>1350</v>
      </c>
      <c r="M2653" s="25">
        <f>IFERROR(__xludf.DUMMYFUNCTION("""COMPUTED_VALUE"""),1989795.0)</f>
        <v>1989795</v>
      </c>
    </row>
    <row r="2654">
      <c r="A2654" s="26">
        <f>IFERROR(__xludf.DUMMYFUNCTION("""COMPUTED_VALUE"""),42284.64583333333)</f>
        <v>42284.64583</v>
      </c>
      <c r="B2654" s="9">
        <f>IFERROR(__xludf.DUMMYFUNCTION("""COMPUTED_VALUE"""),578.0)</f>
        <v>578</v>
      </c>
      <c r="C2654" s="9">
        <f>IFERROR(__xludf.DUMMYFUNCTION("""COMPUTED_VALUE"""),584.38)</f>
        <v>584.38</v>
      </c>
      <c r="D2654" s="9">
        <f>IFERROR(__xludf.DUMMYFUNCTION("""COMPUTED_VALUE"""),564.23)</f>
        <v>564.23</v>
      </c>
      <c r="E2654" s="9">
        <f>IFERROR(__xludf.DUMMYFUNCTION("""COMPUTED_VALUE"""),566.6)</f>
        <v>566.6</v>
      </c>
      <c r="F2654" s="9">
        <f>IFERROR(__xludf.DUMMYFUNCTION("""COMPUTED_VALUE"""),4591244.0)</f>
        <v>4591244</v>
      </c>
      <c r="H2654" s="27">
        <f>IFERROR(__xludf.DUMMYFUNCTION("""COMPUTED_VALUE"""),42284.64583333333)</f>
        <v>42284.64583</v>
      </c>
      <c r="I2654" s="25">
        <f>IFERROR(__xludf.DUMMYFUNCTION("""COMPUTED_VALUE"""),1346.98)</f>
        <v>1346.98</v>
      </c>
      <c r="J2654" s="25">
        <f>IFERROR(__xludf.DUMMYFUNCTION("""COMPUTED_VALUE"""),1358.5)</f>
        <v>1358.5</v>
      </c>
      <c r="K2654" s="25">
        <f>IFERROR(__xludf.DUMMYFUNCTION("""COMPUTED_VALUE"""),1323.48)</f>
        <v>1323.48</v>
      </c>
      <c r="L2654" s="25">
        <f>IFERROR(__xludf.DUMMYFUNCTION("""COMPUTED_VALUE"""),1326.98)</f>
        <v>1326.98</v>
      </c>
      <c r="M2654" s="25">
        <f>IFERROR(__xludf.DUMMYFUNCTION("""COMPUTED_VALUE"""),1032765.0)</f>
        <v>1032765</v>
      </c>
    </row>
    <row r="2655">
      <c r="A2655" s="26">
        <f>IFERROR(__xludf.DUMMYFUNCTION("""COMPUTED_VALUE"""),42285.64583333333)</f>
        <v>42285.64583</v>
      </c>
      <c r="B2655" s="9">
        <f>IFERROR(__xludf.DUMMYFUNCTION("""COMPUTED_VALUE"""),568.2)</f>
        <v>568.2</v>
      </c>
      <c r="C2655" s="9">
        <f>IFERROR(__xludf.DUMMYFUNCTION("""COMPUTED_VALUE"""),574.8)</f>
        <v>574.8</v>
      </c>
      <c r="D2655" s="9">
        <f>IFERROR(__xludf.DUMMYFUNCTION("""COMPUTED_VALUE"""),563.03)</f>
        <v>563.03</v>
      </c>
      <c r="E2655" s="9">
        <f>IFERROR(__xludf.DUMMYFUNCTION("""COMPUTED_VALUE"""),566.08)</f>
        <v>566.08</v>
      </c>
      <c r="F2655" s="9">
        <f>IFERROR(__xludf.DUMMYFUNCTION("""COMPUTED_VALUE"""),4540437.0)</f>
        <v>4540437</v>
      </c>
      <c r="H2655" s="27">
        <f>IFERROR(__xludf.DUMMYFUNCTION("""COMPUTED_VALUE"""),42285.64583333333)</f>
        <v>42285.64583</v>
      </c>
      <c r="I2655" s="25">
        <f>IFERROR(__xludf.DUMMYFUNCTION("""COMPUTED_VALUE"""),1335.0)</f>
        <v>1335</v>
      </c>
      <c r="J2655" s="25">
        <f>IFERROR(__xludf.DUMMYFUNCTION("""COMPUTED_VALUE"""),1339.18)</f>
        <v>1339.18</v>
      </c>
      <c r="K2655" s="25">
        <f>IFERROR(__xludf.DUMMYFUNCTION("""COMPUTED_VALUE"""),1310.0)</f>
        <v>1310</v>
      </c>
      <c r="L2655" s="25">
        <f>IFERROR(__xludf.DUMMYFUNCTION("""COMPUTED_VALUE"""),1316.9)</f>
        <v>1316.9</v>
      </c>
      <c r="M2655" s="25">
        <f>IFERROR(__xludf.DUMMYFUNCTION("""COMPUTED_VALUE"""),1178775.0)</f>
        <v>1178775</v>
      </c>
    </row>
    <row r="2656">
      <c r="A2656" s="26">
        <f>IFERROR(__xludf.DUMMYFUNCTION("""COMPUTED_VALUE"""),42286.64583333333)</f>
        <v>42286.64583</v>
      </c>
      <c r="B2656" s="9">
        <f>IFERROR(__xludf.DUMMYFUNCTION("""COMPUTED_VALUE"""),568.0)</f>
        <v>568</v>
      </c>
      <c r="C2656" s="9">
        <f>IFERROR(__xludf.DUMMYFUNCTION("""COMPUTED_VALUE"""),586.45)</f>
        <v>586.45</v>
      </c>
      <c r="D2656" s="9">
        <f>IFERROR(__xludf.DUMMYFUNCTION("""COMPUTED_VALUE"""),568.0)</f>
        <v>568</v>
      </c>
      <c r="E2656" s="9">
        <f>IFERROR(__xludf.DUMMYFUNCTION("""COMPUTED_VALUE"""),583.7)</f>
        <v>583.7</v>
      </c>
      <c r="F2656" s="9">
        <f>IFERROR(__xludf.DUMMYFUNCTION("""COMPUTED_VALUE"""),5891069.0)</f>
        <v>5891069</v>
      </c>
      <c r="H2656" s="27">
        <f>IFERROR(__xludf.DUMMYFUNCTION("""COMPUTED_VALUE"""),42286.64583333333)</f>
        <v>42286.64583</v>
      </c>
      <c r="I2656" s="25">
        <f>IFERROR(__xludf.DUMMYFUNCTION("""COMPUTED_VALUE"""),1325.25)</f>
        <v>1325.25</v>
      </c>
      <c r="J2656" s="25">
        <f>IFERROR(__xludf.DUMMYFUNCTION("""COMPUTED_VALUE"""),1325.3)</f>
        <v>1325.3</v>
      </c>
      <c r="K2656" s="25">
        <f>IFERROR(__xludf.DUMMYFUNCTION("""COMPUTED_VALUE"""),1304.0)</f>
        <v>1304</v>
      </c>
      <c r="L2656" s="25">
        <f>IFERROR(__xludf.DUMMYFUNCTION("""COMPUTED_VALUE"""),1314.83)</f>
        <v>1314.83</v>
      </c>
      <c r="M2656" s="25">
        <f>IFERROR(__xludf.DUMMYFUNCTION("""COMPUTED_VALUE"""),1124862.0)</f>
        <v>1124862</v>
      </c>
    </row>
    <row r="2657">
      <c r="A2657" s="26">
        <f>IFERROR(__xludf.DUMMYFUNCTION("""COMPUTED_VALUE"""),42289.64583333333)</f>
        <v>42289.64583</v>
      </c>
      <c r="B2657" s="9">
        <f>IFERROR(__xludf.DUMMYFUNCTION("""COMPUTED_VALUE"""),599.5)</f>
        <v>599.5</v>
      </c>
      <c r="C2657" s="9">
        <f>IFERROR(__xludf.DUMMYFUNCTION("""COMPUTED_VALUE"""),609.9)</f>
        <v>609.9</v>
      </c>
      <c r="D2657" s="9">
        <f>IFERROR(__xludf.DUMMYFUNCTION("""COMPUTED_VALUE"""),554.5)</f>
        <v>554.5</v>
      </c>
      <c r="E2657" s="9">
        <f>IFERROR(__xludf.DUMMYFUNCTION("""COMPUTED_VALUE"""),561.45)</f>
        <v>561.45</v>
      </c>
      <c r="F2657" s="9">
        <f>IFERROR(__xludf.DUMMYFUNCTION("""COMPUTED_VALUE"""),1.5202485E7)</f>
        <v>15202485</v>
      </c>
      <c r="H2657" s="27">
        <f>IFERROR(__xludf.DUMMYFUNCTION("""COMPUTED_VALUE"""),42289.64583333333)</f>
        <v>42289.64583</v>
      </c>
      <c r="I2657" s="25">
        <f>IFERROR(__xludf.DUMMYFUNCTION("""COMPUTED_VALUE"""),1327.5)</f>
        <v>1327.5</v>
      </c>
      <c r="J2657" s="25">
        <f>IFERROR(__xludf.DUMMYFUNCTION("""COMPUTED_VALUE"""),1330.18)</f>
        <v>1330.18</v>
      </c>
      <c r="K2657" s="25">
        <f>IFERROR(__xludf.DUMMYFUNCTION("""COMPUTED_VALUE"""),1293.5)</f>
        <v>1293.5</v>
      </c>
      <c r="L2657" s="25">
        <f>IFERROR(__xludf.DUMMYFUNCTION("""COMPUTED_VALUE"""),1296.3)</f>
        <v>1296.3</v>
      </c>
      <c r="M2657" s="25">
        <f>IFERROR(__xludf.DUMMYFUNCTION("""COMPUTED_VALUE"""),1227956.0)</f>
        <v>1227956</v>
      </c>
    </row>
    <row r="2658">
      <c r="A2658" s="26">
        <f>IFERROR(__xludf.DUMMYFUNCTION("""COMPUTED_VALUE"""),42290.64583333333)</f>
        <v>42290.64583</v>
      </c>
      <c r="B2658" s="9">
        <f>IFERROR(__xludf.DUMMYFUNCTION("""COMPUTED_VALUE"""),553.73)</f>
        <v>553.73</v>
      </c>
      <c r="C2658" s="9">
        <f>IFERROR(__xludf.DUMMYFUNCTION("""COMPUTED_VALUE"""),555.5)</f>
        <v>555.5</v>
      </c>
      <c r="D2658" s="9">
        <f>IFERROR(__xludf.DUMMYFUNCTION("""COMPUTED_VALUE"""),542.6)</f>
        <v>542.6</v>
      </c>
      <c r="E2658" s="9">
        <f>IFERROR(__xludf.DUMMYFUNCTION("""COMPUTED_VALUE"""),549.7)</f>
        <v>549.7</v>
      </c>
      <c r="F2658" s="9">
        <f>IFERROR(__xludf.DUMMYFUNCTION("""COMPUTED_VALUE"""),7663431.0)</f>
        <v>7663431</v>
      </c>
      <c r="H2658" s="27">
        <f>IFERROR(__xludf.DUMMYFUNCTION("""COMPUTED_VALUE"""),42290.64583333333)</f>
        <v>42290.64583</v>
      </c>
      <c r="I2658" s="25">
        <f>IFERROR(__xludf.DUMMYFUNCTION("""COMPUTED_VALUE"""),1301.4)</f>
        <v>1301.4</v>
      </c>
      <c r="J2658" s="25">
        <f>IFERROR(__xludf.DUMMYFUNCTION("""COMPUTED_VALUE"""),1306.0)</f>
        <v>1306</v>
      </c>
      <c r="K2658" s="25">
        <f>IFERROR(__xludf.DUMMYFUNCTION("""COMPUTED_VALUE"""),1283.8)</f>
        <v>1283.8</v>
      </c>
      <c r="L2658" s="25">
        <f>IFERROR(__xludf.DUMMYFUNCTION("""COMPUTED_VALUE"""),1299.28)</f>
        <v>1299.28</v>
      </c>
      <c r="M2658" s="25">
        <f>IFERROR(__xludf.DUMMYFUNCTION("""COMPUTED_VALUE"""),3089856.0)</f>
        <v>3089856</v>
      </c>
    </row>
    <row r="2659">
      <c r="A2659" s="26">
        <f>IFERROR(__xludf.DUMMYFUNCTION("""COMPUTED_VALUE"""),42291.64583333333)</f>
        <v>42291.64583</v>
      </c>
      <c r="B2659" s="9">
        <f>IFERROR(__xludf.DUMMYFUNCTION("""COMPUTED_VALUE"""),545.73)</f>
        <v>545.73</v>
      </c>
      <c r="C2659" s="9">
        <f>IFERROR(__xludf.DUMMYFUNCTION("""COMPUTED_VALUE"""),557.78)</f>
        <v>557.78</v>
      </c>
      <c r="D2659" s="9">
        <f>IFERROR(__xludf.DUMMYFUNCTION("""COMPUTED_VALUE"""),543.6)</f>
        <v>543.6</v>
      </c>
      <c r="E2659" s="9">
        <f>IFERROR(__xludf.DUMMYFUNCTION("""COMPUTED_VALUE"""),548.8)</f>
        <v>548.8</v>
      </c>
      <c r="F2659" s="9">
        <f>IFERROR(__xludf.DUMMYFUNCTION("""COMPUTED_VALUE"""),4432755.0)</f>
        <v>4432755</v>
      </c>
      <c r="H2659" s="27">
        <f>IFERROR(__xludf.DUMMYFUNCTION("""COMPUTED_VALUE"""),42291.64583333333)</f>
        <v>42291.64583</v>
      </c>
      <c r="I2659" s="25">
        <f>IFERROR(__xludf.DUMMYFUNCTION("""COMPUTED_VALUE"""),1274.0)</f>
        <v>1274</v>
      </c>
      <c r="J2659" s="25">
        <f>IFERROR(__xludf.DUMMYFUNCTION("""COMPUTED_VALUE"""),1274.0)</f>
        <v>1274</v>
      </c>
      <c r="K2659" s="25">
        <f>IFERROR(__xludf.DUMMYFUNCTION("""COMPUTED_VALUE"""),1240.0)</f>
        <v>1240</v>
      </c>
      <c r="L2659" s="25">
        <f>IFERROR(__xludf.DUMMYFUNCTION("""COMPUTED_VALUE"""),1241.85)</f>
        <v>1241.85</v>
      </c>
      <c r="M2659" s="25">
        <f>IFERROR(__xludf.DUMMYFUNCTION("""COMPUTED_VALUE"""),4168564.0)</f>
        <v>4168564</v>
      </c>
    </row>
    <row r="2660">
      <c r="A2660" s="26">
        <f>IFERROR(__xludf.DUMMYFUNCTION("""COMPUTED_VALUE"""),42292.64583333333)</f>
        <v>42292.64583</v>
      </c>
      <c r="B2660" s="9">
        <f>IFERROR(__xludf.DUMMYFUNCTION("""COMPUTED_VALUE"""),549.95)</f>
        <v>549.95</v>
      </c>
      <c r="C2660" s="9">
        <f>IFERROR(__xludf.DUMMYFUNCTION("""COMPUTED_VALUE"""),552.17)</f>
        <v>552.17</v>
      </c>
      <c r="D2660" s="9">
        <f>IFERROR(__xludf.DUMMYFUNCTION("""COMPUTED_VALUE"""),544.55)</f>
        <v>544.55</v>
      </c>
      <c r="E2660" s="9">
        <f>IFERROR(__xludf.DUMMYFUNCTION("""COMPUTED_VALUE"""),548.67)</f>
        <v>548.67</v>
      </c>
      <c r="F2660" s="9">
        <f>IFERROR(__xludf.DUMMYFUNCTION("""COMPUTED_VALUE"""),4127833.0)</f>
        <v>4127833</v>
      </c>
      <c r="H2660" s="27">
        <f>IFERROR(__xludf.DUMMYFUNCTION("""COMPUTED_VALUE"""),42292.64583333333)</f>
        <v>42292.64583</v>
      </c>
      <c r="I2660" s="25">
        <f>IFERROR(__xludf.DUMMYFUNCTION("""COMPUTED_VALUE"""),1245.0)</f>
        <v>1245</v>
      </c>
      <c r="J2660" s="25">
        <f>IFERROR(__xludf.DUMMYFUNCTION("""COMPUTED_VALUE"""),1251.75)</f>
        <v>1251.75</v>
      </c>
      <c r="K2660" s="25">
        <f>IFERROR(__xludf.DUMMYFUNCTION("""COMPUTED_VALUE"""),1232.5)</f>
        <v>1232.5</v>
      </c>
      <c r="L2660" s="25">
        <f>IFERROR(__xludf.DUMMYFUNCTION("""COMPUTED_VALUE"""),1233.88)</f>
        <v>1233.88</v>
      </c>
      <c r="M2660" s="25">
        <f>IFERROR(__xludf.DUMMYFUNCTION("""COMPUTED_VALUE"""),1607855.0)</f>
        <v>1607855</v>
      </c>
    </row>
    <row r="2661">
      <c r="A2661" s="26">
        <f>IFERROR(__xludf.DUMMYFUNCTION("""COMPUTED_VALUE"""),42293.64583333333)</f>
        <v>42293.64583</v>
      </c>
      <c r="B2661" s="9">
        <f>IFERROR(__xludf.DUMMYFUNCTION("""COMPUTED_VALUE"""),549.5)</f>
        <v>549.5</v>
      </c>
      <c r="C2661" s="9">
        <f>IFERROR(__xludf.DUMMYFUNCTION("""COMPUTED_VALUE"""),0.0)</f>
        <v>0</v>
      </c>
      <c r="D2661" s="9">
        <f>IFERROR(__xludf.DUMMYFUNCTION("""COMPUTED_VALUE"""),0.0)</f>
        <v>0</v>
      </c>
      <c r="E2661" s="9">
        <f>IFERROR(__xludf.DUMMYFUNCTION("""COMPUTED_VALUE"""),548.45)</f>
        <v>548.45</v>
      </c>
      <c r="F2661" s="9">
        <f>IFERROR(__xludf.DUMMYFUNCTION("""COMPUTED_VALUE"""),0.0)</f>
        <v>0</v>
      </c>
      <c r="H2661" s="27">
        <f>IFERROR(__xludf.DUMMYFUNCTION("""COMPUTED_VALUE"""),42293.64583333333)</f>
        <v>42293.64583</v>
      </c>
      <c r="I2661" s="25">
        <f>IFERROR(__xludf.DUMMYFUNCTION("""COMPUTED_VALUE"""),1240.45)</f>
        <v>1240.45</v>
      </c>
      <c r="J2661" s="25">
        <f>IFERROR(__xludf.DUMMYFUNCTION("""COMPUTED_VALUE"""),1246.0)</f>
        <v>1246</v>
      </c>
      <c r="K2661" s="25">
        <f>IFERROR(__xludf.DUMMYFUNCTION("""COMPUTED_VALUE"""),1235.0)</f>
        <v>1235</v>
      </c>
      <c r="L2661" s="25">
        <f>IFERROR(__xludf.DUMMYFUNCTION("""COMPUTED_VALUE"""),1236.0)</f>
        <v>1236</v>
      </c>
      <c r="M2661" s="25">
        <f>IFERROR(__xludf.DUMMYFUNCTION("""COMPUTED_VALUE"""),1166914.0)</f>
        <v>1166914</v>
      </c>
    </row>
    <row r="2662">
      <c r="A2662" s="26">
        <f>IFERROR(__xludf.DUMMYFUNCTION("""COMPUTED_VALUE"""),42296.64583333333)</f>
        <v>42296.64583</v>
      </c>
      <c r="B2662" s="9">
        <f>IFERROR(__xludf.DUMMYFUNCTION("""COMPUTED_VALUE"""),551.0)</f>
        <v>551</v>
      </c>
      <c r="C2662" s="9">
        <f>IFERROR(__xludf.DUMMYFUNCTION("""COMPUTED_VALUE"""),558.0)</f>
        <v>558</v>
      </c>
      <c r="D2662" s="9">
        <f>IFERROR(__xludf.DUMMYFUNCTION("""COMPUTED_VALUE"""),550.25)</f>
        <v>550.25</v>
      </c>
      <c r="E2662" s="9">
        <f>IFERROR(__xludf.DUMMYFUNCTION("""COMPUTED_VALUE"""),555.98)</f>
        <v>555.98</v>
      </c>
      <c r="F2662" s="9">
        <f>IFERROR(__xludf.DUMMYFUNCTION("""COMPUTED_VALUE"""),3673747.0)</f>
        <v>3673747</v>
      </c>
      <c r="H2662" s="27">
        <f>IFERROR(__xludf.DUMMYFUNCTION("""COMPUTED_VALUE"""),42296.64583333333)</f>
        <v>42296.64583</v>
      </c>
      <c r="I2662" s="25">
        <f>IFERROR(__xludf.DUMMYFUNCTION("""COMPUTED_VALUE"""),1245.0)</f>
        <v>1245</v>
      </c>
      <c r="J2662" s="25">
        <f>IFERROR(__xludf.DUMMYFUNCTION("""COMPUTED_VALUE"""),1247.47)</f>
        <v>1247.47</v>
      </c>
      <c r="K2662" s="25">
        <f>IFERROR(__xludf.DUMMYFUNCTION("""COMPUTED_VALUE"""),1227.93)</f>
        <v>1227.93</v>
      </c>
      <c r="L2662" s="25">
        <f>IFERROR(__xludf.DUMMYFUNCTION("""COMPUTED_VALUE"""),1244.38)</f>
        <v>1244.38</v>
      </c>
      <c r="M2662" s="25">
        <f>IFERROR(__xludf.DUMMYFUNCTION("""COMPUTED_VALUE"""),1565321.0)</f>
        <v>1565321</v>
      </c>
    </row>
    <row r="2663">
      <c r="A2663" s="26">
        <f>IFERROR(__xludf.DUMMYFUNCTION("""COMPUTED_VALUE"""),42297.64583333333)</f>
        <v>42297.64583</v>
      </c>
      <c r="B2663" s="9">
        <f>IFERROR(__xludf.DUMMYFUNCTION("""COMPUTED_VALUE"""),556.5)</f>
        <v>556.5</v>
      </c>
      <c r="C2663" s="9">
        <f>IFERROR(__xludf.DUMMYFUNCTION("""COMPUTED_VALUE"""),565.0)</f>
        <v>565</v>
      </c>
      <c r="D2663" s="9">
        <f>IFERROR(__xludf.DUMMYFUNCTION("""COMPUTED_VALUE"""),555.3)</f>
        <v>555.3</v>
      </c>
      <c r="E2663" s="9">
        <f>IFERROR(__xludf.DUMMYFUNCTION("""COMPUTED_VALUE"""),562.98)</f>
        <v>562.98</v>
      </c>
      <c r="F2663" s="9">
        <f>IFERROR(__xludf.DUMMYFUNCTION("""COMPUTED_VALUE"""),4394155.0)</f>
        <v>4394155</v>
      </c>
      <c r="H2663" s="27">
        <f>IFERROR(__xludf.DUMMYFUNCTION("""COMPUTED_VALUE"""),42297.64583333333)</f>
        <v>42297.64583</v>
      </c>
      <c r="I2663" s="25">
        <f>IFERROR(__xludf.DUMMYFUNCTION("""COMPUTED_VALUE"""),1248.13)</f>
        <v>1248.13</v>
      </c>
      <c r="J2663" s="25">
        <f>IFERROR(__xludf.DUMMYFUNCTION("""COMPUTED_VALUE"""),1265.0)</f>
        <v>1265</v>
      </c>
      <c r="K2663" s="25">
        <f>IFERROR(__xludf.DUMMYFUNCTION("""COMPUTED_VALUE"""),1247.8)</f>
        <v>1247.8</v>
      </c>
      <c r="L2663" s="25">
        <f>IFERROR(__xludf.DUMMYFUNCTION("""COMPUTED_VALUE"""),1263.38)</f>
        <v>1263.38</v>
      </c>
      <c r="M2663" s="25">
        <f>IFERROR(__xludf.DUMMYFUNCTION("""COMPUTED_VALUE"""),1347542.0)</f>
        <v>1347542</v>
      </c>
    </row>
    <row r="2664">
      <c r="A2664" s="26">
        <f>IFERROR(__xludf.DUMMYFUNCTION("""COMPUTED_VALUE"""),42298.64583333333)</f>
        <v>42298.64583</v>
      </c>
      <c r="B2664" s="9">
        <f>IFERROR(__xludf.DUMMYFUNCTION("""COMPUTED_VALUE"""),562.5)</f>
        <v>562.5</v>
      </c>
      <c r="C2664" s="9">
        <f>IFERROR(__xludf.DUMMYFUNCTION("""COMPUTED_VALUE"""),573.42)</f>
        <v>573.42</v>
      </c>
      <c r="D2664" s="9">
        <f>IFERROR(__xludf.DUMMYFUNCTION("""COMPUTED_VALUE"""),562.5)</f>
        <v>562.5</v>
      </c>
      <c r="E2664" s="9">
        <f>IFERROR(__xludf.DUMMYFUNCTION("""COMPUTED_VALUE"""),569.2)</f>
        <v>569.2</v>
      </c>
      <c r="F2664" s="9">
        <f>IFERROR(__xludf.DUMMYFUNCTION("""COMPUTED_VALUE"""),3639049.0)</f>
        <v>3639049</v>
      </c>
      <c r="H2664" s="27">
        <f>IFERROR(__xludf.DUMMYFUNCTION("""COMPUTED_VALUE"""),42298.64583333333)</f>
        <v>42298.64583</v>
      </c>
      <c r="I2664" s="25">
        <f>IFERROR(__xludf.DUMMYFUNCTION("""COMPUTED_VALUE"""),1267.5)</f>
        <v>1267.5</v>
      </c>
      <c r="J2664" s="25">
        <f>IFERROR(__xludf.DUMMYFUNCTION("""COMPUTED_VALUE"""),1271.0)</f>
        <v>1271</v>
      </c>
      <c r="K2664" s="25">
        <f>IFERROR(__xludf.DUMMYFUNCTION("""COMPUTED_VALUE"""),1261.13)</f>
        <v>1261.13</v>
      </c>
      <c r="L2664" s="25">
        <f>IFERROR(__xludf.DUMMYFUNCTION("""COMPUTED_VALUE"""),1265.0)</f>
        <v>1265</v>
      </c>
      <c r="M2664" s="25">
        <f>IFERROR(__xludf.DUMMYFUNCTION("""COMPUTED_VALUE"""),964844.0)</f>
        <v>964844</v>
      </c>
    </row>
    <row r="2665">
      <c r="A2665" s="26">
        <f>IFERROR(__xludf.DUMMYFUNCTION("""COMPUTED_VALUE"""),42300.64583333333)</f>
        <v>42300.64583</v>
      </c>
      <c r="B2665" s="9">
        <f>IFERROR(__xludf.DUMMYFUNCTION("""COMPUTED_VALUE"""),570.9)</f>
        <v>570.9</v>
      </c>
      <c r="C2665" s="9">
        <f>IFERROR(__xludf.DUMMYFUNCTION("""COMPUTED_VALUE"""),576.5)</f>
        <v>576.5</v>
      </c>
      <c r="D2665" s="9">
        <f>IFERROR(__xludf.DUMMYFUNCTION("""COMPUTED_VALUE"""),562.55)</f>
        <v>562.55</v>
      </c>
      <c r="E2665" s="9">
        <f>IFERROR(__xludf.DUMMYFUNCTION("""COMPUTED_VALUE"""),574.95)</f>
        <v>574.95</v>
      </c>
      <c r="F2665" s="9">
        <f>IFERROR(__xludf.DUMMYFUNCTION("""COMPUTED_VALUE"""),3016681.0)</f>
        <v>3016681</v>
      </c>
      <c r="H2665" s="27">
        <f>IFERROR(__xludf.DUMMYFUNCTION("""COMPUTED_VALUE"""),42300.64583333333)</f>
        <v>42300.64583</v>
      </c>
      <c r="I2665" s="25">
        <f>IFERROR(__xludf.DUMMYFUNCTION("""COMPUTED_VALUE"""),1274.0)</f>
        <v>1274</v>
      </c>
      <c r="J2665" s="25">
        <f>IFERROR(__xludf.DUMMYFUNCTION("""COMPUTED_VALUE"""),1274.0)</f>
        <v>1274</v>
      </c>
      <c r="K2665" s="25">
        <f>IFERROR(__xludf.DUMMYFUNCTION("""COMPUTED_VALUE"""),1263.65)</f>
        <v>1263.65</v>
      </c>
      <c r="L2665" s="25">
        <f>IFERROR(__xludf.DUMMYFUNCTION("""COMPUTED_VALUE"""),1268.58)</f>
        <v>1268.58</v>
      </c>
      <c r="M2665" s="25">
        <f>IFERROR(__xludf.DUMMYFUNCTION("""COMPUTED_VALUE"""),1167699.0)</f>
        <v>1167699</v>
      </c>
    </row>
    <row r="2666">
      <c r="A2666" s="26">
        <f>IFERROR(__xludf.DUMMYFUNCTION("""COMPUTED_VALUE"""),42303.64583333333)</f>
        <v>42303.64583</v>
      </c>
      <c r="B2666" s="9">
        <f>IFERROR(__xludf.DUMMYFUNCTION("""COMPUTED_VALUE"""),577.0)</f>
        <v>577</v>
      </c>
      <c r="C2666" s="9">
        <f>IFERROR(__xludf.DUMMYFUNCTION("""COMPUTED_VALUE"""),579.25)</f>
        <v>579.25</v>
      </c>
      <c r="D2666" s="9">
        <f>IFERROR(__xludf.DUMMYFUNCTION("""COMPUTED_VALUE"""),571.58)</f>
        <v>571.58</v>
      </c>
      <c r="E2666" s="9">
        <f>IFERROR(__xludf.DUMMYFUNCTION("""COMPUTED_VALUE"""),576.08)</f>
        <v>576.08</v>
      </c>
      <c r="F2666" s="9">
        <f>IFERROR(__xludf.DUMMYFUNCTION("""COMPUTED_VALUE"""),1597971.0)</f>
        <v>1597971</v>
      </c>
      <c r="H2666" s="27">
        <f>IFERROR(__xludf.DUMMYFUNCTION("""COMPUTED_VALUE"""),42303.64583333333)</f>
        <v>42303.64583</v>
      </c>
      <c r="I2666" s="25">
        <f>IFERROR(__xludf.DUMMYFUNCTION("""COMPUTED_VALUE"""),1274.5)</f>
        <v>1274.5</v>
      </c>
      <c r="J2666" s="25">
        <f>IFERROR(__xludf.DUMMYFUNCTION("""COMPUTED_VALUE"""),1274.5)</f>
        <v>1274.5</v>
      </c>
      <c r="K2666" s="25">
        <f>IFERROR(__xludf.DUMMYFUNCTION("""COMPUTED_VALUE"""),1257.55)</f>
        <v>1257.55</v>
      </c>
      <c r="L2666" s="25">
        <f>IFERROR(__xludf.DUMMYFUNCTION("""COMPUTED_VALUE"""),1268.28)</f>
        <v>1268.28</v>
      </c>
      <c r="M2666" s="25">
        <f>IFERROR(__xludf.DUMMYFUNCTION("""COMPUTED_VALUE"""),707315.0)</f>
        <v>707315</v>
      </c>
    </row>
    <row r="2667">
      <c r="A2667" s="26">
        <f>IFERROR(__xludf.DUMMYFUNCTION("""COMPUTED_VALUE"""),42304.64583333333)</f>
        <v>42304.64583</v>
      </c>
      <c r="B2667" s="9">
        <f>IFERROR(__xludf.DUMMYFUNCTION("""COMPUTED_VALUE"""),575.0)</f>
        <v>575</v>
      </c>
      <c r="C2667" s="9">
        <f>IFERROR(__xludf.DUMMYFUNCTION("""COMPUTED_VALUE"""),577.5)</f>
        <v>577.5</v>
      </c>
      <c r="D2667" s="9">
        <f>IFERROR(__xludf.DUMMYFUNCTION("""COMPUTED_VALUE"""),572.05)</f>
        <v>572.05</v>
      </c>
      <c r="E2667" s="9">
        <f>IFERROR(__xludf.DUMMYFUNCTION("""COMPUTED_VALUE"""),574.7)</f>
        <v>574.7</v>
      </c>
      <c r="F2667" s="9">
        <f>IFERROR(__xludf.DUMMYFUNCTION("""COMPUTED_VALUE"""),2631874.0)</f>
        <v>2631874</v>
      </c>
      <c r="H2667" s="27">
        <f>IFERROR(__xludf.DUMMYFUNCTION("""COMPUTED_VALUE"""),42304.64583333333)</f>
        <v>42304.64583</v>
      </c>
      <c r="I2667" s="25">
        <f>IFERROR(__xludf.DUMMYFUNCTION("""COMPUTED_VALUE"""),1265.03)</f>
        <v>1265.03</v>
      </c>
      <c r="J2667" s="25">
        <f>IFERROR(__xludf.DUMMYFUNCTION("""COMPUTED_VALUE"""),1272.45)</f>
        <v>1272.45</v>
      </c>
      <c r="K2667" s="25">
        <f>IFERROR(__xludf.DUMMYFUNCTION("""COMPUTED_VALUE"""),1260.18)</f>
        <v>1260.18</v>
      </c>
      <c r="L2667" s="25">
        <f>IFERROR(__xludf.DUMMYFUNCTION("""COMPUTED_VALUE"""),1265.55)</f>
        <v>1265.55</v>
      </c>
      <c r="M2667" s="25">
        <f>IFERROR(__xludf.DUMMYFUNCTION("""COMPUTED_VALUE"""),765210.0)</f>
        <v>765210</v>
      </c>
    </row>
    <row r="2668">
      <c r="A2668" s="26">
        <f>IFERROR(__xludf.DUMMYFUNCTION("""COMPUTED_VALUE"""),42305.64583333333)</f>
        <v>42305.64583</v>
      </c>
      <c r="B2668" s="9">
        <f>IFERROR(__xludf.DUMMYFUNCTION("""COMPUTED_VALUE"""),572.25)</f>
        <v>572.25</v>
      </c>
      <c r="C2668" s="9">
        <f>IFERROR(__xludf.DUMMYFUNCTION("""COMPUTED_VALUE"""),579.0)</f>
        <v>579</v>
      </c>
      <c r="D2668" s="9">
        <f>IFERROR(__xludf.DUMMYFUNCTION("""COMPUTED_VALUE"""),569.5)</f>
        <v>569.5</v>
      </c>
      <c r="E2668" s="9">
        <f>IFERROR(__xludf.DUMMYFUNCTION("""COMPUTED_VALUE"""),576.6)</f>
        <v>576.6</v>
      </c>
      <c r="F2668" s="9">
        <f>IFERROR(__xludf.DUMMYFUNCTION("""COMPUTED_VALUE"""),2627736.0)</f>
        <v>2627736</v>
      </c>
      <c r="H2668" s="27">
        <f>IFERROR(__xludf.DUMMYFUNCTION("""COMPUTED_VALUE"""),42305.64583333333)</f>
        <v>42305.64583</v>
      </c>
      <c r="I2668" s="25">
        <f>IFERROR(__xludf.DUMMYFUNCTION("""COMPUTED_VALUE"""),1255.03)</f>
        <v>1255.03</v>
      </c>
      <c r="J2668" s="25">
        <f>IFERROR(__xludf.DUMMYFUNCTION("""COMPUTED_VALUE"""),1266.78)</f>
        <v>1266.78</v>
      </c>
      <c r="K2668" s="25">
        <f>IFERROR(__xludf.DUMMYFUNCTION("""COMPUTED_VALUE"""),1255.03)</f>
        <v>1255.03</v>
      </c>
      <c r="L2668" s="25">
        <f>IFERROR(__xludf.DUMMYFUNCTION("""COMPUTED_VALUE"""),1264.55)</f>
        <v>1264.55</v>
      </c>
      <c r="M2668" s="25">
        <f>IFERROR(__xludf.DUMMYFUNCTION("""COMPUTED_VALUE"""),627671.0)</f>
        <v>627671</v>
      </c>
    </row>
    <row r="2669">
      <c r="A2669" s="26">
        <f>IFERROR(__xludf.DUMMYFUNCTION("""COMPUTED_VALUE"""),42306.64583333333)</f>
        <v>42306.64583</v>
      </c>
      <c r="B2669" s="9">
        <f>IFERROR(__xludf.DUMMYFUNCTION("""COMPUTED_VALUE"""),576.55)</f>
        <v>576.55</v>
      </c>
      <c r="C2669" s="9">
        <f>IFERROR(__xludf.DUMMYFUNCTION("""COMPUTED_VALUE"""),577.95)</f>
        <v>577.95</v>
      </c>
      <c r="D2669" s="9">
        <f>IFERROR(__xludf.DUMMYFUNCTION("""COMPUTED_VALUE"""),568.03)</f>
        <v>568.03</v>
      </c>
      <c r="E2669" s="9">
        <f>IFERROR(__xludf.DUMMYFUNCTION("""COMPUTED_VALUE"""),572.53)</f>
        <v>572.53</v>
      </c>
      <c r="F2669" s="9">
        <f>IFERROR(__xludf.DUMMYFUNCTION("""COMPUTED_VALUE"""),2943662.0)</f>
        <v>2943662</v>
      </c>
      <c r="H2669" s="27">
        <f>IFERROR(__xludf.DUMMYFUNCTION("""COMPUTED_VALUE"""),42306.64583333333)</f>
        <v>42306.64583</v>
      </c>
      <c r="I2669" s="25">
        <f>IFERROR(__xludf.DUMMYFUNCTION("""COMPUTED_VALUE"""),1266.78)</f>
        <v>1266.78</v>
      </c>
      <c r="J2669" s="25">
        <f>IFERROR(__xludf.DUMMYFUNCTION("""COMPUTED_VALUE"""),1267.7)</f>
        <v>1267.7</v>
      </c>
      <c r="K2669" s="25">
        <f>IFERROR(__xludf.DUMMYFUNCTION("""COMPUTED_VALUE"""),1245.03)</f>
        <v>1245.03</v>
      </c>
      <c r="L2669" s="25">
        <f>IFERROR(__xludf.DUMMYFUNCTION("""COMPUTED_VALUE"""),1247.68)</f>
        <v>1247.68</v>
      </c>
      <c r="M2669" s="25">
        <f>IFERROR(__xludf.DUMMYFUNCTION("""COMPUTED_VALUE"""),1565158.0)</f>
        <v>1565158</v>
      </c>
    </row>
    <row r="2670">
      <c r="A2670" s="26">
        <f>IFERROR(__xludf.DUMMYFUNCTION("""COMPUTED_VALUE"""),42307.64583333333)</f>
        <v>42307.64583</v>
      </c>
      <c r="B2670" s="9">
        <f>IFERROR(__xludf.DUMMYFUNCTION("""COMPUTED_VALUE"""),572.5)</f>
        <v>572.5</v>
      </c>
      <c r="C2670" s="9">
        <f>IFERROR(__xludf.DUMMYFUNCTION("""COMPUTED_VALUE"""),572.5)</f>
        <v>572.5</v>
      </c>
      <c r="D2670" s="9">
        <f>IFERROR(__xludf.DUMMYFUNCTION("""COMPUTED_VALUE"""),565.0)</f>
        <v>565</v>
      </c>
      <c r="E2670" s="9">
        <f>IFERROR(__xludf.DUMMYFUNCTION("""COMPUTED_VALUE"""),567.73)</f>
        <v>567.73</v>
      </c>
      <c r="F2670" s="9">
        <f>IFERROR(__xludf.DUMMYFUNCTION("""COMPUTED_VALUE"""),2022338.0)</f>
        <v>2022338</v>
      </c>
      <c r="H2670" s="27">
        <f>IFERROR(__xludf.DUMMYFUNCTION("""COMPUTED_VALUE"""),42307.64583333333)</f>
        <v>42307.64583</v>
      </c>
      <c r="I2670" s="25">
        <f>IFERROR(__xludf.DUMMYFUNCTION("""COMPUTED_VALUE"""),1250.0)</f>
        <v>1250</v>
      </c>
      <c r="J2670" s="25">
        <f>IFERROR(__xludf.DUMMYFUNCTION("""COMPUTED_VALUE"""),1255.95)</f>
        <v>1255.95</v>
      </c>
      <c r="K2670" s="25">
        <f>IFERROR(__xludf.DUMMYFUNCTION("""COMPUTED_VALUE"""),1242.5)</f>
        <v>1242.5</v>
      </c>
      <c r="L2670" s="25">
        <f>IFERROR(__xludf.DUMMYFUNCTION("""COMPUTED_VALUE"""),1247.6)</f>
        <v>1247.6</v>
      </c>
      <c r="M2670" s="25">
        <f>IFERROR(__xludf.DUMMYFUNCTION("""COMPUTED_VALUE"""),758348.0)</f>
        <v>758348</v>
      </c>
    </row>
    <row r="2671">
      <c r="A2671" s="26">
        <f>IFERROR(__xludf.DUMMYFUNCTION("""COMPUTED_VALUE"""),42310.64583333333)</f>
        <v>42310.64583</v>
      </c>
      <c r="B2671" s="9">
        <f>IFERROR(__xludf.DUMMYFUNCTION("""COMPUTED_VALUE"""),565.0)</f>
        <v>565</v>
      </c>
      <c r="C2671" s="9">
        <f>IFERROR(__xludf.DUMMYFUNCTION("""COMPUTED_VALUE"""),567.9)</f>
        <v>567.9</v>
      </c>
      <c r="D2671" s="9">
        <f>IFERROR(__xludf.DUMMYFUNCTION("""COMPUTED_VALUE"""),557.05)</f>
        <v>557.05</v>
      </c>
      <c r="E2671" s="9">
        <f>IFERROR(__xludf.DUMMYFUNCTION("""COMPUTED_VALUE"""),565.6)</f>
        <v>565.6</v>
      </c>
      <c r="F2671" s="9">
        <f>IFERROR(__xludf.DUMMYFUNCTION("""COMPUTED_VALUE"""),1772494.0)</f>
        <v>1772494</v>
      </c>
      <c r="H2671" s="27">
        <f>IFERROR(__xludf.DUMMYFUNCTION("""COMPUTED_VALUE"""),42310.64583333333)</f>
        <v>42310.64583</v>
      </c>
      <c r="I2671" s="25">
        <f>IFERROR(__xludf.DUMMYFUNCTION("""COMPUTED_VALUE"""),1250.0)</f>
        <v>1250</v>
      </c>
      <c r="J2671" s="25">
        <f>IFERROR(__xludf.DUMMYFUNCTION("""COMPUTED_VALUE"""),1261.4)</f>
        <v>1261.4</v>
      </c>
      <c r="K2671" s="25">
        <f>IFERROR(__xludf.DUMMYFUNCTION("""COMPUTED_VALUE"""),1243.78)</f>
        <v>1243.78</v>
      </c>
      <c r="L2671" s="25">
        <f>IFERROR(__xludf.DUMMYFUNCTION("""COMPUTED_VALUE"""),1258.68)</f>
        <v>1258.68</v>
      </c>
      <c r="M2671" s="25">
        <f>IFERROR(__xludf.DUMMYFUNCTION("""COMPUTED_VALUE"""),659647.0)</f>
        <v>659647</v>
      </c>
    </row>
    <row r="2672">
      <c r="A2672" s="26">
        <f>IFERROR(__xludf.DUMMYFUNCTION("""COMPUTED_VALUE"""),42311.64583333333)</f>
        <v>42311.64583</v>
      </c>
      <c r="B2672" s="9">
        <f>IFERROR(__xludf.DUMMYFUNCTION("""COMPUTED_VALUE"""),566.7)</f>
        <v>566.7</v>
      </c>
      <c r="C2672" s="9">
        <f>IFERROR(__xludf.DUMMYFUNCTION("""COMPUTED_VALUE"""),575.23)</f>
        <v>575.23</v>
      </c>
      <c r="D2672" s="9">
        <f>IFERROR(__xludf.DUMMYFUNCTION("""COMPUTED_VALUE"""),566.7)</f>
        <v>566.7</v>
      </c>
      <c r="E2672" s="9">
        <f>IFERROR(__xludf.DUMMYFUNCTION("""COMPUTED_VALUE"""),572.75)</f>
        <v>572.75</v>
      </c>
      <c r="F2672" s="9">
        <f>IFERROR(__xludf.DUMMYFUNCTION("""COMPUTED_VALUE"""),1807341.0)</f>
        <v>1807341</v>
      </c>
      <c r="H2672" s="27">
        <f>IFERROR(__xludf.DUMMYFUNCTION("""COMPUTED_VALUE"""),42311.64583333333)</f>
        <v>42311.64583</v>
      </c>
      <c r="I2672" s="25">
        <f>IFERROR(__xludf.DUMMYFUNCTION("""COMPUTED_VALUE"""),1264.0)</f>
        <v>1264</v>
      </c>
      <c r="J2672" s="25">
        <f>IFERROR(__xludf.DUMMYFUNCTION("""COMPUTED_VALUE"""),1273.9)</f>
        <v>1273.9</v>
      </c>
      <c r="K2672" s="25">
        <f>IFERROR(__xludf.DUMMYFUNCTION("""COMPUTED_VALUE"""),1259.25)</f>
        <v>1259.25</v>
      </c>
      <c r="L2672" s="25">
        <f>IFERROR(__xludf.DUMMYFUNCTION("""COMPUTED_VALUE"""),1271.72)</f>
        <v>1271.72</v>
      </c>
      <c r="M2672" s="25">
        <f>IFERROR(__xludf.DUMMYFUNCTION("""COMPUTED_VALUE"""),682453.0)</f>
        <v>682453</v>
      </c>
    </row>
    <row r="2673">
      <c r="A2673" s="26">
        <f>IFERROR(__xludf.DUMMYFUNCTION("""COMPUTED_VALUE"""),42312.64583333333)</f>
        <v>42312.64583</v>
      </c>
      <c r="B2673" s="9">
        <f>IFERROR(__xludf.DUMMYFUNCTION("""COMPUTED_VALUE"""),575.05)</f>
        <v>575.05</v>
      </c>
      <c r="C2673" s="9">
        <f>IFERROR(__xludf.DUMMYFUNCTION("""COMPUTED_VALUE"""),578.8)</f>
        <v>578.8</v>
      </c>
      <c r="D2673" s="9">
        <f>IFERROR(__xludf.DUMMYFUNCTION("""COMPUTED_VALUE"""),566.15)</f>
        <v>566.15</v>
      </c>
      <c r="E2673" s="9">
        <f>IFERROR(__xludf.DUMMYFUNCTION("""COMPUTED_VALUE"""),568.4)</f>
        <v>568.4</v>
      </c>
      <c r="F2673" s="9">
        <f>IFERROR(__xludf.DUMMYFUNCTION("""COMPUTED_VALUE"""),1602786.0)</f>
        <v>1602786</v>
      </c>
      <c r="H2673" s="27">
        <f>IFERROR(__xludf.DUMMYFUNCTION("""COMPUTED_VALUE"""),42312.64583333333)</f>
        <v>42312.64583</v>
      </c>
      <c r="I2673" s="25">
        <f>IFERROR(__xludf.DUMMYFUNCTION("""COMPUTED_VALUE"""),1272.5)</f>
        <v>1272.5</v>
      </c>
      <c r="J2673" s="25">
        <f>IFERROR(__xludf.DUMMYFUNCTION("""COMPUTED_VALUE"""),1273.6)</f>
        <v>1273.6</v>
      </c>
      <c r="K2673" s="25">
        <f>IFERROR(__xludf.DUMMYFUNCTION("""COMPUTED_VALUE"""),1260.0)</f>
        <v>1260</v>
      </c>
      <c r="L2673" s="25">
        <f>IFERROR(__xludf.DUMMYFUNCTION("""COMPUTED_VALUE"""),1266.9)</f>
        <v>1266.9</v>
      </c>
      <c r="M2673" s="25">
        <f>IFERROR(__xludf.DUMMYFUNCTION("""COMPUTED_VALUE"""),495717.0)</f>
        <v>495717</v>
      </c>
    </row>
    <row r="2674">
      <c r="A2674" s="26">
        <f>IFERROR(__xludf.DUMMYFUNCTION("""COMPUTED_VALUE"""),42313.64583333333)</f>
        <v>42313.64583</v>
      </c>
      <c r="B2674" s="9">
        <f>IFERROR(__xludf.DUMMYFUNCTION("""COMPUTED_VALUE"""),571.48)</f>
        <v>571.48</v>
      </c>
      <c r="C2674" s="9">
        <f>IFERROR(__xludf.DUMMYFUNCTION("""COMPUTED_VALUE"""),572.5)</f>
        <v>572.5</v>
      </c>
      <c r="D2674" s="9">
        <f>IFERROR(__xludf.DUMMYFUNCTION("""COMPUTED_VALUE"""),559.7)</f>
        <v>559.7</v>
      </c>
      <c r="E2674" s="9">
        <f>IFERROR(__xludf.DUMMYFUNCTION("""COMPUTED_VALUE"""),561.45)</f>
        <v>561.45</v>
      </c>
      <c r="F2674" s="9">
        <f>IFERROR(__xludf.DUMMYFUNCTION("""COMPUTED_VALUE"""),1172653.0)</f>
        <v>1172653</v>
      </c>
      <c r="H2674" s="27">
        <f>IFERROR(__xludf.DUMMYFUNCTION("""COMPUTED_VALUE"""),42313.64583333333)</f>
        <v>42313.64583</v>
      </c>
      <c r="I2674" s="25">
        <f>IFERROR(__xludf.DUMMYFUNCTION("""COMPUTED_VALUE"""),1265.4)</f>
        <v>1265.4</v>
      </c>
      <c r="J2674" s="25">
        <f>IFERROR(__xludf.DUMMYFUNCTION("""COMPUTED_VALUE"""),1267.47)</f>
        <v>1267.47</v>
      </c>
      <c r="K2674" s="25">
        <f>IFERROR(__xludf.DUMMYFUNCTION("""COMPUTED_VALUE"""),1240.0)</f>
        <v>1240</v>
      </c>
      <c r="L2674" s="25">
        <f>IFERROR(__xludf.DUMMYFUNCTION("""COMPUTED_VALUE"""),1241.33)</f>
        <v>1241.33</v>
      </c>
      <c r="M2674" s="25">
        <f>IFERROR(__xludf.DUMMYFUNCTION("""COMPUTED_VALUE"""),798049.0)</f>
        <v>798049</v>
      </c>
    </row>
    <row r="2675">
      <c r="A2675" s="26">
        <f>IFERROR(__xludf.DUMMYFUNCTION("""COMPUTED_VALUE"""),42314.64583333333)</f>
        <v>42314.64583</v>
      </c>
      <c r="B2675" s="9">
        <f>IFERROR(__xludf.DUMMYFUNCTION("""COMPUTED_VALUE"""),561.5)</f>
        <v>561.5</v>
      </c>
      <c r="C2675" s="9">
        <f>IFERROR(__xludf.DUMMYFUNCTION("""COMPUTED_VALUE"""),571.95)</f>
        <v>571.95</v>
      </c>
      <c r="D2675" s="9">
        <f>IFERROR(__xludf.DUMMYFUNCTION("""COMPUTED_VALUE"""),561.45)</f>
        <v>561.45</v>
      </c>
      <c r="E2675" s="9">
        <f>IFERROR(__xludf.DUMMYFUNCTION("""COMPUTED_VALUE"""),569.15)</f>
        <v>569.15</v>
      </c>
      <c r="F2675" s="9">
        <f>IFERROR(__xludf.DUMMYFUNCTION("""COMPUTED_VALUE"""),1513086.0)</f>
        <v>1513086</v>
      </c>
      <c r="H2675" s="27">
        <f>IFERROR(__xludf.DUMMYFUNCTION("""COMPUTED_VALUE"""),42314.64583333333)</f>
        <v>42314.64583</v>
      </c>
      <c r="I2675" s="25">
        <f>IFERROR(__xludf.DUMMYFUNCTION("""COMPUTED_VALUE"""),1246.0)</f>
        <v>1246</v>
      </c>
      <c r="J2675" s="25">
        <f>IFERROR(__xludf.DUMMYFUNCTION("""COMPUTED_VALUE"""),1259.13)</f>
        <v>1259.13</v>
      </c>
      <c r="K2675" s="25">
        <f>IFERROR(__xludf.DUMMYFUNCTION("""COMPUTED_VALUE"""),1241.72)</f>
        <v>1241.72</v>
      </c>
      <c r="L2675" s="25">
        <f>IFERROR(__xludf.DUMMYFUNCTION("""COMPUTED_VALUE"""),1252.88)</f>
        <v>1252.88</v>
      </c>
      <c r="M2675" s="25">
        <f>IFERROR(__xludf.DUMMYFUNCTION("""COMPUTED_VALUE"""),454012.0)</f>
        <v>454012</v>
      </c>
    </row>
    <row r="2676">
      <c r="A2676" s="26">
        <f>IFERROR(__xludf.DUMMYFUNCTION("""COMPUTED_VALUE"""),42317.64583333333)</f>
        <v>42317.64583</v>
      </c>
      <c r="B2676" s="9">
        <f>IFERROR(__xludf.DUMMYFUNCTION("""COMPUTED_VALUE"""),560.0)</f>
        <v>560</v>
      </c>
      <c r="C2676" s="9">
        <f>IFERROR(__xludf.DUMMYFUNCTION("""COMPUTED_VALUE"""),570.0)</f>
        <v>570</v>
      </c>
      <c r="D2676" s="9">
        <f>IFERROR(__xludf.DUMMYFUNCTION("""COMPUTED_VALUE"""),557.6)</f>
        <v>557.6</v>
      </c>
      <c r="E2676" s="9">
        <f>IFERROR(__xludf.DUMMYFUNCTION("""COMPUTED_VALUE"""),567.3)</f>
        <v>567.3</v>
      </c>
      <c r="F2676" s="9">
        <f>IFERROR(__xludf.DUMMYFUNCTION("""COMPUTED_VALUE"""),3062838.0)</f>
        <v>3062838</v>
      </c>
      <c r="H2676" s="27">
        <f>IFERROR(__xludf.DUMMYFUNCTION("""COMPUTED_VALUE"""),42317.64583333333)</f>
        <v>42317.64583</v>
      </c>
      <c r="I2676" s="25">
        <f>IFERROR(__xludf.DUMMYFUNCTION("""COMPUTED_VALUE"""),1247.5)</f>
        <v>1247.5</v>
      </c>
      <c r="J2676" s="25">
        <f>IFERROR(__xludf.DUMMYFUNCTION("""COMPUTED_VALUE"""),1251.38)</f>
        <v>1251.38</v>
      </c>
      <c r="K2676" s="25">
        <f>IFERROR(__xludf.DUMMYFUNCTION("""COMPUTED_VALUE"""),1234.3)</f>
        <v>1234.3</v>
      </c>
      <c r="L2676" s="25">
        <f>IFERROR(__xludf.DUMMYFUNCTION("""COMPUTED_VALUE"""),1235.68)</f>
        <v>1235.68</v>
      </c>
      <c r="M2676" s="25">
        <f>IFERROR(__xludf.DUMMYFUNCTION("""COMPUTED_VALUE"""),1010778.0)</f>
        <v>1010778</v>
      </c>
    </row>
    <row r="2677">
      <c r="A2677" s="26">
        <f>IFERROR(__xludf.DUMMYFUNCTION("""COMPUTED_VALUE"""),42318.64583333333)</f>
        <v>42318.64583</v>
      </c>
      <c r="B2677" s="9">
        <f>IFERROR(__xludf.DUMMYFUNCTION("""COMPUTED_VALUE"""),563.75)</f>
        <v>563.75</v>
      </c>
      <c r="C2677" s="9">
        <f>IFERROR(__xludf.DUMMYFUNCTION("""COMPUTED_VALUE"""),563.75)</f>
        <v>563.75</v>
      </c>
      <c r="D2677" s="9">
        <f>IFERROR(__xludf.DUMMYFUNCTION("""COMPUTED_VALUE"""),550.05)</f>
        <v>550.05</v>
      </c>
      <c r="E2677" s="9">
        <f>IFERROR(__xludf.DUMMYFUNCTION("""COMPUTED_VALUE"""),551.92)</f>
        <v>551.92</v>
      </c>
      <c r="F2677" s="9">
        <f>IFERROR(__xludf.DUMMYFUNCTION("""COMPUTED_VALUE"""),2340026.0)</f>
        <v>2340026</v>
      </c>
      <c r="H2677" s="27">
        <f>IFERROR(__xludf.DUMMYFUNCTION("""COMPUTED_VALUE"""),42318.64583333333)</f>
        <v>42318.64583</v>
      </c>
      <c r="I2677" s="25">
        <f>IFERROR(__xludf.DUMMYFUNCTION("""COMPUTED_VALUE"""),1236.47)</f>
        <v>1236.47</v>
      </c>
      <c r="J2677" s="25">
        <f>IFERROR(__xludf.DUMMYFUNCTION("""COMPUTED_VALUE"""),1238.5)</f>
        <v>1238.5</v>
      </c>
      <c r="K2677" s="25">
        <f>IFERROR(__xludf.DUMMYFUNCTION("""COMPUTED_VALUE"""),1225.0)</f>
        <v>1225</v>
      </c>
      <c r="L2677" s="25">
        <f>IFERROR(__xludf.DUMMYFUNCTION("""COMPUTED_VALUE"""),1229.08)</f>
        <v>1229.08</v>
      </c>
      <c r="M2677" s="25">
        <f>IFERROR(__xludf.DUMMYFUNCTION("""COMPUTED_VALUE"""),680960.0)</f>
        <v>680960</v>
      </c>
    </row>
    <row r="2678">
      <c r="A2678" s="26">
        <f>IFERROR(__xludf.DUMMYFUNCTION("""COMPUTED_VALUE"""),42321.64583333333)</f>
        <v>42321.64583</v>
      </c>
      <c r="B2678" s="9">
        <f>IFERROR(__xludf.DUMMYFUNCTION("""COMPUTED_VALUE"""),549.98)</f>
        <v>549.98</v>
      </c>
      <c r="C2678" s="9">
        <f>IFERROR(__xludf.DUMMYFUNCTION("""COMPUTED_VALUE"""),553.0)</f>
        <v>553</v>
      </c>
      <c r="D2678" s="9">
        <f>IFERROR(__xludf.DUMMYFUNCTION("""COMPUTED_VALUE"""),545.0)</f>
        <v>545</v>
      </c>
      <c r="E2678" s="9">
        <f>IFERROR(__xludf.DUMMYFUNCTION("""COMPUTED_VALUE"""),550.4)</f>
        <v>550.4</v>
      </c>
      <c r="F2678" s="9">
        <f>IFERROR(__xludf.DUMMYFUNCTION("""COMPUTED_VALUE"""),1760434.0)</f>
        <v>1760434</v>
      </c>
      <c r="H2678" s="27">
        <f>IFERROR(__xludf.DUMMYFUNCTION("""COMPUTED_VALUE"""),42321.64583333333)</f>
        <v>42321.64583</v>
      </c>
      <c r="I2678" s="25">
        <f>IFERROR(__xludf.DUMMYFUNCTION("""COMPUTED_VALUE"""),1219.03)</f>
        <v>1219.03</v>
      </c>
      <c r="J2678" s="25">
        <f>IFERROR(__xludf.DUMMYFUNCTION("""COMPUTED_VALUE"""),1219.03)</f>
        <v>1219.03</v>
      </c>
      <c r="K2678" s="25">
        <f>IFERROR(__xludf.DUMMYFUNCTION("""COMPUTED_VALUE"""),1193.28)</f>
        <v>1193.28</v>
      </c>
      <c r="L2678" s="25">
        <f>IFERROR(__xludf.DUMMYFUNCTION("""COMPUTED_VALUE"""),1198.7)</f>
        <v>1198.7</v>
      </c>
      <c r="M2678" s="25">
        <f>IFERROR(__xludf.DUMMYFUNCTION("""COMPUTED_VALUE"""),1371616.0)</f>
        <v>1371616</v>
      </c>
    </row>
    <row r="2679">
      <c r="A2679" s="26">
        <f>IFERROR(__xludf.DUMMYFUNCTION("""COMPUTED_VALUE"""),42324.64583333333)</f>
        <v>42324.64583</v>
      </c>
      <c r="B2679" s="9">
        <f>IFERROR(__xludf.DUMMYFUNCTION("""COMPUTED_VALUE"""),541.83)</f>
        <v>541.83</v>
      </c>
      <c r="C2679" s="9">
        <f>IFERROR(__xludf.DUMMYFUNCTION("""COMPUTED_VALUE"""),547.0)</f>
        <v>547</v>
      </c>
      <c r="D2679" s="9">
        <f>IFERROR(__xludf.DUMMYFUNCTION("""COMPUTED_VALUE"""),533.6)</f>
        <v>533.6</v>
      </c>
      <c r="E2679" s="9">
        <f>IFERROR(__xludf.DUMMYFUNCTION("""COMPUTED_VALUE"""),540.1)</f>
        <v>540.1</v>
      </c>
      <c r="F2679" s="9">
        <f>IFERROR(__xludf.DUMMYFUNCTION("""COMPUTED_VALUE"""),3404167.0)</f>
        <v>3404167</v>
      </c>
      <c r="H2679" s="27">
        <f>IFERROR(__xludf.DUMMYFUNCTION("""COMPUTED_VALUE"""),42324.64583333333)</f>
        <v>42324.64583</v>
      </c>
      <c r="I2679" s="25">
        <f>IFERROR(__xludf.DUMMYFUNCTION("""COMPUTED_VALUE"""),1195.0)</f>
        <v>1195</v>
      </c>
      <c r="J2679" s="25">
        <f>IFERROR(__xludf.DUMMYFUNCTION("""COMPUTED_VALUE"""),1195.0)</f>
        <v>1195</v>
      </c>
      <c r="K2679" s="25">
        <f>IFERROR(__xludf.DUMMYFUNCTION("""COMPUTED_VALUE"""),1178.0)</f>
        <v>1178</v>
      </c>
      <c r="L2679" s="25">
        <f>IFERROR(__xludf.DUMMYFUNCTION("""COMPUTED_VALUE"""),1187.3)</f>
        <v>1187.3</v>
      </c>
      <c r="M2679" s="25">
        <f>IFERROR(__xludf.DUMMYFUNCTION("""COMPUTED_VALUE"""),1021764.0)</f>
        <v>1021764</v>
      </c>
    </row>
    <row r="2680">
      <c r="A2680" s="26">
        <f>IFERROR(__xludf.DUMMYFUNCTION("""COMPUTED_VALUE"""),42325.64583333333)</f>
        <v>42325.64583</v>
      </c>
      <c r="B2680" s="9">
        <f>IFERROR(__xludf.DUMMYFUNCTION("""COMPUTED_VALUE"""),540.0)</f>
        <v>540</v>
      </c>
      <c r="C2680" s="9">
        <f>IFERROR(__xludf.DUMMYFUNCTION("""COMPUTED_VALUE"""),541.45)</f>
        <v>541.45</v>
      </c>
      <c r="D2680" s="9">
        <f>IFERROR(__xludf.DUMMYFUNCTION("""COMPUTED_VALUE"""),526.0)</f>
        <v>526</v>
      </c>
      <c r="E2680" s="9">
        <f>IFERROR(__xludf.DUMMYFUNCTION("""COMPUTED_VALUE"""),530.75)</f>
        <v>530.75</v>
      </c>
      <c r="F2680" s="9">
        <f>IFERROR(__xludf.DUMMYFUNCTION("""COMPUTED_VALUE"""),3592053.0)</f>
        <v>3592053</v>
      </c>
      <c r="H2680" s="27">
        <f>IFERROR(__xludf.DUMMYFUNCTION("""COMPUTED_VALUE"""),42325.64583333333)</f>
        <v>42325.64583</v>
      </c>
      <c r="I2680" s="25">
        <f>IFERROR(__xludf.DUMMYFUNCTION("""COMPUTED_VALUE"""),1190.25)</f>
        <v>1190.25</v>
      </c>
      <c r="J2680" s="25">
        <f>IFERROR(__xludf.DUMMYFUNCTION("""COMPUTED_VALUE"""),1199.22)</f>
        <v>1199.22</v>
      </c>
      <c r="K2680" s="25">
        <f>IFERROR(__xludf.DUMMYFUNCTION("""COMPUTED_VALUE"""),1187.5)</f>
        <v>1187.5</v>
      </c>
      <c r="L2680" s="25">
        <f>IFERROR(__xludf.DUMMYFUNCTION("""COMPUTED_VALUE"""),1195.28)</f>
        <v>1195.28</v>
      </c>
      <c r="M2680" s="25">
        <f>IFERROR(__xludf.DUMMYFUNCTION("""COMPUTED_VALUE"""),992514.0)</f>
        <v>992514</v>
      </c>
    </row>
    <row r="2681">
      <c r="A2681" s="26">
        <f>IFERROR(__xludf.DUMMYFUNCTION("""COMPUTED_VALUE"""),42326.64583333333)</f>
        <v>42326.64583</v>
      </c>
      <c r="B2681" s="9">
        <f>IFERROR(__xludf.DUMMYFUNCTION("""COMPUTED_VALUE"""),520.5)</f>
        <v>520.5</v>
      </c>
      <c r="C2681" s="9">
        <f>IFERROR(__xludf.DUMMYFUNCTION("""COMPUTED_VALUE"""),522.58)</f>
        <v>522.58</v>
      </c>
      <c r="D2681" s="9">
        <f>IFERROR(__xludf.DUMMYFUNCTION("""COMPUTED_VALUE"""),505.63)</f>
        <v>505.63</v>
      </c>
      <c r="E2681" s="9">
        <f>IFERROR(__xludf.DUMMYFUNCTION("""COMPUTED_VALUE"""),510.0)</f>
        <v>510</v>
      </c>
      <c r="F2681" s="9">
        <f>IFERROR(__xludf.DUMMYFUNCTION("""COMPUTED_VALUE"""),5062626.0)</f>
        <v>5062626</v>
      </c>
      <c r="H2681" s="27">
        <f>IFERROR(__xludf.DUMMYFUNCTION("""COMPUTED_VALUE"""),42326.64583333333)</f>
        <v>42326.64583</v>
      </c>
      <c r="I2681" s="25">
        <f>IFERROR(__xludf.DUMMYFUNCTION("""COMPUTED_VALUE"""),1194.45)</f>
        <v>1194.45</v>
      </c>
      <c r="J2681" s="25">
        <f>IFERROR(__xludf.DUMMYFUNCTION("""COMPUTED_VALUE"""),1194.45)</f>
        <v>1194.45</v>
      </c>
      <c r="K2681" s="25">
        <f>IFERROR(__xludf.DUMMYFUNCTION("""COMPUTED_VALUE"""),1173.0)</f>
        <v>1173</v>
      </c>
      <c r="L2681" s="25">
        <f>IFERROR(__xludf.DUMMYFUNCTION("""COMPUTED_VALUE"""),1175.72)</f>
        <v>1175.72</v>
      </c>
      <c r="M2681" s="25">
        <f>IFERROR(__xludf.DUMMYFUNCTION("""COMPUTED_VALUE"""),760176.0)</f>
        <v>760176</v>
      </c>
    </row>
    <row r="2682">
      <c r="A2682" s="26">
        <f>IFERROR(__xludf.DUMMYFUNCTION("""COMPUTED_VALUE"""),42327.64583333333)</f>
        <v>42327.64583</v>
      </c>
      <c r="B2682" s="9">
        <f>IFERROR(__xludf.DUMMYFUNCTION("""COMPUTED_VALUE"""),515.13)</f>
        <v>515.13</v>
      </c>
      <c r="C2682" s="9">
        <f>IFERROR(__xludf.DUMMYFUNCTION("""COMPUTED_VALUE"""),526.0)</f>
        <v>526</v>
      </c>
      <c r="D2682" s="9">
        <f>IFERROR(__xludf.DUMMYFUNCTION("""COMPUTED_VALUE"""),511.9)</f>
        <v>511.9</v>
      </c>
      <c r="E2682" s="9">
        <f>IFERROR(__xludf.DUMMYFUNCTION("""COMPUTED_VALUE"""),523.9)</f>
        <v>523.9</v>
      </c>
      <c r="F2682" s="9">
        <f>IFERROR(__xludf.DUMMYFUNCTION("""COMPUTED_VALUE"""),4269811.0)</f>
        <v>4269811</v>
      </c>
      <c r="H2682" s="27">
        <f>IFERROR(__xludf.DUMMYFUNCTION("""COMPUTED_VALUE"""),42327.64583333333)</f>
        <v>42327.64583</v>
      </c>
      <c r="I2682" s="25">
        <f>IFERROR(__xludf.DUMMYFUNCTION("""COMPUTED_VALUE"""),1182.68)</f>
        <v>1182.68</v>
      </c>
      <c r="J2682" s="25">
        <f>IFERROR(__xludf.DUMMYFUNCTION("""COMPUTED_VALUE"""),1190.8)</f>
        <v>1190.8</v>
      </c>
      <c r="K2682" s="25">
        <f>IFERROR(__xludf.DUMMYFUNCTION("""COMPUTED_VALUE"""),1176.0)</f>
        <v>1176</v>
      </c>
      <c r="L2682" s="25">
        <f>IFERROR(__xludf.DUMMYFUNCTION("""COMPUTED_VALUE"""),1181.28)</f>
        <v>1181.28</v>
      </c>
      <c r="M2682" s="25">
        <f>IFERROR(__xludf.DUMMYFUNCTION("""COMPUTED_VALUE"""),933453.0)</f>
        <v>933453</v>
      </c>
    </row>
    <row r="2683">
      <c r="A2683" s="26">
        <f>IFERROR(__xludf.DUMMYFUNCTION("""COMPUTED_VALUE"""),42328.64583333333)</f>
        <v>42328.64583</v>
      </c>
      <c r="B2683" s="9">
        <f>IFERROR(__xludf.DUMMYFUNCTION("""COMPUTED_VALUE"""),524.0)</f>
        <v>524</v>
      </c>
      <c r="C2683" s="9">
        <f>IFERROR(__xludf.DUMMYFUNCTION("""COMPUTED_VALUE"""),531.6)</f>
        <v>531.6</v>
      </c>
      <c r="D2683" s="9">
        <f>IFERROR(__xludf.DUMMYFUNCTION("""COMPUTED_VALUE"""),521.03)</f>
        <v>521.03</v>
      </c>
      <c r="E2683" s="9">
        <f>IFERROR(__xludf.DUMMYFUNCTION("""COMPUTED_VALUE"""),526.2)</f>
        <v>526.2</v>
      </c>
      <c r="F2683" s="9">
        <f>IFERROR(__xludf.DUMMYFUNCTION("""COMPUTED_VALUE"""),3041489.0)</f>
        <v>3041489</v>
      </c>
      <c r="H2683" s="27">
        <f>IFERROR(__xludf.DUMMYFUNCTION("""COMPUTED_VALUE"""),42328.64583333333)</f>
        <v>42328.64583</v>
      </c>
      <c r="I2683" s="25">
        <f>IFERROR(__xludf.DUMMYFUNCTION("""COMPUTED_VALUE"""),1183.25)</f>
        <v>1183.25</v>
      </c>
      <c r="J2683" s="25">
        <f>IFERROR(__xludf.DUMMYFUNCTION("""COMPUTED_VALUE"""),1211.78)</f>
        <v>1211.78</v>
      </c>
      <c r="K2683" s="25">
        <f>IFERROR(__xludf.DUMMYFUNCTION("""COMPUTED_VALUE"""),1180.97)</f>
        <v>1180.97</v>
      </c>
      <c r="L2683" s="25">
        <f>IFERROR(__xludf.DUMMYFUNCTION("""COMPUTED_VALUE"""),1199.18)</f>
        <v>1199.18</v>
      </c>
      <c r="M2683" s="25">
        <f>IFERROR(__xludf.DUMMYFUNCTION("""COMPUTED_VALUE"""),1006063.0)</f>
        <v>1006063</v>
      </c>
    </row>
    <row r="2684">
      <c r="A2684" s="26">
        <f>IFERROR(__xludf.DUMMYFUNCTION("""COMPUTED_VALUE"""),42331.64583333333)</f>
        <v>42331.64583</v>
      </c>
      <c r="B2684" s="9">
        <f>IFERROR(__xludf.DUMMYFUNCTION("""COMPUTED_VALUE"""),525.0)</f>
        <v>525</v>
      </c>
      <c r="C2684" s="9">
        <f>IFERROR(__xludf.DUMMYFUNCTION("""COMPUTED_VALUE"""),531.2)</f>
        <v>531.2</v>
      </c>
      <c r="D2684" s="9">
        <f>IFERROR(__xludf.DUMMYFUNCTION("""COMPUTED_VALUE"""),519.0)</f>
        <v>519</v>
      </c>
      <c r="E2684" s="9">
        <f>IFERROR(__xludf.DUMMYFUNCTION("""COMPUTED_VALUE"""),526.85)</f>
        <v>526.85</v>
      </c>
      <c r="F2684" s="9">
        <f>IFERROR(__xludf.DUMMYFUNCTION("""COMPUTED_VALUE"""),2808175.0)</f>
        <v>2808175</v>
      </c>
      <c r="H2684" s="27">
        <f>IFERROR(__xludf.DUMMYFUNCTION("""COMPUTED_VALUE"""),42331.64583333333)</f>
        <v>42331.64583</v>
      </c>
      <c r="I2684" s="25">
        <f>IFERROR(__xludf.DUMMYFUNCTION("""COMPUTED_VALUE"""),1202.65)</f>
        <v>1202.65</v>
      </c>
      <c r="J2684" s="25">
        <f>IFERROR(__xludf.DUMMYFUNCTION("""COMPUTED_VALUE"""),1206.7)</f>
        <v>1206.7</v>
      </c>
      <c r="K2684" s="25">
        <f>IFERROR(__xludf.DUMMYFUNCTION("""COMPUTED_VALUE"""),1191.13)</f>
        <v>1191.13</v>
      </c>
      <c r="L2684" s="25">
        <f>IFERROR(__xludf.DUMMYFUNCTION("""COMPUTED_VALUE"""),1195.53)</f>
        <v>1195.53</v>
      </c>
      <c r="M2684" s="25">
        <f>IFERROR(__xludf.DUMMYFUNCTION("""COMPUTED_VALUE"""),544041.0)</f>
        <v>544041</v>
      </c>
    </row>
    <row r="2685">
      <c r="A2685" s="26">
        <f>IFERROR(__xludf.DUMMYFUNCTION("""COMPUTED_VALUE"""),42332.64583333333)</f>
        <v>42332.64583</v>
      </c>
      <c r="B2685" s="9">
        <f>IFERROR(__xludf.DUMMYFUNCTION("""COMPUTED_VALUE"""),525.0)</f>
        <v>525</v>
      </c>
      <c r="C2685" s="9">
        <f>IFERROR(__xludf.DUMMYFUNCTION("""COMPUTED_VALUE"""),525.4)</f>
        <v>525.4</v>
      </c>
      <c r="D2685" s="9">
        <f>IFERROR(__xludf.DUMMYFUNCTION("""COMPUTED_VALUE"""),518.5)</f>
        <v>518.5</v>
      </c>
      <c r="E2685" s="9">
        <f>IFERROR(__xludf.DUMMYFUNCTION("""COMPUTED_VALUE"""),520.58)</f>
        <v>520.58</v>
      </c>
      <c r="F2685" s="9">
        <f>IFERROR(__xludf.DUMMYFUNCTION("""COMPUTED_VALUE"""),2162901.0)</f>
        <v>2162901</v>
      </c>
      <c r="H2685" s="27">
        <f>IFERROR(__xludf.DUMMYFUNCTION("""COMPUTED_VALUE"""),42332.64583333333)</f>
        <v>42332.64583</v>
      </c>
      <c r="I2685" s="25">
        <f>IFERROR(__xludf.DUMMYFUNCTION("""COMPUTED_VALUE"""),1190.03)</f>
        <v>1190.03</v>
      </c>
      <c r="J2685" s="25">
        <f>IFERROR(__xludf.DUMMYFUNCTION("""COMPUTED_VALUE"""),1196.22)</f>
        <v>1196.22</v>
      </c>
      <c r="K2685" s="25">
        <f>IFERROR(__xludf.DUMMYFUNCTION("""COMPUTED_VALUE"""),1182.75)</f>
        <v>1182.75</v>
      </c>
      <c r="L2685" s="25">
        <f>IFERROR(__xludf.DUMMYFUNCTION("""COMPUTED_VALUE"""),1183.97)</f>
        <v>1183.97</v>
      </c>
      <c r="M2685" s="25">
        <f>IFERROR(__xludf.DUMMYFUNCTION("""COMPUTED_VALUE"""),499320.0)</f>
        <v>499320</v>
      </c>
    </row>
    <row r="2686">
      <c r="A2686" s="26">
        <f>IFERROR(__xludf.DUMMYFUNCTION("""COMPUTED_VALUE"""),42334.64583333333)</f>
        <v>42334.64583</v>
      </c>
      <c r="B2686" s="9">
        <f>IFERROR(__xludf.DUMMYFUNCTION("""COMPUTED_VALUE"""),520.48)</f>
        <v>520.48</v>
      </c>
      <c r="C2686" s="9">
        <f>IFERROR(__xludf.DUMMYFUNCTION("""COMPUTED_VALUE"""),529.75)</f>
        <v>529.75</v>
      </c>
      <c r="D2686" s="9">
        <f>IFERROR(__xludf.DUMMYFUNCTION("""COMPUTED_VALUE"""),520.03)</f>
        <v>520.03</v>
      </c>
      <c r="E2686" s="9">
        <f>IFERROR(__xludf.DUMMYFUNCTION("""COMPUTED_VALUE"""),526.2)</f>
        <v>526.2</v>
      </c>
      <c r="F2686" s="9">
        <f>IFERROR(__xludf.DUMMYFUNCTION("""COMPUTED_VALUE"""),4926984.0)</f>
        <v>4926984</v>
      </c>
      <c r="H2686" s="27">
        <f>IFERROR(__xludf.DUMMYFUNCTION("""COMPUTED_VALUE"""),42334.64583333333)</f>
        <v>42334.64583</v>
      </c>
      <c r="I2686" s="25">
        <f>IFERROR(__xludf.DUMMYFUNCTION("""COMPUTED_VALUE"""),1188.95)</f>
        <v>1188.95</v>
      </c>
      <c r="J2686" s="25">
        <f>IFERROR(__xludf.DUMMYFUNCTION("""COMPUTED_VALUE"""),1191.2)</f>
        <v>1191.2</v>
      </c>
      <c r="K2686" s="25">
        <f>IFERROR(__xludf.DUMMYFUNCTION("""COMPUTED_VALUE"""),1168.93)</f>
        <v>1168.93</v>
      </c>
      <c r="L2686" s="25">
        <f>IFERROR(__xludf.DUMMYFUNCTION("""COMPUTED_VALUE"""),1172.78)</f>
        <v>1172.78</v>
      </c>
      <c r="M2686" s="25">
        <f>IFERROR(__xludf.DUMMYFUNCTION("""COMPUTED_VALUE"""),1457646.0)</f>
        <v>1457646</v>
      </c>
    </row>
    <row r="2687">
      <c r="A2687" s="26">
        <f>IFERROR(__xludf.DUMMYFUNCTION("""COMPUTED_VALUE"""),42335.64583333333)</f>
        <v>42335.64583</v>
      </c>
      <c r="B2687" s="9">
        <f>IFERROR(__xludf.DUMMYFUNCTION("""COMPUTED_VALUE"""),529.0)</f>
        <v>529</v>
      </c>
      <c r="C2687" s="9">
        <f>IFERROR(__xludf.DUMMYFUNCTION("""COMPUTED_VALUE"""),535.0)</f>
        <v>535</v>
      </c>
      <c r="D2687" s="9">
        <f>IFERROR(__xludf.DUMMYFUNCTION("""COMPUTED_VALUE"""),522.5)</f>
        <v>522.5</v>
      </c>
      <c r="E2687" s="9">
        <f>IFERROR(__xludf.DUMMYFUNCTION("""COMPUTED_VALUE"""),533.17)</f>
        <v>533.17</v>
      </c>
      <c r="F2687" s="9">
        <f>IFERROR(__xludf.DUMMYFUNCTION("""COMPUTED_VALUE"""),2571239.0)</f>
        <v>2571239</v>
      </c>
      <c r="H2687" s="27">
        <f>IFERROR(__xludf.DUMMYFUNCTION("""COMPUTED_VALUE"""),42335.64583333333)</f>
        <v>42335.64583</v>
      </c>
      <c r="I2687" s="25">
        <f>IFERROR(__xludf.DUMMYFUNCTION("""COMPUTED_VALUE"""),1174.0)</f>
        <v>1174</v>
      </c>
      <c r="J2687" s="25">
        <f>IFERROR(__xludf.DUMMYFUNCTION("""COMPUTED_VALUE"""),1179.72)</f>
        <v>1179.72</v>
      </c>
      <c r="K2687" s="25">
        <f>IFERROR(__xludf.DUMMYFUNCTION("""COMPUTED_VALUE"""),1166.25)</f>
        <v>1166.25</v>
      </c>
      <c r="L2687" s="25">
        <f>IFERROR(__xludf.DUMMYFUNCTION("""COMPUTED_VALUE"""),1176.68)</f>
        <v>1176.68</v>
      </c>
      <c r="M2687" s="25">
        <f>IFERROR(__xludf.DUMMYFUNCTION("""COMPUTED_VALUE"""),868603.0)</f>
        <v>868603</v>
      </c>
    </row>
    <row r="2688">
      <c r="A2688" s="26">
        <f>IFERROR(__xludf.DUMMYFUNCTION("""COMPUTED_VALUE"""),42338.64583333333)</f>
        <v>42338.64583</v>
      </c>
      <c r="B2688" s="9">
        <f>IFERROR(__xludf.DUMMYFUNCTION("""COMPUTED_VALUE"""),535.0)</f>
        <v>535</v>
      </c>
      <c r="C2688" s="9">
        <f>IFERROR(__xludf.DUMMYFUNCTION("""COMPUTED_VALUE"""),0.0)</f>
        <v>0</v>
      </c>
      <c r="D2688" s="9">
        <f>IFERROR(__xludf.DUMMYFUNCTION("""COMPUTED_VALUE"""),0.0)</f>
        <v>0</v>
      </c>
      <c r="E2688" s="9">
        <f>IFERROR(__xludf.DUMMYFUNCTION("""COMPUTED_VALUE"""),533.0)</f>
        <v>533</v>
      </c>
      <c r="F2688" s="9">
        <f>IFERROR(__xludf.DUMMYFUNCTION("""COMPUTED_VALUE"""),0.0)</f>
        <v>0</v>
      </c>
      <c r="H2688" s="27">
        <f>IFERROR(__xludf.DUMMYFUNCTION("""COMPUTED_VALUE"""),42338.64583333333)</f>
        <v>42338.64583</v>
      </c>
      <c r="I2688" s="25">
        <f>IFERROR(__xludf.DUMMYFUNCTION("""COMPUTED_VALUE"""),1182.5)</f>
        <v>1182.5</v>
      </c>
      <c r="J2688" s="25">
        <f>IFERROR(__xludf.DUMMYFUNCTION("""COMPUTED_VALUE"""),1195.63)</f>
        <v>1195.63</v>
      </c>
      <c r="K2688" s="25">
        <f>IFERROR(__xludf.DUMMYFUNCTION("""COMPUTED_VALUE"""),1175.08)</f>
        <v>1175.08</v>
      </c>
      <c r="L2688" s="25">
        <f>IFERROR(__xludf.DUMMYFUNCTION("""COMPUTED_VALUE"""),1186.78)</f>
        <v>1186.78</v>
      </c>
      <c r="M2688" s="25">
        <f>IFERROR(__xludf.DUMMYFUNCTION("""COMPUTED_VALUE"""),2050024.0)</f>
        <v>2050024</v>
      </c>
    </row>
    <row r="2689">
      <c r="A2689" s="26">
        <f>IFERROR(__xludf.DUMMYFUNCTION("""COMPUTED_VALUE"""),42339.64583333333)</f>
        <v>42339.64583</v>
      </c>
      <c r="B2689" s="9">
        <f>IFERROR(__xludf.DUMMYFUNCTION("""COMPUTED_VALUE"""),544.0)</f>
        <v>544</v>
      </c>
      <c r="C2689" s="9">
        <f>IFERROR(__xludf.DUMMYFUNCTION("""COMPUTED_VALUE"""),547.5)</f>
        <v>547.5</v>
      </c>
      <c r="D2689" s="9">
        <f>IFERROR(__xludf.DUMMYFUNCTION("""COMPUTED_VALUE"""),536.48)</f>
        <v>536.48</v>
      </c>
      <c r="E2689" s="9">
        <f>IFERROR(__xludf.DUMMYFUNCTION("""COMPUTED_VALUE"""),539.5)</f>
        <v>539.5</v>
      </c>
      <c r="F2689" s="9">
        <f>IFERROR(__xludf.DUMMYFUNCTION("""COMPUTED_VALUE"""),2949275.0)</f>
        <v>2949275</v>
      </c>
      <c r="H2689" s="27">
        <f>IFERROR(__xludf.DUMMYFUNCTION("""COMPUTED_VALUE"""),42339.64583333333)</f>
        <v>42339.64583</v>
      </c>
      <c r="I2689" s="25">
        <f>IFERROR(__xludf.DUMMYFUNCTION("""COMPUTED_VALUE"""),1181.45)</f>
        <v>1181.45</v>
      </c>
      <c r="J2689" s="25">
        <f>IFERROR(__xludf.DUMMYFUNCTION("""COMPUTED_VALUE"""),1189.03)</f>
        <v>1189.03</v>
      </c>
      <c r="K2689" s="25">
        <f>IFERROR(__xludf.DUMMYFUNCTION("""COMPUTED_VALUE"""),1178.53)</f>
        <v>1178.53</v>
      </c>
      <c r="L2689" s="25">
        <f>IFERROR(__xludf.DUMMYFUNCTION("""COMPUTED_VALUE"""),1180.95)</f>
        <v>1180.95</v>
      </c>
      <c r="M2689" s="25">
        <f>IFERROR(__xludf.DUMMYFUNCTION("""COMPUTED_VALUE"""),860997.0)</f>
        <v>860997</v>
      </c>
    </row>
    <row r="2690">
      <c r="A2690" s="26">
        <f>IFERROR(__xludf.DUMMYFUNCTION("""COMPUTED_VALUE"""),42340.64583333333)</f>
        <v>42340.64583</v>
      </c>
      <c r="B2690" s="9">
        <f>IFERROR(__xludf.DUMMYFUNCTION("""COMPUTED_VALUE"""),539.98)</f>
        <v>539.98</v>
      </c>
      <c r="C2690" s="9">
        <f>IFERROR(__xludf.DUMMYFUNCTION("""COMPUTED_VALUE"""),539.98)</f>
        <v>539.98</v>
      </c>
      <c r="D2690" s="9">
        <f>IFERROR(__xludf.DUMMYFUNCTION("""COMPUTED_VALUE"""),529.5)</f>
        <v>529.5</v>
      </c>
      <c r="E2690" s="9">
        <f>IFERROR(__xludf.DUMMYFUNCTION("""COMPUTED_VALUE"""),530.35)</f>
        <v>530.35</v>
      </c>
      <c r="F2690" s="9">
        <f>IFERROR(__xludf.DUMMYFUNCTION("""COMPUTED_VALUE"""),3198808.0)</f>
        <v>3198808</v>
      </c>
      <c r="H2690" s="27">
        <f>IFERROR(__xludf.DUMMYFUNCTION("""COMPUTED_VALUE"""),42340.64583333333)</f>
        <v>42340.64583</v>
      </c>
      <c r="I2690" s="25">
        <f>IFERROR(__xludf.DUMMYFUNCTION("""COMPUTED_VALUE"""),1189.0)</f>
        <v>1189</v>
      </c>
      <c r="J2690" s="25">
        <f>IFERROR(__xludf.DUMMYFUNCTION("""COMPUTED_VALUE"""),1189.05)</f>
        <v>1189.05</v>
      </c>
      <c r="K2690" s="25">
        <f>IFERROR(__xludf.DUMMYFUNCTION("""COMPUTED_VALUE"""),1173.25)</f>
        <v>1173.25</v>
      </c>
      <c r="L2690" s="25">
        <f>IFERROR(__xludf.DUMMYFUNCTION("""COMPUTED_VALUE"""),1182.6)</f>
        <v>1182.6</v>
      </c>
      <c r="M2690" s="25">
        <f>IFERROR(__xludf.DUMMYFUNCTION("""COMPUTED_VALUE"""),820148.0)</f>
        <v>820148</v>
      </c>
    </row>
    <row r="2691">
      <c r="A2691" s="26">
        <f>IFERROR(__xludf.DUMMYFUNCTION("""COMPUTED_VALUE"""),42341.64583333333)</f>
        <v>42341.64583</v>
      </c>
      <c r="B2691" s="9">
        <f>IFERROR(__xludf.DUMMYFUNCTION("""COMPUTED_VALUE"""),530.5)</f>
        <v>530.5</v>
      </c>
      <c r="C2691" s="9">
        <f>IFERROR(__xludf.DUMMYFUNCTION("""COMPUTED_VALUE"""),532.4)</f>
        <v>532.4</v>
      </c>
      <c r="D2691" s="9">
        <f>IFERROR(__xludf.DUMMYFUNCTION("""COMPUTED_VALUE"""),524.53)</f>
        <v>524.53</v>
      </c>
      <c r="E2691" s="9">
        <f>IFERROR(__xludf.DUMMYFUNCTION("""COMPUTED_VALUE"""),528.88)</f>
        <v>528.88</v>
      </c>
      <c r="F2691" s="9">
        <f>IFERROR(__xludf.DUMMYFUNCTION("""COMPUTED_VALUE"""),2752363.0)</f>
        <v>2752363</v>
      </c>
      <c r="H2691" s="27">
        <f>IFERROR(__xludf.DUMMYFUNCTION("""COMPUTED_VALUE"""),42341.64583333333)</f>
        <v>42341.64583</v>
      </c>
      <c r="I2691" s="25">
        <f>IFERROR(__xludf.DUMMYFUNCTION("""COMPUTED_VALUE"""),1180.0)</f>
        <v>1180</v>
      </c>
      <c r="J2691" s="25">
        <f>IFERROR(__xludf.DUMMYFUNCTION("""COMPUTED_VALUE"""),1186.5)</f>
        <v>1186.5</v>
      </c>
      <c r="K2691" s="25">
        <f>IFERROR(__xludf.DUMMYFUNCTION("""COMPUTED_VALUE"""),1173.5)</f>
        <v>1173.5</v>
      </c>
      <c r="L2691" s="25">
        <f>IFERROR(__xludf.DUMMYFUNCTION("""COMPUTED_VALUE"""),1175.38)</f>
        <v>1175.38</v>
      </c>
      <c r="M2691" s="25">
        <f>IFERROR(__xludf.DUMMYFUNCTION("""COMPUTED_VALUE"""),1141679.0)</f>
        <v>1141679</v>
      </c>
    </row>
    <row r="2692">
      <c r="A2692" s="26">
        <f>IFERROR(__xludf.DUMMYFUNCTION("""COMPUTED_VALUE"""),42342.64583333333)</f>
        <v>42342.64583</v>
      </c>
      <c r="B2692" s="9">
        <f>IFERROR(__xludf.DUMMYFUNCTION("""COMPUTED_VALUE"""),524.5)</f>
        <v>524.5</v>
      </c>
      <c r="C2692" s="9">
        <f>IFERROR(__xludf.DUMMYFUNCTION("""COMPUTED_VALUE"""),532.45)</f>
        <v>532.45</v>
      </c>
      <c r="D2692" s="9">
        <f>IFERROR(__xludf.DUMMYFUNCTION("""COMPUTED_VALUE"""),520.05)</f>
        <v>520.05</v>
      </c>
      <c r="E2692" s="9">
        <f>IFERROR(__xludf.DUMMYFUNCTION("""COMPUTED_VALUE"""),524.53)</f>
        <v>524.53</v>
      </c>
      <c r="F2692" s="9">
        <f>IFERROR(__xludf.DUMMYFUNCTION("""COMPUTED_VALUE"""),4187765.0)</f>
        <v>4187765</v>
      </c>
      <c r="H2692" s="27">
        <f>IFERROR(__xludf.DUMMYFUNCTION("""COMPUTED_VALUE"""),42342.64583333333)</f>
        <v>42342.64583</v>
      </c>
      <c r="I2692" s="25">
        <f>IFERROR(__xludf.DUMMYFUNCTION("""COMPUTED_VALUE"""),1170.0)</f>
        <v>1170</v>
      </c>
      <c r="J2692" s="25">
        <f>IFERROR(__xludf.DUMMYFUNCTION("""COMPUTED_VALUE"""),1173.65)</f>
        <v>1173.65</v>
      </c>
      <c r="K2692" s="25">
        <f>IFERROR(__xludf.DUMMYFUNCTION("""COMPUTED_VALUE"""),1160.55)</f>
        <v>1160.55</v>
      </c>
      <c r="L2692" s="25">
        <f>IFERROR(__xludf.DUMMYFUNCTION("""COMPUTED_VALUE"""),1164.2)</f>
        <v>1164.2</v>
      </c>
      <c r="M2692" s="25">
        <f>IFERROR(__xludf.DUMMYFUNCTION("""COMPUTED_VALUE"""),623046.0)</f>
        <v>623046</v>
      </c>
    </row>
    <row r="2693">
      <c r="A2693" s="26">
        <f>IFERROR(__xludf.DUMMYFUNCTION("""COMPUTED_VALUE"""),42345.64583333333)</f>
        <v>42345.64583</v>
      </c>
      <c r="B2693" s="9">
        <f>IFERROR(__xludf.DUMMYFUNCTION("""COMPUTED_VALUE"""),527.65)</f>
        <v>527.65</v>
      </c>
      <c r="C2693" s="9">
        <f>IFERROR(__xludf.DUMMYFUNCTION("""COMPUTED_VALUE"""),529.5)</f>
        <v>529.5</v>
      </c>
      <c r="D2693" s="9">
        <f>IFERROR(__xludf.DUMMYFUNCTION("""COMPUTED_VALUE"""),520.0)</f>
        <v>520</v>
      </c>
      <c r="E2693" s="9">
        <f>IFERROR(__xludf.DUMMYFUNCTION("""COMPUTED_VALUE"""),523.13)</f>
        <v>523.13</v>
      </c>
      <c r="F2693" s="9">
        <f>IFERROR(__xludf.DUMMYFUNCTION("""COMPUTED_VALUE"""),2256935.0)</f>
        <v>2256935</v>
      </c>
      <c r="H2693" s="27">
        <f>IFERROR(__xludf.DUMMYFUNCTION("""COMPUTED_VALUE"""),42345.64583333333)</f>
        <v>42345.64583</v>
      </c>
      <c r="I2693" s="25">
        <f>IFERROR(__xludf.DUMMYFUNCTION("""COMPUTED_VALUE"""),1166.1)</f>
        <v>1166.1</v>
      </c>
      <c r="J2693" s="25">
        <f>IFERROR(__xludf.DUMMYFUNCTION("""COMPUTED_VALUE"""),1171.95)</f>
        <v>1171.95</v>
      </c>
      <c r="K2693" s="25">
        <f>IFERROR(__xludf.DUMMYFUNCTION("""COMPUTED_VALUE"""),1157.63)</f>
        <v>1157.63</v>
      </c>
      <c r="L2693" s="25">
        <f>IFERROR(__xludf.DUMMYFUNCTION("""COMPUTED_VALUE"""),1159.9)</f>
        <v>1159.9</v>
      </c>
      <c r="M2693" s="25">
        <f>IFERROR(__xludf.DUMMYFUNCTION("""COMPUTED_VALUE"""),691302.0)</f>
        <v>691302</v>
      </c>
    </row>
    <row r="2694">
      <c r="A2694" s="26">
        <f>IFERROR(__xludf.DUMMYFUNCTION("""COMPUTED_VALUE"""),42346.64583333333)</f>
        <v>42346.64583</v>
      </c>
      <c r="B2694" s="9">
        <f>IFERROR(__xludf.DUMMYFUNCTION("""COMPUTED_VALUE"""),522.53)</f>
        <v>522.53</v>
      </c>
      <c r="C2694" s="9">
        <f>IFERROR(__xludf.DUMMYFUNCTION("""COMPUTED_VALUE"""),531.38)</f>
        <v>531.38</v>
      </c>
      <c r="D2694" s="9">
        <f>IFERROR(__xludf.DUMMYFUNCTION("""COMPUTED_VALUE"""),519.65)</f>
        <v>519.65</v>
      </c>
      <c r="E2694" s="9">
        <f>IFERROR(__xludf.DUMMYFUNCTION("""COMPUTED_VALUE"""),522.2)</f>
        <v>522.2</v>
      </c>
      <c r="F2694" s="9">
        <f>IFERROR(__xludf.DUMMYFUNCTION("""COMPUTED_VALUE"""),2862186.0)</f>
        <v>2862186</v>
      </c>
      <c r="H2694" s="27">
        <f>IFERROR(__xludf.DUMMYFUNCTION("""COMPUTED_VALUE"""),42346.64583333333)</f>
        <v>42346.64583</v>
      </c>
      <c r="I2694" s="25">
        <f>IFERROR(__xludf.DUMMYFUNCTION("""COMPUTED_VALUE"""),1159.7)</f>
        <v>1159.7</v>
      </c>
      <c r="J2694" s="25">
        <f>IFERROR(__xludf.DUMMYFUNCTION("""COMPUTED_VALUE"""),1174.5)</f>
        <v>1174.5</v>
      </c>
      <c r="K2694" s="25">
        <f>IFERROR(__xludf.DUMMYFUNCTION("""COMPUTED_VALUE"""),1158.65)</f>
        <v>1158.65</v>
      </c>
      <c r="L2694" s="25">
        <f>IFERROR(__xludf.DUMMYFUNCTION("""COMPUTED_VALUE"""),1164.5)</f>
        <v>1164.5</v>
      </c>
      <c r="M2694" s="25">
        <f>IFERROR(__xludf.DUMMYFUNCTION("""COMPUTED_VALUE"""),569982.0)</f>
        <v>569982</v>
      </c>
    </row>
    <row r="2695">
      <c r="A2695" s="26">
        <f>IFERROR(__xludf.DUMMYFUNCTION("""COMPUTED_VALUE"""),42347.64583333333)</f>
        <v>42347.64583</v>
      </c>
      <c r="B2695" s="9">
        <f>IFERROR(__xludf.DUMMYFUNCTION("""COMPUTED_VALUE"""),521.5)</f>
        <v>521.5</v>
      </c>
      <c r="C2695" s="9">
        <f>IFERROR(__xludf.DUMMYFUNCTION("""COMPUTED_VALUE"""),523.48)</f>
        <v>523.48</v>
      </c>
      <c r="D2695" s="9">
        <f>IFERROR(__xludf.DUMMYFUNCTION("""COMPUTED_VALUE"""),511.28)</f>
        <v>511.28</v>
      </c>
      <c r="E2695" s="9">
        <f>IFERROR(__xludf.DUMMYFUNCTION("""COMPUTED_VALUE"""),514.1)</f>
        <v>514.1</v>
      </c>
      <c r="F2695" s="9">
        <f>IFERROR(__xludf.DUMMYFUNCTION("""COMPUTED_VALUE"""),3409127.0)</f>
        <v>3409127</v>
      </c>
      <c r="H2695" s="27">
        <f>IFERROR(__xludf.DUMMYFUNCTION("""COMPUTED_VALUE"""),42347.64583333333)</f>
        <v>42347.64583</v>
      </c>
      <c r="I2695" s="25">
        <f>IFERROR(__xludf.DUMMYFUNCTION("""COMPUTED_VALUE"""),1168.95)</f>
        <v>1168.95</v>
      </c>
      <c r="J2695" s="25">
        <f>IFERROR(__xludf.DUMMYFUNCTION("""COMPUTED_VALUE"""),1186.4)</f>
        <v>1186.4</v>
      </c>
      <c r="K2695" s="25">
        <f>IFERROR(__xludf.DUMMYFUNCTION("""COMPUTED_VALUE"""),1160.0)</f>
        <v>1160</v>
      </c>
      <c r="L2695" s="25">
        <f>IFERROR(__xludf.DUMMYFUNCTION("""COMPUTED_VALUE"""),1183.83)</f>
        <v>1183.83</v>
      </c>
      <c r="M2695" s="25">
        <f>IFERROR(__xludf.DUMMYFUNCTION("""COMPUTED_VALUE"""),2641403.0)</f>
        <v>2641403</v>
      </c>
    </row>
    <row r="2696">
      <c r="A2696" s="26">
        <f>IFERROR(__xludf.DUMMYFUNCTION("""COMPUTED_VALUE"""),42348.64583333333)</f>
        <v>42348.64583</v>
      </c>
      <c r="B2696" s="9">
        <f>IFERROR(__xludf.DUMMYFUNCTION("""COMPUTED_VALUE"""),518.3)</f>
        <v>518.3</v>
      </c>
      <c r="C2696" s="9">
        <f>IFERROR(__xludf.DUMMYFUNCTION("""COMPUTED_VALUE"""),525.8)</f>
        <v>525.8</v>
      </c>
      <c r="D2696" s="9">
        <f>IFERROR(__xludf.DUMMYFUNCTION("""COMPUTED_VALUE"""),515.15)</f>
        <v>515.15</v>
      </c>
      <c r="E2696" s="9">
        <f>IFERROR(__xludf.DUMMYFUNCTION("""COMPUTED_VALUE"""),523.67)</f>
        <v>523.67</v>
      </c>
      <c r="F2696" s="9">
        <f>IFERROR(__xludf.DUMMYFUNCTION("""COMPUTED_VALUE"""),2793873.0)</f>
        <v>2793873</v>
      </c>
      <c r="H2696" s="27">
        <f>IFERROR(__xludf.DUMMYFUNCTION("""COMPUTED_VALUE"""),42348.64583333333)</f>
        <v>42348.64583</v>
      </c>
      <c r="I2696" s="25">
        <f>IFERROR(__xludf.DUMMYFUNCTION("""COMPUTED_VALUE"""),1184.5)</f>
        <v>1184.5</v>
      </c>
      <c r="J2696" s="25">
        <f>IFERROR(__xludf.DUMMYFUNCTION("""COMPUTED_VALUE"""),1195.6)</f>
        <v>1195.6</v>
      </c>
      <c r="K2696" s="25">
        <f>IFERROR(__xludf.DUMMYFUNCTION("""COMPUTED_VALUE"""),1176.0)</f>
        <v>1176</v>
      </c>
      <c r="L2696" s="25">
        <f>IFERROR(__xludf.DUMMYFUNCTION("""COMPUTED_VALUE"""),1192.28)</f>
        <v>1192.28</v>
      </c>
      <c r="M2696" s="25">
        <f>IFERROR(__xludf.DUMMYFUNCTION("""COMPUTED_VALUE"""),861994.0)</f>
        <v>861994</v>
      </c>
    </row>
    <row r="2697">
      <c r="A2697" s="26">
        <f>IFERROR(__xludf.DUMMYFUNCTION("""COMPUTED_VALUE"""),42349.64583333333)</f>
        <v>42349.64583</v>
      </c>
      <c r="B2697" s="9">
        <f>IFERROR(__xludf.DUMMYFUNCTION("""COMPUTED_VALUE"""),527.0)</f>
        <v>527</v>
      </c>
      <c r="C2697" s="9">
        <f>IFERROR(__xludf.DUMMYFUNCTION("""COMPUTED_VALUE"""),530.95)</f>
        <v>530.95</v>
      </c>
      <c r="D2697" s="9">
        <f>IFERROR(__xludf.DUMMYFUNCTION("""COMPUTED_VALUE"""),522.95)</f>
        <v>522.95</v>
      </c>
      <c r="E2697" s="9">
        <f>IFERROR(__xludf.DUMMYFUNCTION("""COMPUTED_VALUE"""),526.4)</f>
        <v>526.4</v>
      </c>
      <c r="F2697" s="9">
        <f>IFERROR(__xludf.DUMMYFUNCTION("""COMPUTED_VALUE"""),2695099.0)</f>
        <v>2695099</v>
      </c>
      <c r="H2697" s="27">
        <f>IFERROR(__xludf.DUMMYFUNCTION("""COMPUTED_VALUE"""),42349.64583333333)</f>
        <v>42349.64583</v>
      </c>
      <c r="I2697" s="25">
        <f>IFERROR(__xludf.DUMMYFUNCTION("""COMPUTED_VALUE"""),1191.5)</f>
        <v>1191.5</v>
      </c>
      <c r="J2697" s="25">
        <f>IFERROR(__xludf.DUMMYFUNCTION("""COMPUTED_VALUE"""),1195.97)</f>
        <v>1195.97</v>
      </c>
      <c r="K2697" s="25">
        <f>IFERROR(__xludf.DUMMYFUNCTION("""COMPUTED_VALUE"""),1181.63)</f>
        <v>1181.63</v>
      </c>
      <c r="L2697" s="25">
        <f>IFERROR(__xludf.DUMMYFUNCTION("""COMPUTED_VALUE"""),1193.0)</f>
        <v>1193</v>
      </c>
      <c r="M2697" s="25">
        <f>IFERROR(__xludf.DUMMYFUNCTION("""COMPUTED_VALUE"""),826189.0)</f>
        <v>826189</v>
      </c>
    </row>
    <row r="2698">
      <c r="A2698" s="26">
        <f>IFERROR(__xludf.DUMMYFUNCTION("""COMPUTED_VALUE"""),42352.64583333333)</f>
        <v>42352.64583</v>
      </c>
      <c r="B2698" s="9">
        <f>IFERROR(__xludf.DUMMYFUNCTION("""COMPUTED_VALUE"""),524.75)</f>
        <v>524.75</v>
      </c>
      <c r="C2698" s="9">
        <f>IFERROR(__xludf.DUMMYFUNCTION("""COMPUTED_VALUE"""),536.58)</f>
        <v>536.58</v>
      </c>
      <c r="D2698" s="9">
        <f>IFERROR(__xludf.DUMMYFUNCTION("""COMPUTED_VALUE"""),524.03)</f>
        <v>524.03</v>
      </c>
      <c r="E2698" s="9">
        <f>IFERROR(__xludf.DUMMYFUNCTION("""COMPUTED_VALUE"""),534.75)</f>
        <v>534.75</v>
      </c>
      <c r="F2698" s="9">
        <f>IFERROR(__xludf.DUMMYFUNCTION("""COMPUTED_VALUE"""),2408336.0)</f>
        <v>2408336</v>
      </c>
      <c r="H2698" s="27">
        <f>IFERROR(__xludf.DUMMYFUNCTION("""COMPUTED_VALUE"""),42352.64583333333)</f>
        <v>42352.64583</v>
      </c>
      <c r="I2698" s="25">
        <f>IFERROR(__xludf.DUMMYFUNCTION("""COMPUTED_VALUE"""),1167.6)</f>
        <v>1167.6</v>
      </c>
      <c r="J2698" s="25">
        <f>IFERROR(__xludf.DUMMYFUNCTION("""COMPUTED_VALUE"""),1193.5)</f>
        <v>1193.5</v>
      </c>
      <c r="K2698" s="25">
        <f>IFERROR(__xludf.DUMMYFUNCTION("""COMPUTED_VALUE"""),1165.3)</f>
        <v>1165.3</v>
      </c>
      <c r="L2698" s="25">
        <f>IFERROR(__xludf.DUMMYFUNCTION("""COMPUTED_VALUE"""),1189.22)</f>
        <v>1189.22</v>
      </c>
      <c r="M2698" s="25">
        <f>IFERROR(__xludf.DUMMYFUNCTION("""COMPUTED_VALUE"""),1359266.0)</f>
        <v>1359266</v>
      </c>
    </row>
    <row r="2699">
      <c r="A2699" s="26">
        <f>IFERROR(__xludf.DUMMYFUNCTION("""COMPUTED_VALUE"""),42353.64583333333)</f>
        <v>42353.64583</v>
      </c>
      <c r="B2699" s="9">
        <f>IFERROR(__xludf.DUMMYFUNCTION("""COMPUTED_VALUE"""),536.63)</f>
        <v>536.63</v>
      </c>
      <c r="C2699" s="9">
        <f>IFERROR(__xludf.DUMMYFUNCTION("""COMPUTED_VALUE"""),539.55)</f>
        <v>539.55</v>
      </c>
      <c r="D2699" s="9">
        <f>IFERROR(__xludf.DUMMYFUNCTION("""COMPUTED_VALUE"""),529.4)</f>
        <v>529.4</v>
      </c>
      <c r="E2699" s="9">
        <f>IFERROR(__xludf.DUMMYFUNCTION("""COMPUTED_VALUE"""),538.78)</f>
        <v>538.78</v>
      </c>
      <c r="F2699" s="9">
        <f>IFERROR(__xludf.DUMMYFUNCTION("""COMPUTED_VALUE"""),2715904.0)</f>
        <v>2715904</v>
      </c>
      <c r="H2699" s="27">
        <f>IFERROR(__xludf.DUMMYFUNCTION("""COMPUTED_VALUE"""),42353.64583333333)</f>
        <v>42353.64583</v>
      </c>
      <c r="I2699" s="25">
        <f>IFERROR(__xludf.DUMMYFUNCTION("""COMPUTED_VALUE"""),1189.22)</f>
        <v>1189.22</v>
      </c>
      <c r="J2699" s="25">
        <f>IFERROR(__xludf.DUMMYFUNCTION("""COMPUTED_VALUE"""),1192.5)</f>
        <v>1192.5</v>
      </c>
      <c r="K2699" s="25">
        <f>IFERROR(__xludf.DUMMYFUNCTION("""COMPUTED_VALUE"""),1181.53)</f>
        <v>1181.53</v>
      </c>
      <c r="L2699" s="25">
        <f>IFERROR(__xludf.DUMMYFUNCTION("""COMPUTED_VALUE"""),1187.93)</f>
        <v>1187.93</v>
      </c>
      <c r="M2699" s="25">
        <f>IFERROR(__xludf.DUMMYFUNCTION("""COMPUTED_VALUE"""),567934.0)</f>
        <v>567934</v>
      </c>
    </row>
    <row r="2700">
      <c r="A2700" s="26">
        <f>IFERROR(__xludf.DUMMYFUNCTION("""COMPUTED_VALUE"""),42354.64583333333)</f>
        <v>42354.64583</v>
      </c>
      <c r="B2700" s="9">
        <f>IFERROR(__xludf.DUMMYFUNCTION("""COMPUTED_VALUE"""),541.7)</f>
        <v>541.7</v>
      </c>
      <c r="C2700" s="9">
        <f>IFERROR(__xludf.DUMMYFUNCTION("""COMPUTED_VALUE"""),549.0)</f>
        <v>549</v>
      </c>
      <c r="D2700" s="9">
        <f>IFERROR(__xludf.DUMMYFUNCTION("""COMPUTED_VALUE"""),541.7)</f>
        <v>541.7</v>
      </c>
      <c r="E2700" s="9">
        <f>IFERROR(__xludf.DUMMYFUNCTION("""COMPUTED_VALUE"""),547.92)</f>
        <v>547.92</v>
      </c>
      <c r="F2700" s="9">
        <f>IFERROR(__xludf.DUMMYFUNCTION("""COMPUTED_VALUE"""),2747926.0)</f>
        <v>2747926</v>
      </c>
      <c r="H2700" s="27">
        <f>IFERROR(__xludf.DUMMYFUNCTION("""COMPUTED_VALUE"""),42354.64583333333)</f>
        <v>42354.64583</v>
      </c>
      <c r="I2700" s="25">
        <f>IFERROR(__xludf.DUMMYFUNCTION("""COMPUTED_VALUE"""),1192.0)</f>
        <v>1192</v>
      </c>
      <c r="J2700" s="25">
        <f>IFERROR(__xludf.DUMMYFUNCTION("""COMPUTED_VALUE"""),1207.25)</f>
        <v>1207.25</v>
      </c>
      <c r="K2700" s="25">
        <f>IFERROR(__xludf.DUMMYFUNCTION("""COMPUTED_VALUE"""),1192.0)</f>
        <v>1192</v>
      </c>
      <c r="L2700" s="25">
        <f>IFERROR(__xludf.DUMMYFUNCTION("""COMPUTED_VALUE"""),1204.2)</f>
        <v>1204.2</v>
      </c>
      <c r="M2700" s="25">
        <f>IFERROR(__xludf.DUMMYFUNCTION("""COMPUTED_VALUE"""),717967.0)</f>
        <v>717967</v>
      </c>
    </row>
    <row r="2701">
      <c r="A2701" s="26">
        <f>IFERROR(__xludf.DUMMYFUNCTION("""COMPUTED_VALUE"""),42355.64583333333)</f>
        <v>42355.64583</v>
      </c>
      <c r="B2701" s="9">
        <f>IFERROR(__xludf.DUMMYFUNCTION("""COMPUTED_VALUE"""),550.0)</f>
        <v>550</v>
      </c>
      <c r="C2701" s="9">
        <f>IFERROR(__xludf.DUMMYFUNCTION("""COMPUTED_VALUE"""),554.9)</f>
        <v>554.9</v>
      </c>
      <c r="D2701" s="9">
        <f>IFERROR(__xludf.DUMMYFUNCTION("""COMPUTED_VALUE"""),544.0)</f>
        <v>544</v>
      </c>
      <c r="E2701" s="9">
        <f>IFERROR(__xludf.DUMMYFUNCTION("""COMPUTED_VALUE"""),553.55)</f>
        <v>553.55</v>
      </c>
      <c r="F2701" s="9">
        <f>IFERROR(__xludf.DUMMYFUNCTION("""COMPUTED_VALUE"""),2479391.0)</f>
        <v>2479391</v>
      </c>
      <c r="H2701" s="27">
        <f>IFERROR(__xludf.DUMMYFUNCTION("""COMPUTED_VALUE"""),42355.64583333333)</f>
        <v>42355.64583</v>
      </c>
      <c r="I2701" s="25">
        <f>IFERROR(__xludf.DUMMYFUNCTION("""COMPUTED_VALUE"""),1207.5)</f>
        <v>1207.5</v>
      </c>
      <c r="J2701" s="25">
        <f>IFERROR(__xludf.DUMMYFUNCTION("""COMPUTED_VALUE"""),1222.5)</f>
        <v>1222.5</v>
      </c>
      <c r="K2701" s="25">
        <f>IFERROR(__xludf.DUMMYFUNCTION("""COMPUTED_VALUE"""),1196.68)</f>
        <v>1196.68</v>
      </c>
      <c r="L2701" s="25">
        <f>IFERROR(__xludf.DUMMYFUNCTION("""COMPUTED_VALUE"""),1219.88)</f>
        <v>1219.88</v>
      </c>
      <c r="M2701" s="25">
        <f>IFERROR(__xludf.DUMMYFUNCTION("""COMPUTED_VALUE"""),809422.0)</f>
        <v>809422</v>
      </c>
    </row>
    <row r="2702">
      <c r="A2702" s="26">
        <f>IFERROR(__xludf.DUMMYFUNCTION("""COMPUTED_VALUE"""),42356.64583333333)</f>
        <v>42356.64583</v>
      </c>
      <c r="B2702" s="9">
        <f>IFERROR(__xludf.DUMMYFUNCTION("""COMPUTED_VALUE"""),551.7)</f>
        <v>551.7</v>
      </c>
      <c r="C2702" s="9">
        <f>IFERROR(__xludf.DUMMYFUNCTION("""COMPUTED_VALUE"""),551.7)</f>
        <v>551.7</v>
      </c>
      <c r="D2702" s="9">
        <f>IFERROR(__xludf.DUMMYFUNCTION("""COMPUTED_VALUE"""),539.73)</f>
        <v>539.73</v>
      </c>
      <c r="E2702" s="9">
        <f>IFERROR(__xludf.DUMMYFUNCTION("""COMPUTED_VALUE"""),541.58)</f>
        <v>541.58</v>
      </c>
      <c r="F2702" s="9">
        <f>IFERROR(__xludf.DUMMYFUNCTION("""COMPUTED_VALUE"""),3609910.0)</f>
        <v>3609910</v>
      </c>
      <c r="H2702" s="27">
        <f>IFERROR(__xludf.DUMMYFUNCTION("""COMPUTED_VALUE"""),42356.64583333333)</f>
        <v>42356.64583</v>
      </c>
      <c r="I2702" s="25">
        <f>IFERROR(__xludf.DUMMYFUNCTION("""COMPUTED_VALUE"""),1210.0)</f>
        <v>1210</v>
      </c>
      <c r="J2702" s="25">
        <f>IFERROR(__xludf.DUMMYFUNCTION("""COMPUTED_VALUE"""),1217.1)</f>
        <v>1217.1</v>
      </c>
      <c r="K2702" s="25">
        <f>IFERROR(__xludf.DUMMYFUNCTION("""COMPUTED_VALUE"""),1200.33)</f>
        <v>1200.33</v>
      </c>
      <c r="L2702" s="25">
        <f>IFERROR(__xludf.DUMMYFUNCTION("""COMPUTED_VALUE"""),1208.4)</f>
        <v>1208.4</v>
      </c>
      <c r="M2702" s="25">
        <f>IFERROR(__xludf.DUMMYFUNCTION("""COMPUTED_VALUE"""),1512485.0)</f>
        <v>1512485</v>
      </c>
    </row>
    <row r="2703">
      <c r="A2703" s="26">
        <f>IFERROR(__xludf.DUMMYFUNCTION("""COMPUTED_VALUE"""),42359.64583333333)</f>
        <v>42359.64583</v>
      </c>
      <c r="B2703" s="9">
        <f>IFERROR(__xludf.DUMMYFUNCTION("""COMPUTED_VALUE"""),538.5)</f>
        <v>538.5</v>
      </c>
      <c r="C2703" s="9">
        <f>IFERROR(__xludf.DUMMYFUNCTION("""COMPUTED_VALUE"""),553.7)</f>
        <v>553.7</v>
      </c>
      <c r="D2703" s="9">
        <f>IFERROR(__xludf.DUMMYFUNCTION("""COMPUTED_VALUE"""),532.98)</f>
        <v>532.98</v>
      </c>
      <c r="E2703" s="9">
        <f>IFERROR(__xludf.DUMMYFUNCTION("""COMPUTED_VALUE"""),551.73)</f>
        <v>551.73</v>
      </c>
      <c r="F2703" s="9">
        <f>IFERROR(__xludf.DUMMYFUNCTION("""COMPUTED_VALUE"""),2165506.0)</f>
        <v>2165506</v>
      </c>
      <c r="H2703" s="27">
        <f>IFERROR(__xludf.DUMMYFUNCTION("""COMPUTED_VALUE"""),42359.64583333333)</f>
        <v>42359.64583</v>
      </c>
      <c r="I2703" s="25">
        <f>IFERROR(__xludf.DUMMYFUNCTION("""COMPUTED_VALUE"""),1209.97)</f>
        <v>1209.97</v>
      </c>
      <c r="J2703" s="25">
        <f>IFERROR(__xludf.DUMMYFUNCTION("""COMPUTED_VALUE"""),1225.0)</f>
        <v>1225</v>
      </c>
      <c r="K2703" s="25">
        <f>IFERROR(__xludf.DUMMYFUNCTION("""COMPUTED_VALUE"""),1203.43)</f>
        <v>1203.43</v>
      </c>
      <c r="L2703" s="25">
        <f>IFERROR(__xludf.DUMMYFUNCTION("""COMPUTED_VALUE"""),1223.2)</f>
        <v>1223.2</v>
      </c>
      <c r="M2703" s="25">
        <f>IFERROR(__xludf.DUMMYFUNCTION("""COMPUTED_VALUE"""),805052.0)</f>
        <v>805052</v>
      </c>
    </row>
    <row r="2704">
      <c r="A2704" s="26">
        <f>IFERROR(__xludf.DUMMYFUNCTION("""COMPUTED_VALUE"""),42360.64583333333)</f>
        <v>42360.64583</v>
      </c>
      <c r="B2704" s="9">
        <f>IFERROR(__xludf.DUMMYFUNCTION("""COMPUTED_VALUE"""),548.73)</f>
        <v>548.73</v>
      </c>
      <c r="C2704" s="9">
        <f>IFERROR(__xludf.DUMMYFUNCTION("""COMPUTED_VALUE"""),548.73)</f>
        <v>548.73</v>
      </c>
      <c r="D2704" s="9">
        <f>IFERROR(__xludf.DUMMYFUNCTION("""COMPUTED_VALUE"""),540.05)</f>
        <v>540.05</v>
      </c>
      <c r="E2704" s="9">
        <f>IFERROR(__xludf.DUMMYFUNCTION("""COMPUTED_VALUE"""),541.88)</f>
        <v>541.88</v>
      </c>
      <c r="F2704" s="9">
        <f>IFERROR(__xludf.DUMMYFUNCTION("""COMPUTED_VALUE"""),2054627.0)</f>
        <v>2054627</v>
      </c>
      <c r="H2704" s="27">
        <f>IFERROR(__xludf.DUMMYFUNCTION("""COMPUTED_VALUE"""),42360.64583333333)</f>
        <v>42360.64583</v>
      </c>
      <c r="I2704" s="25">
        <f>IFERROR(__xludf.DUMMYFUNCTION("""COMPUTED_VALUE"""),1220.0)</f>
        <v>1220</v>
      </c>
      <c r="J2704" s="25">
        <f>IFERROR(__xludf.DUMMYFUNCTION("""COMPUTED_VALUE"""),1220.0)</f>
        <v>1220</v>
      </c>
      <c r="K2704" s="25">
        <f>IFERROR(__xludf.DUMMYFUNCTION("""COMPUTED_VALUE"""),1200.0)</f>
        <v>1200</v>
      </c>
      <c r="L2704" s="25">
        <f>IFERROR(__xludf.DUMMYFUNCTION("""COMPUTED_VALUE"""),1202.53)</f>
        <v>1202.53</v>
      </c>
      <c r="M2704" s="25">
        <f>IFERROR(__xludf.DUMMYFUNCTION("""COMPUTED_VALUE"""),780429.0)</f>
        <v>780429</v>
      </c>
    </row>
    <row r="2705">
      <c r="A2705" s="26">
        <f>IFERROR(__xludf.DUMMYFUNCTION("""COMPUTED_VALUE"""),42361.64583333333)</f>
        <v>42361.64583</v>
      </c>
      <c r="B2705" s="9">
        <f>IFERROR(__xludf.DUMMYFUNCTION("""COMPUTED_VALUE"""),547.53)</f>
        <v>547.53</v>
      </c>
      <c r="C2705" s="9">
        <f>IFERROR(__xludf.DUMMYFUNCTION("""COMPUTED_VALUE"""),551.25)</f>
        <v>551.25</v>
      </c>
      <c r="D2705" s="9">
        <f>IFERROR(__xludf.DUMMYFUNCTION("""COMPUTED_VALUE"""),543.53)</f>
        <v>543.53</v>
      </c>
      <c r="E2705" s="9">
        <f>IFERROR(__xludf.DUMMYFUNCTION("""COMPUTED_VALUE"""),550.42)</f>
        <v>550.42</v>
      </c>
      <c r="F2705" s="9">
        <f>IFERROR(__xludf.DUMMYFUNCTION("""COMPUTED_VALUE"""),1435464.0)</f>
        <v>1435464</v>
      </c>
      <c r="H2705" s="27">
        <f>IFERROR(__xludf.DUMMYFUNCTION("""COMPUTED_VALUE"""),42361.64583333333)</f>
        <v>42361.64583</v>
      </c>
      <c r="I2705" s="25">
        <f>IFERROR(__xludf.DUMMYFUNCTION("""COMPUTED_VALUE"""),1207.5)</f>
        <v>1207.5</v>
      </c>
      <c r="J2705" s="25">
        <f>IFERROR(__xludf.DUMMYFUNCTION("""COMPUTED_VALUE"""),1217.5)</f>
        <v>1217.5</v>
      </c>
      <c r="K2705" s="25">
        <f>IFERROR(__xludf.DUMMYFUNCTION("""COMPUTED_VALUE"""),1205.28)</f>
        <v>1205.28</v>
      </c>
      <c r="L2705" s="25">
        <f>IFERROR(__xludf.DUMMYFUNCTION("""COMPUTED_VALUE"""),1212.9)</f>
        <v>1212.9</v>
      </c>
      <c r="M2705" s="25">
        <f>IFERROR(__xludf.DUMMYFUNCTION("""COMPUTED_VALUE"""),424917.0)</f>
        <v>424917</v>
      </c>
    </row>
    <row r="2706">
      <c r="A2706" s="26">
        <f>IFERROR(__xludf.DUMMYFUNCTION("""COMPUTED_VALUE"""),42362.64583333333)</f>
        <v>42362.64583</v>
      </c>
      <c r="B2706" s="9">
        <f>IFERROR(__xludf.DUMMYFUNCTION("""COMPUTED_VALUE"""),551.03)</f>
        <v>551.03</v>
      </c>
      <c r="C2706" s="9">
        <f>IFERROR(__xludf.DUMMYFUNCTION("""COMPUTED_VALUE"""),552.23)</f>
        <v>552.23</v>
      </c>
      <c r="D2706" s="9">
        <f>IFERROR(__xludf.DUMMYFUNCTION("""COMPUTED_VALUE"""),545.05)</f>
        <v>545.05</v>
      </c>
      <c r="E2706" s="9">
        <f>IFERROR(__xludf.DUMMYFUNCTION("""COMPUTED_VALUE"""),548.17)</f>
        <v>548.17</v>
      </c>
      <c r="F2706" s="9">
        <f>IFERROR(__xludf.DUMMYFUNCTION("""COMPUTED_VALUE"""),615027.0)</f>
        <v>615027</v>
      </c>
      <c r="H2706" s="27">
        <f>IFERROR(__xludf.DUMMYFUNCTION("""COMPUTED_VALUE"""),42362.64583333333)</f>
        <v>42362.64583</v>
      </c>
      <c r="I2706" s="25">
        <f>IFERROR(__xludf.DUMMYFUNCTION("""COMPUTED_VALUE"""),1210.5)</f>
        <v>1210.5</v>
      </c>
      <c r="J2706" s="25">
        <f>IFERROR(__xludf.DUMMYFUNCTION("""COMPUTED_VALUE"""),1219.1)</f>
        <v>1219.1</v>
      </c>
      <c r="K2706" s="25">
        <f>IFERROR(__xludf.DUMMYFUNCTION("""COMPUTED_VALUE"""),1202.0)</f>
        <v>1202</v>
      </c>
      <c r="L2706" s="25">
        <f>IFERROR(__xludf.DUMMYFUNCTION("""COMPUTED_VALUE"""),1217.13)</f>
        <v>1217.13</v>
      </c>
      <c r="M2706" s="25">
        <f>IFERROR(__xludf.DUMMYFUNCTION("""COMPUTED_VALUE"""),421580.0)</f>
        <v>421580</v>
      </c>
    </row>
    <row r="2707">
      <c r="A2707" s="26">
        <f>IFERROR(__xludf.DUMMYFUNCTION("""COMPUTED_VALUE"""),42366.64583333333)</f>
        <v>42366.64583</v>
      </c>
      <c r="B2707" s="9">
        <f>IFERROR(__xludf.DUMMYFUNCTION("""COMPUTED_VALUE"""),545.0)</f>
        <v>545</v>
      </c>
      <c r="C2707" s="9">
        <f>IFERROR(__xludf.DUMMYFUNCTION("""COMPUTED_VALUE"""),555.0)</f>
        <v>555</v>
      </c>
      <c r="D2707" s="9">
        <f>IFERROR(__xludf.DUMMYFUNCTION("""COMPUTED_VALUE"""),545.0)</f>
        <v>545</v>
      </c>
      <c r="E2707" s="9">
        <f>IFERROR(__xludf.DUMMYFUNCTION("""COMPUTED_VALUE"""),552.38)</f>
        <v>552.38</v>
      </c>
      <c r="F2707" s="9">
        <f>IFERROR(__xludf.DUMMYFUNCTION("""COMPUTED_VALUE"""),2763476.0)</f>
        <v>2763476</v>
      </c>
      <c r="H2707" s="27">
        <f>IFERROR(__xludf.DUMMYFUNCTION("""COMPUTED_VALUE"""),42366.64583333333)</f>
        <v>42366.64583</v>
      </c>
      <c r="I2707" s="25">
        <f>IFERROR(__xludf.DUMMYFUNCTION("""COMPUTED_VALUE"""),1214.0)</f>
        <v>1214</v>
      </c>
      <c r="J2707" s="25">
        <f>IFERROR(__xludf.DUMMYFUNCTION("""COMPUTED_VALUE"""),1233.2)</f>
        <v>1233.2</v>
      </c>
      <c r="K2707" s="25">
        <f>IFERROR(__xludf.DUMMYFUNCTION("""COMPUTED_VALUE"""),1210.1)</f>
        <v>1210.1</v>
      </c>
      <c r="L2707" s="25">
        <f>IFERROR(__xludf.DUMMYFUNCTION("""COMPUTED_VALUE"""),1231.35)</f>
        <v>1231.35</v>
      </c>
      <c r="M2707" s="25">
        <f>IFERROR(__xludf.DUMMYFUNCTION("""COMPUTED_VALUE"""),1852099.0)</f>
        <v>1852099</v>
      </c>
    </row>
    <row r="2708">
      <c r="A2708" s="26">
        <f>IFERROR(__xludf.DUMMYFUNCTION("""COMPUTED_VALUE"""),42367.64583333333)</f>
        <v>42367.64583</v>
      </c>
      <c r="B2708" s="9">
        <f>IFERROR(__xludf.DUMMYFUNCTION("""COMPUTED_VALUE"""),550.63)</f>
        <v>550.63</v>
      </c>
      <c r="C2708" s="9">
        <f>IFERROR(__xludf.DUMMYFUNCTION("""COMPUTED_VALUE"""),555.0)</f>
        <v>555</v>
      </c>
      <c r="D2708" s="9">
        <f>IFERROR(__xludf.DUMMYFUNCTION("""COMPUTED_VALUE"""),548.65)</f>
        <v>548.65</v>
      </c>
      <c r="E2708" s="9">
        <f>IFERROR(__xludf.DUMMYFUNCTION("""COMPUTED_VALUE"""),552.35)</f>
        <v>552.35</v>
      </c>
      <c r="F2708" s="9">
        <f>IFERROR(__xludf.DUMMYFUNCTION("""COMPUTED_VALUE"""),1672531.0)</f>
        <v>1672531</v>
      </c>
      <c r="H2708" s="27">
        <f>IFERROR(__xludf.DUMMYFUNCTION("""COMPUTED_VALUE"""),42367.64583333333)</f>
        <v>42367.64583</v>
      </c>
      <c r="I2708" s="25">
        <f>IFERROR(__xludf.DUMMYFUNCTION("""COMPUTED_VALUE"""),1229.18)</f>
        <v>1229.18</v>
      </c>
      <c r="J2708" s="25">
        <f>IFERROR(__xludf.DUMMYFUNCTION("""COMPUTED_VALUE"""),1232.65)</f>
        <v>1232.65</v>
      </c>
      <c r="K2708" s="25">
        <f>IFERROR(__xludf.DUMMYFUNCTION("""COMPUTED_VALUE"""),1222.88)</f>
        <v>1222.88</v>
      </c>
      <c r="L2708" s="25">
        <f>IFERROR(__xludf.DUMMYFUNCTION("""COMPUTED_VALUE"""),1227.9)</f>
        <v>1227.9</v>
      </c>
      <c r="M2708" s="25">
        <f>IFERROR(__xludf.DUMMYFUNCTION("""COMPUTED_VALUE"""),854262.0)</f>
        <v>854262</v>
      </c>
    </row>
    <row r="2709">
      <c r="A2709" s="26">
        <f>IFERROR(__xludf.DUMMYFUNCTION("""COMPUTED_VALUE"""),42368.64583333333)</f>
        <v>42368.64583</v>
      </c>
      <c r="B2709" s="9">
        <f>IFERROR(__xludf.DUMMYFUNCTION("""COMPUTED_VALUE"""),550.55)</f>
        <v>550.55</v>
      </c>
      <c r="C2709" s="9">
        <f>IFERROR(__xludf.DUMMYFUNCTION("""COMPUTED_VALUE"""),553.3)</f>
        <v>553.3</v>
      </c>
      <c r="D2709" s="9">
        <f>IFERROR(__xludf.DUMMYFUNCTION("""COMPUTED_VALUE"""),541.5)</f>
        <v>541.5</v>
      </c>
      <c r="E2709" s="9">
        <f>IFERROR(__xludf.DUMMYFUNCTION("""COMPUTED_VALUE"""),543.15)</f>
        <v>543.15</v>
      </c>
      <c r="F2709" s="9">
        <f>IFERROR(__xludf.DUMMYFUNCTION("""COMPUTED_VALUE"""),2576985.0)</f>
        <v>2576985</v>
      </c>
      <c r="H2709" s="27">
        <f>IFERROR(__xludf.DUMMYFUNCTION("""COMPUTED_VALUE"""),42368.64583333333)</f>
        <v>42368.64583</v>
      </c>
      <c r="I2709" s="25">
        <f>IFERROR(__xludf.DUMMYFUNCTION("""COMPUTED_VALUE"""),1226.53)</f>
        <v>1226.53</v>
      </c>
      <c r="J2709" s="25">
        <f>IFERROR(__xludf.DUMMYFUNCTION("""COMPUTED_VALUE"""),1229.5)</f>
        <v>1229.5</v>
      </c>
      <c r="K2709" s="25">
        <f>IFERROR(__xludf.DUMMYFUNCTION("""COMPUTED_VALUE"""),1206.15)</f>
        <v>1206.15</v>
      </c>
      <c r="L2709" s="25">
        <f>IFERROR(__xludf.DUMMYFUNCTION("""COMPUTED_VALUE"""),1209.15)</f>
        <v>1209.15</v>
      </c>
      <c r="M2709" s="25">
        <f>IFERROR(__xludf.DUMMYFUNCTION("""COMPUTED_VALUE"""),802881.0)</f>
        <v>802881</v>
      </c>
    </row>
    <row r="2710">
      <c r="A2710" s="26">
        <f>IFERROR(__xludf.DUMMYFUNCTION("""COMPUTED_VALUE"""),42369.64583333333)</f>
        <v>42369.64583</v>
      </c>
      <c r="B2710" s="9">
        <f>IFERROR(__xludf.DUMMYFUNCTION("""COMPUTED_VALUE"""),545.08)</f>
        <v>545.08</v>
      </c>
      <c r="C2710" s="9">
        <f>IFERROR(__xludf.DUMMYFUNCTION("""COMPUTED_VALUE"""),554.98)</f>
        <v>554.98</v>
      </c>
      <c r="D2710" s="9">
        <f>IFERROR(__xludf.DUMMYFUNCTION("""COMPUTED_VALUE"""),543.5)</f>
        <v>543.5</v>
      </c>
      <c r="E2710" s="9">
        <f>IFERROR(__xludf.DUMMYFUNCTION("""COMPUTED_VALUE"""),552.7)</f>
        <v>552.7</v>
      </c>
      <c r="F2710" s="9">
        <f>IFERROR(__xludf.DUMMYFUNCTION("""COMPUTED_VALUE"""),3971969.0)</f>
        <v>3971969</v>
      </c>
      <c r="H2710" s="27">
        <f>IFERROR(__xludf.DUMMYFUNCTION("""COMPUTED_VALUE"""),42369.64583333333)</f>
        <v>42369.64583</v>
      </c>
      <c r="I2710" s="25">
        <f>IFERROR(__xludf.DUMMYFUNCTION("""COMPUTED_VALUE"""),1207.88)</f>
        <v>1207.88</v>
      </c>
      <c r="J2710" s="25">
        <f>IFERROR(__xludf.DUMMYFUNCTION("""COMPUTED_VALUE"""),1224.25)</f>
        <v>1224.25</v>
      </c>
      <c r="K2710" s="25">
        <f>IFERROR(__xludf.DUMMYFUNCTION("""COMPUTED_VALUE"""),1203.75)</f>
        <v>1203.75</v>
      </c>
      <c r="L2710" s="25">
        <f>IFERROR(__xludf.DUMMYFUNCTION("""COMPUTED_VALUE"""),1218.43)</f>
        <v>1218.43</v>
      </c>
      <c r="M2710" s="25">
        <f>IFERROR(__xludf.DUMMYFUNCTION("""COMPUTED_VALUE"""),620159.0)</f>
        <v>620159</v>
      </c>
    </row>
    <row r="2711">
      <c r="A2711" s="26">
        <f>IFERROR(__xludf.DUMMYFUNCTION("""COMPUTED_VALUE"""),42370.64583333333)</f>
        <v>42370.64583</v>
      </c>
      <c r="B2711" s="9">
        <f>IFERROR(__xludf.DUMMYFUNCTION("""COMPUTED_VALUE"""),550.0)</f>
        <v>550</v>
      </c>
      <c r="C2711" s="9">
        <f>IFERROR(__xludf.DUMMYFUNCTION("""COMPUTED_VALUE"""),554.48)</f>
        <v>554.48</v>
      </c>
      <c r="D2711" s="9">
        <f>IFERROR(__xludf.DUMMYFUNCTION("""COMPUTED_VALUE"""),546.6)</f>
        <v>546.6</v>
      </c>
      <c r="E2711" s="9">
        <f>IFERROR(__xludf.DUMMYFUNCTION("""COMPUTED_VALUE"""),552.63)</f>
        <v>552.63</v>
      </c>
      <c r="F2711" s="9">
        <f>IFERROR(__xludf.DUMMYFUNCTION("""COMPUTED_VALUE"""),903275.0)</f>
        <v>903275</v>
      </c>
      <c r="H2711" s="27">
        <f>IFERROR(__xludf.DUMMYFUNCTION("""COMPUTED_VALUE"""),42370.64583333333)</f>
        <v>42370.64583</v>
      </c>
      <c r="I2711" s="25">
        <f>IFERROR(__xludf.DUMMYFUNCTION("""COMPUTED_VALUE"""),1219.5)</f>
        <v>1219.5</v>
      </c>
      <c r="J2711" s="25">
        <f>IFERROR(__xludf.DUMMYFUNCTION("""COMPUTED_VALUE"""),1219.5)</f>
        <v>1219.5</v>
      </c>
      <c r="K2711" s="25">
        <f>IFERROR(__xludf.DUMMYFUNCTION("""COMPUTED_VALUE"""),1206.13)</f>
        <v>1206.13</v>
      </c>
      <c r="L2711" s="25">
        <f>IFERROR(__xludf.DUMMYFUNCTION("""COMPUTED_VALUE"""),1208.2)</f>
        <v>1208.2</v>
      </c>
      <c r="M2711" s="25">
        <f>IFERROR(__xludf.DUMMYFUNCTION("""COMPUTED_VALUE"""),356131.0)</f>
        <v>356131</v>
      </c>
    </row>
    <row r="2712">
      <c r="A2712" s="26">
        <f>IFERROR(__xludf.DUMMYFUNCTION("""COMPUTED_VALUE"""),42373.64583333333)</f>
        <v>42373.64583</v>
      </c>
      <c r="B2712" s="9">
        <f>IFERROR(__xludf.DUMMYFUNCTION("""COMPUTED_VALUE"""),549.98)</f>
        <v>549.98</v>
      </c>
      <c r="C2712" s="9">
        <f>IFERROR(__xludf.DUMMYFUNCTION("""COMPUTED_VALUE"""),551.23)</f>
        <v>551.23</v>
      </c>
      <c r="D2712" s="9">
        <f>IFERROR(__xludf.DUMMYFUNCTION("""COMPUTED_VALUE"""),538.03)</f>
        <v>538.03</v>
      </c>
      <c r="E2712" s="9">
        <f>IFERROR(__xludf.DUMMYFUNCTION("""COMPUTED_VALUE"""),539.45)</f>
        <v>539.45</v>
      </c>
      <c r="F2712" s="9">
        <f>IFERROR(__xludf.DUMMYFUNCTION("""COMPUTED_VALUE"""),1987681.0)</f>
        <v>1987681</v>
      </c>
      <c r="H2712" s="27">
        <f>IFERROR(__xludf.DUMMYFUNCTION("""COMPUTED_VALUE"""),42373.64583333333)</f>
        <v>42373.64583</v>
      </c>
      <c r="I2712" s="25">
        <f>IFERROR(__xludf.DUMMYFUNCTION("""COMPUTED_VALUE"""),1205.08)</f>
        <v>1205.08</v>
      </c>
      <c r="J2712" s="25">
        <f>IFERROR(__xludf.DUMMYFUNCTION("""COMPUTED_VALUE"""),1207.0)</f>
        <v>1207</v>
      </c>
      <c r="K2712" s="25">
        <f>IFERROR(__xludf.DUMMYFUNCTION("""COMPUTED_VALUE"""),1183.03)</f>
        <v>1183.03</v>
      </c>
      <c r="L2712" s="25">
        <f>IFERROR(__xludf.DUMMYFUNCTION("""COMPUTED_VALUE"""),1184.8)</f>
        <v>1184.8</v>
      </c>
      <c r="M2712" s="25">
        <f>IFERROR(__xludf.DUMMYFUNCTION("""COMPUTED_VALUE"""),935092.0)</f>
        <v>935092</v>
      </c>
    </row>
    <row r="2713">
      <c r="A2713" s="26">
        <f>IFERROR(__xludf.DUMMYFUNCTION("""COMPUTED_VALUE"""),42374.64583333333)</f>
        <v>42374.64583</v>
      </c>
      <c r="B2713" s="9">
        <f>IFERROR(__xludf.DUMMYFUNCTION("""COMPUTED_VALUE"""),542.75)</f>
        <v>542.75</v>
      </c>
      <c r="C2713" s="9">
        <f>IFERROR(__xludf.DUMMYFUNCTION("""COMPUTED_VALUE"""),542.75)</f>
        <v>542.75</v>
      </c>
      <c r="D2713" s="9">
        <f>IFERROR(__xludf.DUMMYFUNCTION("""COMPUTED_VALUE"""),531.13)</f>
        <v>531.13</v>
      </c>
      <c r="E2713" s="9">
        <f>IFERROR(__xludf.DUMMYFUNCTION("""COMPUTED_VALUE"""),537.03)</f>
        <v>537.03</v>
      </c>
      <c r="F2713" s="9">
        <f>IFERROR(__xludf.DUMMYFUNCTION("""COMPUTED_VALUE"""),2474893.0)</f>
        <v>2474893</v>
      </c>
      <c r="H2713" s="27">
        <f>IFERROR(__xludf.DUMMYFUNCTION("""COMPUTED_VALUE"""),42374.64583333333)</f>
        <v>42374.64583</v>
      </c>
      <c r="I2713" s="25">
        <f>IFERROR(__xludf.DUMMYFUNCTION("""COMPUTED_VALUE"""),1192.5)</f>
        <v>1192.5</v>
      </c>
      <c r="J2713" s="25">
        <f>IFERROR(__xludf.DUMMYFUNCTION("""COMPUTED_VALUE"""),1193.3)</f>
        <v>1193.3</v>
      </c>
      <c r="K2713" s="25">
        <f>IFERROR(__xludf.DUMMYFUNCTION("""COMPUTED_VALUE"""),1170.5)</f>
        <v>1170.5</v>
      </c>
      <c r="L2713" s="25">
        <f>IFERROR(__xludf.DUMMYFUNCTION("""COMPUTED_VALUE"""),1174.47)</f>
        <v>1174.47</v>
      </c>
      <c r="M2713" s="25">
        <f>IFERROR(__xludf.DUMMYFUNCTION("""COMPUTED_VALUE"""),1339010.0)</f>
        <v>1339010</v>
      </c>
    </row>
    <row r="2714">
      <c r="A2714" s="26">
        <f>IFERROR(__xludf.DUMMYFUNCTION("""COMPUTED_VALUE"""),42375.64583333333)</f>
        <v>42375.64583</v>
      </c>
      <c r="B2714" s="9">
        <f>IFERROR(__xludf.DUMMYFUNCTION("""COMPUTED_VALUE"""),537.33)</f>
        <v>537.33</v>
      </c>
      <c r="C2714" s="9">
        <f>IFERROR(__xludf.DUMMYFUNCTION("""COMPUTED_VALUE"""),537.33)</f>
        <v>537.33</v>
      </c>
      <c r="D2714" s="9">
        <f>IFERROR(__xludf.DUMMYFUNCTION("""COMPUTED_VALUE"""),529.45)</f>
        <v>529.45</v>
      </c>
      <c r="E2714" s="9">
        <f>IFERROR(__xludf.DUMMYFUNCTION("""COMPUTED_VALUE"""),534.67)</f>
        <v>534.67</v>
      </c>
      <c r="F2714" s="9">
        <f>IFERROR(__xludf.DUMMYFUNCTION("""COMPUTED_VALUE"""),2794164.0)</f>
        <v>2794164</v>
      </c>
      <c r="H2714" s="27">
        <f>IFERROR(__xludf.DUMMYFUNCTION("""COMPUTED_VALUE"""),42375.64583333333)</f>
        <v>42375.64583</v>
      </c>
      <c r="I2714" s="25">
        <f>IFERROR(__xludf.DUMMYFUNCTION("""COMPUTED_VALUE"""),1175.1)</f>
        <v>1175.1</v>
      </c>
      <c r="J2714" s="25">
        <f>IFERROR(__xludf.DUMMYFUNCTION("""COMPUTED_VALUE"""),1193.08)</f>
        <v>1193.08</v>
      </c>
      <c r="K2714" s="25">
        <f>IFERROR(__xludf.DUMMYFUNCTION("""COMPUTED_VALUE"""),1175.1)</f>
        <v>1175.1</v>
      </c>
      <c r="L2714" s="25">
        <f>IFERROR(__xludf.DUMMYFUNCTION("""COMPUTED_VALUE"""),1190.8)</f>
        <v>1190.8</v>
      </c>
      <c r="M2714" s="25">
        <f>IFERROR(__xludf.DUMMYFUNCTION("""COMPUTED_VALUE"""),1326614.0)</f>
        <v>1326614</v>
      </c>
    </row>
    <row r="2715">
      <c r="A2715" s="26">
        <f>IFERROR(__xludf.DUMMYFUNCTION("""COMPUTED_VALUE"""),42376.64583333333)</f>
        <v>42376.64583</v>
      </c>
      <c r="B2715" s="9">
        <f>IFERROR(__xludf.DUMMYFUNCTION("""COMPUTED_VALUE"""),530.03)</f>
        <v>530.03</v>
      </c>
      <c r="C2715" s="9">
        <f>IFERROR(__xludf.DUMMYFUNCTION("""COMPUTED_VALUE"""),533.95)</f>
        <v>533.95</v>
      </c>
      <c r="D2715" s="9">
        <f>IFERROR(__xludf.DUMMYFUNCTION("""COMPUTED_VALUE"""),523.95)</f>
        <v>523.95</v>
      </c>
      <c r="E2715" s="9">
        <f>IFERROR(__xludf.DUMMYFUNCTION("""COMPUTED_VALUE"""),525.4)</f>
        <v>525.4</v>
      </c>
      <c r="F2715" s="9">
        <f>IFERROR(__xludf.DUMMYFUNCTION("""COMPUTED_VALUE"""),2647044.0)</f>
        <v>2647044</v>
      </c>
      <c r="H2715" s="27">
        <f>IFERROR(__xludf.DUMMYFUNCTION("""COMPUTED_VALUE"""),42376.64583333333)</f>
        <v>42376.64583</v>
      </c>
      <c r="I2715" s="25">
        <f>IFERROR(__xludf.DUMMYFUNCTION("""COMPUTED_VALUE"""),1185.0)</f>
        <v>1185</v>
      </c>
      <c r="J2715" s="25">
        <f>IFERROR(__xludf.DUMMYFUNCTION("""COMPUTED_VALUE"""),1191.45)</f>
        <v>1191.45</v>
      </c>
      <c r="K2715" s="25">
        <f>IFERROR(__xludf.DUMMYFUNCTION("""COMPUTED_VALUE"""),1180.0)</f>
        <v>1180</v>
      </c>
      <c r="L2715" s="25">
        <f>IFERROR(__xludf.DUMMYFUNCTION("""COMPUTED_VALUE"""),1185.63)</f>
        <v>1185.63</v>
      </c>
      <c r="M2715" s="25">
        <f>IFERROR(__xludf.DUMMYFUNCTION("""COMPUTED_VALUE"""),1599790.0)</f>
        <v>1599790</v>
      </c>
    </row>
    <row r="2716">
      <c r="A2716" s="26">
        <f>IFERROR(__xludf.DUMMYFUNCTION("""COMPUTED_VALUE"""),42377.64583333333)</f>
        <v>42377.64583</v>
      </c>
      <c r="B2716" s="9">
        <f>IFERROR(__xludf.DUMMYFUNCTION("""COMPUTED_VALUE"""),530.75)</f>
        <v>530.75</v>
      </c>
      <c r="C2716" s="9">
        <f>IFERROR(__xludf.DUMMYFUNCTION("""COMPUTED_VALUE"""),533.7)</f>
        <v>533.7</v>
      </c>
      <c r="D2716" s="9">
        <f>IFERROR(__xludf.DUMMYFUNCTION("""COMPUTED_VALUE"""),527.75)</f>
        <v>527.75</v>
      </c>
      <c r="E2716" s="9">
        <f>IFERROR(__xludf.DUMMYFUNCTION("""COMPUTED_VALUE"""),531.65)</f>
        <v>531.65</v>
      </c>
      <c r="F2716" s="9">
        <f>IFERROR(__xludf.DUMMYFUNCTION("""COMPUTED_VALUE"""),1578358.0)</f>
        <v>1578358</v>
      </c>
      <c r="H2716" s="27">
        <f>IFERROR(__xludf.DUMMYFUNCTION("""COMPUTED_VALUE"""),42377.64583333333)</f>
        <v>42377.64583</v>
      </c>
      <c r="I2716" s="25">
        <f>IFERROR(__xludf.DUMMYFUNCTION("""COMPUTED_VALUE"""),1192.5)</f>
        <v>1192.5</v>
      </c>
      <c r="J2716" s="25">
        <f>IFERROR(__xludf.DUMMYFUNCTION("""COMPUTED_VALUE"""),1203.68)</f>
        <v>1203.68</v>
      </c>
      <c r="K2716" s="25">
        <f>IFERROR(__xludf.DUMMYFUNCTION("""COMPUTED_VALUE"""),1186.25)</f>
        <v>1186.25</v>
      </c>
      <c r="L2716" s="25">
        <f>IFERROR(__xludf.DUMMYFUNCTION("""COMPUTED_VALUE"""),1198.8)</f>
        <v>1198.8</v>
      </c>
      <c r="M2716" s="25">
        <f>IFERROR(__xludf.DUMMYFUNCTION("""COMPUTED_VALUE"""),953772.0)</f>
        <v>953772</v>
      </c>
    </row>
    <row r="2717">
      <c r="A2717" s="26">
        <f>IFERROR(__xludf.DUMMYFUNCTION("""COMPUTED_VALUE"""),42380.64583333333)</f>
        <v>42380.64583</v>
      </c>
      <c r="B2717" s="9">
        <f>IFERROR(__xludf.DUMMYFUNCTION("""COMPUTED_VALUE"""),528.15)</f>
        <v>528.15</v>
      </c>
      <c r="C2717" s="9">
        <f>IFERROR(__xludf.DUMMYFUNCTION("""COMPUTED_VALUE"""),534.98)</f>
        <v>534.98</v>
      </c>
      <c r="D2717" s="9">
        <f>IFERROR(__xludf.DUMMYFUNCTION("""COMPUTED_VALUE"""),526.05)</f>
        <v>526.05</v>
      </c>
      <c r="E2717" s="9">
        <f>IFERROR(__xludf.DUMMYFUNCTION("""COMPUTED_VALUE"""),527.85)</f>
        <v>527.85</v>
      </c>
      <c r="F2717" s="9">
        <f>IFERROR(__xludf.DUMMYFUNCTION("""COMPUTED_VALUE"""),2680311.0)</f>
        <v>2680311</v>
      </c>
      <c r="H2717" s="27">
        <f>IFERROR(__xludf.DUMMYFUNCTION("""COMPUTED_VALUE"""),42380.64583333333)</f>
        <v>42380.64583</v>
      </c>
      <c r="I2717" s="25">
        <f>IFERROR(__xludf.DUMMYFUNCTION("""COMPUTED_VALUE"""),1191.25)</f>
        <v>1191.25</v>
      </c>
      <c r="J2717" s="25">
        <f>IFERROR(__xludf.DUMMYFUNCTION("""COMPUTED_VALUE"""),1192.0)</f>
        <v>1192</v>
      </c>
      <c r="K2717" s="25">
        <f>IFERROR(__xludf.DUMMYFUNCTION("""COMPUTED_VALUE"""),1174.43)</f>
        <v>1174.43</v>
      </c>
      <c r="L2717" s="25">
        <f>IFERROR(__xludf.DUMMYFUNCTION("""COMPUTED_VALUE"""),1181.18)</f>
        <v>1181.18</v>
      </c>
      <c r="M2717" s="25">
        <f>IFERROR(__xludf.DUMMYFUNCTION("""COMPUTED_VALUE"""),1465114.0)</f>
        <v>1465114</v>
      </c>
    </row>
    <row r="2718">
      <c r="A2718" s="26">
        <f>IFERROR(__xludf.DUMMYFUNCTION("""COMPUTED_VALUE"""),42381.64583333333)</f>
        <v>42381.64583</v>
      </c>
      <c r="B2718" s="9">
        <f>IFERROR(__xludf.DUMMYFUNCTION("""COMPUTED_VALUE"""),531.0)</f>
        <v>531</v>
      </c>
      <c r="C2718" s="9">
        <f>IFERROR(__xludf.DUMMYFUNCTION("""COMPUTED_VALUE"""),531.48)</f>
        <v>531.48</v>
      </c>
      <c r="D2718" s="9">
        <f>IFERROR(__xludf.DUMMYFUNCTION("""COMPUTED_VALUE"""),515.42)</f>
        <v>515.42</v>
      </c>
      <c r="E2718" s="9">
        <f>IFERROR(__xludf.DUMMYFUNCTION("""COMPUTED_VALUE"""),524.03)</f>
        <v>524.03</v>
      </c>
      <c r="F2718" s="9">
        <f>IFERROR(__xludf.DUMMYFUNCTION("""COMPUTED_VALUE"""),3282606.0)</f>
        <v>3282606</v>
      </c>
      <c r="H2718" s="27">
        <f>IFERROR(__xludf.DUMMYFUNCTION("""COMPUTED_VALUE"""),42381.64583333333)</f>
        <v>42381.64583</v>
      </c>
      <c r="I2718" s="25">
        <f>IFERROR(__xludf.DUMMYFUNCTION("""COMPUTED_VALUE"""),1181.35)</f>
        <v>1181.35</v>
      </c>
      <c r="J2718" s="25">
        <f>IFERROR(__xludf.DUMMYFUNCTION("""COMPUTED_VALUE"""),1182.5)</f>
        <v>1182.5</v>
      </c>
      <c r="K2718" s="25">
        <f>IFERROR(__xludf.DUMMYFUNCTION("""COMPUTED_VALUE"""),1150.8)</f>
        <v>1150.8</v>
      </c>
      <c r="L2718" s="25">
        <f>IFERROR(__xludf.DUMMYFUNCTION("""COMPUTED_VALUE"""),1158.5)</f>
        <v>1158.5</v>
      </c>
      <c r="M2718" s="25">
        <f>IFERROR(__xludf.DUMMYFUNCTION("""COMPUTED_VALUE"""),1741297.0)</f>
        <v>1741297</v>
      </c>
    </row>
    <row r="2719">
      <c r="A2719" s="26">
        <f>IFERROR(__xludf.DUMMYFUNCTION("""COMPUTED_VALUE"""),42382.64583333333)</f>
        <v>42382.64583</v>
      </c>
      <c r="B2719" s="9">
        <f>IFERROR(__xludf.DUMMYFUNCTION("""COMPUTED_VALUE"""),528.5)</f>
        <v>528.5</v>
      </c>
      <c r="C2719" s="9">
        <f>IFERROR(__xludf.DUMMYFUNCTION("""COMPUTED_VALUE"""),545.5)</f>
        <v>545.5</v>
      </c>
      <c r="D2719" s="9">
        <f>IFERROR(__xludf.DUMMYFUNCTION("""COMPUTED_VALUE"""),524.05)</f>
        <v>524.05</v>
      </c>
      <c r="E2719" s="9">
        <f>IFERROR(__xludf.DUMMYFUNCTION("""COMPUTED_VALUE"""),541.7)</f>
        <v>541.7</v>
      </c>
      <c r="F2719" s="9">
        <f>IFERROR(__xludf.DUMMYFUNCTION("""COMPUTED_VALUE"""),4375647.0)</f>
        <v>4375647</v>
      </c>
      <c r="H2719" s="27">
        <f>IFERROR(__xludf.DUMMYFUNCTION("""COMPUTED_VALUE"""),42382.64583333333)</f>
        <v>42382.64583</v>
      </c>
      <c r="I2719" s="25">
        <f>IFERROR(__xludf.DUMMYFUNCTION("""COMPUTED_VALUE"""),1158.5)</f>
        <v>1158.5</v>
      </c>
      <c r="J2719" s="25">
        <f>IFERROR(__xludf.DUMMYFUNCTION("""COMPUTED_VALUE"""),1163.5)</f>
        <v>1163.5</v>
      </c>
      <c r="K2719" s="25">
        <f>IFERROR(__xludf.DUMMYFUNCTION("""COMPUTED_VALUE"""),1127.55)</f>
        <v>1127.55</v>
      </c>
      <c r="L2719" s="25">
        <f>IFERROR(__xludf.DUMMYFUNCTION("""COMPUTED_VALUE"""),1139.6)</f>
        <v>1139.6</v>
      </c>
      <c r="M2719" s="25">
        <f>IFERROR(__xludf.DUMMYFUNCTION("""COMPUTED_VALUE"""),2373046.0)</f>
        <v>2373046</v>
      </c>
    </row>
    <row r="2720">
      <c r="A2720" s="26">
        <f>IFERROR(__xludf.DUMMYFUNCTION("""COMPUTED_VALUE"""),42383.64583333333)</f>
        <v>42383.64583</v>
      </c>
      <c r="B2720" s="9">
        <f>IFERROR(__xludf.DUMMYFUNCTION("""COMPUTED_VALUE"""),533.0)</f>
        <v>533</v>
      </c>
      <c r="C2720" s="9">
        <f>IFERROR(__xludf.DUMMYFUNCTION("""COMPUTED_VALUE"""),577.5)</f>
        <v>577.5</v>
      </c>
      <c r="D2720" s="9">
        <f>IFERROR(__xludf.DUMMYFUNCTION("""COMPUTED_VALUE"""),527.17)</f>
        <v>527.17</v>
      </c>
      <c r="E2720" s="9">
        <f>IFERROR(__xludf.DUMMYFUNCTION("""COMPUTED_VALUE"""),566.5)</f>
        <v>566.5</v>
      </c>
      <c r="F2720" s="9">
        <f>IFERROR(__xludf.DUMMYFUNCTION("""COMPUTED_VALUE"""),1.5113503E7)</f>
        <v>15113503</v>
      </c>
      <c r="H2720" s="27">
        <f>IFERROR(__xludf.DUMMYFUNCTION("""COMPUTED_VALUE"""),42383.64583333333)</f>
        <v>42383.64583</v>
      </c>
      <c r="I2720" s="25">
        <f>IFERROR(__xludf.DUMMYFUNCTION("""COMPUTED_VALUE"""),1136.5)</f>
        <v>1136.5</v>
      </c>
      <c r="J2720" s="25">
        <f>IFERROR(__xludf.DUMMYFUNCTION("""COMPUTED_VALUE"""),1149.45)</f>
        <v>1149.45</v>
      </c>
      <c r="K2720" s="25">
        <f>IFERROR(__xludf.DUMMYFUNCTION("""COMPUTED_VALUE"""),1125.0)</f>
        <v>1125</v>
      </c>
      <c r="L2720" s="25">
        <f>IFERROR(__xludf.DUMMYFUNCTION("""COMPUTED_VALUE"""),1139.4)</f>
        <v>1139.4</v>
      </c>
      <c r="M2720" s="25">
        <f>IFERROR(__xludf.DUMMYFUNCTION("""COMPUTED_VALUE"""),1371026.0)</f>
        <v>1371026</v>
      </c>
    </row>
    <row r="2721">
      <c r="A2721" s="26">
        <f>IFERROR(__xludf.DUMMYFUNCTION("""COMPUTED_VALUE"""),42384.64583333333)</f>
        <v>42384.64583</v>
      </c>
      <c r="B2721" s="9">
        <f>IFERROR(__xludf.DUMMYFUNCTION("""COMPUTED_VALUE"""),574.0)</f>
        <v>574</v>
      </c>
      <c r="C2721" s="9">
        <f>IFERROR(__xludf.DUMMYFUNCTION("""COMPUTED_VALUE"""),582.0)</f>
        <v>582</v>
      </c>
      <c r="D2721" s="9">
        <f>IFERROR(__xludf.DUMMYFUNCTION("""COMPUTED_VALUE"""),568.78)</f>
        <v>568.78</v>
      </c>
      <c r="E2721" s="9">
        <f>IFERROR(__xludf.DUMMYFUNCTION("""COMPUTED_VALUE"""),569.95)</f>
        <v>569.95</v>
      </c>
      <c r="F2721" s="9">
        <f>IFERROR(__xludf.DUMMYFUNCTION("""COMPUTED_VALUE"""),6518307.0)</f>
        <v>6518307</v>
      </c>
      <c r="H2721" s="27">
        <f>IFERROR(__xludf.DUMMYFUNCTION("""COMPUTED_VALUE"""),42384.64583333333)</f>
        <v>42384.64583</v>
      </c>
      <c r="I2721" s="25">
        <f>IFERROR(__xludf.DUMMYFUNCTION("""COMPUTED_VALUE"""),1144.43)</f>
        <v>1144.43</v>
      </c>
      <c r="J2721" s="25">
        <f>IFERROR(__xludf.DUMMYFUNCTION("""COMPUTED_VALUE"""),1145.85)</f>
        <v>1145.85</v>
      </c>
      <c r="K2721" s="25">
        <f>IFERROR(__xludf.DUMMYFUNCTION("""COMPUTED_VALUE"""),1127.5)</f>
        <v>1127.5</v>
      </c>
      <c r="L2721" s="25">
        <f>IFERROR(__xludf.DUMMYFUNCTION("""COMPUTED_VALUE"""),1130.55)</f>
        <v>1130.55</v>
      </c>
      <c r="M2721" s="25">
        <f>IFERROR(__xludf.DUMMYFUNCTION("""COMPUTED_VALUE"""),1634704.0)</f>
        <v>1634704</v>
      </c>
    </row>
    <row r="2722">
      <c r="A2722" s="26">
        <f>IFERROR(__xludf.DUMMYFUNCTION("""COMPUTED_VALUE"""),42387.64583333333)</f>
        <v>42387.64583</v>
      </c>
      <c r="B2722" s="9">
        <f>IFERROR(__xludf.DUMMYFUNCTION("""COMPUTED_VALUE"""),569.95)</f>
        <v>569.95</v>
      </c>
      <c r="C2722" s="9">
        <f>IFERROR(__xludf.DUMMYFUNCTION("""COMPUTED_VALUE"""),581.05)</f>
        <v>581.05</v>
      </c>
      <c r="D2722" s="9">
        <f>IFERROR(__xludf.DUMMYFUNCTION("""COMPUTED_VALUE"""),564.17)</f>
        <v>564.17</v>
      </c>
      <c r="E2722" s="9">
        <f>IFERROR(__xludf.DUMMYFUNCTION("""COMPUTED_VALUE"""),565.95)</f>
        <v>565.95</v>
      </c>
      <c r="F2722" s="9">
        <f>IFERROR(__xludf.DUMMYFUNCTION("""COMPUTED_VALUE"""),5033306.0)</f>
        <v>5033306</v>
      </c>
      <c r="H2722" s="27">
        <f>IFERROR(__xludf.DUMMYFUNCTION("""COMPUTED_VALUE"""),42387.64583333333)</f>
        <v>42387.64583</v>
      </c>
      <c r="I2722" s="25">
        <f>IFERROR(__xludf.DUMMYFUNCTION("""COMPUTED_VALUE"""),1131.0)</f>
        <v>1131</v>
      </c>
      <c r="J2722" s="25">
        <f>IFERROR(__xludf.DUMMYFUNCTION("""COMPUTED_VALUE"""),1145.95)</f>
        <v>1145.95</v>
      </c>
      <c r="K2722" s="25">
        <f>IFERROR(__xludf.DUMMYFUNCTION("""COMPUTED_VALUE"""),1130.0)</f>
        <v>1130</v>
      </c>
      <c r="L2722" s="25">
        <f>IFERROR(__xludf.DUMMYFUNCTION("""COMPUTED_VALUE"""),1138.83)</f>
        <v>1138.83</v>
      </c>
      <c r="M2722" s="25">
        <f>IFERROR(__xludf.DUMMYFUNCTION("""COMPUTED_VALUE"""),1106961.0)</f>
        <v>1106961</v>
      </c>
    </row>
    <row r="2723">
      <c r="A2723" s="26">
        <f>IFERROR(__xludf.DUMMYFUNCTION("""COMPUTED_VALUE"""),42388.64583333333)</f>
        <v>42388.64583</v>
      </c>
      <c r="B2723" s="9">
        <f>IFERROR(__xludf.DUMMYFUNCTION("""COMPUTED_VALUE"""),567.5)</f>
        <v>567.5</v>
      </c>
      <c r="C2723" s="9">
        <f>IFERROR(__xludf.DUMMYFUNCTION("""COMPUTED_VALUE"""),579.48)</f>
        <v>579.48</v>
      </c>
      <c r="D2723" s="9">
        <f>IFERROR(__xludf.DUMMYFUNCTION("""COMPUTED_VALUE"""),564.28)</f>
        <v>564.28</v>
      </c>
      <c r="E2723" s="9">
        <f>IFERROR(__xludf.DUMMYFUNCTION("""COMPUTED_VALUE"""),569.83)</f>
        <v>569.83</v>
      </c>
      <c r="F2723" s="9">
        <f>IFERROR(__xludf.DUMMYFUNCTION("""COMPUTED_VALUE"""),3750218.0)</f>
        <v>3750218</v>
      </c>
      <c r="H2723" s="27">
        <f>IFERROR(__xludf.DUMMYFUNCTION("""COMPUTED_VALUE"""),42388.64583333333)</f>
        <v>42388.64583</v>
      </c>
      <c r="I2723" s="25">
        <f>IFERROR(__xludf.DUMMYFUNCTION("""COMPUTED_VALUE"""),1138.5)</f>
        <v>1138.5</v>
      </c>
      <c r="J2723" s="25">
        <f>IFERROR(__xludf.DUMMYFUNCTION("""COMPUTED_VALUE"""),1150.0)</f>
        <v>1150</v>
      </c>
      <c r="K2723" s="25">
        <f>IFERROR(__xludf.DUMMYFUNCTION("""COMPUTED_VALUE"""),1134.15)</f>
        <v>1134.15</v>
      </c>
      <c r="L2723" s="25">
        <f>IFERROR(__xludf.DUMMYFUNCTION("""COMPUTED_VALUE"""),1139.65)</f>
        <v>1139.65</v>
      </c>
      <c r="M2723" s="25">
        <f>IFERROR(__xludf.DUMMYFUNCTION("""COMPUTED_VALUE"""),483955.0)</f>
        <v>483955</v>
      </c>
    </row>
    <row r="2724">
      <c r="A2724" s="26">
        <f>IFERROR(__xludf.DUMMYFUNCTION("""COMPUTED_VALUE"""),42389.64583333333)</f>
        <v>42389.64583</v>
      </c>
      <c r="B2724" s="9">
        <f>IFERROR(__xludf.DUMMYFUNCTION("""COMPUTED_VALUE"""),567.0)</f>
        <v>567</v>
      </c>
      <c r="C2724" s="9">
        <f>IFERROR(__xludf.DUMMYFUNCTION("""COMPUTED_VALUE"""),580.0)</f>
        <v>580</v>
      </c>
      <c r="D2724" s="9">
        <f>IFERROR(__xludf.DUMMYFUNCTION("""COMPUTED_VALUE"""),558.5)</f>
        <v>558.5</v>
      </c>
      <c r="E2724" s="9">
        <f>IFERROR(__xludf.DUMMYFUNCTION("""COMPUTED_VALUE"""),560.63)</f>
        <v>560.63</v>
      </c>
      <c r="F2724" s="9">
        <f>IFERROR(__xludf.DUMMYFUNCTION("""COMPUTED_VALUE"""),3753999.0)</f>
        <v>3753999</v>
      </c>
      <c r="H2724" s="27">
        <f>IFERROR(__xludf.DUMMYFUNCTION("""COMPUTED_VALUE"""),42389.64583333333)</f>
        <v>42389.64583</v>
      </c>
      <c r="I2724" s="25">
        <f>IFERROR(__xludf.DUMMYFUNCTION("""COMPUTED_VALUE"""),1136.9)</f>
        <v>1136.9</v>
      </c>
      <c r="J2724" s="25">
        <f>IFERROR(__xludf.DUMMYFUNCTION("""COMPUTED_VALUE"""),1142.5)</f>
        <v>1142.5</v>
      </c>
      <c r="K2724" s="25">
        <f>IFERROR(__xludf.DUMMYFUNCTION("""COMPUTED_VALUE"""),1121.5)</f>
        <v>1121.5</v>
      </c>
      <c r="L2724" s="25">
        <f>IFERROR(__xludf.DUMMYFUNCTION("""COMPUTED_VALUE"""),1140.05)</f>
        <v>1140.05</v>
      </c>
      <c r="M2724" s="25">
        <f>IFERROR(__xludf.DUMMYFUNCTION("""COMPUTED_VALUE"""),807977.0)</f>
        <v>807977</v>
      </c>
    </row>
    <row r="2725">
      <c r="A2725" s="26">
        <f>IFERROR(__xludf.DUMMYFUNCTION("""COMPUTED_VALUE"""),42390.64583333333)</f>
        <v>42390.64583</v>
      </c>
      <c r="B2725" s="9">
        <f>IFERROR(__xludf.DUMMYFUNCTION("""COMPUTED_VALUE"""),567.5)</f>
        <v>567.5</v>
      </c>
      <c r="C2725" s="9">
        <f>IFERROR(__xludf.DUMMYFUNCTION("""COMPUTED_VALUE"""),571.25)</f>
        <v>571.25</v>
      </c>
      <c r="D2725" s="9">
        <f>IFERROR(__xludf.DUMMYFUNCTION("""COMPUTED_VALUE"""),561.0)</f>
        <v>561</v>
      </c>
      <c r="E2725" s="9">
        <f>IFERROR(__xludf.DUMMYFUNCTION("""COMPUTED_VALUE"""),568.53)</f>
        <v>568.53</v>
      </c>
      <c r="F2725" s="9">
        <f>IFERROR(__xludf.DUMMYFUNCTION("""COMPUTED_VALUE"""),3371500.0)</f>
        <v>3371500</v>
      </c>
      <c r="H2725" s="27">
        <f>IFERROR(__xludf.DUMMYFUNCTION("""COMPUTED_VALUE"""),42390.64583333333)</f>
        <v>42390.64583</v>
      </c>
      <c r="I2725" s="25">
        <f>IFERROR(__xludf.DUMMYFUNCTION("""COMPUTED_VALUE"""),1142.5)</f>
        <v>1142.5</v>
      </c>
      <c r="J2725" s="25">
        <f>IFERROR(__xludf.DUMMYFUNCTION("""COMPUTED_VALUE"""),1144.95)</f>
        <v>1144.95</v>
      </c>
      <c r="K2725" s="25">
        <f>IFERROR(__xludf.DUMMYFUNCTION("""COMPUTED_VALUE"""),1122.88)</f>
        <v>1122.88</v>
      </c>
      <c r="L2725" s="25">
        <f>IFERROR(__xludf.DUMMYFUNCTION("""COMPUTED_VALUE"""),1127.25)</f>
        <v>1127.25</v>
      </c>
      <c r="M2725" s="25">
        <f>IFERROR(__xludf.DUMMYFUNCTION("""COMPUTED_VALUE"""),1337768.0)</f>
        <v>1337768</v>
      </c>
    </row>
    <row r="2726">
      <c r="A2726" s="26">
        <f>IFERROR(__xludf.DUMMYFUNCTION("""COMPUTED_VALUE"""),42391.64583333333)</f>
        <v>42391.64583</v>
      </c>
      <c r="B2726" s="9">
        <f>IFERROR(__xludf.DUMMYFUNCTION("""COMPUTED_VALUE"""),574.05)</f>
        <v>574.05</v>
      </c>
      <c r="C2726" s="9">
        <f>IFERROR(__xludf.DUMMYFUNCTION("""COMPUTED_VALUE"""),576.25)</f>
        <v>576.25</v>
      </c>
      <c r="D2726" s="9">
        <f>IFERROR(__xludf.DUMMYFUNCTION("""COMPUTED_VALUE"""),565.5)</f>
        <v>565.5</v>
      </c>
      <c r="E2726" s="9">
        <f>IFERROR(__xludf.DUMMYFUNCTION("""COMPUTED_VALUE"""),568.13)</f>
        <v>568.13</v>
      </c>
      <c r="F2726" s="9">
        <f>IFERROR(__xludf.DUMMYFUNCTION("""COMPUTED_VALUE"""),3218009.0)</f>
        <v>3218009</v>
      </c>
      <c r="H2726" s="27">
        <f>IFERROR(__xludf.DUMMYFUNCTION("""COMPUTED_VALUE"""),42391.64583333333)</f>
        <v>42391.64583</v>
      </c>
      <c r="I2726" s="25">
        <f>IFERROR(__xludf.DUMMYFUNCTION("""COMPUTED_VALUE"""),1136.5)</f>
        <v>1136.5</v>
      </c>
      <c r="J2726" s="25">
        <f>IFERROR(__xludf.DUMMYFUNCTION("""COMPUTED_VALUE"""),1151.03)</f>
        <v>1151.03</v>
      </c>
      <c r="K2726" s="25">
        <f>IFERROR(__xludf.DUMMYFUNCTION("""COMPUTED_VALUE"""),1130.0)</f>
        <v>1130</v>
      </c>
      <c r="L2726" s="25">
        <f>IFERROR(__xludf.DUMMYFUNCTION("""COMPUTED_VALUE"""),1147.88)</f>
        <v>1147.88</v>
      </c>
      <c r="M2726" s="25">
        <f>IFERROR(__xludf.DUMMYFUNCTION("""COMPUTED_VALUE"""),671589.0)</f>
        <v>671589</v>
      </c>
    </row>
    <row r="2727">
      <c r="A2727" s="26">
        <f>IFERROR(__xludf.DUMMYFUNCTION("""COMPUTED_VALUE"""),42394.64583333333)</f>
        <v>42394.64583</v>
      </c>
      <c r="B2727" s="9">
        <f>IFERROR(__xludf.DUMMYFUNCTION("""COMPUTED_VALUE"""),570.13)</f>
        <v>570.13</v>
      </c>
      <c r="C2727" s="9">
        <f>IFERROR(__xludf.DUMMYFUNCTION("""COMPUTED_VALUE"""),573.42)</f>
        <v>573.42</v>
      </c>
      <c r="D2727" s="9">
        <f>IFERROR(__xludf.DUMMYFUNCTION("""COMPUTED_VALUE"""),562.28)</f>
        <v>562.28</v>
      </c>
      <c r="E2727" s="9">
        <f>IFERROR(__xludf.DUMMYFUNCTION("""COMPUTED_VALUE"""),568.83)</f>
        <v>568.83</v>
      </c>
      <c r="F2727" s="9">
        <f>IFERROR(__xludf.DUMMYFUNCTION("""COMPUTED_VALUE"""),2289631.0)</f>
        <v>2289631</v>
      </c>
      <c r="H2727" s="27">
        <f>IFERROR(__xludf.DUMMYFUNCTION("""COMPUTED_VALUE"""),42394.64583333333)</f>
        <v>42394.64583</v>
      </c>
      <c r="I2727" s="25">
        <f>IFERROR(__xludf.DUMMYFUNCTION("""COMPUTED_VALUE"""),1150.95)</f>
        <v>1150.95</v>
      </c>
      <c r="J2727" s="25">
        <f>IFERROR(__xludf.DUMMYFUNCTION("""COMPUTED_VALUE"""),1169.5)</f>
        <v>1169.5</v>
      </c>
      <c r="K2727" s="25">
        <f>IFERROR(__xludf.DUMMYFUNCTION("""COMPUTED_VALUE"""),1145.75)</f>
        <v>1145.75</v>
      </c>
      <c r="L2727" s="25">
        <f>IFERROR(__xludf.DUMMYFUNCTION("""COMPUTED_VALUE"""),1152.33)</f>
        <v>1152.33</v>
      </c>
      <c r="M2727" s="25">
        <f>IFERROR(__xludf.DUMMYFUNCTION("""COMPUTED_VALUE"""),698780.0)</f>
        <v>698780</v>
      </c>
    </row>
    <row r="2728">
      <c r="A2728" s="26">
        <f>IFERROR(__xludf.DUMMYFUNCTION("""COMPUTED_VALUE"""),42396.64583333333)</f>
        <v>42396.64583</v>
      </c>
      <c r="B2728" s="9">
        <f>IFERROR(__xludf.DUMMYFUNCTION("""COMPUTED_VALUE"""),573.23)</f>
        <v>573.23</v>
      </c>
      <c r="C2728" s="9">
        <f>IFERROR(__xludf.DUMMYFUNCTION("""COMPUTED_VALUE"""),574.8)</f>
        <v>574.8</v>
      </c>
      <c r="D2728" s="9">
        <f>IFERROR(__xludf.DUMMYFUNCTION("""COMPUTED_VALUE"""),567.5)</f>
        <v>567.5</v>
      </c>
      <c r="E2728" s="9">
        <f>IFERROR(__xludf.DUMMYFUNCTION("""COMPUTED_VALUE"""),569.25)</f>
        <v>569.25</v>
      </c>
      <c r="F2728" s="9">
        <f>IFERROR(__xludf.DUMMYFUNCTION("""COMPUTED_VALUE"""),3485981.0)</f>
        <v>3485981</v>
      </c>
      <c r="H2728" s="27">
        <f>IFERROR(__xludf.DUMMYFUNCTION("""COMPUTED_VALUE"""),42396.64583333333)</f>
        <v>42396.64583</v>
      </c>
      <c r="I2728" s="25">
        <f>IFERROR(__xludf.DUMMYFUNCTION("""COMPUTED_VALUE"""),1151.0)</f>
        <v>1151</v>
      </c>
      <c r="J2728" s="25">
        <f>IFERROR(__xludf.DUMMYFUNCTION("""COMPUTED_VALUE"""),1164.97)</f>
        <v>1164.97</v>
      </c>
      <c r="K2728" s="25">
        <f>IFERROR(__xludf.DUMMYFUNCTION("""COMPUTED_VALUE"""),1140.95)</f>
        <v>1140.95</v>
      </c>
      <c r="L2728" s="25">
        <f>IFERROR(__xludf.DUMMYFUNCTION("""COMPUTED_VALUE"""),1159.88)</f>
        <v>1159.88</v>
      </c>
      <c r="M2728" s="25">
        <f>IFERROR(__xludf.DUMMYFUNCTION("""COMPUTED_VALUE"""),813493.0)</f>
        <v>813493</v>
      </c>
    </row>
    <row r="2729">
      <c r="A2729" s="26">
        <f>IFERROR(__xludf.DUMMYFUNCTION("""COMPUTED_VALUE"""),42397.64583333333)</f>
        <v>42397.64583</v>
      </c>
      <c r="B2729" s="9">
        <f>IFERROR(__xludf.DUMMYFUNCTION("""COMPUTED_VALUE"""),568.0)</f>
        <v>568</v>
      </c>
      <c r="C2729" s="9">
        <f>IFERROR(__xludf.DUMMYFUNCTION("""COMPUTED_VALUE"""),571.3)</f>
        <v>571.3</v>
      </c>
      <c r="D2729" s="9">
        <f>IFERROR(__xludf.DUMMYFUNCTION("""COMPUTED_VALUE"""),563.1)</f>
        <v>563.1</v>
      </c>
      <c r="E2729" s="9">
        <f>IFERROR(__xludf.DUMMYFUNCTION("""COMPUTED_VALUE"""),564.8)</f>
        <v>564.8</v>
      </c>
      <c r="F2729" s="9">
        <f>IFERROR(__xludf.DUMMYFUNCTION("""COMPUTED_VALUE"""),3894299.0)</f>
        <v>3894299</v>
      </c>
      <c r="H2729" s="27">
        <f>IFERROR(__xludf.DUMMYFUNCTION("""COMPUTED_VALUE"""),42397.64583333333)</f>
        <v>42397.64583</v>
      </c>
      <c r="I2729" s="25">
        <f>IFERROR(__xludf.DUMMYFUNCTION("""COMPUTED_VALUE"""),1157.75)</f>
        <v>1157.75</v>
      </c>
      <c r="J2729" s="25">
        <f>IFERROR(__xludf.DUMMYFUNCTION("""COMPUTED_VALUE"""),1174.45)</f>
        <v>1174.45</v>
      </c>
      <c r="K2729" s="25">
        <f>IFERROR(__xludf.DUMMYFUNCTION("""COMPUTED_VALUE"""),1154.03)</f>
        <v>1154.03</v>
      </c>
      <c r="L2729" s="25">
        <f>IFERROR(__xludf.DUMMYFUNCTION("""COMPUTED_VALUE"""),1165.6)</f>
        <v>1165.6</v>
      </c>
      <c r="M2729" s="25">
        <f>IFERROR(__xludf.DUMMYFUNCTION("""COMPUTED_VALUE"""),1553330.0)</f>
        <v>1553330</v>
      </c>
    </row>
    <row r="2730">
      <c r="A2730" s="26">
        <f>IFERROR(__xludf.DUMMYFUNCTION("""COMPUTED_VALUE"""),42398.64583333333)</f>
        <v>42398.64583</v>
      </c>
      <c r="B2730" s="9">
        <f>IFERROR(__xludf.DUMMYFUNCTION("""COMPUTED_VALUE"""),569.0)</f>
        <v>569</v>
      </c>
      <c r="C2730" s="9">
        <f>IFERROR(__xludf.DUMMYFUNCTION("""COMPUTED_VALUE"""),585.0)</f>
        <v>585</v>
      </c>
      <c r="D2730" s="9">
        <f>IFERROR(__xludf.DUMMYFUNCTION("""COMPUTED_VALUE"""),565.8)</f>
        <v>565.8</v>
      </c>
      <c r="E2730" s="9">
        <f>IFERROR(__xludf.DUMMYFUNCTION("""COMPUTED_VALUE"""),582.45)</f>
        <v>582.45</v>
      </c>
      <c r="F2730" s="9">
        <f>IFERROR(__xludf.DUMMYFUNCTION("""COMPUTED_VALUE"""),5116054.0)</f>
        <v>5116054</v>
      </c>
      <c r="H2730" s="27">
        <f>IFERROR(__xludf.DUMMYFUNCTION("""COMPUTED_VALUE"""),42398.64583333333)</f>
        <v>42398.64583</v>
      </c>
      <c r="I2730" s="25">
        <f>IFERROR(__xludf.DUMMYFUNCTION("""COMPUTED_VALUE"""),1179.35)</f>
        <v>1179.35</v>
      </c>
      <c r="J2730" s="25">
        <f>IFERROR(__xludf.DUMMYFUNCTION("""COMPUTED_VALUE"""),1200.0)</f>
        <v>1200</v>
      </c>
      <c r="K2730" s="25">
        <f>IFERROR(__xludf.DUMMYFUNCTION("""COMPUTED_VALUE"""),1167.53)</f>
        <v>1167.53</v>
      </c>
      <c r="L2730" s="25">
        <f>IFERROR(__xludf.DUMMYFUNCTION("""COMPUTED_VALUE"""),1195.65)</f>
        <v>1195.65</v>
      </c>
      <c r="M2730" s="25">
        <f>IFERROR(__xludf.DUMMYFUNCTION("""COMPUTED_VALUE"""),1117872.0)</f>
        <v>1117872</v>
      </c>
    </row>
    <row r="2731">
      <c r="A2731" s="26">
        <f>IFERROR(__xludf.DUMMYFUNCTION("""COMPUTED_VALUE"""),42401.64583333333)</f>
        <v>42401.64583</v>
      </c>
      <c r="B2731" s="9">
        <f>IFERROR(__xludf.DUMMYFUNCTION("""COMPUTED_VALUE"""),585.0)</f>
        <v>585</v>
      </c>
      <c r="C2731" s="9">
        <f>IFERROR(__xludf.DUMMYFUNCTION("""COMPUTED_VALUE"""),589.95)</f>
        <v>589.95</v>
      </c>
      <c r="D2731" s="9">
        <f>IFERROR(__xludf.DUMMYFUNCTION("""COMPUTED_VALUE"""),580.8)</f>
        <v>580.8</v>
      </c>
      <c r="E2731" s="9">
        <f>IFERROR(__xludf.DUMMYFUNCTION("""COMPUTED_VALUE"""),586.67)</f>
        <v>586.67</v>
      </c>
      <c r="F2731" s="9">
        <f>IFERROR(__xludf.DUMMYFUNCTION("""COMPUTED_VALUE"""),2125563.0)</f>
        <v>2125563</v>
      </c>
      <c r="H2731" s="27">
        <f>IFERROR(__xludf.DUMMYFUNCTION("""COMPUTED_VALUE"""),42401.64583333333)</f>
        <v>42401.64583</v>
      </c>
      <c r="I2731" s="25">
        <f>IFERROR(__xludf.DUMMYFUNCTION("""COMPUTED_VALUE"""),1195.55)</f>
        <v>1195.55</v>
      </c>
      <c r="J2731" s="25">
        <f>IFERROR(__xludf.DUMMYFUNCTION("""COMPUTED_VALUE"""),1206.47)</f>
        <v>1206.47</v>
      </c>
      <c r="K2731" s="25">
        <f>IFERROR(__xludf.DUMMYFUNCTION("""COMPUTED_VALUE"""),1179.5)</f>
        <v>1179.5</v>
      </c>
      <c r="L2731" s="25">
        <f>IFERROR(__xludf.DUMMYFUNCTION("""COMPUTED_VALUE"""),1201.35)</f>
        <v>1201.35</v>
      </c>
      <c r="M2731" s="25">
        <f>IFERROR(__xludf.DUMMYFUNCTION("""COMPUTED_VALUE"""),747637.0)</f>
        <v>747637</v>
      </c>
    </row>
    <row r="2732">
      <c r="A2732" s="26">
        <f>IFERROR(__xludf.DUMMYFUNCTION("""COMPUTED_VALUE"""),42402.64583333333)</f>
        <v>42402.64583</v>
      </c>
      <c r="B2732" s="9">
        <f>IFERROR(__xludf.DUMMYFUNCTION("""COMPUTED_VALUE"""),588.42)</f>
        <v>588.42</v>
      </c>
      <c r="C2732" s="9">
        <f>IFERROR(__xludf.DUMMYFUNCTION("""COMPUTED_VALUE"""),595.0)</f>
        <v>595</v>
      </c>
      <c r="D2732" s="9">
        <f>IFERROR(__xludf.DUMMYFUNCTION("""COMPUTED_VALUE"""),582.0)</f>
        <v>582</v>
      </c>
      <c r="E2732" s="9">
        <f>IFERROR(__xludf.DUMMYFUNCTION("""COMPUTED_VALUE"""),587.78)</f>
        <v>587.78</v>
      </c>
      <c r="F2732" s="9">
        <f>IFERROR(__xludf.DUMMYFUNCTION("""COMPUTED_VALUE"""),3816351.0)</f>
        <v>3816351</v>
      </c>
      <c r="H2732" s="27">
        <f>IFERROR(__xludf.DUMMYFUNCTION("""COMPUTED_VALUE"""),42402.64583333333)</f>
        <v>42402.64583</v>
      </c>
      <c r="I2732" s="25">
        <f>IFERROR(__xludf.DUMMYFUNCTION("""COMPUTED_VALUE"""),1204.5)</f>
        <v>1204.5</v>
      </c>
      <c r="J2732" s="25">
        <f>IFERROR(__xludf.DUMMYFUNCTION("""COMPUTED_VALUE"""),1216.5)</f>
        <v>1216.5</v>
      </c>
      <c r="K2732" s="25">
        <f>IFERROR(__xludf.DUMMYFUNCTION("""COMPUTED_VALUE"""),1189.85)</f>
        <v>1189.85</v>
      </c>
      <c r="L2732" s="25">
        <f>IFERROR(__xludf.DUMMYFUNCTION("""COMPUTED_VALUE"""),1199.05)</f>
        <v>1199.05</v>
      </c>
      <c r="M2732" s="25">
        <f>IFERROR(__xludf.DUMMYFUNCTION("""COMPUTED_VALUE"""),737794.0)</f>
        <v>737794</v>
      </c>
    </row>
    <row r="2733">
      <c r="A2733" s="26">
        <f>IFERROR(__xludf.DUMMYFUNCTION("""COMPUTED_VALUE"""),42403.64583333333)</f>
        <v>42403.64583</v>
      </c>
      <c r="B2733" s="9">
        <f>IFERROR(__xludf.DUMMYFUNCTION("""COMPUTED_VALUE"""),583.9)</f>
        <v>583.9</v>
      </c>
      <c r="C2733" s="9">
        <f>IFERROR(__xludf.DUMMYFUNCTION("""COMPUTED_VALUE"""),587.95)</f>
        <v>587.95</v>
      </c>
      <c r="D2733" s="9">
        <f>IFERROR(__xludf.DUMMYFUNCTION("""COMPUTED_VALUE"""),576.38)</f>
        <v>576.38</v>
      </c>
      <c r="E2733" s="9">
        <f>IFERROR(__xludf.DUMMYFUNCTION("""COMPUTED_VALUE"""),578.85)</f>
        <v>578.85</v>
      </c>
      <c r="F2733" s="9">
        <f>IFERROR(__xludf.DUMMYFUNCTION("""COMPUTED_VALUE"""),2622983.0)</f>
        <v>2622983</v>
      </c>
      <c r="H2733" s="27">
        <f>IFERROR(__xludf.DUMMYFUNCTION("""COMPUTED_VALUE"""),42403.64583333333)</f>
        <v>42403.64583</v>
      </c>
      <c r="I2733" s="25">
        <f>IFERROR(__xludf.DUMMYFUNCTION("""COMPUTED_VALUE"""),1193.75)</f>
        <v>1193.75</v>
      </c>
      <c r="J2733" s="25">
        <f>IFERROR(__xludf.DUMMYFUNCTION("""COMPUTED_VALUE"""),1214.95)</f>
        <v>1214.95</v>
      </c>
      <c r="K2733" s="25">
        <f>IFERROR(__xludf.DUMMYFUNCTION("""COMPUTED_VALUE"""),1180.15)</f>
        <v>1180.15</v>
      </c>
      <c r="L2733" s="25">
        <f>IFERROR(__xludf.DUMMYFUNCTION("""COMPUTED_VALUE"""),1208.15)</f>
        <v>1208.15</v>
      </c>
      <c r="M2733" s="25">
        <f>IFERROR(__xludf.DUMMYFUNCTION("""COMPUTED_VALUE"""),654346.0)</f>
        <v>654346</v>
      </c>
    </row>
    <row r="2734">
      <c r="A2734" s="26">
        <f>IFERROR(__xludf.DUMMYFUNCTION("""COMPUTED_VALUE"""),42404.64583333333)</f>
        <v>42404.64583</v>
      </c>
      <c r="B2734" s="9">
        <f>IFERROR(__xludf.DUMMYFUNCTION("""COMPUTED_VALUE"""),580.03)</f>
        <v>580.03</v>
      </c>
      <c r="C2734" s="9">
        <f>IFERROR(__xludf.DUMMYFUNCTION("""COMPUTED_VALUE"""),597.48)</f>
        <v>597.48</v>
      </c>
      <c r="D2734" s="9">
        <f>IFERROR(__xludf.DUMMYFUNCTION("""COMPUTED_VALUE"""),580.03)</f>
        <v>580.03</v>
      </c>
      <c r="E2734" s="9">
        <f>IFERROR(__xludf.DUMMYFUNCTION("""COMPUTED_VALUE"""),589.88)</f>
        <v>589.88</v>
      </c>
      <c r="F2734" s="9">
        <f>IFERROR(__xludf.DUMMYFUNCTION("""COMPUTED_VALUE"""),2774673.0)</f>
        <v>2774673</v>
      </c>
      <c r="H2734" s="27">
        <f>IFERROR(__xludf.DUMMYFUNCTION("""COMPUTED_VALUE"""),42404.64583333333)</f>
        <v>42404.64583</v>
      </c>
      <c r="I2734" s="25">
        <f>IFERROR(__xludf.DUMMYFUNCTION("""COMPUTED_VALUE"""),1210.95)</f>
        <v>1210.95</v>
      </c>
      <c r="J2734" s="25">
        <f>IFERROR(__xludf.DUMMYFUNCTION("""COMPUTED_VALUE"""),1220.0)</f>
        <v>1220</v>
      </c>
      <c r="K2734" s="25">
        <f>IFERROR(__xludf.DUMMYFUNCTION("""COMPUTED_VALUE"""),1201.0)</f>
        <v>1201</v>
      </c>
      <c r="L2734" s="25">
        <f>IFERROR(__xludf.DUMMYFUNCTION("""COMPUTED_VALUE"""),1210.03)</f>
        <v>1210.03</v>
      </c>
      <c r="M2734" s="25">
        <f>IFERROR(__xludf.DUMMYFUNCTION("""COMPUTED_VALUE"""),625023.0)</f>
        <v>625023</v>
      </c>
    </row>
    <row r="2735">
      <c r="A2735" s="26">
        <f>IFERROR(__xludf.DUMMYFUNCTION("""COMPUTED_VALUE"""),42405.64583333333)</f>
        <v>42405.64583</v>
      </c>
      <c r="B2735" s="9">
        <f>IFERROR(__xludf.DUMMYFUNCTION("""COMPUTED_VALUE"""),587.75)</f>
        <v>587.75</v>
      </c>
      <c r="C2735" s="9">
        <f>IFERROR(__xludf.DUMMYFUNCTION("""COMPUTED_VALUE"""),593.33)</f>
        <v>593.33</v>
      </c>
      <c r="D2735" s="9">
        <f>IFERROR(__xludf.DUMMYFUNCTION("""COMPUTED_VALUE"""),585.92)</f>
        <v>585.92</v>
      </c>
      <c r="E2735" s="9">
        <f>IFERROR(__xludf.DUMMYFUNCTION("""COMPUTED_VALUE"""),587.35)</f>
        <v>587.35</v>
      </c>
      <c r="F2735" s="9">
        <f>IFERROR(__xludf.DUMMYFUNCTION("""COMPUTED_VALUE"""),1992112.0)</f>
        <v>1992112</v>
      </c>
      <c r="H2735" s="27">
        <f>IFERROR(__xludf.DUMMYFUNCTION("""COMPUTED_VALUE"""),42405.64583333333)</f>
        <v>42405.64583</v>
      </c>
      <c r="I2735" s="25">
        <f>IFERROR(__xludf.DUMMYFUNCTION("""COMPUTED_VALUE"""),1204.05)</f>
        <v>1204.05</v>
      </c>
      <c r="J2735" s="25">
        <f>IFERROR(__xludf.DUMMYFUNCTION("""COMPUTED_VALUE"""),1219.97)</f>
        <v>1219.97</v>
      </c>
      <c r="K2735" s="25">
        <f>IFERROR(__xludf.DUMMYFUNCTION("""COMPUTED_VALUE"""),1204.05)</f>
        <v>1204.05</v>
      </c>
      <c r="L2735" s="25">
        <f>IFERROR(__xludf.DUMMYFUNCTION("""COMPUTED_VALUE"""),1210.97)</f>
        <v>1210.97</v>
      </c>
      <c r="M2735" s="25">
        <f>IFERROR(__xludf.DUMMYFUNCTION("""COMPUTED_VALUE"""),701498.0)</f>
        <v>701498</v>
      </c>
    </row>
    <row r="2736">
      <c r="A2736" s="26">
        <f>IFERROR(__xludf.DUMMYFUNCTION("""COMPUTED_VALUE"""),42408.64583333333)</f>
        <v>42408.64583</v>
      </c>
      <c r="B2736" s="9">
        <f>IFERROR(__xludf.DUMMYFUNCTION("""COMPUTED_VALUE"""),581.88)</f>
        <v>581.88</v>
      </c>
      <c r="C2736" s="9">
        <f>IFERROR(__xludf.DUMMYFUNCTION("""COMPUTED_VALUE"""),586.1)</f>
        <v>586.1</v>
      </c>
      <c r="D2736" s="9">
        <f>IFERROR(__xludf.DUMMYFUNCTION("""COMPUTED_VALUE"""),571.9)</f>
        <v>571.9</v>
      </c>
      <c r="E2736" s="9">
        <f>IFERROR(__xludf.DUMMYFUNCTION("""COMPUTED_VALUE"""),572.92)</f>
        <v>572.92</v>
      </c>
      <c r="F2736" s="9">
        <f>IFERROR(__xludf.DUMMYFUNCTION("""COMPUTED_VALUE"""),2110522.0)</f>
        <v>2110522</v>
      </c>
      <c r="H2736" s="27">
        <f>IFERROR(__xludf.DUMMYFUNCTION("""COMPUTED_VALUE"""),42408.64583333333)</f>
        <v>42408.64583</v>
      </c>
      <c r="I2736" s="25">
        <f>IFERROR(__xludf.DUMMYFUNCTION("""COMPUTED_VALUE"""),1200.0)</f>
        <v>1200</v>
      </c>
      <c r="J2736" s="25">
        <f>IFERROR(__xludf.DUMMYFUNCTION("""COMPUTED_VALUE"""),1206.03)</f>
        <v>1206.03</v>
      </c>
      <c r="K2736" s="25">
        <f>IFERROR(__xludf.DUMMYFUNCTION("""COMPUTED_VALUE"""),1173.5)</f>
        <v>1173.5</v>
      </c>
      <c r="L2736" s="25">
        <f>IFERROR(__xludf.DUMMYFUNCTION("""COMPUTED_VALUE"""),1177.15)</f>
        <v>1177.15</v>
      </c>
      <c r="M2736" s="25">
        <f>IFERROR(__xludf.DUMMYFUNCTION("""COMPUTED_VALUE"""),531829.0)</f>
        <v>531829</v>
      </c>
    </row>
    <row r="2737">
      <c r="A2737" s="26">
        <f>IFERROR(__xludf.DUMMYFUNCTION("""COMPUTED_VALUE"""),42409.64583333333)</f>
        <v>42409.64583</v>
      </c>
      <c r="B2737" s="9">
        <f>IFERROR(__xludf.DUMMYFUNCTION("""COMPUTED_VALUE"""),564.15)</f>
        <v>564.15</v>
      </c>
      <c r="C2737" s="9">
        <f>IFERROR(__xludf.DUMMYFUNCTION("""COMPUTED_VALUE"""),564.15)</f>
        <v>564.15</v>
      </c>
      <c r="D2737" s="9">
        <f>IFERROR(__xludf.DUMMYFUNCTION("""COMPUTED_VALUE"""),546.75)</f>
        <v>546.75</v>
      </c>
      <c r="E2737" s="9">
        <f>IFERROR(__xludf.DUMMYFUNCTION("""COMPUTED_VALUE"""),553.83)</f>
        <v>553.83</v>
      </c>
      <c r="F2737" s="9">
        <f>IFERROR(__xludf.DUMMYFUNCTION("""COMPUTED_VALUE"""),3789786.0)</f>
        <v>3789786</v>
      </c>
      <c r="H2737" s="27">
        <f>IFERROR(__xludf.DUMMYFUNCTION("""COMPUTED_VALUE"""),42409.64583333333)</f>
        <v>42409.64583</v>
      </c>
      <c r="I2737" s="25">
        <f>IFERROR(__xludf.DUMMYFUNCTION("""COMPUTED_VALUE"""),1166.8)</f>
        <v>1166.8</v>
      </c>
      <c r="J2737" s="25">
        <f>IFERROR(__xludf.DUMMYFUNCTION("""COMPUTED_VALUE"""),1166.8)</f>
        <v>1166.8</v>
      </c>
      <c r="K2737" s="25">
        <f>IFERROR(__xludf.DUMMYFUNCTION("""COMPUTED_VALUE"""),1127.8)</f>
        <v>1127.8</v>
      </c>
      <c r="L2737" s="25">
        <f>IFERROR(__xludf.DUMMYFUNCTION("""COMPUTED_VALUE"""),1140.7)</f>
        <v>1140.7</v>
      </c>
      <c r="M2737" s="25">
        <f>IFERROR(__xludf.DUMMYFUNCTION("""COMPUTED_VALUE"""),1244805.0)</f>
        <v>1244805</v>
      </c>
    </row>
    <row r="2738">
      <c r="A2738" s="26">
        <f>IFERROR(__xludf.DUMMYFUNCTION("""COMPUTED_VALUE"""),42410.64583333333)</f>
        <v>42410.64583</v>
      </c>
      <c r="B2738" s="9">
        <f>IFERROR(__xludf.DUMMYFUNCTION("""COMPUTED_VALUE"""),554.0)</f>
        <v>554</v>
      </c>
      <c r="C2738" s="9">
        <f>IFERROR(__xludf.DUMMYFUNCTION("""COMPUTED_VALUE"""),563.75)</f>
        <v>563.75</v>
      </c>
      <c r="D2738" s="9">
        <f>IFERROR(__xludf.DUMMYFUNCTION("""COMPUTED_VALUE"""),552.5)</f>
        <v>552.5</v>
      </c>
      <c r="E2738" s="9">
        <f>IFERROR(__xludf.DUMMYFUNCTION("""COMPUTED_VALUE"""),554.28)</f>
        <v>554.28</v>
      </c>
      <c r="F2738" s="9">
        <f>IFERROR(__xludf.DUMMYFUNCTION("""COMPUTED_VALUE"""),2933027.0)</f>
        <v>2933027</v>
      </c>
      <c r="H2738" s="27">
        <f>IFERROR(__xludf.DUMMYFUNCTION("""COMPUTED_VALUE"""),42410.64583333333)</f>
        <v>42410.64583</v>
      </c>
      <c r="I2738" s="25">
        <f>IFERROR(__xludf.DUMMYFUNCTION("""COMPUTED_VALUE"""),1137.5)</f>
        <v>1137.5</v>
      </c>
      <c r="J2738" s="25">
        <f>IFERROR(__xludf.DUMMYFUNCTION("""COMPUTED_VALUE"""),1144.95)</f>
        <v>1144.95</v>
      </c>
      <c r="K2738" s="25">
        <f>IFERROR(__xludf.DUMMYFUNCTION("""COMPUTED_VALUE"""),1129.05)</f>
        <v>1129.05</v>
      </c>
      <c r="L2738" s="25">
        <f>IFERROR(__xludf.DUMMYFUNCTION("""COMPUTED_VALUE"""),1134.4)</f>
        <v>1134.4</v>
      </c>
      <c r="M2738" s="25">
        <f>IFERROR(__xludf.DUMMYFUNCTION("""COMPUTED_VALUE"""),945366.0)</f>
        <v>945366</v>
      </c>
    </row>
    <row r="2739">
      <c r="A2739" s="26">
        <f>IFERROR(__xludf.DUMMYFUNCTION("""COMPUTED_VALUE"""),42411.64583333333)</f>
        <v>42411.64583</v>
      </c>
      <c r="B2739" s="9">
        <f>IFERROR(__xludf.DUMMYFUNCTION("""COMPUTED_VALUE"""),555.5)</f>
        <v>555.5</v>
      </c>
      <c r="C2739" s="9">
        <f>IFERROR(__xludf.DUMMYFUNCTION("""COMPUTED_VALUE"""),556.5)</f>
        <v>556.5</v>
      </c>
      <c r="D2739" s="9">
        <f>IFERROR(__xludf.DUMMYFUNCTION("""COMPUTED_VALUE"""),535.58)</f>
        <v>535.58</v>
      </c>
      <c r="E2739" s="9">
        <f>IFERROR(__xludf.DUMMYFUNCTION("""COMPUTED_VALUE"""),539.33)</f>
        <v>539.33</v>
      </c>
      <c r="F2739" s="9">
        <f>IFERROR(__xludf.DUMMYFUNCTION("""COMPUTED_VALUE"""),2607189.0)</f>
        <v>2607189</v>
      </c>
      <c r="H2739" s="27">
        <f>IFERROR(__xludf.DUMMYFUNCTION("""COMPUTED_VALUE"""),42411.64583333333)</f>
        <v>42411.64583</v>
      </c>
      <c r="I2739" s="25">
        <f>IFERROR(__xludf.DUMMYFUNCTION("""COMPUTED_VALUE"""),1140.0)</f>
        <v>1140</v>
      </c>
      <c r="J2739" s="25">
        <f>IFERROR(__xludf.DUMMYFUNCTION("""COMPUTED_VALUE"""),1144.5)</f>
        <v>1144.5</v>
      </c>
      <c r="K2739" s="25">
        <f>IFERROR(__xludf.DUMMYFUNCTION("""COMPUTED_VALUE"""),1085.83)</f>
        <v>1085.83</v>
      </c>
      <c r="L2739" s="25">
        <f>IFERROR(__xludf.DUMMYFUNCTION("""COMPUTED_VALUE"""),1098.97)</f>
        <v>1098.97</v>
      </c>
      <c r="M2739" s="25">
        <f>IFERROR(__xludf.DUMMYFUNCTION("""COMPUTED_VALUE"""),981204.0)</f>
        <v>981204</v>
      </c>
    </row>
    <row r="2740">
      <c r="A2740" s="26">
        <f>IFERROR(__xludf.DUMMYFUNCTION("""COMPUTED_VALUE"""),42412.64583333333)</f>
        <v>42412.64583</v>
      </c>
      <c r="B2740" s="9">
        <f>IFERROR(__xludf.DUMMYFUNCTION("""COMPUTED_VALUE"""),547.35)</f>
        <v>547.35</v>
      </c>
      <c r="C2740" s="9">
        <f>IFERROR(__xludf.DUMMYFUNCTION("""COMPUTED_VALUE"""),0.0)</f>
        <v>0</v>
      </c>
      <c r="D2740" s="9">
        <f>IFERROR(__xludf.DUMMYFUNCTION("""COMPUTED_VALUE"""),0.0)</f>
        <v>0</v>
      </c>
      <c r="E2740" s="9">
        <f>IFERROR(__xludf.DUMMYFUNCTION("""COMPUTED_VALUE"""),539.4)</f>
        <v>539.4</v>
      </c>
      <c r="F2740" s="9">
        <f>IFERROR(__xludf.DUMMYFUNCTION("""COMPUTED_VALUE"""),0.0)</f>
        <v>0</v>
      </c>
      <c r="H2740" s="27">
        <f>IFERROR(__xludf.DUMMYFUNCTION("""COMPUTED_VALUE"""),42412.64583333333)</f>
        <v>42412.64583</v>
      </c>
      <c r="I2740" s="25">
        <f>IFERROR(__xludf.DUMMYFUNCTION("""COMPUTED_VALUE"""),1100.0)</f>
        <v>1100</v>
      </c>
      <c r="J2740" s="25">
        <f>IFERROR(__xludf.DUMMYFUNCTION("""COMPUTED_VALUE"""),1121.7)</f>
        <v>1121.7</v>
      </c>
      <c r="K2740" s="25">
        <f>IFERROR(__xludf.DUMMYFUNCTION("""COMPUTED_VALUE"""),1082.0)</f>
        <v>1082</v>
      </c>
      <c r="L2740" s="25">
        <f>IFERROR(__xludf.DUMMYFUNCTION("""COMPUTED_VALUE"""),1113.15)</f>
        <v>1113.15</v>
      </c>
      <c r="M2740" s="25">
        <f>IFERROR(__xludf.DUMMYFUNCTION("""COMPUTED_VALUE"""),1086284.0)</f>
        <v>1086284</v>
      </c>
    </row>
    <row r="2741">
      <c r="A2741" s="26">
        <f>IFERROR(__xludf.DUMMYFUNCTION("""COMPUTED_VALUE"""),42415.64583333333)</f>
        <v>42415.64583</v>
      </c>
      <c r="B2741" s="9">
        <f>IFERROR(__xludf.DUMMYFUNCTION("""COMPUTED_VALUE"""),548.13)</f>
        <v>548.13</v>
      </c>
      <c r="C2741" s="9">
        <f>IFERROR(__xludf.DUMMYFUNCTION("""COMPUTED_VALUE"""),550.1)</f>
        <v>550.1</v>
      </c>
      <c r="D2741" s="9">
        <f>IFERROR(__xludf.DUMMYFUNCTION("""COMPUTED_VALUE"""),543.3)</f>
        <v>543.3</v>
      </c>
      <c r="E2741" s="9">
        <f>IFERROR(__xludf.DUMMYFUNCTION("""COMPUTED_VALUE"""),545.88)</f>
        <v>545.88</v>
      </c>
      <c r="F2741" s="9">
        <f>IFERROR(__xludf.DUMMYFUNCTION("""COMPUTED_VALUE"""),2546739.0)</f>
        <v>2546739</v>
      </c>
      <c r="H2741" s="27">
        <f>IFERROR(__xludf.DUMMYFUNCTION("""COMPUTED_VALUE"""),42415.64583333333)</f>
        <v>42415.64583</v>
      </c>
      <c r="I2741" s="25">
        <f>IFERROR(__xludf.DUMMYFUNCTION("""COMPUTED_VALUE"""),1125.0)</f>
        <v>1125</v>
      </c>
      <c r="J2741" s="25">
        <f>IFERROR(__xludf.DUMMYFUNCTION("""COMPUTED_VALUE"""),1153.43)</f>
        <v>1153.43</v>
      </c>
      <c r="K2741" s="25">
        <f>IFERROR(__xludf.DUMMYFUNCTION("""COMPUTED_VALUE"""),1120.0)</f>
        <v>1120</v>
      </c>
      <c r="L2741" s="25">
        <f>IFERROR(__xludf.DUMMYFUNCTION("""COMPUTED_VALUE"""),1134.58)</f>
        <v>1134.58</v>
      </c>
      <c r="M2741" s="25">
        <f>IFERROR(__xludf.DUMMYFUNCTION("""COMPUTED_VALUE"""),1239856.0)</f>
        <v>1239856</v>
      </c>
    </row>
    <row r="2742">
      <c r="A2742" s="26">
        <f>IFERROR(__xludf.DUMMYFUNCTION("""COMPUTED_VALUE"""),42416.64583333333)</f>
        <v>42416.64583</v>
      </c>
      <c r="B2742" s="9">
        <f>IFERROR(__xludf.DUMMYFUNCTION("""COMPUTED_VALUE"""),543.5)</f>
        <v>543.5</v>
      </c>
      <c r="C2742" s="9">
        <f>IFERROR(__xludf.DUMMYFUNCTION("""COMPUTED_VALUE"""),546.38)</f>
        <v>546.38</v>
      </c>
      <c r="D2742" s="9">
        <f>IFERROR(__xludf.DUMMYFUNCTION("""COMPUTED_VALUE"""),536.85)</f>
        <v>536.85</v>
      </c>
      <c r="E2742" s="9">
        <f>IFERROR(__xludf.DUMMYFUNCTION("""COMPUTED_VALUE"""),539.58)</f>
        <v>539.58</v>
      </c>
      <c r="F2742" s="9">
        <f>IFERROR(__xludf.DUMMYFUNCTION("""COMPUTED_VALUE"""),2562724.0)</f>
        <v>2562724</v>
      </c>
      <c r="H2742" s="27">
        <f>IFERROR(__xludf.DUMMYFUNCTION("""COMPUTED_VALUE"""),42416.64583333333)</f>
        <v>42416.64583</v>
      </c>
      <c r="I2742" s="25">
        <f>IFERROR(__xludf.DUMMYFUNCTION("""COMPUTED_VALUE"""),1133.0)</f>
        <v>1133</v>
      </c>
      <c r="J2742" s="25">
        <f>IFERROR(__xludf.DUMMYFUNCTION("""COMPUTED_VALUE"""),1141.0)</f>
        <v>1141</v>
      </c>
      <c r="K2742" s="25">
        <f>IFERROR(__xludf.DUMMYFUNCTION("""COMPUTED_VALUE"""),1121.5)</f>
        <v>1121.5</v>
      </c>
      <c r="L2742" s="25">
        <f>IFERROR(__xludf.DUMMYFUNCTION("""COMPUTED_VALUE"""),1132.78)</f>
        <v>1132.78</v>
      </c>
      <c r="M2742" s="25">
        <f>IFERROR(__xludf.DUMMYFUNCTION("""COMPUTED_VALUE"""),794351.0)</f>
        <v>794351</v>
      </c>
    </row>
    <row r="2743">
      <c r="A2743" s="26">
        <f>IFERROR(__xludf.DUMMYFUNCTION("""COMPUTED_VALUE"""),42417.64583333333)</f>
        <v>42417.64583</v>
      </c>
      <c r="B2743" s="9">
        <f>IFERROR(__xludf.DUMMYFUNCTION("""COMPUTED_VALUE"""),540.88)</f>
        <v>540.88</v>
      </c>
      <c r="C2743" s="9">
        <f>IFERROR(__xludf.DUMMYFUNCTION("""COMPUTED_VALUE"""),551.5)</f>
        <v>551.5</v>
      </c>
      <c r="D2743" s="9">
        <f>IFERROR(__xludf.DUMMYFUNCTION("""COMPUTED_VALUE"""),538.5)</f>
        <v>538.5</v>
      </c>
      <c r="E2743" s="9">
        <f>IFERROR(__xludf.DUMMYFUNCTION("""COMPUTED_VALUE"""),548.92)</f>
        <v>548.92</v>
      </c>
      <c r="F2743" s="9">
        <f>IFERROR(__xludf.DUMMYFUNCTION("""COMPUTED_VALUE"""),2082299.0)</f>
        <v>2082299</v>
      </c>
      <c r="H2743" s="27">
        <f>IFERROR(__xludf.DUMMYFUNCTION("""COMPUTED_VALUE"""),42417.64583333333)</f>
        <v>42417.64583</v>
      </c>
      <c r="I2743" s="25">
        <f>IFERROR(__xludf.DUMMYFUNCTION("""COMPUTED_VALUE"""),1132.5)</f>
        <v>1132.5</v>
      </c>
      <c r="J2743" s="25">
        <f>IFERROR(__xludf.DUMMYFUNCTION("""COMPUTED_VALUE"""),1139.83)</f>
        <v>1139.83</v>
      </c>
      <c r="K2743" s="25">
        <f>IFERROR(__xludf.DUMMYFUNCTION("""COMPUTED_VALUE"""),1123.2)</f>
        <v>1123.2</v>
      </c>
      <c r="L2743" s="25">
        <f>IFERROR(__xludf.DUMMYFUNCTION("""COMPUTED_VALUE"""),1137.78)</f>
        <v>1137.78</v>
      </c>
      <c r="M2743" s="25">
        <f>IFERROR(__xludf.DUMMYFUNCTION("""COMPUTED_VALUE"""),792589.0)</f>
        <v>792589</v>
      </c>
    </row>
    <row r="2744">
      <c r="A2744" s="26">
        <f>IFERROR(__xludf.DUMMYFUNCTION("""COMPUTED_VALUE"""),42418.64583333333)</f>
        <v>42418.64583</v>
      </c>
      <c r="B2744" s="9">
        <f>IFERROR(__xludf.DUMMYFUNCTION("""COMPUTED_VALUE"""),550.0)</f>
        <v>550</v>
      </c>
      <c r="C2744" s="9">
        <f>IFERROR(__xludf.DUMMYFUNCTION("""COMPUTED_VALUE"""),563.5)</f>
        <v>563.5</v>
      </c>
      <c r="D2744" s="9">
        <f>IFERROR(__xludf.DUMMYFUNCTION("""COMPUTED_VALUE"""),550.0)</f>
        <v>550</v>
      </c>
      <c r="E2744" s="9">
        <f>IFERROR(__xludf.DUMMYFUNCTION("""COMPUTED_VALUE"""),561.7)</f>
        <v>561.7</v>
      </c>
      <c r="F2744" s="9">
        <f>IFERROR(__xludf.DUMMYFUNCTION("""COMPUTED_VALUE"""),2094536.0)</f>
        <v>2094536</v>
      </c>
      <c r="H2744" s="27">
        <f>IFERROR(__xludf.DUMMYFUNCTION("""COMPUTED_VALUE"""),42418.64583333333)</f>
        <v>42418.64583</v>
      </c>
      <c r="I2744" s="25">
        <f>IFERROR(__xludf.DUMMYFUNCTION("""COMPUTED_VALUE"""),1142.5)</f>
        <v>1142.5</v>
      </c>
      <c r="J2744" s="25">
        <f>IFERROR(__xludf.DUMMYFUNCTION("""COMPUTED_VALUE"""),1159.88)</f>
        <v>1159.88</v>
      </c>
      <c r="K2744" s="25">
        <f>IFERROR(__xludf.DUMMYFUNCTION("""COMPUTED_VALUE"""),1139.0)</f>
        <v>1139</v>
      </c>
      <c r="L2744" s="25">
        <f>IFERROR(__xludf.DUMMYFUNCTION("""COMPUTED_VALUE"""),1157.93)</f>
        <v>1157.93</v>
      </c>
      <c r="M2744" s="25">
        <f>IFERROR(__xludf.DUMMYFUNCTION("""COMPUTED_VALUE"""),764570.0)</f>
        <v>764570</v>
      </c>
    </row>
    <row r="2745">
      <c r="A2745" s="26">
        <f>IFERROR(__xludf.DUMMYFUNCTION("""COMPUTED_VALUE"""),42419.64583333333)</f>
        <v>42419.64583</v>
      </c>
      <c r="B2745" s="9">
        <f>IFERROR(__xludf.DUMMYFUNCTION("""COMPUTED_VALUE"""),559.6)</f>
        <v>559.6</v>
      </c>
      <c r="C2745" s="9">
        <f>IFERROR(__xludf.DUMMYFUNCTION("""COMPUTED_VALUE"""),567.1)</f>
        <v>567.1</v>
      </c>
      <c r="D2745" s="9">
        <f>IFERROR(__xludf.DUMMYFUNCTION("""COMPUTED_VALUE"""),556.92)</f>
        <v>556.92</v>
      </c>
      <c r="E2745" s="9">
        <f>IFERROR(__xludf.DUMMYFUNCTION("""COMPUTED_VALUE"""),563.63)</f>
        <v>563.63</v>
      </c>
      <c r="F2745" s="9">
        <f>IFERROR(__xludf.DUMMYFUNCTION("""COMPUTED_VALUE"""),1987009.0)</f>
        <v>1987009</v>
      </c>
      <c r="H2745" s="27">
        <f>IFERROR(__xludf.DUMMYFUNCTION("""COMPUTED_VALUE"""),42419.64583333333)</f>
        <v>42419.64583</v>
      </c>
      <c r="I2745" s="25">
        <f>IFERROR(__xludf.DUMMYFUNCTION("""COMPUTED_VALUE"""),1153.68)</f>
        <v>1153.68</v>
      </c>
      <c r="J2745" s="25">
        <f>IFERROR(__xludf.DUMMYFUNCTION("""COMPUTED_VALUE"""),1163.5)</f>
        <v>1163.5</v>
      </c>
      <c r="K2745" s="25">
        <f>IFERROR(__xludf.DUMMYFUNCTION("""COMPUTED_VALUE"""),1152.72)</f>
        <v>1152.72</v>
      </c>
      <c r="L2745" s="25">
        <f>IFERROR(__xludf.DUMMYFUNCTION("""COMPUTED_VALUE"""),1159.83)</f>
        <v>1159.83</v>
      </c>
      <c r="M2745" s="25">
        <f>IFERROR(__xludf.DUMMYFUNCTION("""COMPUTED_VALUE"""),439506.0)</f>
        <v>439506</v>
      </c>
    </row>
    <row r="2746">
      <c r="A2746" s="26">
        <f>IFERROR(__xludf.DUMMYFUNCTION("""COMPUTED_VALUE"""),42422.64583333333)</f>
        <v>42422.64583</v>
      </c>
      <c r="B2746" s="9">
        <f>IFERROR(__xludf.DUMMYFUNCTION("""COMPUTED_VALUE"""),565.5)</f>
        <v>565.5</v>
      </c>
      <c r="C2746" s="9">
        <f>IFERROR(__xludf.DUMMYFUNCTION("""COMPUTED_VALUE"""),566.98)</f>
        <v>566.98</v>
      </c>
      <c r="D2746" s="9">
        <f>IFERROR(__xludf.DUMMYFUNCTION("""COMPUTED_VALUE"""),557.03)</f>
        <v>557.03</v>
      </c>
      <c r="E2746" s="9">
        <f>IFERROR(__xludf.DUMMYFUNCTION("""COMPUTED_VALUE"""),563.33)</f>
        <v>563.33</v>
      </c>
      <c r="F2746" s="9">
        <f>IFERROR(__xludf.DUMMYFUNCTION("""COMPUTED_VALUE"""),1928505.0)</f>
        <v>1928505</v>
      </c>
      <c r="H2746" s="27">
        <f>IFERROR(__xludf.DUMMYFUNCTION("""COMPUTED_VALUE"""),42422.64583333333)</f>
        <v>42422.64583</v>
      </c>
      <c r="I2746" s="25">
        <f>IFERROR(__xludf.DUMMYFUNCTION("""COMPUTED_VALUE"""),1160.13)</f>
        <v>1160.13</v>
      </c>
      <c r="J2746" s="25">
        <f>IFERROR(__xludf.DUMMYFUNCTION("""COMPUTED_VALUE"""),1171.5)</f>
        <v>1171.5</v>
      </c>
      <c r="K2746" s="25">
        <f>IFERROR(__xludf.DUMMYFUNCTION("""COMPUTED_VALUE"""),1152.5)</f>
        <v>1152.5</v>
      </c>
      <c r="L2746" s="25">
        <f>IFERROR(__xludf.DUMMYFUNCTION("""COMPUTED_VALUE"""),1157.95)</f>
        <v>1157.95</v>
      </c>
      <c r="M2746" s="25">
        <f>IFERROR(__xludf.DUMMYFUNCTION("""COMPUTED_VALUE"""),662442.0)</f>
        <v>662442</v>
      </c>
    </row>
    <row r="2747">
      <c r="A2747" s="26">
        <f>IFERROR(__xludf.DUMMYFUNCTION("""COMPUTED_VALUE"""),42423.64583333333)</f>
        <v>42423.64583</v>
      </c>
      <c r="B2747" s="9">
        <f>IFERROR(__xludf.DUMMYFUNCTION("""COMPUTED_VALUE"""),565.13)</f>
        <v>565.13</v>
      </c>
      <c r="C2747" s="9">
        <f>IFERROR(__xludf.DUMMYFUNCTION("""COMPUTED_VALUE"""),566.25)</f>
        <v>566.25</v>
      </c>
      <c r="D2747" s="9">
        <f>IFERROR(__xludf.DUMMYFUNCTION("""COMPUTED_VALUE"""),558.03)</f>
        <v>558.03</v>
      </c>
      <c r="E2747" s="9">
        <f>IFERROR(__xludf.DUMMYFUNCTION("""COMPUTED_VALUE"""),561.95)</f>
        <v>561.95</v>
      </c>
      <c r="F2747" s="9">
        <f>IFERROR(__xludf.DUMMYFUNCTION("""COMPUTED_VALUE"""),1250980.0)</f>
        <v>1250980</v>
      </c>
      <c r="H2747" s="27">
        <f>IFERROR(__xludf.DUMMYFUNCTION("""COMPUTED_VALUE"""),42423.64583333333)</f>
        <v>42423.64583</v>
      </c>
      <c r="I2747" s="25">
        <f>IFERROR(__xludf.DUMMYFUNCTION("""COMPUTED_VALUE"""),1155.13)</f>
        <v>1155.13</v>
      </c>
      <c r="J2747" s="25">
        <f>IFERROR(__xludf.DUMMYFUNCTION("""COMPUTED_VALUE"""),1159.95)</f>
        <v>1159.95</v>
      </c>
      <c r="K2747" s="25">
        <f>IFERROR(__xludf.DUMMYFUNCTION("""COMPUTED_VALUE"""),1128.38)</f>
        <v>1128.38</v>
      </c>
      <c r="L2747" s="25">
        <f>IFERROR(__xludf.DUMMYFUNCTION("""COMPUTED_VALUE"""),1132.0)</f>
        <v>1132</v>
      </c>
      <c r="M2747" s="25">
        <f>IFERROR(__xludf.DUMMYFUNCTION("""COMPUTED_VALUE"""),653426.0)</f>
        <v>653426</v>
      </c>
    </row>
    <row r="2748">
      <c r="A2748" s="26">
        <f>IFERROR(__xludf.DUMMYFUNCTION("""COMPUTED_VALUE"""),42424.64583333333)</f>
        <v>42424.64583</v>
      </c>
      <c r="B2748" s="9">
        <f>IFERROR(__xludf.DUMMYFUNCTION("""COMPUTED_VALUE"""),559.75)</f>
        <v>559.75</v>
      </c>
      <c r="C2748" s="9">
        <f>IFERROR(__xludf.DUMMYFUNCTION("""COMPUTED_VALUE"""),571.88)</f>
        <v>571.88</v>
      </c>
      <c r="D2748" s="9">
        <f>IFERROR(__xludf.DUMMYFUNCTION("""COMPUTED_VALUE"""),559.17)</f>
        <v>559.17</v>
      </c>
      <c r="E2748" s="9">
        <f>IFERROR(__xludf.DUMMYFUNCTION("""COMPUTED_VALUE"""),562.67)</f>
        <v>562.67</v>
      </c>
      <c r="F2748" s="9">
        <f>IFERROR(__xludf.DUMMYFUNCTION("""COMPUTED_VALUE"""),2475357.0)</f>
        <v>2475357</v>
      </c>
      <c r="H2748" s="27">
        <f>IFERROR(__xludf.DUMMYFUNCTION("""COMPUTED_VALUE"""),42424.64583333333)</f>
        <v>42424.64583</v>
      </c>
      <c r="I2748" s="25">
        <f>IFERROR(__xludf.DUMMYFUNCTION("""COMPUTED_VALUE"""),1131.22)</f>
        <v>1131.22</v>
      </c>
      <c r="J2748" s="25">
        <f>IFERROR(__xludf.DUMMYFUNCTION("""COMPUTED_VALUE"""),1131.22)</f>
        <v>1131.22</v>
      </c>
      <c r="K2748" s="25">
        <f>IFERROR(__xludf.DUMMYFUNCTION("""COMPUTED_VALUE"""),1100.6)</f>
        <v>1100.6</v>
      </c>
      <c r="L2748" s="25">
        <f>IFERROR(__xludf.DUMMYFUNCTION("""COMPUTED_VALUE"""),1105.47)</f>
        <v>1105.47</v>
      </c>
      <c r="M2748" s="25">
        <f>IFERROR(__xludf.DUMMYFUNCTION("""COMPUTED_VALUE"""),829664.0)</f>
        <v>829664</v>
      </c>
    </row>
    <row r="2749">
      <c r="A2749" s="26">
        <f>IFERROR(__xludf.DUMMYFUNCTION("""COMPUTED_VALUE"""),42425.64583333333)</f>
        <v>42425.64583</v>
      </c>
      <c r="B2749" s="9">
        <f>IFERROR(__xludf.DUMMYFUNCTION("""COMPUTED_VALUE"""),562.7)</f>
        <v>562.7</v>
      </c>
      <c r="C2749" s="9">
        <f>IFERROR(__xludf.DUMMYFUNCTION("""COMPUTED_VALUE"""),565.3)</f>
        <v>565.3</v>
      </c>
      <c r="D2749" s="9">
        <f>IFERROR(__xludf.DUMMYFUNCTION("""COMPUTED_VALUE"""),550.55)</f>
        <v>550.55</v>
      </c>
      <c r="E2749" s="9">
        <f>IFERROR(__xludf.DUMMYFUNCTION("""COMPUTED_VALUE"""),555.15)</f>
        <v>555.15</v>
      </c>
      <c r="F2749" s="9">
        <f>IFERROR(__xludf.DUMMYFUNCTION("""COMPUTED_VALUE"""),2242264.0)</f>
        <v>2242264</v>
      </c>
      <c r="H2749" s="27">
        <f>IFERROR(__xludf.DUMMYFUNCTION("""COMPUTED_VALUE"""),42425.64583333333)</f>
        <v>42425.64583</v>
      </c>
      <c r="I2749" s="25">
        <f>IFERROR(__xludf.DUMMYFUNCTION("""COMPUTED_VALUE"""),1109.9)</f>
        <v>1109.9</v>
      </c>
      <c r="J2749" s="25">
        <f>IFERROR(__xludf.DUMMYFUNCTION("""COMPUTED_VALUE"""),1114.0)</f>
        <v>1114</v>
      </c>
      <c r="K2749" s="25">
        <f>IFERROR(__xludf.DUMMYFUNCTION("""COMPUTED_VALUE"""),1092.83)</f>
        <v>1092.83</v>
      </c>
      <c r="L2749" s="25">
        <f>IFERROR(__xludf.DUMMYFUNCTION("""COMPUTED_VALUE"""),1106.43)</f>
        <v>1106.43</v>
      </c>
      <c r="M2749" s="25">
        <f>IFERROR(__xludf.DUMMYFUNCTION("""COMPUTED_VALUE"""),915278.0)</f>
        <v>915278</v>
      </c>
    </row>
    <row r="2750">
      <c r="A2750" s="26">
        <f>IFERROR(__xludf.DUMMYFUNCTION("""COMPUTED_VALUE"""),42426.64583333333)</f>
        <v>42426.64583</v>
      </c>
      <c r="B2750" s="9">
        <f>IFERROR(__xludf.DUMMYFUNCTION("""COMPUTED_VALUE"""),560.08)</f>
        <v>560.08</v>
      </c>
      <c r="C2750" s="9">
        <f>IFERROR(__xludf.DUMMYFUNCTION("""COMPUTED_VALUE"""),566.0)</f>
        <v>566</v>
      </c>
      <c r="D2750" s="9">
        <f>IFERROR(__xludf.DUMMYFUNCTION("""COMPUTED_VALUE"""),558.0)</f>
        <v>558</v>
      </c>
      <c r="E2750" s="9">
        <f>IFERROR(__xludf.DUMMYFUNCTION("""COMPUTED_VALUE"""),560.58)</f>
        <v>560.58</v>
      </c>
      <c r="F2750" s="9">
        <f>IFERROR(__xludf.DUMMYFUNCTION("""COMPUTED_VALUE"""),2117818.0)</f>
        <v>2117818</v>
      </c>
      <c r="H2750" s="27">
        <f>IFERROR(__xludf.DUMMYFUNCTION("""COMPUTED_VALUE"""),42426.64583333333)</f>
        <v>42426.64583</v>
      </c>
      <c r="I2750" s="25">
        <f>IFERROR(__xludf.DUMMYFUNCTION("""COMPUTED_VALUE"""),1114.85)</f>
        <v>1114.85</v>
      </c>
      <c r="J2750" s="25">
        <f>IFERROR(__xludf.DUMMYFUNCTION("""COMPUTED_VALUE"""),1128.45)</f>
        <v>1128.45</v>
      </c>
      <c r="K2750" s="25">
        <f>IFERROR(__xludf.DUMMYFUNCTION("""COMPUTED_VALUE"""),1099.8)</f>
        <v>1099.8</v>
      </c>
      <c r="L2750" s="25">
        <f>IFERROR(__xludf.DUMMYFUNCTION("""COMPUTED_VALUE"""),1105.25)</f>
        <v>1105.25</v>
      </c>
      <c r="M2750" s="25">
        <f>IFERROR(__xludf.DUMMYFUNCTION("""COMPUTED_VALUE"""),768768.0)</f>
        <v>768768</v>
      </c>
    </row>
    <row r="2751">
      <c r="A2751" s="26">
        <f>IFERROR(__xludf.DUMMYFUNCTION("""COMPUTED_VALUE"""),42429.64583333333)</f>
        <v>42429.64583</v>
      </c>
      <c r="B2751" s="9">
        <f>IFERROR(__xludf.DUMMYFUNCTION("""COMPUTED_VALUE"""),564.75)</f>
        <v>564.75</v>
      </c>
      <c r="C2751" s="9">
        <f>IFERROR(__xludf.DUMMYFUNCTION("""COMPUTED_VALUE"""),565.2)</f>
        <v>565.2</v>
      </c>
      <c r="D2751" s="9">
        <f>IFERROR(__xludf.DUMMYFUNCTION("""COMPUTED_VALUE"""),534.15)</f>
        <v>534.15</v>
      </c>
      <c r="E2751" s="9">
        <f>IFERROR(__xludf.DUMMYFUNCTION("""COMPUTED_VALUE"""),542.03)</f>
        <v>542.03</v>
      </c>
      <c r="F2751" s="9">
        <f>IFERROR(__xludf.DUMMYFUNCTION("""COMPUTED_VALUE"""),4083038.0)</f>
        <v>4083038</v>
      </c>
      <c r="H2751" s="27">
        <f>IFERROR(__xludf.DUMMYFUNCTION("""COMPUTED_VALUE"""),42429.64583333333)</f>
        <v>42429.64583</v>
      </c>
      <c r="I2751" s="25">
        <f>IFERROR(__xludf.DUMMYFUNCTION("""COMPUTED_VALUE"""),1118.5)</f>
        <v>1118.5</v>
      </c>
      <c r="J2751" s="25">
        <f>IFERROR(__xludf.DUMMYFUNCTION("""COMPUTED_VALUE"""),1118.5)</f>
        <v>1118.5</v>
      </c>
      <c r="K2751" s="25">
        <f>IFERROR(__xludf.DUMMYFUNCTION("""COMPUTED_VALUE"""),1057.5)</f>
        <v>1057.5</v>
      </c>
      <c r="L2751" s="25">
        <f>IFERROR(__xludf.DUMMYFUNCTION("""COMPUTED_VALUE"""),1088.4)</f>
        <v>1088.4</v>
      </c>
      <c r="M2751" s="25">
        <f>IFERROR(__xludf.DUMMYFUNCTION("""COMPUTED_VALUE"""),1095859.0)</f>
        <v>1095859</v>
      </c>
    </row>
    <row r="2752">
      <c r="A2752" s="26">
        <f>IFERROR(__xludf.DUMMYFUNCTION("""COMPUTED_VALUE"""),42430.64583333333)</f>
        <v>42430.64583</v>
      </c>
      <c r="B2752" s="9">
        <f>IFERROR(__xludf.DUMMYFUNCTION("""COMPUTED_VALUE"""),547.4)</f>
        <v>547.4</v>
      </c>
      <c r="C2752" s="9">
        <f>IFERROR(__xludf.DUMMYFUNCTION("""COMPUTED_VALUE"""),565.15)</f>
        <v>565.15</v>
      </c>
      <c r="D2752" s="9">
        <f>IFERROR(__xludf.DUMMYFUNCTION("""COMPUTED_VALUE"""),547.4)</f>
        <v>547.4</v>
      </c>
      <c r="E2752" s="9">
        <f>IFERROR(__xludf.DUMMYFUNCTION("""COMPUTED_VALUE"""),562.73)</f>
        <v>562.73</v>
      </c>
      <c r="F2752" s="9">
        <f>IFERROR(__xludf.DUMMYFUNCTION("""COMPUTED_VALUE"""),3193077.0)</f>
        <v>3193077</v>
      </c>
      <c r="H2752" s="27">
        <f>IFERROR(__xludf.DUMMYFUNCTION("""COMPUTED_VALUE"""),42430.64583333333)</f>
        <v>42430.64583</v>
      </c>
      <c r="I2752" s="25">
        <f>IFERROR(__xludf.DUMMYFUNCTION("""COMPUTED_VALUE"""),1096.5)</f>
        <v>1096.5</v>
      </c>
      <c r="J2752" s="25">
        <f>IFERROR(__xludf.DUMMYFUNCTION("""COMPUTED_VALUE"""),1142.55)</f>
        <v>1142.55</v>
      </c>
      <c r="K2752" s="25">
        <f>IFERROR(__xludf.DUMMYFUNCTION("""COMPUTED_VALUE"""),1081.0)</f>
        <v>1081</v>
      </c>
      <c r="L2752" s="25">
        <f>IFERROR(__xludf.DUMMYFUNCTION("""COMPUTED_VALUE"""),1138.33)</f>
        <v>1138.33</v>
      </c>
      <c r="M2752" s="25">
        <f>IFERROR(__xludf.DUMMYFUNCTION("""COMPUTED_VALUE"""),999880.0)</f>
        <v>999880</v>
      </c>
    </row>
    <row r="2753">
      <c r="A2753" s="26">
        <f>IFERROR(__xludf.DUMMYFUNCTION("""COMPUTED_VALUE"""),42431.64583333333)</f>
        <v>42431.64583</v>
      </c>
      <c r="B2753" s="9">
        <f>IFERROR(__xludf.DUMMYFUNCTION("""COMPUTED_VALUE"""),568.53)</f>
        <v>568.53</v>
      </c>
      <c r="C2753" s="9">
        <f>IFERROR(__xludf.DUMMYFUNCTION("""COMPUTED_VALUE"""),581.75)</f>
        <v>581.75</v>
      </c>
      <c r="D2753" s="9">
        <f>IFERROR(__xludf.DUMMYFUNCTION("""COMPUTED_VALUE"""),562.5)</f>
        <v>562.5</v>
      </c>
      <c r="E2753" s="9">
        <f>IFERROR(__xludf.DUMMYFUNCTION("""COMPUTED_VALUE"""),578.0)</f>
        <v>578</v>
      </c>
      <c r="F2753" s="9">
        <f>IFERROR(__xludf.DUMMYFUNCTION("""COMPUTED_VALUE"""),3607449.0)</f>
        <v>3607449</v>
      </c>
      <c r="H2753" s="27">
        <f>IFERROR(__xludf.DUMMYFUNCTION("""COMPUTED_VALUE"""),42431.64583333333)</f>
        <v>42431.64583</v>
      </c>
      <c r="I2753" s="25">
        <f>IFERROR(__xludf.DUMMYFUNCTION("""COMPUTED_VALUE"""),1152.5)</f>
        <v>1152.5</v>
      </c>
      <c r="J2753" s="25">
        <f>IFERROR(__xludf.DUMMYFUNCTION("""COMPUTED_VALUE"""),1165.0)</f>
        <v>1165</v>
      </c>
      <c r="K2753" s="25">
        <f>IFERROR(__xludf.DUMMYFUNCTION("""COMPUTED_VALUE"""),1128.13)</f>
        <v>1128.13</v>
      </c>
      <c r="L2753" s="25">
        <f>IFERROR(__xludf.DUMMYFUNCTION("""COMPUTED_VALUE"""),1159.43)</f>
        <v>1159.43</v>
      </c>
      <c r="M2753" s="25">
        <f>IFERROR(__xludf.DUMMYFUNCTION("""COMPUTED_VALUE"""),763743.0)</f>
        <v>763743</v>
      </c>
    </row>
    <row r="2754">
      <c r="A2754" s="26">
        <f>IFERROR(__xludf.DUMMYFUNCTION("""COMPUTED_VALUE"""),42432.64583333333)</f>
        <v>42432.64583</v>
      </c>
      <c r="B2754" s="9">
        <f>IFERROR(__xludf.DUMMYFUNCTION("""COMPUTED_VALUE"""),584.0)</f>
        <v>584</v>
      </c>
      <c r="C2754" s="9">
        <f>IFERROR(__xludf.DUMMYFUNCTION("""COMPUTED_VALUE"""),596.42)</f>
        <v>596.42</v>
      </c>
      <c r="D2754" s="9">
        <f>IFERROR(__xludf.DUMMYFUNCTION("""COMPUTED_VALUE"""),577.0)</f>
        <v>577</v>
      </c>
      <c r="E2754" s="9">
        <f>IFERROR(__xludf.DUMMYFUNCTION("""COMPUTED_VALUE"""),584.65)</f>
        <v>584.65</v>
      </c>
      <c r="F2754" s="9">
        <f>IFERROR(__xludf.DUMMYFUNCTION("""COMPUTED_VALUE"""),2907152.0)</f>
        <v>2907152</v>
      </c>
      <c r="H2754" s="27">
        <f>IFERROR(__xludf.DUMMYFUNCTION("""COMPUTED_VALUE"""),42432.64583333333)</f>
        <v>42432.64583</v>
      </c>
      <c r="I2754" s="25">
        <f>IFERROR(__xludf.DUMMYFUNCTION("""COMPUTED_VALUE"""),1168.0)</f>
        <v>1168</v>
      </c>
      <c r="J2754" s="25">
        <f>IFERROR(__xludf.DUMMYFUNCTION("""COMPUTED_VALUE"""),1195.5)</f>
        <v>1195.5</v>
      </c>
      <c r="K2754" s="25">
        <f>IFERROR(__xludf.DUMMYFUNCTION("""COMPUTED_VALUE"""),1150.5)</f>
        <v>1150.5</v>
      </c>
      <c r="L2754" s="25">
        <f>IFERROR(__xludf.DUMMYFUNCTION("""COMPUTED_VALUE"""),1186.58)</f>
        <v>1186.58</v>
      </c>
      <c r="M2754" s="25">
        <f>IFERROR(__xludf.DUMMYFUNCTION("""COMPUTED_VALUE"""),1324142.0)</f>
        <v>1324142</v>
      </c>
    </row>
    <row r="2755">
      <c r="A2755" s="26">
        <f>IFERROR(__xludf.DUMMYFUNCTION("""COMPUTED_VALUE"""),42433.64583333333)</f>
        <v>42433.64583</v>
      </c>
      <c r="B2755" s="9">
        <f>IFERROR(__xludf.DUMMYFUNCTION("""COMPUTED_VALUE"""),587.8)</f>
        <v>587.8</v>
      </c>
      <c r="C2755" s="9">
        <f>IFERROR(__xludf.DUMMYFUNCTION("""COMPUTED_VALUE"""),592.5)</f>
        <v>592.5</v>
      </c>
      <c r="D2755" s="9">
        <f>IFERROR(__xludf.DUMMYFUNCTION("""COMPUTED_VALUE"""),579.55)</f>
        <v>579.55</v>
      </c>
      <c r="E2755" s="9">
        <f>IFERROR(__xludf.DUMMYFUNCTION("""COMPUTED_VALUE"""),585.33)</f>
        <v>585.33</v>
      </c>
      <c r="F2755" s="9">
        <f>IFERROR(__xludf.DUMMYFUNCTION("""COMPUTED_VALUE"""),2140840.0)</f>
        <v>2140840</v>
      </c>
      <c r="H2755" s="27">
        <f>IFERROR(__xludf.DUMMYFUNCTION("""COMPUTED_VALUE"""),42433.64583333333)</f>
        <v>42433.64583</v>
      </c>
      <c r="I2755" s="25">
        <f>IFERROR(__xludf.DUMMYFUNCTION("""COMPUTED_VALUE"""),1190.0)</f>
        <v>1190</v>
      </c>
      <c r="J2755" s="25">
        <f>IFERROR(__xludf.DUMMYFUNCTION("""COMPUTED_VALUE"""),1190.0)</f>
        <v>1190</v>
      </c>
      <c r="K2755" s="25">
        <f>IFERROR(__xludf.DUMMYFUNCTION("""COMPUTED_VALUE"""),1174.78)</f>
        <v>1174.78</v>
      </c>
      <c r="L2755" s="25">
        <f>IFERROR(__xludf.DUMMYFUNCTION("""COMPUTED_VALUE"""),1178.78)</f>
        <v>1178.78</v>
      </c>
      <c r="M2755" s="25">
        <f>IFERROR(__xludf.DUMMYFUNCTION("""COMPUTED_VALUE"""),756483.0)</f>
        <v>756483</v>
      </c>
    </row>
    <row r="2756">
      <c r="A2756" s="26">
        <f>IFERROR(__xludf.DUMMYFUNCTION("""COMPUTED_VALUE"""),42437.64583333333)</f>
        <v>42437.64583</v>
      </c>
      <c r="B2756" s="9">
        <f>IFERROR(__xludf.DUMMYFUNCTION("""COMPUTED_VALUE"""),581.5)</f>
        <v>581.5</v>
      </c>
      <c r="C2756" s="9">
        <f>IFERROR(__xludf.DUMMYFUNCTION("""COMPUTED_VALUE"""),595.25)</f>
        <v>595.25</v>
      </c>
      <c r="D2756" s="9">
        <f>IFERROR(__xludf.DUMMYFUNCTION("""COMPUTED_VALUE"""),573.7)</f>
        <v>573.7</v>
      </c>
      <c r="E2756" s="9">
        <f>IFERROR(__xludf.DUMMYFUNCTION("""COMPUTED_VALUE"""),581.73)</f>
        <v>581.73</v>
      </c>
      <c r="F2756" s="9">
        <f>IFERROR(__xludf.DUMMYFUNCTION("""COMPUTED_VALUE"""),3808873.0)</f>
        <v>3808873</v>
      </c>
      <c r="H2756" s="27">
        <f>IFERROR(__xludf.DUMMYFUNCTION("""COMPUTED_VALUE"""),42437.64583333333)</f>
        <v>42437.64583</v>
      </c>
      <c r="I2756" s="25">
        <f>IFERROR(__xludf.DUMMYFUNCTION("""COMPUTED_VALUE"""),1171.05)</f>
        <v>1171.05</v>
      </c>
      <c r="J2756" s="25">
        <f>IFERROR(__xludf.DUMMYFUNCTION("""COMPUTED_VALUE"""),1183.5)</f>
        <v>1183.5</v>
      </c>
      <c r="K2756" s="25">
        <f>IFERROR(__xludf.DUMMYFUNCTION("""COMPUTED_VALUE"""),1152.1)</f>
        <v>1152.1</v>
      </c>
      <c r="L2756" s="25">
        <f>IFERROR(__xludf.DUMMYFUNCTION("""COMPUTED_VALUE"""),1177.15)</f>
        <v>1177.15</v>
      </c>
      <c r="M2756" s="25">
        <f>IFERROR(__xludf.DUMMYFUNCTION("""COMPUTED_VALUE"""),634076.0)</f>
        <v>634076</v>
      </c>
    </row>
    <row r="2757">
      <c r="A2757" s="26">
        <f>IFERROR(__xludf.DUMMYFUNCTION("""COMPUTED_VALUE"""),42438.64583333333)</f>
        <v>42438.64583</v>
      </c>
      <c r="B2757" s="9">
        <f>IFERROR(__xludf.DUMMYFUNCTION("""COMPUTED_VALUE"""),572.5)</f>
        <v>572.5</v>
      </c>
      <c r="C2757" s="9">
        <f>IFERROR(__xludf.DUMMYFUNCTION("""COMPUTED_VALUE"""),591.88)</f>
        <v>591.88</v>
      </c>
      <c r="D2757" s="9">
        <f>IFERROR(__xludf.DUMMYFUNCTION("""COMPUTED_VALUE"""),571.48)</f>
        <v>571.48</v>
      </c>
      <c r="E2757" s="9">
        <f>IFERROR(__xludf.DUMMYFUNCTION("""COMPUTED_VALUE"""),589.25)</f>
        <v>589.25</v>
      </c>
      <c r="F2757" s="9">
        <f>IFERROR(__xludf.DUMMYFUNCTION("""COMPUTED_VALUE"""),3152891.0)</f>
        <v>3152891</v>
      </c>
      <c r="H2757" s="27">
        <f>IFERROR(__xludf.DUMMYFUNCTION("""COMPUTED_VALUE"""),42438.64583333333)</f>
        <v>42438.64583</v>
      </c>
      <c r="I2757" s="25">
        <f>IFERROR(__xludf.DUMMYFUNCTION("""COMPUTED_VALUE"""),1170.5)</f>
        <v>1170.5</v>
      </c>
      <c r="J2757" s="25">
        <f>IFERROR(__xludf.DUMMYFUNCTION("""COMPUTED_VALUE"""),1184.7)</f>
        <v>1184.7</v>
      </c>
      <c r="K2757" s="25">
        <f>IFERROR(__xludf.DUMMYFUNCTION("""COMPUTED_VALUE"""),1147.58)</f>
        <v>1147.58</v>
      </c>
      <c r="L2757" s="25">
        <f>IFERROR(__xludf.DUMMYFUNCTION("""COMPUTED_VALUE"""),1178.63)</f>
        <v>1178.63</v>
      </c>
      <c r="M2757" s="25">
        <f>IFERROR(__xludf.DUMMYFUNCTION("""COMPUTED_VALUE"""),1008892.0)</f>
        <v>1008892</v>
      </c>
    </row>
    <row r="2758">
      <c r="A2758" s="26">
        <f>IFERROR(__xludf.DUMMYFUNCTION("""COMPUTED_VALUE"""),42439.64583333333)</f>
        <v>42439.64583</v>
      </c>
      <c r="B2758" s="9">
        <f>IFERROR(__xludf.DUMMYFUNCTION("""COMPUTED_VALUE"""),581.45)</f>
        <v>581.45</v>
      </c>
      <c r="C2758" s="9">
        <f>IFERROR(__xludf.DUMMYFUNCTION("""COMPUTED_VALUE"""),581.45)</f>
        <v>581.45</v>
      </c>
      <c r="D2758" s="9">
        <f>IFERROR(__xludf.DUMMYFUNCTION("""COMPUTED_VALUE"""),569.67)</f>
        <v>569.67</v>
      </c>
      <c r="E2758" s="9">
        <f>IFERROR(__xludf.DUMMYFUNCTION("""COMPUTED_VALUE"""),571.25)</f>
        <v>571.25</v>
      </c>
      <c r="F2758" s="9">
        <f>IFERROR(__xludf.DUMMYFUNCTION("""COMPUTED_VALUE"""),1.2190508E7)</f>
        <v>12190508</v>
      </c>
      <c r="H2758" s="27">
        <f>IFERROR(__xludf.DUMMYFUNCTION("""COMPUTED_VALUE"""),42439.64583333333)</f>
        <v>42439.64583</v>
      </c>
      <c r="I2758" s="25">
        <f>IFERROR(__xludf.DUMMYFUNCTION("""COMPUTED_VALUE"""),1178.03)</f>
        <v>1178.03</v>
      </c>
      <c r="J2758" s="25">
        <f>IFERROR(__xludf.DUMMYFUNCTION("""COMPUTED_VALUE"""),1179.93)</f>
        <v>1179.93</v>
      </c>
      <c r="K2758" s="25">
        <f>IFERROR(__xludf.DUMMYFUNCTION("""COMPUTED_VALUE"""),1157.47)</f>
        <v>1157.47</v>
      </c>
      <c r="L2758" s="25">
        <f>IFERROR(__xludf.DUMMYFUNCTION("""COMPUTED_VALUE"""),1174.15)</f>
        <v>1174.15</v>
      </c>
      <c r="M2758" s="25">
        <f>IFERROR(__xludf.DUMMYFUNCTION("""COMPUTED_VALUE"""),830833.0)</f>
        <v>830833</v>
      </c>
    </row>
    <row r="2759">
      <c r="A2759" s="26">
        <f>IFERROR(__xludf.DUMMYFUNCTION("""COMPUTED_VALUE"""),42440.64583333333)</f>
        <v>42440.64583</v>
      </c>
      <c r="B2759" s="9">
        <f>IFERROR(__xludf.DUMMYFUNCTION("""COMPUTED_VALUE"""),573.1)</f>
        <v>573.1</v>
      </c>
      <c r="C2759" s="9">
        <f>IFERROR(__xludf.DUMMYFUNCTION("""COMPUTED_VALUE"""),577.98)</f>
        <v>577.98</v>
      </c>
      <c r="D2759" s="9">
        <f>IFERROR(__xludf.DUMMYFUNCTION("""COMPUTED_VALUE"""),569.1)</f>
        <v>569.1</v>
      </c>
      <c r="E2759" s="9">
        <f>IFERROR(__xludf.DUMMYFUNCTION("""COMPUTED_VALUE"""),571.5)</f>
        <v>571.5</v>
      </c>
      <c r="F2759" s="9">
        <f>IFERROR(__xludf.DUMMYFUNCTION("""COMPUTED_VALUE"""),2029274.0)</f>
        <v>2029274</v>
      </c>
      <c r="H2759" s="27">
        <f>IFERROR(__xludf.DUMMYFUNCTION("""COMPUTED_VALUE"""),42440.64583333333)</f>
        <v>42440.64583</v>
      </c>
      <c r="I2759" s="25">
        <f>IFERROR(__xludf.DUMMYFUNCTION("""COMPUTED_VALUE"""),1170.0)</f>
        <v>1170</v>
      </c>
      <c r="J2759" s="25">
        <f>IFERROR(__xludf.DUMMYFUNCTION("""COMPUTED_VALUE"""),1195.43)</f>
        <v>1195.43</v>
      </c>
      <c r="K2759" s="25">
        <f>IFERROR(__xludf.DUMMYFUNCTION("""COMPUTED_VALUE"""),1167.5)</f>
        <v>1167.5</v>
      </c>
      <c r="L2759" s="25">
        <f>IFERROR(__xludf.DUMMYFUNCTION("""COMPUTED_VALUE"""),1182.63)</f>
        <v>1182.63</v>
      </c>
      <c r="M2759" s="25">
        <f>IFERROR(__xludf.DUMMYFUNCTION("""COMPUTED_VALUE"""),765264.0)</f>
        <v>765264</v>
      </c>
    </row>
    <row r="2760">
      <c r="A2760" s="26">
        <f>IFERROR(__xludf.DUMMYFUNCTION("""COMPUTED_VALUE"""),42443.64583333333)</f>
        <v>42443.64583</v>
      </c>
      <c r="B2760" s="9">
        <f>IFERROR(__xludf.DUMMYFUNCTION("""COMPUTED_VALUE"""),573.0)</f>
        <v>573</v>
      </c>
      <c r="C2760" s="9">
        <f>IFERROR(__xludf.DUMMYFUNCTION("""COMPUTED_VALUE"""),577.13)</f>
        <v>577.13</v>
      </c>
      <c r="D2760" s="9">
        <f>IFERROR(__xludf.DUMMYFUNCTION("""COMPUTED_VALUE"""),569.25)</f>
        <v>569.25</v>
      </c>
      <c r="E2760" s="9">
        <f>IFERROR(__xludf.DUMMYFUNCTION("""COMPUTED_VALUE"""),570.6)</f>
        <v>570.6</v>
      </c>
      <c r="F2760" s="9">
        <f>IFERROR(__xludf.DUMMYFUNCTION("""COMPUTED_VALUE"""),2087131.0)</f>
        <v>2087131</v>
      </c>
      <c r="H2760" s="27">
        <f>IFERROR(__xludf.DUMMYFUNCTION("""COMPUTED_VALUE"""),42443.64583333333)</f>
        <v>42443.64583</v>
      </c>
      <c r="I2760" s="25">
        <f>IFERROR(__xludf.DUMMYFUNCTION("""COMPUTED_VALUE"""),1181.0)</f>
        <v>1181</v>
      </c>
      <c r="J2760" s="25">
        <f>IFERROR(__xludf.DUMMYFUNCTION("""COMPUTED_VALUE"""),1199.0)</f>
        <v>1199</v>
      </c>
      <c r="K2760" s="25">
        <f>IFERROR(__xludf.DUMMYFUNCTION("""COMPUTED_VALUE"""),1170.0)</f>
        <v>1170</v>
      </c>
      <c r="L2760" s="25">
        <f>IFERROR(__xludf.DUMMYFUNCTION("""COMPUTED_VALUE"""),1177.5)</f>
        <v>1177.5</v>
      </c>
      <c r="M2760" s="25">
        <f>IFERROR(__xludf.DUMMYFUNCTION("""COMPUTED_VALUE"""),818371.0)</f>
        <v>818371</v>
      </c>
    </row>
    <row r="2761">
      <c r="A2761" s="26">
        <f>IFERROR(__xludf.DUMMYFUNCTION("""COMPUTED_VALUE"""),42444.64583333333)</f>
        <v>42444.64583</v>
      </c>
      <c r="B2761" s="9">
        <f>IFERROR(__xludf.DUMMYFUNCTION("""COMPUTED_VALUE"""),572.0)</f>
        <v>572</v>
      </c>
      <c r="C2761" s="9">
        <f>IFERROR(__xludf.DUMMYFUNCTION("""COMPUTED_VALUE"""),577.25)</f>
        <v>577.25</v>
      </c>
      <c r="D2761" s="9">
        <f>IFERROR(__xludf.DUMMYFUNCTION("""COMPUTED_VALUE"""),564.48)</f>
        <v>564.48</v>
      </c>
      <c r="E2761" s="9">
        <f>IFERROR(__xludf.DUMMYFUNCTION("""COMPUTED_VALUE"""),567.2)</f>
        <v>567.2</v>
      </c>
      <c r="F2761" s="9">
        <f>IFERROR(__xludf.DUMMYFUNCTION("""COMPUTED_VALUE"""),3360129.0)</f>
        <v>3360129</v>
      </c>
      <c r="H2761" s="27">
        <f>IFERROR(__xludf.DUMMYFUNCTION("""COMPUTED_VALUE"""),42444.64583333333)</f>
        <v>42444.64583</v>
      </c>
      <c r="I2761" s="25">
        <f>IFERROR(__xludf.DUMMYFUNCTION("""COMPUTED_VALUE"""),1174.53)</f>
        <v>1174.53</v>
      </c>
      <c r="J2761" s="25">
        <f>IFERROR(__xludf.DUMMYFUNCTION("""COMPUTED_VALUE"""),1181.75)</f>
        <v>1181.75</v>
      </c>
      <c r="K2761" s="25">
        <f>IFERROR(__xludf.DUMMYFUNCTION("""COMPUTED_VALUE"""),1160.05)</f>
        <v>1160.05</v>
      </c>
      <c r="L2761" s="25">
        <f>IFERROR(__xludf.DUMMYFUNCTION("""COMPUTED_VALUE"""),1164.95)</f>
        <v>1164.95</v>
      </c>
      <c r="M2761" s="25">
        <f>IFERROR(__xludf.DUMMYFUNCTION("""COMPUTED_VALUE"""),811678.0)</f>
        <v>811678</v>
      </c>
    </row>
    <row r="2762">
      <c r="A2762" s="26">
        <f>IFERROR(__xludf.DUMMYFUNCTION("""COMPUTED_VALUE"""),42445.64583333333)</f>
        <v>42445.64583</v>
      </c>
      <c r="B2762" s="9">
        <f>IFERROR(__xludf.DUMMYFUNCTION("""COMPUTED_VALUE"""),570.95)</f>
        <v>570.95</v>
      </c>
      <c r="C2762" s="9">
        <f>IFERROR(__xludf.DUMMYFUNCTION("""COMPUTED_VALUE"""),577.5)</f>
        <v>577.5</v>
      </c>
      <c r="D2762" s="9">
        <f>IFERROR(__xludf.DUMMYFUNCTION("""COMPUTED_VALUE"""),565.78)</f>
        <v>565.78</v>
      </c>
      <c r="E2762" s="9">
        <f>IFERROR(__xludf.DUMMYFUNCTION("""COMPUTED_VALUE"""),576.23)</f>
        <v>576.23</v>
      </c>
      <c r="F2762" s="9">
        <f>IFERROR(__xludf.DUMMYFUNCTION("""COMPUTED_VALUE"""),2794425.0)</f>
        <v>2794425</v>
      </c>
      <c r="H2762" s="27">
        <f>IFERROR(__xludf.DUMMYFUNCTION("""COMPUTED_VALUE"""),42445.64583333333)</f>
        <v>42445.64583</v>
      </c>
      <c r="I2762" s="25">
        <f>IFERROR(__xludf.DUMMYFUNCTION("""COMPUTED_VALUE"""),1157.5)</f>
        <v>1157.5</v>
      </c>
      <c r="J2762" s="25">
        <f>IFERROR(__xludf.DUMMYFUNCTION("""COMPUTED_VALUE"""),1166.0)</f>
        <v>1166</v>
      </c>
      <c r="K2762" s="25">
        <f>IFERROR(__xludf.DUMMYFUNCTION("""COMPUTED_VALUE"""),1153.45)</f>
        <v>1153.45</v>
      </c>
      <c r="L2762" s="25">
        <f>IFERROR(__xludf.DUMMYFUNCTION("""COMPUTED_VALUE"""),1163.53)</f>
        <v>1163.53</v>
      </c>
      <c r="M2762" s="25">
        <f>IFERROR(__xludf.DUMMYFUNCTION("""COMPUTED_VALUE"""),959123.0)</f>
        <v>959123</v>
      </c>
    </row>
    <row r="2763">
      <c r="A2763" s="26">
        <f>IFERROR(__xludf.DUMMYFUNCTION("""COMPUTED_VALUE"""),42446.64583333333)</f>
        <v>42446.64583</v>
      </c>
      <c r="B2763" s="9">
        <f>IFERROR(__xludf.DUMMYFUNCTION("""COMPUTED_VALUE"""),578.45)</f>
        <v>578.45</v>
      </c>
      <c r="C2763" s="9">
        <f>IFERROR(__xludf.DUMMYFUNCTION("""COMPUTED_VALUE"""),584.88)</f>
        <v>584.88</v>
      </c>
      <c r="D2763" s="9">
        <f>IFERROR(__xludf.DUMMYFUNCTION("""COMPUTED_VALUE"""),577.03)</f>
        <v>577.03</v>
      </c>
      <c r="E2763" s="9">
        <f>IFERROR(__xludf.DUMMYFUNCTION("""COMPUTED_VALUE"""),580.88)</f>
        <v>580.88</v>
      </c>
      <c r="F2763" s="9">
        <f>IFERROR(__xludf.DUMMYFUNCTION("""COMPUTED_VALUE"""),3237311.0)</f>
        <v>3237311</v>
      </c>
      <c r="H2763" s="27">
        <f>IFERROR(__xludf.DUMMYFUNCTION("""COMPUTED_VALUE"""),42446.64583333333)</f>
        <v>42446.64583</v>
      </c>
      <c r="I2763" s="25">
        <f>IFERROR(__xludf.DUMMYFUNCTION("""COMPUTED_VALUE"""),1167.0)</f>
        <v>1167</v>
      </c>
      <c r="J2763" s="25">
        <f>IFERROR(__xludf.DUMMYFUNCTION("""COMPUTED_VALUE"""),1180.9)</f>
        <v>1180.9</v>
      </c>
      <c r="K2763" s="25">
        <f>IFERROR(__xludf.DUMMYFUNCTION("""COMPUTED_VALUE"""),1166.0)</f>
        <v>1166</v>
      </c>
      <c r="L2763" s="25">
        <f>IFERROR(__xludf.DUMMYFUNCTION("""COMPUTED_VALUE"""),1176.03)</f>
        <v>1176.03</v>
      </c>
      <c r="M2763" s="25">
        <f>IFERROR(__xludf.DUMMYFUNCTION("""COMPUTED_VALUE"""),1110544.0)</f>
        <v>1110544</v>
      </c>
    </row>
    <row r="2764">
      <c r="A2764" s="26">
        <f>IFERROR(__xludf.DUMMYFUNCTION("""COMPUTED_VALUE"""),42447.64583333333)</f>
        <v>42447.64583</v>
      </c>
      <c r="B2764" s="9">
        <f>IFERROR(__xludf.DUMMYFUNCTION("""COMPUTED_VALUE"""),581.4)</f>
        <v>581.4</v>
      </c>
      <c r="C2764" s="9">
        <f>IFERROR(__xludf.DUMMYFUNCTION("""COMPUTED_VALUE"""),599.5)</f>
        <v>599.5</v>
      </c>
      <c r="D2764" s="9">
        <f>IFERROR(__xludf.DUMMYFUNCTION("""COMPUTED_VALUE"""),581.0)</f>
        <v>581</v>
      </c>
      <c r="E2764" s="9">
        <f>IFERROR(__xludf.DUMMYFUNCTION("""COMPUTED_VALUE"""),596.7)</f>
        <v>596.7</v>
      </c>
      <c r="F2764" s="9">
        <f>IFERROR(__xludf.DUMMYFUNCTION("""COMPUTED_VALUE"""),4238711.0)</f>
        <v>4238711</v>
      </c>
      <c r="H2764" s="27">
        <f>IFERROR(__xludf.DUMMYFUNCTION("""COMPUTED_VALUE"""),42447.64583333333)</f>
        <v>42447.64583</v>
      </c>
      <c r="I2764" s="25">
        <f>IFERROR(__xludf.DUMMYFUNCTION("""COMPUTED_VALUE"""),1180.0)</f>
        <v>1180</v>
      </c>
      <c r="J2764" s="25">
        <f>IFERROR(__xludf.DUMMYFUNCTION("""COMPUTED_VALUE"""),1215.0)</f>
        <v>1215</v>
      </c>
      <c r="K2764" s="25">
        <f>IFERROR(__xludf.DUMMYFUNCTION("""COMPUTED_VALUE"""),1180.0)</f>
        <v>1180</v>
      </c>
      <c r="L2764" s="25">
        <f>IFERROR(__xludf.DUMMYFUNCTION("""COMPUTED_VALUE"""),1212.93)</f>
        <v>1212.93</v>
      </c>
      <c r="M2764" s="25">
        <f>IFERROR(__xludf.DUMMYFUNCTION("""COMPUTED_VALUE"""),1602035.0)</f>
        <v>1602035</v>
      </c>
    </row>
    <row r="2765">
      <c r="A2765" s="26">
        <f>IFERROR(__xludf.DUMMYFUNCTION("""COMPUTED_VALUE"""),42450.64583333333)</f>
        <v>42450.64583</v>
      </c>
      <c r="B2765" s="9">
        <f>IFERROR(__xludf.DUMMYFUNCTION("""COMPUTED_VALUE"""),594.0)</f>
        <v>594</v>
      </c>
      <c r="C2765" s="9">
        <f>IFERROR(__xludf.DUMMYFUNCTION("""COMPUTED_VALUE"""),599.5)</f>
        <v>599.5</v>
      </c>
      <c r="D2765" s="9">
        <f>IFERROR(__xludf.DUMMYFUNCTION("""COMPUTED_VALUE"""),590.03)</f>
        <v>590.03</v>
      </c>
      <c r="E2765" s="9">
        <f>IFERROR(__xludf.DUMMYFUNCTION("""COMPUTED_VALUE"""),597.45)</f>
        <v>597.45</v>
      </c>
      <c r="F2765" s="9">
        <f>IFERROR(__xludf.DUMMYFUNCTION("""COMPUTED_VALUE"""),2569196.0)</f>
        <v>2569196</v>
      </c>
      <c r="H2765" s="27">
        <f>IFERROR(__xludf.DUMMYFUNCTION("""COMPUTED_VALUE"""),42450.64583333333)</f>
        <v>42450.64583</v>
      </c>
      <c r="I2765" s="25">
        <f>IFERROR(__xludf.DUMMYFUNCTION("""COMPUTED_VALUE"""),1213.0)</f>
        <v>1213</v>
      </c>
      <c r="J2765" s="25">
        <f>IFERROR(__xludf.DUMMYFUNCTION("""COMPUTED_VALUE"""),1227.47)</f>
        <v>1227.47</v>
      </c>
      <c r="K2765" s="25">
        <f>IFERROR(__xludf.DUMMYFUNCTION("""COMPUTED_VALUE"""),1210.0)</f>
        <v>1210</v>
      </c>
      <c r="L2765" s="25">
        <f>IFERROR(__xludf.DUMMYFUNCTION("""COMPUTED_VALUE"""),1223.13)</f>
        <v>1223.13</v>
      </c>
      <c r="M2765" s="25">
        <f>IFERROR(__xludf.DUMMYFUNCTION("""COMPUTED_VALUE"""),1168491.0)</f>
        <v>1168491</v>
      </c>
    </row>
    <row r="2766">
      <c r="A2766" s="26">
        <f>IFERROR(__xludf.DUMMYFUNCTION("""COMPUTED_VALUE"""),42451.64583333333)</f>
        <v>42451.64583</v>
      </c>
      <c r="B2766" s="9">
        <f>IFERROR(__xludf.DUMMYFUNCTION("""COMPUTED_VALUE"""),595.63)</f>
        <v>595.63</v>
      </c>
      <c r="C2766" s="9">
        <f>IFERROR(__xludf.DUMMYFUNCTION("""COMPUTED_VALUE"""),597.0)</f>
        <v>597</v>
      </c>
      <c r="D2766" s="9">
        <f>IFERROR(__xludf.DUMMYFUNCTION("""COMPUTED_VALUE"""),586.0)</f>
        <v>586</v>
      </c>
      <c r="E2766" s="9">
        <f>IFERROR(__xludf.DUMMYFUNCTION("""COMPUTED_VALUE"""),594.98)</f>
        <v>594.98</v>
      </c>
      <c r="F2766" s="9">
        <f>IFERROR(__xludf.DUMMYFUNCTION("""COMPUTED_VALUE"""),3548975.0)</f>
        <v>3548975</v>
      </c>
      <c r="H2766" s="27">
        <f>IFERROR(__xludf.DUMMYFUNCTION("""COMPUTED_VALUE"""),42451.64583333333)</f>
        <v>42451.64583</v>
      </c>
      <c r="I2766" s="25">
        <f>IFERROR(__xludf.DUMMYFUNCTION("""COMPUTED_VALUE"""),1221.0)</f>
        <v>1221</v>
      </c>
      <c r="J2766" s="25">
        <f>IFERROR(__xludf.DUMMYFUNCTION("""COMPUTED_VALUE"""),1242.5)</f>
        <v>1242.5</v>
      </c>
      <c r="K2766" s="25">
        <f>IFERROR(__xludf.DUMMYFUNCTION("""COMPUTED_VALUE"""),1218.25)</f>
        <v>1218.25</v>
      </c>
      <c r="L2766" s="25">
        <f>IFERROR(__xludf.DUMMYFUNCTION("""COMPUTED_VALUE"""),1236.55)</f>
        <v>1236.55</v>
      </c>
      <c r="M2766" s="25">
        <f>IFERROR(__xludf.DUMMYFUNCTION("""COMPUTED_VALUE"""),975992.0)</f>
        <v>975992</v>
      </c>
    </row>
    <row r="2767">
      <c r="A2767" s="26">
        <f>IFERROR(__xludf.DUMMYFUNCTION("""COMPUTED_VALUE"""),42452.64583333333)</f>
        <v>42452.64583</v>
      </c>
      <c r="B2767" s="9">
        <f>IFERROR(__xludf.DUMMYFUNCTION("""COMPUTED_VALUE"""),595.0)</f>
        <v>595</v>
      </c>
      <c r="C2767" s="9">
        <f>IFERROR(__xludf.DUMMYFUNCTION("""COMPUTED_VALUE"""),605.35)</f>
        <v>605.35</v>
      </c>
      <c r="D2767" s="9">
        <f>IFERROR(__xludf.DUMMYFUNCTION("""COMPUTED_VALUE"""),591.05)</f>
        <v>591.05</v>
      </c>
      <c r="E2767" s="9">
        <f>IFERROR(__xludf.DUMMYFUNCTION("""COMPUTED_VALUE"""),603.9)</f>
        <v>603.9</v>
      </c>
      <c r="F2767" s="9">
        <f>IFERROR(__xludf.DUMMYFUNCTION("""COMPUTED_VALUE"""),3166588.0)</f>
        <v>3166588</v>
      </c>
      <c r="H2767" s="27">
        <f>IFERROR(__xludf.DUMMYFUNCTION("""COMPUTED_VALUE"""),42452.64583333333)</f>
        <v>42452.64583</v>
      </c>
      <c r="I2767" s="25">
        <f>IFERROR(__xludf.DUMMYFUNCTION("""COMPUTED_VALUE"""),1243.95)</f>
        <v>1243.95</v>
      </c>
      <c r="J2767" s="25">
        <f>IFERROR(__xludf.DUMMYFUNCTION("""COMPUTED_VALUE"""),1243.95)</f>
        <v>1243.95</v>
      </c>
      <c r="K2767" s="25">
        <f>IFERROR(__xludf.DUMMYFUNCTION("""COMPUTED_VALUE"""),1228.65)</f>
        <v>1228.65</v>
      </c>
      <c r="L2767" s="25">
        <f>IFERROR(__xludf.DUMMYFUNCTION("""COMPUTED_VALUE"""),1236.9)</f>
        <v>1236.9</v>
      </c>
      <c r="M2767" s="25">
        <f>IFERROR(__xludf.DUMMYFUNCTION("""COMPUTED_VALUE"""),1139217.0)</f>
        <v>1139217</v>
      </c>
    </row>
    <row r="2768">
      <c r="A2768" s="26">
        <f>IFERROR(__xludf.DUMMYFUNCTION("""COMPUTED_VALUE"""),42457.64583333333)</f>
        <v>42457.64583</v>
      </c>
      <c r="B2768" s="9">
        <f>IFERROR(__xludf.DUMMYFUNCTION("""COMPUTED_VALUE"""),616.2)</f>
        <v>616.2</v>
      </c>
      <c r="C2768" s="9">
        <f>IFERROR(__xludf.DUMMYFUNCTION("""COMPUTED_VALUE"""),618.5)</f>
        <v>618.5</v>
      </c>
      <c r="D2768" s="9">
        <f>IFERROR(__xludf.DUMMYFUNCTION("""COMPUTED_VALUE"""),597.88)</f>
        <v>597.88</v>
      </c>
      <c r="E2768" s="9">
        <f>IFERROR(__xludf.DUMMYFUNCTION("""COMPUTED_VALUE"""),602.45)</f>
        <v>602.45</v>
      </c>
      <c r="F2768" s="9">
        <f>IFERROR(__xludf.DUMMYFUNCTION("""COMPUTED_VALUE"""),5393755.0)</f>
        <v>5393755</v>
      </c>
      <c r="H2768" s="27">
        <f>IFERROR(__xludf.DUMMYFUNCTION("""COMPUTED_VALUE"""),42457.64583333333)</f>
        <v>42457.64583</v>
      </c>
      <c r="I2768" s="25">
        <f>IFERROR(__xludf.DUMMYFUNCTION("""COMPUTED_VALUE"""),1245.5)</f>
        <v>1245.5</v>
      </c>
      <c r="J2768" s="25">
        <f>IFERROR(__xludf.DUMMYFUNCTION("""COMPUTED_VALUE"""),1258.58)</f>
        <v>1258.58</v>
      </c>
      <c r="K2768" s="25">
        <f>IFERROR(__xludf.DUMMYFUNCTION("""COMPUTED_VALUE"""),1230.78)</f>
        <v>1230.78</v>
      </c>
      <c r="L2768" s="25">
        <f>IFERROR(__xludf.DUMMYFUNCTION("""COMPUTED_VALUE"""),1236.7)</f>
        <v>1236.7</v>
      </c>
      <c r="M2768" s="25">
        <f>IFERROR(__xludf.DUMMYFUNCTION("""COMPUTED_VALUE"""),1660441.0)</f>
        <v>1660441</v>
      </c>
    </row>
    <row r="2769">
      <c r="A2769" s="26">
        <f>IFERROR(__xludf.DUMMYFUNCTION("""COMPUTED_VALUE"""),42458.64583333333)</f>
        <v>42458.64583</v>
      </c>
      <c r="B2769" s="9">
        <f>IFERROR(__xludf.DUMMYFUNCTION("""COMPUTED_VALUE"""),599.5)</f>
        <v>599.5</v>
      </c>
      <c r="C2769" s="9">
        <f>IFERROR(__xludf.DUMMYFUNCTION("""COMPUTED_VALUE"""),609.45)</f>
        <v>609.45</v>
      </c>
      <c r="D2769" s="9">
        <f>IFERROR(__xludf.DUMMYFUNCTION("""COMPUTED_VALUE"""),595.78)</f>
        <v>595.78</v>
      </c>
      <c r="E2769" s="9">
        <f>IFERROR(__xludf.DUMMYFUNCTION("""COMPUTED_VALUE"""),598.63)</f>
        <v>598.63</v>
      </c>
      <c r="F2769" s="9">
        <f>IFERROR(__xludf.DUMMYFUNCTION("""COMPUTED_VALUE"""),3497678.0)</f>
        <v>3497678</v>
      </c>
      <c r="H2769" s="27">
        <f>IFERROR(__xludf.DUMMYFUNCTION("""COMPUTED_VALUE"""),42458.64583333333)</f>
        <v>42458.64583</v>
      </c>
      <c r="I2769" s="25">
        <f>IFERROR(__xludf.DUMMYFUNCTION("""COMPUTED_VALUE"""),1239.0)</f>
        <v>1239</v>
      </c>
      <c r="J2769" s="25">
        <f>IFERROR(__xludf.DUMMYFUNCTION("""COMPUTED_VALUE"""),1243.47)</f>
        <v>1243.47</v>
      </c>
      <c r="K2769" s="25">
        <f>IFERROR(__xludf.DUMMYFUNCTION("""COMPUTED_VALUE"""),1227.5)</f>
        <v>1227.5</v>
      </c>
      <c r="L2769" s="25">
        <f>IFERROR(__xludf.DUMMYFUNCTION("""COMPUTED_VALUE"""),1234.7)</f>
        <v>1234.7</v>
      </c>
      <c r="M2769" s="25">
        <f>IFERROR(__xludf.DUMMYFUNCTION("""COMPUTED_VALUE"""),919398.0)</f>
        <v>919398</v>
      </c>
    </row>
    <row r="2770">
      <c r="A2770" s="26">
        <f>IFERROR(__xludf.DUMMYFUNCTION("""COMPUTED_VALUE"""),42459.64583333333)</f>
        <v>42459.64583</v>
      </c>
      <c r="B2770" s="9">
        <f>IFERROR(__xludf.DUMMYFUNCTION("""COMPUTED_VALUE"""),598.8)</f>
        <v>598.8</v>
      </c>
      <c r="C2770" s="9">
        <f>IFERROR(__xludf.DUMMYFUNCTION("""COMPUTED_VALUE"""),605.0)</f>
        <v>605</v>
      </c>
      <c r="D2770" s="9">
        <f>IFERROR(__xludf.DUMMYFUNCTION("""COMPUTED_VALUE"""),597.78)</f>
        <v>597.78</v>
      </c>
      <c r="E2770" s="9">
        <f>IFERROR(__xludf.DUMMYFUNCTION("""COMPUTED_VALUE"""),602.98)</f>
        <v>602.98</v>
      </c>
      <c r="F2770" s="9">
        <f>IFERROR(__xludf.DUMMYFUNCTION("""COMPUTED_VALUE"""),2878409.0)</f>
        <v>2878409</v>
      </c>
      <c r="H2770" s="27">
        <f>IFERROR(__xludf.DUMMYFUNCTION("""COMPUTED_VALUE"""),42459.64583333333)</f>
        <v>42459.64583</v>
      </c>
      <c r="I2770" s="25">
        <f>IFERROR(__xludf.DUMMYFUNCTION("""COMPUTED_VALUE"""),1235.45)</f>
        <v>1235.45</v>
      </c>
      <c r="J2770" s="25">
        <f>IFERROR(__xludf.DUMMYFUNCTION("""COMPUTED_VALUE"""),1252.5)</f>
        <v>1252.5</v>
      </c>
      <c r="K2770" s="25">
        <f>IFERROR(__xludf.DUMMYFUNCTION("""COMPUTED_VALUE"""),1230.0)</f>
        <v>1230</v>
      </c>
      <c r="L2770" s="25">
        <f>IFERROR(__xludf.DUMMYFUNCTION("""COMPUTED_VALUE"""),1244.75)</f>
        <v>1244.75</v>
      </c>
      <c r="M2770" s="25">
        <f>IFERROR(__xludf.DUMMYFUNCTION("""COMPUTED_VALUE"""),1068252.0)</f>
        <v>1068252</v>
      </c>
    </row>
    <row r="2771">
      <c r="A2771" s="26">
        <f>IFERROR(__xludf.DUMMYFUNCTION("""COMPUTED_VALUE"""),42460.64583333333)</f>
        <v>42460.64583</v>
      </c>
      <c r="B2771" s="9">
        <f>IFERROR(__xludf.DUMMYFUNCTION("""COMPUTED_VALUE"""),605.13)</f>
        <v>605.13</v>
      </c>
      <c r="C2771" s="9">
        <f>IFERROR(__xludf.DUMMYFUNCTION("""COMPUTED_VALUE"""),614.95)</f>
        <v>614.95</v>
      </c>
      <c r="D2771" s="9">
        <f>IFERROR(__xludf.DUMMYFUNCTION("""COMPUTED_VALUE"""),600.15)</f>
        <v>600.15</v>
      </c>
      <c r="E2771" s="9">
        <f>IFERROR(__xludf.DUMMYFUNCTION("""COMPUTED_VALUE"""),609.15)</f>
        <v>609.15</v>
      </c>
      <c r="F2771" s="9">
        <f>IFERROR(__xludf.DUMMYFUNCTION("""COMPUTED_VALUE"""),8998160.0)</f>
        <v>8998160</v>
      </c>
      <c r="H2771" s="27">
        <f>IFERROR(__xludf.DUMMYFUNCTION("""COMPUTED_VALUE"""),42460.64583333333)</f>
        <v>42460.64583</v>
      </c>
      <c r="I2771" s="25">
        <f>IFERROR(__xludf.DUMMYFUNCTION("""COMPUTED_VALUE"""),1239.15)</f>
        <v>1239.15</v>
      </c>
      <c r="J2771" s="25">
        <f>IFERROR(__xludf.DUMMYFUNCTION("""COMPUTED_VALUE"""),1275.0)</f>
        <v>1275</v>
      </c>
      <c r="K2771" s="25">
        <f>IFERROR(__xludf.DUMMYFUNCTION("""COMPUTED_VALUE"""),1236.08)</f>
        <v>1236.08</v>
      </c>
      <c r="L2771" s="25">
        <f>IFERROR(__xludf.DUMMYFUNCTION("""COMPUTED_VALUE"""),1260.15)</f>
        <v>1260.15</v>
      </c>
      <c r="M2771" s="25">
        <f>IFERROR(__xludf.DUMMYFUNCTION("""COMPUTED_VALUE"""),2181982.0)</f>
        <v>2181982</v>
      </c>
    </row>
    <row r="2772">
      <c r="A2772" s="26">
        <f>IFERROR(__xludf.DUMMYFUNCTION("""COMPUTED_VALUE"""),42461.64583333333)</f>
        <v>42461.64583</v>
      </c>
      <c r="B2772" s="9">
        <f>IFERROR(__xludf.DUMMYFUNCTION("""COMPUTED_VALUE"""),608.0)</f>
        <v>608</v>
      </c>
      <c r="C2772" s="9">
        <f>IFERROR(__xludf.DUMMYFUNCTION("""COMPUTED_VALUE"""),611.1)</f>
        <v>611.1</v>
      </c>
      <c r="D2772" s="9">
        <f>IFERROR(__xludf.DUMMYFUNCTION("""COMPUTED_VALUE"""),597.55)</f>
        <v>597.55</v>
      </c>
      <c r="E2772" s="9">
        <f>IFERROR(__xludf.DUMMYFUNCTION("""COMPUTED_VALUE"""),602.73)</f>
        <v>602.73</v>
      </c>
      <c r="F2772" s="9">
        <f>IFERROR(__xludf.DUMMYFUNCTION("""COMPUTED_VALUE"""),2755714.0)</f>
        <v>2755714</v>
      </c>
      <c r="H2772" s="27">
        <f>IFERROR(__xludf.DUMMYFUNCTION("""COMPUTED_VALUE"""),42461.64583333333)</f>
        <v>42461.64583</v>
      </c>
      <c r="I2772" s="25">
        <f>IFERROR(__xludf.DUMMYFUNCTION("""COMPUTED_VALUE"""),1252.5)</f>
        <v>1252.5</v>
      </c>
      <c r="J2772" s="25">
        <f>IFERROR(__xludf.DUMMYFUNCTION("""COMPUTED_VALUE"""),1260.43)</f>
        <v>1260.43</v>
      </c>
      <c r="K2772" s="25">
        <f>IFERROR(__xludf.DUMMYFUNCTION("""COMPUTED_VALUE"""),1217.05)</f>
        <v>1217.05</v>
      </c>
      <c r="L2772" s="25">
        <f>IFERROR(__xludf.DUMMYFUNCTION("""COMPUTED_VALUE"""),1226.95)</f>
        <v>1226.95</v>
      </c>
      <c r="M2772" s="25">
        <f>IFERROR(__xludf.DUMMYFUNCTION("""COMPUTED_VALUE"""),1520700.0)</f>
        <v>1520700</v>
      </c>
    </row>
    <row r="2773">
      <c r="A2773" s="26">
        <f>IFERROR(__xludf.DUMMYFUNCTION("""COMPUTED_VALUE"""),42464.64583333333)</f>
        <v>42464.64583</v>
      </c>
      <c r="B2773" s="9">
        <f>IFERROR(__xludf.DUMMYFUNCTION("""COMPUTED_VALUE"""),606.78)</f>
        <v>606.78</v>
      </c>
      <c r="C2773" s="9">
        <f>IFERROR(__xludf.DUMMYFUNCTION("""COMPUTED_VALUE"""),624.0)</f>
        <v>624</v>
      </c>
      <c r="D2773" s="9">
        <f>IFERROR(__xludf.DUMMYFUNCTION("""COMPUTED_VALUE"""),606.78)</f>
        <v>606.78</v>
      </c>
      <c r="E2773" s="9">
        <f>IFERROR(__xludf.DUMMYFUNCTION("""COMPUTED_VALUE"""),621.85)</f>
        <v>621.85</v>
      </c>
      <c r="F2773" s="9">
        <f>IFERROR(__xludf.DUMMYFUNCTION("""COMPUTED_VALUE"""),2288527.0)</f>
        <v>2288527</v>
      </c>
      <c r="H2773" s="27">
        <f>IFERROR(__xludf.DUMMYFUNCTION("""COMPUTED_VALUE"""),42464.64583333333)</f>
        <v>42464.64583</v>
      </c>
      <c r="I2773" s="25">
        <f>IFERROR(__xludf.DUMMYFUNCTION("""COMPUTED_VALUE"""),1228.0)</f>
        <v>1228</v>
      </c>
      <c r="J2773" s="25">
        <f>IFERROR(__xludf.DUMMYFUNCTION("""COMPUTED_VALUE"""),1244.0)</f>
        <v>1244</v>
      </c>
      <c r="K2773" s="25">
        <f>IFERROR(__xludf.DUMMYFUNCTION("""COMPUTED_VALUE"""),1223.5)</f>
        <v>1223.5</v>
      </c>
      <c r="L2773" s="25">
        <f>IFERROR(__xludf.DUMMYFUNCTION("""COMPUTED_VALUE"""),1235.63)</f>
        <v>1235.63</v>
      </c>
      <c r="M2773" s="25">
        <f>IFERROR(__xludf.DUMMYFUNCTION("""COMPUTED_VALUE"""),876176.0)</f>
        <v>876176</v>
      </c>
    </row>
    <row r="2774">
      <c r="A2774" s="26">
        <f>IFERROR(__xludf.DUMMYFUNCTION("""COMPUTED_VALUE"""),42465.64583333333)</f>
        <v>42465.64583</v>
      </c>
      <c r="B2774" s="9">
        <f>IFERROR(__xludf.DUMMYFUNCTION("""COMPUTED_VALUE"""),621.0)</f>
        <v>621</v>
      </c>
      <c r="C2774" s="9">
        <f>IFERROR(__xludf.DUMMYFUNCTION("""COMPUTED_VALUE"""),621.15)</f>
        <v>621.15</v>
      </c>
      <c r="D2774" s="9">
        <f>IFERROR(__xludf.DUMMYFUNCTION("""COMPUTED_VALUE"""),607.0)</f>
        <v>607</v>
      </c>
      <c r="E2774" s="9">
        <f>IFERROR(__xludf.DUMMYFUNCTION("""COMPUTED_VALUE"""),609.9)</f>
        <v>609.9</v>
      </c>
      <c r="F2774" s="9">
        <f>IFERROR(__xludf.DUMMYFUNCTION("""COMPUTED_VALUE"""),2395358.0)</f>
        <v>2395358</v>
      </c>
      <c r="H2774" s="27">
        <f>IFERROR(__xludf.DUMMYFUNCTION("""COMPUTED_VALUE"""),42465.64583333333)</f>
        <v>42465.64583</v>
      </c>
      <c r="I2774" s="25">
        <f>IFERROR(__xludf.DUMMYFUNCTION("""COMPUTED_VALUE"""),1235.4)</f>
        <v>1235.4</v>
      </c>
      <c r="J2774" s="25">
        <f>IFERROR(__xludf.DUMMYFUNCTION("""COMPUTED_VALUE"""),1242.45)</f>
        <v>1242.45</v>
      </c>
      <c r="K2774" s="25">
        <f>IFERROR(__xludf.DUMMYFUNCTION("""COMPUTED_VALUE"""),1221.03)</f>
        <v>1221.03</v>
      </c>
      <c r="L2774" s="25">
        <f>IFERROR(__xludf.DUMMYFUNCTION("""COMPUTED_VALUE"""),1231.38)</f>
        <v>1231.38</v>
      </c>
      <c r="M2774" s="25">
        <f>IFERROR(__xludf.DUMMYFUNCTION("""COMPUTED_VALUE"""),745897.0)</f>
        <v>745897</v>
      </c>
    </row>
    <row r="2775">
      <c r="A2775" s="26">
        <f>IFERROR(__xludf.DUMMYFUNCTION("""COMPUTED_VALUE"""),42466.64583333333)</f>
        <v>42466.64583</v>
      </c>
      <c r="B2775" s="9">
        <f>IFERROR(__xludf.DUMMYFUNCTION("""COMPUTED_VALUE"""),614.0)</f>
        <v>614</v>
      </c>
      <c r="C2775" s="9">
        <f>IFERROR(__xludf.DUMMYFUNCTION("""COMPUTED_VALUE"""),614.0)</f>
        <v>614</v>
      </c>
      <c r="D2775" s="9">
        <f>IFERROR(__xludf.DUMMYFUNCTION("""COMPUTED_VALUE"""),598.0)</f>
        <v>598</v>
      </c>
      <c r="E2775" s="9">
        <f>IFERROR(__xludf.DUMMYFUNCTION("""COMPUTED_VALUE"""),600.35)</f>
        <v>600.35</v>
      </c>
      <c r="F2775" s="9">
        <f>IFERROR(__xludf.DUMMYFUNCTION("""COMPUTED_VALUE"""),2465677.0)</f>
        <v>2465677</v>
      </c>
      <c r="H2775" s="27">
        <f>IFERROR(__xludf.DUMMYFUNCTION("""COMPUTED_VALUE"""),42466.64583333333)</f>
        <v>42466.64583</v>
      </c>
      <c r="I2775" s="25">
        <f>IFERROR(__xludf.DUMMYFUNCTION("""COMPUTED_VALUE"""),1235.0)</f>
        <v>1235</v>
      </c>
      <c r="J2775" s="25">
        <f>IFERROR(__xludf.DUMMYFUNCTION("""COMPUTED_VALUE"""),1244.5)</f>
        <v>1244.5</v>
      </c>
      <c r="K2775" s="25">
        <f>IFERROR(__xludf.DUMMYFUNCTION("""COMPUTED_VALUE"""),1229.68)</f>
        <v>1229.68</v>
      </c>
      <c r="L2775" s="25">
        <f>IFERROR(__xludf.DUMMYFUNCTION("""COMPUTED_VALUE"""),1240.95)</f>
        <v>1240.95</v>
      </c>
      <c r="M2775" s="25">
        <f>IFERROR(__xludf.DUMMYFUNCTION("""COMPUTED_VALUE"""),881575.0)</f>
        <v>881575</v>
      </c>
    </row>
    <row r="2776">
      <c r="A2776" s="26">
        <f>IFERROR(__xludf.DUMMYFUNCTION("""COMPUTED_VALUE"""),42467.64583333333)</f>
        <v>42467.64583</v>
      </c>
      <c r="B2776" s="9">
        <f>IFERROR(__xludf.DUMMYFUNCTION("""COMPUTED_VALUE"""),604.2)</f>
        <v>604.2</v>
      </c>
      <c r="C2776" s="9">
        <f>IFERROR(__xludf.DUMMYFUNCTION("""COMPUTED_VALUE"""),604.2)</f>
        <v>604.2</v>
      </c>
      <c r="D2776" s="9">
        <f>IFERROR(__xludf.DUMMYFUNCTION("""COMPUTED_VALUE"""),587.5)</f>
        <v>587.5</v>
      </c>
      <c r="E2776" s="9">
        <f>IFERROR(__xludf.DUMMYFUNCTION("""COMPUTED_VALUE"""),590.75)</f>
        <v>590.75</v>
      </c>
      <c r="F2776" s="9">
        <f>IFERROR(__xludf.DUMMYFUNCTION("""COMPUTED_VALUE"""),2828945.0)</f>
        <v>2828945</v>
      </c>
      <c r="H2776" s="27">
        <f>IFERROR(__xludf.DUMMYFUNCTION("""COMPUTED_VALUE"""),42467.64583333333)</f>
        <v>42467.64583</v>
      </c>
      <c r="I2776" s="25">
        <f>IFERROR(__xludf.DUMMYFUNCTION("""COMPUTED_VALUE"""),1240.0)</f>
        <v>1240</v>
      </c>
      <c r="J2776" s="25">
        <f>IFERROR(__xludf.DUMMYFUNCTION("""COMPUTED_VALUE"""),1242.35)</f>
        <v>1242.35</v>
      </c>
      <c r="K2776" s="25">
        <f>IFERROR(__xludf.DUMMYFUNCTION("""COMPUTED_VALUE"""),1228.5)</f>
        <v>1228.5</v>
      </c>
      <c r="L2776" s="25">
        <f>IFERROR(__xludf.DUMMYFUNCTION("""COMPUTED_VALUE"""),1235.4)</f>
        <v>1235.4</v>
      </c>
      <c r="M2776" s="25">
        <f>IFERROR(__xludf.DUMMYFUNCTION("""COMPUTED_VALUE"""),1195471.0)</f>
        <v>1195471</v>
      </c>
    </row>
    <row r="2777">
      <c r="A2777" s="26">
        <f>IFERROR(__xludf.DUMMYFUNCTION("""COMPUTED_VALUE"""),42468.64583333333)</f>
        <v>42468.64583</v>
      </c>
      <c r="B2777" s="9">
        <f>IFERROR(__xludf.DUMMYFUNCTION("""COMPUTED_VALUE"""),587.92)</f>
        <v>587.92</v>
      </c>
      <c r="C2777" s="9">
        <f>IFERROR(__xludf.DUMMYFUNCTION("""COMPUTED_VALUE"""),588.75)</f>
        <v>588.75</v>
      </c>
      <c r="D2777" s="9">
        <f>IFERROR(__xludf.DUMMYFUNCTION("""COMPUTED_VALUE"""),581.03)</f>
        <v>581.03</v>
      </c>
      <c r="E2777" s="9">
        <f>IFERROR(__xludf.DUMMYFUNCTION("""COMPUTED_VALUE"""),582.88)</f>
        <v>582.88</v>
      </c>
      <c r="F2777" s="9">
        <f>IFERROR(__xludf.DUMMYFUNCTION("""COMPUTED_VALUE"""),2097789.0)</f>
        <v>2097789</v>
      </c>
      <c r="H2777" s="27">
        <f>IFERROR(__xludf.DUMMYFUNCTION("""COMPUTED_VALUE"""),42468.64583333333)</f>
        <v>42468.64583</v>
      </c>
      <c r="I2777" s="25">
        <f>IFERROR(__xludf.DUMMYFUNCTION("""COMPUTED_VALUE"""),1233.0)</f>
        <v>1233</v>
      </c>
      <c r="J2777" s="25">
        <f>IFERROR(__xludf.DUMMYFUNCTION("""COMPUTED_VALUE"""),1236.85)</f>
        <v>1236.85</v>
      </c>
      <c r="K2777" s="25">
        <f>IFERROR(__xludf.DUMMYFUNCTION("""COMPUTED_VALUE"""),1213.5)</f>
        <v>1213.5</v>
      </c>
      <c r="L2777" s="25">
        <f>IFERROR(__xludf.DUMMYFUNCTION("""COMPUTED_VALUE"""),1216.03)</f>
        <v>1216.03</v>
      </c>
      <c r="M2777" s="25">
        <f>IFERROR(__xludf.DUMMYFUNCTION("""COMPUTED_VALUE"""),699750.0)</f>
        <v>699750</v>
      </c>
    </row>
    <row r="2778">
      <c r="A2778" s="26">
        <f>IFERROR(__xludf.DUMMYFUNCTION("""COMPUTED_VALUE"""),42471.64583333333)</f>
        <v>42471.64583</v>
      </c>
      <c r="B2778" s="9">
        <f>IFERROR(__xludf.DUMMYFUNCTION("""COMPUTED_VALUE"""),582.9)</f>
        <v>582.9</v>
      </c>
      <c r="C2778" s="9">
        <f>IFERROR(__xludf.DUMMYFUNCTION("""COMPUTED_VALUE"""),593.38)</f>
        <v>593.38</v>
      </c>
      <c r="D2778" s="9">
        <f>IFERROR(__xludf.DUMMYFUNCTION("""COMPUTED_VALUE"""),575.55)</f>
        <v>575.55</v>
      </c>
      <c r="E2778" s="9">
        <f>IFERROR(__xludf.DUMMYFUNCTION("""COMPUTED_VALUE"""),591.95)</f>
        <v>591.95</v>
      </c>
      <c r="F2778" s="9">
        <f>IFERROR(__xludf.DUMMYFUNCTION("""COMPUTED_VALUE"""),2884339.0)</f>
        <v>2884339</v>
      </c>
      <c r="H2778" s="27">
        <f>IFERROR(__xludf.DUMMYFUNCTION("""COMPUTED_VALUE"""),42471.64583333333)</f>
        <v>42471.64583</v>
      </c>
      <c r="I2778" s="25">
        <f>IFERROR(__xludf.DUMMYFUNCTION("""COMPUTED_VALUE"""),1216.5)</f>
        <v>1216.5</v>
      </c>
      <c r="J2778" s="25">
        <f>IFERROR(__xludf.DUMMYFUNCTION("""COMPUTED_VALUE"""),1258.5)</f>
        <v>1258.5</v>
      </c>
      <c r="K2778" s="25">
        <f>IFERROR(__xludf.DUMMYFUNCTION("""COMPUTED_VALUE"""),1206.5)</f>
        <v>1206.5</v>
      </c>
      <c r="L2778" s="25">
        <f>IFERROR(__xludf.DUMMYFUNCTION("""COMPUTED_VALUE"""),1253.33)</f>
        <v>1253.33</v>
      </c>
      <c r="M2778" s="25">
        <f>IFERROR(__xludf.DUMMYFUNCTION("""COMPUTED_VALUE"""),1200324.0)</f>
        <v>1200324</v>
      </c>
    </row>
    <row r="2779">
      <c r="A2779" s="26">
        <f>IFERROR(__xludf.DUMMYFUNCTION("""COMPUTED_VALUE"""),42472.64583333333)</f>
        <v>42472.64583</v>
      </c>
      <c r="B2779" s="9">
        <f>IFERROR(__xludf.DUMMYFUNCTION("""COMPUTED_VALUE"""),590.25)</f>
        <v>590.25</v>
      </c>
      <c r="C2779" s="9">
        <f>IFERROR(__xludf.DUMMYFUNCTION("""COMPUTED_VALUE"""),597.45)</f>
        <v>597.45</v>
      </c>
      <c r="D2779" s="9">
        <f>IFERROR(__xludf.DUMMYFUNCTION("""COMPUTED_VALUE"""),589.3)</f>
        <v>589.3</v>
      </c>
      <c r="E2779" s="9">
        <f>IFERROR(__xludf.DUMMYFUNCTION("""COMPUTED_VALUE"""),591.1)</f>
        <v>591.1</v>
      </c>
      <c r="F2779" s="9">
        <f>IFERROR(__xludf.DUMMYFUNCTION("""COMPUTED_VALUE"""),2921069.0)</f>
        <v>2921069</v>
      </c>
      <c r="H2779" s="27">
        <f>IFERROR(__xludf.DUMMYFUNCTION("""COMPUTED_VALUE"""),42472.64583333333)</f>
        <v>42472.64583</v>
      </c>
      <c r="I2779" s="25">
        <f>IFERROR(__xludf.DUMMYFUNCTION("""COMPUTED_VALUE"""),1249.0)</f>
        <v>1249</v>
      </c>
      <c r="J2779" s="25">
        <f>IFERROR(__xludf.DUMMYFUNCTION("""COMPUTED_VALUE"""),1262.5)</f>
        <v>1262.5</v>
      </c>
      <c r="K2779" s="25">
        <f>IFERROR(__xludf.DUMMYFUNCTION("""COMPUTED_VALUE"""),1244.05)</f>
        <v>1244.05</v>
      </c>
      <c r="L2779" s="25">
        <f>IFERROR(__xludf.DUMMYFUNCTION("""COMPUTED_VALUE"""),1259.08)</f>
        <v>1259.08</v>
      </c>
      <c r="M2779" s="25">
        <f>IFERROR(__xludf.DUMMYFUNCTION("""COMPUTED_VALUE"""),651814.0)</f>
        <v>651814</v>
      </c>
    </row>
    <row r="2780">
      <c r="A2780" s="26">
        <f>IFERROR(__xludf.DUMMYFUNCTION("""COMPUTED_VALUE"""),42473.64583333333)</f>
        <v>42473.64583</v>
      </c>
      <c r="B2780" s="9">
        <f>IFERROR(__xludf.DUMMYFUNCTION("""COMPUTED_VALUE"""),597.48)</f>
        <v>597.48</v>
      </c>
      <c r="C2780" s="9">
        <f>IFERROR(__xludf.DUMMYFUNCTION("""COMPUTED_VALUE"""),597.48)</f>
        <v>597.48</v>
      </c>
      <c r="D2780" s="9">
        <f>IFERROR(__xludf.DUMMYFUNCTION("""COMPUTED_VALUE"""),583.17)</f>
        <v>583.17</v>
      </c>
      <c r="E2780" s="9">
        <f>IFERROR(__xludf.DUMMYFUNCTION("""COMPUTED_VALUE"""),586.35)</f>
        <v>586.35</v>
      </c>
      <c r="F2780" s="9">
        <f>IFERROR(__xludf.DUMMYFUNCTION("""COMPUTED_VALUE"""),6255693.0)</f>
        <v>6255693</v>
      </c>
      <c r="H2780" s="27">
        <f>IFERROR(__xludf.DUMMYFUNCTION("""COMPUTED_VALUE"""),42473.64583333333)</f>
        <v>42473.64583</v>
      </c>
      <c r="I2780" s="25">
        <f>IFERROR(__xludf.DUMMYFUNCTION("""COMPUTED_VALUE"""),1265.0)</f>
        <v>1265</v>
      </c>
      <c r="J2780" s="25">
        <f>IFERROR(__xludf.DUMMYFUNCTION("""COMPUTED_VALUE"""),1272.5)</f>
        <v>1272.5</v>
      </c>
      <c r="K2780" s="25">
        <f>IFERROR(__xludf.DUMMYFUNCTION("""COMPUTED_VALUE"""),1256.25)</f>
        <v>1256.25</v>
      </c>
      <c r="L2780" s="25">
        <f>IFERROR(__xludf.DUMMYFUNCTION("""COMPUTED_VALUE"""),1263.1)</f>
        <v>1263.1</v>
      </c>
      <c r="M2780" s="25">
        <f>IFERROR(__xludf.DUMMYFUNCTION("""COMPUTED_VALUE"""),800734.0)</f>
        <v>800734</v>
      </c>
    </row>
    <row r="2781">
      <c r="A2781" s="26">
        <f>IFERROR(__xludf.DUMMYFUNCTION("""COMPUTED_VALUE"""),42478.64583333333)</f>
        <v>42478.64583</v>
      </c>
      <c r="B2781" s="9">
        <f>IFERROR(__xludf.DUMMYFUNCTION("""COMPUTED_VALUE"""),625.0)</f>
        <v>625</v>
      </c>
      <c r="C2781" s="9">
        <f>IFERROR(__xludf.DUMMYFUNCTION("""COMPUTED_VALUE"""),633.95)</f>
        <v>633.95</v>
      </c>
      <c r="D2781" s="9">
        <f>IFERROR(__xludf.DUMMYFUNCTION("""COMPUTED_VALUE"""),616.75)</f>
        <v>616.75</v>
      </c>
      <c r="E2781" s="9">
        <f>IFERROR(__xludf.DUMMYFUNCTION("""COMPUTED_VALUE"""),619.35)</f>
        <v>619.35</v>
      </c>
      <c r="F2781" s="9">
        <f>IFERROR(__xludf.DUMMYFUNCTION("""COMPUTED_VALUE"""),1.2507995E7)</f>
        <v>12507995</v>
      </c>
      <c r="H2781" s="27">
        <f>IFERROR(__xludf.DUMMYFUNCTION("""COMPUTED_VALUE"""),42478.64583333333)</f>
        <v>42478.64583</v>
      </c>
      <c r="I2781" s="25">
        <f>IFERROR(__xludf.DUMMYFUNCTION("""COMPUTED_VALUE"""),1226.5)</f>
        <v>1226.5</v>
      </c>
      <c r="J2781" s="25">
        <f>IFERROR(__xludf.DUMMYFUNCTION("""COMPUTED_VALUE"""),1276.75)</f>
        <v>1276.75</v>
      </c>
      <c r="K2781" s="25">
        <f>IFERROR(__xludf.DUMMYFUNCTION("""COMPUTED_VALUE"""),1220.0)</f>
        <v>1220</v>
      </c>
      <c r="L2781" s="25">
        <f>IFERROR(__xludf.DUMMYFUNCTION("""COMPUTED_VALUE"""),1259.88)</f>
        <v>1259.88</v>
      </c>
      <c r="M2781" s="25">
        <f>IFERROR(__xludf.DUMMYFUNCTION("""COMPUTED_VALUE"""),3560752.0)</f>
        <v>3560752</v>
      </c>
    </row>
    <row r="2782">
      <c r="A2782" s="26">
        <f>IFERROR(__xludf.DUMMYFUNCTION("""COMPUTED_VALUE"""),42480.64583333333)</f>
        <v>42480.64583</v>
      </c>
      <c r="B2782" s="9">
        <f>IFERROR(__xludf.DUMMYFUNCTION("""COMPUTED_VALUE"""),622.0)</f>
        <v>622</v>
      </c>
      <c r="C2782" s="9">
        <f>IFERROR(__xludf.DUMMYFUNCTION("""COMPUTED_VALUE"""),623.23)</f>
        <v>623.23</v>
      </c>
      <c r="D2782" s="9">
        <f>IFERROR(__xludf.DUMMYFUNCTION("""COMPUTED_VALUE"""),612.9)</f>
        <v>612.9</v>
      </c>
      <c r="E2782" s="9">
        <f>IFERROR(__xludf.DUMMYFUNCTION("""COMPUTED_VALUE"""),621.8)</f>
        <v>621.8</v>
      </c>
      <c r="F2782" s="9">
        <f>IFERROR(__xludf.DUMMYFUNCTION("""COMPUTED_VALUE"""),4036424.0)</f>
        <v>4036424</v>
      </c>
      <c r="H2782" s="27">
        <f>IFERROR(__xludf.DUMMYFUNCTION("""COMPUTED_VALUE"""),42480.64583333333)</f>
        <v>42480.64583</v>
      </c>
      <c r="I2782" s="25">
        <f>IFERROR(__xludf.DUMMYFUNCTION("""COMPUTED_VALUE"""),1267.45)</f>
        <v>1267.45</v>
      </c>
      <c r="J2782" s="25">
        <f>IFERROR(__xludf.DUMMYFUNCTION("""COMPUTED_VALUE"""),1267.45)</f>
        <v>1267.45</v>
      </c>
      <c r="K2782" s="25">
        <f>IFERROR(__xludf.DUMMYFUNCTION("""COMPUTED_VALUE"""),1220.0)</f>
        <v>1220</v>
      </c>
      <c r="L2782" s="25">
        <f>IFERROR(__xludf.DUMMYFUNCTION("""COMPUTED_VALUE"""),1225.18)</f>
        <v>1225.18</v>
      </c>
      <c r="M2782" s="25">
        <f>IFERROR(__xludf.DUMMYFUNCTION("""COMPUTED_VALUE"""),3202512.0)</f>
        <v>3202512</v>
      </c>
    </row>
    <row r="2783">
      <c r="A2783" s="26">
        <f>IFERROR(__xludf.DUMMYFUNCTION("""COMPUTED_VALUE"""),42481.64583333333)</f>
        <v>42481.64583</v>
      </c>
      <c r="B2783" s="9">
        <f>IFERROR(__xludf.DUMMYFUNCTION("""COMPUTED_VALUE"""),625.5)</f>
        <v>625.5</v>
      </c>
      <c r="C2783" s="9">
        <f>IFERROR(__xludf.DUMMYFUNCTION("""COMPUTED_VALUE"""),625.5)</f>
        <v>625.5</v>
      </c>
      <c r="D2783" s="9">
        <f>IFERROR(__xludf.DUMMYFUNCTION("""COMPUTED_VALUE"""),609.05)</f>
        <v>609.05</v>
      </c>
      <c r="E2783" s="9">
        <f>IFERROR(__xludf.DUMMYFUNCTION("""COMPUTED_VALUE"""),613.15)</f>
        <v>613.15</v>
      </c>
      <c r="F2783" s="9">
        <f>IFERROR(__xludf.DUMMYFUNCTION("""COMPUTED_VALUE"""),2720550.0)</f>
        <v>2720550</v>
      </c>
      <c r="H2783" s="27">
        <f>IFERROR(__xludf.DUMMYFUNCTION("""COMPUTED_VALUE"""),42481.64583333333)</f>
        <v>42481.64583</v>
      </c>
      <c r="I2783" s="25">
        <f>IFERROR(__xludf.DUMMYFUNCTION("""COMPUTED_VALUE"""),1225.5)</f>
        <v>1225.5</v>
      </c>
      <c r="J2783" s="25">
        <f>IFERROR(__xludf.DUMMYFUNCTION("""COMPUTED_VALUE"""),1233.7)</f>
        <v>1233.7</v>
      </c>
      <c r="K2783" s="25">
        <f>IFERROR(__xludf.DUMMYFUNCTION("""COMPUTED_VALUE"""),1206.1)</f>
        <v>1206.1</v>
      </c>
      <c r="L2783" s="25">
        <f>IFERROR(__xludf.DUMMYFUNCTION("""COMPUTED_VALUE"""),1212.2)</f>
        <v>1212.2</v>
      </c>
      <c r="M2783" s="25">
        <f>IFERROR(__xludf.DUMMYFUNCTION("""COMPUTED_VALUE"""),1262862.0)</f>
        <v>1262862</v>
      </c>
    </row>
    <row r="2784">
      <c r="A2784" s="26">
        <f>IFERROR(__xludf.DUMMYFUNCTION("""COMPUTED_VALUE"""),42482.64583333333)</f>
        <v>42482.64583</v>
      </c>
      <c r="B2784" s="9">
        <f>IFERROR(__xludf.DUMMYFUNCTION("""COMPUTED_VALUE"""),613.15)</f>
        <v>613.15</v>
      </c>
      <c r="C2784" s="9">
        <f>IFERROR(__xludf.DUMMYFUNCTION("""COMPUTED_VALUE"""),614.25)</f>
        <v>614.25</v>
      </c>
      <c r="D2784" s="9">
        <f>IFERROR(__xludf.DUMMYFUNCTION("""COMPUTED_VALUE"""),603.5)</f>
        <v>603.5</v>
      </c>
      <c r="E2784" s="9">
        <f>IFERROR(__xludf.DUMMYFUNCTION("""COMPUTED_VALUE"""),605.63)</f>
        <v>605.63</v>
      </c>
      <c r="F2784" s="9">
        <f>IFERROR(__xludf.DUMMYFUNCTION("""COMPUTED_VALUE"""),2571969.0)</f>
        <v>2571969</v>
      </c>
      <c r="H2784" s="27">
        <f>IFERROR(__xludf.DUMMYFUNCTION("""COMPUTED_VALUE"""),42482.64583333333)</f>
        <v>42482.64583</v>
      </c>
      <c r="I2784" s="25">
        <f>IFERROR(__xludf.DUMMYFUNCTION("""COMPUTED_VALUE"""),1209.5)</f>
        <v>1209.5</v>
      </c>
      <c r="J2784" s="25">
        <f>IFERROR(__xludf.DUMMYFUNCTION("""COMPUTED_VALUE"""),1217.7)</f>
        <v>1217.7</v>
      </c>
      <c r="K2784" s="25">
        <f>IFERROR(__xludf.DUMMYFUNCTION("""COMPUTED_VALUE"""),1202.1)</f>
        <v>1202.1</v>
      </c>
      <c r="L2784" s="25">
        <f>IFERROR(__xludf.DUMMYFUNCTION("""COMPUTED_VALUE"""),1208.53)</f>
        <v>1208.53</v>
      </c>
      <c r="M2784" s="25">
        <f>IFERROR(__xludf.DUMMYFUNCTION("""COMPUTED_VALUE"""),982063.0)</f>
        <v>982063</v>
      </c>
    </row>
    <row r="2785">
      <c r="A2785" s="26">
        <f>IFERROR(__xludf.DUMMYFUNCTION("""COMPUTED_VALUE"""),42485.64583333333)</f>
        <v>42485.64583</v>
      </c>
      <c r="B2785" s="9">
        <f>IFERROR(__xludf.DUMMYFUNCTION("""COMPUTED_VALUE"""),606.03)</f>
        <v>606.03</v>
      </c>
      <c r="C2785" s="9">
        <f>IFERROR(__xludf.DUMMYFUNCTION("""COMPUTED_VALUE"""),612.4)</f>
        <v>612.4</v>
      </c>
      <c r="D2785" s="9">
        <f>IFERROR(__xludf.DUMMYFUNCTION("""COMPUTED_VALUE"""),600.55)</f>
        <v>600.55</v>
      </c>
      <c r="E2785" s="9">
        <f>IFERROR(__xludf.DUMMYFUNCTION("""COMPUTED_VALUE"""),607.92)</f>
        <v>607.92</v>
      </c>
      <c r="F2785" s="9">
        <f>IFERROR(__xludf.DUMMYFUNCTION("""COMPUTED_VALUE"""),2682067.0)</f>
        <v>2682067</v>
      </c>
      <c r="H2785" s="27">
        <f>IFERROR(__xludf.DUMMYFUNCTION("""COMPUTED_VALUE"""),42485.64583333333)</f>
        <v>42485.64583</v>
      </c>
      <c r="I2785" s="25">
        <f>IFERROR(__xludf.DUMMYFUNCTION("""COMPUTED_VALUE"""),1201.15)</f>
        <v>1201.15</v>
      </c>
      <c r="J2785" s="25">
        <f>IFERROR(__xludf.DUMMYFUNCTION("""COMPUTED_VALUE"""),1228.53)</f>
        <v>1228.53</v>
      </c>
      <c r="K2785" s="25">
        <f>IFERROR(__xludf.DUMMYFUNCTION("""COMPUTED_VALUE"""),1201.15)</f>
        <v>1201.15</v>
      </c>
      <c r="L2785" s="25">
        <f>IFERROR(__xludf.DUMMYFUNCTION("""COMPUTED_VALUE"""),1225.63)</f>
        <v>1225.63</v>
      </c>
      <c r="M2785" s="25">
        <f>IFERROR(__xludf.DUMMYFUNCTION("""COMPUTED_VALUE"""),1133827.0)</f>
        <v>1133827</v>
      </c>
    </row>
    <row r="2786">
      <c r="A2786" s="26">
        <f>IFERROR(__xludf.DUMMYFUNCTION("""COMPUTED_VALUE"""),42486.64583333333)</f>
        <v>42486.64583</v>
      </c>
      <c r="B2786" s="9">
        <f>IFERROR(__xludf.DUMMYFUNCTION("""COMPUTED_VALUE"""),607.73)</f>
        <v>607.73</v>
      </c>
      <c r="C2786" s="9">
        <f>IFERROR(__xludf.DUMMYFUNCTION("""COMPUTED_VALUE"""),619.78)</f>
        <v>619.78</v>
      </c>
      <c r="D2786" s="9">
        <f>IFERROR(__xludf.DUMMYFUNCTION("""COMPUTED_VALUE"""),604.3)</f>
        <v>604.3</v>
      </c>
      <c r="E2786" s="9">
        <f>IFERROR(__xludf.DUMMYFUNCTION("""COMPUTED_VALUE"""),616.08)</f>
        <v>616.08</v>
      </c>
      <c r="F2786" s="9">
        <f>IFERROR(__xludf.DUMMYFUNCTION("""COMPUTED_VALUE"""),2923372.0)</f>
        <v>2923372</v>
      </c>
      <c r="H2786" s="27">
        <f>IFERROR(__xludf.DUMMYFUNCTION("""COMPUTED_VALUE"""),42486.64583333333)</f>
        <v>42486.64583</v>
      </c>
      <c r="I2786" s="25">
        <f>IFERROR(__xludf.DUMMYFUNCTION("""COMPUTED_VALUE"""),1224.5)</f>
        <v>1224.5</v>
      </c>
      <c r="J2786" s="25">
        <f>IFERROR(__xludf.DUMMYFUNCTION("""COMPUTED_VALUE"""),1246.75)</f>
        <v>1246.75</v>
      </c>
      <c r="K2786" s="25">
        <f>IFERROR(__xludf.DUMMYFUNCTION("""COMPUTED_VALUE"""),1221.0)</f>
        <v>1221</v>
      </c>
      <c r="L2786" s="25">
        <f>IFERROR(__xludf.DUMMYFUNCTION("""COMPUTED_VALUE"""),1244.9)</f>
        <v>1244.9</v>
      </c>
      <c r="M2786" s="25">
        <f>IFERROR(__xludf.DUMMYFUNCTION("""COMPUTED_VALUE"""),1277184.0)</f>
        <v>1277184</v>
      </c>
    </row>
    <row r="2787">
      <c r="A2787" s="26">
        <f>IFERROR(__xludf.DUMMYFUNCTION("""COMPUTED_VALUE"""),42487.64583333333)</f>
        <v>42487.64583</v>
      </c>
      <c r="B2787" s="9">
        <f>IFERROR(__xludf.DUMMYFUNCTION("""COMPUTED_VALUE"""),614.6)</f>
        <v>614.6</v>
      </c>
      <c r="C2787" s="9">
        <f>IFERROR(__xludf.DUMMYFUNCTION("""COMPUTED_VALUE"""),621.17)</f>
        <v>621.17</v>
      </c>
      <c r="D2787" s="9">
        <f>IFERROR(__xludf.DUMMYFUNCTION("""COMPUTED_VALUE"""),614.28)</f>
        <v>614.28</v>
      </c>
      <c r="E2787" s="9">
        <f>IFERROR(__xludf.DUMMYFUNCTION("""COMPUTED_VALUE"""),620.08)</f>
        <v>620.08</v>
      </c>
      <c r="F2787" s="9">
        <f>IFERROR(__xludf.DUMMYFUNCTION("""COMPUTED_VALUE"""),2243104.0)</f>
        <v>2243104</v>
      </c>
      <c r="H2787" s="27">
        <f>IFERROR(__xludf.DUMMYFUNCTION("""COMPUTED_VALUE"""),42487.64583333333)</f>
        <v>42487.64583</v>
      </c>
      <c r="I2787" s="25">
        <f>IFERROR(__xludf.DUMMYFUNCTION("""COMPUTED_VALUE"""),1240.0)</f>
        <v>1240</v>
      </c>
      <c r="J2787" s="25">
        <f>IFERROR(__xludf.DUMMYFUNCTION("""COMPUTED_VALUE"""),1257.3)</f>
        <v>1257.3</v>
      </c>
      <c r="K2787" s="25">
        <f>IFERROR(__xludf.DUMMYFUNCTION("""COMPUTED_VALUE"""),1237.95)</f>
        <v>1237.95</v>
      </c>
      <c r="L2787" s="25">
        <f>IFERROR(__xludf.DUMMYFUNCTION("""COMPUTED_VALUE"""),1255.55)</f>
        <v>1255.55</v>
      </c>
      <c r="M2787" s="25">
        <f>IFERROR(__xludf.DUMMYFUNCTION("""COMPUTED_VALUE"""),924335.0)</f>
        <v>924335</v>
      </c>
    </row>
    <row r="2788">
      <c r="A2788" s="26">
        <f>IFERROR(__xludf.DUMMYFUNCTION("""COMPUTED_VALUE"""),42488.64583333333)</f>
        <v>42488.64583</v>
      </c>
      <c r="B2788" s="9">
        <f>IFERROR(__xludf.DUMMYFUNCTION("""COMPUTED_VALUE"""),615.5)</f>
        <v>615.5</v>
      </c>
      <c r="C2788" s="9">
        <f>IFERROR(__xludf.DUMMYFUNCTION("""COMPUTED_VALUE"""),619.8)</f>
        <v>619.8</v>
      </c>
      <c r="D2788" s="9">
        <f>IFERROR(__xludf.DUMMYFUNCTION("""COMPUTED_VALUE"""),603.5)</f>
        <v>603.5</v>
      </c>
      <c r="E2788" s="9">
        <f>IFERROR(__xludf.DUMMYFUNCTION("""COMPUTED_VALUE"""),604.58)</f>
        <v>604.58</v>
      </c>
      <c r="F2788" s="9">
        <f>IFERROR(__xludf.DUMMYFUNCTION("""COMPUTED_VALUE"""),6082584.0)</f>
        <v>6082584</v>
      </c>
      <c r="H2788" s="27">
        <f>IFERROR(__xludf.DUMMYFUNCTION("""COMPUTED_VALUE"""),42488.64583333333)</f>
        <v>42488.64583</v>
      </c>
      <c r="I2788" s="25">
        <f>IFERROR(__xludf.DUMMYFUNCTION("""COMPUTED_VALUE"""),1250.65)</f>
        <v>1250.65</v>
      </c>
      <c r="J2788" s="25">
        <f>IFERROR(__xludf.DUMMYFUNCTION("""COMPUTED_VALUE"""),1270.0)</f>
        <v>1270</v>
      </c>
      <c r="K2788" s="25">
        <f>IFERROR(__xludf.DUMMYFUNCTION("""COMPUTED_VALUE"""),1249.05)</f>
        <v>1249.05</v>
      </c>
      <c r="L2788" s="25">
        <f>IFERROR(__xludf.DUMMYFUNCTION("""COMPUTED_VALUE"""),1263.88)</f>
        <v>1263.88</v>
      </c>
      <c r="M2788" s="25">
        <f>IFERROR(__xludf.DUMMYFUNCTION("""COMPUTED_VALUE"""),2496372.0)</f>
        <v>2496372</v>
      </c>
    </row>
    <row r="2789">
      <c r="A2789" s="26">
        <f>IFERROR(__xludf.DUMMYFUNCTION("""COMPUTED_VALUE"""),42489.64583333333)</f>
        <v>42489.64583</v>
      </c>
      <c r="B2789" s="9">
        <f>IFERROR(__xludf.DUMMYFUNCTION("""COMPUTED_VALUE"""),605.73)</f>
        <v>605.73</v>
      </c>
      <c r="C2789" s="9">
        <f>IFERROR(__xludf.DUMMYFUNCTION("""COMPUTED_VALUE"""),611.78)</f>
        <v>611.78</v>
      </c>
      <c r="D2789" s="9">
        <f>IFERROR(__xludf.DUMMYFUNCTION("""COMPUTED_VALUE"""),602.5)</f>
        <v>602.5</v>
      </c>
      <c r="E2789" s="9">
        <f>IFERROR(__xludf.DUMMYFUNCTION("""COMPUTED_VALUE"""),604.05)</f>
        <v>604.05</v>
      </c>
      <c r="F2789" s="9">
        <f>IFERROR(__xludf.DUMMYFUNCTION("""COMPUTED_VALUE"""),2518205.0)</f>
        <v>2518205</v>
      </c>
      <c r="H2789" s="27">
        <f>IFERROR(__xludf.DUMMYFUNCTION("""COMPUTED_VALUE"""),42489.64583333333)</f>
        <v>42489.64583</v>
      </c>
      <c r="I2789" s="25">
        <f>IFERROR(__xludf.DUMMYFUNCTION("""COMPUTED_VALUE"""),1258.5)</f>
        <v>1258.5</v>
      </c>
      <c r="J2789" s="25">
        <f>IFERROR(__xludf.DUMMYFUNCTION("""COMPUTED_VALUE"""),1271.0)</f>
        <v>1271</v>
      </c>
      <c r="K2789" s="25">
        <f>IFERROR(__xludf.DUMMYFUNCTION("""COMPUTED_VALUE"""),1255.0)</f>
        <v>1255</v>
      </c>
      <c r="L2789" s="25">
        <f>IFERROR(__xludf.DUMMYFUNCTION("""COMPUTED_VALUE"""),1267.75)</f>
        <v>1267.75</v>
      </c>
      <c r="M2789" s="25">
        <f>IFERROR(__xludf.DUMMYFUNCTION("""COMPUTED_VALUE"""),1186089.0)</f>
        <v>1186089</v>
      </c>
    </row>
    <row r="2790">
      <c r="A2790" s="26">
        <f>IFERROR(__xludf.DUMMYFUNCTION("""COMPUTED_VALUE"""),42492.64583333333)</f>
        <v>42492.64583</v>
      </c>
      <c r="B2790" s="9">
        <f>IFERROR(__xludf.DUMMYFUNCTION("""COMPUTED_VALUE"""),605.0)</f>
        <v>605</v>
      </c>
      <c r="C2790" s="9">
        <f>IFERROR(__xludf.DUMMYFUNCTION("""COMPUTED_VALUE"""),605.58)</f>
        <v>605.58</v>
      </c>
      <c r="D2790" s="9">
        <f>IFERROR(__xludf.DUMMYFUNCTION("""COMPUTED_VALUE"""),598.08)</f>
        <v>598.08</v>
      </c>
      <c r="E2790" s="9">
        <f>IFERROR(__xludf.DUMMYFUNCTION("""COMPUTED_VALUE"""),600.53)</f>
        <v>600.53</v>
      </c>
      <c r="F2790" s="9">
        <f>IFERROR(__xludf.DUMMYFUNCTION("""COMPUTED_VALUE"""),1807625.0)</f>
        <v>1807625</v>
      </c>
      <c r="H2790" s="27">
        <f>IFERROR(__xludf.DUMMYFUNCTION("""COMPUTED_VALUE"""),42492.64583333333)</f>
        <v>42492.64583</v>
      </c>
      <c r="I2790" s="25">
        <f>IFERROR(__xludf.DUMMYFUNCTION("""COMPUTED_VALUE"""),1264.5)</f>
        <v>1264.5</v>
      </c>
      <c r="J2790" s="25">
        <f>IFERROR(__xludf.DUMMYFUNCTION("""COMPUTED_VALUE"""),1265.0)</f>
        <v>1265</v>
      </c>
      <c r="K2790" s="25">
        <f>IFERROR(__xludf.DUMMYFUNCTION("""COMPUTED_VALUE"""),1250.0)</f>
        <v>1250</v>
      </c>
      <c r="L2790" s="25">
        <f>IFERROR(__xludf.DUMMYFUNCTION("""COMPUTED_VALUE"""),1263.35)</f>
        <v>1263.35</v>
      </c>
      <c r="M2790" s="25">
        <f>IFERROR(__xludf.DUMMYFUNCTION("""COMPUTED_VALUE"""),558346.0)</f>
        <v>558346</v>
      </c>
    </row>
    <row r="2791">
      <c r="A2791" s="26">
        <f>IFERROR(__xludf.DUMMYFUNCTION("""COMPUTED_VALUE"""),42493.64583333333)</f>
        <v>42493.64583</v>
      </c>
      <c r="B2791" s="9">
        <f>IFERROR(__xludf.DUMMYFUNCTION("""COMPUTED_VALUE"""),601.38)</f>
        <v>601.38</v>
      </c>
      <c r="C2791" s="9">
        <f>IFERROR(__xludf.DUMMYFUNCTION("""COMPUTED_VALUE"""),606.1)</f>
        <v>606.1</v>
      </c>
      <c r="D2791" s="9">
        <f>IFERROR(__xludf.DUMMYFUNCTION("""COMPUTED_VALUE"""),585.9)</f>
        <v>585.9</v>
      </c>
      <c r="E2791" s="9">
        <f>IFERROR(__xludf.DUMMYFUNCTION("""COMPUTED_VALUE"""),588.9)</f>
        <v>588.9</v>
      </c>
      <c r="F2791" s="9">
        <f>IFERROR(__xludf.DUMMYFUNCTION("""COMPUTED_VALUE"""),3412405.0)</f>
        <v>3412405</v>
      </c>
      <c r="H2791" s="27">
        <f>IFERROR(__xludf.DUMMYFUNCTION("""COMPUTED_VALUE"""),42493.64583333333)</f>
        <v>42493.64583</v>
      </c>
      <c r="I2791" s="25">
        <f>IFERROR(__xludf.DUMMYFUNCTION("""COMPUTED_VALUE"""),1262.5)</f>
        <v>1262.5</v>
      </c>
      <c r="J2791" s="25">
        <f>IFERROR(__xludf.DUMMYFUNCTION("""COMPUTED_VALUE"""),1265.0)</f>
        <v>1265</v>
      </c>
      <c r="K2791" s="25">
        <f>IFERROR(__xludf.DUMMYFUNCTION("""COMPUTED_VALUE"""),1236.0)</f>
        <v>1236</v>
      </c>
      <c r="L2791" s="25">
        <f>IFERROR(__xludf.DUMMYFUNCTION("""COMPUTED_VALUE"""),1239.05)</f>
        <v>1239.05</v>
      </c>
      <c r="M2791" s="25">
        <f>IFERROR(__xludf.DUMMYFUNCTION("""COMPUTED_VALUE"""),1076559.0)</f>
        <v>1076559</v>
      </c>
    </row>
    <row r="2792">
      <c r="A2792" s="26">
        <f>IFERROR(__xludf.DUMMYFUNCTION("""COMPUTED_VALUE"""),42494.64583333333)</f>
        <v>42494.64583</v>
      </c>
      <c r="B2792" s="9">
        <f>IFERROR(__xludf.DUMMYFUNCTION("""COMPUTED_VALUE"""),590.5)</f>
        <v>590.5</v>
      </c>
      <c r="C2792" s="9">
        <f>IFERROR(__xludf.DUMMYFUNCTION("""COMPUTED_VALUE"""),596.5)</f>
        <v>596.5</v>
      </c>
      <c r="D2792" s="9">
        <f>IFERROR(__xludf.DUMMYFUNCTION("""COMPUTED_VALUE"""),585.33)</f>
        <v>585.33</v>
      </c>
      <c r="E2792" s="9">
        <f>IFERROR(__xludf.DUMMYFUNCTION("""COMPUTED_VALUE"""),594.42)</f>
        <v>594.42</v>
      </c>
      <c r="F2792" s="9">
        <f>IFERROR(__xludf.DUMMYFUNCTION("""COMPUTED_VALUE"""),2906421.0)</f>
        <v>2906421</v>
      </c>
      <c r="H2792" s="27">
        <f>IFERROR(__xludf.DUMMYFUNCTION("""COMPUTED_VALUE"""),42494.64583333333)</f>
        <v>42494.64583</v>
      </c>
      <c r="I2792" s="25">
        <f>IFERROR(__xludf.DUMMYFUNCTION("""COMPUTED_VALUE"""),1236.95)</f>
        <v>1236.95</v>
      </c>
      <c r="J2792" s="25">
        <f>IFERROR(__xludf.DUMMYFUNCTION("""COMPUTED_VALUE"""),1247.03)</f>
        <v>1247.03</v>
      </c>
      <c r="K2792" s="25">
        <f>IFERROR(__xludf.DUMMYFUNCTION("""COMPUTED_VALUE"""),1228.5)</f>
        <v>1228.5</v>
      </c>
      <c r="L2792" s="25">
        <f>IFERROR(__xludf.DUMMYFUNCTION("""COMPUTED_VALUE"""),1239.0)</f>
        <v>1239</v>
      </c>
      <c r="M2792" s="25">
        <f>IFERROR(__xludf.DUMMYFUNCTION("""COMPUTED_VALUE"""),682446.0)</f>
        <v>682446</v>
      </c>
    </row>
    <row r="2793">
      <c r="A2793" s="26">
        <f>IFERROR(__xludf.DUMMYFUNCTION("""COMPUTED_VALUE"""),42495.64583333333)</f>
        <v>42495.64583</v>
      </c>
      <c r="B2793" s="9">
        <f>IFERROR(__xludf.DUMMYFUNCTION("""COMPUTED_VALUE"""),597.58)</f>
        <v>597.58</v>
      </c>
      <c r="C2793" s="9">
        <f>IFERROR(__xludf.DUMMYFUNCTION("""COMPUTED_VALUE"""),599.5)</f>
        <v>599.5</v>
      </c>
      <c r="D2793" s="9">
        <f>IFERROR(__xludf.DUMMYFUNCTION("""COMPUTED_VALUE"""),590.55)</f>
        <v>590.55</v>
      </c>
      <c r="E2793" s="9">
        <f>IFERROR(__xludf.DUMMYFUNCTION("""COMPUTED_VALUE"""),596.23)</f>
        <v>596.23</v>
      </c>
      <c r="F2793" s="9">
        <f>IFERROR(__xludf.DUMMYFUNCTION("""COMPUTED_VALUE"""),3151334.0)</f>
        <v>3151334</v>
      </c>
      <c r="H2793" s="27">
        <f>IFERROR(__xludf.DUMMYFUNCTION("""COMPUTED_VALUE"""),42495.64583333333)</f>
        <v>42495.64583</v>
      </c>
      <c r="I2793" s="25">
        <f>IFERROR(__xludf.DUMMYFUNCTION("""COMPUTED_VALUE"""),1239.0)</f>
        <v>1239</v>
      </c>
      <c r="J2793" s="25">
        <f>IFERROR(__xludf.DUMMYFUNCTION("""COMPUTED_VALUE"""),1244.97)</f>
        <v>1244.97</v>
      </c>
      <c r="K2793" s="25">
        <f>IFERROR(__xludf.DUMMYFUNCTION("""COMPUTED_VALUE"""),1231.78)</f>
        <v>1231.78</v>
      </c>
      <c r="L2793" s="25">
        <f>IFERROR(__xludf.DUMMYFUNCTION("""COMPUTED_VALUE"""),1235.15)</f>
        <v>1235.15</v>
      </c>
      <c r="M2793" s="25">
        <f>IFERROR(__xludf.DUMMYFUNCTION("""COMPUTED_VALUE"""),623283.0)</f>
        <v>623283</v>
      </c>
    </row>
    <row r="2794">
      <c r="A2794" s="26">
        <f>IFERROR(__xludf.DUMMYFUNCTION("""COMPUTED_VALUE"""),42496.64583333333)</f>
        <v>42496.64583</v>
      </c>
      <c r="B2794" s="9">
        <f>IFERROR(__xludf.DUMMYFUNCTION("""COMPUTED_VALUE"""),594.9)</f>
        <v>594.9</v>
      </c>
      <c r="C2794" s="9">
        <f>IFERROR(__xludf.DUMMYFUNCTION("""COMPUTED_VALUE"""),594.9)</f>
        <v>594.9</v>
      </c>
      <c r="D2794" s="9">
        <f>IFERROR(__xludf.DUMMYFUNCTION("""COMPUTED_VALUE"""),588.53)</f>
        <v>588.53</v>
      </c>
      <c r="E2794" s="9">
        <f>IFERROR(__xludf.DUMMYFUNCTION("""COMPUTED_VALUE"""),590.75)</f>
        <v>590.75</v>
      </c>
      <c r="F2794" s="9">
        <f>IFERROR(__xludf.DUMMYFUNCTION("""COMPUTED_VALUE"""),1298360.0)</f>
        <v>1298360</v>
      </c>
      <c r="H2794" s="27">
        <f>IFERROR(__xludf.DUMMYFUNCTION("""COMPUTED_VALUE"""),42496.64583333333)</f>
        <v>42496.64583</v>
      </c>
      <c r="I2794" s="25">
        <f>IFERROR(__xludf.DUMMYFUNCTION("""COMPUTED_VALUE"""),1232.5)</f>
        <v>1232.5</v>
      </c>
      <c r="J2794" s="25">
        <f>IFERROR(__xludf.DUMMYFUNCTION("""COMPUTED_VALUE"""),1242.15)</f>
        <v>1242.15</v>
      </c>
      <c r="K2794" s="25">
        <f>IFERROR(__xludf.DUMMYFUNCTION("""COMPUTED_VALUE"""),1215.5)</f>
        <v>1215.5</v>
      </c>
      <c r="L2794" s="25">
        <f>IFERROR(__xludf.DUMMYFUNCTION("""COMPUTED_VALUE"""),1236.7)</f>
        <v>1236.7</v>
      </c>
      <c r="M2794" s="25">
        <f>IFERROR(__xludf.DUMMYFUNCTION("""COMPUTED_VALUE"""),442799.0)</f>
        <v>442799</v>
      </c>
    </row>
    <row r="2795">
      <c r="A2795" s="26">
        <f>IFERROR(__xludf.DUMMYFUNCTION("""COMPUTED_VALUE"""),42499.64583333333)</f>
        <v>42499.64583</v>
      </c>
      <c r="B2795" s="9">
        <f>IFERROR(__xludf.DUMMYFUNCTION("""COMPUTED_VALUE"""),591.0)</f>
        <v>591</v>
      </c>
      <c r="C2795" s="9">
        <f>IFERROR(__xludf.DUMMYFUNCTION("""COMPUTED_VALUE"""),600.78)</f>
        <v>600.78</v>
      </c>
      <c r="D2795" s="9">
        <f>IFERROR(__xludf.DUMMYFUNCTION("""COMPUTED_VALUE"""),590.3)</f>
        <v>590.3</v>
      </c>
      <c r="E2795" s="9">
        <f>IFERROR(__xludf.DUMMYFUNCTION("""COMPUTED_VALUE"""),599.53)</f>
        <v>599.53</v>
      </c>
      <c r="F2795" s="9">
        <f>IFERROR(__xludf.DUMMYFUNCTION("""COMPUTED_VALUE"""),2561839.0)</f>
        <v>2561839</v>
      </c>
      <c r="H2795" s="27">
        <f>IFERROR(__xludf.DUMMYFUNCTION("""COMPUTED_VALUE"""),42499.64583333333)</f>
        <v>42499.64583</v>
      </c>
      <c r="I2795" s="25">
        <f>IFERROR(__xludf.DUMMYFUNCTION("""COMPUTED_VALUE"""),1236.7)</f>
        <v>1236.7</v>
      </c>
      <c r="J2795" s="25">
        <f>IFERROR(__xludf.DUMMYFUNCTION("""COMPUTED_VALUE"""),1259.0)</f>
        <v>1259</v>
      </c>
      <c r="K2795" s="25">
        <f>IFERROR(__xludf.DUMMYFUNCTION("""COMPUTED_VALUE"""),1228.2)</f>
        <v>1228.2</v>
      </c>
      <c r="L2795" s="25">
        <f>IFERROR(__xludf.DUMMYFUNCTION("""COMPUTED_VALUE"""),1256.28)</f>
        <v>1256.28</v>
      </c>
      <c r="M2795" s="25">
        <f>IFERROR(__xludf.DUMMYFUNCTION("""COMPUTED_VALUE"""),910638.0)</f>
        <v>910638</v>
      </c>
    </row>
    <row r="2796">
      <c r="A2796" s="26">
        <f>IFERROR(__xludf.DUMMYFUNCTION("""COMPUTED_VALUE"""),42500.64583333333)</f>
        <v>42500.64583</v>
      </c>
      <c r="B2796" s="9">
        <f>IFERROR(__xludf.DUMMYFUNCTION("""COMPUTED_VALUE"""),601.25)</f>
        <v>601.25</v>
      </c>
      <c r="C2796" s="9">
        <f>IFERROR(__xludf.DUMMYFUNCTION("""COMPUTED_VALUE"""),608.33)</f>
        <v>608.33</v>
      </c>
      <c r="D2796" s="9">
        <f>IFERROR(__xludf.DUMMYFUNCTION("""COMPUTED_VALUE"""),598.3)</f>
        <v>598.3</v>
      </c>
      <c r="E2796" s="9">
        <f>IFERROR(__xludf.DUMMYFUNCTION("""COMPUTED_VALUE"""),606.4)</f>
        <v>606.4</v>
      </c>
      <c r="F2796" s="9">
        <f>IFERROR(__xludf.DUMMYFUNCTION("""COMPUTED_VALUE"""),1697852.0)</f>
        <v>1697852</v>
      </c>
      <c r="H2796" s="27">
        <f>IFERROR(__xludf.DUMMYFUNCTION("""COMPUTED_VALUE"""),42500.64583333333)</f>
        <v>42500.64583</v>
      </c>
      <c r="I2796" s="25">
        <f>IFERROR(__xludf.DUMMYFUNCTION("""COMPUTED_VALUE"""),1257.5)</f>
        <v>1257.5</v>
      </c>
      <c r="J2796" s="25">
        <f>IFERROR(__xludf.DUMMYFUNCTION("""COMPUTED_VALUE"""),1266.97)</f>
        <v>1266.97</v>
      </c>
      <c r="K2796" s="25">
        <f>IFERROR(__xludf.DUMMYFUNCTION("""COMPUTED_VALUE"""),1248.0)</f>
        <v>1248</v>
      </c>
      <c r="L2796" s="25">
        <f>IFERROR(__xludf.DUMMYFUNCTION("""COMPUTED_VALUE"""),1261.45)</f>
        <v>1261.45</v>
      </c>
      <c r="M2796" s="25">
        <f>IFERROR(__xludf.DUMMYFUNCTION("""COMPUTED_VALUE"""),579267.0)</f>
        <v>579267</v>
      </c>
    </row>
    <row r="2797">
      <c r="A2797" s="26">
        <f>IFERROR(__xludf.DUMMYFUNCTION("""COMPUTED_VALUE"""),42501.64583333333)</f>
        <v>42501.64583</v>
      </c>
      <c r="B2797" s="9">
        <f>IFERROR(__xludf.DUMMYFUNCTION("""COMPUTED_VALUE"""),599.25)</f>
        <v>599.25</v>
      </c>
      <c r="C2797" s="9">
        <f>IFERROR(__xludf.DUMMYFUNCTION("""COMPUTED_VALUE"""),607.35)</f>
        <v>607.35</v>
      </c>
      <c r="D2797" s="9">
        <f>IFERROR(__xludf.DUMMYFUNCTION("""COMPUTED_VALUE"""),596.25)</f>
        <v>596.25</v>
      </c>
      <c r="E2797" s="9">
        <f>IFERROR(__xludf.DUMMYFUNCTION("""COMPUTED_VALUE"""),600.92)</f>
        <v>600.92</v>
      </c>
      <c r="F2797" s="9">
        <f>IFERROR(__xludf.DUMMYFUNCTION("""COMPUTED_VALUE"""),1854944.0)</f>
        <v>1854944</v>
      </c>
      <c r="H2797" s="27">
        <f>IFERROR(__xludf.DUMMYFUNCTION("""COMPUTED_VALUE"""),42501.64583333333)</f>
        <v>42501.64583</v>
      </c>
      <c r="I2797" s="25">
        <f>IFERROR(__xludf.DUMMYFUNCTION("""COMPUTED_VALUE"""),1250.0)</f>
        <v>1250</v>
      </c>
      <c r="J2797" s="25">
        <f>IFERROR(__xludf.DUMMYFUNCTION("""COMPUTED_VALUE"""),1262.8)</f>
        <v>1262.8</v>
      </c>
      <c r="K2797" s="25">
        <f>IFERROR(__xludf.DUMMYFUNCTION("""COMPUTED_VALUE"""),1245.0)</f>
        <v>1245</v>
      </c>
      <c r="L2797" s="25">
        <f>IFERROR(__xludf.DUMMYFUNCTION("""COMPUTED_VALUE"""),1259.15)</f>
        <v>1259.15</v>
      </c>
      <c r="M2797" s="25">
        <f>IFERROR(__xludf.DUMMYFUNCTION("""COMPUTED_VALUE"""),799358.0)</f>
        <v>799358</v>
      </c>
    </row>
    <row r="2798">
      <c r="A2798" s="26">
        <f>IFERROR(__xludf.DUMMYFUNCTION("""COMPUTED_VALUE"""),42502.64583333333)</f>
        <v>42502.64583</v>
      </c>
      <c r="B2798" s="9">
        <f>IFERROR(__xludf.DUMMYFUNCTION("""COMPUTED_VALUE"""),601.95)</f>
        <v>601.95</v>
      </c>
      <c r="C2798" s="9">
        <f>IFERROR(__xludf.DUMMYFUNCTION("""COMPUTED_VALUE"""),606.5)</f>
        <v>606.5</v>
      </c>
      <c r="D2798" s="9">
        <f>IFERROR(__xludf.DUMMYFUNCTION("""COMPUTED_VALUE"""),598.4)</f>
        <v>598.4</v>
      </c>
      <c r="E2798" s="9">
        <f>IFERROR(__xludf.DUMMYFUNCTION("""COMPUTED_VALUE"""),605.0)</f>
        <v>605</v>
      </c>
      <c r="F2798" s="9">
        <f>IFERROR(__xludf.DUMMYFUNCTION("""COMPUTED_VALUE"""),1703466.0)</f>
        <v>1703466</v>
      </c>
      <c r="H2798" s="27">
        <f>IFERROR(__xludf.DUMMYFUNCTION("""COMPUTED_VALUE"""),42502.64583333333)</f>
        <v>42502.64583</v>
      </c>
      <c r="I2798" s="25">
        <f>IFERROR(__xludf.DUMMYFUNCTION("""COMPUTED_VALUE"""),1260.28)</f>
        <v>1260.28</v>
      </c>
      <c r="J2798" s="25">
        <f>IFERROR(__xludf.DUMMYFUNCTION("""COMPUTED_VALUE"""),1284.95)</f>
        <v>1284.95</v>
      </c>
      <c r="K2798" s="25">
        <f>IFERROR(__xludf.DUMMYFUNCTION("""COMPUTED_VALUE"""),1260.28)</f>
        <v>1260.28</v>
      </c>
      <c r="L2798" s="25">
        <f>IFERROR(__xludf.DUMMYFUNCTION("""COMPUTED_VALUE"""),1283.1)</f>
        <v>1283.1</v>
      </c>
      <c r="M2798" s="25">
        <f>IFERROR(__xludf.DUMMYFUNCTION("""COMPUTED_VALUE"""),756541.0)</f>
        <v>756541</v>
      </c>
    </row>
    <row r="2799">
      <c r="A2799" s="26">
        <f>IFERROR(__xludf.DUMMYFUNCTION("""COMPUTED_VALUE"""),42503.64583333333)</f>
        <v>42503.64583</v>
      </c>
      <c r="B2799" s="9">
        <f>IFERROR(__xludf.DUMMYFUNCTION("""COMPUTED_VALUE"""),603.0)</f>
        <v>603</v>
      </c>
      <c r="C2799" s="9">
        <f>IFERROR(__xludf.DUMMYFUNCTION("""COMPUTED_VALUE"""),605.0)</f>
        <v>605</v>
      </c>
      <c r="D2799" s="9">
        <f>IFERROR(__xludf.DUMMYFUNCTION("""COMPUTED_VALUE"""),596.08)</f>
        <v>596.08</v>
      </c>
      <c r="E2799" s="9">
        <f>IFERROR(__xludf.DUMMYFUNCTION("""COMPUTED_VALUE"""),603.63)</f>
        <v>603.63</v>
      </c>
      <c r="F2799" s="9">
        <f>IFERROR(__xludf.DUMMYFUNCTION("""COMPUTED_VALUE"""),2826032.0)</f>
        <v>2826032</v>
      </c>
      <c r="H2799" s="27">
        <f>IFERROR(__xludf.DUMMYFUNCTION("""COMPUTED_VALUE"""),42503.64583333333)</f>
        <v>42503.64583</v>
      </c>
      <c r="I2799" s="25">
        <f>IFERROR(__xludf.DUMMYFUNCTION("""COMPUTED_VALUE"""),1282.5)</f>
        <v>1282.5</v>
      </c>
      <c r="J2799" s="25">
        <f>IFERROR(__xludf.DUMMYFUNCTION("""COMPUTED_VALUE"""),1283.0)</f>
        <v>1283</v>
      </c>
      <c r="K2799" s="25">
        <f>IFERROR(__xludf.DUMMYFUNCTION("""COMPUTED_VALUE"""),1255.08)</f>
        <v>1255.08</v>
      </c>
      <c r="L2799" s="25">
        <f>IFERROR(__xludf.DUMMYFUNCTION("""COMPUTED_VALUE"""),1261.7)</f>
        <v>1261.7</v>
      </c>
      <c r="M2799" s="25">
        <f>IFERROR(__xludf.DUMMYFUNCTION("""COMPUTED_VALUE"""),810865.0)</f>
        <v>810865</v>
      </c>
    </row>
    <row r="2800">
      <c r="A2800" s="26">
        <f>IFERROR(__xludf.DUMMYFUNCTION("""COMPUTED_VALUE"""),42506.64583333333)</f>
        <v>42506.64583</v>
      </c>
      <c r="B2800" s="9">
        <f>IFERROR(__xludf.DUMMYFUNCTION("""COMPUTED_VALUE"""),605.1)</f>
        <v>605.1</v>
      </c>
      <c r="C2800" s="9">
        <f>IFERROR(__xludf.DUMMYFUNCTION("""COMPUTED_VALUE"""),611.83)</f>
        <v>611.83</v>
      </c>
      <c r="D2800" s="9">
        <f>IFERROR(__xludf.DUMMYFUNCTION("""COMPUTED_VALUE"""),602.5)</f>
        <v>602.5</v>
      </c>
      <c r="E2800" s="9">
        <f>IFERROR(__xludf.DUMMYFUNCTION("""COMPUTED_VALUE"""),607.5)</f>
        <v>607.5</v>
      </c>
      <c r="F2800" s="9">
        <f>IFERROR(__xludf.DUMMYFUNCTION("""COMPUTED_VALUE"""),2266939.0)</f>
        <v>2266939</v>
      </c>
      <c r="H2800" s="27">
        <f>IFERROR(__xludf.DUMMYFUNCTION("""COMPUTED_VALUE"""),42506.64583333333)</f>
        <v>42506.64583</v>
      </c>
      <c r="I2800" s="25">
        <f>IFERROR(__xludf.DUMMYFUNCTION("""COMPUTED_VALUE"""),1269.0)</f>
        <v>1269</v>
      </c>
      <c r="J2800" s="25">
        <f>IFERROR(__xludf.DUMMYFUNCTION("""COMPUTED_VALUE"""),1282.4)</f>
        <v>1282.4</v>
      </c>
      <c r="K2800" s="25">
        <f>IFERROR(__xludf.DUMMYFUNCTION("""COMPUTED_VALUE"""),1261.25)</f>
        <v>1261.25</v>
      </c>
      <c r="L2800" s="25">
        <f>IFERROR(__xludf.DUMMYFUNCTION("""COMPUTED_VALUE"""),1275.58)</f>
        <v>1275.58</v>
      </c>
      <c r="M2800" s="25">
        <f>IFERROR(__xludf.DUMMYFUNCTION("""COMPUTED_VALUE"""),555763.0)</f>
        <v>555763</v>
      </c>
    </row>
    <row r="2801">
      <c r="A2801" s="26">
        <f>IFERROR(__xludf.DUMMYFUNCTION("""COMPUTED_VALUE"""),42507.64583333333)</f>
        <v>42507.64583</v>
      </c>
      <c r="B2801" s="9">
        <f>IFERROR(__xludf.DUMMYFUNCTION("""COMPUTED_VALUE"""),610.0)</f>
        <v>610</v>
      </c>
      <c r="C2801" s="9">
        <f>IFERROR(__xludf.DUMMYFUNCTION("""COMPUTED_VALUE"""),612.88)</f>
        <v>612.88</v>
      </c>
      <c r="D2801" s="9">
        <f>IFERROR(__xludf.DUMMYFUNCTION("""COMPUTED_VALUE"""),604.08)</f>
        <v>604.08</v>
      </c>
      <c r="E2801" s="9">
        <f>IFERROR(__xludf.DUMMYFUNCTION("""COMPUTED_VALUE"""),607.13)</f>
        <v>607.13</v>
      </c>
      <c r="F2801" s="9">
        <f>IFERROR(__xludf.DUMMYFUNCTION("""COMPUTED_VALUE"""),1898147.0)</f>
        <v>1898147</v>
      </c>
      <c r="H2801" s="27">
        <f>IFERROR(__xludf.DUMMYFUNCTION("""COMPUTED_VALUE"""),42507.64583333333)</f>
        <v>42507.64583</v>
      </c>
      <c r="I2801" s="25">
        <f>IFERROR(__xludf.DUMMYFUNCTION("""COMPUTED_VALUE"""),1282.1)</f>
        <v>1282.1</v>
      </c>
      <c r="J2801" s="25">
        <f>IFERROR(__xludf.DUMMYFUNCTION("""COMPUTED_VALUE"""),1295.63)</f>
        <v>1295.63</v>
      </c>
      <c r="K2801" s="25">
        <f>IFERROR(__xludf.DUMMYFUNCTION("""COMPUTED_VALUE"""),1276.0)</f>
        <v>1276</v>
      </c>
      <c r="L2801" s="25">
        <f>IFERROR(__xludf.DUMMYFUNCTION("""COMPUTED_VALUE"""),1285.1)</f>
        <v>1285.1</v>
      </c>
      <c r="M2801" s="25">
        <f>IFERROR(__xludf.DUMMYFUNCTION("""COMPUTED_VALUE"""),878349.0)</f>
        <v>878349</v>
      </c>
    </row>
    <row r="2802">
      <c r="A2802" s="26">
        <f>IFERROR(__xludf.DUMMYFUNCTION("""COMPUTED_VALUE"""),42508.64583333333)</f>
        <v>42508.64583</v>
      </c>
      <c r="B2802" s="9">
        <f>IFERROR(__xludf.DUMMYFUNCTION("""COMPUTED_VALUE"""),599.5)</f>
        <v>599.5</v>
      </c>
      <c r="C2802" s="9">
        <f>IFERROR(__xludf.DUMMYFUNCTION("""COMPUTED_VALUE"""),607.0)</f>
        <v>607</v>
      </c>
      <c r="D2802" s="9">
        <f>IFERROR(__xludf.DUMMYFUNCTION("""COMPUTED_VALUE"""),598.95)</f>
        <v>598.95</v>
      </c>
      <c r="E2802" s="9">
        <f>IFERROR(__xludf.DUMMYFUNCTION("""COMPUTED_VALUE"""),604.92)</f>
        <v>604.92</v>
      </c>
      <c r="F2802" s="9">
        <f>IFERROR(__xludf.DUMMYFUNCTION("""COMPUTED_VALUE"""),2128298.0)</f>
        <v>2128298</v>
      </c>
      <c r="H2802" s="27">
        <f>IFERROR(__xludf.DUMMYFUNCTION("""COMPUTED_VALUE"""),42508.64583333333)</f>
        <v>42508.64583</v>
      </c>
      <c r="I2802" s="25">
        <f>IFERROR(__xludf.DUMMYFUNCTION("""COMPUTED_VALUE"""),1282.93)</f>
        <v>1282.93</v>
      </c>
      <c r="J2802" s="25">
        <f>IFERROR(__xludf.DUMMYFUNCTION("""COMPUTED_VALUE"""),1282.93)</f>
        <v>1282.93</v>
      </c>
      <c r="K2802" s="25">
        <f>IFERROR(__xludf.DUMMYFUNCTION("""COMPUTED_VALUE"""),1263.03)</f>
        <v>1263.03</v>
      </c>
      <c r="L2802" s="25">
        <f>IFERROR(__xludf.DUMMYFUNCTION("""COMPUTED_VALUE"""),1275.55)</f>
        <v>1275.55</v>
      </c>
      <c r="M2802" s="25">
        <f>IFERROR(__xludf.DUMMYFUNCTION("""COMPUTED_VALUE"""),750370.0)</f>
        <v>750370</v>
      </c>
    </row>
    <row r="2803">
      <c r="A2803" s="26">
        <f>IFERROR(__xludf.DUMMYFUNCTION("""COMPUTED_VALUE"""),42509.64583333333)</f>
        <v>42509.64583</v>
      </c>
      <c r="B2803" s="9">
        <f>IFERROR(__xludf.DUMMYFUNCTION("""COMPUTED_VALUE"""),605.48)</f>
        <v>605.48</v>
      </c>
      <c r="C2803" s="9">
        <f>IFERROR(__xludf.DUMMYFUNCTION("""COMPUTED_VALUE"""),608.08)</f>
        <v>608.08</v>
      </c>
      <c r="D2803" s="9">
        <f>IFERROR(__xludf.DUMMYFUNCTION("""COMPUTED_VALUE"""),600.5)</f>
        <v>600.5</v>
      </c>
      <c r="E2803" s="9">
        <f>IFERROR(__xludf.DUMMYFUNCTION("""COMPUTED_VALUE"""),602.88)</f>
        <v>602.88</v>
      </c>
      <c r="F2803" s="9">
        <f>IFERROR(__xludf.DUMMYFUNCTION("""COMPUTED_VALUE"""),1977200.0)</f>
        <v>1977200</v>
      </c>
      <c r="H2803" s="27">
        <f>IFERROR(__xludf.DUMMYFUNCTION("""COMPUTED_VALUE"""),42509.64583333333)</f>
        <v>42509.64583</v>
      </c>
      <c r="I2803" s="25">
        <f>IFERROR(__xludf.DUMMYFUNCTION("""COMPUTED_VALUE"""),1277.5)</f>
        <v>1277.5</v>
      </c>
      <c r="J2803" s="25">
        <f>IFERROR(__xludf.DUMMYFUNCTION("""COMPUTED_VALUE"""),1280.0)</f>
        <v>1280</v>
      </c>
      <c r="K2803" s="25">
        <f>IFERROR(__xludf.DUMMYFUNCTION("""COMPUTED_VALUE"""),1263.05)</f>
        <v>1263.05</v>
      </c>
      <c r="L2803" s="25">
        <f>IFERROR(__xludf.DUMMYFUNCTION("""COMPUTED_VALUE"""),1278.47)</f>
        <v>1278.47</v>
      </c>
      <c r="M2803" s="25">
        <f>IFERROR(__xludf.DUMMYFUNCTION("""COMPUTED_VALUE"""),519396.0)</f>
        <v>519396</v>
      </c>
    </row>
    <row r="2804">
      <c r="A2804" s="26">
        <f>IFERROR(__xludf.DUMMYFUNCTION("""COMPUTED_VALUE"""),42510.64583333333)</f>
        <v>42510.64583</v>
      </c>
      <c r="B2804" s="9">
        <f>IFERROR(__xludf.DUMMYFUNCTION("""COMPUTED_VALUE"""),602.5)</f>
        <v>602.5</v>
      </c>
      <c r="C2804" s="9">
        <f>IFERROR(__xludf.DUMMYFUNCTION("""COMPUTED_VALUE"""),609.75)</f>
        <v>609.75</v>
      </c>
      <c r="D2804" s="9">
        <f>IFERROR(__xludf.DUMMYFUNCTION("""COMPUTED_VALUE"""),600.0)</f>
        <v>600</v>
      </c>
      <c r="E2804" s="9">
        <f>IFERROR(__xludf.DUMMYFUNCTION("""COMPUTED_VALUE"""),600.8)</f>
        <v>600.8</v>
      </c>
      <c r="F2804" s="9">
        <f>IFERROR(__xludf.DUMMYFUNCTION("""COMPUTED_VALUE"""),1997274.0)</f>
        <v>1997274</v>
      </c>
      <c r="H2804" s="27">
        <f>IFERROR(__xludf.DUMMYFUNCTION("""COMPUTED_VALUE"""),42510.64583333333)</f>
        <v>42510.64583</v>
      </c>
      <c r="I2804" s="25">
        <f>IFERROR(__xludf.DUMMYFUNCTION("""COMPUTED_VALUE"""),1271.15)</f>
        <v>1271.15</v>
      </c>
      <c r="J2804" s="25">
        <f>IFERROR(__xludf.DUMMYFUNCTION("""COMPUTED_VALUE"""),1282.9)</f>
        <v>1282.9</v>
      </c>
      <c r="K2804" s="25">
        <f>IFERROR(__xludf.DUMMYFUNCTION("""COMPUTED_VALUE"""),1261.4)</f>
        <v>1261.4</v>
      </c>
      <c r="L2804" s="25">
        <f>IFERROR(__xludf.DUMMYFUNCTION("""COMPUTED_VALUE"""),1264.65)</f>
        <v>1264.65</v>
      </c>
      <c r="M2804" s="25">
        <f>IFERROR(__xludf.DUMMYFUNCTION("""COMPUTED_VALUE"""),615459.0)</f>
        <v>615459</v>
      </c>
    </row>
    <row r="2805">
      <c r="A2805" s="26">
        <f>IFERROR(__xludf.DUMMYFUNCTION("""COMPUTED_VALUE"""),42513.64583333333)</f>
        <v>42513.64583</v>
      </c>
      <c r="B2805" s="9">
        <f>IFERROR(__xludf.DUMMYFUNCTION("""COMPUTED_VALUE"""),601.7)</f>
        <v>601.7</v>
      </c>
      <c r="C2805" s="9">
        <f>IFERROR(__xludf.DUMMYFUNCTION("""COMPUTED_VALUE"""),602.58)</f>
        <v>602.58</v>
      </c>
      <c r="D2805" s="9">
        <f>IFERROR(__xludf.DUMMYFUNCTION("""COMPUTED_VALUE"""),592.5)</f>
        <v>592.5</v>
      </c>
      <c r="E2805" s="9">
        <f>IFERROR(__xludf.DUMMYFUNCTION("""COMPUTED_VALUE"""),594.0)</f>
        <v>594</v>
      </c>
      <c r="F2805" s="9">
        <f>IFERROR(__xludf.DUMMYFUNCTION("""COMPUTED_VALUE"""),2292973.0)</f>
        <v>2292973</v>
      </c>
      <c r="H2805" s="27">
        <f>IFERROR(__xludf.DUMMYFUNCTION("""COMPUTED_VALUE"""),42513.64583333333)</f>
        <v>42513.64583</v>
      </c>
      <c r="I2805" s="25">
        <f>IFERROR(__xludf.DUMMYFUNCTION("""COMPUTED_VALUE"""),1272.0)</f>
        <v>1272</v>
      </c>
      <c r="J2805" s="25">
        <f>IFERROR(__xludf.DUMMYFUNCTION("""COMPUTED_VALUE"""),1272.95)</f>
        <v>1272.95</v>
      </c>
      <c r="K2805" s="25">
        <f>IFERROR(__xludf.DUMMYFUNCTION("""COMPUTED_VALUE"""),1240.1)</f>
        <v>1240.1</v>
      </c>
      <c r="L2805" s="25">
        <f>IFERROR(__xludf.DUMMYFUNCTION("""COMPUTED_VALUE"""),1245.72)</f>
        <v>1245.72</v>
      </c>
      <c r="M2805" s="25">
        <f>IFERROR(__xludf.DUMMYFUNCTION("""COMPUTED_VALUE"""),766508.0)</f>
        <v>766508</v>
      </c>
    </row>
    <row r="2806">
      <c r="A2806" s="26">
        <f>IFERROR(__xludf.DUMMYFUNCTION("""COMPUTED_VALUE"""),42514.64583333333)</f>
        <v>42514.64583</v>
      </c>
      <c r="B2806" s="9">
        <f>IFERROR(__xludf.DUMMYFUNCTION("""COMPUTED_VALUE"""),595.53)</f>
        <v>595.53</v>
      </c>
      <c r="C2806" s="9">
        <f>IFERROR(__xludf.DUMMYFUNCTION("""COMPUTED_VALUE"""),595.88)</f>
        <v>595.88</v>
      </c>
      <c r="D2806" s="9">
        <f>IFERROR(__xludf.DUMMYFUNCTION("""COMPUTED_VALUE"""),588.8)</f>
        <v>588.8</v>
      </c>
      <c r="E2806" s="9">
        <f>IFERROR(__xludf.DUMMYFUNCTION("""COMPUTED_VALUE"""),593.88)</f>
        <v>593.88</v>
      </c>
      <c r="F2806" s="9">
        <f>IFERROR(__xludf.DUMMYFUNCTION("""COMPUTED_VALUE"""),1742530.0)</f>
        <v>1742530</v>
      </c>
      <c r="H2806" s="27">
        <f>IFERROR(__xludf.DUMMYFUNCTION("""COMPUTED_VALUE"""),42514.64583333333)</f>
        <v>42514.64583</v>
      </c>
      <c r="I2806" s="25">
        <f>IFERROR(__xludf.DUMMYFUNCTION("""COMPUTED_VALUE"""),1242.0)</f>
        <v>1242</v>
      </c>
      <c r="J2806" s="25">
        <f>IFERROR(__xludf.DUMMYFUNCTION("""COMPUTED_VALUE"""),1244.13)</f>
        <v>1244.13</v>
      </c>
      <c r="K2806" s="25">
        <f>IFERROR(__xludf.DUMMYFUNCTION("""COMPUTED_VALUE"""),1229.8)</f>
        <v>1229.8</v>
      </c>
      <c r="L2806" s="25">
        <f>IFERROR(__xludf.DUMMYFUNCTION("""COMPUTED_VALUE"""),1233.85)</f>
        <v>1233.85</v>
      </c>
      <c r="M2806" s="25">
        <f>IFERROR(__xludf.DUMMYFUNCTION("""COMPUTED_VALUE"""),669579.0)</f>
        <v>669579</v>
      </c>
    </row>
    <row r="2807">
      <c r="A2807" s="26">
        <f>IFERROR(__xludf.DUMMYFUNCTION("""COMPUTED_VALUE"""),42515.64583333333)</f>
        <v>42515.64583</v>
      </c>
      <c r="B2807" s="9">
        <f>IFERROR(__xludf.DUMMYFUNCTION("""COMPUTED_VALUE"""),597.05)</f>
        <v>597.05</v>
      </c>
      <c r="C2807" s="9">
        <f>IFERROR(__xludf.DUMMYFUNCTION("""COMPUTED_VALUE"""),606.55)</f>
        <v>606.55</v>
      </c>
      <c r="D2807" s="9">
        <f>IFERROR(__xludf.DUMMYFUNCTION("""COMPUTED_VALUE"""),597.05)</f>
        <v>597.05</v>
      </c>
      <c r="E2807" s="9">
        <f>IFERROR(__xludf.DUMMYFUNCTION("""COMPUTED_VALUE"""),604.33)</f>
        <v>604.33</v>
      </c>
      <c r="F2807" s="9">
        <f>IFERROR(__xludf.DUMMYFUNCTION("""COMPUTED_VALUE"""),1928698.0)</f>
        <v>1928698</v>
      </c>
      <c r="H2807" s="27">
        <f>IFERROR(__xludf.DUMMYFUNCTION("""COMPUTED_VALUE"""),42515.64583333333)</f>
        <v>42515.64583</v>
      </c>
      <c r="I2807" s="25">
        <f>IFERROR(__xludf.DUMMYFUNCTION("""COMPUTED_VALUE"""),1240.5)</f>
        <v>1240.5</v>
      </c>
      <c r="J2807" s="25">
        <f>IFERROR(__xludf.DUMMYFUNCTION("""COMPUTED_VALUE"""),1266.47)</f>
        <v>1266.47</v>
      </c>
      <c r="K2807" s="25">
        <f>IFERROR(__xludf.DUMMYFUNCTION("""COMPUTED_VALUE"""),1240.5)</f>
        <v>1240.5</v>
      </c>
      <c r="L2807" s="25">
        <f>IFERROR(__xludf.DUMMYFUNCTION("""COMPUTED_VALUE"""),1263.22)</f>
        <v>1263.22</v>
      </c>
      <c r="M2807" s="25">
        <f>IFERROR(__xludf.DUMMYFUNCTION("""COMPUTED_VALUE"""),774339.0)</f>
        <v>774339</v>
      </c>
    </row>
    <row r="2808">
      <c r="A2808" s="26">
        <f>IFERROR(__xludf.DUMMYFUNCTION("""COMPUTED_VALUE"""),42516.64583333333)</f>
        <v>42516.64583</v>
      </c>
      <c r="B2808" s="9">
        <f>IFERROR(__xludf.DUMMYFUNCTION("""COMPUTED_VALUE"""),605.05)</f>
        <v>605.05</v>
      </c>
      <c r="C2808" s="9">
        <f>IFERROR(__xludf.DUMMYFUNCTION("""COMPUTED_VALUE"""),619.9)</f>
        <v>619.9</v>
      </c>
      <c r="D2808" s="9">
        <f>IFERROR(__xludf.DUMMYFUNCTION("""COMPUTED_VALUE"""),605.05)</f>
        <v>605.05</v>
      </c>
      <c r="E2808" s="9">
        <f>IFERROR(__xludf.DUMMYFUNCTION("""COMPUTED_VALUE"""),617.08)</f>
        <v>617.08</v>
      </c>
      <c r="F2808" s="9">
        <f>IFERROR(__xludf.DUMMYFUNCTION("""COMPUTED_VALUE"""),3068218.0)</f>
        <v>3068218</v>
      </c>
      <c r="H2808" s="27">
        <f>IFERROR(__xludf.DUMMYFUNCTION("""COMPUTED_VALUE"""),42516.64583333333)</f>
        <v>42516.64583</v>
      </c>
      <c r="I2808" s="25">
        <f>IFERROR(__xludf.DUMMYFUNCTION("""COMPUTED_VALUE"""),1265.0)</f>
        <v>1265</v>
      </c>
      <c r="J2808" s="25">
        <f>IFERROR(__xludf.DUMMYFUNCTION("""COMPUTED_VALUE"""),1282.45)</f>
        <v>1282.45</v>
      </c>
      <c r="K2808" s="25">
        <f>IFERROR(__xludf.DUMMYFUNCTION("""COMPUTED_VALUE"""),1252.55)</f>
        <v>1252.55</v>
      </c>
      <c r="L2808" s="25">
        <f>IFERROR(__xludf.DUMMYFUNCTION("""COMPUTED_VALUE"""),1274.35)</f>
        <v>1274.35</v>
      </c>
      <c r="M2808" s="25">
        <f>IFERROR(__xludf.DUMMYFUNCTION("""COMPUTED_VALUE"""),971624.0)</f>
        <v>971624</v>
      </c>
    </row>
    <row r="2809">
      <c r="A2809" s="26">
        <f>IFERROR(__xludf.DUMMYFUNCTION("""COMPUTED_VALUE"""),42517.64583333333)</f>
        <v>42517.64583</v>
      </c>
      <c r="B2809" s="9">
        <f>IFERROR(__xludf.DUMMYFUNCTION("""COMPUTED_VALUE"""),615.8)</f>
        <v>615.8</v>
      </c>
      <c r="C2809" s="9">
        <f>IFERROR(__xludf.DUMMYFUNCTION("""COMPUTED_VALUE"""),629.75)</f>
        <v>629.75</v>
      </c>
      <c r="D2809" s="9">
        <f>IFERROR(__xludf.DUMMYFUNCTION("""COMPUTED_VALUE"""),615.8)</f>
        <v>615.8</v>
      </c>
      <c r="E2809" s="9">
        <f>IFERROR(__xludf.DUMMYFUNCTION("""COMPUTED_VALUE"""),623.75)</f>
        <v>623.75</v>
      </c>
      <c r="F2809" s="9">
        <f>IFERROR(__xludf.DUMMYFUNCTION("""COMPUTED_VALUE"""),3090382.0)</f>
        <v>3090382</v>
      </c>
      <c r="H2809" s="27">
        <f>IFERROR(__xludf.DUMMYFUNCTION("""COMPUTED_VALUE"""),42517.64583333333)</f>
        <v>42517.64583</v>
      </c>
      <c r="I2809" s="25">
        <f>IFERROR(__xludf.DUMMYFUNCTION("""COMPUTED_VALUE"""),1276.58)</f>
        <v>1276.58</v>
      </c>
      <c r="J2809" s="25">
        <f>IFERROR(__xludf.DUMMYFUNCTION("""COMPUTED_VALUE"""),1289.93)</f>
        <v>1289.93</v>
      </c>
      <c r="K2809" s="25">
        <f>IFERROR(__xludf.DUMMYFUNCTION("""COMPUTED_VALUE"""),1275.3)</f>
        <v>1275.3</v>
      </c>
      <c r="L2809" s="25">
        <f>IFERROR(__xludf.DUMMYFUNCTION("""COMPUTED_VALUE"""),1286.33)</f>
        <v>1286.33</v>
      </c>
      <c r="M2809" s="25">
        <f>IFERROR(__xludf.DUMMYFUNCTION("""COMPUTED_VALUE"""),552338.0)</f>
        <v>552338</v>
      </c>
    </row>
    <row r="2810">
      <c r="A2810" s="26">
        <f>IFERROR(__xludf.DUMMYFUNCTION("""COMPUTED_VALUE"""),42520.64583333333)</f>
        <v>42520.64583</v>
      </c>
      <c r="B2810" s="9">
        <f>IFERROR(__xludf.DUMMYFUNCTION("""COMPUTED_VALUE"""),620.75)</f>
        <v>620.75</v>
      </c>
      <c r="C2810" s="9">
        <f>IFERROR(__xludf.DUMMYFUNCTION("""COMPUTED_VALUE"""),636.0)</f>
        <v>636</v>
      </c>
      <c r="D2810" s="9">
        <f>IFERROR(__xludf.DUMMYFUNCTION("""COMPUTED_VALUE"""),620.75)</f>
        <v>620.75</v>
      </c>
      <c r="E2810" s="9">
        <f>IFERROR(__xludf.DUMMYFUNCTION("""COMPUTED_VALUE"""),633.8)</f>
        <v>633.8</v>
      </c>
      <c r="F2810" s="9">
        <f>IFERROR(__xludf.DUMMYFUNCTION("""COMPUTED_VALUE"""),2642850.0)</f>
        <v>2642850</v>
      </c>
      <c r="H2810" s="27">
        <f>IFERROR(__xludf.DUMMYFUNCTION("""COMPUTED_VALUE"""),42520.64583333333)</f>
        <v>42520.64583</v>
      </c>
      <c r="I2810" s="25">
        <f>IFERROR(__xludf.DUMMYFUNCTION("""COMPUTED_VALUE"""),1291.5)</f>
        <v>1291.5</v>
      </c>
      <c r="J2810" s="25">
        <f>IFERROR(__xludf.DUMMYFUNCTION("""COMPUTED_VALUE"""),1320.98)</f>
        <v>1320.98</v>
      </c>
      <c r="K2810" s="25">
        <f>IFERROR(__xludf.DUMMYFUNCTION("""COMPUTED_VALUE"""),1291.0)</f>
        <v>1291</v>
      </c>
      <c r="L2810" s="25">
        <f>IFERROR(__xludf.DUMMYFUNCTION("""COMPUTED_VALUE"""),1318.2)</f>
        <v>1318.2</v>
      </c>
      <c r="M2810" s="25">
        <f>IFERROR(__xludf.DUMMYFUNCTION("""COMPUTED_VALUE"""),674732.0)</f>
        <v>674732</v>
      </c>
    </row>
    <row r="2811">
      <c r="A2811" s="26">
        <f>IFERROR(__xludf.DUMMYFUNCTION("""COMPUTED_VALUE"""),42521.64583333333)</f>
        <v>42521.64583</v>
      </c>
      <c r="B2811" s="9">
        <f>IFERROR(__xludf.DUMMYFUNCTION("""COMPUTED_VALUE"""),632.5)</f>
        <v>632.5</v>
      </c>
      <c r="C2811" s="9">
        <f>IFERROR(__xludf.DUMMYFUNCTION("""COMPUTED_VALUE"""),633.38)</f>
        <v>633.38</v>
      </c>
      <c r="D2811" s="9">
        <f>IFERROR(__xludf.DUMMYFUNCTION("""COMPUTED_VALUE"""),619.5)</f>
        <v>619.5</v>
      </c>
      <c r="E2811" s="9">
        <f>IFERROR(__xludf.DUMMYFUNCTION("""COMPUTED_VALUE"""),624.33)</f>
        <v>624.33</v>
      </c>
      <c r="F2811" s="9">
        <f>IFERROR(__xludf.DUMMYFUNCTION("""COMPUTED_VALUE"""),6891019.0)</f>
        <v>6891019</v>
      </c>
      <c r="H2811" s="27">
        <f>IFERROR(__xludf.DUMMYFUNCTION("""COMPUTED_VALUE"""),42521.64583333333)</f>
        <v>42521.64583</v>
      </c>
      <c r="I2811" s="25">
        <f>IFERROR(__xludf.DUMMYFUNCTION("""COMPUTED_VALUE"""),1320.0)</f>
        <v>1320</v>
      </c>
      <c r="J2811" s="25">
        <f>IFERROR(__xludf.DUMMYFUNCTION("""COMPUTED_VALUE"""),1323.5)</f>
        <v>1323.5</v>
      </c>
      <c r="K2811" s="25">
        <f>IFERROR(__xludf.DUMMYFUNCTION("""COMPUTED_VALUE"""),1281.0)</f>
        <v>1281</v>
      </c>
      <c r="L2811" s="25">
        <f>IFERROR(__xludf.DUMMYFUNCTION("""COMPUTED_VALUE"""),1284.7)</f>
        <v>1284.7</v>
      </c>
      <c r="M2811" s="25">
        <f>IFERROR(__xludf.DUMMYFUNCTION("""COMPUTED_VALUE"""),1861304.0)</f>
        <v>1861304</v>
      </c>
    </row>
    <row r="2812">
      <c r="A2812" s="26">
        <f>IFERROR(__xludf.DUMMYFUNCTION("""COMPUTED_VALUE"""),42522.64583333333)</f>
        <v>42522.64583</v>
      </c>
      <c r="B2812" s="9">
        <f>IFERROR(__xludf.DUMMYFUNCTION("""COMPUTED_VALUE"""),623.03)</f>
        <v>623.03</v>
      </c>
      <c r="C2812" s="9">
        <f>IFERROR(__xludf.DUMMYFUNCTION("""COMPUTED_VALUE"""),634.25)</f>
        <v>634.25</v>
      </c>
      <c r="D2812" s="9">
        <f>IFERROR(__xludf.DUMMYFUNCTION("""COMPUTED_VALUE"""),623.0)</f>
        <v>623</v>
      </c>
      <c r="E2812" s="9">
        <f>IFERROR(__xludf.DUMMYFUNCTION("""COMPUTED_VALUE"""),629.1)</f>
        <v>629.1</v>
      </c>
      <c r="F2812" s="9">
        <f>IFERROR(__xludf.DUMMYFUNCTION("""COMPUTED_VALUE"""),2420267.0)</f>
        <v>2420267</v>
      </c>
      <c r="H2812" s="27">
        <f>IFERROR(__xludf.DUMMYFUNCTION("""COMPUTED_VALUE"""),42522.64583333333)</f>
        <v>42522.64583</v>
      </c>
      <c r="I2812" s="25">
        <f>IFERROR(__xludf.DUMMYFUNCTION("""COMPUTED_VALUE"""),1285.6)</f>
        <v>1285.6</v>
      </c>
      <c r="J2812" s="25">
        <f>IFERROR(__xludf.DUMMYFUNCTION("""COMPUTED_VALUE"""),1322.5)</f>
        <v>1322.5</v>
      </c>
      <c r="K2812" s="25">
        <f>IFERROR(__xludf.DUMMYFUNCTION("""COMPUTED_VALUE"""),1285.5)</f>
        <v>1285.5</v>
      </c>
      <c r="L2812" s="25">
        <f>IFERROR(__xludf.DUMMYFUNCTION("""COMPUTED_VALUE"""),1316.78)</f>
        <v>1316.78</v>
      </c>
      <c r="M2812" s="25">
        <f>IFERROR(__xludf.DUMMYFUNCTION("""COMPUTED_VALUE"""),955971.0)</f>
        <v>955971</v>
      </c>
    </row>
    <row r="2813">
      <c r="A2813" s="26">
        <f>IFERROR(__xludf.DUMMYFUNCTION("""COMPUTED_VALUE"""),42523.64583333333)</f>
        <v>42523.64583</v>
      </c>
      <c r="B2813" s="9">
        <f>IFERROR(__xludf.DUMMYFUNCTION("""COMPUTED_VALUE"""),627.5)</f>
        <v>627.5</v>
      </c>
      <c r="C2813" s="9">
        <f>IFERROR(__xludf.DUMMYFUNCTION("""COMPUTED_VALUE"""),637.45)</f>
        <v>637.45</v>
      </c>
      <c r="D2813" s="9">
        <f>IFERROR(__xludf.DUMMYFUNCTION("""COMPUTED_VALUE"""),627.0)</f>
        <v>627</v>
      </c>
      <c r="E2813" s="9">
        <f>IFERROR(__xludf.DUMMYFUNCTION("""COMPUTED_VALUE"""),630.78)</f>
        <v>630.78</v>
      </c>
      <c r="F2813" s="9">
        <f>IFERROR(__xludf.DUMMYFUNCTION("""COMPUTED_VALUE"""),2526776.0)</f>
        <v>2526776</v>
      </c>
      <c r="H2813" s="27">
        <f>IFERROR(__xludf.DUMMYFUNCTION("""COMPUTED_VALUE"""),42523.64583333333)</f>
        <v>42523.64583</v>
      </c>
      <c r="I2813" s="25">
        <f>IFERROR(__xludf.DUMMYFUNCTION("""COMPUTED_VALUE"""),1300.0)</f>
        <v>1300</v>
      </c>
      <c r="J2813" s="25">
        <f>IFERROR(__xludf.DUMMYFUNCTION("""COMPUTED_VALUE"""),1327.15)</f>
        <v>1327.15</v>
      </c>
      <c r="K2813" s="25">
        <f>IFERROR(__xludf.DUMMYFUNCTION("""COMPUTED_VALUE"""),1300.0)</f>
        <v>1300</v>
      </c>
      <c r="L2813" s="25">
        <f>IFERROR(__xludf.DUMMYFUNCTION("""COMPUTED_VALUE"""),1325.08)</f>
        <v>1325.08</v>
      </c>
      <c r="M2813" s="25">
        <f>IFERROR(__xludf.DUMMYFUNCTION("""COMPUTED_VALUE"""),704378.0)</f>
        <v>704378</v>
      </c>
    </row>
    <row r="2814">
      <c r="A2814" s="26">
        <f>IFERROR(__xludf.DUMMYFUNCTION("""COMPUTED_VALUE"""),42524.64583333333)</f>
        <v>42524.64583</v>
      </c>
      <c r="B2814" s="9">
        <f>IFERROR(__xludf.DUMMYFUNCTION("""COMPUTED_VALUE"""),630.03)</f>
        <v>630.03</v>
      </c>
      <c r="C2814" s="9">
        <f>IFERROR(__xludf.DUMMYFUNCTION("""COMPUTED_VALUE"""),639.65)</f>
        <v>639.65</v>
      </c>
      <c r="D2814" s="9">
        <f>IFERROR(__xludf.DUMMYFUNCTION("""COMPUTED_VALUE"""),630.03)</f>
        <v>630.03</v>
      </c>
      <c r="E2814" s="9">
        <f>IFERROR(__xludf.DUMMYFUNCTION("""COMPUTED_VALUE"""),633.45)</f>
        <v>633.45</v>
      </c>
      <c r="F2814" s="9">
        <f>IFERROR(__xludf.DUMMYFUNCTION("""COMPUTED_VALUE"""),1999190.0)</f>
        <v>1999190</v>
      </c>
      <c r="H2814" s="27">
        <f>IFERROR(__xludf.DUMMYFUNCTION("""COMPUTED_VALUE"""),42524.64583333333)</f>
        <v>42524.64583</v>
      </c>
      <c r="I2814" s="25">
        <f>IFERROR(__xludf.DUMMYFUNCTION("""COMPUTED_VALUE"""),1325.7)</f>
        <v>1325.7</v>
      </c>
      <c r="J2814" s="25">
        <f>IFERROR(__xludf.DUMMYFUNCTION("""COMPUTED_VALUE"""),1329.0)</f>
        <v>1329</v>
      </c>
      <c r="K2814" s="25">
        <f>IFERROR(__xludf.DUMMYFUNCTION("""COMPUTED_VALUE"""),1310.25)</f>
        <v>1310.25</v>
      </c>
      <c r="L2814" s="25">
        <f>IFERROR(__xludf.DUMMYFUNCTION("""COMPUTED_VALUE"""),1314.78)</f>
        <v>1314.78</v>
      </c>
      <c r="M2814" s="25">
        <f>IFERROR(__xludf.DUMMYFUNCTION("""COMPUTED_VALUE"""),777461.0)</f>
        <v>777461</v>
      </c>
    </row>
    <row r="2815">
      <c r="A2815" s="26">
        <f>IFERROR(__xludf.DUMMYFUNCTION("""COMPUTED_VALUE"""),42527.64583333333)</f>
        <v>42527.64583</v>
      </c>
      <c r="B2815" s="9">
        <f>IFERROR(__xludf.DUMMYFUNCTION("""COMPUTED_VALUE"""),632.45)</f>
        <v>632.45</v>
      </c>
      <c r="C2815" s="9">
        <f>IFERROR(__xludf.DUMMYFUNCTION("""COMPUTED_VALUE"""),638.5)</f>
        <v>638.5</v>
      </c>
      <c r="D2815" s="9">
        <f>IFERROR(__xludf.DUMMYFUNCTION("""COMPUTED_VALUE"""),630.55)</f>
        <v>630.55</v>
      </c>
      <c r="E2815" s="9">
        <f>IFERROR(__xludf.DUMMYFUNCTION("""COMPUTED_VALUE"""),633.38)</f>
        <v>633.38</v>
      </c>
      <c r="F2815" s="9">
        <f>IFERROR(__xludf.DUMMYFUNCTION("""COMPUTED_VALUE"""),2112884.0)</f>
        <v>2112884</v>
      </c>
      <c r="H2815" s="27">
        <f>IFERROR(__xludf.DUMMYFUNCTION("""COMPUTED_VALUE"""),42527.64583333333)</f>
        <v>42527.64583</v>
      </c>
      <c r="I2815" s="25">
        <f>IFERROR(__xludf.DUMMYFUNCTION("""COMPUTED_VALUE"""),1310.25)</f>
        <v>1310.25</v>
      </c>
      <c r="J2815" s="25">
        <f>IFERROR(__xludf.DUMMYFUNCTION("""COMPUTED_VALUE"""),1319.5)</f>
        <v>1319.5</v>
      </c>
      <c r="K2815" s="25">
        <f>IFERROR(__xludf.DUMMYFUNCTION("""COMPUTED_VALUE"""),1301.6)</f>
        <v>1301.6</v>
      </c>
      <c r="L2815" s="25">
        <f>IFERROR(__xludf.DUMMYFUNCTION("""COMPUTED_VALUE"""),1306.25)</f>
        <v>1306.25</v>
      </c>
      <c r="M2815" s="25">
        <f>IFERROR(__xludf.DUMMYFUNCTION("""COMPUTED_VALUE"""),661013.0)</f>
        <v>661013</v>
      </c>
    </row>
    <row r="2816">
      <c r="A2816" s="26">
        <f>IFERROR(__xludf.DUMMYFUNCTION("""COMPUTED_VALUE"""),42528.64583333333)</f>
        <v>42528.64583</v>
      </c>
      <c r="B2816" s="9">
        <f>IFERROR(__xludf.DUMMYFUNCTION("""COMPUTED_VALUE"""),633.5)</f>
        <v>633.5</v>
      </c>
      <c r="C2816" s="9">
        <f>IFERROR(__xludf.DUMMYFUNCTION("""COMPUTED_VALUE"""),636.25)</f>
        <v>636.25</v>
      </c>
      <c r="D2816" s="9">
        <f>IFERROR(__xludf.DUMMYFUNCTION("""COMPUTED_VALUE"""),627.55)</f>
        <v>627.55</v>
      </c>
      <c r="E2816" s="9">
        <f>IFERROR(__xludf.DUMMYFUNCTION("""COMPUTED_VALUE"""),628.7)</f>
        <v>628.7</v>
      </c>
      <c r="F2816" s="9">
        <f>IFERROR(__xludf.DUMMYFUNCTION("""COMPUTED_VALUE"""),2846210.0)</f>
        <v>2846210</v>
      </c>
      <c r="H2816" s="27">
        <f>IFERROR(__xludf.DUMMYFUNCTION("""COMPUTED_VALUE"""),42528.64583333333)</f>
        <v>42528.64583</v>
      </c>
      <c r="I2816" s="25">
        <f>IFERROR(__xludf.DUMMYFUNCTION("""COMPUTED_VALUE"""),1307.0)</f>
        <v>1307</v>
      </c>
      <c r="J2816" s="25">
        <f>IFERROR(__xludf.DUMMYFUNCTION("""COMPUTED_VALUE"""),1319.5)</f>
        <v>1319.5</v>
      </c>
      <c r="K2816" s="25">
        <f>IFERROR(__xludf.DUMMYFUNCTION("""COMPUTED_VALUE"""),1306.5)</f>
        <v>1306.5</v>
      </c>
      <c r="L2816" s="25">
        <f>IFERROR(__xludf.DUMMYFUNCTION("""COMPUTED_VALUE"""),1315.58)</f>
        <v>1315.58</v>
      </c>
      <c r="M2816" s="25">
        <f>IFERROR(__xludf.DUMMYFUNCTION("""COMPUTED_VALUE"""),601097.0)</f>
        <v>601097</v>
      </c>
    </row>
    <row r="2817">
      <c r="A2817" s="26">
        <f>IFERROR(__xludf.DUMMYFUNCTION("""COMPUTED_VALUE"""),42529.64583333333)</f>
        <v>42529.64583</v>
      </c>
      <c r="B2817" s="9">
        <f>IFERROR(__xludf.DUMMYFUNCTION("""COMPUTED_VALUE"""),631.98)</f>
        <v>631.98</v>
      </c>
      <c r="C2817" s="9">
        <f>IFERROR(__xludf.DUMMYFUNCTION("""COMPUTED_VALUE"""),631.98)</f>
        <v>631.98</v>
      </c>
      <c r="D2817" s="9">
        <f>IFERROR(__xludf.DUMMYFUNCTION("""COMPUTED_VALUE"""),617.67)</f>
        <v>617.67</v>
      </c>
      <c r="E2817" s="9">
        <f>IFERROR(__xludf.DUMMYFUNCTION("""COMPUTED_VALUE"""),619.05)</f>
        <v>619.05</v>
      </c>
      <c r="F2817" s="9">
        <f>IFERROR(__xludf.DUMMYFUNCTION("""COMPUTED_VALUE"""),4370685.0)</f>
        <v>4370685</v>
      </c>
      <c r="H2817" s="27">
        <f>IFERROR(__xludf.DUMMYFUNCTION("""COMPUTED_VALUE"""),42529.64583333333)</f>
        <v>42529.64583</v>
      </c>
      <c r="I2817" s="25">
        <f>IFERROR(__xludf.DUMMYFUNCTION("""COMPUTED_VALUE"""),1308.63)</f>
        <v>1308.63</v>
      </c>
      <c r="J2817" s="25">
        <f>IFERROR(__xludf.DUMMYFUNCTION("""COMPUTED_VALUE"""),1314.28)</f>
        <v>1314.28</v>
      </c>
      <c r="K2817" s="25">
        <f>IFERROR(__xludf.DUMMYFUNCTION("""COMPUTED_VALUE"""),1302.75)</f>
        <v>1302.75</v>
      </c>
      <c r="L2817" s="25">
        <f>IFERROR(__xludf.DUMMYFUNCTION("""COMPUTED_VALUE"""),1306.55)</f>
        <v>1306.55</v>
      </c>
      <c r="M2817" s="25">
        <f>IFERROR(__xludf.DUMMYFUNCTION("""COMPUTED_VALUE"""),469133.0)</f>
        <v>469133</v>
      </c>
    </row>
    <row r="2818">
      <c r="A2818" s="26">
        <f>IFERROR(__xludf.DUMMYFUNCTION("""COMPUTED_VALUE"""),42530.64583333333)</f>
        <v>42530.64583</v>
      </c>
      <c r="B2818" s="9">
        <f>IFERROR(__xludf.DUMMYFUNCTION("""COMPUTED_VALUE"""),613.13)</f>
        <v>613.13</v>
      </c>
      <c r="C2818" s="9">
        <f>IFERROR(__xludf.DUMMYFUNCTION("""COMPUTED_VALUE"""),613.13)</f>
        <v>613.13</v>
      </c>
      <c r="D2818" s="9">
        <f>IFERROR(__xludf.DUMMYFUNCTION("""COMPUTED_VALUE"""),590.03)</f>
        <v>590.03</v>
      </c>
      <c r="E2818" s="9">
        <f>IFERROR(__xludf.DUMMYFUNCTION("""COMPUTED_VALUE"""),592.75)</f>
        <v>592.75</v>
      </c>
      <c r="F2818" s="9">
        <f>IFERROR(__xludf.DUMMYFUNCTION("""COMPUTED_VALUE"""),6370402.0)</f>
        <v>6370402</v>
      </c>
      <c r="H2818" s="27">
        <f>IFERROR(__xludf.DUMMYFUNCTION("""COMPUTED_VALUE"""),42530.64583333333)</f>
        <v>42530.64583</v>
      </c>
      <c r="I2818" s="25">
        <f>IFERROR(__xludf.DUMMYFUNCTION("""COMPUTED_VALUE"""),1311.2)</f>
        <v>1311.2</v>
      </c>
      <c r="J2818" s="25">
        <f>IFERROR(__xludf.DUMMYFUNCTION("""COMPUTED_VALUE"""),1311.2)</f>
        <v>1311.2</v>
      </c>
      <c r="K2818" s="25">
        <f>IFERROR(__xludf.DUMMYFUNCTION("""COMPUTED_VALUE"""),1277.6)</f>
        <v>1277.6</v>
      </c>
      <c r="L2818" s="25">
        <f>IFERROR(__xludf.DUMMYFUNCTION("""COMPUTED_VALUE"""),1288.63)</f>
        <v>1288.63</v>
      </c>
      <c r="M2818" s="25">
        <f>IFERROR(__xludf.DUMMYFUNCTION("""COMPUTED_VALUE"""),781069.0)</f>
        <v>781069</v>
      </c>
    </row>
    <row r="2819">
      <c r="A2819" s="26">
        <f>IFERROR(__xludf.DUMMYFUNCTION("""COMPUTED_VALUE"""),42531.64583333333)</f>
        <v>42531.64583</v>
      </c>
      <c r="B2819" s="9">
        <f>IFERROR(__xludf.DUMMYFUNCTION("""COMPUTED_VALUE"""),587.7)</f>
        <v>587.7</v>
      </c>
      <c r="C2819" s="9">
        <f>IFERROR(__xludf.DUMMYFUNCTION("""COMPUTED_VALUE"""),595.0)</f>
        <v>595</v>
      </c>
      <c r="D2819" s="9">
        <f>IFERROR(__xludf.DUMMYFUNCTION("""COMPUTED_VALUE"""),585.05)</f>
        <v>585.05</v>
      </c>
      <c r="E2819" s="9">
        <f>IFERROR(__xludf.DUMMYFUNCTION("""COMPUTED_VALUE"""),590.3)</f>
        <v>590.3</v>
      </c>
      <c r="F2819" s="9">
        <f>IFERROR(__xludf.DUMMYFUNCTION("""COMPUTED_VALUE"""),3191978.0)</f>
        <v>3191978</v>
      </c>
      <c r="H2819" s="27">
        <f>IFERROR(__xludf.DUMMYFUNCTION("""COMPUTED_VALUE"""),42531.64583333333)</f>
        <v>42531.64583</v>
      </c>
      <c r="I2819" s="25">
        <f>IFERROR(__xludf.DUMMYFUNCTION("""COMPUTED_VALUE"""),1283.0)</f>
        <v>1283</v>
      </c>
      <c r="J2819" s="25">
        <f>IFERROR(__xludf.DUMMYFUNCTION("""COMPUTED_VALUE"""),1301.63)</f>
        <v>1301.63</v>
      </c>
      <c r="K2819" s="25">
        <f>IFERROR(__xludf.DUMMYFUNCTION("""COMPUTED_VALUE"""),1276.6)</f>
        <v>1276.6</v>
      </c>
      <c r="L2819" s="25">
        <f>IFERROR(__xludf.DUMMYFUNCTION("""COMPUTED_VALUE"""),1277.88)</f>
        <v>1277.88</v>
      </c>
      <c r="M2819" s="25">
        <f>IFERROR(__xludf.DUMMYFUNCTION("""COMPUTED_VALUE"""),698416.0)</f>
        <v>698416</v>
      </c>
    </row>
    <row r="2820">
      <c r="A2820" s="26">
        <f>IFERROR(__xludf.DUMMYFUNCTION("""COMPUTED_VALUE"""),42534.64583333333)</f>
        <v>42534.64583</v>
      </c>
      <c r="B2820" s="9">
        <f>IFERROR(__xludf.DUMMYFUNCTION("""COMPUTED_VALUE"""),588.4)</f>
        <v>588.4</v>
      </c>
      <c r="C2820" s="9">
        <f>IFERROR(__xludf.DUMMYFUNCTION("""COMPUTED_VALUE"""),592.45)</f>
        <v>592.45</v>
      </c>
      <c r="D2820" s="9">
        <f>IFERROR(__xludf.DUMMYFUNCTION("""COMPUTED_VALUE"""),583.0)</f>
        <v>583</v>
      </c>
      <c r="E2820" s="9">
        <f>IFERROR(__xludf.DUMMYFUNCTION("""COMPUTED_VALUE"""),590.45)</f>
        <v>590.45</v>
      </c>
      <c r="F2820" s="9">
        <f>IFERROR(__xludf.DUMMYFUNCTION("""COMPUTED_VALUE"""),2643361.0)</f>
        <v>2643361</v>
      </c>
      <c r="H2820" s="27">
        <f>IFERROR(__xludf.DUMMYFUNCTION("""COMPUTED_VALUE"""),42534.64583333333)</f>
        <v>42534.64583</v>
      </c>
      <c r="I2820" s="25">
        <f>IFERROR(__xludf.DUMMYFUNCTION("""COMPUTED_VALUE"""),1270.0)</f>
        <v>1270</v>
      </c>
      <c r="J2820" s="25">
        <f>IFERROR(__xludf.DUMMYFUNCTION("""COMPUTED_VALUE"""),1276.68)</f>
        <v>1276.68</v>
      </c>
      <c r="K2820" s="25">
        <f>IFERROR(__xludf.DUMMYFUNCTION("""COMPUTED_VALUE"""),1259.0)</f>
        <v>1259</v>
      </c>
      <c r="L2820" s="25">
        <f>IFERROR(__xludf.DUMMYFUNCTION("""COMPUTED_VALUE"""),1273.5)</f>
        <v>1273.5</v>
      </c>
      <c r="M2820" s="25">
        <f>IFERROR(__xludf.DUMMYFUNCTION("""COMPUTED_VALUE"""),514989.0)</f>
        <v>514989</v>
      </c>
    </row>
    <row r="2821">
      <c r="A2821" s="26">
        <f>IFERROR(__xludf.DUMMYFUNCTION("""COMPUTED_VALUE"""),42535.64583333333)</f>
        <v>42535.64583</v>
      </c>
      <c r="B2821" s="9">
        <f>IFERROR(__xludf.DUMMYFUNCTION("""COMPUTED_VALUE"""),591.2)</f>
        <v>591.2</v>
      </c>
      <c r="C2821" s="9">
        <f>IFERROR(__xludf.DUMMYFUNCTION("""COMPUTED_VALUE"""),591.2)</f>
        <v>591.2</v>
      </c>
      <c r="D2821" s="9">
        <f>IFERROR(__xludf.DUMMYFUNCTION("""COMPUTED_VALUE"""),583.63)</f>
        <v>583.63</v>
      </c>
      <c r="E2821" s="9">
        <f>IFERROR(__xludf.DUMMYFUNCTION("""COMPUTED_VALUE"""),587.5)</f>
        <v>587.5</v>
      </c>
      <c r="F2821" s="9">
        <f>IFERROR(__xludf.DUMMYFUNCTION("""COMPUTED_VALUE"""),1470364.0)</f>
        <v>1470364</v>
      </c>
      <c r="H2821" s="27">
        <f>IFERROR(__xludf.DUMMYFUNCTION("""COMPUTED_VALUE"""),42535.64583333333)</f>
        <v>42535.64583</v>
      </c>
      <c r="I2821" s="25">
        <f>IFERROR(__xludf.DUMMYFUNCTION("""COMPUTED_VALUE"""),1279.47)</f>
        <v>1279.47</v>
      </c>
      <c r="J2821" s="25">
        <f>IFERROR(__xludf.DUMMYFUNCTION("""COMPUTED_VALUE"""),1279.47)</f>
        <v>1279.47</v>
      </c>
      <c r="K2821" s="25">
        <f>IFERROR(__xludf.DUMMYFUNCTION("""COMPUTED_VALUE"""),1259.13)</f>
        <v>1259.13</v>
      </c>
      <c r="L2821" s="25">
        <f>IFERROR(__xludf.DUMMYFUNCTION("""COMPUTED_VALUE"""),1267.43)</f>
        <v>1267.43</v>
      </c>
      <c r="M2821" s="25">
        <f>IFERROR(__xludf.DUMMYFUNCTION("""COMPUTED_VALUE"""),488785.0)</f>
        <v>488785</v>
      </c>
    </row>
    <row r="2822">
      <c r="A2822" s="26">
        <f>IFERROR(__xludf.DUMMYFUNCTION("""COMPUTED_VALUE"""),42536.64583333333)</f>
        <v>42536.64583</v>
      </c>
      <c r="B2822" s="9">
        <f>IFERROR(__xludf.DUMMYFUNCTION("""COMPUTED_VALUE"""),591.85)</f>
        <v>591.85</v>
      </c>
      <c r="C2822" s="9">
        <f>IFERROR(__xludf.DUMMYFUNCTION("""COMPUTED_VALUE"""),596.33)</f>
        <v>596.33</v>
      </c>
      <c r="D2822" s="9">
        <f>IFERROR(__xludf.DUMMYFUNCTION("""COMPUTED_VALUE"""),589.53)</f>
        <v>589.53</v>
      </c>
      <c r="E2822" s="9">
        <f>IFERROR(__xludf.DUMMYFUNCTION("""COMPUTED_VALUE"""),594.98)</f>
        <v>594.98</v>
      </c>
      <c r="F2822" s="9">
        <f>IFERROR(__xludf.DUMMYFUNCTION("""COMPUTED_VALUE"""),3355786.0)</f>
        <v>3355786</v>
      </c>
      <c r="H2822" s="27">
        <f>IFERROR(__xludf.DUMMYFUNCTION("""COMPUTED_VALUE"""),42536.64583333333)</f>
        <v>42536.64583</v>
      </c>
      <c r="I2822" s="25">
        <f>IFERROR(__xludf.DUMMYFUNCTION("""COMPUTED_VALUE"""),1265.0)</f>
        <v>1265</v>
      </c>
      <c r="J2822" s="25">
        <f>IFERROR(__xludf.DUMMYFUNCTION("""COMPUTED_VALUE"""),1282.45)</f>
        <v>1282.45</v>
      </c>
      <c r="K2822" s="25">
        <f>IFERROR(__xludf.DUMMYFUNCTION("""COMPUTED_VALUE"""),1261.0)</f>
        <v>1261</v>
      </c>
      <c r="L2822" s="25">
        <f>IFERROR(__xludf.DUMMYFUNCTION("""COMPUTED_VALUE"""),1278.43)</f>
        <v>1278.43</v>
      </c>
      <c r="M2822" s="25">
        <f>IFERROR(__xludf.DUMMYFUNCTION("""COMPUTED_VALUE"""),635422.0)</f>
        <v>635422</v>
      </c>
    </row>
    <row r="2823">
      <c r="A2823" s="26">
        <f>IFERROR(__xludf.DUMMYFUNCTION("""COMPUTED_VALUE"""),42537.64583333333)</f>
        <v>42537.64583</v>
      </c>
      <c r="B2823" s="9">
        <f>IFERROR(__xludf.DUMMYFUNCTION("""COMPUTED_VALUE"""),594.75)</f>
        <v>594.75</v>
      </c>
      <c r="C2823" s="9">
        <f>IFERROR(__xludf.DUMMYFUNCTION("""COMPUTED_VALUE"""),594.75)</f>
        <v>594.75</v>
      </c>
      <c r="D2823" s="9">
        <f>IFERROR(__xludf.DUMMYFUNCTION("""COMPUTED_VALUE"""),585.05)</f>
        <v>585.05</v>
      </c>
      <c r="E2823" s="9">
        <f>IFERROR(__xludf.DUMMYFUNCTION("""COMPUTED_VALUE"""),593.0)</f>
        <v>593</v>
      </c>
      <c r="F2823" s="9">
        <f>IFERROR(__xludf.DUMMYFUNCTION("""COMPUTED_VALUE"""),2651282.0)</f>
        <v>2651282</v>
      </c>
      <c r="H2823" s="27">
        <f>IFERROR(__xludf.DUMMYFUNCTION("""COMPUTED_VALUE"""),42537.64583333333)</f>
        <v>42537.64583</v>
      </c>
      <c r="I2823" s="25">
        <f>IFERROR(__xludf.DUMMYFUNCTION("""COMPUTED_VALUE"""),1272.78)</f>
        <v>1272.78</v>
      </c>
      <c r="J2823" s="25">
        <f>IFERROR(__xludf.DUMMYFUNCTION("""COMPUTED_VALUE"""),1282.35)</f>
        <v>1282.35</v>
      </c>
      <c r="K2823" s="25">
        <f>IFERROR(__xludf.DUMMYFUNCTION("""COMPUTED_VALUE"""),1258.22)</f>
        <v>1258.22</v>
      </c>
      <c r="L2823" s="25">
        <f>IFERROR(__xludf.DUMMYFUNCTION("""COMPUTED_VALUE"""),1279.15)</f>
        <v>1279.15</v>
      </c>
      <c r="M2823" s="25">
        <f>IFERROR(__xludf.DUMMYFUNCTION("""COMPUTED_VALUE"""),572535.0)</f>
        <v>572535</v>
      </c>
    </row>
    <row r="2824">
      <c r="A2824" s="26">
        <f>IFERROR(__xludf.DUMMYFUNCTION("""COMPUTED_VALUE"""),42538.64583333333)</f>
        <v>42538.64583</v>
      </c>
      <c r="B2824" s="9">
        <f>IFERROR(__xludf.DUMMYFUNCTION("""COMPUTED_VALUE"""),594.5)</f>
        <v>594.5</v>
      </c>
      <c r="C2824" s="9">
        <f>IFERROR(__xludf.DUMMYFUNCTION("""COMPUTED_VALUE"""),596.38)</f>
        <v>596.38</v>
      </c>
      <c r="D2824" s="9">
        <f>IFERROR(__xludf.DUMMYFUNCTION("""COMPUTED_VALUE"""),587.55)</f>
        <v>587.55</v>
      </c>
      <c r="E2824" s="9">
        <f>IFERROR(__xludf.DUMMYFUNCTION("""COMPUTED_VALUE"""),589.75)</f>
        <v>589.75</v>
      </c>
      <c r="F2824" s="9">
        <f>IFERROR(__xludf.DUMMYFUNCTION("""COMPUTED_VALUE"""),4257541.0)</f>
        <v>4257541</v>
      </c>
      <c r="H2824" s="27">
        <f>IFERROR(__xludf.DUMMYFUNCTION("""COMPUTED_VALUE"""),42538.64583333333)</f>
        <v>42538.64583</v>
      </c>
      <c r="I2824" s="25">
        <f>IFERROR(__xludf.DUMMYFUNCTION("""COMPUTED_VALUE"""),1279.5)</f>
        <v>1279.5</v>
      </c>
      <c r="J2824" s="25">
        <f>IFERROR(__xludf.DUMMYFUNCTION("""COMPUTED_VALUE"""),1305.0)</f>
        <v>1305</v>
      </c>
      <c r="K2824" s="25">
        <f>IFERROR(__xludf.DUMMYFUNCTION("""COMPUTED_VALUE"""),1279.5)</f>
        <v>1279.5</v>
      </c>
      <c r="L2824" s="25">
        <f>IFERROR(__xludf.DUMMYFUNCTION("""COMPUTED_VALUE"""),1301.3)</f>
        <v>1301.3</v>
      </c>
      <c r="M2824" s="25">
        <f>IFERROR(__xludf.DUMMYFUNCTION("""COMPUTED_VALUE"""),939494.0)</f>
        <v>939494</v>
      </c>
    </row>
    <row r="2825">
      <c r="A2825" s="26">
        <f>IFERROR(__xludf.DUMMYFUNCTION("""COMPUTED_VALUE"""),42541.64583333333)</f>
        <v>42541.64583</v>
      </c>
      <c r="B2825" s="9">
        <f>IFERROR(__xludf.DUMMYFUNCTION("""COMPUTED_VALUE"""),590.5)</f>
        <v>590.5</v>
      </c>
      <c r="C2825" s="9">
        <f>IFERROR(__xludf.DUMMYFUNCTION("""COMPUTED_VALUE"""),605.9)</f>
        <v>605.9</v>
      </c>
      <c r="D2825" s="9">
        <f>IFERROR(__xludf.DUMMYFUNCTION("""COMPUTED_VALUE"""),589.85)</f>
        <v>589.85</v>
      </c>
      <c r="E2825" s="9">
        <f>IFERROR(__xludf.DUMMYFUNCTION("""COMPUTED_VALUE"""),604.38)</f>
        <v>604.38</v>
      </c>
      <c r="F2825" s="9">
        <f>IFERROR(__xludf.DUMMYFUNCTION("""COMPUTED_VALUE"""),3114783.0)</f>
        <v>3114783</v>
      </c>
      <c r="H2825" s="27">
        <f>IFERROR(__xludf.DUMMYFUNCTION("""COMPUTED_VALUE"""),42541.64583333333)</f>
        <v>42541.64583</v>
      </c>
      <c r="I2825" s="25">
        <f>IFERROR(__xludf.DUMMYFUNCTION("""COMPUTED_VALUE"""),1301.3)</f>
        <v>1301.3</v>
      </c>
      <c r="J2825" s="25">
        <f>IFERROR(__xludf.DUMMYFUNCTION("""COMPUTED_VALUE"""),1334.0)</f>
        <v>1334</v>
      </c>
      <c r="K2825" s="25">
        <f>IFERROR(__xludf.DUMMYFUNCTION("""COMPUTED_VALUE"""),1295.9)</f>
        <v>1295.9</v>
      </c>
      <c r="L2825" s="25">
        <f>IFERROR(__xludf.DUMMYFUNCTION("""COMPUTED_VALUE"""),1329.65)</f>
        <v>1329.65</v>
      </c>
      <c r="M2825" s="25">
        <f>IFERROR(__xludf.DUMMYFUNCTION("""COMPUTED_VALUE"""),936419.0)</f>
        <v>936419</v>
      </c>
    </row>
    <row r="2826">
      <c r="A2826" s="26">
        <f>IFERROR(__xludf.DUMMYFUNCTION("""COMPUTED_VALUE"""),42542.64583333333)</f>
        <v>42542.64583</v>
      </c>
      <c r="B2826" s="9">
        <f>IFERROR(__xludf.DUMMYFUNCTION("""COMPUTED_VALUE"""),605.6)</f>
        <v>605.6</v>
      </c>
      <c r="C2826" s="9">
        <f>IFERROR(__xludf.DUMMYFUNCTION("""COMPUTED_VALUE"""),607.4)</f>
        <v>607.4</v>
      </c>
      <c r="D2826" s="9">
        <f>IFERROR(__xludf.DUMMYFUNCTION("""COMPUTED_VALUE"""),597.83)</f>
        <v>597.83</v>
      </c>
      <c r="E2826" s="9">
        <f>IFERROR(__xludf.DUMMYFUNCTION("""COMPUTED_VALUE"""),603.05)</f>
        <v>603.05</v>
      </c>
      <c r="F2826" s="9">
        <f>IFERROR(__xludf.DUMMYFUNCTION("""COMPUTED_VALUE"""),2380862.0)</f>
        <v>2380862</v>
      </c>
      <c r="H2826" s="27">
        <f>IFERROR(__xludf.DUMMYFUNCTION("""COMPUTED_VALUE"""),42542.64583333333)</f>
        <v>42542.64583</v>
      </c>
      <c r="I2826" s="25">
        <f>IFERROR(__xludf.DUMMYFUNCTION("""COMPUTED_VALUE"""),1331.75)</f>
        <v>1331.75</v>
      </c>
      <c r="J2826" s="25">
        <f>IFERROR(__xludf.DUMMYFUNCTION("""COMPUTED_VALUE"""),1332.5)</f>
        <v>1332.5</v>
      </c>
      <c r="K2826" s="25">
        <f>IFERROR(__xludf.DUMMYFUNCTION("""COMPUTED_VALUE"""),1320.7)</f>
        <v>1320.7</v>
      </c>
      <c r="L2826" s="25">
        <f>IFERROR(__xludf.DUMMYFUNCTION("""COMPUTED_VALUE"""),1325.6)</f>
        <v>1325.6</v>
      </c>
      <c r="M2826" s="25">
        <f>IFERROR(__xludf.DUMMYFUNCTION("""COMPUTED_VALUE"""),513845.0)</f>
        <v>513845</v>
      </c>
    </row>
    <row r="2827">
      <c r="A2827" s="26">
        <f>IFERROR(__xludf.DUMMYFUNCTION("""COMPUTED_VALUE"""),42543.64583333333)</f>
        <v>42543.64583</v>
      </c>
      <c r="B2827" s="9">
        <f>IFERROR(__xludf.DUMMYFUNCTION("""COMPUTED_VALUE"""),602.0)</f>
        <v>602</v>
      </c>
      <c r="C2827" s="9">
        <f>IFERROR(__xludf.DUMMYFUNCTION("""COMPUTED_VALUE"""),605.98)</f>
        <v>605.98</v>
      </c>
      <c r="D2827" s="9">
        <f>IFERROR(__xludf.DUMMYFUNCTION("""COMPUTED_VALUE"""),594.08)</f>
        <v>594.08</v>
      </c>
      <c r="E2827" s="9">
        <f>IFERROR(__xludf.DUMMYFUNCTION("""COMPUTED_VALUE"""),599.75)</f>
        <v>599.75</v>
      </c>
      <c r="F2827" s="9">
        <f>IFERROR(__xludf.DUMMYFUNCTION("""COMPUTED_VALUE"""),1515629.0)</f>
        <v>1515629</v>
      </c>
      <c r="H2827" s="27">
        <f>IFERROR(__xludf.DUMMYFUNCTION("""COMPUTED_VALUE"""),42543.64583333333)</f>
        <v>42543.64583</v>
      </c>
      <c r="I2827" s="25">
        <f>IFERROR(__xludf.DUMMYFUNCTION("""COMPUTED_VALUE"""),1325.0)</f>
        <v>1325</v>
      </c>
      <c r="J2827" s="25">
        <f>IFERROR(__xludf.DUMMYFUNCTION("""COMPUTED_VALUE"""),1338.85)</f>
        <v>1338.85</v>
      </c>
      <c r="K2827" s="25">
        <f>IFERROR(__xludf.DUMMYFUNCTION("""COMPUTED_VALUE"""),1315.88)</f>
        <v>1315.88</v>
      </c>
      <c r="L2827" s="25">
        <f>IFERROR(__xludf.DUMMYFUNCTION("""COMPUTED_VALUE"""),1333.83)</f>
        <v>1333.83</v>
      </c>
      <c r="M2827" s="25">
        <f>IFERROR(__xludf.DUMMYFUNCTION("""COMPUTED_VALUE"""),880856.0)</f>
        <v>880856</v>
      </c>
    </row>
    <row r="2828">
      <c r="A2828" s="26">
        <f>IFERROR(__xludf.DUMMYFUNCTION("""COMPUTED_VALUE"""),42544.64583333333)</f>
        <v>42544.64583</v>
      </c>
      <c r="B2828" s="9">
        <f>IFERROR(__xludf.DUMMYFUNCTION("""COMPUTED_VALUE"""),598.65)</f>
        <v>598.65</v>
      </c>
      <c r="C2828" s="9">
        <f>IFERROR(__xludf.DUMMYFUNCTION("""COMPUTED_VALUE"""),607.42)</f>
        <v>607.42</v>
      </c>
      <c r="D2828" s="9">
        <f>IFERROR(__xludf.DUMMYFUNCTION("""COMPUTED_VALUE"""),596.67)</f>
        <v>596.67</v>
      </c>
      <c r="E2828" s="9">
        <f>IFERROR(__xludf.DUMMYFUNCTION("""COMPUTED_VALUE"""),605.8)</f>
        <v>605.8</v>
      </c>
      <c r="F2828" s="9">
        <f>IFERROR(__xludf.DUMMYFUNCTION("""COMPUTED_VALUE"""),1914313.0)</f>
        <v>1914313</v>
      </c>
      <c r="H2828" s="27">
        <f>IFERROR(__xludf.DUMMYFUNCTION("""COMPUTED_VALUE"""),42544.64583333333)</f>
        <v>42544.64583</v>
      </c>
      <c r="I2828" s="25">
        <f>IFERROR(__xludf.DUMMYFUNCTION("""COMPUTED_VALUE"""),1327.5)</f>
        <v>1327.5</v>
      </c>
      <c r="J2828" s="25">
        <f>IFERROR(__xludf.DUMMYFUNCTION("""COMPUTED_VALUE"""),1329.75)</f>
        <v>1329.75</v>
      </c>
      <c r="K2828" s="25">
        <f>IFERROR(__xludf.DUMMYFUNCTION("""COMPUTED_VALUE"""),1312.65)</f>
        <v>1312.65</v>
      </c>
      <c r="L2828" s="25">
        <f>IFERROR(__xludf.DUMMYFUNCTION("""COMPUTED_VALUE"""),1322.68)</f>
        <v>1322.68</v>
      </c>
      <c r="M2828" s="25">
        <f>IFERROR(__xludf.DUMMYFUNCTION("""COMPUTED_VALUE"""),698507.0)</f>
        <v>698507</v>
      </c>
    </row>
    <row r="2829">
      <c r="A2829" s="26">
        <f>IFERROR(__xludf.DUMMYFUNCTION("""COMPUTED_VALUE"""),42545.64583333333)</f>
        <v>42545.64583</v>
      </c>
      <c r="B2829" s="9">
        <f>IFERROR(__xludf.DUMMYFUNCTION("""COMPUTED_VALUE"""),594.0)</f>
        <v>594</v>
      </c>
      <c r="C2829" s="9">
        <f>IFERROR(__xludf.DUMMYFUNCTION("""COMPUTED_VALUE"""),599.5)</f>
        <v>599.5</v>
      </c>
      <c r="D2829" s="9">
        <f>IFERROR(__xludf.DUMMYFUNCTION("""COMPUTED_VALUE"""),580.0)</f>
        <v>580</v>
      </c>
      <c r="E2829" s="9">
        <f>IFERROR(__xludf.DUMMYFUNCTION("""COMPUTED_VALUE"""),597.28)</f>
        <v>597.28</v>
      </c>
      <c r="F2829" s="9">
        <f>IFERROR(__xludf.DUMMYFUNCTION("""COMPUTED_VALUE"""),3904174.0)</f>
        <v>3904174</v>
      </c>
      <c r="H2829" s="27">
        <f>IFERROR(__xludf.DUMMYFUNCTION("""COMPUTED_VALUE"""),42545.64583333333)</f>
        <v>42545.64583</v>
      </c>
      <c r="I2829" s="25">
        <f>IFERROR(__xludf.DUMMYFUNCTION("""COMPUTED_VALUE"""),1282.58)</f>
        <v>1282.58</v>
      </c>
      <c r="J2829" s="25">
        <f>IFERROR(__xludf.DUMMYFUNCTION("""COMPUTED_VALUE"""),1296.6)</f>
        <v>1296.6</v>
      </c>
      <c r="K2829" s="25">
        <f>IFERROR(__xludf.DUMMYFUNCTION("""COMPUTED_VALUE"""),1257.08)</f>
        <v>1257.08</v>
      </c>
      <c r="L2829" s="25">
        <f>IFERROR(__xludf.DUMMYFUNCTION("""COMPUTED_VALUE"""),1286.97)</f>
        <v>1286.97</v>
      </c>
      <c r="M2829" s="25">
        <f>IFERROR(__xludf.DUMMYFUNCTION("""COMPUTED_VALUE"""),1883293.0)</f>
        <v>1883293</v>
      </c>
    </row>
    <row r="2830">
      <c r="A2830" s="26">
        <f>IFERROR(__xludf.DUMMYFUNCTION("""COMPUTED_VALUE"""),42548.64583333333)</f>
        <v>42548.64583</v>
      </c>
      <c r="B2830" s="9">
        <f>IFERROR(__xludf.DUMMYFUNCTION("""COMPUTED_VALUE"""),586.03)</f>
        <v>586.03</v>
      </c>
      <c r="C2830" s="9">
        <f>IFERROR(__xludf.DUMMYFUNCTION("""COMPUTED_VALUE"""),591.6)</f>
        <v>591.6</v>
      </c>
      <c r="D2830" s="9">
        <f>IFERROR(__xludf.DUMMYFUNCTION("""COMPUTED_VALUE"""),580.0)</f>
        <v>580</v>
      </c>
      <c r="E2830" s="9">
        <f>IFERROR(__xludf.DUMMYFUNCTION("""COMPUTED_VALUE"""),583.1)</f>
        <v>583.1</v>
      </c>
      <c r="F2830" s="9">
        <f>IFERROR(__xludf.DUMMYFUNCTION("""COMPUTED_VALUE"""),2791889.0)</f>
        <v>2791889</v>
      </c>
      <c r="H2830" s="27">
        <f>IFERROR(__xludf.DUMMYFUNCTION("""COMPUTED_VALUE"""),42548.64583333333)</f>
        <v>42548.64583</v>
      </c>
      <c r="I2830" s="25">
        <f>IFERROR(__xludf.DUMMYFUNCTION("""COMPUTED_VALUE"""),1273.5)</f>
        <v>1273.5</v>
      </c>
      <c r="J2830" s="25">
        <f>IFERROR(__xludf.DUMMYFUNCTION("""COMPUTED_VALUE"""),1273.5)</f>
        <v>1273.5</v>
      </c>
      <c r="K2830" s="25">
        <f>IFERROR(__xludf.DUMMYFUNCTION("""COMPUTED_VALUE"""),1241.33)</f>
        <v>1241.33</v>
      </c>
      <c r="L2830" s="25">
        <f>IFERROR(__xludf.DUMMYFUNCTION("""COMPUTED_VALUE"""),1247.93)</f>
        <v>1247.93</v>
      </c>
      <c r="M2830" s="25">
        <f>IFERROR(__xludf.DUMMYFUNCTION("""COMPUTED_VALUE"""),2136283.0)</f>
        <v>2136283</v>
      </c>
    </row>
    <row r="2831">
      <c r="A2831" s="26">
        <f>IFERROR(__xludf.DUMMYFUNCTION("""COMPUTED_VALUE"""),42549.64583333333)</f>
        <v>42549.64583</v>
      </c>
      <c r="B2831" s="9">
        <f>IFERROR(__xludf.DUMMYFUNCTION("""COMPUTED_VALUE"""),581.4)</f>
        <v>581.4</v>
      </c>
      <c r="C2831" s="9">
        <f>IFERROR(__xludf.DUMMYFUNCTION("""COMPUTED_VALUE"""),586.25)</f>
        <v>586.25</v>
      </c>
      <c r="D2831" s="9">
        <f>IFERROR(__xludf.DUMMYFUNCTION("""COMPUTED_VALUE"""),577.55)</f>
        <v>577.55</v>
      </c>
      <c r="E2831" s="9">
        <f>IFERROR(__xludf.DUMMYFUNCTION("""COMPUTED_VALUE"""),579.58)</f>
        <v>579.58</v>
      </c>
      <c r="F2831" s="9">
        <f>IFERROR(__xludf.DUMMYFUNCTION("""COMPUTED_VALUE"""),3827987.0)</f>
        <v>3827987</v>
      </c>
      <c r="H2831" s="27">
        <f>IFERROR(__xludf.DUMMYFUNCTION("""COMPUTED_VALUE"""),42549.64583333333)</f>
        <v>42549.64583</v>
      </c>
      <c r="I2831" s="25">
        <f>IFERROR(__xludf.DUMMYFUNCTION("""COMPUTED_VALUE"""),1247.93)</f>
        <v>1247.93</v>
      </c>
      <c r="J2831" s="25">
        <f>IFERROR(__xludf.DUMMYFUNCTION("""COMPUTED_VALUE"""),1251.45)</f>
        <v>1251.45</v>
      </c>
      <c r="K2831" s="25">
        <f>IFERROR(__xludf.DUMMYFUNCTION("""COMPUTED_VALUE"""),1229.2)</f>
        <v>1229.2</v>
      </c>
      <c r="L2831" s="25">
        <f>IFERROR(__xludf.DUMMYFUNCTION("""COMPUTED_VALUE"""),1231.97)</f>
        <v>1231.97</v>
      </c>
      <c r="M2831" s="25">
        <f>IFERROR(__xludf.DUMMYFUNCTION("""COMPUTED_VALUE"""),2249762.0)</f>
        <v>2249762</v>
      </c>
    </row>
    <row r="2832">
      <c r="A2832" s="26">
        <f>IFERROR(__xludf.DUMMYFUNCTION("""COMPUTED_VALUE"""),42550.64583333333)</f>
        <v>42550.64583</v>
      </c>
      <c r="B2832" s="9">
        <f>IFERROR(__xludf.DUMMYFUNCTION("""COMPUTED_VALUE"""),584.5)</f>
        <v>584.5</v>
      </c>
      <c r="C2832" s="9">
        <f>IFERROR(__xludf.DUMMYFUNCTION("""COMPUTED_VALUE"""),589.95)</f>
        <v>589.95</v>
      </c>
      <c r="D2832" s="9">
        <f>IFERROR(__xludf.DUMMYFUNCTION("""COMPUTED_VALUE"""),580.1)</f>
        <v>580.1</v>
      </c>
      <c r="E2832" s="9">
        <f>IFERROR(__xludf.DUMMYFUNCTION("""COMPUTED_VALUE"""),588.42)</f>
        <v>588.42</v>
      </c>
      <c r="F2832" s="9">
        <f>IFERROR(__xludf.DUMMYFUNCTION("""COMPUTED_VALUE"""),2729575.0)</f>
        <v>2729575</v>
      </c>
      <c r="H2832" s="27">
        <f>IFERROR(__xludf.DUMMYFUNCTION("""COMPUTED_VALUE"""),42550.64583333333)</f>
        <v>42550.64583</v>
      </c>
      <c r="I2832" s="25">
        <f>IFERROR(__xludf.DUMMYFUNCTION("""COMPUTED_VALUE"""),1237.5)</f>
        <v>1237.5</v>
      </c>
      <c r="J2832" s="25">
        <f>IFERROR(__xludf.DUMMYFUNCTION("""COMPUTED_VALUE"""),1256.25)</f>
        <v>1256.25</v>
      </c>
      <c r="K2832" s="25">
        <f>IFERROR(__xludf.DUMMYFUNCTION("""COMPUTED_VALUE"""),1232.65)</f>
        <v>1232.65</v>
      </c>
      <c r="L2832" s="25">
        <f>IFERROR(__xludf.DUMMYFUNCTION("""COMPUTED_VALUE"""),1251.45)</f>
        <v>1251.45</v>
      </c>
      <c r="M2832" s="25">
        <f>IFERROR(__xludf.DUMMYFUNCTION("""COMPUTED_VALUE"""),1265632.0)</f>
        <v>1265632</v>
      </c>
    </row>
    <row r="2833">
      <c r="A2833" s="26">
        <f>IFERROR(__xludf.DUMMYFUNCTION("""COMPUTED_VALUE"""),42551.64583333333)</f>
        <v>42551.64583</v>
      </c>
      <c r="B2833" s="9">
        <f>IFERROR(__xludf.DUMMYFUNCTION("""COMPUTED_VALUE"""),590.25)</f>
        <v>590.25</v>
      </c>
      <c r="C2833" s="9">
        <f>IFERROR(__xludf.DUMMYFUNCTION("""COMPUTED_VALUE"""),592.25)</f>
        <v>592.25</v>
      </c>
      <c r="D2833" s="9">
        <f>IFERROR(__xludf.DUMMYFUNCTION("""COMPUTED_VALUE"""),583.98)</f>
        <v>583.98</v>
      </c>
      <c r="E2833" s="9">
        <f>IFERROR(__xludf.DUMMYFUNCTION("""COMPUTED_VALUE"""),585.4)</f>
        <v>585.4</v>
      </c>
      <c r="F2833" s="9">
        <f>IFERROR(__xludf.DUMMYFUNCTION("""COMPUTED_VALUE"""),4673112.0)</f>
        <v>4673112</v>
      </c>
      <c r="H2833" s="27">
        <f>IFERROR(__xludf.DUMMYFUNCTION("""COMPUTED_VALUE"""),42551.64583333333)</f>
        <v>42551.64583</v>
      </c>
      <c r="I2833" s="25">
        <f>IFERROR(__xludf.DUMMYFUNCTION("""COMPUTED_VALUE"""),1261.0)</f>
        <v>1261</v>
      </c>
      <c r="J2833" s="25">
        <f>IFERROR(__xludf.DUMMYFUNCTION("""COMPUTED_VALUE"""),1281.45)</f>
        <v>1281.45</v>
      </c>
      <c r="K2833" s="25">
        <f>IFERROR(__xludf.DUMMYFUNCTION("""COMPUTED_VALUE"""),1250.18)</f>
        <v>1250.18</v>
      </c>
      <c r="L2833" s="25">
        <f>IFERROR(__xludf.DUMMYFUNCTION("""COMPUTED_VALUE"""),1276.55)</f>
        <v>1276.55</v>
      </c>
      <c r="M2833" s="25">
        <f>IFERROR(__xludf.DUMMYFUNCTION("""COMPUTED_VALUE"""),2560906.0)</f>
        <v>2560906</v>
      </c>
    </row>
    <row r="2834">
      <c r="A2834" s="26">
        <f>IFERROR(__xludf.DUMMYFUNCTION("""COMPUTED_VALUE"""),42552.64583333333)</f>
        <v>42552.64583</v>
      </c>
      <c r="B2834" s="9">
        <f>IFERROR(__xludf.DUMMYFUNCTION("""COMPUTED_VALUE"""),590.0)</f>
        <v>590</v>
      </c>
      <c r="C2834" s="9">
        <f>IFERROR(__xludf.DUMMYFUNCTION("""COMPUTED_VALUE"""),590.0)</f>
        <v>590</v>
      </c>
      <c r="D2834" s="9">
        <f>IFERROR(__xludf.DUMMYFUNCTION("""COMPUTED_VALUE"""),585.05)</f>
        <v>585.05</v>
      </c>
      <c r="E2834" s="9">
        <f>IFERROR(__xludf.DUMMYFUNCTION("""COMPUTED_VALUE"""),586.2)</f>
        <v>586.2</v>
      </c>
      <c r="F2834" s="9">
        <f>IFERROR(__xludf.DUMMYFUNCTION("""COMPUTED_VALUE"""),1995956.0)</f>
        <v>1995956</v>
      </c>
      <c r="H2834" s="27">
        <f>IFERROR(__xludf.DUMMYFUNCTION("""COMPUTED_VALUE"""),42552.64583333333)</f>
        <v>42552.64583</v>
      </c>
      <c r="I2834" s="25">
        <f>IFERROR(__xludf.DUMMYFUNCTION("""COMPUTED_VALUE"""),1281.0)</f>
        <v>1281</v>
      </c>
      <c r="J2834" s="25">
        <f>IFERROR(__xludf.DUMMYFUNCTION("""COMPUTED_VALUE"""),1282.3)</f>
        <v>1282.3</v>
      </c>
      <c r="K2834" s="25">
        <f>IFERROR(__xludf.DUMMYFUNCTION("""COMPUTED_VALUE"""),1247.18)</f>
        <v>1247.18</v>
      </c>
      <c r="L2834" s="25">
        <f>IFERROR(__xludf.DUMMYFUNCTION("""COMPUTED_VALUE"""),1250.43)</f>
        <v>1250.43</v>
      </c>
      <c r="M2834" s="25">
        <f>IFERROR(__xludf.DUMMYFUNCTION("""COMPUTED_VALUE"""),1098648.0)</f>
        <v>1098648</v>
      </c>
    </row>
    <row r="2835">
      <c r="A2835" s="26">
        <f>IFERROR(__xludf.DUMMYFUNCTION("""COMPUTED_VALUE"""),42555.64583333333)</f>
        <v>42555.64583</v>
      </c>
      <c r="B2835" s="9">
        <f>IFERROR(__xludf.DUMMYFUNCTION("""COMPUTED_VALUE"""),588.1)</f>
        <v>588.1</v>
      </c>
      <c r="C2835" s="9">
        <f>IFERROR(__xludf.DUMMYFUNCTION("""COMPUTED_VALUE"""),597.3)</f>
        <v>597.3</v>
      </c>
      <c r="D2835" s="9">
        <f>IFERROR(__xludf.DUMMYFUNCTION("""COMPUTED_VALUE"""),588.1)</f>
        <v>588.1</v>
      </c>
      <c r="E2835" s="9">
        <f>IFERROR(__xludf.DUMMYFUNCTION("""COMPUTED_VALUE"""),591.98)</f>
        <v>591.98</v>
      </c>
      <c r="F2835" s="9">
        <f>IFERROR(__xludf.DUMMYFUNCTION("""COMPUTED_VALUE"""),2690661.0)</f>
        <v>2690661</v>
      </c>
      <c r="H2835" s="27">
        <f>IFERROR(__xludf.DUMMYFUNCTION("""COMPUTED_VALUE"""),42555.64583333333)</f>
        <v>42555.64583</v>
      </c>
      <c r="I2835" s="25">
        <f>IFERROR(__xludf.DUMMYFUNCTION("""COMPUTED_VALUE"""),1258.0)</f>
        <v>1258</v>
      </c>
      <c r="J2835" s="25">
        <f>IFERROR(__xludf.DUMMYFUNCTION("""COMPUTED_VALUE"""),1262.93)</f>
        <v>1262.93</v>
      </c>
      <c r="K2835" s="25">
        <f>IFERROR(__xludf.DUMMYFUNCTION("""COMPUTED_VALUE"""),1241.0)</f>
        <v>1241</v>
      </c>
      <c r="L2835" s="25">
        <f>IFERROR(__xludf.DUMMYFUNCTION("""COMPUTED_VALUE"""),1247.1)</f>
        <v>1247.1</v>
      </c>
      <c r="M2835" s="25">
        <f>IFERROR(__xludf.DUMMYFUNCTION("""COMPUTED_VALUE"""),941742.0)</f>
        <v>941742</v>
      </c>
    </row>
    <row r="2836">
      <c r="A2836" s="26">
        <f>IFERROR(__xludf.DUMMYFUNCTION("""COMPUTED_VALUE"""),42556.64583333333)</f>
        <v>42556.64583</v>
      </c>
      <c r="B2836" s="9">
        <f>IFERROR(__xludf.DUMMYFUNCTION("""COMPUTED_VALUE"""),592.5)</f>
        <v>592.5</v>
      </c>
      <c r="C2836" s="9">
        <f>IFERROR(__xludf.DUMMYFUNCTION("""COMPUTED_VALUE"""),593.75)</f>
        <v>593.75</v>
      </c>
      <c r="D2836" s="9">
        <f>IFERROR(__xludf.DUMMYFUNCTION("""COMPUTED_VALUE"""),585.53)</f>
        <v>585.53</v>
      </c>
      <c r="E2836" s="9">
        <f>IFERROR(__xludf.DUMMYFUNCTION("""COMPUTED_VALUE"""),587.73)</f>
        <v>587.73</v>
      </c>
      <c r="F2836" s="9">
        <f>IFERROR(__xludf.DUMMYFUNCTION("""COMPUTED_VALUE"""),1798208.0)</f>
        <v>1798208</v>
      </c>
      <c r="H2836" s="27">
        <f>IFERROR(__xludf.DUMMYFUNCTION("""COMPUTED_VALUE"""),42556.64583333333)</f>
        <v>42556.64583</v>
      </c>
      <c r="I2836" s="25">
        <f>IFERROR(__xludf.DUMMYFUNCTION("""COMPUTED_VALUE"""),1247.1)</f>
        <v>1247.1</v>
      </c>
      <c r="J2836" s="25">
        <f>IFERROR(__xludf.DUMMYFUNCTION("""COMPUTED_VALUE"""),1248.53)</f>
        <v>1248.53</v>
      </c>
      <c r="K2836" s="25">
        <f>IFERROR(__xludf.DUMMYFUNCTION("""COMPUTED_VALUE"""),1238.58)</f>
        <v>1238.58</v>
      </c>
      <c r="L2836" s="25">
        <f>IFERROR(__xludf.DUMMYFUNCTION("""COMPUTED_VALUE"""),1242.65)</f>
        <v>1242.65</v>
      </c>
      <c r="M2836" s="25">
        <f>IFERROR(__xludf.DUMMYFUNCTION("""COMPUTED_VALUE"""),779874.0)</f>
        <v>779874</v>
      </c>
    </row>
    <row r="2837">
      <c r="A2837" s="26">
        <f>IFERROR(__xludf.DUMMYFUNCTION("""COMPUTED_VALUE"""),42558.64583333333)</f>
        <v>42558.64583</v>
      </c>
      <c r="B2837" s="9">
        <f>IFERROR(__xludf.DUMMYFUNCTION("""COMPUTED_VALUE"""),584.35)</f>
        <v>584.35</v>
      </c>
      <c r="C2837" s="9">
        <f>IFERROR(__xludf.DUMMYFUNCTION("""COMPUTED_VALUE"""),585.5)</f>
        <v>585.5</v>
      </c>
      <c r="D2837" s="9">
        <f>IFERROR(__xludf.DUMMYFUNCTION("""COMPUTED_VALUE"""),577.5)</f>
        <v>577.5</v>
      </c>
      <c r="E2837" s="9">
        <f>IFERROR(__xludf.DUMMYFUNCTION("""COMPUTED_VALUE"""),578.63)</f>
        <v>578.63</v>
      </c>
      <c r="F2837" s="9">
        <f>IFERROR(__xludf.DUMMYFUNCTION("""COMPUTED_VALUE"""),2977438.0)</f>
        <v>2977438</v>
      </c>
      <c r="H2837" s="27">
        <f>IFERROR(__xludf.DUMMYFUNCTION("""COMPUTED_VALUE"""),42558.64583333333)</f>
        <v>42558.64583</v>
      </c>
      <c r="I2837" s="25">
        <f>IFERROR(__xludf.DUMMYFUNCTION("""COMPUTED_VALUE"""),1243.85)</f>
        <v>1243.85</v>
      </c>
      <c r="J2837" s="25">
        <f>IFERROR(__xludf.DUMMYFUNCTION("""COMPUTED_VALUE"""),1245.93)</f>
        <v>1245.93</v>
      </c>
      <c r="K2837" s="25">
        <f>IFERROR(__xludf.DUMMYFUNCTION("""COMPUTED_VALUE"""),1212.5)</f>
        <v>1212.5</v>
      </c>
      <c r="L2837" s="25">
        <f>IFERROR(__xludf.DUMMYFUNCTION("""COMPUTED_VALUE"""),1214.9)</f>
        <v>1214.9</v>
      </c>
      <c r="M2837" s="25">
        <f>IFERROR(__xludf.DUMMYFUNCTION("""COMPUTED_VALUE"""),1658400.0)</f>
        <v>1658400</v>
      </c>
    </row>
    <row r="2838">
      <c r="A2838" s="26">
        <f>IFERROR(__xludf.DUMMYFUNCTION("""COMPUTED_VALUE"""),42559.64583333333)</f>
        <v>42559.64583</v>
      </c>
      <c r="B2838" s="9">
        <f>IFERROR(__xludf.DUMMYFUNCTION("""COMPUTED_VALUE"""),581.5)</f>
        <v>581.5</v>
      </c>
      <c r="C2838" s="9">
        <f>IFERROR(__xludf.DUMMYFUNCTION("""COMPUTED_VALUE"""),583.5)</f>
        <v>583.5</v>
      </c>
      <c r="D2838" s="9">
        <f>IFERROR(__xludf.DUMMYFUNCTION("""COMPUTED_VALUE"""),576.75)</f>
        <v>576.75</v>
      </c>
      <c r="E2838" s="9">
        <f>IFERROR(__xludf.DUMMYFUNCTION("""COMPUTED_VALUE"""),579.1)</f>
        <v>579.1</v>
      </c>
      <c r="F2838" s="9">
        <f>IFERROR(__xludf.DUMMYFUNCTION("""COMPUTED_VALUE"""),2775824.0)</f>
        <v>2775824</v>
      </c>
      <c r="H2838" s="27">
        <f>IFERROR(__xludf.DUMMYFUNCTION("""COMPUTED_VALUE"""),42559.64583333333)</f>
        <v>42559.64583</v>
      </c>
      <c r="I2838" s="25">
        <f>IFERROR(__xludf.DUMMYFUNCTION("""COMPUTED_VALUE"""),1217.5)</f>
        <v>1217.5</v>
      </c>
      <c r="J2838" s="25">
        <f>IFERROR(__xludf.DUMMYFUNCTION("""COMPUTED_VALUE"""),1221.03)</f>
        <v>1221.03</v>
      </c>
      <c r="K2838" s="25">
        <f>IFERROR(__xludf.DUMMYFUNCTION("""COMPUTED_VALUE"""),1201.75)</f>
        <v>1201.75</v>
      </c>
      <c r="L2838" s="25">
        <f>IFERROR(__xludf.DUMMYFUNCTION("""COMPUTED_VALUE"""),1213.3)</f>
        <v>1213.3</v>
      </c>
      <c r="M2838" s="25">
        <f>IFERROR(__xludf.DUMMYFUNCTION("""COMPUTED_VALUE"""),1228178.0)</f>
        <v>1228178</v>
      </c>
    </row>
    <row r="2839">
      <c r="A2839" s="26">
        <f>IFERROR(__xludf.DUMMYFUNCTION("""COMPUTED_VALUE"""),42562.64583333333)</f>
        <v>42562.64583</v>
      </c>
      <c r="B2839" s="9">
        <f>IFERROR(__xludf.DUMMYFUNCTION("""COMPUTED_VALUE"""),583.7)</f>
        <v>583.7</v>
      </c>
      <c r="C2839" s="9">
        <f>IFERROR(__xludf.DUMMYFUNCTION("""COMPUTED_VALUE"""),589.35)</f>
        <v>589.35</v>
      </c>
      <c r="D2839" s="9">
        <f>IFERROR(__xludf.DUMMYFUNCTION("""COMPUTED_VALUE"""),580.0)</f>
        <v>580</v>
      </c>
      <c r="E2839" s="9">
        <f>IFERROR(__xludf.DUMMYFUNCTION("""COMPUTED_VALUE"""),587.53)</f>
        <v>587.53</v>
      </c>
      <c r="F2839" s="9">
        <f>IFERROR(__xludf.DUMMYFUNCTION("""COMPUTED_VALUE"""),3334441.0)</f>
        <v>3334441</v>
      </c>
      <c r="H2839" s="27">
        <f>IFERROR(__xludf.DUMMYFUNCTION("""COMPUTED_VALUE"""),42562.64583333333)</f>
        <v>42562.64583</v>
      </c>
      <c r="I2839" s="25">
        <f>IFERROR(__xludf.DUMMYFUNCTION("""COMPUTED_VALUE"""),1215.0)</f>
        <v>1215</v>
      </c>
      <c r="J2839" s="25">
        <f>IFERROR(__xludf.DUMMYFUNCTION("""COMPUTED_VALUE"""),1235.9)</f>
        <v>1235.9</v>
      </c>
      <c r="K2839" s="25">
        <f>IFERROR(__xludf.DUMMYFUNCTION("""COMPUTED_VALUE"""),1213.5)</f>
        <v>1213.5</v>
      </c>
      <c r="L2839" s="25">
        <f>IFERROR(__xludf.DUMMYFUNCTION("""COMPUTED_VALUE"""),1232.08)</f>
        <v>1232.08</v>
      </c>
      <c r="M2839" s="25">
        <f>IFERROR(__xludf.DUMMYFUNCTION("""COMPUTED_VALUE"""),771816.0)</f>
        <v>771816</v>
      </c>
    </row>
    <row r="2840">
      <c r="A2840" s="26">
        <f>IFERROR(__xludf.DUMMYFUNCTION("""COMPUTED_VALUE"""),42563.64583333333)</f>
        <v>42563.64583</v>
      </c>
      <c r="B2840" s="9">
        <f>IFERROR(__xludf.DUMMYFUNCTION("""COMPUTED_VALUE"""),590.0)</f>
        <v>590</v>
      </c>
      <c r="C2840" s="9">
        <f>IFERROR(__xludf.DUMMYFUNCTION("""COMPUTED_VALUE"""),590.17)</f>
        <v>590.17</v>
      </c>
      <c r="D2840" s="9">
        <f>IFERROR(__xludf.DUMMYFUNCTION("""COMPUTED_VALUE"""),584.0)</f>
        <v>584</v>
      </c>
      <c r="E2840" s="9">
        <f>IFERROR(__xludf.DUMMYFUNCTION("""COMPUTED_VALUE"""),588.28)</f>
        <v>588.28</v>
      </c>
      <c r="F2840" s="9">
        <f>IFERROR(__xludf.DUMMYFUNCTION("""COMPUTED_VALUE"""),3098684.0)</f>
        <v>3098684</v>
      </c>
      <c r="H2840" s="27">
        <f>IFERROR(__xludf.DUMMYFUNCTION("""COMPUTED_VALUE"""),42563.64583333333)</f>
        <v>42563.64583</v>
      </c>
      <c r="I2840" s="25">
        <f>IFERROR(__xludf.DUMMYFUNCTION("""COMPUTED_VALUE"""),1235.85)</f>
        <v>1235.85</v>
      </c>
      <c r="J2840" s="25">
        <f>IFERROR(__xludf.DUMMYFUNCTION("""COMPUTED_VALUE"""),1237.5)</f>
        <v>1237.5</v>
      </c>
      <c r="K2840" s="25">
        <f>IFERROR(__xludf.DUMMYFUNCTION("""COMPUTED_VALUE"""),1217.93)</f>
        <v>1217.93</v>
      </c>
      <c r="L2840" s="25">
        <f>IFERROR(__xludf.DUMMYFUNCTION("""COMPUTED_VALUE"""),1232.47)</f>
        <v>1232.47</v>
      </c>
      <c r="M2840" s="25">
        <f>IFERROR(__xludf.DUMMYFUNCTION("""COMPUTED_VALUE"""),732768.0)</f>
        <v>732768</v>
      </c>
    </row>
    <row r="2841">
      <c r="A2841" s="26">
        <f>IFERROR(__xludf.DUMMYFUNCTION("""COMPUTED_VALUE"""),42564.64583333333)</f>
        <v>42564.64583</v>
      </c>
      <c r="B2841" s="9">
        <f>IFERROR(__xludf.DUMMYFUNCTION("""COMPUTED_VALUE"""),590.0)</f>
        <v>590</v>
      </c>
      <c r="C2841" s="9">
        <f>IFERROR(__xludf.DUMMYFUNCTION("""COMPUTED_VALUE"""),597.9)</f>
        <v>597.9</v>
      </c>
      <c r="D2841" s="9">
        <f>IFERROR(__xludf.DUMMYFUNCTION("""COMPUTED_VALUE"""),587.6)</f>
        <v>587.6</v>
      </c>
      <c r="E2841" s="9">
        <f>IFERROR(__xludf.DUMMYFUNCTION("""COMPUTED_VALUE"""),596.9)</f>
        <v>596.9</v>
      </c>
      <c r="F2841" s="9">
        <f>IFERROR(__xludf.DUMMYFUNCTION("""COMPUTED_VALUE"""),2637710.0)</f>
        <v>2637710</v>
      </c>
      <c r="H2841" s="27">
        <f>IFERROR(__xludf.DUMMYFUNCTION("""COMPUTED_VALUE"""),42564.64583333333)</f>
        <v>42564.64583</v>
      </c>
      <c r="I2841" s="25">
        <f>IFERROR(__xludf.DUMMYFUNCTION("""COMPUTED_VALUE"""),1239.0)</f>
        <v>1239</v>
      </c>
      <c r="J2841" s="25">
        <f>IFERROR(__xludf.DUMMYFUNCTION("""COMPUTED_VALUE"""),1249.63)</f>
        <v>1249.63</v>
      </c>
      <c r="K2841" s="25">
        <f>IFERROR(__xludf.DUMMYFUNCTION("""COMPUTED_VALUE"""),1225.63)</f>
        <v>1225.63</v>
      </c>
      <c r="L2841" s="25">
        <f>IFERROR(__xludf.DUMMYFUNCTION("""COMPUTED_VALUE"""),1246.55)</f>
        <v>1246.55</v>
      </c>
      <c r="M2841" s="25">
        <f>IFERROR(__xludf.DUMMYFUNCTION("""COMPUTED_VALUE"""),1051150.0)</f>
        <v>1051150</v>
      </c>
    </row>
    <row r="2842">
      <c r="A2842" s="26">
        <f>IFERROR(__xludf.DUMMYFUNCTION("""COMPUTED_VALUE"""),42565.64583333333)</f>
        <v>42565.64583</v>
      </c>
      <c r="B2842" s="9">
        <f>IFERROR(__xludf.DUMMYFUNCTION("""COMPUTED_VALUE"""),597.5)</f>
        <v>597.5</v>
      </c>
      <c r="C2842" s="9">
        <f>IFERROR(__xludf.DUMMYFUNCTION("""COMPUTED_VALUE"""),598.03)</f>
        <v>598.03</v>
      </c>
      <c r="D2842" s="9">
        <f>IFERROR(__xludf.DUMMYFUNCTION("""COMPUTED_VALUE"""),582.0)</f>
        <v>582</v>
      </c>
      <c r="E2842" s="9">
        <f>IFERROR(__xludf.DUMMYFUNCTION("""COMPUTED_VALUE"""),588.13)</f>
        <v>588.13</v>
      </c>
      <c r="F2842" s="9">
        <f>IFERROR(__xludf.DUMMYFUNCTION("""COMPUTED_VALUE"""),3706664.0)</f>
        <v>3706664</v>
      </c>
      <c r="H2842" s="27">
        <f>IFERROR(__xludf.DUMMYFUNCTION("""COMPUTED_VALUE"""),42565.64583333333)</f>
        <v>42565.64583</v>
      </c>
      <c r="I2842" s="25">
        <f>IFERROR(__xludf.DUMMYFUNCTION("""COMPUTED_VALUE"""),1243.0)</f>
        <v>1243</v>
      </c>
      <c r="J2842" s="25">
        <f>IFERROR(__xludf.DUMMYFUNCTION("""COMPUTED_VALUE"""),1264.5)</f>
        <v>1264.5</v>
      </c>
      <c r="K2842" s="25">
        <f>IFERROR(__xludf.DUMMYFUNCTION("""COMPUTED_VALUE"""),1235.5)</f>
        <v>1235.5</v>
      </c>
      <c r="L2842" s="25">
        <f>IFERROR(__xludf.DUMMYFUNCTION("""COMPUTED_VALUE"""),1260.95)</f>
        <v>1260.95</v>
      </c>
      <c r="M2842" s="25">
        <f>IFERROR(__xludf.DUMMYFUNCTION("""COMPUTED_VALUE"""),1349994.0)</f>
        <v>1349994</v>
      </c>
    </row>
    <row r="2843">
      <c r="A2843" s="26">
        <f>IFERROR(__xludf.DUMMYFUNCTION("""COMPUTED_VALUE"""),42566.64583333333)</f>
        <v>42566.64583</v>
      </c>
      <c r="B2843" s="9">
        <f>IFERROR(__xludf.DUMMYFUNCTION("""COMPUTED_VALUE"""),594.75)</f>
        <v>594.75</v>
      </c>
      <c r="C2843" s="9">
        <f>IFERROR(__xludf.DUMMYFUNCTION("""COMPUTED_VALUE"""),594.95)</f>
        <v>594.95</v>
      </c>
      <c r="D2843" s="9">
        <f>IFERROR(__xludf.DUMMYFUNCTION("""COMPUTED_VALUE"""),526.0)</f>
        <v>526</v>
      </c>
      <c r="E2843" s="9">
        <f>IFERROR(__xludf.DUMMYFUNCTION("""COMPUTED_VALUE"""),536.28)</f>
        <v>536.28</v>
      </c>
      <c r="F2843" s="9">
        <f>IFERROR(__xludf.DUMMYFUNCTION("""COMPUTED_VALUE"""),3.0742063E7)</f>
        <v>30742063</v>
      </c>
      <c r="H2843" s="27">
        <f>IFERROR(__xludf.DUMMYFUNCTION("""COMPUTED_VALUE"""),42566.64583333333)</f>
        <v>42566.64583</v>
      </c>
      <c r="I2843" s="25">
        <f>IFERROR(__xludf.DUMMYFUNCTION("""COMPUTED_VALUE"""),1258.5)</f>
        <v>1258.5</v>
      </c>
      <c r="J2843" s="25">
        <f>IFERROR(__xludf.DUMMYFUNCTION("""COMPUTED_VALUE"""),1263.9)</f>
        <v>1263.9</v>
      </c>
      <c r="K2843" s="25">
        <f>IFERROR(__xludf.DUMMYFUNCTION("""COMPUTED_VALUE"""),1213.28)</f>
        <v>1213.28</v>
      </c>
      <c r="L2843" s="25">
        <f>IFERROR(__xludf.DUMMYFUNCTION("""COMPUTED_VALUE"""),1222.68)</f>
        <v>1222.68</v>
      </c>
      <c r="M2843" s="25">
        <f>IFERROR(__xludf.DUMMYFUNCTION("""COMPUTED_VALUE"""),4168183.0)</f>
        <v>4168183</v>
      </c>
    </row>
    <row r="2844">
      <c r="A2844" s="26">
        <f>IFERROR(__xludf.DUMMYFUNCTION("""COMPUTED_VALUE"""),42569.64583333333)</f>
        <v>42569.64583</v>
      </c>
      <c r="B2844" s="9">
        <f>IFERROR(__xludf.DUMMYFUNCTION("""COMPUTED_VALUE"""),538.63)</f>
        <v>538.63</v>
      </c>
      <c r="C2844" s="9">
        <f>IFERROR(__xludf.DUMMYFUNCTION("""COMPUTED_VALUE"""),542.45)</f>
        <v>542.45</v>
      </c>
      <c r="D2844" s="9">
        <f>IFERROR(__xludf.DUMMYFUNCTION("""COMPUTED_VALUE"""),527.58)</f>
        <v>527.58</v>
      </c>
      <c r="E2844" s="9">
        <f>IFERROR(__xludf.DUMMYFUNCTION("""COMPUTED_VALUE"""),540.98)</f>
        <v>540.98</v>
      </c>
      <c r="F2844" s="9">
        <f>IFERROR(__xludf.DUMMYFUNCTION("""COMPUTED_VALUE"""),7166412.0)</f>
        <v>7166412</v>
      </c>
      <c r="H2844" s="27">
        <f>IFERROR(__xludf.DUMMYFUNCTION("""COMPUTED_VALUE"""),42569.64583333333)</f>
        <v>42569.64583</v>
      </c>
      <c r="I2844" s="25">
        <f>IFERROR(__xludf.DUMMYFUNCTION("""COMPUTED_VALUE"""),1223.5)</f>
        <v>1223.5</v>
      </c>
      <c r="J2844" s="25">
        <f>IFERROR(__xludf.DUMMYFUNCTION("""COMPUTED_VALUE"""),1234.5)</f>
        <v>1234.5</v>
      </c>
      <c r="K2844" s="25">
        <f>IFERROR(__xludf.DUMMYFUNCTION("""COMPUTED_VALUE"""),1215.3)</f>
        <v>1215.3</v>
      </c>
      <c r="L2844" s="25">
        <f>IFERROR(__xludf.DUMMYFUNCTION("""COMPUTED_VALUE"""),1216.72)</f>
        <v>1216.72</v>
      </c>
      <c r="M2844" s="25">
        <f>IFERROR(__xludf.DUMMYFUNCTION("""COMPUTED_VALUE"""),1299425.0)</f>
        <v>1299425</v>
      </c>
    </row>
    <row r="2845">
      <c r="A2845" s="26">
        <f>IFERROR(__xludf.DUMMYFUNCTION("""COMPUTED_VALUE"""),42570.64583333333)</f>
        <v>42570.64583</v>
      </c>
      <c r="B2845" s="9">
        <f>IFERROR(__xludf.DUMMYFUNCTION("""COMPUTED_VALUE"""),544.3)</f>
        <v>544.3</v>
      </c>
      <c r="C2845" s="9">
        <f>IFERROR(__xludf.DUMMYFUNCTION("""COMPUTED_VALUE"""),545.0)</f>
        <v>545</v>
      </c>
      <c r="D2845" s="9">
        <f>IFERROR(__xludf.DUMMYFUNCTION("""COMPUTED_VALUE"""),537.05)</f>
        <v>537.05</v>
      </c>
      <c r="E2845" s="9">
        <f>IFERROR(__xludf.DUMMYFUNCTION("""COMPUTED_VALUE"""),543.48)</f>
        <v>543.48</v>
      </c>
      <c r="F2845" s="9">
        <f>IFERROR(__xludf.DUMMYFUNCTION("""COMPUTED_VALUE"""),5202322.0)</f>
        <v>5202322</v>
      </c>
      <c r="H2845" s="27">
        <f>IFERROR(__xludf.DUMMYFUNCTION("""COMPUTED_VALUE"""),42570.64583333333)</f>
        <v>42570.64583</v>
      </c>
      <c r="I2845" s="25">
        <f>IFERROR(__xludf.DUMMYFUNCTION("""COMPUTED_VALUE"""),1213.75)</f>
        <v>1213.75</v>
      </c>
      <c r="J2845" s="25">
        <f>IFERROR(__xludf.DUMMYFUNCTION("""COMPUTED_VALUE"""),1236.4)</f>
        <v>1236.4</v>
      </c>
      <c r="K2845" s="25">
        <f>IFERROR(__xludf.DUMMYFUNCTION("""COMPUTED_VALUE"""),1213.75)</f>
        <v>1213.75</v>
      </c>
      <c r="L2845" s="25">
        <f>IFERROR(__xludf.DUMMYFUNCTION("""COMPUTED_VALUE"""),1233.1)</f>
        <v>1233.1</v>
      </c>
      <c r="M2845" s="25">
        <f>IFERROR(__xludf.DUMMYFUNCTION("""COMPUTED_VALUE"""),1181448.0)</f>
        <v>1181448</v>
      </c>
    </row>
    <row r="2846">
      <c r="A2846" s="26">
        <f>IFERROR(__xludf.DUMMYFUNCTION("""COMPUTED_VALUE"""),42571.64583333333)</f>
        <v>42571.64583</v>
      </c>
      <c r="B2846" s="9">
        <f>IFERROR(__xludf.DUMMYFUNCTION("""COMPUTED_VALUE"""),535.0)</f>
        <v>535</v>
      </c>
      <c r="C2846" s="9">
        <f>IFERROR(__xludf.DUMMYFUNCTION("""COMPUTED_VALUE"""),544.95)</f>
        <v>544.95</v>
      </c>
      <c r="D2846" s="9">
        <f>IFERROR(__xludf.DUMMYFUNCTION("""COMPUTED_VALUE"""),535.0)</f>
        <v>535</v>
      </c>
      <c r="E2846" s="9">
        <f>IFERROR(__xludf.DUMMYFUNCTION("""COMPUTED_VALUE"""),541.55)</f>
        <v>541.55</v>
      </c>
      <c r="F2846" s="9">
        <f>IFERROR(__xludf.DUMMYFUNCTION("""COMPUTED_VALUE"""),4911448.0)</f>
        <v>4911448</v>
      </c>
      <c r="H2846" s="27">
        <f>IFERROR(__xludf.DUMMYFUNCTION("""COMPUTED_VALUE"""),42571.64583333333)</f>
        <v>42571.64583</v>
      </c>
      <c r="I2846" s="25">
        <f>IFERROR(__xludf.DUMMYFUNCTION("""COMPUTED_VALUE"""),1225.0)</f>
        <v>1225</v>
      </c>
      <c r="J2846" s="25">
        <f>IFERROR(__xludf.DUMMYFUNCTION("""COMPUTED_VALUE"""),1251.25)</f>
        <v>1251.25</v>
      </c>
      <c r="K2846" s="25">
        <f>IFERROR(__xludf.DUMMYFUNCTION("""COMPUTED_VALUE"""),1224.08)</f>
        <v>1224.08</v>
      </c>
      <c r="L2846" s="25">
        <f>IFERROR(__xludf.DUMMYFUNCTION("""COMPUTED_VALUE"""),1247.47)</f>
        <v>1247.47</v>
      </c>
      <c r="M2846" s="25">
        <f>IFERROR(__xludf.DUMMYFUNCTION("""COMPUTED_VALUE"""),1407626.0)</f>
        <v>1407626</v>
      </c>
    </row>
    <row r="2847">
      <c r="A2847" s="26">
        <f>IFERROR(__xludf.DUMMYFUNCTION("""COMPUTED_VALUE"""),42572.64583333333)</f>
        <v>42572.64583</v>
      </c>
      <c r="B2847" s="9">
        <f>IFERROR(__xludf.DUMMYFUNCTION("""COMPUTED_VALUE"""),539.5)</f>
        <v>539.5</v>
      </c>
      <c r="C2847" s="9">
        <f>IFERROR(__xludf.DUMMYFUNCTION("""COMPUTED_VALUE"""),543.6)</f>
        <v>543.6</v>
      </c>
      <c r="D2847" s="9">
        <f>IFERROR(__xludf.DUMMYFUNCTION("""COMPUTED_VALUE"""),537.8)</f>
        <v>537.8</v>
      </c>
      <c r="E2847" s="9">
        <f>IFERROR(__xludf.DUMMYFUNCTION("""COMPUTED_VALUE"""),539.95)</f>
        <v>539.95</v>
      </c>
      <c r="F2847" s="9">
        <f>IFERROR(__xludf.DUMMYFUNCTION("""COMPUTED_VALUE"""),4334001.0)</f>
        <v>4334001</v>
      </c>
      <c r="H2847" s="27">
        <f>IFERROR(__xludf.DUMMYFUNCTION("""COMPUTED_VALUE"""),42572.64583333333)</f>
        <v>42572.64583</v>
      </c>
      <c r="I2847" s="25">
        <f>IFERROR(__xludf.DUMMYFUNCTION("""COMPUTED_VALUE"""),1244.75)</f>
        <v>1244.75</v>
      </c>
      <c r="J2847" s="25">
        <f>IFERROR(__xludf.DUMMYFUNCTION("""COMPUTED_VALUE"""),1259.75)</f>
        <v>1259.75</v>
      </c>
      <c r="K2847" s="25">
        <f>IFERROR(__xludf.DUMMYFUNCTION("""COMPUTED_VALUE"""),1232.22)</f>
        <v>1232.22</v>
      </c>
      <c r="L2847" s="25">
        <f>IFERROR(__xludf.DUMMYFUNCTION("""COMPUTED_VALUE"""),1253.03)</f>
        <v>1253.03</v>
      </c>
      <c r="M2847" s="25">
        <f>IFERROR(__xludf.DUMMYFUNCTION("""COMPUTED_VALUE"""),1263574.0)</f>
        <v>1263574</v>
      </c>
    </row>
    <row r="2848">
      <c r="A2848" s="26">
        <f>IFERROR(__xludf.DUMMYFUNCTION("""COMPUTED_VALUE"""),42573.64583333333)</f>
        <v>42573.64583</v>
      </c>
      <c r="B2848" s="9">
        <f>IFERROR(__xludf.DUMMYFUNCTION("""COMPUTED_VALUE"""),535.0)</f>
        <v>535</v>
      </c>
      <c r="C2848" s="9">
        <f>IFERROR(__xludf.DUMMYFUNCTION("""COMPUTED_VALUE"""),539.95)</f>
        <v>539.95</v>
      </c>
      <c r="D2848" s="9">
        <f>IFERROR(__xludf.DUMMYFUNCTION("""COMPUTED_VALUE"""),533.35)</f>
        <v>533.35</v>
      </c>
      <c r="E2848" s="9">
        <f>IFERROR(__xludf.DUMMYFUNCTION("""COMPUTED_VALUE"""),536.23)</f>
        <v>536.23</v>
      </c>
      <c r="F2848" s="9">
        <f>IFERROR(__xludf.DUMMYFUNCTION("""COMPUTED_VALUE"""),4693269.0)</f>
        <v>4693269</v>
      </c>
      <c r="H2848" s="27">
        <f>IFERROR(__xludf.DUMMYFUNCTION("""COMPUTED_VALUE"""),42573.64583333333)</f>
        <v>42573.64583</v>
      </c>
      <c r="I2848" s="25">
        <f>IFERROR(__xludf.DUMMYFUNCTION("""COMPUTED_VALUE"""),1249.45)</f>
        <v>1249.45</v>
      </c>
      <c r="J2848" s="25">
        <f>IFERROR(__xludf.DUMMYFUNCTION("""COMPUTED_VALUE"""),1262.0)</f>
        <v>1262</v>
      </c>
      <c r="K2848" s="25">
        <f>IFERROR(__xludf.DUMMYFUNCTION("""COMPUTED_VALUE"""),1246.0)</f>
        <v>1246</v>
      </c>
      <c r="L2848" s="25">
        <f>IFERROR(__xludf.DUMMYFUNCTION("""COMPUTED_VALUE"""),1257.55)</f>
        <v>1257.55</v>
      </c>
      <c r="M2848" s="25">
        <f>IFERROR(__xludf.DUMMYFUNCTION("""COMPUTED_VALUE"""),758608.0)</f>
        <v>758608</v>
      </c>
    </row>
    <row r="2849">
      <c r="A2849" s="26">
        <f>IFERROR(__xludf.DUMMYFUNCTION("""COMPUTED_VALUE"""),42576.64583333333)</f>
        <v>42576.64583</v>
      </c>
      <c r="B2849" s="9">
        <f>IFERROR(__xludf.DUMMYFUNCTION("""COMPUTED_VALUE"""),531.5)</f>
        <v>531.5</v>
      </c>
      <c r="C2849" s="9">
        <f>IFERROR(__xludf.DUMMYFUNCTION("""COMPUTED_VALUE"""),541.63)</f>
        <v>541.63</v>
      </c>
      <c r="D2849" s="9">
        <f>IFERROR(__xludf.DUMMYFUNCTION("""COMPUTED_VALUE"""),531.5)</f>
        <v>531.5</v>
      </c>
      <c r="E2849" s="9">
        <f>IFERROR(__xludf.DUMMYFUNCTION("""COMPUTED_VALUE"""),540.42)</f>
        <v>540.42</v>
      </c>
      <c r="F2849" s="9">
        <f>IFERROR(__xludf.DUMMYFUNCTION("""COMPUTED_VALUE"""),4234776.0)</f>
        <v>4234776</v>
      </c>
      <c r="H2849" s="27">
        <f>IFERROR(__xludf.DUMMYFUNCTION("""COMPUTED_VALUE"""),42576.64583333333)</f>
        <v>42576.64583</v>
      </c>
      <c r="I2849" s="25">
        <f>IFERROR(__xludf.DUMMYFUNCTION("""COMPUTED_VALUE"""),1256.0)</f>
        <v>1256</v>
      </c>
      <c r="J2849" s="25">
        <f>IFERROR(__xludf.DUMMYFUNCTION("""COMPUTED_VALUE"""),1281.6)</f>
        <v>1281.6</v>
      </c>
      <c r="K2849" s="25">
        <f>IFERROR(__xludf.DUMMYFUNCTION("""COMPUTED_VALUE"""),1252.9)</f>
        <v>1252.9</v>
      </c>
      <c r="L2849" s="25">
        <f>IFERROR(__xludf.DUMMYFUNCTION("""COMPUTED_VALUE"""),1279.47)</f>
        <v>1279.47</v>
      </c>
      <c r="M2849" s="25">
        <f>IFERROR(__xludf.DUMMYFUNCTION("""COMPUTED_VALUE"""),844398.0)</f>
        <v>844398</v>
      </c>
    </row>
    <row r="2850">
      <c r="A2850" s="26">
        <f>IFERROR(__xludf.DUMMYFUNCTION("""COMPUTED_VALUE"""),42577.64583333333)</f>
        <v>42577.64583</v>
      </c>
      <c r="B2850" s="9">
        <f>IFERROR(__xludf.DUMMYFUNCTION("""COMPUTED_VALUE"""),535.17)</f>
        <v>535.17</v>
      </c>
      <c r="C2850" s="9">
        <f>IFERROR(__xludf.DUMMYFUNCTION("""COMPUTED_VALUE"""),544.95)</f>
        <v>544.95</v>
      </c>
      <c r="D2850" s="9">
        <f>IFERROR(__xludf.DUMMYFUNCTION("""COMPUTED_VALUE"""),535.17)</f>
        <v>535.17</v>
      </c>
      <c r="E2850" s="9">
        <f>IFERROR(__xludf.DUMMYFUNCTION("""COMPUTED_VALUE"""),544.35)</f>
        <v>544.35</v>
      </c>
      <c r="F2850" s="9">
        <f>IFERROR(__xludf.DUMMYFUNCTION("""COMPUTED_VALUE"""),3594805.0)</f>
        <v>3594805</v>
      </c>
      <c r="H2850" s="27">
        <f>IFERROR(__xludf.DUMMYFUNCTION("""COMPUTED_VALUE"""),42577.64583333333)</f>
        <v>42577.64583</v>
      </c>
      <c r="I2850" s="25">
        <f>IFERROR(__xludf.DUMMYFUNCTION("""COMPUTED_VALUE"""),1279.47)</f>
        <v>1279.47</v>
      </c>
      <c r="J2850" s="25">
        <f>IFERROR(__xludf.DUMMYFUNCTION("""COMPUTED_VALUE"""),1284.0)</f>
        <v>1284</v>
      </c>
      <c r="K2850" s="25">
        <f>IFERROR(__xludf.DUMMYFUNCTION("""COMPUTED_VALUE"""),1266.5)</f>
        <v>1266.5</v>
      </c>
      <c r="L2850" s="25">
        <f>IFERROR(__xludf.DUMMYFUNCTION("""COMPUTED_VALUE"""),1276.3)</f>
        <v>1276.3</v>
      </c>
      <c r="M2850" s="25">
        <f>IFERROR(__xludf.DUMMYFUNCTION("""COMPUTED_VALUE"""),1155645.0)</f>
        <v>1155645</v>
      </c>
    </row>
    <row r="2851">
      <c r="A2851" s="26">
        <f>IFERROR(__xludf.DUMMYFUNCTION("""COMPUTED_VALUE"""),42578.64583333333)</f>
        <v>42578.64583</v>
      </c>
      <c r="B2851" s="9">
        <f>IFERROR(__xludf.DUMMYFUNCTION("""COMPUTED_VALUE"""),542.35)</f>
        <v>542.35</v>
      </c>
      <c r="C2851" s="9">
        <f>IFERROR(__xludf.DUMMYFUNCTION("""COMPUTED_VALUE"""),548.25)</f>
        <v>548.25</v>
      </c>
      <c r="D2851" s="9">
        <f>IFERROR(__xludf.DUMMYFUNCTION("""COMPUTED_VALUE"""),539.28)</f>
        <v>539.28</v>
      </c>
      <c r="E2851" s="9">
        <f>IFERROR(__xludf.DUMMYFUNCTION("""COMPUTED_VALUE"""),542.67)</f>
        <v>542.67</v>
      </c>
      <c r="F2851" s="9">
        <f>IFERROR(__xludf.DUMMYFUNCTION("""COMPUTED_VALUE"""),3715910.0)</f>
        <v>3715910</v>
      </c>
      <c r="H2851" s="27">
        <f>IFERROR(__xludf.DUMMYFUNCTION("""COMPUTED_VALUE"""),42578.64583333333)</f>
        <v>42578.64583</v>
      </c>
      <c r="I2851" s="25">
        <f>IFERROR(__xludf.DUMMYFUNCTION("""COMPUTED_VALUE"""),1277.5)</f>
        <v>1277.5</v>
      </c>
      <c r="J2851" s="25">
        <f>IFERROR(__xludf.DUMMYFUNCTION("""COMPUTED_VALUE"""),1290.2)</f>
        <v>1290.2</v>
      </c>
      <c r="K2851" s="25">
        <f>IFERROR(__xludf.DUMMYFUNCTION("""COMPUTED_VALUE"""),1272.5)</f>
        <v>1272.5</v>
      </c>
      <c r="L2851" s="25">
        <f>IFERROR(__xludf.DUMMYFUNCTION("""COMPUTED_VALUE"""),1288.78)</f>
        <v>1288.78</v>
      </c>
      <c r="M2851" s="25">
        <f>IFERROR(__xludf.DUMMYFUNCTION("""COMPUTED_VALUE"""),875255.0)</f>
        <v>875255</v>
      </c>
    </row>
    <row r="2852">
      <c r="A2852" s="26">
        <f>IFERROR(__xludf.DUMMYFUNCTION("""COMPUTED_VALUE"""),42579.64583333333)</f>
        <v>42579.64583</v>
      </c>
      <c r="B2852" s="9">
        <f>IFERROR(__xludf.DUMMYFUNCTION("""COMPUTED_VALUE"""),542.7)</f>
        <v>542.7</v>
      </c>
      <c r="C2852" s="9">
        <f>IFERROR(__xludf.DUMMYFUNCTION("""COMPUTED_VALUE"""),543.48)</f>
        <v>543.48</v>
      </c>
      <c r="D2852" s="9">
        <f>IFERROR(__xludf.DUMMYFUNCTION("""COMPUTED_VALUE"""),537.03)</f>
        <v>537.03</v>
      </c>
      <c r="E2852" s="9">
        <f>IFERROR(__xludf.DUMMYFUNCTION("""COMPUTED_VALUE"""),538.75)</f>
        <v>538.75</v>
      </c>
      <c r="F2852" s="9">
        <f>IFERROR(__xludf.DUMMYFUNCTION("""COMPUTED_VALUE"""),5629281.0)</f>
        <v>5629281</v>
      </c>
      <c r="H2852" s="27">
        <f>IFERROR(__xludf.DUMMYFUNCTION("""COMPUTED_VALUE"""),42579.64583333333)</f>
        <v>42579.64583</v>
      </c>
      <c r="I2852" s="25">
        <f>IFERROR(__xludf.DUMMYFUNCTION("""COMPUTED_VALUE"""),1290.25)</f>
        <v>1290.25</v>
      </c>
      <c r="J2852" s="25">
        <f>IFERROR(__xludf.DUMMYFUNCTION("""COMPUTED_VALUE"""),1314.78)</f>
        <v>1314.78</v>
      </c>
      <c r="K2852" s="25">
        <f>IFERROR(__xludf.DUMMYFUNCTION("""COMPUTED_VALUE"""),1288.53)</f>
        <v>1288.53</v>
      </c>
      <c r="L2852" s="25">
        <f>IFERROR(__xludf.DUMMYFUNCTION("""COMPUTED_VALUE"""),1309.63)</f>
        <v>1309.63</v>
      </c>
      <c r="M2852" s="25">
        <f>IFERROR(__xludf.DUMMYFUNCTION("""COMPUTED_VALUE"""),2316040.0)</f>
        <v>2316040</v>
      </c>
    </row>
    <row r="2853">
      <c r="A2853" s="26">
        <f>IFERROR(__xludf.DUMMYFUNCTION("""COMPUTED_VALUE"""),42580.64583333333)</f>
        <v>42580.64583</v>
      </c>
      <c r="B2853" s="9">
        <f>IFERROR(__xludf.DUMMYFUNCTION("""COMPUTED_VALUE"""),536.3)</f>
        <v>536.3</v>
      </c>
      <c r="C2853" s="9">
        <f>IFERROR(__xludf.DUMMYFUNCTION("""COMPUTED_VALUE"""),538.38)</f>
        <v>538.38</v>
      </c>
      <c r="D2853" s="9">
        <f>IFERROR(__xludf.DUMMYFUNCTION("""COMPUTED_VALUE"""),533.25)</f>
        <v>533.25</v>
      </c>
      <c r="E2853" s="9">
        <f>IFERROR(__xludf.DUMMYFUNCTION("""COMPUTED_VALUE"""),536.92)</f>
        <v>536.92</v>
      </c>
      <c r="F2853" s="9">
        <f>IFERROR(__xludf.DUMMYFUNCTION("""COMPUTED_VALUE"""),4078392.0)</f>
        <v>4078392</v>
      </c>
      <c r="H2853" s="27">
        <f>IFERROR(__xludf.DUMMYFUNCTION("""COMPUTED_VALUE"""),42580.64583333333)</f>
        <v>42580.64583</v>
      </c>
      <c r="I2853" s="25">
        <f>IFERROR(__xludf.DUMMYFUNCTION("""COMPUTED_VALUE"""),1307.0)</f>
        <v>1307</v>
      </c>
      <c r="J2853" s="25">
        <f>IFERROR(__xludf.DUMMYFUNCTION("""COMPUTED_VALUE"""),1317.45)</f>
        <v>1317.45</v>
      </c>
      <c r="K2853" s="25">
        <f>IFERROR(__xludf.DUMMYFUNCTION("""COMPUTED_VALUE"""),1299.5)</f>
        <v>1299.5</v>
      </c>
      <c r="L2853" s="25">
        <f>IFERROR(__xludf.DUMMYFUNCTION("""COMPUTED_VALUE"""),1309.65)</f>
        <v>1309.65</v>
      </c>
      <c r="M2853" s="25">
        <f>IFERROR(__xludf.DUMMYFUNCTION("""COMPUTED_VALUE"""),1244042.0)</f>
        <v>1244042</v>
      </c>
    </row>
    <row r="2854">
      <c r="A2854" s="26">
        <f>IFERROR(__xludf.DUMMYFUNCTION("""COMPUTED_VALUE"""),42583.64583333333)</f>
        <v>42583.64583</v>
      </c>
      <c r="B2854" s="9">
        <f>IFERROR(__xludf.DUMMYFUNCTION("""COMPUTED_VALUE"""),535.75)</f>
        <v>535.75</v>
      </c>
      <c r="C2854" s="9">
        <f>IFERROR(__xludf.DUMMYFUNCTION("""COMPUTED_VALUE"""),543.92)</f>
        <v>543.92</v>
      </c>
      <c r="D2854" s="9">
        <f>IFERROR(__xludf.DUMMYFUNCTION("""COMPUTED_VALUE"""),534.17)</f>
        <v>534.17</v>
      </c>
      <c r="E2854" s="9">
        <f>IFERROR(__xludf.DUMMYFUNCTION("""COMPUTED_VALUE"""),542.63)</f>
        <v>542.63</v>
      </c>
      <c r="F2854" s="9">
        <f>IFERROR(__xludf.DUMMYFUNCTION("""COMPUTED_VALUE"""),4548331.0)</f>
        <v>4548331</v>
      </c>
      <c r="H2854" s="27">
        <f>IFERROR(__xludf.DUMMYFUNCTION("""COMPUTED_VALUE"""),42583.64583333333)</f>
        <v>42583.64583</v>
      </c>
      <c r="I2854" s="25">
        <f>IFERROR(__xludf.DUMMYFUNCTION("""COMPUTED_VALUE"""),1316.0)</f>
        <v>1316</v>
      </c>
      <c r="J2854" s="25">
        <f>IFERROR(__xludf.DUMMYFUNCTION("""COMPUTED_VALUE"""),1362.5)</f>
        <v>1362.5</v>
      </c>
      <c r="K2854" s="25">
        <f>IFERROR(__xludf.DUMMYFUNCTION("""COMPUTED_VALUE"""),1316.0)</f>
        <v>1316</v>
      </c>
      <c r="L2854" s="25">
        <f>IFERROR(__xludf.DUMMYFUNCTION("""COMPUTED_VALUE"""),1354.13)</f>
        <v>1354.13</v>
      </c>
      <c r="M2854" s="25">
        <f>IFERROR(__xludf.DUMMYFUNCTION("""COMPUTED_VALUE"""),1980852.0)</f>
        <v>1980852</v>
      </c>
    </row>
    <row r="2855">
      <c r="A2855" s="26">
        <f>IFERROR(__xludf.DUMMYFUNCTION("""COMPUTED_VALUE"""),42584.64583333333)</f>
        <v>42584.64583</v>
      </c>
      <c r="B2855" s="9">
        <f>IFERROR(__xludf.DUMMYFUNCTION("""COMPUTED_VALUE"""),539.95)</f>
        <v>539.95</v>
      </c>
      <c r="C2855" s="9">
        <f>IFERROR(__xludf.DUMMYFUNCTION("""COMPUTED_VALUE"""),542.5)</f>
        <v>542.5</v>
      </c>
      <c r="D2855" s="9">
        <f>IFERROR(__xludf.DUMMYFUNCTION("""COMPUTED_VALUE"""),537.5)</f>
        <v>537.5</v>
      </c>
      <c r="E2855" s="9">
        <f>IFERROR(__xludf.DUMMYFUNCTION("""COMPUTED_VALUE"""),541.9)</f>
        <v>541.9</v>
      </c>
      <c r="F2855" s="9">
        <f>IFERROR(__xludf.DUMMYFUNCTION("""COMPUTED_VALUE"""),3411251.0)</f>
        <v>3411251</v>
      </c>
      <c r="H2855" s="27">
        <f>IFERROR(__xludf.DUMMYFUNCTION("""COMPUTED_VALUE"""),42584.64583333333)</f>
        <v>42584.64583</v>
      </c>
      <c r="I2855" s="25">
        <f>IFERROR(__xludf.DUMMYFUNCTION("""COMPUTED_VALUE"""),1351.45)</f>
        <v>1351.45</v>
      </c>
      <c r="J2855" s="25">
        <f>IFERROR(__xludf.DUMMYFUNCTION("""COMPUTED_VALUE"""),1357.85)</f>
        <v>1357.85</v>
      </c>
      <c r="K2855" s="25">
        <f>IFERROR(__xludf.DUMMYFUNCTION("""COMPUTED_VALUE"""),1344.9)</f>
        <v>1344.9</v>
      </c>
      <c r="L2855" s="25">
        <f>IFERROR(__xludf.DUMMYFUNCTION("""COMPUTED_VALUE"""),1349.6)</f>
        <v>1349.6</v>
      </c>
      <c r="M2855" s="25">
        <f>IFERROR(__xludf.DUMMYFUNCTION("""COMPUTED_VALUE"""),1289081.0)</f>
        <v>1289081</v>
      </c>
    </row>
    <row r="2856">
      <c r="A2856" s="26">
        <f>IFERROR(__xludf.DUMMYFUNCTION("""COMPUTED_VALUE"""),42585.64583333333)</f>
        <v>42585.64583</v>
      </c>
      <c r="B2856" s="9">
        <f>IFERROR(__xludf.DUMMYFUNCTION("""COMPUTED_VALUE"""),542.83)</f>
        <v>542.83</v>
      </c>
      <c r="C2856" s="9">
        <f>IFERROR(__xludf.DUMMYFUNCTION("""COMPUTED_VALUE"""),543.25)</f>
        <v>543.25</v>
      </c>
      <c r="D2856" s="9">
        <f>IFERROR(__xludf.DUMMYFUNCTION("""COMPUTED_VALUE"""),535.15)</f>
        <v>535.15</v>
      </c>
      <c r="E2856" s="9">
        <f>IFERROR(__xludf.DUMMYFUNCTION("""COMPUTED_VALUE"""),542.45)</f>
        <v>542.45</v>
      </c>
      <c r="F2856" s="9">
        <f>IFERROR(__xludf.DUMMYFUNCTION("""COMPUTED_VALUE"""),3606730.0)</f>
        <v>3606730</v>
      </c>
      <c r="H2856" s="27">
        <f>IFERROR(__xludf.DUMMYFUNCTION("""COMPUTED_VALUE"""),42585.64583333333)</f>
        <v>42585.64583</v>
      </c>
      <c r="I2856" s="25">
        <f>IFERROR(__xludf.DUMMYFUNCTION("""COMPUTED_VALUE"""),1343.0)</f>
        <v>1343</v>
      </c>
      <c r="J2856" s="25">
        <f>IFERROR(__xludf.DUMMYFUNCTION("""COMPUTED_VALUE"""),1349.5)</f>
        <v>1349.5</v>
      </c>
      <c r="K2856" s="25">
        <f>IFERROR(__xludf.DUMMYFUNCTION("""COMPUTED_VALUE"""),1324.53)</f>
        <v>1324.53</v>
      </c>
      <c r="L2856" s="25">
        <f>IFERROR(__xludf.DUMMYFUNCTION("""COMPUTED_VALUE"""),1328.15)</f>
        <v>1328.15</v>
      </c>
      <c r="M2856" s="25">
        <f>IFERROR(__xludf.DUMMYFUNCTION("""COMPUTED_VALUE"""),1147351.0)</f>
        <v>1147351</v>
      </c>
    </row>
    <row r="2857">
      <c r="A2857" s="26">
        <f>IFERROR(__xludf.DUMMYFUNCTION("""COMPUTED_VALUE"""),42586.64583333333)</f>
        <v>42586.64583</v>
      </c>
      <c r="B2857" s="9">
        <f>IFERROR(__xludf.DUMMYFUNCTION("""COMPUTED_VALUE"""),543.2)</f>
        <v>543.2</v>
      </c>
      <c r="C2857" s="9">
        <f>IFERROR(__xludf.DUMMYFUNCTION("""COMPUTED_VALUE"""),543.45)</f>
        <v>543.45</v>
      </c>
      <c r="D2857" s="9">
        <f>IFERROR(__xludf.DUMMYFUNCTION("""COMPUTED_VALUE"""),535.03)</f>
        <v>535.03</v>
      </c>
      <c r="E2857" s="9">
        <f>IFERROR(__xludf.DUMMYFUNCTION("""COMPUTED_VALUE"""),535.9)</f>
        <v>535.9</v>
      </c>
      <c r="F2857" s="9">
        <f>IFERROR(__xludf.DUMMYFUNCTION("""COMPUTED_VALUE"""),2118639.0)</f>
        <v>2118639</v>
      </c>
      <c r="H2857" s="27">
        <f>IFERROR(__xludf.DUMMYFUNCTION("""COMPUTED_VALUE"""),42586.64583333333)</f>
        <v>42586.64583</v>
      </c>
      <c r="I2857" s="25">
        <f>IFERROR(__xludf.DUMMYFUNCTION("""COMPUTED_VALUE"""),1335.0)</f>
        <v>1335</v>
      </c>
      <c r="J2857" s="25">
        <f>IFERROR(__xludf.DUMMYFUNCTION("""COMPUTED_VALUE"""),1341.48)</f>
        <v>1341.48</v>
      </c>
      <c r="K2857" s="25">
        <f>IFERROR(__xludf.DUMMYFUNCTION("""COMPUTED_VALUE"""),1318.13)</f>
        <v>1318.13</v>
      </c>
      <c r="L2857" s="25">
        <f>IFERROR(__xludf.DUMMYFUNCTION("""COMPUTED_VALUE"""),1326.0)</f>
        <v>1326</v>
      </c>
      <c r="M2857" s="25">
        <f>IFERROR(__xludf.DUMMYFUNCTION("""COMPUTED_VALUE"""),707708.0)</f>
        <v>707708</v>
      </c>
    </row>
    <row r="2858">
      <c r="A2858" s="26">
        <f>IFERROR(__xludf.DUMMYFUNCTION("""COMPUTED_VALUE"""),42587.64583333333)</f>
        <v>42587.64583</v>
      </c>
      <c r="B2858" s="9">
        <f>IFERROR(__xludf.DUMMYFUNCTION("""COMPUTED_VALUE"""),536.0)</f>
        <v>536</v>
      </c>
      <c r="C2858" s="9">
        <f>IFERROR(__xludf.DUMMYFUNCTION("""COMPUTED_VALUE"""),536.73)</f>
        <v>536.73</v>
      </c>
      <c r="D2858" s="9">
        <f>IFERROR(__xludf.DUMMYFUNCTION("""COMPUTED_VALUE"""),530.0)</f>
        <v>530</v>
      </c>
      <c r="E2858" s="9">
        <f>IFERROR(__xludf.DUMMYFUNCTION("""COMPUTED_VALUE"""),534.0)</f>
        <v>534</v>
      </c>
      <c r="F2858" s="9">
        <f>IFERROR(__xludf.DUMMYFUNCTION("""COMPUTED_VALUE"""),2804984.0)</f>
        <v>2804984</v>
      </c>
      <c r="H2858" s="27">
        <f>IFERROR(__xludf.DUMMYFUNCTION("""COMPUTED_VALUE"""),42587.64583333333)</f>
        <v>42587.64583</v>
      </c>
      <c r="I2858" s="25">
        <f>IFERROR(__xludf.DUMMYFUNCTION("""COMPUTED_VALUE"""),1336.95)</f>
        <v>1336.95</v>
      </c>
      <c r="J2858" s="25">
        <f>IFERROR(__xludf.DUMMYFUNCTION("""COMPUTED_VALUE"""),1342.15)</f>
        <v>1342.15</v>
      </c>
      <c r="K2858" s="25">
        <f>IFERROR(__xludf.DUMMYFUNCTION("""COMPUTED_VALUE"""),1316.0)</f>
        <v>1316</v>
      </c>
      <c r="L2858" s="25">
        <f>IFERROR(__xludf.DUMMYFUNCTION("""COMPUTED_VALUE"""),1324.55)</f>
        <v>1324.55</v>
      </c>
      <c r="M2858" s="25">
        <f>IFERROR(__xludf.DUMMYFUNCTION("""COMPUTED_VALUE"""),934242.0)</f>
        <v>934242</v>
      </c>
    </row>
    <row r="2859">
      <c r="A2859" s="26">
        <f>IFERROR(__xludf.DUMMYFUNCTION("""COMPUTED_VALUE"""),42590.64583333333)</f>
        <v>42590.64583</v>
      </c>
      <c r="B2859" s="9">
        <f>IFERROR(__xludf.DUMMYFUNCTION("""COMPUTED_VALUE"""),534.5)</f>
        <v>534.5</v>
      </c>
      <c r="C2859" s="9">
        <f>IFERROR(__xludf.DUMMYFUNCTION("""COMPUTED_VALUE"""),540.5)</f>
        <v>540.5</v>
      </c>
      <c r="D2859" s="9">
        <f>IFERROR(__xludf.DUMMYFUNCTION("""COMPUTED_VALUE"""),531.28)</f>
        <v>531.28</v>
      </c>
      <c r="E2859" s="9">
        <f>IFERROR(__xludf.DUMMYFUNCTION("""COMPUTED_VALUE"""),539.35)</f>
        <v>539.35</v>
      </c>
      <c r="F2859" s="9">
        <f>IFERROR(__xludf.DUMMYFUNCTION("""COMPUTED_VALUE"""),2321532.0)</f>
        <v>2321532</v>
      </c>
      <c r="H2859" s="27">
        <f>IFERROR(__xludf.DUMMYFUNCTION("""COMPUTED_VALUE"""),42590.64583333333)</f>
        <v>42590.64583</v>
      </c>
      <c r="I2859" s="25">
        <f>IFERROR(__xludf.DUMMYFUNCTION("""COMPUTED_VALUE"""),1320.0)</f>
        <v>1320</v>
      </c>
      <c r="J2859" s="25">
        <f>IFERROR(__xludf.DUMMYFUNCTION("""COMPUTED_VALUE"""),1334.0)</f>
        <v>1334</v>
      </c>
      <c r="K2859" s="25">
        <f>IFERROR(__xludf.DUMMYFUNCTION("""COMPUTED_VALUE"""),1314.53)</f>
        <v>1314.53</v>
      </c>
      <c r="L2859" s="25">
        <f>IFERROR(__xludf.DUMMYFUNCTION("""COMPUTED_VALUE"""),1324.75)</f>
        <v>1324.75</v>
      </c>
      <c r="M2859" s="25">
        <f>IFERROR(__xludf.DUMMYFUNCTION("""COMPUTED_VALUE"""),1029122.0)</f>
        <v>1029122</v>
      </c>
    </row>
    <row r="2860">
      <c r="A2860" s="26">
        <f>IFERROR(__xludf.DUMMYFUNCTION("""COMPUTED_VALUE"""),42591.64583333333)</f>
        <v>42591.64583</v>
      </c>
      <c r="B2860" s="9">
        <f>IFERROR(__xludf.DUMMYFUNCTION("""COMPUTED_VALUE"""),538.5)</f>
        <v>538.5</v>
      </c>
      <c r="C2860" s="9">
        <f>IFERROR(__xludf.DUMMYFUNCTION("""COMPUTED_VALUE"""),542.25)</f>
        <v>542.25</v>
      </c>
      <c r="D2860" s="9">
        <f>IFERROR(__xludf.DUMMYFUNCTION("""COMPUTED_VALUE"""),535.75)</f>
        <v>535.75</v>
      </c>
      <c r="E2860" s="9">
        <f>IFERROR(__xludf.DUMMYFUNCTION("""COMPUTED_VALUE"""),541.7)</f>
        <v>541.7</v>
      </c>
      <c r="F2860" s="9">
        <f>IFERROR(__xludf.DUMMYFUNCTION("""COMPUTED_VALUE"""),3596332.0)</f>
        <v>3596332</v>
      </c>
      <c r="H2860" s="27">
        <f>IFERROR(__xludf.DUMMYFUNCTION("""COMPUTED_VALUE"""),42591.64583333333)</f>
        <v>42591.64583</v>
      </c>
      <c r="I2860" s="25">
        <f>IFERROR(__xludf.DUMMYFUNCTION("""COMPUTED_VALUE"""),1329.0)</f>
        <v>1329</v>
      </c>
      <c r="J2860" s="25">
        <f>IFERROR(__xludf.DUMMYFUNCTION("""COMPUTED_VALUE"""),1329.9)</f>
        <v>1329.9</v>
      </c>
      <c r="K2860" s="25">
        <f>IFERROR(__xludf.DUMMYFUNCTION("""COMPUTED_VALUE"""),1289.43)</f>
        <v>1289.43</v>
      </c>
      <c r="L2860" s="25">
        <f>IFERROR(__xludf.DUMMYFUNCTION("""COMPUTED_VALUE"""),1325.1)</f>
        <v>1325.1</v>
      </c>
      <c r="M2860" s="25">
        <f>IFERROR(__xludf.DUMMYFUNCTION("""COMPUTED_VALUE"""),1130957.0)</f>
        <v>1130957</v>
      </c>
    </row>
    <row r="2861">
      <c r="A2861" s="26">
        <f>IFERROR(__xludf.DUMMYFUNCTION("""COMPUTED_VALUE"""),42592.64583333333)</f>
        <v>42592.64583</v>
      </c>
      <c r="B2861" s="9">
        <f>IFERROR(__xludf.DUMMYFUNCTION("""COMPUTED_VALUE"""),538.0)</f>
        <v>538</v>
      </c>
      <c r="C2861" s="9">
        <f>IFERROR(__xludf.DUMMYFUNCTION("""COMPUTED_VALUE"""),543.95)</f>
        <v>543.95</v>
      </c>
      <c r="D2861" s="9">
        <f>IFERROR(__xludf.DUMMYFUNCTION("""COMPUTED_VALUE"""),537.6)</f>
        <v>537.6</v>
      </c>
      <c r="E2861" s="9">
        <f>IFERROR(__xludf.DUMMYFUNCTION("""COMPUTED_VALUE"""),541.17)</f>
        <v>541.17</v>
      </c>
      <c r="F2861" s="9">
        <f>IFERROR(__xludf.DUMMYFUNCTION("""COMPUTED_VALUE"""),2788227.0)</f>
        <v>2788227</v>
      </c>
      <c r="H2861" s="27">
        <f>IFERROR(__xludf.DUMMYFUNCTION("""COMPUTED_VALUE"""),42592.64583333333)</f>
        <v>42592.64583</v>
      </c>
      <c r="I2861" s="25">
        <f>IFERROR(__xludf.DUMMYFUNCTION("""COMPUTED_VALUE"""),1325.5)</f>
        <v>1325.5</v>
      </c>
      <c r="J2861" s="25">
        <f>IFERROR(__xludf.DUMMYFUNCTION("""COMPUTED_VALUE"""),1341.0)</f>
        <v>1341</v>
      </c>
      <c r="K2861" s="25">
        <f>IFERROR(__xludf.DUMMYFUNCTION("""COMPUTED_VALUE"""),1324.0)</f>
        <v>1324</v>
      </c>
      <c r="L2861" s="25">
        <f>IFERROR(__xludf.DUMMYFUNCTION("""COMPUTED_VALUE"""),1337.7)</f>
        <v>1337.7</v>
      </c>
      <c r="M2861" s="25">
        <f>IFERROR(__xludf.DUMMYFUNCTION("""COMPUTED_VALUE"""),1031039.0)</f>
        <v>1031039</v>
      </c>
    </row>
    <row r="2862">
      <c r="A2862" s="26">
        <f>IFERROR(__xludf.DUMMYFUNCTION("""COMPUTED_VALUE"""),42593.64583333333)</f>
        <v>42593.64583</v>
      </c>
      <c r="B2862" s="9">
        <f>IFERROR(__xludf.DUMMYFUNCTION("""COMPUTED_VALUE"""),540.85)</f>
        <v>540.85</v>
      </c>
      <c r="C2862" s="9">
        <f>IFERROR(__xludf.DUMMYFUNCTION("""COMPUTED_VALUE"""),547.5)</f>
        <v>547.5</v>
      </c>
      <c r="D2862" s="9">
        <f>IFERROR(__xludf.DUMMYFUNCTION("""COMPUTED_VALUE"""),537.63)</f>
        <v>537.63</v>
      </c>
      <c r="E2862" s="9">
        <f>IFERROR(__xludf.DUMMYFUNCTION("""COMPUTED_VALUE"""),538.67)</f>
        <v>538.67</v>
      </c>
      <c r="F2862" s="9">
        <f>IFERROR(__xludf.DUMMYFUNCTION("""COMPUTED_VALUE"""),2519276.0)</f>
        <v>2519276</v>
      </c>
      <c r="H2862" s="27">
        <f>IFERROR(__xludf.DUMMYFUNCTION("""COMPUTED_VALUE"""),42593.64583333333)</f>
        <v>42593.64583</v>
      </c>
      <c r="I2862" s="25">
        <f>IFERROR(__xludf.DUMMYFUNCTION("""COMPUTED_VALUE"""),1332.78)</f>
        <v>1332.78</v>
      </c>
      <c r="J2862" s="25">
        <f>IFERROR(__xludf.DUMMYFUNCTION("""COMPUTED_VALUE"""),1357.5)</f>
        <v>1357.5</v>
      </c>
      <c r="K2862" s="25">
        <f>IFERROR(__xludf.DUMMYFUNCTION("""COMPUTED_VALUE"""),1332.78)</f>
        <v>1332.78</v>
      </c>
      <c r="L2862" s="25">
        <f>IFERROR(__xludf.DUMMYFUNCTION("""COMPUTED_VALUE"""),1354.95)</f>
        <v>1354.95</v>
      </c>
      <c r="M2862" s="25">
        <f>IFERROR(__xludf.DUMMYFUNCTION("""COMPUTED_VALUE"""),1116569.0)</f>
        <v>1116569</v>
      </c>
    </row>
    <row r="2863">
      <c r="A2863" s="26">
        <f>IFERROR(__xludf.DUMMYFUNCTION("""COMPUTED_VALUE"""),42594.64583333333)</f>
        <v>42594.64583</v>
      </c>
      <c r="B2863" s="9">
        <f>IFERROR(__xludf.DUMMYFUNCTION("""COMPUTED_VALUE"""),537.53)</f>
        <v>537.53</v>
      </c>
      <c r="C2863" s="9">
        <f>IFERROR(__xludf.DUMMYFUNCTION("""COMPUTED_VALUE"""),539.4)</f>
        <v>539.4</v>
      </c>
      <c r="D2863" s="9">
        <f>IFERROR(__xludf.DUMMYFUNCTION("""COMPUTED_VALUE"""),530.0)</f>
        <v>530</v>
      </c>
      <c r="E2863" s="9">
        <f>IFERROR(__xludf.DUMMYFUNCTION("""COMPUTED_VALUE"""),531.28)</f>
        <v>531.28</v>
      </c>
      <c r="F2863" s="9">
        <f>IFERROR(__xludf.DUMMYFUNCTION("""COMPUTED_VALUE"""),3724964.0)</f>
        <v>3724964</v>
      </c>
      <c r="H2863" s="27">
        <f>IFERROR(__xludf.DUMMYFUNCTION("""COMPUTED_VALUE"""),42594.64583333333)</f>
        <v>42594.64583</v>
      </c>
      <c r="I2863" s="25">
        <f>IFERROR(__xludf.DUMMYFUNCTION("""COMPUTED_VALUE"""),1352.5)</f>
        <v>1352.5</v>
      </c>
      <c r="J2863" s="25">
        <f>IFERROR(__xludf.DUMMYFUNCTION("""COMPUTED_VALUE"""),1372.4)</f>
        <v>1372.4</v>
      </c>
      <c r="K2863" s="25">
        <f>IFERROR(__xludf.DUMMYFUNCTION("""COMPUTED_VALUE"""),1351.03)</f>
        <v>1351.03</v>
      </c>
      <c r="L2863" s="25">
        <f>IFERROR(__xludf.DUMMYFUNCTION("""COMPUTED_VALUE"""),1369.23)</f>
        <v>1369.23</v>
      </c>
      <c r="M2863" s="25">
        <f>IFERROR(__xludf.DUMMYFUNCTION("""COMPUTED_VALUE"""),1163679.0)</f>
        <v>1163679</v>
      </c>
    </row>
    <row r="2864">
      <c r="A2864" s="26">
        <f>IFERROR(__xludf.DUMMYFUNCTION("""COMPUTED_VALUE"""),42598.64583333333)</f>
        <v>42598.64583</v>
      </c>
      <c r="B2864" s="9">
        <f>IFERROR(__xludf.DUMMYFUNCTION("""COMPUTED_VALUE"""),521.0)</f>
        <v>521</v>
      </c>
      <c r="C2864" s="9">
        <f>IFERROR(__xludf.DUMMYFUNCTION("""COMPUTED_VALUE"""),529.03)</f>
        <v>529.03</v>
      </c>
      <c r="D2864" s="9">
        <f>IFERROR(__xludf.DUMMYFUNCTION("""COMPUTED_VALUE"""),514.0)</f>
        <v>514</v>
      </c>
      <c r="E2864" s="9">
        <f>IFERROR(__xludf.DUMMYFUNCTION("""COMPUTED_VALUE"""),525.9)</f>
        <v>525.9</v>
      </c>
      <c r="F2864" s="9">
        <f>IFERROR(__xludf.DUMMYFUNCTION("""COMPUTED_VALUE"""),8214704.0)</f>
        <v>8214704</v>
      </c>
      <c r="H2864" s="27">
        <f>IFERROR(__xludf.DUMMYFUNCTION("""COMPUTED_VALUE"""),42598.64583333333)</f>
        <v>42598.64583</v>
      </c>
      <c r="I2864" s="25">
        <f>IFERROR(__xludf.DUMMYFUNCTION("""COMPUTED_VALUE"""),1369.0)</f>
        <v>1369</v>
      </c>
      <c r="J2864" s="25">
        <f>IFERROR(__xludf.DUMMYFUNCTION("""COMPUTED_VALUE"""),1370.0)</f>
        <v>1370</v>
      </c>
      <c r="K2864" s="25">
        <f>IFERROR(__xludf.DUMMYFUNCTION("""COMPUTED_VALUE"""),1336.93)</f>
        <v>1336.93</v>
      </c>
      <c r="L2864" s="25">
        <f>IFERROR(__xludf.DUMMYFUNCTION("""COMPUTED_VALUE"""),1345.85)</f>
        <v>1345.85</v>
      </c>
      <c r="M2864" s="25">
        <f>IFERROR(__xludf.DUMMYFUNCTION("""COMPUTED_VALUE"""),1591877.0)</f>
        <v>1591877</v>
      </c>
    </row>
    <row r="2865">
      <c r="A2865" s="26">
        <f>IFERROR(__xludf.DUMMYFUNCTION("""COMPUTED_VALUE"""),42599.64583333333)</f>
        <v>42599.64583</v>
      </c>
      <c r="B2865" s="9">
        <f>IFERROR(__xludf.DUMMYFUNCTION("""COMPUTED_VALUE"""),524.98)</f>
        <v>524.98</v>
      </c>
      <c r="C2865" s="9">
        <f>IFERROR(__xludf.DUMMYFUNCTION("""COMPUTED_VALUE"""),526.33)</f>
        <v>526.33</v>
      </c>
      <c r="D2865" s="9">
        <f>IFERROR(__xludf.DUMMYFUNCTION("""COMPUTED_VALUE"""),515.25)</f>
        <v>515.25</v>
      </c>
      <c r="E2865" s="9">
        <f>IFERROR(__xludf.DUMMYFUNCTION("""COMPUTED_VALUE"""),516.65)</f>
        <v>516.65</v>
      </c>
      <c r="F2865" s="9">
        <f>IFERROR(__xludf.DUMMYFUNCTION("""COMPUTED_VALUE"""),3299658.0)</f>
        <v>3299658</v>
      </c>
      <c r="H2865" s="27">
        <f>IFERROR(__xludf.DUMMYFUNCTION("""COMPUTED_VALUE"""),42599.64583333333)</f>
        <v>42599.64583</v>
      </c>
      <c r="I2865" s="25">
        <f>IFERROR(__xludf.DUMMYFUNCTION("""COMPUTED_VALUE"""),1349.5)</f>
        <v>1349.5</v>
      </c>
      <c r="J2865" s="25">
        <f>IFERROR(__xludf.DUMMYFUNCTION("""COMPUTED_VALUE"""),1349.5)</f>
        <v>1349.5</v>
      </c>
      <c r="K2865" s="25">
        <f>IFERROR(__xludf.DUMMYFUNCTION("""COMPUTED_VALUE"""),1309.0)</f>
        <v>1309</v>
      </c>
      <c r="L2865" s="25">
        <f>IFERROR(__xludf.DUMMYFUNCTION("""COMPUTED_VALUE"""),1312.28)</f>
        <v>1312.28</v>
      </c>
      <c r="M2865" s="25">
        <f>IFERROR(__xludf.DUMMYFUNCTION("""COMPUTED_VALUE"""),924283.0)</f>
        <v>924283</v>
      </c>
    </row>
    <row r="2866">
      <c r="A2866" s="26">
        <f>IFERROR(__xludf.DUMMYFUNCTION("""COMPUTED_VALUE"""),42600.64583333333)</f>
        <v>42600.64583</v>
      </c>
      <c r="B2866" s="9">
        <f>IFERROR(__xludf.DUMMYFUNCTION("""COMPUTED_VALUE"""),518.25)</f>
        <v>518.25</v>
      </c>
      <c r="C2866" s="9">
        <f>IFERROR(__xludf.DUMMYFUNCTION("""COMPUTED_VALUE"""),519.55)</f>
        <v>519.55</v>
      </c>
      <c r="D2866" s="9">
        <f>IFERROR(__xludf.DUMMYFUNCTION("""COMPUTED_VALUE"""),510.75)</f>
        <v>510.75</v>
      </c>
      <c r="E2866" s="9">
        <f>IFERROR(__xludf.DUMMYFUNCTION("""COMPUTED_VALUE"""),511.7)</f>
        <v>511.7</v>
      </c>
      <c r="F2866" s="9">
        <f>IFERROR(__xludf.DUMMYFUNCTION("""COMPUTED_VALUE"""),4217000.0)</f>
        <v>4217000</v>
      </c>
      <c r="H2866" s="27">
        <f>IFERROR(__xludf.DUMMYFUNCTION("""COMPUTED_VALUE"""),42600.64583333333)</f>
        <v>42600.64583</v>
      </c>
      <c r="I2866" s="25">
        <f>IFERROR(__xludf.DUMMYFUNCTION("""COMPUTED_VALUE"""),1317.5)</f>
        <v>1317.5</v>
      </c>
      <c r="J2866" s="25">
        <f>IFERROR(__xludf.DUMMYFUNCTION("""COMPUTED_VALUE"""),1328.78)</f>
        <v>1328.78</v>
      </c>
      <c r="K2866" s="25">
        <f>IFERROR(__xludf.DUMMYFUNCTION("""COMPUTED_VALUE"""),1315.05)</f>
        <v>1315.05</v>
      </c>
      <c r="L2866" s="25">
        <f>IFERROR(__xludf.DUMMYFUNCTION("""COMPUTED_VALUE"""),1319.28)</f>
        <v>1319.28</v>
      </c>
      <c r="M2866" s="25">
        <f>IFERROR(__xludf.DUMMYFUNCTION("""COMPUTED_VALUE"""),646032.0)</f>
        <v>646032</v>
      </c>
    </row>
    <row r="2867">
      <c r="A2867" s="26">
        <f>IFERROR(__xludf.DUMMYFUNCTION("""COMPUTED_VALUE"""),42601.64583333333)</f>
        <v>42601.64583</v>
      </c>
      <c r="B2867" s="9">
        <f>IFERROR(__xludf.DUMMYFUNCTION("""COMPUTED_VALUE"""),515.0)</f>
        <v>515</v>
      </c>
      <c r="C2867" s="9">
        <f>IFERROR(__xludf.DUMMYFUNCTION("""COMPUTED_VALUE"""),519.5)</f>
        <v>519.5</v>
      </c>
      <c r="D2867" s="9">
        <f>IFERROR(__xludf.DUMMYFUNCTION("""COMPUTED_VALUE"""),509.23)</f>
        <v>509.23</v>
      </c>
      <c r="E2867" s="9">
        <f>IFERROR(__xludf.DUMMYFUNCTION("""COMPUTED_VALUE"""),510.65)</f>
        <v>510.65</v>
      </c>
      <c r="F2867" s="9">
        <f>IFERROR(__xludf.DUMMYFUNCTION("""COMPUTED_VALUE"""),2843008.0)</f>
        <v>2843008</v>
      </c>
      <c r="H2867" s="27">
        <f>IFERROR(__xludf.DUMMYFUNCTION("""COMPUTED_VALUE"""),42601.64583333333)</f>
        <v>42601.64583</v>
      </c>
      <c r="I2867" s="25">
        <f>IFERROR(__xludf.DUMMYFUNCTION("""COMPUTED_VALUE"""),1320.0)</f>
        <v>1320</v>
      </c>
      <c r="J2867" s="25">
        <f>IFERROR(__xludf.DUMMYFUNCTION("""COMPUTED_VALUE"""),1323.23)</f>
        <v>1323.23</v>
      </c>
      <c r="K2867" s="25">
        <f>IFERROR(__xludf.DUMMYFUNCTION("""COMPUTED_VALUE"""),1300.0)</f>
        <v>1300</v>
      </c>
      <c r="L2867" s="25">
        <f>IFERROR(__xludf.DUMMYFUNCTION("""COMPUTED_VALUE"""),1301.75)</f>
        <v>1301.75</v>
      </c>
      <c r="M2867" s="25">
        <f>IFERROR(__xludf.DUMMYFUNCTION("""COMPUTED_VALUE"""),1208122.0)</f>
        <v>1208122</v>
      </c>
    </row>
    <row r="2868">
      <c r="A2868" s="26">
        <f>IFERROR(__xludf.DUMMYFUNCTION("""COMPUTED_VALUE"""),42604.64583333333)</f>
        <v>42604.64583</v>
      </c>
      <c r="B2868" s="9">
        <f>IFERROR(__xludf.DUMMYFUNCTION("""COMPUTED_VALUE"""),509.0)</f>
        <v>509</v>
      </c>
      <c r="C2868" s="9">
        <f>IFERROR(__xludf.DUMMYFUNCTION("""COMPUTED_VALUE"""),515.0)</f>
        <v>515</v>
      </c>
      <c r="D2868" s="9">
        <f>IFERROR(__xludf.DUMMYFUNCTION("""COMPUTED_VALUE"""),504.55)</f>
        <v>504.55</v>
      </c>
      <c r="E2868" s="9">
        <f>IFERROR(__xludf.DUMMYFUNCTION("""COMPUTED_VALUE"""),507.73)</f>
        <v>507.73</v>
      </c>
      <c r="F2868" s="9">
        <f>IFERROR(__xludf.DUMMYFUNCTION("""COMPUTED_VALUE"""),5126759.0)</f>
        <v>5126759</v>
      </c>
      <c r="H2868" s="27">
        <f>IFERROR(__xludf.DUMMYFUNCTION("""COMPUTED_VALUE"""),42604.64583333333)</f>
        <v>42604.64583</v>
      </c>
      <c r="I2868" s="25">
        <f>IFERROR(__xludf.DUMMYFUNCTION("""COMPUTED_VALUE"""),1294.0)</f>
        <v>1294</v>
      </c>
      <c r="J2868" s="25">
        <f>IFERROR(__xludf.DUMMYFUNCTION("""COMPUTED_VALUE"""),1297.22)</f>
        <v>1297.22</v>
      </c>
      <c r="K2868" s="25">
        <f>IFERROR(__xludf.DUMMYFUNCTION("""COMPUTED_VALUE"""),1268.15)</f>
        <v>1268.15</v>
      </c>
      <c r="L2868" s="25">
        <f>IFERROR(__xludf.DUMMYFUNCTION("""COMPUTED_VALUE"""),1274.35)</f>
        <v>1274.35</v>
      </c>
      <c r="M2868" s="25">
        <f>IFERROR(__xludf.DUMMYFUNCTION("""COMPUTED_VALUE"""),1132637.0)</f>
        <v>1132637</v>
      </c>
    </row>
    <row r="2869">
      <c r="A2869" s="26">
        <f>IFERROR(__xludf.DUMMYFUNCTION("""COMPUTED_VALUE"""),42605.64583333333)</f>
        <v>42605.64583</v>
      </c>
      <c r="B2869" s="9">
        <f>IFERROR(__xludf.DUMMYFUNCTION("""COMPUTED_VALUE"""),510.05)</f>
        <v>510.05</v>
      </c>
      <c r="C2869" s="9">
        <f>IFERROR(__xludf.DUMMYFUNCTION("""COMPUTED_VALUE"""),521.0)</f>
        <v>521</v>
      </c>
      <c r="D2869" s="9">
        <f>IFERROR(__xludf.DUMMYFUNCTION("""COMPUTED_VALUE"""),510.05)</f>
        <v>510.05</v>
      </c>
      <c r="E2869" s="9">
        <f>IFERROR(__xludf.DUMMYFUNCTION("""COMPUTED_VALUE"""),519.83)</f>
        <v>519.83</v>
      </c>
      <c r="F2869" s="9">
        <f>IFERROR(__xludf.DUMMYFUNCTION("""COMPUTED_VALUE"""),3703069.0)</f>
        <v>3703069</v>
      </c>
      <c r="H2869" s="27">
        <f>IFERROR(__xludf.DUMMYFUNCTION("""COMPUTED_VALUE"""),42605.64583333333)</f>
        <v>42605.64583</v>
      </c>
      <c r="I2869" s="25">
        <f>IFERROR(__xludf.DUMMYFUNCTION("""COMPUTED_VALUE"""),1272.47)</f>
        <v>1272.47</v>
      </c>
      <c r="J2869" s="25">
        <f>IFERROR(__xludf.DUMMYFUNCTION("""COMPUTED_VALUE"""),1302.47)</f>
        <v>1302.47</v>
      </c>
      <c r="K2869" s="25">
        <f>IFERROR(__xludf.DUMMYFUNCTION("""COMPUTED_VALUE"""),1270.1)</f>
        <v>1270.1</v>
      </c>
      <c r="L2869" s="25">
        <f>IFERROR(__xludf.DUMMYFUNCTION("""COMPUTED_VALUE"""),1300.53)</f>
        <v>1300.53</v>
      </c>
      <c r="M2869" s="25">
        <f>IFERROR(__xludf.DUMMYFUNCTION("""COMPUTED_VALUE"""),751687.0)</f>
        <v>751687</v>
      </c>
    </row>
    <row r="2870">
      <c r="A2870" s="26">
        <f>IFERROR(__xludf.DUMMYFUNCTION("""COMPUTED_VALUE"""),42606.64583333333)</f>
        <v>42606.64583</v>
      </c>
      <c r="B2870" s="9">
        <f>IFERROR(__xludf.DUMMYFUNCTION("""COMPUTED_VALUE"""),523.5)</f>
        <v>523.5</v>
      </c>
      <c r="C2870" s="9">
        <f>IFERROR(__xludf.DUMMYFUNCTION("""COMPUTED_VALUE"""),531.03)</f>
        <v>531.03</v>
      </c>
      <c r="D2870" s="9">
        <f>IFERROR(__xludf.DUMMYFUNCTION("""COMPUTED_VALUE"""),523.5)</f>
        <v>523.5</v>
      </c>
      <c r="E2870" s="9">
        <f>IFERROR(__xludf.DUMMYFUNCTION("""COMPUTED_VALUE"""),528.7)</f>
        <v>528.7</v>
      </c>
      <c r="F2870" s="9">
        <f>IFERROR(__xludf.DUMMYFUNCTION("""COMPUTED_VALUE"""),3064983.0)</f>
        <v>3064983</v>
      </c>
      <c r="H2870" s="27">
        <f>IFERROR(__xludf.DUMMYFUNCTION("""COMPUTED_VALUE"""),42606.64583333333)</f>
        <v>42606.64583</v>
      </c>
      <c r="I2870" s="25">
        <f>IFERROR(__xludf.DUMMYFUNCTION("""COMPUTED_VALUE"""),1294.9)</f>
        <v>1294.9</v>
      </c>
      <c r="J2870" s="25">
        <f>IFERROR(__xludf.DUMMYFUNCTION("""COMPUTED_VALUE"""),1301.0)</f>
        <v>1301</v>
      </c>
      <c r="K2870" s="25">
        <f>IFERROR(__xludf.DUMMYFUNCTION("""COMPUTED_VALUE"""),1284.53)</f>
        <v>1284.53</v>
      </c>
      <c r="L2870" s="25">
        <f>IFERROR(__xludf.DUMMYFUNCTION("""COMPUTED_VALUE"""),1286.03)</f>
        <v>1286.03</v>
      </c>
      <c r="M2870" s="25">
        <f>IFERROR(__xludf.DUMMYFUNCTION("""COMPUTED_VALUE"""),558439.0)</f>
        <v>558439</v>
      </c>
    </row>
    <row r="2871">
      <c r="A2871" s="26">
        <f>IFERROR(__xludf.DUMMYFUNCTION("""COMPUTED_VALUE"""),42607.64583333333)</f>
        <v>42607.64583</v>
      </c>
      <c r="B2871" s="9">
        <f>IFERROR(__xludf.DUMMYFUNCTION("""COMPUTED_VALUE"""),527.5)</f>
        <v>527.5</v>
      </c>
      <c r="C2871" s="9">
        <f>IFERROR(__xludf.DUMMYFUNCTION("""COMPUTED_VALUE"""),528.8)</f>
        <v>528.8</v>
      </c>
      <c r="D2871" s="9">
        <f>IFERROR(__xludf.DUMMYFUNCTION("""COMPUTED_VALUE"""),516.05)</f>
        <v>516.05</v>
      </c>
      <c r="E2871" s="9">
        <f>IFERROR(__xludf.DUMMYFUNCTION("""COMPUTED_VALUE"""),518.08)</f>
        <v>518.08</v>
      </c>
      <c r="F2871" s="9">
        <f>IFERROR(__xludf.DUMMYFUNCTION("""COMPUTED_VALUE"""),2398281.0)</f>
        <v>2398281</v>
      </c>
      <c r="H2871" s="27">
        <f>IFERROR(__xludf.DUMMYFUNCTION("""COMPUTED_VALUE"""),42607.64583333333)</f>
        <v>42607.64583</v>
      </c>
      <c r="I2871" s="25">
        <f>IFERROR(__xludf.DUMMYFUNCTION("""COMPUTED_VALUE"""),1290.0)</f>
        <v>1290</v>
      </c>
      <c r="J2871" s="25">
        <f>IFERROR(__xludf.DUMMYFUNCTION("""COMPUTED_VALUE"""),1294.85)</f>
        <v>1294.85</v>
      </c>
      <c r="K2871" s="25">
        <f>IFERROR(__xludf.DUMMYFUNCTION("""COMPUTED_VALUE"""),1263.0)</f>
        <v>1263</v>
      </c>
      <c r="L2871" s="25">
        <f>IFERROR(__xludf.DUMMYFUNCTION("""COMPUTED_VALUE"""),1275.53)</f>
        <v>1275.53</v>
      </c>
      <c r="M2871" s="25">
        <f>IFERROR(__xludf.DUMMYFUNCTION("""COMPUTED_VALUE"""),969845.0)</f>
        <v>969845</v>
      </c>
    </row>
    <row r="2872">
      <c r="A2872" s="26">
        <f>IFERROR(__xludf.DUMMYFUNCTION("""COMPUTED_VALUE"""),42608.64583333333)</f>
        <v>42608.64583</v>
      </c>
      <c r="B2872" s="9">
        <f>IFERROR(__xludf.DUMMYFUNCTION("""COMPUTED_VALUE"""),518.0)</f>
        <v>518</v>
      </c>
      <c r="C2872" s="9">
        <f>IFERROR(__xludf.DUMMYFUNCTION("""COMPUTED_VALUE"""),523.0)</f>
        <v>523</v>
      </c>
      <c r="D2872" s="9">
        <f>IFERROR(__xludf.DUMMYFUNCTION("""COMPUTED_VALUE"""),508.53)</f>
        <v>508.53</v>
      </c>
      <c r="E2872" s="9">
        <f>IFERROR(__xludf.DUMMYFUNCTION("""COMPUTED_VALUE"""),510.13)</f>
        <v>510.13</v>
      </c>
      <c r="F2872" s="9">
        <f>IFERROR(__xludf.DUMMYFUNCTION("""COMPUTED_VALUE"""),3440527.0)</f>
        <v>3440527</v>
      </c>
      <c r="H2872" s="27">
        <f>IFERROR(__xludf.DUMMYFUNCTION("""COMPUTED_VALUE"""),42608.64583333333)</f>
        <v>42608.64583</v>
      </c>
      <c r="I2872" s="25">
        <f>IFERROR(__xludf.DUMMYFUNCTION("""COMPUTED_VALUE"""),1279.9)</f>
        <v>1279.9</v>
      </c>
      <c r="J2872" s="25">
        <f>IFERROR(__xludf.DUMMYFUNCTION("""COMPUTED_VALUE"""),1286.28)</f>
        <v>1286.28</v>
      </c>
      <c r="K2872" s="25">
        <f>IFERROR(__xludf.DUMMYFUNCTION("""COMPUTED_VALUE"""),1258.6)</f>
        <v>1258.6</v>
      </c>
      <c r="L2872" s="25">
        <f>IFERROR(__xludf.DUMMYFUNCTION("""COMPUTED_VALUE"""),1262.47)</f>
        <v>1262.47</v>
      </c>
      <c r="M2872" s="25">
        <f>IFERROR(__xludf.DUMMYFUNCTION("""COMPUTED_VALUE"""),625157.0)</f>
        <v>625157</v>
      </c>
    </row>
    <row r="2873">
      <c r="A2873" s="26">
        <f>IFERROR(__xludf.DUMMYFUNCTION("""COMPUTED_VALUE"""),42611.64583333333)</f>
        <v>42611.64583</v>
      </c>
      <c r="B2873" s="9">
        <f>IFERROR(__xludf.DUMMYFUNCTION("""COMPUTED_VALUE"""),508.8)</f>
        <v>508.8</v>
      </c>
      <c r="C2873" s="9">
        <f>IFERROR(__xludf.DUMMYFUNCTION("""COMPUTED_VALUE"""),515.0)</f>
        <v>515</v>
      </c>
      <c r="D2873" s="9">
        <f>IFERROR(__xludf.DUMMYFUNCTION("""COMPUTED_VALUE"""),505.5)</f>
        <v>505.5</v>
      </c>
      <c r="E2873" s="9">
        <f>IFERROR(__xludf.DUMMYFUNCTION("""COMPUTED_VALUE"""),511.4)</f>
        <v>511.4</v>
      </c>
      <c r="F2873" s="9">
        <f>IFERROR(__xludf.DUMMYFUNCTION("""COMPUTED_VALUE"""),2610141.0)</f>
        <v>2610141</v>
      </c>
      <c r="H2873" s="27">
        <f>IFERROR(__xludf.DUMMYFUNCTION("""COMPUTED_VALUE"""),42611.64583333333)</f>
        <v>42611.64583</v>
      </c>
      <c r="I2873" s="25">
        <f>IFERROR(__xludf.DUMMYFUNCTION("""COMPUTED_VALUE"""),1267.47)</f>
        <v>1267.47</v>
      </c>
      <c r="J2873" s="25">
        <f>IFERROR(__xludf.DUMMYFUNCTION("""COMPUTED_VALUE"""),1267.47)</f>
        <v>1267.47</v>
      </c>
      <c r="K2873" s="25">
        <f>IFERROR(__xludf.DUMMYFUNCTION("""COMPUTED_VALUE"""),1233.38)</f>
        <v>1233.38</v>
      </c>
      <c r="L2873" s="25">
        <f>IFERROR(__xludf.DUMMYFUNCTION("""COMPUTED_VALUE"""),1250.28)</f>
        <v>1250.28</v>
      </c>
      <c r="M2873" s="25">
        <f>IFERROR(__xludf.DUMMYFUNCTION("""COMPUTED_VALUE"""),744364.0)</f>
        <v>744364</v>
      </c>
    </row>
    <row r="2874">
      <c r="A2874" s="26">
        <f>IFERROR(__xludf.DUMMYFUNCTION("""COMPUTED_VALUE"""),42612.64583333333)</f>
        <v>42612.64583</v>
      </c>
      <c r="B2874" s="9">
        <f>IFERROR(__xludf.DUMMYFUNCTION("""COMPUTED_VALUE"""),516.23)</f>
        <v>516.23</v>
      </c>
      <c r="C2874" s="9">
        <f>IFERROR(__xludf.DUMMYFUNCTION("""COMPUTED_VALUE"""),522.5)</f>
        <v>522.5</v>
      </c>
      <c r="D2874" s="9">
        <f>IFERROR(__xludf.DUMMYFUNCTION("""COMPUTED_VALUE"""),512.5)</f>
        <v>512.5</v>
      </c>
      <c r="E2874" s="9">
        <f>IFERROR(__xludf.DUMMYFUNCTION("""COMPUTED_VALUE"""),520.2)</f>
        <v>520.2</v>
      </c>
      <c r="F2874" s="9">
        <f>IFERROR(__xludf.DUMMYFUNCTION("""COMPUTED_VALUE"""),2187719.0)</f>
        <v>2187719</v>
      </c>
      <c r="H2874" s="27">
        <f>IFERROR(__xludf.DUMMYFUNCTION("""COMPUTED_VALUE"""),42612.64583333333)</f>
        <v>42612.64583</v>
      </c>
      <c r="I2874" s="25">
        <f>IFERROR(__xludf.DUMMYFUNCTION("""COMPUTED_VALUE"""),1255.0)</f>
        <v>1255</v>
      </c>
      <c r="J2874" s="25">
        <f>IFERROR(__xludf.DUMMYFUNCTION("""COMPUTED_VALUE"""),1274.9)</f>
        <v>1274.9</v>
      </c>
      <c r="K2874" s="25">
        <f>IFERROR(__xludf.DUMMYFUNCTION("""COMPUTED_VALUE"""),1250.63)</f>
        <v>1250.63</v>
      </c>
      <c r="L2874" s="25">
        <f>IFERROR(__xludf.DUMMYFUNCTION("""COMPUTED_VALUE"""),1272.08)</f>
        <v>1272.08</v>
      </c>
      <c r="M2874" s="25">
        <f>IFERROR(__xludf.DUMMYFUNCTION("""COMPUTED_VALUE"""),722013.0)</f>
        <v>722013</v>
      </c>
    </row>
    <row r="2875">
      <c r="A2875" s="26">
        <f>IFERROR(__xludf.DUMMYFUNCTION("""COMPUTED_VALUE"""),42613.64583333333)</f>
        <v>42613.64583</v>
      </c>
      <c r="B2875" s="9">
        <f>IFERROR(__xludf.DUMMYFUNCTION("""COMPUTED_VALUE"""),518.55)</f>
        <v>518.55</v>
      </c>
      <c r="C2875" s="9">
        <f>IFERROR(__xludf.DUMMYFUNCTION("""COMPUTED_VALUE"""),522.88)</f>
        <v>522.88</v>
      </c>
      <c r="D2875" s="9">
        <f>IFERROR(__xludf.DUMMYFUNCTION("""COMPUTED_VALUE"""),513.9)</f>
        <v>513.9</v>
      </c>
      <c r="E2875" s="9">
        <f>IFERROR(__xludf.DUMMYFUNCTION("""COMPUTED_VALUE"""),517.92)</f>
        <v>517.92</v>
      </c>
      <c r="F2875" s="9">
        <f>IFERROR(__xludf.DUMMYFUNCTION("""COMPUTED_VALUE"""),5569907.0)</f>
        <v>5569907</v>
      </c>
      <c r="H2875" s="27">
        <f>IFERROR(__xludf.DUMMYFUNCTION("""COMPUTED_VALUE"""),42613.64583333333)</f>
        <v>42613.64583</v>
      </c>
      <c r="I2875" s="25">
        <f>IFERROR(__xludf.DUMMYFUNCTION("""COMPUTED_VALUE"""),1275.0)</f>
        <v>1275</v>
      </c>
      <c r="J2875" s="25">
        <f>IFERROR(__xludf.DUMMYFUNCTION("""COMPUTED_VALUE"""),1275.0)</f>
        <v>1275</v>
      </c>
      <c r="K2875" s="25">
        <f>IFERROR(__xludf.DUMMYFUNCTION("""COMPUTED_VALUE"""),1250.43)</f>
        <v>1250.43</v>
      </c>
      <c r="L2875" s="25">
        <f>IFERROR(__xludf.DUMMYFUNCTION("""COMPUTED_VALUE"""),1255.65)</f>
        <v>1255.65</v>
      </c>
      <c r="M2875" s="25">
        <f>IFERROR(__xludf.DUMMYFUNCTION("""COMPUTED_VALUE"""),1615834.0)</f>
        <v>1615834</v>
      </c>
    </row>
    <row r="2876">
      <c r="A2876" s="26">
        <f>IFERROR(__xludf.DUMMYFUNCTION("""COMPUTED_VALUE"""),42614.64583333333)</f>
        <v>42614.64583</v>
      </c>
      <c r="B2876" s="9">
        <f>IFERROR(__xludf.DUMMYFUNCTION("""COMPUTED_VALUE"""),519.0)</f>
        <v>519</v>
      </c>
      <c r="C2876" s="9">
        <f>IFERROR(__xludf.DUMMYFUNCTION("""COMPUTED_VALUE"""),520.23)</f>
        <v>520.23</v>
      </c>
      <c r="D2876" s="9">
        <f>IFERROR(__xludf.DUMMYFUNCTION("""COMPUTED_VALUE"""),516.0)</f>
        <v>516</v>
      </c>
      <c r="E2876" s="9">
        <f>IFERROR(__xludf.DUMMYFUNCTION("""COMPUTED_VALUE"""),518.78)</f>
        <v>518.78</v>
      </c>
      <c r="F2876" s="9">
        <f>IFERROR(__xludf.DUMMYFUNCTION("""COMPUTED_VALUE"""),1438913.0)</f>
        <v>1438913</v>
      </c>
      <c r="H2876" s="27">
        <f>IFERROR(__xludf.DUMMYFUNCTION("""COMPUTED_VALUE"""),42614.64583333333)</f>
        <v>42614.64583</v>
      </c>
      <c r="I2876" s="25">
        <f>IFERROR(__xludf.DUMMYFUNCTION("""COMPUTED_VALUE"""),1262.45)</f>
        <v>1262.45</v>
      </c>
      <c r="J2876" s="25">
        <f>IFERROR(__xludf.DUMMYFUNCTION("""COMPUTED_VALUE"""),1267.47)</f>
        <v>1267.47</v>
      </c>
      <c r="K2876" s="25">
        <f>IFERROR(__xludf.DUMMYFUNCTION("""COMPUTED_VALUE"""),1243.53)</f>
        <v>1243.53</v>
      </c>
      <c r="L2876" s="25">
        <f>IFERROR(__xludf.DUMMYFUNCTION("""COMPUTED_VALUE"""),1253.75)</f>
        <v>1253.75</v>
      </c>
      <c r="M2876" s="25">
        <f>IFERROR(__xludf.DUMMYFUNCTION("""COMPUTED_VALUE"""),672868.0)</f>
        <v>672868</v>
      </c>
    </row>
    <row r="2877">
      <c r="A2877" s="26">
        <f>IFERROR(__xludf.DUMMYFUNCTION("""COMPUTED_VALUE"""),42615.64583333333)</f>
        <v>42615.64583</v>
      </c>
      <c r="B2877" s="9">
        <f>IFERROR(__xludf.DUMMYFUNCTION("""COMPUTED_VALUE"""),519.53)</f>
        <v>519.53</v>
      </c>
      <c r="C2877" s="9">
        <f>IFERROR(__xludf.DUMMYFUNCTION("""COMPUTED_VALUE"""),520.0)</f>
        <v>520</v>
      </c>
      <c r="D2877" s="9">
        <f>IFERROR(__xludf.DUMMYFUNCTION("""COMPUTED_VALUE"""),513.1)</f>
        <v>513.1</v>
      </c>
      <c r="E2877" s="9">
        <f>IFERROR(__xludf.DUMMYFUNCTION("""COMPUTED_VALUE"""),515.92)</f>
        <v>515.92</v>
      </c>
      <c r="F2877" s="9">
        <f>IFERROR(__xludf.DUMMYFUNCTION("""COMPUTED_VALUE"""),1666296.0)</f>
        <v>1666296</v>
      </c>
      <c r="H2877" s="27">
        <f>IFERROR(__xludf.DUMMYFUNCTION("""COMPUTED_VALUE"""),42615.64583333333)</f>
        <v>42615.64583</v>
      </c>
      <c r="I2877" s="25">
        <f>IFERROR(__xludf.DUMMYFUNCTION("""COMPUTED_VALUE"""),1256.0)</f>
        <v>1256</v>
      </c>
      <c r="J2877" s="25">
        <f>IFERROR(__xludf.DUMMYFUNCTION("""COMPUTED_VALUE"""),1259.7)</f>
        <v>1259.7</v>
      </c>
      <c r="K2877" s="25">
        <f>IFERROR(__xludf.DUMMYFUNCTION("""COMPUTED_VALUE"""),1248.03)</f>
        <v>1248.03</v>
      </c>
      <c r="L2877" s="25">
        <f>IFERROR(__xludf.DUMMYFUNCTION("""COMPUTED_VALUE"""),1257.4)</f>
        <v>1257.4</v>
      </c>
      <c r="M2877" s="25">
        <f>IFERROR(__xludf.DUMMYFUNCTION("""COMPUTED_VALUE"""),871165.0)</f>
        <v>871165</v>
      </c>
    </row>
    <row r="2878">
      <c r="A2878" s="26">
        <f>IFERROR(__xludf.DUMMYFUNCTION("""COMPUTED_VALUE"""),42619.64583333333)</f>
        <v>42619.64583</v>
      </c>
      <c r="B2878" s="9">
        <f>IFERROR(__xludf.DUMMYFUNCTION("""COMPUTED_VALUE"""),519.13)</f>
        <v>519.13</v>
      </c>
      <c r="C2878" s="9">
        <f>IFERROR(__xludf.DUMMYFUNCTION("""COMPUTED_VALUE"""),524.45)</f>
        <v>524.45</v>
      </c>
      <c r="D2878" s="9">
        <f>IFERROR(__xludf.DUMMYFUNCTION("""COMPUTED_VALUE"""),517.8)</f>
        <v>517.8</v>
      </c>
      <c r="E2878" s="9">
        <f>IFERROR(__xludf.DUMMYFUNCTION("""COMPUTED_VALUE"""),522.5)</f>
        <v>522.5</v>
      </c>
      <c r="F2878" s="9">
        <f>IFERROR(__xludf.DUMMYFUNCTION("""COMPUTED_VALUE"""),4107522.0)</f>
        <v>4107522</v>
      </c>
      <c r="H2878" s="27">
        <f>IFERROR(__xludf.DUMMYFUNCTION("""COMPUTED_VALUE"""),42619.64583333333)</f>
        <v>42619.64583</v>
      </c>
      <c r="I2878" s="25">
        <f>IFERROR(__xludf.DUMMYFUNCTION("""COMPUTED_VALUE"""),1259.95)</f>
        <v>1259.95</v>
      </c>
      <c r="J2878" s="25">
        <f>IFERROR(__xludf.DUMMYFUNCTION("""COMPUTED_VALUE"""),1260.08)</f>
        <v>1260.08</v>
      </c>
      <c r="K2878" s="25">
        <f>IFERROR(__xludf.DUMMYFUNCTION("""COMPUTED_VALUE"""),1240.0)</f>
        <v>1240</v>
      </c>
      <c r="L2878" s="25">
        <f>IFERROR(__xludf.DUMMYFUNCTION("""COMPUTED_VALUE"""),1242.03)</f>
        <v>1242.03</v>
      </c>
      <c r="M2878" s="25">
        <f>IFERROR(__xludf.DUMMYFUNCTION("""COMPUTED_VALUE"""),1119533.0)</f>
        <v>1119533</v>
      </c>
    </row>
    <row r="2879">
      <c r="A2879" s="26">
        <f>IFERROR(__xludf.DUMMYFUNCTION("""COMPUTED_VALUE"""),42620.64583333333)</f>
        <v>42620.64583</v>
      </c>
      <c r="B2879" s="9">
        <f>IFERROR(__xludf.DUMMYFUNCTION("""COMPUTED_VALUE"""),524.0)</f>
        <v>524</v>
      </c>
      <c r="C2879" s="9">
        <f>IFERROR(__xludf.DUMMYFUNCTION("""COMPUTED_VALUE"""),529.5)</f>
        <v>529.5</v>
      </c>
      <c r="D2879" s="9">
        <f>IFERROR(__xludf.DUMMYFUNCTION("""COMPUTED_VALUE"""),522.0)</f>
        <v>522</v>
      </c>
      <c r="E2879" s="9">
        <f>IFERROR(__xludf.DUMMYFUNCTION("""COMPUTED_VALUE"""),527.17)</f>
        <v>527.17</v>
      </c>
      <c r="F2879" s="9">
        <f>IFERROR(__xludf.DUMMYFUNCTION("""COMPUTED_VALUE"""),3712735.0)</f>
        <v>3712735</v>
      </c>
      <c r="H2879" s="27">
        <f>IFERROR(__xludf.DUMMYFUNCTION("""COMPUTED_VALUE"""),42620.64583333333)</f>
        <v>42620.64583</v>
      </c>
      <c r="I2879" s="25">
        <f>IFERROR(__xludf.DUMMYFUNCTION("""COMPUTED_VALUE"""),1249.85)</f>
        <v>1249.85</v>
      </c>
      <c r="J2879" s="25">
        <f>IFERROR(__xludf.DUMMYFUNCTION("""COMPUTED_VALUE"""),1249.85)</f>
        <v>1249.85</v>
      </c>
      <c r="K2879" s="25">
        <f>IFERROR(__xludf.DUMMYFUNCTION("""COMPUTED_VALUE"""),1211.5)</f>
        <v>1211.5</v>
      </c>
      <c r="L2879" s="25">
        <f>IFERROR(__xludf.DUMMYFUNCTION("""COMPUTED_VALUE"""),1220.28)</f>
        <v>1220.28</v>
      </c>
      <c r="M2879" s="25">
        <f>IFERROR(__xludf.DUMMYFUNCTION("""COMPUTED_VALUE"""),1927020.0)</f>
        <v>1927020</v>
      </c>
    </row>
    <row r="2880">
      <c r="A2880" s="26">
        <f>IFERROR(__xludf.DUMMYFUNCTION("""COMPUTED_VALUE"""),42621.64583333333)</f>
        <v>42621.64583</v>
      </c>
      <c r="B2880" s="9">
        <f>IFERROR(__xludf.DUMMYFUNCTION("""COMPUTED_VALUE"""),522.5)</f>
        <v>522.5</v>
      </c>
      <c r="C2880" s="9">
        <f>IFERROR(__xludf.DUMMYFUNCTION("""COMPUTED_VALUE"""),522.5)</f>
        <v>522.5</v>
      </c>
      <c r="D2880" s="9">
        <f>IFERROR(__xludf.DUMMYFUNCTION("""COMPUTED_VALUE"""),512.0)</f>
        <v>512</v>
      </c>
      <c r="E2880" s="9">
        <f>IFERROR(__xludf.DUMMYFUNCTION("""COMPUTED_VALUE"""),518.83)</f>
        <v>518.83</v>
      </c>
      <c r="F2880" s="9">
        <f>IFERROR(__xludf.DUMMYFUNCTION("""COMPUTED_VALUE"""),4546387.0)</f>
        <v>4546387</v>
      </c>
      <c r="H2880" s="27">
        <f>IFERROR(__xludf.DUMMYFUNCTION("""COMPUTED_VALUE"""),42621.64583333333)</f>
        <v>42621.64583</v>
      </c>
      <c r="I2880" s="25">
        <f>IFERROR(__xludf.DUMMYFUNCTION("""COMPUTED_VALUE"""),1180.0)</f>
        <v>1180</v>
      </c>
      <c r="J2880" s="25">
        <f>IFERROR(__xludf.DUMMYFUNCTION("""COMPUTED_VALUE"""),1180.0)</f>
        <v>1180</v>
      </c>
      <c r="K2880" s="25">
        <f>IFERROR(__xludf.DUMMYFUNCTION("""COMPUTED_VALUE"""),1142.38)</f>
        <v>1142.38</v>
      </c>
      <c r="L2880" s="25">
        <f>IFERROR(__xludf.DUMMYFUNCTION("""COMPUTED_VALUE"""),1161.05)</f>
        <v>1161.05</v>
      </c>
      <c r="M2880" s="25">
        <f>IFERROR(__xludf.DUMMYFUNCTION("""COMPUTED_VALUE"""),3510758.0)</f>
        <v>3510758</v>
      </c>
    </row>
    <row r="2881">
      <c r="A2881" s="26">
        <f>IFERROR(__xludf.DUMMYFUNCTION("""COMPUTED_VALUE"""),42622.64583333333)</f>
        <v>42622.64583</v>
      </c>
      <c r="B2881" s="9">
        <f>IFERROR(__xludf.DUMMYFUNCTION("""COMPUTED_VALUE"""),518.5)</f>
        <v>518.5</v>
      </c>
      <c r="C2881" s="9">
        <f>IFERROR(__xludf.DUMMYFUNCTION("""COMPUTED_VALUE"""),520.5)</f>
        <v>520.5</v>
      </c>
      <c r="D2881" s="9">
        <f>IFERROR(__xludf.DUMMYFUNCTION("""COMPUTED_VALUE"""),513.28)</f>
        <v>513.28</v>
      </c>
      <c r="E2881" s="9">
        <f>IFERROR(__xludf.DUMMYFUNCTION("""COMPUTED_VALUE"""),517.75)</f>
        <v>517.75</v>
      </c>
      <c r="F2881" s="9">
        <f>IFERROR(__xludf.DUMMYFUNCTION("""COMPUTED_VALUE"""),2526719.0)</f>
        <v>2526719</v>
      </c>
      <c r="H2881" s="27">
        <f>IFERROR(__xludf.DUMMYFUNCTION("""COMPUTED_VALUE"""),42622.64583333333)</f>
        <v>42622.64583</v>
      </c>
      <c r="I2881" s="25">
        <f>IFERROR(__xludf.DUMMYFUNCTION("""COMPUTED_VALUE"""),1164.85)</f>
        <v>1164.85</v>
      </c>
      <c r="J2881" s="25">
        <f>IFERROR(__xludf.DUMMYFUNCTION("""COMPUTED_VALUE"""),1183.33)</f>
        <v>1183.33</v>
      </c>
      <c r="K2881" s="25">
        <f>IFERROR(__xludf.DUMMYFUNCTION("""COMPUTED_VALUE"""),1160.03)</f>
        <v>1160.03</v>
      </c>
      <c r="L2881" s="25">
        <f>IFERROR(__xludf.DUMMYFUNCTION("""COMPUTED_VALUE"""),1176.22)</f>
        <v>1176.22</v>
      </c>
      <c r="M2881" s="25">
        <f>IFERROR(__xludf.DUMMYFUNCTION("""COMPUTED_VALUE"""),1371219.0)</f>
        <v>1371219</v>
      </c>
    </row>
    <row r="2882">
      <c r="A2882" s="26">
        <f>IFERROR(__xludf.DUMMYFUNCTION("""COMPUTED_VALUE"""),42625.64583333333)</f>
        <v>42625.64583</v>
      </c>
      <c r="B2882" s="9">
        <f>IFERROR(__xludf.DUMMYFUNCTION("""COMPUTED_VALUE"""),512.63)</f>
        <v>512.63</v>
      </c>
      <c r="C2882" s="9">
        <f>IFERROR(__xludf.DUMMYFUNCTION("""COMPUTED_VALUE"""),529.0)</f>
        <v>529</v>
      </c>
      <c r="D2882" s="9">
        <f>IFERROR(__xludf.DUMMYFUNCTION("""COMPUTED_VALUE"""),512.63)</f>
        <v>512.63</v>
      </c>
      <c r="E2882" s="9">
        <f>IFERROR(__xludf.DUMMYFUNCTION("""COMPUTED_VALUE"""),527.0)</f>
        <v>527</v>
      </c>
      <c r="F2882" s="9">
        <f>IFERROR(__xludf.DUMMYFUNCTION("""COMPUTED_VALUE"""),3101548.0)</f>
        <v>3101548</v>
      </c>
      <c r="H2882" s="27">
        <f>IFERROR(__xludf.DUMMYFUNCTION("""COMPUTED_VALUE"""),42625.64583333333)</f>
        <v>42625.64583</v>
      </c>
      <c r="I2882" s="25">
        <f>IFERROR(__xludf.DUMMYFUNCTION("""COMPUTED_VALUE"""),1168.5)</f>
        <v>1168.5</v>
      </c>
      <c r="J2882" s="25">
        <f>IFERROR(__xludf.DUMMYFUNCTION("""COMPUTED_VALUE"""),1181.97)</f>
        <v>1181.97</v>
      </c>
      <c r="K2882" s="25">
        <f>IFERROR(__xludf.DUMMYFUNCTION("""COMPUTED_VALUE"""),1162.0)</f>
        <v>1162</v>
      </c>
      <c r="L2882" s="25">
        <f>IFERROR(__xludf.DUMMYFUNCTION("""COMPUTED_VALUE"""),1179.53)</f>
        <v>1179.53</v>
      </c>
      <c r="M2882" s="25">
        <f>IFERROR(__xludf.DUMMYFUNCTION("""COMPUTED_VALUE"""),1012227.0)</f>
        <v>1012227</v>
      </c>
    </row>
    <row r="2883">
      <c r="A2883" s="26">
        <f>IFERROR(__xludf.DUMMYFUNCTION("""COMPUTED_VALUE"""),42627.64583333333)</f>
        <v>42627.64583</v>
      </c>
      <c r="B2883" s="9">
        <f>IFERROR(__xludf.DUMMYFUNCTION("""COMPUTED_VALUE"""),526.98)</f>
        <v>526.98</v>
      </c>
      <c r="C2883" s="9">
        <f>IFERROR(__xludf.DUMMYFUNCTION("""COMPUTED_VALUE"""),528.9)</f>
        <v>528.9</v>
      </c>
      <c r="D2883" s="9">
        <f>IFERROR(__xludf.DUMMYFUNCTION("""COMPUTED_VALUE"""),520.33)</f>
        <v>520.33</v>
      </c>
      <c r="E2883" s="9">
        <f>IFERROR(__xludf.DUMMYFUNCTION("""COMPUTED_VALUE"""),522.8)</f>
        <v>522.8</v>
      </c>
      <c r="F2883" s="9">
        <f>IFERROR(__xludf.DUMMYFUNCTION("""COMPUTED_VALUE"""),2576209.0)</f>
        <v>2576209</v>
      </c>
      <c r="H2883" s="27">
        <f>IFERROR(__xludf.DUMMYFUNCTION("""COMPUTED_VALUE"""),42627.64583333333)</f>
        <v>42627.64583</v>
      </c>
      <c r="I2883" s="25">
        <f>IFERROR(__xludf.DUMMYFUNCTION("""COMPUTED_VALUE"""),1181.0)</f>
        <v>1181</v>
      </c>
      <c r="J2883" s="25">
        <f>IFERROR(__xludf.DUMMYFUNCTION("""COMPUTED_VALUE"""),1188.8)</f>
        <v>1188.8</v>
      </c>
      <c r="K2883" s="25">
        <f>IFERROR(__xludf.DUMMYFUNCTION("""COMPUTED_VALUE"""),1155.0)</f>
        <v>1155</v>
      </c>
      <c r="L2883" s="25">
        <f>IFERROR(__xludf.DUMMYFUNCTION("""COMPUTED_VALUE"""),1164.22)</f>
        <v>1164.22</v>
      </c>
      <c r="M2883" s="25">
        <f>IFERROR(__xludf.DUMMYFUNCTION("""COMPUTED_VALUE"""),1034929.0)</f>
        <v>1034929</v>
      </c>
    </row>
    <row r="2884">
      <c r="A2884" s="26">
        <f>IFERROR(__xludf.DUMMYFUNCTION("""COMPUTED_VALUE"""),42628.64583333333)</f>
        <v>42628.64583</v>
      </c>
      <c r="B2884" s="9">
        <f>IFERROR(__xludf.DUMMYFUNCTION("""COMPUTED_VALUE"""),522.8)</f>
        <v>522.8</v>
      </c>
      <c r="C2884" s="9">
        <f>IFERROR(__xludf.DUMMYFUNCTION("""COMPUTED_VALUE"""),523.4)</f>
        <v>523.4</v>
      </c>
      <c r="D2884" s="9">
        <f>IFERROR(__xludf.DUMMYFUNCTION("""COMPUTED_VALUE"""),517.67)</f>
        <v>517.67</v>
      </c>
      <c r="E2884" s="9">
        <f>IFERROR(__xludf.DUMMYFUNCTION("""COMPUTED_VALUE"""),521.1)</f>
        <v>521.1</v>
      </c>
      <c r="F2884" s="9">
        <f>IFERROR(__xludf.DUMMYFUNCTION("""COMPUTED_VALUE"""),2350861.0)</f>
        <v>2350861</v>
      </c>
      <c r="H2884" s="27">
        <f>IFERROR(__xludf.DUMMYFUNCTION("""COMPUTED_VALUE"""),42628.64583333333)</f>
        <v>42628.64583</v>
      </c>
      <c r="I2884" s="25">
        <f>IFERROR(__xludf.DUMMYFUNCTION("""COMPUTED_VALUE"""),1169.97)</f>
        <v>1169.97</v>
      </c>
      <c r="J2884" s="25">
        <f>IFERROR(__xludf.DUMMYFUNCTION("""COMPUTED_VALUE"""),1171.05)</f>
        <v>1171.05</v>
      </c>
      <c r="K2884" s="25">
        <f>IFERROR(__xludf.DUMMYFUNCTION("""COMPUTED_VALUE"""),1158.38)</f>
        <v>1158.38</v>
      </c>
      <c r="L2884" s="25">
        <f>IFERROR(__xludf.DUMMYFUNCTION("""COMPUTED_VALUE"""),1163.47)</f>
        <v>1163.47</v>
      </c>
      <c r="M2884" s="25">
        <f>IFERROR(__xludf.DUMMYFUNCTION("""COMPUTED_VALUE"""),1409482.0)</f>
        <v>1409482</v>
      </c>
    </row>
    <row r="2885">
      <c r="A2885" s="26">
        <f>IFERROR(__xludf.DUMMYFUNCTION("""COMPUTED_VALUE"""),42629.64583333333)</f>
        <v>42629.64583</v>
      </c>
      <c r="B2885" s="9">
        <f>IFERROR(__xludf.DUMMYFUNCTION("""COMPUTED_VALUE"""),524.5)</f>
        <v>524.5</v>
      </c>
      <c r="C2885" s="9">
        <f>IFERROR(__xludf.DUMMYFUNCTION("""COMPUTED_VALUE"""),532.25)</f>
        <v>532.25</v>
      </c>
      <c r="D2885" s="9">
        <f>IFERROR(__xludf.DUMMYFUNCTION("""COMPUTED_VALUE"""),519.05)</f>
        <v>519.05</v>
      </c>
      <c r="E2885" s="9">
        <f>IFERROR(__xludf.DUMMYFUNCTION("""COMPUTED_VALUE"""),530.08)</f>
        <v>530.08</v>
      </c>
      <c r="F2885" s="9">
        <f>IFERROR(__xludf.DUMMYFUNCTION("""COMPUTED_VALUE"""),4974692.0)</f>
        <v>4974692</v>
      </c>
      <c r="H2885" s="27">
        <f>IFERROR(__xludf.DUMMYFUNCTION("""COMPUTED_VALUE"""),42629.64583333333)</f>
        <v>42629.64583</v>
      </c>
      <c r="I2885" s="25">
        <f>IFERROR(__xludf.DUMMYFUNCTION("""COMPUTED_VALUE"""),1168.35)</f>
        <v>1168.35</v>
      </c>
      <c r="J2885" s="25">
        <f>IFERROR(__xludf.DUMMYFUNCTION("""COMPUTED_VALUE"""),1188.0)</f>
        <v>1188</v>
      </c>
      <c r="K2885" s="25">
        <f>IFERROR(__xludf.DUMMYFUNCTION("""COMPUTED_VALUE"""),1160.0)</f>
        <v>1160</v>
      </c>
      <c r="L2885" s="25">
        <f>IFERROR(__xludf.DUMMYFUNCTION("""COMPUTED_VALUE"""),1180.85)</f>
        <v>1180.85</v>
      </c>
      <c r="M2885" s="25">
        <f>IFERROR(__xludf.DUMMYFUNCTION("""COMPUTED_VALUE"""),2179002.0)</f>
        <v>2179002</v>
      </c>
    </row>
    <row r="2886">
      <c r="A2886" s="26">
        <f>IFERROR(__xludf.DUMMYFUNCTION("""COMPUTED_VALUE"""),42632.64583333333)</f>
        <v>42632.64583</v>
      </c>
      <c r="B2886" s="9">
        <f>IFERROR(__xludf.DUMMYFUNCTION("""COMPUTED_VALUE"""),523.0)</f>
        <v>523</v>
      </c>
      <c r="C2886" s="9">
        <f>IFERROR(__xludf.DUMMYFUNCTION("""COMPUTED_VALUE"""),534.45)</f>
        <v>534.45</v>
      </c>
      <c r="D2886" s="9">
        <f>IFERROR(__xludf.DUMMYFUNCTION("""COMPUTED_VALUE"""),520.67)</f>
        <v>520.67</v>
      </c>
      <c r="E2886" s="9">
        <f>IFERROR(__xludf.DUMMYFUNCTION("""COMPUTED_VALUE"""),530.6)</f>
        <v>530.6</v>
      </c>
      <c r="F2886" s="9">
        <f>IFERROR(__xludf.DUMMYFUNCTION("""COMPUTED_VALUE"""),2904577.0)</f>
        <v>2904577</v>
      </c>
      <c r="H2886" s="27">
        <f>IFERROR(__xludf.DUMMYFUNCTION("""COMPUTED_VALUE"""),42632.64583333333)</f>
        <v>42632.64583</v>
      </c>
      <c r="I2886" s="25">
        <f>IFERROR(__xludf.DUMMYFUNCTION("""COMPUTED_VALUE"""),1182.5)</f>
        <v>1182.5</v>
      </c>
      <c r="J2886" s="25">
        <f>IFERROR(__xludf.DUMMYFUNCTION("""COMPUTED_VALUE"""),1213.5)</f>
        <v>1213.5</v>
      </c>
      <c r="K2886" s="25">
        <f>IFERROR(__xludf.DUMMYFUNCTION("""COMPUTED_VALUE"""),1175.0)</f>
        <v>1175</v>
      </c>
      <c r="L2886" s="25">
        <f>IFERROR(__xludf.DUMMYFUNCTION("""COMPUTED_VALUE"""),1205.72)</f>
        <v>1205.72</v>
      </c>
      <c r="M2886" s="25">
        <f>IFERROR(__xludf.DUMMYFUNCTION("""COMPUTED_VALUE"""),1401273.0)</f>
        <v>1401273</v>
      </c>
    </row>
    <row r="2887">
      <c r="A2887" s="26">
        <f>IFERROR(__xludf.DUMMYFUNCTION("""COMPUTED_VALUE"""),42633.64583333333)</f>
        <v>42633.64583</v>
      </c>
      <c r="B2887" s="9">
        <f>IFERROR(__xludf.DUMMYFUNCTION("""COMPUTED_VALUE"""),526.65)</f>
        <v>526.65</v>
      </c>
      <c r="C2887" s="9">
        <f>IFERROR(__xludf.DUMMYFUNCTION("""COMPUTED_VALUE"""),528.58)</f>
        <v>528.58</v>
      </c>
      <c r="D2887" s="9">
        <f>IFERROR(__xludf.DUMMYFUNCTION("""COMPUTED_VALUE"""),522.88)</f>
        <v>522.88</v>
      </c>
      <c r="E2887" s="9">
        <f>IFERROR(__xludf.DUMMYFUNCTION("""COMPUTED_VALUE"""),525.08)</f>
        <v>525.08</v>
      </c>
      <c r="F2887" s="9">
        <f>IFERROR(__xludf.DUMMYFUNCTION("""COMPUTED_VALUE"""),2107002.0)</f>
        <v>2107002</v>
      </c>
      <c r="H2887" s="27">
        <f>IFERROR(__xludf.DUMMYFUNCTION("""COMPUTED_VALUE"""),42633.64583333333)</f>
        <v>42633.64583</v>
      </c>
      <c r="I2887" s="25">
        <f>IFERROR(__xludf.DUMMYFUNCTION("""COMPUTED_VALUE"""),1205.5)</f>
        <v>1205.5</v>
      </c>
      <c r="J2887" s="25">
        <f>IFERROR(__xludf.DUMMYFUNCTION("""COMPUTED_VALUE"""),1208.45)</f>
        <v>1208.45</v>
      </c>
      <c r="K2887" s="25">
        <f>IFERROR(__xludf.DUMMYFUNCTION("""COMPUTED_VALUE"""),1192.7)</f>
        <v>1192.7</v>
      </c>
      <c r="L2887" s="25">
        <f>IFERROR(__xludf.DUMMYFUNCTION("""COMPUTED_VALUE"""),1203.25)</f>
        <v>1203.25</v>
      </c>
      <c r="M2887" s="25">
        <f>IFERROR(__xludf.DUMMYFUNCTION("""COMPUTED_VALUE"""),592276.0)</f>
        <v>592276</v>
      </c>
    </row>
    <row r="2888">
      <c r="A2888" s="26">
        <f>IFERROR(__xludf.DUMMYFUNCTION("""COMPUTED_VALUE"""),42634.64583333333)</f>
        <v>42634.64583</v>
      </c>
      <c r="B2888" s="9">
        <f>IFERROR(__xludf.DUMMYFUNCTION("""COMPUTED_VALUE"""),527.0)</f>
        <v>527</v>
      </c>
      <c r="C2888" s="9">
        <f>IFERROR(__xludf.DUMMYFUNCTION("""COMPUTED_VALUE"""),530.63)</f>
        <v>530.63</v>
      </c>
      <c r="D2888" s="9">
        <f>IFERROR(__xludf.DUMMYFUNCTION("""COMPUTED_VALUE"""),525.53)</f>
        <v>525.53</v>
      </c>
      <c r="E2888" s="9">
        <f>IFERROR(__xludf.DUMMYFUNCTION("""COMPUTED_VALUE"""),527.88)</f>
        <v>527.88</v>
      </c>
      <c r="F2888" s="9">
        <f>IFERROR(__xludf.DUMMYFUNCTION("""COMPUTED_VALUE"""),2115766.0)</f>
        <v>2115766</v>
      </c>
      <c r="H2888" s="27">
        <f>IFERROR(__xludf.DUMMYFUNCTION("""COMPUTED_VALUE"""),42634.64583333333)</f>
        <v>42634.64583</v>
      </c>
      <c r="I2888" s="25">
        <f>IFERROR(__xludf.DUMMYFUNCTION("""COMPUTED_VALUE"""),1203.85)</f>
        <v>1203.85</v>
      </c>
      <c r="J2888" s="25">
        <f>IFERROR(__xludf.DUMMYFUNCTION("""COMPUTED_VALUE"""),1212.0)</f>
        <v>1212</v>
      </c>
      <c r="K2888" s="25">
        <f>IFERROR(__xludf.DUMMYFUNCTION("""COMPUTED_VALUE"""),1200.35)</f>
        <v>1200.35</v>
      </c>
      <c r="L2888" s="25">
        <f>IFERROR(__xludf.DUMMYFUNCTION("""COMPUTED_VALUE"""),1206.7)</f>
        <v>1206.7</v>
      </c>
      <c r="M2888" s="25">
        <f>IFERROR(__xludf.DUMMYFUNCTION("""COMPUTED_VALUE"""),839010.0)</f>
        <v>839010</v>
      </c>
    </row>
    <row r="2889">
      <c r="A2889" s="26">
        <f>IFERROR(__xludf.DUMMYFUNCTION("""COMPUTED_VALUE"""),42635.64583333333)</f>
        <v>42635.64583</v>
      </c>
      <c r="B2889" s="9">
        <f>IFERROR(__xludf.DUMMYFUNCTION("""COMPUTED_VALUE"""),529.5)</f>
        <v>529.5</v>
      </c>
      <c r="C2889" s="9">
        <f>IFERROR(__xludf.DUMMYFUNCTION("""COMPUTED_VALUE"""),530.5)</f>
        <v>530.5</v>
      </c>
      <c r="D2889" s="9">
        <f>IFERROR(__xludf.DUMMYFUNCTION("""COMPUTED_VALUE"""),526.0)</f>
        <v>526</v>
      </c>
      <c r="E2889" s="9">
        <f>IFERROR(__xludf.DUMMYFUNCTION("""COMPUTED_VALUE"""),529.4)</f>
        <v>529.4</v>
      </c>
      <c r="F2889" s="9">
        <f>IFERROR(__xludf.DUMMYFUNCTION("""COMPUTED_VALUE"""),1814757.0)</f>
        <v>1814757</v>
      </c>
      <c r="H2889" s="27">
        <f>IFERROR(__xludf.DUMMYFUNCTION("""COMPUTED_VALUE"""),42635.64583333333)</f>
        <v>42635.64583</v>
      </c>
      <c r="I2889" s="25">
        <f>IFERROR(__xludf.DUMMYFUNCTION("""COMPUTED_VALUE"""),1212.63)</f>
        <v>1212.63</v>
      </c>
      <c r="J2889" s="25">
        <f>IFERROR(__xludf.DUMMYFUNCTION("""COMPUTED_VALUE"""),1214.0)</f>
        <v>1214</v>
      </c>
      <c r="K2889" s="25">
        <f>IFERROR(__xludf.DUMMYFUNCTION("""COMPUTED_VALUE"""),1185.55)</f>
        <v>1185.55</v>
      </c>
      <c r="L2889" s="25">
        <f>IFERROR(__xludf.DUMMYFUNCTION("""COMPUTED_VALUE"""),1189.0)</f>
        <v>1189</v>
      </c>
      <c r="M2889" s="25">
        <f>IFERROR(__xludf.DUMMYFUNCTION("""COMPUTED_VALUE"""),1428787.0)</f>
        <v>1428787</v>
      </c>
    </row>
    <row r="2890">
      <c r="A2890" s="26">
        <f>IFERROR(__xludf.DUMMYFUNCTION("""COMPUTED_VALUE"""),42636.64583333333)</f>
        <v>42636.64583</v>
      </c>
      <c r="B2890" s="9">
        <f>IFERROR(__xludf.DUMMYFUNCTION("""COMPUTED_VALUE"""),528.5)</f>
        <v>528.5</v>
      </c>
      <c r="C2890" s="9">
        <f>IFERROR(__xludf.DUMMYFUNCTION("""COMPUTED_VALUE"""),529.4)</f>
        <v>529.4</v>
      </c>
      <c r="D2890" s="9">
        <f>IFERROR(__xludf.DUMMYFUNCTION("""COMPUTED_VALUE"""),520.0)</f>
        <v>520</v>
      </c>
      <c r="E2890" s="9">
        <f>IFERROR(__xludf.DUMMYFUNCTION("""COMPUTED_VALUE"""),521.28)</f>
        <v>521.28</v>
      </c>
      <c r="F2890" s="9">
        <f>IFERROR(__xludf.DUMMYFUNCTION("""COMPUTED_VALUE"""),2602647.0)</f>
        <v>2602647</v>
      </c>
      <c r="H2890" s="27">
        <f>IFERROR(__xludf.DUMMYFUNCTION("""COMPUTED_VALUE"""),42636.64583333333)</f>
        <v>42636.64583</v>
      </c>
      <c r="I2890" s="25">
        <f>IFERROR(__xludf.DUMMYFUNCTION("""COMPUTED_VALUE"""),1191.0)</f>
        <v>1191</v>
      </c>
      <c r="J2890" s="25">
        <f>IFERROR(__xludf.DUMMYFUNCTION("""COMPUTED_VALUE"""),1201.93)</f>
        <v>1201.93</v>
      </c>
      <c r="K2890" s="25">
        <f>IFERROR(__xludf.DUMMYFUNCTION("""COMPUTED_VALUE"""),1185.58)</f>
        <v>1185.58</v>
      </c>
      <c r="L2890" s="25">
        <f>IFERROR(__xludf.DUMMYFUNCTION("""COMPUTED_VALUE"""),1199.05)</f>
        <v>1199.05</v>
      </c>
      <c r="M2890" s="25">
        <f>IFERROR(__xludf.DUMMYFUNCTION("""COMPUTED_VALUE"""),900363.0)</f>
        <v>900363</v>
      </c>
    </row>
    <row r="2891">
      <c r="A2891" s="26">
        <f>IFERROR(__xludf.DUMMYFUNCTION("""COMPUTED_VALUE"""),42639.64583333333)</f>
        <v>42639.64583</v>
      </c>
      <c r="B2891" s="9">
        <f>IFERROR(__xludf.DUMMYFUNCTION("""COMPUTED_VALUE"""),521.38)</f>
        <v>521.38</v>
      </c>
      <c r="C2891" s="9">
        <f>IFERROR(__xludf.DUMMYFUNCTION("""COMPUTED_VALUE"""),522.0)</f>
        <v>522</v>
      </c>
      <c r="D2891" s="9">
        <f>IFERROR(__xludf.DUMMYFUNCTION("""COMPUTED_VALUE"""),515.5)</f>
        <v>515.5</v>
      </c>
      <c r="E2891" s="9">
        <f>IFERROR(__xludf.DUMMYFUNCTION("""COMPUTED_VALUE"""),517.95)</f>
        <v>517.95</v>
      </c>
      <c r="F2891" s="9">
        <f>IFERROR(__xludf.DUMMYFUNCTION("""COMPUTED_VALUE"""),3185899.0)</f>
        <v>3185899</v>
      </c>
      <c r="H2891" s="27">
        <f>IFERROR(__xludf.DUMMYFUNCTION("""COMPUTED_VALUE"""),42639.64583333333)</f>
        <v>42639.64583</v>
      </c>
      <c r="I2891" s="25">
        <f>IFERROR(__xludf.DUMMYFUNCTION("""COMPUTED_VALUE"""),1200.55)</f>
        <v>1200.55</v>
      </c>
      <c r="J2891" s="25">
        <f>IFERROR(__xludf.DUMMYFUNCTION("""COMPUTED_VALUE"""),1209.55)</f>
        <v>1209.55</v>
      </c>
      <c r="K2891" s="25">
        <f>IFERROR(__xludf.DUMMYFUNCTION("""COMPUTED_VALUE"""),1197.5)</f>
        <v>1197.5</v>
      </c>
      <c r="L2891" s="25">
        <f>IFERROR(__xludf.DUMMYFUNCTION("""COMPUTED_VALUE"""),1200.55)</f>
        <v>1200.55</v>
      </c>
      <c r="M2891" s="25">
        <f>IFERROR(__xludf.DUMMYFUNCTION("""COMPUTED_VALUE"""),876738.0)</f>
        <v>876738</v>
      </c>
    </row>
    <row r="2892">
      <c r="A2892" s="26">
        <f>IFERROR(__xludf.DUMMYFUNCTION("""COMPUTED_VALUE"""),42640.64583333333)</f>
        <v>42640.64583</v>
      </c>
      <c r="B2892" s="9">
        <f>IFERROR(__xludf.DUMMYFUNCTION("""COMPUTED_VALUE"""),517.53)</f>
        <v>517.53</v>
      </c>
      <c r="C2892" s="9">
        <f>IFERROR(__xludf.DUMMYFUNCTION("""COMPUTED_VALUE"""),524.95)</f>
        <v>524.95</v>
      </c>
      <c r="D2892" s="9">
        <f>IFERROR(__xludf.DUMMYFUNCTION("""COMPUTED_VALUE"""),516.67)</f>
        <v>516.67</v>
      </c>
      <c r="E2892" s="9">
        <f>IFERROR(__xludf.DUMMYFUNCTION("""COMPUTED_VALUE"""),519.88)</f>
        <v>519.88</v>
      </c>
      <c r="F2892" s="9">
        <f>IFERROR(__xludf.DUMMYFUNCTION("""COMPUTED_VALUE"""),3262830.0)</f>
        <v>3262830</v>
      </c>
      <c r="H2892" s="27">
        <f>IFERROR(__xludf.DUMMYFUNCTION("""COMPUTED_VALUE"""),42640.64583333333)</f>
        <v>42640.64583</v>
      </c>
      <c r="I2892" s="25">
        <f>IFERROR(__xludf.DUMMYFUNCTION("""COMPUTED_VALUE"""),1200.55)</f>
        <v>1200.55</v>
      </c>
      <c r="J2892" s="25">
        <f>IFERROR(__xludf.DUMMYFUNCTION("""COMPUTED_VALUE"""),1224.0)</f>
        <v>1224</v>
      </c>
      <c r="K2892" s="25">
        <f>IFERROR(__xludf.DUMMYFUNCTION("""COMPUTED_VALUE"""),1200.55)</f>
        <v>1200.55</v>
      </c>
      <c r="L2892" s="25">
        <f>IFERROR(__xludf.DUMMYFUNCTION("""COMPUTED_VALUE"""),1218.05)</f>
        <v>1218.05</v>
      </c>
      <c r="M2892" s="25">
        <f>IFERROR(__xludf.DUMMYFUNCTION("""COMPUTED_VALUE"""),1019396.0)</f>
        <v>1019396</v>
      </c>
    </row>
    <row r="2893">
      <c r="A2893" s="26">
        <f>IFERROR(__xludf.DUMMYFUNCTION("""COMPUTED_VALUE"""),42641.64583333333)</f>
        <v>42641.64583</v>
      </c>
      <c r="B2893" s="9">
        <f>IFERROR(__xludf.DUMMYFUNCTION("""COMPUTED_VALUE"""),520.0)</f>
        <v>520</v>
      </c>
      <c r="C2893" s="9">
        <f>IFERROR(__xludf.DUMMYFUNCTION("""COMPUTED_VALUE"""),521.15)</f>
        <v>521.15</v>
      </c>
      <c r="D2893" s="9">
        <f>IFERROR(__xludf.DUMMYFUNCTION("""COMPUTED_VALUE"""),516.63)</f>
        <v>516.63</v>
      </c>
      <c r="E2893" s="9">
        <f>IFERROR(__xludf.DUMMYFUNCTION("""COMPUTED_VALUE"""),519.48)</f>
        <v>519.48</v>
      </c>
      <c r="F2893" s="9">
        <f>IFERROR(__xludf.DUMMYFUNCTION("""COMPUTED_VALUE"""),2717354.0)</f>
        <v>2717354</v>
      </c>
      <c r="H2893" s="27">
        <f>IFERROR(__xludf.DUMMYFUNCTION("""COMPUTED_VALUE"""),42641.64583333333)</f>
        <v>42641.64583</v>
      </c>
      <c r="I2893" s="25">
        <f>IFERROR(__xludf.DUMMYFUNCTION("""COMPUTED_VALUE"""),1215.5)</f>
        <v>1215.5</v>
      </c>
      <c r="J2893" s="25">
        <f>IFERROR(__xludf.DUMMYFUNCTION("""COMPUTED_VALUE"""),1218.75)</f>
        <v>1218.75</v>
      </c>
      <c r="K2893" s="25">
        <f>IFERROR(__xludf.DUMMYFUNCTION("""COMPUTED_VALUE"""),1207.6)</f>
        <v>1207.6</v>
      </c>
      <c r="L2893" s="25">
        <f>IFERROR(__xludf.DUMMYFUNCTION("""COMPUTED_VALUE"""),1211.53)</f>
        <v>1211.53</v>
      </c>
      <c r="M2893" s="25">
        <f>IFERROR(__xludf.DUMMYFUNCTION("""COMPUTED_VALUE"""),865664.0)</f>
        <v>865664</v>
      </c>
    </row>
    <row r="2894">
      <c r="A2894" s="26">
        <f>IFERROR(__xludf.DUMMYFUNCTION("""COMPUTED_VALUE"""),42642.64583333333)</f>
        <v>42642.64583</v>
      </c>
      <c r="B2894" s="9">
        <f>IFERROR(__xludf.DUMMYFUNCTION("""COMPUTED_VALUE"""),522.48)</f>
        <v>522.48</v>
      </c>
      <c r="C2894" s="9">
        <f>IFERROR(__xludf.DUMMYFUNCTION("""COMPUTED_VALUE"""),522.48)</f>
        <v>522.48</v>
      </c>
      <c r="D2894" s="9">
        <f>IFERROR(__xludf.DUMMYFUNCTION("""COMPUTED_VALUE"""),512.0)</f>
        <v>512</v>
      </c>
      <c r="E2894" s="9">
        <f>IFERROR(__xludf.DUMMYFUNCTION("""COMPUTED_VALUE"""),514.6)</f>
        <v>514.6</v>
      </c>
      <c r="F2894" s="9">
        <f>IFERROR(__xludf.DUMMYFUNCTION("""COMPUTED_VALUE"""),4451319.0)</f>
        <v>4451319</v>
      </c>
      <c r="H2894" s="27">
        <f>IFERROR(__xludf.DUMMYFUNCTION("""COMPUTED_VALUE"""),42642.64583333333)</f>
        <v>42642.64583</v>
      </c>
      <c r="I2894" s="25">
        <f>IFERROR(__xludf.DUMMYFUNCTION("""COMPUTED_VALUE"""),1217.5)</f>
        <v>1217.5</v>
      </c>
      <c r="J2894" s="25">
        <f>IFERROR(__xludf.DUMMYFUNCTION("""COMPUTED_VALUE"""),1228.25)</f>
        <v>1228.25</v>
      </c>
      <c r="K2894" s="25">
        <f>IFERROR(__xludf.DUMMYFUNCTION("""COMPUTED_VALUE"""),1209.8)</f>
        <v>1209.8</v>
      </c>
      <c r="L2894" s="25">
        <f>IFERROR(__xludf.DUMMYFUNCTION("""COMPUTED_VALUE"""),1218.9)</f>
        <v>1218.9</v>
      </c>
      <c r="M2894" s="25">
        <f>IFERROR(__xludf.DUMMYFUNCTION("""COMPUTED_VALUE"""),1801979.0)</f>
        <v>1801979</v>
      </c>
    </row>
    <row r="2895">
      <c r="A2895" s="26">
        <f>IFERROR(__xludf.DUMMYFUNCTION("""COMPUTED_VALUE"""),42643.64583333333)</f>
        <v>42643.64583</v>
      </c>
      <c r="B2895" s="9">
        <f>IFERROR(__xludf.DUMMYFUNCTION("""COMPUTED_VALUE"""),515.55)</f>
        <v>515.55</v>
      </c>
      <c r="C2895" s="9">
        <f>IFERROR(__xludf.DUMMYFUNCTION("""COMPUTED_VALUE"""),521.95)</f>
        <v>521.95</v>
      </c>
      <c r="D2895" s="9">
        <f>IFERROR(__xludf.DUMMYFUNCTION("""COMPUTED_VALUE"""),515.55)</f>
        <v>515.55</v>
      </c>
      <c r="E2895" s="9">
        <f>IFERROR(__xludf.DUMMYFUNCTION("""COMPUTED_VALUE"""),518.03)</f>
        <v>518.03</v>
      </c>
      <c r="F2895" s="9">
        <f>IFERROR(__xludf.DUMMYFUNCTION("""COMPUTED_VALUE"""),3251177.0)</f>
        <v>3251177</v>
      </c>
      <c r="H2895" s="27">
        <f>IFERROR(__xludf.DUMMYFUNCTION("""COMPUTED_VALUE"""),42643.64583333333)</f>
        <v>42643.64583</v>
      </c>
      <c r="I2895" s="25">
        <f>IFERROR(__xludf.DUMMYFUNCTION("""COMPUTED_VALUE"""),1218.53)</f>
        <v>1218.53</v>
      </c>
      <c r="J2895" s="25">
        <f>IFERROR(__xludf.DUMMYFUNCTION("""COMPUTED_VALUE"""),1224.9)</f>
        <v>1224.9</v>
      </c>
      <c r="K2895" s="25">
        <f>IFERROR(__xludf.DUMMYFUNCTION("""COMPUTED_VALUE"""),1211.55)</f>
        <v>1211.55</v>
      </c>
      <c r="L2895" s="25">
        <f>IFERROR(__xludf.DUMMYFUNCTION("""COMPUTED_VALUE"""),1215.4)</f>
        <v>1215.4</v>
      </c>
      <c r="M2895" s="25">
        <f>IFERROR(__xludf.DUMMYFUNCTION("""COMPUTED_VALUE"""),1087682.0)</f>
        <v>1087682</v>
      </c>
    </row>
    <row r="2896">
      <c r="A2896" s="26">
        <f>IFERROR(__xludf.DUMMYFUNCTION("""COMPUTED_VALUE"""),42646.64583333333)</f>
        <v>42646.64583</v>
      </c>
      <c r="B2896" s="9">
        <f>IFERROR(__xludf.DUMMYFUNCTION("""COMPUTED_VALUE"""),517.75)</f>
        <v>517.75</v>
      </c>
      <c r="C2896" s="9">
        <f>IFERROR(__xludf.DUMMYFUNCTION("""COMPUTED_VALUE"""),520.0)</f>
        <v>520</v>
      </c>
      <c r="D2896" s="9">
        <f>IFERROR(__xludf.DUMMYFUNCTION("""COMPUTED_VALUE"""),513.05)</f>
        <v>513.05</v>
      </c>
      <c r="E2896" s="9">
        <f>IFERROR(__xludf.DUMMYFUNCTION("""COMPUTED_VALUE"""),519.05)</f>
        <v>519.05</v>
      </c>
      <c r="F2896" s="9">
        <f>IFERROR(__xludf.DUMMYFUNCTION("""COMPUTED_VALUE"""),1828080.0)</f>
        <v>1828080</v>
      </c>
      <c r="H2896" s="27">
        <f>IFERROR(__xludf.DUMMYFUNCTION("""COMPUTED_VALUE"""),42646.64583333333)</f>
        <v>42646.64583</v>
      </c>
      <c r="I2896" s="25">
        <f>IFERROR(__xludf.DUMMYFUNCTION("""COMPUTED_VALUE"""),1225.0)</f>
        <v>1225</v>
      </c>
      <c r="J2896" s="25">
        <f>IFERROR(__xludf.DUMMYFUNCTION("""COMPUTED_VALUE"""),1228.83)</f>
        <v>1228.83</v>
      </c>
      <c r="K2896" s="25">
        <f>IFERROR(__xludf.DUMMYFUNCTION("""COMPUTED_VALUE"""),1200.55)</f>
        <v>1200.55</v>
      </c>
      <c r="L2896" s="25">
        <f>IFERROR(__xludf.DUMMYFUNCTION("""COMPUTED_VALUE"""),1205.85)</f>
        <v>1205.85</v>
      </c>
      <c r="M2896" s="25">
        <f>IFERROR(__xludf.DUMMYFUNCTION("""COMPUTED_VALUE"""),909440.0)</f>
        <v>909440</v>
      </c>
    </row>
    <row r="2897">
      <c r="A2897" s="26">
        <f>IFERROR(__xludf.DUMMYFUNCTION("""COMPUTED_VALUE"""),42647.64583333333)</f>
        <v>42647.64583</v>
      </c>
      <c r="B2897" s="9">
        <f>IFERROR(__xludf.DUMMYFUNCTION("""COMPUTED_VALUE"""),520.0)</f>
        <v>520</v>
      </c>
      <c r="C2897" s="9">
        <f>IFERROR(__xludf.DUMMYFUNCTION("""COMPUTED_VALUE"""),525.7)</f>
        <v>525.7</v>
      </c>
      <c r="D2897" s="9">
        <f>IFERROR(__xludf.DUMMYFUNCTION("""COMPUTED_VALUE"""),519.15)</f>
        <v>519.15</v>
      </c>
      <c r="E2897" s="9">
        <f>IFERROR(__xludf.DUMMYFUNCTION("""COMPUTED_VALUE"""),524.6)</f>
        <v>524.6</v>
      </c>
      <c r="F2897" s="9">
        <f>IFERROR(__xludf.DUMMYFUNCTION("""COMPUTED_VALUE"""),2533293.0)</f>
        <v>2533293</v>
      </c>
      <c r="H2897" s="27">
        <f>IFERROR(__xludf.DUMMYFUNCTION("""COMPUTED_VALUE"""),42647.64583333333)</f>
        <v>42647.64583</v>
      </c>
      <c r="I2897" s="25">
        <f>IFERROR(__xludf.DUMMYFUNCTION("""COMPUTED_VALUE"""),1210.0)</f>
        <v>1210</v>
      </c>
      <c r="J2897" s="25">
        <f>IFERROR(__xludf.DUMMYFUNCTION("""COMPUTED_VALUE"""),1212.53)</f>
        <v>1212.53</v>
      </c>
      <c r="K2897" s="25">
        <f>IFERROR(__xludf.DUMMYFUNCTION("""COMPUTED_VALUE"""),1199.0)</f>
        <v>1199</v>
      </c>
      <c r="L2897" s="25">
        <f>IFERROR(__xludf.DUMMYFUNCTION("""COMPUTED_VALUE"""),1202.58)</f>
        <v>1202.58</v>
      </c>
      <c r="M2897" s="25">
        <f>IFERROR(__xludf.DUMMYFUNCTION("""COMPUTED_VALUE"""),890359.0)</f>
        <v>890359</v>
      </c>
    </row>
    <row r="2898">
      <c r="A2898" s="26">
        <f>IFERROR(__xludf.DUMMYFUNCTION("""COMPUTED_VALUE"""),42648.64583333333)</f>
        <v>42648.64583</v>
      </c>
      <c r="B2898" s="9">
        <f>IFERROR(__xludf.DUMMYFUNCTION("""COMPUTED_VALUE"""),524.6)</f>
        <v>524.6</v>
      </c>
      <c r="C2898" s="9">
        <f>IFERROR(__xludf.DUMMYFUNCTION("""COMPUTED_VALUE"""),524.92)</f>
        <v>524.92</v>
      </c>
      <c r="D2898" s="9">
        <f>IFERROR(__xludf.DUMMYFUNCTION("""COMPUTED_VALUE"""),518.5)</f>
        <v>518.5</v>
      </c>
      <c r="E2898" s="9">
        <f>IFERROR(__xludf.DUMMYFUNCTION("""COMPUTED_VALUE"""),520.75)</f>
        <v>520.75</v>
      </c>
      <c r="F2898" s="9">
        <f>IFERROR(__xludf.DUMMYFUNCTION("""COMPUTED_VALUE"""),1153787.0)</f>
        <v>1153787</v>
      </c>
      <c r="H2898" s="27">
        <f>IFERROR(__xludf.DUMMYFUNCTION("""COMPUTED_VALUE"""),42648.64583333333)</f>
        <v>42648.64583</v>
      </c>
      <c r="I2898" s="25">
        <f>IFERROR(__xludf.DUMMYFUNCTION("""COMPUTED_VALUE"""),1204.0)</f>
        <v>1204</v>
      </c>
      <c r="J2898" s="25">
        <f>IFERROR(__xludf.DUMMYFUNCTION("""COMPUTED_VALUE"""),1207.7)</f>
        <v>1207.7</v>
      </c>
      <c r="K2898" s="25">
        <f>IFERROR(__xludf.DUMMYFUNCTION("""COMPUTED_VALUE"""),1188.05)</f>
        <v>1188.05</v>
      </c>
      <c r="L2898" s="25">
        <f>IFERROR(__xludf.DUMMYFUNCTION("""COMPUTED_VALUE"""),1193.18)</f>
        <v>1193.18</v>
      </c>
      <c r="M2898" s="25">
        <f>IFERROR(__xludf.DUMMYFUNCTION("""COMPUTED_VALUE"""),588177.0)</f>
        <v>588177</v>
      </c>
    </row>
    <row r="2899">
      <c r="A2899" s="26">
        <f>IFERROR(__xludf.DUMMYFUNCTION("""COMPUTED_VALUE"""),42649.64583333333)</f>
        <v>42649.64583</v>
      </c>
      <c r="B2899" s="9">
        <f>IFERROR(__xludf.DUMMYFUNCTION("""COMPUTED_VALUE"""),522.5)</f>
        <v>522.5</v>
      </c>
      <c r="C2899" s="9">
        <f>IFERROR(__xludf.DUMMYFUNCTION("""COMPUTED_VALUE"""),522.5)</f>
        <v>522.5</v>
      </c>
      <c r="D2899" s="9">
        <f>IFERROR(__xludf.DUMMYFUNCTION("""COMPUTED_VALUE"""),512.98)</f>
        <v>512.98</v>
      </c>
      <c r="E2899" s="9">
        <f>IFERROR(__xludf.DUMMYFUNCTION("""COMPUTED_VALUE"""),513.7)</f>
        <v>513.7</v>
      </c>
      <c r="F2899" s="9">
        <f>IFERROR(__xludf.DUMMYFUNCTION("""COMPUTED_VALUE"""),1860941.0)</f>
        <v>1860941</v>
      </c>
      <c r="H2899" s="27">
        <f>IFERROR(__xludf.DUMMYFUNCTION("""COMPUTED_VALUE"""),42649.64583333333)</f>
        <v>42649.64583</v>
      </c>
      <c r="I2899" s="25">
        <f>IFERROR(__xludf.DUMMYFUNCTION("""COMPUTED_VALUE"""),1197.5)</f>
        <v>1197.5</v>
      </c>
      <c r="J2899" s="25">
        <f>IFERROR(__xludf.DUMMYFUNCTION("""COMPUTED_VALUE"""),1201.2)</f>
        <v>1201.2</v>
      </c>
      <c r="K2899" s="25">
        <f>IFERROR(__xludf.DUMMYFUNCTION("""COMPUTED_VALUE"""),1186.38)</f>
        <v>1186.38</v>
      </c>
      <c r="L2899" s="25">
        <f>IFERROR(__xludf.DUMMYFUNCTION("""COMPUTED_VALUE"""),1194.38)</f>
        <v>1194.38</v>
      </c>
      <c r="M2899" s="25">
        <f>IFERROR(__xludf.DUMMYFUNCTION("""COMPUTED_VALUE"""),1133786.0)</f>
        <v>1133786</v>
      </c>
    </row>
    <row r="2900">
      <c r="A2900" s="26">
        <f>IFERROR(__xludf.DUMMYFUNCTION("""COMPUTED_VALUE"""),42650.64583333333)</f>
        <v>42650.64583</v>
      </c>
      <c r="B2900" s="9">
        <f>IFERROR(__xludf.DUMMYFUNCTION("""COMPUTED_VALUE"""),514.98)</f>
        <v>514.98</v>
      </c>
      <c r="C2900" s="9">
        <f>IFERROR(__xludf.DUMMYFUNCTION("""COMPUTED_VALUE"""),516.9)</f>
        <v>516.9</v>
      </c>
      <c r="D2900" s="9">
        <f>IFERROR(__xludf.DUMMYFUNCTION("""COMPUTED_VALUE"""),505.05)</f>
        <v>505.05</v>
      </c>
      <c r="E2900" s="9">
        <f>IFERROR(__xludf.DUMMYFUNCTION("""COMPUTED_VALUE"""),506.28)</f>
        <v>506.28</v>
      </c>
      <c r="F2900" s="9">
        <f>IFERROR(__xludf.DUMMYFUNCTION("""COMPUTED_VALUE"""),3144279.0)</f>
        <v>3144279</v>
      </c>
      <c r="H2900" s="27">
        <f>IFERROR(__xludf.DUMMYFUNCTION("""COMPUTED_VALUE"""),42650.64583333333)</f>
        <v>42650.64583</v>
      </c>
      <c r="I2900" s="25">
        <f>IFERROR(__xludf.DUMMYFUNCTION("""COMPUTED_VALUE"""),1194.0)</f>
        <v>1194</v>
      </c>
      <c r="J2900" s="25">
        <f>IFERROR(__xludf.DUMMYFUNCTION("""COMPUTED_VALUE"""),1194.0)</f>
        <v>1194</v>
      </c>
      <c r="K2900" s="25">
        <f>IFERROR(__xludf.DUMMYFUNCTION("""COMPUTED_VALUE"""),1179.1)</f>
        <v>1179.1</v>
      </c>
      <c r="L2900" s="25">
        <f>IFERROR(__xludf.DUMMYFUNCTION("""COMPUTED_VALUE"""),1183.9)</f>
        <v>1183.9</v>
      </c>
      <c r="M2900" s="25">
        <f>IFERROR(__xludf.DUMMYFUNCTION("""COMPUTED_VALUE"""),908256.0)</f>
        <v>908256</v>
      </c>
    </row>
    <row r="2901">
      <c r="A2901" s="26">
        <f>IFERROR(__xludf.DUMMYFUNCTION("""COMPUTED_VALUE"""),42653.64583333333)</f>
        <v>42653.64583</v>
      </c>
      <c r="B2901" s="9">
        <f>IFERROR(__xludf.DUMMYFUNCTION("""COMPUTED_VALUE"""),508.5)</f>
        <v>508.5</v>
      </c>
      <c r="C2901" s="9">
        <f>IFERROR(__xludf.DUMMYFUNCTION("""COMPUTED_VALUE"""),515.88)</f>
        <v>515.88</v>
      </c>
      <c r="D2901" s="9">
        <f>IFERROR(__xludf.DUMMYFUNCTION("""COMPUTED_VALUE"""),505.0)</f>
        <v>505</v>
      </c>
      <c r="E2901" s="9">
        <f>IFERROR(__xludf.DUMMYFUNCTION("""COMPUTED_VALUE"""),514.98)</f>
        <v>514.98</v>
      </c>
      <c r="F2901" s="9">
        <f>IFERROR(__xludf.DUMMYFUNCTION("""COMPUTED_VALUE"""),2706585.0)</f>
        <v>2706585</v>
      </c>
      <c r="H2901" s="27">
        <f>IFERROR(__xludf.DUMMYFUNCTION("""COMPUTED_VALUE"""),42653.64583333333)</f>
        <v>42653.64583</v>
      </c>
      <c r="I2901" s="25">
        <f>IFERROR(__xludf.DUMMYFUNCTION("""COMPUTED_VALUE"""),1184.95)</f>
        <v>1184.95</v>
      </c>
      <c r="J2901" s="25">
        <f>IFERROR(__xludf.DUMMYFUNCTION("""COMPUTED_VALUE"""),1193.45)</f>
        <v>1193.45</v>
      </c>
      <c r="K2901" s="25">
        <f>IFERROR(__xludf.DUMMYFUNCTION("""COMPUTED_VALUE"""),1177.53)</f>
        <v>1177.53</v>
      </c>
      <c r="L2901" s="25">
        <f>IFERROR(__xludf.DUMMYFUNCTION("""COMPUTED_VALUE"""),1190.15)</f>
        <v>1190.15</v>
      </c>
      <c r="M2901" s="25">
        <f>IFERROR(__xludf.DUMMYFUNCTION("""COMPUTED_VALUE"""),601071.0)</f>
        <v>601071</v>
      </c>
    </row>
    <row r="2902">
      <c r="A2902" s="26">
        <f>IFERROR(__xludf.DUMMYFUNCTION("""COMPUTED_VALUE"""),42656.64583333333)</f>
        <v>42656.64583</v>
      </c>
      <c r="B2902" s="9">
        <f>IFERROR(__xludf.DUMMYFUNCTION("""COMPUTED_VALUE"""),510.7)</f>
        <v>510.7</v>
      </c>
      <c r="C2902" s="9">
        <f>IFERROR(__xludf.DUMMYFUNCTION("""COMPUTED_VALUE"""),529.0)</f>
        <v>529</v>
      </c>
      <c r="D2902" s="9">
        <f>IFERROR(__xludf.DUMMYFUNCTION("""COMPUTED_VALUE"""),510.7)</f>
        <v>510.7</v>
      </c>
      <c r="E2902" s="9">
        <f>IFERROR(__xludf.DUMMYFUNCTION("""COMPUTED_VALUE"""),526.17)</f>
        <v>526.17</v>
      </c>
      <c r="F2902" s="9">
        <f>IFERROR(__xludf.DUMMYFUNCTION("""COMPUTED_VALUE"""),4889345.0)</f>
        <v>4889345</v>
      </c>
      <c r="H2902" s="27">
        <f>IFERROR(__xludf.DUMMYFUNCTION("""COMPUTED_VALUE"""),42656.64583333333)</f>
        <v>42656.64583</v>
      </c>
      <c r="I2902" s="25">
        <f>IFERROR(__xludf.DUMMYFUNCTION("""COMPUTED_VALUE"""),1181.65)</f>
        <v>1181.65</v>
      </c>
      <c r="J2902" s="25">
        <f>IFERROR(__xludf.DUMMYFUNCTION("""COMPUTED_VALUE"""),1184.95)</f>
        <v>1184.95</v>
      </c>
      <c r="K2902" s="25">
        <f>IFERROR(__xludf.DUMMYFUNCTION("""COMPUTED_VALUE"""),1160.45)</f>
        <v>1160.45</v>
      </c>
      <c r="L2902" s="25">
        <f>IFERROR(__xludf.DUMMYFUNCTION("""COMPUTED_VALUE"""),1164.45)</f>
        <v>1164.45</v>
      </c>
      <c r="M2902" s="25">
        <f>IFERROR(__xludf.DUMMYFUNCTION("""COMPUTED_VALUE"""),2586667.0)</f>
        <v>2586667</v>
      </c>
    </row>
    <row r="2903">
      <c r="A2903" s="26">
        <f>IFERROR(__xludf.DUMMYFUNCTION("""COMPUTED_VALUE"""),42657.64583333333)</f>
        <v>42657.64583</v>
      </c>
      <c r="B2903" s="9">
        <f>IFERROR(__xludf.DUMMYFUNCTION("""COMPUTED_VALUE"""),526.45)</f>
        <v>526.45</v>
      </c>
      <c r="C2903" s="9">
        <f>IFERROR(__xludf.DUMMYFUNCTION("""COMPUTED_VALUE"""),541.35)</f>
        <v>541.35</v>
      </c>
      <c r="D2903" s="9">
        <f>IFERROR(__xludf.DUMMYFUNCTION("""COMPUTED_VALUE"""),498.13)</f>
        <v>498.13</v>
      </c>
      <c r="E2903" s="9">
        <f>IFERROR(__xludf.DUMMYFUNCTION("""COMPUTED_VALUE"""),513.58)</f>
        <v>513.58</v>
      </c>
      <c r="F2903" s="9">
        <f>IFERROR(__xludf.DUMMYFUNCTION("""COMPUTED_VALUE"""),1.6730845E7)</f>
        <v>16730845</v>
      </c>
      <c r="H2903" s="27">
        <f>IFERROR(__xludf.DUMMYFUNCTION("""COMPUTED_VALUE"""),42657.64583333333)</f>
        <v>42657.64583</v>
      </c>
      <c r="I2903" s="25">
        <f>IFERROR(__xludf.DUMMYFUNCTION("""COMPUTED_VALUE"""),1157.5)</f>
        <v>1157.5</v>
      </c>
      <c r="J2903" s="25">
        <f>IFERROR(__xludf.DUMMYFUNCTION("""COMPUTED_VALUE"""),1193.5)</f>
        <v>1193.5</v>
      </c>
      <c r="K2903" s="25">
        <f>IFERROR(__xludf.DUMMYFUNCTION("""COMPUTED_VALUE"""),1145.5)</f>
        <v>1145.5</v>
      </c>
      <c r="L2903" s="25">
        <f>IFERROR(__xludf.DUMMYFUNCTION("""COMPUTED_VALUE"""),1183.1)</f>
        <v>1183.1</v>
      </c>
      <c r="M2903" s="25">
        <f>IFERROR(__xludf.DUMMYFUNCTION("""COMPUTED_VALUE"""),3870607.0)</f>
        <v>3870607</v>
      </c>
    </row>
    <row r="2904">
      <c r="A2904" s="26">
        <f>IFERROR(__xludf.DUMMYFUNCTION("""COMPUTED_VALUE"""),42660.64583333333)</f>
        <v>42660.64583</v>
      </c>
      <c r="B2904" s="9">
        <f>IFERROR(__xludf.DUMMYFUNCTION("""COMPUTED_VALUE"""),517.48)</f>
        <v>517.48</v>
      </c>
      <c r="C2904" s="9">
        <f>IFERROR(__xludf.DUMMYFUNCTION("""COMPUTED_VALUE"""),520.9)</f>
        <v>520.9</v>
      </c>
      <c r="D2904" s="9">
        <f>IFERROR(__xludf.DUMMYFUNCTION("""COMPUTED_VALUE"""),508.68)</f>
        <v>508.68</v>
      </c>
      <c r="E2904" s="9">
        <f>IFERROR(__xludf.DUMMYFUNCTION("""COMPUTED_VALUE"""),511.2)</f>
        <v>511.2</v>
      </c>
      <c r="F2904" s="9">
        <f>IFERROR(__xludf.DUMMYFUNCTION("""COMPUTED_VALUE"""),4007429.0)</f>
        <v>4007429</v>
      </c>
      <c r="H2904" s="27">
        <f>IFERROR(__xludf.DUMMYFUNCTION("""COMPUTED_VALUE"""),42660.64583333333)</f>
        <v>42660.64583</v>
      </c>
      <c r="I2904" s="25">
        <f>IFERROR(__xludf.DUMMYFUNCTION("""COMPUTED_VALUE"""),1184.45)</f>
        <v>1184.45</v>
      </c>
      <c r="J2904" s="25">
        <f>IFERROR(__xludf.DUMMYFUNCTION("""COMPUTED_VALUE"""),1187.9)</f>
        <v>1187.9</v>
      </c>
      <c r="K2904" s="25">
        <f>IFERROR(__xludf.DUMMYFUNCTION("""COMPUTED_VALUE"""),1172.2)</f>
        <v>1172.2</v>
      </c>
      <c r="L2904" s="25">
        <f>IFERROR(__xludf.DUMMYFUNCTION("""COMPUTED_VALUE"""),1181.22)</f>
        <v>1181.22</v>
      </c>
      <c r="M2904" s="25">
        <f>IFERROR(__xludf.DUMMYFUNCTION("""COMPUTED_VALUE"""),1364173.0)</f>
        <v>1364173</v>
      </c>
    </row>
    <row r="2905">
      <c r="A2905" s="26">
        <f>IFERROR(__xludf.DUMMYFUNCTION("""COMPUTED_VALUE"""),42661.64583333333)</f>
        <v>42661.64583</v>
      </c>
      <c r="B2905" s="9">
        <f>IFERROR(__xludf.DUMMYFUNCTION("""COMPUTED_VALUE"""),515.0)</f>
        <v>515</v>
      </c>
      <c r="C2905" s="9">
        <f>IFERROR(__xludf.DUMMYFUNCTION("""COMPUTED_VALUE"""),520.25)</f>
        <v>520.25</v>
      </c>
      <c r="D2905" s="9">
        <f>IFERROR(__xludf.DUMMYFUNCTION("""COMPUTED_VALUE"""),513.65)</f>
        <v>513.65</v>
      </c>
      <c r="E2905" s="9">
        <f>IFERROR(__xludf.DUMMYFUNCTION("""COMPUTED_VALUE"""),519.53)</f>
        <v>519.53</v>
      </c>
      <c r="F2905" s="9">
        <f>IFERROR(__xludf.DUMMYFUNCTION("""COMPUTED_VALUE"""),3194067.0)</f>
        <v>3194067</v>
      </c>
      <c r="H2905" s="27">
        <f>IFERROR(__xludf.DUMMYFUNCTION("""COMPUTED_VALUE"""),42661.64583333333)</f>
        <v>42661.64583</v>
      </c>
      <c r="I2905" s="25">
        <f>IFERROR(__xludf.DUMMYFUNCTION("""COMPUTED_VALUE"""),1188.0)</f>
        <v>1188</v>
      </c>
      <c r="J2905" s="25">
        <f>IFERROR(__xludf.DUMMYFUNCTION("""COMPUTED_VALUE"""),1207.85)</f>
        <v>1207.85</v>
      </c>
      <c r="K2905" s="25">
        <f>IFERROR(__xludf.DUMMYFUNCTION("""COMPUTED_VALUE"""),1177.4)</f>
        <v>1177.4</v>
      </c>
      <c r="L2905" s="25">
        <f>IFERROR(__xludf.DUMMYFUNCTION("""COMPUTED_VALUE"""),1200.1)</f>
        <v>1200.1</v>
      </c>
      <c r="M2905" s="25">
        <f>IFERROR(__xludf.DUMMYFUNCTION("""COMPUTED_VALUE"""),1064316.0)</f>
        <v>1064316</v>
      </c>
    </row>
    <row r="2906">
      <c r="A2906" s="26">
        <f>IFERROR(__xludf.DUMMYFUNCTION("""COMPUTED_VALUE"""),42662.64583333333)</f>
        <v>42662.64583</v>
      </c>
      <c r="B2906" s="9">
        <f>IFERROR(__xludf.DUMMYFUNCTION("""COMPUTED_VALUE"""),521.0)</f>
        <v>521</v>
      </c>
      <c r="C2906" s="9">
        <f>IFERROR(__xludf.DUMMYFUNCTION("""COMPUTED_VALUE"""),522.85)</f>
        <v>522.85</v>
      </c>
      <c r="D2906" s="9">
        <f>IFERROR(__xludf.DUMMYFUNCTION("""COMPUTED_VALUE"""),518.0)</f>
        <v>518</v>
      </c>
      <c r="E2906" s="9">
        <f>IFERROR(__xludf.DUMMYFUNCTION("""COMPUTED_VALUE"""),520.9)</f>
        <v>520.9</v>
      </c>
      <c r="F2906" s="9">
        <f>IFERROR(__xludf.DUMMYFUNCTION("""COMPUTED_VALUE"""),1754918.0)</f>
        <v>1754918</v>
      </c>
      <c r="H2906" s="27">
        <f>IFERROR(__xludf.DUMMYFUNCTION("""COMPUTED_VALUE"""),42662.64583333333)</f>
        <v>42662.64583</v>
      </c>
      <c r="I2906" s="25">
        <f>IFERROR(__xludf.DUMMYFUNCTION("""COMPUTED_VALUE"""),1200.5)</f>
        <v>1200.5</v>
      </c>
      <c r="J2906" s="25">
        <f>IFERROR(__xludf.DUMMYFUNCTION("""COMPUTED_VALUE"""),1205.0)</f>
        <v>1205</v>
      </c>
      <c r="K2906" s="25">
        <f>IFERROR(__xludf.DUMMYFUNCTION("""COMPUTED_VALUE"""),1185.15)</f>
        <v>1185.15</v>
      </c>
      <c r="L2906" s="25">
        <f>IFERROR(__xludf.DUMMYFUNCTION("""COMPUTED_VALUE"""),1197.55)</f>
        <v>1197.55</v>
      </c>
      <c r="M2906" s="25">
        <f>IFERROR(__xludf.DUMMYFUNCTION("""COMPUTED_VALUE"""),992529.0)</f>
        <v>992529</v>
      </c>
    </row>
    <row r="2907">
      <c r="A2907" s="26">
        <f>IFERROR(__xludf.DUMMYFUNCTION("""COMPUTED_VALUE"""),42663.64583333333)</f>
        <v>42663.64583</v>
      </c>
      <c r="B2907" s="9">
        <f>IFERROR(__xludf.DUMMYFUNCTION("""COMPUTED_VALUE"""),522.38)</f>
        <v>522.38</v>
      </c>
      <c r="C2907" s="9">
        <f>IFERROR(__xludf.DUMMYFUNCTION("""COMPUTED_VALUE"""),525.35)</f>
        <v>525.35</v>
      </c>
      <c r="D2907" s="9">
        <f>IFERROR(__xludf.DUMMYFUNCTION("""COMPUTED_VALUE"""),516.9)</f>
        <v>516.9</v>
      </c>
      <c r="E2907" s="9">
        <f>IFERROR(__xludf.DUMMYFUNCTION("""COMPUTED_VALUE"""),518.33)</f>
        <v>518.33</v>
      </c>
      <c r="F2907" s="9">
        <f>IFERROR(__xludf.DUMMYFUNCTION("""COMPUTED_VALUE"""),1767745.0)</f>
        <v>1767745</v>
      </c>
      <c r="H2907" s="27">
        <f>IFERROR(__xludf.DUMMYFUNCTION("""COMPUTED_VALUE"""),42663.64583333333)</f>
        <v>42663.64583</v>
      </c>
      <c r="I2907" s="25">
        <f>IFERROR(__xludf.DUMMYFUNCTION("""COMPUTED_VALUE"""),1198.45)</f>
        <v>1198.45</v>
      </c>
      <c r="J2907" s="25">
        <f>IFERROR(__xludf.DUMMYFUNCTION("""COMPUTED_VALUE"""),1204.68)</f>
        <v>1204.68</v>
      </c>
      <c r="K2907" s="25">
        <f>IFERROR(__xludf.DUMMYFUNCTION("""COMPUTED_VALUE"""),1193.0)</f>
        <v>1193</v>
      </c>
      <c r="L2907" s="25">
        <f>IFERROR(__xludf.DUMMYFUNCTION("""COMPUTED_VALUE"""),1200.58)</f>
        <v>1200.58</v>
      </c>
      <c r="M2907" s="25">
        <f>IFERROR(__xludf.DUMMYFUNCTION("""COMPUTED_VALUE"""),632927.0)</f>
        <v>632927</v>
      </c>
    </row>
    <row r="2908">
      <c r="A2908" s="26">
        <f>IFERROR(__xludf.DUMMYFUNCTION("""COMPUTED_VALUE"""),42664.64583333333)</f>
        <v>42664.64583</v>
      </c>
      <c r="B2908" s="9">
        <f>IFERROR(__xludf.DUMMYFUNCTION("""COMPUTED_VALUE"""),517.5)</f>
        <v>517.5</v>
      </c>
      <c r="C2908" s="9">
        <f>IFERROR(__xludf.DUMMYFUNCTION("""COMPUTED_VALUE"""),520.5)</f>
        <v>520.5</v>
      </c>
      <c r="D2908" s="9">
        <f>IFERROR(__xludf.DUMMYFUNCTION("""COMPUTED_VALUE"""),511.25)</f>
        <v>511.25</v>
      </c>
      <c r="E2908" s="9">
        <f>IFERROR(__xludf.DUMMYFUNCTION("""COMPUTED_VALUE"""),519.15)</f>
        <v>519.15</v>
      </c>
      <c r="F2908" s="9">
        <f>IFERROR(__xludf.DUMMYFUNCTION("""COMPUTED_VALUE"""),1931810.0)</f>
        <v>1931810</v>
      </c>
      <c r="H2908" s="27">
        <f>IFERROR(__xludf.DUMMYFUNCTION("""COMPUTED_VALUE"""),42664.64583333333)</f>
        <v>42664.64583</v>
      </c>
      <c r="I2908" s="25">
        <f>IFERROR(__xludf.DUMMYFUNCTION("""COMPUTED_VALUE"""),1200.0)</f>
        <v>1200</v>
      </c>
      <c r="J2908" s="25">
        <f>IFERROR(__xludf.DUMMYFUNCTION("""COMPUTED_VALUE"""),1215.95)</f>
        <v>1215.95</v>
      </c>
      <c r="K2908" s="25">
        <f>IFERROR(__xludf.DUMMYFUNCTION("""COMPUTED_VALUE"""),1199.13)</f>
        <v>1199.13</v>
      </c>
      <c r="L2908" s="25">
        <f>IFERROR(__xludf.DUMMYFUNCTION("""COMPUTED_VALUE"""),1214.33)</f>
        <v>1214.33</v>
      </c>
      <c r="M2908" s="25">
        <f>IFERROR(__xludf.DUMMYFUNCTION("""COMPUTED_VALUE"""),629830.0)</f>
        <v>629830</v>
      </c>
    </row>
    <row r="2909">
      <c r="A2909" s="26">
        <f>IFERROR(__xludf.DUMMYFUNCTION("""COMPUTED_VALUE"""),42667.64583333333)</f>
        <v>42667.64583</v>
      </c>
      <c r="B2909" s="9">
        <f>IFERROR(__xludf.DUMMYFUNCTION("""COMPUTED_VALUE"""),518.75)</f>
        <v>518.75</v>
      </c>
      <c r="C2909" s="9">
        <f>IFERROR(__xludf.DUMMYFUNCTION("""COMPUTED_VALUE"""),521.35)</f>
        <v>521.35</v>
      </c>
      <c r="D2909" s="9">
        <f>IFERROR(__xludf.DUMMYFUNCTION("""COMPUTED_VALUE"""),512.75)</f>
        <v>512.75</v>
      </c>
      <c r="E2909" s="9">
        <f>IFERROR(__xludf.DUMMYFUNCTION("""COMPUTED_VALUE"""),513.55)</f>
        <v>513.55</v>
      </c>
      <c r="F2909" s="9">
        <f>IFERROR(__xludf.DUMMYFUNCTION("""COMPUTED_VALUE"""),1451487.0)</f>
        <v>1451487</v>
      </c>
      <c r="H2909" s="27">
        <f>IFERROR(__xludf.DUMMYFUNCTION("""COMPUTED_VALUE"""),42667.64583333333)</f>
        <v>42667.64583</v>
      </c>
      <c r="I2909" s="25">
        <f>IFERROR(__xludf.DUMMYFUNCTION("""COMPUTED_VALUE"""),1214.1)</f>
        <v>1214.1</v>
      </c>
      <c r="J2909" s="25">
        <f>IFERROR(__xludf.DUMMYFUNCTION("""COMPUTED_VALUE"""),1217.45)</f>
        <v>1217.45</v>
      </c>
      <c r="K2909" s="25">
        <f>IFERROR(__xludf.DUMMYFUNCTION("""COMPUTED_VALUE"""),1201.28)</f>
        <v>1201.28</v>
      </c>
      <c r="L2909" s="25">
        <f>IFERROR(__xludf.DUMMYFUNCTION("""COMPUTED_VALUE"""),1213.85)</f>
        <v>1213.85</v>
      </c>
      <c r="M2909" s="25">
        <f>IFERROR(__xludf.DUMMYFUNCTION("""COMPUTED_VALUE"""),626595.0)</f>
        <v>626595</v>
      </c>
    </row>
    <row r="2910">
      <c r="A2910" s="26">
        <f>IFERROR(__xludf.DUMMYFUNCTION("""COMPUTED_VALUE"""),42668.64583333333)</f>
        <v>42668.64583</v>
      </c>
      <c r="B2910" s="9">
        <f>IFERROR(__xludf.DUMMYFUNCTION("""COMPUTED_VALUE"""),518.25)</f>
        <v>518.25</v>
      </c>
      <c r="C2910" s="9">
        <f>IFERROR(__xludf.DUMMYFUNCTION("""COMPUTED_VALUE"""),519.45)</f>
        <v>519.45</v>
      </c>
      <c r="D2910" s="9">
        <f>IFERROR(__xludf.DUMMYFUNCTION("""COMPUTED_VALUE"""),507.6)</f>
        <v>507.6</v>
      </c>
      <c r="E2910" s="9">
        <f>IFERROR(__xludf.DUMMYFUNCTION("""COMPUTED_VALUE"""),508.6)</f>
        <v>508.6</v>
      </c>
      <c r="F2910" s="9">
        <f>IFERROR(__xludf.DUMMYFUNCTION("""COMPUTED_VALUE"""),2818007.0)</f>
        <v>2818007</v>
      </c>
      <c r="H2910" s="27">
        <f>IFERROR(__xludf.DUMMYFUNCTION("""COMPUTED_VALUE"""),42668.64583333333)</f>
        <v>42668.64583</v>
      </c>
      <c r="I2910" s="25">
        <f>IFERROR(__xludf.DUMMYFUNCTION("""COMPUTED_VALUE"""),1202.5)</f>
        <v>1202.5</v>
      </c>
      <c r="J2910" s="25">
        <f>IFERROR(__xludf.DUMMYFUNCTION("""COMPUTED_VALUE"""),1207.3)</f>
        <v>1207.3</v>
      </c>
      <c r="K2910" s="25">
        <f>IFERROR(__xludf.DUMMYFUNCTION("""COMPUTED_VALUE"""),1190.5)</f>
        <v>1190.5</v>
      </c>
      <c r="L2910" s="25">
        <f>IFERROR(__xludf.DUMMYFUNCTION("""COMPUTED_VALUE"""),1199.22)</f>
        <v>1199.22</v>
      </c>
      <c r="M2910" s="25">
        <f>IFERROR(__xludf.DUMMYFUNCTION("""COMPUTED_VALUE"""),886233.0)</f>
        <v>886233</v>
      </c>
    </row>
    <row r="2911">
      <c r="A2911" s="26">
        <f>IFERROR(__xludf.DUMMYFUNCTION("""COMPUTED_VALUE"""),42669.64583333333)</f>
        <v>42669.64583</v>
      </c>
      <c r="B2911" s="9">
        <f>IFERROR(__xludf.DUMMYFUNCTION("""COMPUTED_VALUE"""),508.5)</f>
        <v>508.5</v>
      </c>
      <c r="C2911" s="9">
        <f>IFERROR(__xludf.DUMMYFUNCTION("""COMPUTED_VALUE"""),509.93)</f>
        <v>509.93</v>
      </c>
      <c r="D2911" s="9">
        <f>IFERROR(__xludf.DUMMYFUNCTION("""COMPUTED_VALUE"""),504.65)</f>
        <v>504.65</v>
      </c>
      <c r="E2911" s="9">
        <f>IFERROR(__xludf.DUMMYFUNCTION("""COMPUTED_VALUE"""),507.1)</f>
        <v>507.1</v>
      </c>
      <c r="F2911" s="9">
        <f>IFERROR(__xludf.DUMMYFUNCTION("""COMPUTED_VALUE"""),1387608.0)</f>
        <v>1387608</v>
      </c>
      <c r="H2911" s="27">
        <f>IFERROR(__xludf.DUMMYFUNCTION("""COMPUTED_VALUE"""),42669.64583333333)</f>
        <v>42669.64583</v>
      </c>
      <c r="I2911" s="25">
        <f>IFERROR(__xludf.DUMMYFUNCTION("""COMPUTED_VALUE"""),1199.3)</f>
        <v>1199.3</v>
      </c>
      <c r="J2911" s="25">
        <f>IFERROR(__xludf.DUMMYFUNCTION("""COMPUTED_VALUE"""),1201.38)</f>
        <v>1201.38</v>
      </c>
      <c r="K2911" s="25">
        <f>IFERROR(__xludf.DUMMYFUNCTION("""COMPUTED_VALUE"""),1186.25)</f>
        <v>1186.25</v>
      </c>
      <c r="L2911" s="25">
        <f>IFERROR(__xludf.DUMMYFUNCTION("""COMPUTED_VALUE"""),1198.13)</f>
        <v>1198.13</v>
      </c>
      <c r="M2911" s="25">
        <f>IFERROR(__xludf.DUMMYFUNCTION("""COMPUTED_VALUE"""),718565.0)</f>
        <v>718565</v>
      </c>
    </row>
    <row r="2912">
      <c r="A2912" s="26">
        <f>IFERROR(__xludf.DUMMYFUNCTION("""COMPUTED_VALUE"""),42670.64583333333)</f>
        <v>42670.64583</v>
      </c>
      <c r="B2912" s="9">
        <f>IFERROR(__xludf.DUMMYFUNCTION("""COMPUTED_VALUE"""),508.95)</f>
        <v>508.95</v>
      </c>
      <c r="C2912" s="9">
        <f>IFERROR(__xludf.DUMMYFUNCTION("""COMPUTED_VALUE"""),508.98)</f>
        <v>508.98</v>
      </c>
      <c r="D2912" s="9">
        <f>IFERROR(__xludf.DUMMYFUNCTION("""COMPUTED_VALUE"""),500.55)</f>
        <v>500.55</v>
      </c>
      <c r="E2912" s="9">
        <f>IFERROR(__xludf.DUMMYFUNCTION("""COMPUTED_VALUE"""),501.75)</f>
        <v>501.75</v>
      </c>
      <c r="F2912" s="9">
        <f>IFERROR(__xludf.DUMMYFUNCTION("""COMPUTED_VALUE"""),3613895.0)</f>
        <v>3613895</v>
      </c>
      <c r="H2912" s="27">
        <f>IFERROR(__xludf.DUMMYFUNCTION("""COMPUTED_VALUE"""),42670.64583333333)</f>
        <v>42670.64583</v>
      </c>
      <c r="I2912" s="25">
        <f>IFERROR(__xludf.DUMMYFUNCTION("""COMPUTED_VALUE"""),1189.85)</f>
        <v>1189.85</v>
      </c>
      <c r="J2912" s="25">
        <f>IFERROR(__xludf.DUMMYFUNCTION("""COMPUTED_VALUE"""),1214.75)</f>
        <v>1214.75</v>
      </c>
      <c r="K2912" s="25">
        <f>IFERROR(__xludf.DUMMYFUNCTION("""COMPUTED_VALUE"""),1182.75)</f>
        <v>1182.75</v>
      </c>
      <c r="L2912" s="25">
        <f>IFERROR(__xludf.DUMMYFUNCTION("""COMPUTED_VALUE"""),1209.05)</f>
        <v>1209.05</v>
      </c>
      <c r="M2912" s="25">
        <f>IFERROR(__xludf.DUMMYFUNCTION("""COMPUTED_VALUE"""),1470801.0)</f>
        <v>1470801</v>
      </c>
    </row>
    <row r="2913">
      <c r="A2913" s="26">
        <f>IFERROR(__xludf.DUMMYFUNCTION("""COMPUTED_VALUE"""),42671.64583333333)</f>
        <v>42671.64583</v>
      </c>
      <c r="B2913" s="9">
        <f>IFERROR(__xludf.DUMMYFUNCTION("""COMPUTED_VALUE"""),502.6)</f>
        <v>502.6</v>
      </c>
      <c r="C2913" s="9">
        <f>IFERROR(__xludf.DUMMYFUNCTION("""COMPUTED_VALUE"""),505.0)</f>
        <v>505</v>
      </c>
      <c r="D2913" s="9">
        <f>IFERROR(__xludf.DUMMYFUNCTION("""COMPUTED_VALUE"""),496.58)</f>
        <v>496.58</v>
      </c>
      <c r="E2913" s="9">
        <f>IFERROR(__xludf.DUMMYFUNCTION("""COMPUTED_VALUE"""),498.75)</f>
        <v>498.75</v>
      </c>
      <c r="F2913" s="9">
        <f>IFERROR(__xludf.DUMMYFUNCTION("""COMPUTED_VALUE"""),2920353.0)</f>
        <v>2920353</v>
      </c>
      <c r="H2913" s="27">
        <f>IFERROR(__xludf.DUMMYFUNCTION("""COMPUTED_VALUE"""),42671.64583333333)</f>
        <v>42671.64583</v>
      </c>
      <c r="I2913" s="25">
        <f>IFERROR(__xludf.DUMMYFUNCTION("""COMPUTED_VALUE"""),1205.0)</f>
        <v>1205</v>
      </c>
      <c r="J2913" s="25">
        <f>IFERROR(__xludf.DUMMYFUNCTION("""COMPUTED_VALUE"""),1207.55)</f>
        <v>1207.55</v>
      </c>
      <c r="K2913" s="25">
        <f>IFERROR(__xludf.DUMMYFUNCTION("""COMPUTED_VALUE"""),1194.0)</f>
        <v>1194</v>
      </c>
      <c r="L2913" s="25">
        <f>IFERROR(__xludf.DUMMYFUNCTION("""COMPUTED_VALUE"""),1199.35)</f>
        <v>1199.35</v>
      </c>
      <c r="M2913" s="25">
        <f>IFERROR(__xludf.DUMMYFUNCTION("""COMPUTED_VALUE"""),876051.0)</f>
        <v>876051</v>
      </c>
    </row>
    <row r="2914">
      <c r="A2914" s="26">
        <f>IFERROR(__xludf.DUMMYFUNCTION("""COMPUTED_VALUE"""),42675.64583333333)</f>
        <v>42675.64583</v>
      </c>
      <c r="B2914" s="9">
        <f>IFERROR(__xludf.DUMMYFUNCTION("""COMPUTED_VALUE"""),503.4)</f>
        <v>503.4</v>
      </c>
      <c r="C2914" s="9">
        <f>IFERROR(__xludf.DUMMYFUNCTION("""COMPUTED_VALUE"""),503.4)</f>
        <v>503.4</v>
      </c>
      <c r="D2914" s="9">
        <f>IFERROR(__xludf.DUMMYFUNCTION("""COMPUTED_VALUE"""),493.2)</f>
        <v>493.2</v>
      </c>
      <c r="E2914" s="9">
        <f>IFERROR(__xludf.DUMMYFUNCTION("""COMPUTED_VALUE"""),494.73)</f>
        <v>494.73</v>
      </c>
      <c r="F2914" s="9">
        <f>IFERROR(__xludf.DUMMYFUNCTION("""COMPUTED_VALUE"""),3166399.0)</f>
        <v>3166399</v>
      </c>
      <c r="H2914" s="27">
        <f>IFERROR(__xludf.DUMMYFUNCTION("""COMPUTED_VALUE"""),42675.64583333333)</f>
        <v>42675.64583</v>
      </c>
      <c r="I2914" s="25">
        <f>IFERROR(__xludf.DUMMYFUNCTION("""COMPUTED_VALUE"""),1199.85)</f>
        <v>1199.85</v>
      </c>
      <c r="J2914" s="25">
        <f>IFERROR(__xludf.DUMMYFUNCTION("""COMPUTED_VALUE"""),1199.85)</f>
        <v>1199.85</v>
      </c>
      <c r="K2914" s="25">
        <f>IFERROR(__xludf.DUMMYFUNCTION("""COMPUTED_VALUE"""),1167.08)</f>
        <v>1167.08</v>
      </c>
      <c r="L2914" s="25">
        <f>IFERROR(__xludf.DUMMYFUNCTION("""COMPUTED_VALUE"""),1175.0)</f>
        <v>1175</v>
      </c>
      <c r="M2914" s="25">
        <f>IFERROR(__xludf.DUMMYFUNCTION("""COMPUTED_VALUE"""),1467388.0)</f>
        <v>1467388</v>
      </c>
    </row>
    <row r="2915">
      <c r="A2915" s="26">
        <f>IFERROR(__xludf.DUMMYFUNCTION("""COMPUTED_VALUE"""),42676.64583333333)</f>
        <v>42676.64583</v>
      </c>
      <c r="B2915" s="9">
        <f>IFERROR(__xludf.DUMMYFUNCTION("""COMPUTED_VALUE"""),492.4)</f>
        <v>492.4</v>
      </c>
      <c r="C2915" s="9">
        <f>IFERROR(__xludf.DUMMYFUNCTION("""COMPUTED_VALUE"""),493.75)</f>
        <v>493.75</v>
      </c>
      <c r="D2915" s="9">
        <f>IFERROR(__xludf.DUMMYFUNCTION("""COMPUTED_VALUE"""),490.0)</f>
        <v>490</v>
      </c>
      <c r="E2915" s="9">
        <f>IFERROR(__xludf.DUMMYFUNCTION("""COMPUTED_VALUE"""),490.53)</f>
        <v>490.53</v>
      </c>
      <c r="F2915" s="9">
        <f>IFERROR(__xludf.DUMMYFUNCTION("""COMPUTED_VALUE"""),2688597.0)</f>
        <v>2688597</v>
      </c>
      <c r="H2915" s="27">
        <f>IFERROR(__xludf.DUMMYFUNCTION("""COMPUTED_VALUE"""),42676.64583333333)</f>
        <v>42676.64583</v>
      </c>
      <c r="I2915" s="25">
        <f>IFERROR(__xludf.DUMMYFUNCTION("""COMPUTED_VALUE"""),1170.5)</f>
        <v>1170.5</v>
      </c>
      <c r="J2915" s="25">
        <f>IFERROR(__xludf.DUMMYFUNCTION("""COMPUTED_VALUE"""),1172.0)</f>
        <v>1172</v>
      </c>
      <c r="K2915" s="25">
        <f>IFERROR(__xludf.DUMMYFUNCTION("""COMPUTED_VALUE"""),1147.5)</f>
        <v>1147.5</v>
      </c>
      <c r="L2915" s="25">
        <f>IFERROR(__xludf.DUMMYFUNCTION("""COMPUTED_VALUE"""),1152.03)</f>
        <v>1152.03</v>
      </c>
      <c r="M2915" s="25">
        <f>IFERROR(__xludf.DUMMYFUNCTION("""COMPUTED_VALUE"""),1162538.0)</f>
        <v>1162538</v>
      </c>
    </row>
    <row r="2916">
      <c r="A2916" s="26">
        <f>IFERROR(__xludf.DUMMYFUNCTION("""COMPUTED_VALUE"""),42677.64583333333)</f>
        <v>42677.64583</v>
      </c>
      <c r="B2916" s="9">
        <f>IFERROR(__xludf.DUMMYFUNCTION("""COMPUTED_VALUE"""),490.53)</f>
        <v>490.53</v>
      </c>
      <c r="C2916" s="9">
        <f>IFERROR(__xludf.DUMMYFUNCTION("""COMPUTED_VALUE"""),491.0)</f>
        <v>491</v>
      </c>
      <c r="D2916" s="9">
        <f>IFERROR(__xludf.DUMMYFUNCTION("""COMPUTED_VALUE"""),482.55)</f>
        <v>482.55</v>
      </c>
      <c r="E2916" s="9">
        <f>IFERROR(__xludf.DUMMYFUNCTION("""COMPUTED_VALUE"""),483.43)</f>
        <v>483.43</v>
      </c>
      <c r="F2916" s="9">
        <f>IFERROR(__xludf.DUMMYFUNCTION("""COMPUTED_VALUE"""),2612554.0)</f>
        <v>2612554</v>
      </c>
      <c r="H2916" s="27">
        <f>IFERROR(__xludf.DUMMYFUNCTION("""COMPUTED_VALUE"""),42677.64583333333)</f>
        <v>42677.64583</v>
      </c>
      <c r="I2916" s="25">
        <f>IFERROR(__xludf.DUMMYFUNCTION("""COMPUTED_VALUE"""),1147.0)</f>
        <v>1147</v>
      </c>
      <c r="J2916" s="25">
        <f>IFERROR(__xludf.DUMMYFUNCTION("""COMPUTED_VALUE"""),1167.5)</f>
        <v>1167.5</v>
      </c>
      <c r="K2916" s="25">
        <f>IFERROR(__xludf.DUMMYFUNCTION("""COMPUTED_VALUE"""),1142.25)</f>
        <v>1142.25</v>
      </c>
      <c r="L2916" s="25">
        <f>IFERROR(__xludf.DUMMYFUNCTION("""COMPUTED_VALUE"""),1159.72)</f>
        <v>1159.72</v>
      </c>
      <c r="M2916" s="25">
        <f>IFERROR(__xludf.DUMMYFUNCTION("""COMPUTED_VALUE"""),731655.0)</f>
        <v>731655</v>
      </c>
    </row>
    <row r="2917">
      <c r="A2917" s="26">
        <f>IFERROR(__xludf.DUMMYFUNCTION("""COMPUTED_VALUE"""),42678.64583333333)</f>
        <v>42678.64583</v>
      </c>
      <c r="B2917" s="9">
        <f>IFERROR(__xludf.DUMMYFUNCTION("""COMPUTED_VALUE"""),483.5)</f>
        <v>483.5</v>
      </c>
      <c r="C2917" s="9">
        <f>IFERROR(__xludf.DUMMYFUNCTION("""COMPUTED_VALUE"""),489.6)</f>
        <v>489.6</v>
      </c>
      <c r="D2917" s="9">
        <f>IFERROR(__xludf.DUMMYFUNCTION("""COMPUTED_VALUE"""),480.5)</f>
        <v>480.5</v>
      </c>
      <c r="E2917" s="9">
        <f>IFERROR(__xludf.DUMMYFUNCTION("""COMPUTED_VALUE"""),485.5)</f>
        <v>485.5</v>
      </c>
      <c r="F2917" s="9">
        <f>IFERROR(__xludf.DUMMYFUNCTION("""COMPUTED_VALUE"""),3002774.0)</f>
        <v>3002774</v>
      </c>
      <c r="H2917" s="27">
        <f>IFERROR(__xludf.DUMMYFUNCTION("""COMPUTED_VALUE"""),42678.64583333333)</f>
        <v>42678.64583</v>
      </c>
      <c r="I2917" s="25">
        <f>IFERROR(__xludf.DUMMYFUNCTION("""COMPUTED_VALUE"""),1160.0)</f>
        <v>1160</v>
      </c>
      <c r="J2917" s="25">
        <f>IFERROR(__xludf.DUMMYFUNCTION("""COMPUTED_VALUE"""),1168.08)</f>
        <v>1168.08</v>
      </c>
      <c r="K2917" s="25">
        <f>IFERROR(__xludf.DUMMYFUNCTION("""COMPUTED_VALUE"""),1147.0)</f>
        <v>1147</v>
      </c>
      <c r="L2917" s="25">
        <f>IFERROR(__xludf.DUMMYFUNCTION("""COMPUTED_VALUE"""),1165.28)</f>
        <v>1165.28</v>
      </c>
      <c r="M2917" s="25">
        <f>IFERROR(__xludf.DUMMYFUNCTION("""COMPUTED_VALUE"""),591876.0)</f>
        <v>591876</v>
      </c>
    </row>
    <row r="2918">
      <c r="A2918" s="26">
        <f>IFERROR(__xludf.DUMMYFUNCTION("""COMPUTED_VALUE"""),42681.64583333333)</f>
        <v>42681.64583</v>
      </c>
      <c r="B2918" s="9">
        <f>IFERROR(__xludf.DUMMYFUNCTION("""COMPUTED_VALUE"""),492.5)</f>
        <v>492.5</v>
      </c>
      <c r="C2918" s="9">
        <f>IFERROR(__xludf.DUMMYFUNCTION("""COMPUTED_VALUE"""),493.0)</f>
        <v>493</v>
      </c>
      <c r="D2918" s="9">
        <f>IFERROR(__xludf.DUMMYFUNCTION("""COMPUTED_VALUE"""),487.5)</f>
        <v>487.5</v>
      </c>
      <c r="E2918" s="9">
        <f>IFERROR(__xludf.DUMMYFUNCTION("""COMPUTED_VALUE"""),488.98)</f>
        <v>488.98</v>
      </c>
      <c r="F2918" s="9">
        <f>IFERROR(__xludf.DUMMYFUNCTION("""COMPUTED_VALUE"""),2268836.0)</f>
        <v>2268836</v>
      </c>
      <c r="H2918" s="27">
        <f>IFERROR(__xludf.DUMMYFUNCTION("""COMPUTED_VALUE"""),42681.64583333333)</f>
        <v>42681.64583</v>
      </c>
      <c r="I2918" s="25">
        <f>IFERROR(__xludf.DUMMYFUNCTION("""COMPUTED_VALUE"""),1168.95)</f>
        <v>1168.95</v>
      </c>
      <c r="J2918" s="25">
        <f>IFERROR(__xludf.DUMMYFUNCTION("""COMPUTED_VALUE"""),1172.45)</f>
        <v>1172.45</v>
      </c>
      <c r="K2918" s="25">
        <f>IFERROR(__xludf.DUMMYFUNCTION("""COMPUTED_VALUE"""),1130.03)</f>
        <v>1130.03</v>
      </c>
      <c r="L2918" s="25">
        <f>IFERROR(__xludf.DUMMYFUNCTION("""COMPUTED_VALUE"""),1138.53)</f>
        <v>1138.53</v>
      </c>
      <c r="M2918" s="25">
        <f>IFERROR(__xludf.DUMMYFUNCTION("""COMPUTED_VALUE"""),1024026.0)</f>
        <v>1024026</v>
      </c>
    </row>
    <row r="2919">
      <c r="A2919" s="26">
        <f>IFERROR(__xludf.DUMMYFUNCTION("""COMPUTED_VALUE"""),42682.64583333333)</f>
        <v>42682.64583</v>
      </c>
      <c r="B2919" s="9">
        <f>IFERROR(__xludf.DUMMYFUNCTION("""COMPUTED_VALUE"""),493.45)</f>
        <v>493.45</v>
      </c>
      <c r="C2919" s="9">
        <f>IFERROR(__xludf.DUMMYFUNCTION("""COMPUTED_VALUE"""),493.88)</f>
        <v>493.88</v>
      </c>
      <c r="D2919" s="9">
        <f>IFERROR(__xludf.DUMMYFUNCTION("""COMPUTED_VALUE"""),485.3)</f>
        <v>485.3</v>
      </c>
      <c r="E2919" s="9">
        <f>IFERROR(__xludf.DUMMYFUNCTION("""COMPUTED_VALUE"""),491.3)</f>
        <v>491.3</v>
      </c>
      <c r="F2919" s="9">
        <f>IFERROR(__xludf.DUMMYFUNCTION("""COMPUTED_VALUE"""),2630554.0)</f>
        <v>2630554</v>
      </c>
      <c r="H2919" s="27">
        <f>IFERROR(__xludf.DUMMYFUNCTION("""COMPUTED_VALUE"""),42682.64583333333)</f>
        <v>42682.64583</v>
      </c>
      <c r="I2919" s="25">
        <f>IFERROR(__xludf.DUMMYFUNCTION("""COMPUTED_VALUE"""),1140.22)</f>
        <v>1140.22</v>
      </c>
      <c r="J2919" s="25">
        <f>IFERROR(__xludf.DUMMYFUNCTION("""COMPUTED_VALUE"""),1153.5)</f>
        <v>1153.5</v>
      </c>
      <c r="K2919" s="25">
        <f>IFERROR(__xludf.DUMMYFUNCTION("""COMPUTED_VALUE"""),1130.0)</f>
        <v>1130</v>
      </c>
      <c r="L2919" s="25">
        <f>IFERROR(__xludf.DUMMYFUNCTION("""COMPUTED_VALUE"""),1141.6)</f>
        <v>1141.6</v>
      </c>
      <c r="M2919" s="25">
        <f>IFERROR(__xludf.DUMMYFUNCTION("""COMPUTED_VALUE"""),966817.0)</f>
        <v>966817</v>
      </c>
    </row>
    <row r="2920">
      <c r="A2920" s="26">
        <f>IFERROR(__xludf.DUMMYFUNCTION("""COMPUTED_VALUE"""),42683.64583333333)</f>
        <v>42683.64583</v>
      </c>
      <c r="B2920" s="9">
        <f>IFERROR(__xludf.DUMMYFUNCTION("""COMPUTED_VALUE"""),465.0)</f>
        <v>465</v>
      </c>
      <c r="C2920" s="9">
        <f>IFERROR(__xludf.DUMMYFUNCTION("""COMPUTED_VALUE"""),487.3)</f>
        <v>487.3</v>
      </c>
      <c r="D2920" s="9">
        <f>IFERROR(__xludf.DUMMYFUNCTION("""COMPUTED_VALUE"""),450.5)</f>
        <v>450.5</v>
      </c>
      <c r="E2920" s="9">
        <f>IFERROR(__xludf.DUMMYFUNCTION("""COMPUTED_VALUE"""),479.15)</f>
        <v>479.15</v>
      </c>
      <c r="F2920" s="9">
        <f>IFERROR(__xludf.DUMMYFUNCTION("""COMPUTED_VALUE"""),6382079.0)</f>
        <v>6382079</v>
      </c>
      <c r="H2920" s="27">
        <f>IFERROR(__xludf.DUMMYFUNCTION("""COMPUTED_VALUE"""),42683.64583333333)</f>
        <v>42683.64583</v>
      </c>
      <c r="I2920" s="25">
        <f>IFERROR(__xludf.DUMMYFUNCTION("""COMPUTED_VALUE"""),1090.0)</f>
        <v>1090</v>
      </c>
      <c r="J2920" s="25">
        <f>IFERROR(__xludf.DUMMYFUNCTION("""COMPUTED_VALUE"""),1137.5)</f>
        <v>1137.5</v>
      </c>
      <c r="K2920" s="25">
        <f>IFERROR(__xludf.DUMMYFUNCTION("""COMPUTED_VALUE"""),1071.43)</f>
        <v>1071.43</v>
      </c>
      <c r="L2920" s="25">
        <f>IFERROR(__xludf.DUMMYFUNCTION("""COMPUTED_VALUE"""),1084.93)</f>
        <v>1084.93</v>
      </c>
      <c r="M2920" s="25">
        <f>IFERROR(__xludf.DUMMYFUNCTION("""COMPUTED_VALUE"""),2250113.0)</f>
        <v>2250113</v>
      </c>
    </row>
    <row r="2921">
      <c r="A2921" s="26">
        <f>IFERROR(__xludf.DUMMYFUNCTION("""COMPUTED_VALUE"""),42684.64583333333)</f>
        <v>42684.64583</v>
      </c>
      <c r="B2921" s="9">
        <f>IFERROR(__xludf.DUMMYFUNCTION("""COMPUTED_VALUE"""),481.25)</f>
        <v>481.25</v>
      </c>
      <c r="C2921" s="9">
        <f>IFERROR(__xludf.DUMMYFUNCTION("""COMPUTED_VALUE"""),481.25)</f>
        <v>481.25</v>
      </c>
      <c r="D2921" s="9">
        <f>IFERROR(__xludf.DUMMYFUNCTION("""COMPUTED_VALUE"""),467.5)</f>
        <v>467.5</v>
      </c>
      <c r="E2921" s="9">
        <f>IFERROR(__xludf.DUMMYFUNCTION("""COMPUTED_VALUE"""),469.7)</f>
        <v>469.7</v>
      </c>
      <c r="F2921" s="9">
        <f>IFERROR(__xludf.DUMMYFUNCTION("""COMPUTED_VALUE"""),3643665.0)</f>
        <v>3643665</v>
      </c>
      <c r="H2921" s="27">
        <f>IFERROR(__xludf.DUMMYFUNCTION("""COMPUTED_VALUE"""),42684.64583333333)</f>
        <v>42684.64583</v>
      </c>
      <c r="I2921" s="25">
        <f>IFERROR(__xludf.DUMMYFUNCTION("""COMPUTED_VALUE"""),1102.4)</f>
        <v>1102.4</v>
      </c>
      <c r="J2921" s="25">
        <f>IFERROR(__xludf.DUMMYFUNCTION("""COMPUTED_VALUE"""),1108.75)</f>
        <v>1108.75</v>
      </c>
      <c r="K2921" s="25">
        <f>IFERROR(__xludf.DUMMYFUNCTION("""COMPUTED_VALUE"""),1070.4)</f>
        <v>1070.4</v>
      </c>
      <c r="L2921" s="25">
        <f>IFERROR(__xludf.DUMMYFUNCTION("""COMPUTED_VALUE"""),1077.72)</f>
        <v>1077.72</v>
      </c>
      <c r="M2921" s="25">
        <f>IFERROR(__xludf.DUMMYFUNCTION("""COMPUTED_VALUE"""),1086213.0)</f>
        <v>1086213</v>
      </c>
    </row>
    <row r="2922">
      <c r="A2922" s="26">
        <f>IFERROR(__xludf.DUMMYFUNCTION("""COMPUTED_VALUE"""),42685.64583333333)</f>
        <v>42685.64583</v>
      </c>
      <c r="B2922" s="9">
        <f>IFERROR(__xludf.DUMMYFUNCTION("""COMPUTED_VALUE"""),470.0)</f>
        <v>470</v>
      </c>
      <c r="C2922" s="9">
        <f>IFERROR(__xludf.DUMMYFUNCTION("""COMPUTED_VALUE"""),472.5)</f>
        <v>472.5</v>
      </c>
      <c r="D2922" s="9">
        <f>IFERROR(__xludf.DUMMYFUNCTION("""COMPUTED_VALUE"""),459.35)</f>
        <v>459.35</v>
      </c>
      <c r="E2922" s="9">
        <f>IFERROR(__xludf.DUMMYFUNCTION("""COMPUTED_VALUE"""),460.78)</f>
        <v>460.78</v>
      </c>
      <c r="F2922" s="9">
        <f>IFERROR(__xludf.DUMMYFUNCTION("""COMPUTED_VALUE"""),3548391.0)</f>
        <v>3548391</v>
      </c>
      <c r="H2922" s="27">
        <f>IFERROR(__xludf.DUMMYFUNCTION("""COMPUTED_VALUE"""),42685.64583333333)</f>
        <v>42685.64583</v>
      </c>
      <c r="I2922" s="25">
        <f>IFERROR(__xludf.DUMMYFUNCTION("""COMPUTED_VALUE"""),1073.53)</f>
        <v>1073.53</v>
      </c>
      <c r="J2922" s="25">
        <f>IFERROR(__xludf.DUMMYFUNCTION("""COMPUTED_VALUE"""),1073.53)</f>
        <v>1073.53</v>
      </c>
      <c r="K2922" s="25">
        <f>IFERROR(__xludf.DUMMYFUNCTION("""COMPUTED_VALUE"""),1043.1)</f>
        <v>1043.1</v>
      </c>
      <c r="L2922" s="25">
        <f>IFERROR(__xludf.DUMMYFUNCTION("""COMPUTED_VALUE"""),1050.58)</f>
        <v>1050.58</v>
      </c>
      <c r="M2922" s="25">
        <f>IFERROR(__xludf.DUMMYFUNCTION("""COMPUTED_VALUE"""),1199212.0)</f>
        <v>1199212</v>
      </c>
    </row>
    <row r="2923">
      <c r="A2923" s="26">
        <f>IFERROR(__xludf.DUMMYFUNCTION("""COMPUTED_VALUE"""),42689.64583333333)</f>
        <v>42689.64583</v>
      </c>
      <c r="B2923" s="9">
        <f>IFERROR(__xludf.DUMMYFUNCTION("""COMPUTED_VALUE"""),462.0)</f>
        <v>462</v>
      </c>
      <c r="C2923" s="9">
        <f>IFERROR(__xludf.DUMMYFUNCTION("""COMPUTED_VALUE"""),469.98)</f>
        <v>469.98</v>
      </c>
      <c r="D2923" s="9">
        <f>IFERROR(__xludf.DUMMYFUNCTION("""COMPUTED_VALUE"""),454.28)</f>
        <v>454.28</v>
      </c>
      <c r="E2923" s="9">
        <f>IFERROR(__xludf.DUMMYFUNCTION("""COMPUTED_VALUE"""),461.78)</f>
        <v>461.78</v>
      </c>
      <c r="F2923" s="9">
        <f>IFERROR(__xludf.DUMMYFUNCTION("""COMPUTED_VALUE"""),4617925.0)</f>
        <v>4617925</v>
      </c>
      <c r="H2923" s="27">
        <f>IFERROR(__xludf.DUMMYFUNCTION("""COMPUTED_VALUE"""),42689.64583333333)</f>
        <v>42689.64583</v>
      </c>
      <c r="I2923" s="25">
        <f>IFERROR(__xludf.DUMMYFUNCTION("""COMPUTED_VALUE"""),1058.45)</f>
        <v>1058.45</v>
      </c>
      <c r="J2923" s="25">
        <f>IFERROR(__xludf.DUMMYFUNCTION("""COMPUTED_VALUE"""),1078.78)</f>
        <v>1078.78</v>
      </c>
      <c r="K2923" s="25">
        <f>IFERROR(__xludf.DUMMYFUNCTION("""COMPUTED_VALUE"""),1025.95)</f>
        <v>1025.95</v>
      </c>
      <c r="L2923" s="25">
        <f>IFERROR(__xludf.DUMMYFUNCTION("""COMPUTED_VALUE"""),1060.65)</f>
        <v>1060.65</v>
      </c>
      <c r="M2923" s="25">
        <f>IFERROR(__xludf.DUMMYFUNCTION("""COMPUTED_VALUE"""),3145162.0)</f>
        <v>3145162</v>
      </c>
    </row>
    <row r="2924">
      <c r="A2924" s="26">
        <f>IFERROR(__xludf.DUMMYFUNCTION("""COMPUTED_VALUE"""),42690.64583333333)</f>
        <v>42690.64583</v>
      </c>
      <c r="B2924" s="9">
        <f>IFERROR(__xludf.DUMMYFUNCTION("""COMPUTED_VALUE"""),465.0)</f>
        <v>465</v>
      </c>
      <c r="C2924" s="9">
        <f>IFERROR(__xludf.DUMMYFUNCTION("""COMPUTED_VALUE"""),478.43)</f>
        <v>478.43</v>
      </c>
      <c r="D2924" s="9">
        <f>IFERROR(__xludf.DUMMYFUNCTION("""COMPUTED_VALUE"""),464.28)</f>
        <v>464.28</v>
      </c>
      <c r="E2924" s="9">
        <f>IFERROR(__xludf.DUMMYFUNCTION("""COMPUTED_VALUE"""),470.45)</f>
        <v>470.45</v>
      </c>
      <c r="F2924" s="9">
        <f>IFERROR(__xludf.DUMMYFUNCTION("""COMPUTED_VALUE"""),6111308.0)</f>
        <v>6111308</v>
      </c>
      <c r="H2924" s="27">
        <f>IFERROR(__xludf.DUMMYFUNCTION("""COMPUTED_VALUE"""),42690.64583333333)</f>
        <v>42690.64583</v>
      </c>
      <c r="I2924" s="25">
        <f>IFERROR(__xludf.DUMMYFUNCTION("""COMPUTED_VALUE"""),1072.55)</f>
        <v>1072.55</v>
      </c>
      <c r="J2924" s="25">
        <f>IFERROR(__xludf.DUMMYFUNCTION("""COMPUTED_VALUE"""),1104.45)</f>
        <v>1104.45</v>
      </c>
      <c r="K2924" s="25">
        <f>IFERROR(__xludf.DUMMYFUNCTION("""COMPUTED_VALUE"""),1069.0)</f>
        <v>1069</v>
      </c>
      <c r="L2924" s="25">
        <f>IFERROR(__xludf.DUMMYFUNCTION("""COMPUTED_VALUE"""),1094.8)</f>
        <v>1094.8</v>
      </c>
      <c r="M2924" s="25">
        <f>IFERROR(__xludf.DUMMYFUNCTION("""COMPUTED_VALUE"""),2009979.0)</f>
        <v>2009979</v>
      </c>
    </row>
    <row r="2925">
      <c r="A2925" s="26">
        <f>IFERROR(__xludf.DUMMYFUNCTION("""COMPUTED_VALUE"""),42691.64583333333)</f>
        <v>42691.64583</v>
      </c>
      <c r="B2925" s="9">
        <f>IFERROR(__xludf.DUMMYFUNCTION("""COMPUTED_VALUE"""),467.13)</f>
        <v>467.13</v>
      </c>
      <c r="C2925" s="9">
        <f>IFERROR(__xludf.DUMMYFUNCTION("""COMPUTED_VALUE"""),474.5)</f>
        <v>474.5</v>
      </c>
      <c r="D2925" s="9">
        <f>IFERROR(__xludf.DUMMYFUNCTION("""COMPUTED_VALUE"""),463.2)</f>
        <v>463.2</v>
      </c>
      <c r="E2925" s="9">
        <f>IFERROR(__xludf.DUMMYFUNCTION("""COMPUTED_VALUE"""),464.9)</f>
        <v>464.9</v>
      </c>
      <c r="F2925" s="9">
        <f>IFERROR(__xludf.DUMMYFUNCTION("""COMPUTED_VALUE"""),2853365.0)</f>
        <v>2853365</v>
      </c>
      <c r="H2925" s="27">
        <f>IFERROR(__xludf.DUMMYFUNCTION("""COMPUTED_VALUE"""),42691.64583333333)</f>
        <v>42691.64583</v>
      </c>
      <c r="I2925" s="25">
        <f>IFERROR(__xludf.DUMMYFUNCTION("""COMPUTED_VALUE"""),1092.5)</f>
        <v>1092.5</v>
      </c>
      <c r="J2925" s="25">
        <f>IFERROR(__xludf.DUMMYFUNCTION("""COMPUTED_VALUE"""),1104.3)</f>
        <v>1104.3</v>
      </c>
      <c r="K2925" s="25">
        <f>IFERROR(__xludf.DUMMYFUNCTION("""COMPUTED_VALUE"""),1065.08)</f>
        <v>1065.08</v>
      </c>
      <c r="L2925" s="25">
        <f>IFERROR(__xludf.DUMMYFUNCTION("""COMPUTED_VALUE"""),1068.6)</f>
        <v>1068.6</v>
      </c>
      <c r="M2925" s="25">
        <f>IFERROR(__xludf.DUMMYFUNCTION("""COMPUTED_VALUE"""),1252344.0)</f>
        <v>1252344</v>
      </c>
    </row>
    <row r="2926">
      <c r="A2926" s="26">
        <f>IFERROR(__xludf.DUMMYFUNCTION("""COMPUTED_VALUE"""),42692.64583333333)</f>
        <v>42692.64583</v>
      </c>
      <c r="B2926" s="9">
        <f>IFERROR(__xludf.DUMMYFUNCTION("""COMPUTED_VALUE"""),465.0)</f>
        <v>465</v>
      </c>
      <c r="C2926" s="9">
        <f>IFERROR(__xludf.DUMMYFUNCTION("""COMPUTED_VALUE"""),466.63)</f>
        <v>466.63</v>
      </c>
      <c r="D2926" s="9">
        <f>IFERROR(__xludf.DUMMYFUNCTION("""COMPUTED_VALUE"""),458.75)</f>
        <v>458.75</v>
      </c>
      <c r="E2926" s="9">
        <f>IFERROR(__xludf.DUMMYFUNCTION("""COMPUTED_VALUE"""),460.0)</f>
        <v>460</v>
      </c>
      <c r="F2926" s="9">
        <f>IFERROR(__xludf.DUMMYFUNCTION("""COMPUTED_VALUE"""),3020114.0)</f>
        <v>3020114</v>
      </c>
      <c r="H2926" s="27">
        <f>IFERROR(__xludf.DUMMYFUNCTION("""COMPUTED_VALUE"""),42692.64583333333)</f>
        <v>42692.64583</v>
      </c>
      <c r="I2926" s="25">
        <f>IFERROR(__xludf.DUMMYFUNCTION("""COMPUTED_VALUE"""),1071.0)</f>
        <v>1071</v>
      </c>
      <c r="J2926" s="25">
        <f>IFERROR(__xludf.DUMMYFUNCTION("""COMPUTED_VALUE"""),1075.0)</f>
        <v>1075</v>
      </c>
      <c r="K2926" s="25">
        <f>IFERROR(__xludf.DUMMYFUNCTION("""COMPUTED_VALUE"""),1052.1)</f>
        <v>1052.1</v>
      </c>
      <c r="L2926" s="25">
        <f>IFERROR(__xludf.DUMMYFUNCTION("""COMPUTED_VALUE"""),1062.55)</f>
        <v>1062.55</v>
      </c>
      <c r="M2926" s="25">
        <f>IFERROR(__xludf.DUMMYFUNCTION("""COMPUTED_VALUE"""),1070267.0)</f>
        <v>1070267</v>
      </c>
    </row>
    <row r="2927">
      <c r="A2927" s="26">
        <f>IFERROR(__xludf.DUMMYFUNCTION("""COMPUTED_VALUE"""),42695.64583333333)</f>
        <v>42695.64583</v>
      </c>
      <c r="B2927" s="9">
        <f>IFERROR(__xludf.DUMMYFUNCTION("""COMPUTED_VALUE"""),463.45)</f>
        <v>463.45</v>
      </c>
      <c r="C2927" s="9">
        <f>IFERROR(__xludf.DUMMYFUNCTION("""COMPUTED_VALUE"""),463.45)</f>
        <v>463.45</v>
      </c>
      <c r="D2927" s="9">
        <f>IFERROR(__xludf.DUMMYFUNCTION("""COMPUTED_VALUE"""),453.48)</f>
        <v>453.48</v>
      </c>
      <c r="E2927" s="9">
        <f>IFERROR(__xludf.DUMMYFUNCTION("""COMPUTED_VALUE"""),455.55)</f>
        <v>455.55</v>
      </c>
      <c r="F2927" s="9">
        <f>IFERROR(__xludf.DUMMYFUNCTION("""COMPUTED_VALUE"""),3970284.0)</f>
        <v>3970284</v>
      </c>
      <c r="H2927" s="27">
        <f>IFERROR(__xludf.DUMMYFUNCTION("""COMPUTED_VALUE"""),42695.64583333333)</f>
        <v>42695.64583</v>
      </c>
      <c r="I2927" s="25">
        <f>IFERROR(__xludf.DUMMYFUNCTION("""COMPUTED_VALUE"""),1063.1)</f>
        <v>1063.1</v>
      </c>
      <c r="J2927" s="25">
        <f>IFERROR(__xludf.DUMMYFUNCTION("""COMPUTED_VALUE"""),1070.0)</f>
        <v>1070</v>
      </c>
      <c r="K2927" s="25">
        <f>IFERROR(__xludf.DUMMYFUNCTION("""COMPUTED_VALUE"""),1052.5)</f>
        <v>1052.5</v>
      </c>
      <c r="L2927" s="25">
        <f>IFERROR(__xludf.DUMMYFUNCTION("""COMPUTED_VALUE"""),1066.45)</f>
        <v>1066.45</v>
      </c>
      <c r="M2927" s="25">
        <f>IFERROR(__xludf.DUMMYFUNCTION("""COMPUTED_VALUE"""),896683.0)</f>
        <v>896683</v>
      </c>
    </row>
    <row r="2928">
      <c r="A2928" s="26">
        <f>IFERROR(__xludf.DUMMYFUNCTION("""COMPUTED_VALUE"""),42696.64583333333)</f>
        <v>42696.64583</v>
      </c>
      <c r="B2928" s="9">
        <f>IFERROR(__xludf.DUMMYFUNCTION("""COMPUTED_VALUE"""),458.45)</f>
        <v>458.45</v>
      </c>
      <c r="C2928" s="9">
        <f>IFERROR(__xludf.DUMMYFUNCTION("""COMPUTED_VALUE"""),464.33)</f>
        <v>464.33</v>
      </c>
      <c r="D2928" s="9">
        <f>IFERROR(__xludf.DUMMYFUNCTION("""COMPUTED_VALUE"""),455.83)</f>
        <v>455.83</v>
      </c>
      <c r="E2928" s="9">
        <f>IFERROR(__xludf.DUMMYFUNCTION("""COMPUTED_VALUE"""),457.1)</f>
        <v>457.1</v>
      </c>
      <c r="F2928" s="9">
        <f>IFERROR(__xludf.DUMMYFUNCTION("""COMPUTED_VALUE"""),2741563.0)</f>
        <v>2741563</v>
      </c>
      <c r="H2928" s="27">
        <f>IFERROR(__xludf.DUMMYFUNCTION("""COMPUTED_VALUE"""),42696.64583333333)</f>
        <v>42696.64583</v>
      </c>
      <c r="I2928" s="25">
        <f>IFERROR(__xludf.DUMMYFUNCTION("""COMPUTED_VALUE"""),1066.0)</f>
        <v>1066</v>
      </c>
      <c r="J2928" s="25">
        <f>IFERROR(__xludf.DUMMYFUNCTION("""COMPUTED_VALUE"""),1088.72)</f>
        <v>1088.72</v>
      </c>
      <c r="K2928" s="25">
        <f>IFERROR(__xludf.DUMMYFUNCTION("""COMPUTED_VALUE"""),1061.03)</f>
        <v>1061.03</v>
      </c>
      <c r="L2928" s="25">
        <f>IFERROR(__xludf.DUMMYFUNCTION("""COMPUTED_VALUE"""),1067.5)</f>
        <v>1067.5</v>
      </c>
      <c r="M2928" s="25">
        <f>IFERROR(__xludf.DUMMYFUNCTION("""COMPUTED_VALUE"""),659430.0)</f>
        <v>659430</v>
      </c>
    </row>
    <row r="2929">
      <c r="A2929" s="26">
        <f>IFERROR(__xludf.DUMMYFUNCTION("""COMPUTED_VALUE"""),42697.64583333333)</f>
        <v>42697.64583</v>
      </c>
      <c r="B2929" s="9">
        <f>IFERROR(__xludf.DUMMYFUNCTION("""COMPUTED_VALUE"""),461.05)</f>
        <v>461.05</v>
      </c>
      <c r="C2929" s="9">
        <f>IFERROR(__xludf.DUMMYFUNCTION("""COMPUTED_VALUE"""),461.45)</f>
        <v>461.45</v>
      </c>
      <c r="D2929" s="9">
        <f>IFERROR(__xludf.DUMMYFUNCTION("""COMPUTED_VALUE"""),456.23)</f>
        <v>456.23</v>
      </c>
      <c r="E2929" s="9">
        <f>IFERROR(__xludf.DUMMYFUNCTION("""COMPUTED_VALUE"""),460.13)</f>
        <v>460.13</v>
      </c>
      <c r="F2929" s="9">
        <f>IFERROR(__xludf.DUMMYFUNCTION("""COMPUTED_VALUE"""),4125893.0)</f>
        <v>4125893</v>
      </c>
      <c r="H2929" s="27">
        <f>IFERROR(__xludf.DUMMYFUNCTION("""COMPUTED_VALUE"""),42697.64583333333)</f>
        <v>42697.64583</v>
      </c>
      <c r="I2929" s="25">
        <f>IFERROR(__xludf.DUMMYFUNCTION("""COMPUTED_VALUE"""),1074.5)</f>
        <v>1074.5</v>
      </c>
      <c r="J2929" s="25">
        <f>IFERROR(__xludf.DUMMYFUNCTION("""COMPUTED_VALUE"""),1081.47)</f>
        <v>1081.47</v>
      </c>
      <c r="K2929" s="25">
        <f>IFERROR(__xludf.DUMMYFUNCTION("""COMPUTED_VALUE"""),1063.6)</f>
        <v>1063.6</v>
      </c>
      <c r="L2929" s="25">
        <f>IFERROR(__xludf.DUMMYFUNCTION("""COMPUTED_VALUE"""),1078.18)</f>
        <v>1078.18</v>
      </c>
      <c r="M2929" s="25">
        <f>IFERROR(__xludf.DUMMYFUNCTION("""COMPUTED_VALUE"""),637904.0)</f>
        <v>637904</v>
      </c>
    </row>
    <row r="2930">
      <c r="A2930" s="26">
        <f>IFERROR(__xludf.DUMMYFUNCTION("""COMPUTED_VALUE"""),42698.64583333333)</f>
        <v>42698.64583</v>
      </c>
      <c r="B2930" s="9">
        <f>IFERROR(__xludf.DUMMYFUNCTION("""COMPUTED_VALUE"""),464.1)</f>
        <v>464.1</v>
      </c>
      <c r="C2930" s="9">
        <f>IFERROR(__xludf.DUMMYFUNCTION("""COMPUTED_VALUE"""),469.95)</f>
        <v>469.95</v>
      </c>
      <c r="D2930" s="9">
        <f>IFERROR(__xludf.DUMMYFUNCTION("""COMPUTED_VALUE"""),461.65)</f>
        <v>461.65</v>
      </c>
      <c r="E2930" s="9">
        <f>IFERROR(__xludf.DUMMYFUNCTION("""COMPUTED_VALUE"""),465.15)</f>
        <v>465.15</v>
      </c>
      <c r="F2930" s="9">
        <f>IFERROR(__xludf.DUMMYFUNCTION("""COMPUTED_VALUE"""),8390322.0)</f>
        <v>8390322</v>
      </c>
      <c r="H2930" s="27">
        <f>IFERROR(__xludf.DUMMYFUNCTION("""COMPUTED_VALUE"""),42698.64583333333)</f>
        <v>42698.64583</v>
      </c>
      <c r="I2930" s="25">
        <f>IFERROR(__xludf.DUMMYFUNCTION("""COMPUTED_VALUE"""),1077.45)</f>
        <v>1077.45</v>
      </c>
      <c r="J2930" s="25">
        <f>IFERROR(__xludf.DUMMYFUNCTION("""COMPUTED_VALUE"""),1103.8)</f>
        <v>1103.8</v>
      </c>
      <c r="K2930" s="25">
        <f>IFERROR(__xludf.DUMMYFUNCTION("""COMPUTED_VALUE"""),1068.5)</f>
        <v>1068.5</v>
      </c>
      <c r="L2930" s="25">
        <f>IFERROR(__xludf.DUMMYFUNCTION("""COMPUTED_VALUE"""),1094.22)</f>
        <v>1094.22</v>
      </c>
      <c r="M2930" s="25">
        <f>IFERROR(__xludf.DUMMYFUNCTION("""COMPUTED_VALUE"""),1513117.0)</f>
        <v>1513117</v>
      </c>
    </row>
    <row r="2931">
      <c r="A2931" s="26">
        <f>IFERROR(__xludf.DUMMYFUNCTION("""COMPUTED_VALUE"""),42699.64583333333)</f>
        <v>42699.64583</v>
      </c>
      <c r="B2931" s="9">
        <f>IFERROR(__xludf.DUMMYFUNCTION("""COMPUTED_VALUE"""),465.23)</f>
        <v>465.23</v>
      </c>
      <c r="C2931" s="9">
        <f>IFERROR(__xludf.DUMMYFUNCTION("""COMPUTED_VALUE"""),492.5)</f>
        <v>492.5</v>
      </c>
      <c r="D2931" s="9">
        <f>IFERROR(__xludf.DUMMYFUNCTION("""COMPUTED_VALUE"""),465.23)</f>
        <v>465.23</v>
      </c>
      <c r="E2931" s="9">
        <f>IFERROR(__xludf.DUMMYFUNCTION("""COMPUTED_VALUE"""),488.75)</f>
        <v>488.75</v>
      </c>
      <c r="F2931" s="9">
        <f>IFERROR(__xludf.DUMMYFUNCTION("""COMPUTED_VALUE"""),6315690.0)</f>
        <v>6315690</v>
      </c>
      <c r="H2931" s="27">
        <f>IFERROR(__xludf.DUMMYFUNCTION("""COMPUTED_VALUE"""),42699.64583333333)</f>
        <v>42699.64583</v>
      </c>
      <c r="I2931" s="25">
        <f>IFERROR(__xludf.DUMMYFUNCTION("""COMPUTED_VALUE"""),1106.0)</f>
        <v>1106</v>
      </c>
      <c r="J2931" s="25">
        <f>IFERROR(__xludf.DUMMYFUNCTION("""COMPUTED_VALUE"""),1153.63)</f>
        <v>1153.63</v>
      </c>
      <c r="K2931" s="25">
        <f>IFERROR(__xludf.DUMMYFUNCTION("""COMPUTED_VALUE"""),1096.1)</f>
        <v>1096.1</v>
      </c>
      <c r="L2931" s="25">
        <f>IFERROR(__xludf.DUMMYFUNCTION("""COMPUTED_VALUE"""),1150.18)</f>
        <v>1150.18</v>
      </c>
      <c r="M2931" s="25">
        <f>IFERROR(__xludf.DUMMYFUNCTION("""COMPUTED_VALUE"""),2138074.0)</f>
        <v>2138074</v>
      </c>
    </row>
    <row r="2932">
      <c r="A2932" s="26">
        <f>IFERROR(__xludf.DUMMYFUNCTION("""COMPUTED_VALUE"""),42702.64583333333)</f>
        <v>42702.64583</v>
      </c>
      <c r="B2932" s="9">
        <f>IFERROR(__xludf.DUMMYFUNCTION("""COMPUTED_VALUE"""),489.65)</f>
        <v>489.65</v>
      </c>
      <c r="C2932" s="9">
        <f>IFERROR(__xludf.DUMMYFUNCTION("""COMPUTED_VALUE"""),491.73)</f>
        <v>491.73</v>
      </c>
      <c r="D2932" s="9">
        <f>IFERROR(__xludf.DUMMYFUNCTION("""COMPUTED_VALUE"""),485.3)</f>
        <v>485.3</v>
      </c>
      <c r="E2932" s="9">
        <f>IFERROR(__xludf.DUMMYFUNCTION("""COMPUTED_VALUE"""),489.88)</f>
        <v>489.88</v>
      </c>
      <c r="F2932" s="9">
        <f>IFERROR(__xludf.DUMMYFUNCTION("""COMPUTED_VALUE"""),3682856.0)</f>
        <v>3682856</v>
      </c>
      <c r="H2932" s="27">
        <f>IFERROR(__xludf.DUMMYFUNCTION("""COMPUTED_VALUE"""),42702.64583333333)</f>
        <v>42702.64583</v>
      </c>
      <c r="I2932" s="25">
        <f>IFERROR(__xludf.DUMMYFUNCTION("""COMPUTED_VALUE"""),1147.0)</f>
        <v>1147</v>
      </c>
      <c r="J2932" s="25">
        <f>IFERROR(__xludf.DUMMYFUNCTION("""COMPUTED_VALUE"""),1159.72)</f>
        <v>1159.72</v>
      </c>
      <c r="K2932" s="25">
        <f>IFERROR(__xludf.DUMMYFUNCTION("""COMPUTED_VALUE"""),1125.95)</f>
        <v>1125.95</v>
      </c>
      <c r="L2932" s="25">
        <f>IFERROR(__xludf.DUMMYFUNCTION("""COMPUTED_VALUE"""),1141.3)</f>
        <v>1141.3</v>
      </c>
      <c r="M2932" s="25">
        <f>IFERROR(__xludf.DUMMYFUNCTION("""COMPUTED_VALUE"""),962148.0)</f>
        <v>962148</v>
      </c>
    </row>
    <row r="2933">
      <c r="A2933" s="26">
        <f>IFERROR(__xludf.DUMMYFUNCTION("""COMPUTED_VALUE"""),42703.64583333333)</f>
        <v>42703.64583</v>
      </c>
      <c r="B2933" s="9">
        <f>IFERROR(__xludf.DUMMYFUNCTION("""COMPUTED_VALUE"""),489.4)</f>
        <v>489.4</v>
      </c>
      <c r="C2933" s="9">
        <f>IFERROR(__xludf.DUMMYFUNCTION("""COMPUTED_VALUE"""),492.35)</f>
        <v>492.35</v>
      </c>
      <c r="D2933" s="9">
        <f>IFERROR(__xludf.DUMMYFUNCTION("""COMPUTED_VALUE"""),483.55)</f>
        <v>483.55</v>
      </c>
      <c r="E2933" s="9">
        <f>IFERROR(__xludf.DUMMYFUNCTION("""COMPUTED_VALUE"""),486.3)</f>
        <v>486.3</v>
      </c>
      <c r="F2933" s="9">
        <f>IFERROR(__xludf.DUMMYFUNCTION("""COMPUTED_VALUE"""),3062753.0)</f>
        <v>3062753</v>
      </c>
      <c r="H2933" s="27">
        <f>IFERROR(__xludf.DUMMYFUNCTION("""COMPUTED_VALUE"""),42703.64583333333)</f>
        <v>42703.64583</v>
      </c>
      <c r="I2933" s="25">
        <f>IFERROR(__xludf.DUMMYFUNCTION("""COMPUTED_VALUE"""),1137.5)</f>
        <v>1137.5</v>
      </c>
      <c r="J2933" s="25">
        <f>IFERROR(__xludf.DUMMYFUNCTION("""COMPUTED_VALUE"""),1146.0)</f>
        <v>1146</v>
      </c>
      <c r="K2933" s="25">
        <f>IFERROR(__xludf.DUMMYFUNCTION("""COMPUTED_VALUE"""),1126.28)</f>
        <v>1126.28</v>
      </c>
      <c r="L2933" s="25">
        <f>IFERROR(__xludf.DUMMYFUNCTION("""COMPUTED_VALUE"""),1129.93)</f>
        <v>1129.93</v>
      </c>
      <c r="M2933" s="25">
        <f>IFERROR(__xludf.DUMMYFUNCTION("""COMPUTED_VALUE"""),721148.0)</f>
        <v>721148</v>
      </c>
    </row>
    <row r="2934">
      <c r="A2934" s="26">
        <f>IFERROR(__xludf.DUMMYFUNCTION("""COMPUTED_VALUE"""),42704.64583333333)</f>
        <v>42704.64583</v>
      </c>
      <c r="B2934" s="9">
        <f>IFERROR(__xludf.DUMMYFUNCTION("""COMPUTED_VALUE"""),486.5)</f>
        <v>486.5</v>
      </c>
      <c r="C2934" s="9">
        <f>IFERROR(__xludf.DUMMYFUNCTION("""COMPUTED_VALUE"""),488.5)</f>
        <v>488.5</v>
      </c>
      <c r="D2934" s="9">
        <f>IFERROR(__xludf.DUMMYFUNCTION("""COMPUTED_VALUE"""),480.53)</f>
        <v>480.53</v>
      </c>
      <c r="E2934" s="9">
        <f>IFERROR(__xludf.DUMMYFUNCTION("""COMPUTED_VALUE"""),487.78)</f>
        <v>487.78</v>
      </c>
      <c r="F2934" s="9">
        <f>IFERROR(__xludf.DUMMYFUNCTION("""COMPUTED_VALUE"""),4250459.0)</f>
        <v>4250459</v>
      </c>
      <c r="H2934" s="27">
        <f>IFERROR(__xludf.DUMMYFUNCTION("""COMPUTED_VALUE"""),42704.64583333333)</f>
        <v>42704.64583</v>
      </c>
      <c r="I2934" s="25">
        <f>IFERROR(__xludf.DUMMYFUNCTION("""COMPUTED_VALUE"""),1132.5)</f>
        <v>1132.5</v>
      </c>
      <c r="J2934" s="25">
        <f>IFERROR(__xludf.DUMMYFUNCTION("""COMPUTED_VALUE"""),1147.38)</f>
        <v>1147.38</v>
      </c>
      <c r="K2934" s="25">
        <f>IFERROR(__xludf.DUMMYFUNCTION("""COMPUTED_VALUE"""),1121.15)</f>
        <v>1121.15</v>
      </c>
      <c r="L2934" s="25">
        <f>IFERROR(__xludf.DUMMYFUNCTION("""COMPUTED_VALUE"""),1138.03)</f>
        <v>1138.03</v>
      </c>
      <c r="M2934" s="25">
        <f>IFERROR(__xludf.DUMMYFUNCTION("""COMPUTED_VALUE"""),1722916.0)</f>
        <v>1722916</v>
      </c>
    </row>
    <row r="2935">
      <c r="A2935" s="26">
        <f>IFERROR(__xludf.DUMMYFUNCTION("""COMPUTED_VALUE"""),42705.64583333333)</f>
        <v>42705.64583</v>
      </c>
      <c r="B2935" s="9">
        <f>IFERROR(__xludf.DUMMYFUNCTION("""COMPUTED_VALUE"""),488.0)</f>
        <v>488</v>
      </c>
      <c r="C2935" s="9">
        <f>IFERROR(__xludf.DUMMYFUNCTION("""COMPUTED_VALUE"""),491.78)</f>
        <v>491.78</v>
      </c>
      <c r="D2935" s="9">
        <f>IFERROR(__xludf.DUMMYFUNCTION("""COMPUTED_VALUE"""),483.5)</f>
        <v>483.5</v>
      </c>
      <c r="E2935" s="9">
        <f>IFERROR(__xludf.DUMMYFUNCTION("""COMPUTED_VALUE"""),487.8)</f>
        <v>487.8</v>
      </c>
      <c r="F2935" s="9">
        <f>IFERROR(__xludf.DUMMYFUNCTION("""COMPUTED_VALUE"""),2305795.0)</f>
        <v>2305795</v>
      </c>
      <c r="H2935" s="27">
        <f>IFERROR(__xludf.DUMMYFUNCTION("""COMPUTED_VALUE"""),42705.64583333333)</f>
        <v>42705.64583</v>
      </c>
      <c r="I2935" s="25">
        <f>IFERROR(__xludf.DUMMYFUNCTION("""COMPUTED_VALUE"""),1138.5)</f>
        <v>1138.5</v>
      </c>
      <c r="J2935" s="25">
        <f>IFERROR(__xludf.DUMMYFUNCTION("""COMPUTED_VALUE"""),1145.0)</f>
        <v>1145</v>
      </c>
      <c r="K2935" s="25">
        <f>IFERROR(__xludf.DUMMYFUNCTION("""COMPUTED_VALUE"""),1127.03)</f>
        <v>1127.03</v>
      </c>
      <c r="L2935" s="25">
        <f>IFERROR(__xludf.DUMMYFUNCTION("""COMPUTED_VALUE"""),1131.72)</f>
        <v>1131.72</v>
      </c>
      <c r="M2935" s="25">
        <f>IFERROR(__xludf.DUMMYFUNCTION("""COMPUTED_VALUE"""),561526.0)</f>
        <v>561526</v>
      </c>
    </row>
    <row r="2936">
      <c r="A2936" s="26">
        <f>IFERROR(__xludf.DUMMYFUNCTION("""COMPUTED_VALUE"""),42706.64583333333)</f>
        <v>42706.64583</v>
      </c>
      <c r="B2936" s="9">
        <f>IFERROR(__xludf.DUMMYFUNCTION("""COMPUTED_VALUE"""),482.4)</f>
        <v>482.4</v>
      </c>
      <c r="C2936" s="9">
        <f>IFERROR(__xludf.DUMMYFUNCTION("""COMPUTED_VALUE"""),484.8)</f>
        <v>484.8</v>
      </c>
      <c r="D2936" s="9">
        <f>IFERROR(__xludf.DUMMYFUNCTION("""COMPUTED_VALUE"""),480.55)</f>
        <v>480.55</v>
      </c>
      <c r="E2936" s="9">
        <f>IFERROR(__xludf.DUMMYFUNCTION("""COMPUTED_VALUE"""),482.25)</f>
        <v>482.25</v>
      </c>
      <c r="F2936" s="9">
        <f>IFERROR(__xludf.DUMMYFUNCTION("""COMPUTED_VALUE"""),2226614.0)</f>
        <v>2226614</v>
      </c>
      <c r="H2936" s="27">
        <f>IFERROR(__xludf.DUMMYFUNCTION("""COMPUTED_VALUE"""),42706.64583333333)</f>
        <v>42706.64583</v>
      </c>
      <c r="I2936" s="25">
        <f>IFERROR(__xludf.DUMMYFUNCTION("""COMPUTED_VALUE"""),1129.0)</f>
        <v>1129</v>
      </c>
      <c r="J2936" s="25">
        <f>IFERROR(__xludf.DUMMYFUNCTION("""COMPUTED_VALUE"""),1135.4)</f>
        <v>1135.4</v>
      </c>
      <c r="K2936" s="25">
        <f>IFERROR(__xludf.DUMMYFUNCTION("""COMPUTED_VALUE"""),1102.6)</f>
        <v>1102.6</v>
      </c>
      <c r="L2936" s="25">
        <f>IFERROR(__xludf.DUMMYFUNCTION("""COMPUTED_VALUE"""),1110.93)</f>
        <v>1110.93</v>
      </c>
      <c r="M2936" s="25">
        <f>IFERROR(__xludf.DUMMYFUNCTION("""COMPUTED_VALUE"""),999016.0)</f>
        <v>999016</v>
      </c>
    </row>
    <row r="2937">
      <c r="A2937" s="26">
        <f>IFERROR(__xludf.DUMMYFUNCTION("""COMPUTED_VALUE"""),42709.64583333333)</f>
        <v>42709.64583</v>
      </c>
      <c r="B2937" s="9">
        <f>IFERROR(__xludf.DUMMYFUNCTION("""COMPUTED_VALUE"""),482.95)</f>
        <v>482.95</v>
      </c>
      <c r="C2937" s="9">
        <f>IFERROR(__xludf.DUMMYFUNCTION("""COMPUTED_VALUE"""),484.3)</f>
        <v>484.3</v>
      </c>
      <c r="D2937" s="9">
        <f>IFERROR(__xludf.DUMMYFUNCTION("""COMPUTED_VALUE"""),479.0)</f>
        <v>479</v>
      </c>
      <c r="E2937" s="9">
        <f>IFERROR(__xludf.DUMMYFUNCTION("""COMPUTED_VALUE"""),480.83)</f>
        <v>480.83</v>
      </c>
      <c r="F2937" s="9">
        <f>IFERROR(__xludf.DUMMYFUNCTION("""COMPUTED_VALUE"""),1829788.0)</f>
        <v>1829788</v>
      </c>
      <c r="H2937" s="27">
        <f>IFERROR(__xludf.DUMMYFUNCTION("""COMPUTED_VALUE"""),42709.64583333333)</f>
        <v>42709.64583</v>
      </c>
      <c r="I2937" s="25">
        <f>IFERROR(__xludf.DUMMYFUNCTION("""COMPUTED_VALUE"""),1114.5)</f>
        <v>1114.5</v>
      </c>
      <c r="J2937" s="25">
        <f>IFERROR(__xludf.DUMMYFUNCTION("""COMPUTED_VALUE"""),1118.93)</f>
        <v>1118.93</v>
      </c>
      <c r="K2937" s="25">
        <f>IFERROR(__xludf.DUMMYFUNCTION("""COMPUTED_VALUE"""),1085.0)</f>
        <v>1085</v>
      </c>
      <c r="L2937" s="25">
        <f>IFERROR(__xludf.DUMMYFUNCTION("""COMPUTED_VALUE"""),1093.0)</f>
        <v>1093</v>
      </c>
      <c r="M2937" s="25">
        <f>IFERROR(__xludf.DUMMYFUNCTION("""COMPUTED_VALUE"""),1124763.0)</f>
        <v>1124763</v>
      </c>
    </row>
    <row r="2938">
      <c r="A2938" s="26">
        <f>IFERROR(__xludf.DUMMYFUNCTION("""COMPUTED_VALUE"""),42710.64583333333)</f>
        <v>42710.64583</v>
      </c>
      <c r="B2938" s="9">
        <f>IFERROR(__xludf.DUMMYFUNCTION("""COMPUTED_VALUE"""),480.9)</f>
        <v>480.9</v>
      </c>
      <c r="C2938" s="9">
        <f>IFERROR(__xludf.DUMMYFUNCTION("""COMPUTED_VALUE"""),489.75)</f>
        <v>489.75</v>
      </c>
      <c r="D2938" s="9">
        <f>IFERROR(__xludf.DUMMYFUNCTION("""COMPUTED_VALUE"""),480.83)</f>
        <v>480.83</v>
      </c>
      <c r="E2938" s="9">
        <f>IFERROR(__xludf.DUMMYFUNCTION("""COMPUTED_VALUE"""),483.25)</f>
        <v>483.25</v>
      </c>
      <c r="F2938" s="9">
        <f>IFERROR(__xludf.DUMMYFUNCTION("""COMPUTED_VALUE"""),1781055.0)</f>
        <v>1781055</v>
      </c>
      <c r="H2938" s="27">
        <f>IFERROR(__xludf.DUMMYFUNCTION("""COMPUTED_VALUE"""),42710.64583333333)</f>
        <v>42710.64583</v>
      </c>
      <c r="I2938" s="25">
        <f>IFERROR(__xludf.DUMMYFUNCTION("""COMPUTED_VALUE"""),1095.0)</f>
        <v>1095</v>
      </c>
      <c r="J2938" s="25">
        <f>IFERROR(__xludf.DUMMYFUNCTION("""COMPUTED_VALUE"""),1101.97)</f>
        <v>1101.97</v>
      </c>
      <c r="K2938" s="25">
        <f>IFERROR(__xludf.DUMMYFUNCTION("""COMPUTED_VALUE"""),1084.95)</f>
        <v>1084.95</v>
      </c>
      <c r="L2938" s="25">
        <f>IFERROR(__xludf.DUMMYFUNCTION("""COMPUTED_VALUE"""),1091.18)</f>
        <v>1091.18</v>
      </c>
      <c r="M2938" s="25">
        <f>IFERROR(__xludf.DUMMYFUNCTION("""COMPUTED_VALUE"""),796722.0)</f>
        <v>796722</v>
      </c>
    </row>
    <row r="2939">
      <c r="A2939" s="26">
        <f>IFERROR(__xludf.DUMMYFUNCTION("""COMPUTED_VALUE"""),42711.64583333333)</f>
        <v>42711.64583</v>
      </c>
      <c r="B2939" s="9">
        <f>IFERROR(__xludf.DUMMYFUNCTION("""COMPUTED_VALUE"""),484.0)</f>
        <v>484</v>
      </c>
      <c r="C2939" s="9">
        <f>IFERROR(__xludf.DUMMYFUNCTION("""COMPUTED_VALUE"""),486.5)</f>
        <v>486.5</v>
      </c>
      <c r="D2939" s="9">
        <f>IFERROR(__xludf.DUMMYFUNCTION("""COMPUTED_VALUE"""),480.1)</f>
        <v>480.1</v>
      </c>
      <c r="E2939" s="9">
        <f>IFERROR(__xludf.DUMMYFUNCTION("""COMPUTED_VALUE"""),483.2)</f>
        <v>483.2</v>
      </c>
      <c r="F2939" s="9">
        <f>IFERROR(__xludf.DUMMYFUNCTION("""COMPUTED_VALUE"""),1692990.0)</f>
        <v>1692990</v>
      </c>
      <c r="H2939" s="27">
        <f>IFERROR(__xludf.DUMMYFUNCTION("""COMPUTED_VALUE"""),42711.64583333333)</f>
        <v>42711.64583</v>
      </c>
      <c r="I2939" s="25">
        <f>IFERROR(__xludf.DUMMYFUNCTION("""COMPUTED_VALUE"""),1091.1)</f>
        <v>1091.1</v>
      </c>
      <c r="J2939" s="25">
        <f>IFERROR(__xludf.DUMMYFUNCTION("""COMPUTED_VALUE"""),1092.22)</f>
        <v>1092.22</v>
      </c>
      <c r="K2939" s="25">
        <f>IFERROR(__xludf.DUMMYFUNCTION("""COMPUTED_VALUE"""),1072.83)</f>
        <v>1072.83</v>
      </c>
      <c r="L2939" s="25">
        <f>IFERROR(__xludf.DUMMYFUNCTION("""COMPUTED_VALUE"""),1077.28)</f>
        <v>1077.28</v>
      </c>
      <c r="M2939" s="25">
        <f>IFERROR(__xludf.DUMMYFUNCTION("""COMPUTED_VALUE"""),1032853.0)</f>
        <v>1032853</v>
      </c>
    </row>
    <row r="2940">
      <c r="A2940" s="26">
        <f>IFERROR(__xludf.DUMMYFUNCTION("""COMPUTED_VALUE"""),42712.64583333333)</f>
        <v>42712.64583</v>
      </c>
      <c r="B2940" s="9">
        <f>IFERROR(__xludf.DUMMYFUNCTION("""COMPUTED_VALUE"""),485.03)</f>
        <v>485.03</v>
      </c>
      <c r="C2940" s="9">
        <f>IFERROR(__xludf.DUMMYFUNCTION("""COMPUTED_VALUE"""),493.05)</f>
        <v>493.05</v>
      </c>
      <c r="D2940" s="9">
        <f>IFERROR(__xludf.DUMMYFUNCTION("""COMPUTED_VALUE"""),485.03)</f>
        <v>485.03</v>
      </c>
      <c r="E2940" s="9">
        <f>IFERROR(__xludf.DUMMYFUNCTION("""COMPUTED_VALUE"""),492.33)</f>
        <v>492.33</v>
      </c>
      <c r="F2940" s="9">
        <f>IFERROR(__xludf.DUMMYFUNCTION("""COMPUTED_VALUE"""),2970831.0)</f>
        <v>2970831</v>
      </c>
      <c r="H2940" s="27">
        <f>IFERROR(__xludf.DUMMYFUNCTION("""COMPUTED_VALUE"""),42712.64583333333)</f>
        <v>42712.64583</v>
      </c>
      <c r="I2940" s="25">
        <f>IFERROR(__xludf.DUMMYFUNCTION("""COMPUTED_VALUE"""),1080.25)</f>
        <v>1080.25</v>
      </c>
      <c r="J2940" s="25">
        <f>IFERROR(__xludf.DUMMYFUNCTION("""COMPUTED_VALUE"""),1099.5)</f>
        <v>1099.5</v>
      </c>
      <c r="K2940" s="25">
        <f>IFERROR(__xludf.DUMMYFUNCTION("""COMPUTED_VALUE"""),1080.0)</f>
        <v>1080</v>
      </c>
      <c r="L2940" s="25">
        <f>IFERROR(__xludf.DUMMYFUNCTION("""COMPUTED_VALUE"""),1097.88)</f>
        <v>1097.88</v>
      </c>
      <c r="M2940" s="25">
        <f>IFERROR(__xludf.DUMMYFUNCTION("""COMPUTED_VALUE"""),1619773.0)</f>
        <v>1619773</v>
      </c>
    </row>
    <row r="2941">
      <c r="A2941" s="26">
        <f>IFERROR(__xludf.DUMMYFUNCTION("""COMPUTED_VALUE"""),42713.64583333333)</f>
        <v>42713.64583</v>
      </c>
      <c r="B2941" s="9">
        <f>IFERROR(__xludf.DUMMYFUNCTION("""COMPUTED_VALUE"""),492.5)</f>
        <v>492.5</v>
      </c>
      <c r="C2941" s="9">
        <f>IFERROR(__xludf.DUMMYFUNCTION("""COMPUTED_VALUE"""),504.08)</f>
        <v>504.08</v>
      </c>
      <c r="D2941" s="9">
        <f>IFERROR(__xludf.DUMMYFUNCTION("""COMPUTED_VALUE"""),490.75)</f>
        <v>490.75</v>
      </c>
      <c r="E2941" s="9">
        <f>IFERROR(__xludf.DUMMYFUNCTION("""COMPUTED_VALUE"""),494.68)</f>
        <v>494.68</v>
      </c>
      <c r="F2941" s="9">
        <f>IFERROR(__xludf.DUMMYFUNCTION("""COMPUTED_VALUE"""),4324192.0)</f>
        <v>4324192</v>
      </c>
      <c r="H2941" s="27">
        <f>IFERROR(__xludf.DUMMYFUNCTION("""COMPUTED_VALUE"""),42713.64583333333)</f>
        <v>42713.64583</v>
      </c>
      <c r="I2941" s="25">
        <f>IFERROR(__xludf.DUMMYFUNCTION("""COMPUTED_VALUE"""),1102.5)</f>
        <v>1102.5</v>
      </c>
      <c r="J2941" s="25">
        <f>IFERROR(__xludf.DUMMYFUNCTION("""COMPUTED_VALUE"""),1109.95)</f>
        <v>1109.95</v>
      </c>
      <c r="K2941" s="25">
        <f>IFERROR(__xludf.DUMMYFUNCTION("""COMPUTED_VALUE"""),1086.65)</f>
        <v>1086.65</v>
      </c>
      <c r="L2941" s="25">
        <f>IFERROR(__xludf.DUMMYFUNCTION("""COMPUTED_VALUE"""),1097.63)</f>
        <v>1097.63</v>
      </c>
      <c r="M2941" s="25">
        <f>IFERROR(__xludf.DUMMYFUNCTION("""COMPUTED_VALUE"""),794359.0)</f>
        <v>794359</v>
      </c>
    </row>
    <row r="2942">
      <c r="A2942" s="26">
        <f>IFERROR(__xludf.DUMMYFUNCTION("""COMPUTED_VALUE"""),42716.64583333333)</f>
        <v>42716.64583</v>
      </c>
      <c r="B2942" s="9">
        <f>IFERROR(__xludf.DUMMYFUNCTION("""COMPUTED_VALUE"""),491.4)</f>
        <v>491.4</v>
      </c>
      <c r="C2942" s="9">
        <f>IFERROR(__xludf.DUMMYFUNCTION("""COMPUTED_VALUE"""),491.4)</f>
        <v>491.4</v>
      </c>
      <c r="D2942" s="9">
        <f>IFERROR(__xludf.DUMMYFUNCTION("""COMPUTED_VALUE"""),482.6)</f>
        <v>482.6</v>
      </c>
      <c r="E2942" s="9">
        <f>IFERROR(__xludf.DUMMYFUNCTION("""COMPUTED_VALUE"""),488.68)</f>
        <v>488.68</v>
      </c>
      <c r="F2942" s="9">
        <f>IFERROR(__xludf.DUMMYFUNCTION("""COMPUTED_VALUE"""),2672510.0)</f>
        <v>2672510</v>
      </c>
      <c r="H2942" s="27">
        <f>IFERROR(__xludf.DUMMYFUNCTION("""COMPUTED_VALUE"""),42716.64583333333)</f>
        <v>42716.64583</v>
      </c>
      <c r="I2942" s="25">
        <f>IFERROR(__xludf.DUMMYFUNCTION("""COMPUTED_VALUE"""),1097.4)</f>
        <v>1097.4</v>
      </c>
      <c r="J2942" s="25">
        <f>IFERROR(__xludf.DUMMYFUNCTION("""COMPUTED_VALUE"""),1108.8)</f>
        <v>1108.8</v>
      </c>
      <c r="K2942" s="25">
        <f>IFERROR(__xludf.DUMMYFUNCTION("""COMPUTED_VALUE"""),1081.5)</f>
        <v>1081.5</v>
      </c>
      <c r="L2942" s="25">
        <f>IFERROR(__xludf.DUMMYFUNCTION("""COMPUTED_VALUE"""),1104.1)</f>
        <v>1104.1</v>
      </c>
      <c r="M2942" s="25">
        <f>IFERROR(__xludf.DUMMYFUNCTION("""COMPUTED_VALUE"""),655879.0)</f>
        <v>655879</v>
      </c>
    </row>
    <row r="2943">
      <c r="A2943" s="26">
        <f>IFERROR(__xludf.DUMMYFUNCTION("""COMPUTED_VALUE"""),42717.64583333333)</f>
        <v>42717.64583</v>
      </c>
      <c r="B2943" s="9">
        <f>IFERROR(__xludf.DUMMYFUNCTION("""COMPUTED_VALUE"""),490.25)</f>
        <v>490.25</v>
      </c>
      <c r="C2943" s="9">
        <f>IFERROR(__xludf.DUMMYFUNCTION("""COMPUTED_VALUE"""),496.43)</f>
        <v>496.43</v>
      </c>
      <c r="D2943" s="9">
        <f>IFERROR(__xludf.DUMMYFUNCTION("""COMPUTED_VALUE"""),485.55)</f>
        <v>485.55</v>
      </c>
      <c r="E2943" s="9">
        <f>IFERROR(__xludf.DUMMYFUNCTION("""COMPUTED_VALUE"""),495.1)</f>
        <v>495.1</v>
      </c>
      <c r="F2943" s="9">
        <f>IFERROR(__xludf.DUMMYFUNCTION("""COMPUTED_VALUE"""),2427141.0)</f>
        <v>2427141</v>
      </c>
      <c r="H2943" s="27">
        <f>IFERROR(__xludf.DUMMYFUNCTION("""COMPUTED_VALUE"""),42717.64583333333)</f>
        <v>42717.64583</v>
      </c>
      <c r="I2943" s="25">
        <f>IFERROR(__xludf.DUMMYFUNCTION("""COMPUTED_VALUE"""),1109.0)</f>
        <v>1109</v>
      </c>
      <c r="J2943" s="25">
        <f>IFERROR(__xludf.DUMMYFUNCTION("""COMPUTED_VALUE"""),1109.0)</f>
        <v>1109</v>
      </c>
      <c r="K2943" s="25">
        <f>IFERROR(__xludf.DUMMYFUNCTION("""COMPUTED_VALUE"""),1091.5)</f>
        <v>1091.5</v>
      </c>
      <c r="L2943" s="25">
        <f>IFERROR(__xludf.DUMMYFUNCTION("""COMPUTED_VALUE"""),1100.15)</f>
        <v>1100.15</v>
      </c>
      <c r="M2943" s="25">
        <f>IFERROR(__xludf.DUMMYFUNCTION("""COMPUTED_VALUE"""),1073767.0)</f>
        <v>1073767</v>
      </c>
    </row>
    <row r="2944">
      <c r="A2944" s="26">
        <f>IFERROR(__xludf.DUMMYFUNCTION("""COMPUTED_VALUE"""),42718.64583333333)</f>
        <v>42718.64583</v>
      </c>
      <c r="B2944" s="9">
        <f>IFERROR(__xludf.DUMMYFUNCTION("""COMPUTED_VALUE"""),495.5)</f>
        <v>495.5</v>
      </c>
      <c r="C2944" s="9">
        <f>IFERROR(__xludf.DUMMYFUNCTION("""COMPUTED_VALUE"""),502.48)</f>
        <v>502.48</v>
      </c>
      <c r="D2944" s="9">
        <f>IFERROR(__xludf.DUMMYFUNCTION("""COMPUTED_VALUE"""),492.05)</f>
        <v>492.05</v>
      </c>
      <c r="E2944" s="9">
        <f>IFERROR(__xludf.DUMMYFUNCTION("""COMPUTED_VALUE"""),499.88)</f>
        <v>499.88</v>
      </c>
      <c r="F2944" s="9">
        <f>IFERROR(__xludf.DUMMYFUNCTION("""COMPUTED_VALUE"""),2691307.0)</f>
        <v>2691307</v>
      </c>
      <c r="H2944" s="27">
        <f>IFERROR(__xludf.DUMMYFUNCTION("""COMPUTED_VALUE"""),42718.64583333333)</f>
        <v>42718.64583</v>
      </c>
      <c r="I2944" s="25">
        <f>IFERROR(__xludf.DUMMYFUNCTION("""COMPUTED_VALUE"""),1107.0)</f>
        <v>1107</v>
      </c>
      <c r="J2944" s="25">
        <f>IFERROR(__xludf.DUMMYFUNCTION("""COMPUTED_VALUE"""),1112.35)</f>
        <v>1112.35</v>
      </c>
      <c r="K2944" s="25">
        <f>IFERROR(__xludf.DUMMYFUNCTION("""COMPUTED_VALUE"""),1094.5)</f>
        <v>1094.5</v>
      </c>
      <c r="L2944" s="25">
        <f>IFERROR(__xludf.DUMMYFUNCTION("""COMPUTED_VALUE"""),1103.8)</f>
        <v>1103.8</v>
      </c>
      <c r="M2944" s="25">
        <f>IFERROR(__xludf.DUMMYFUNCTION("""COMPUTED_VALUE"""),935183.0)</f>
        <v>935183</v>
      </c>
    </row>
    <row r="2945">
      <c r="A2945" s="26">
        <f>IFERROR(__xludf.DUMMYFUNCTION("""COMPUTED_VALUE"""),42719.64583333333)</f>
        <v>42719.64583</v>
      </c>
      <c r="B2945" s="9">
        <f>IFERROR(__xludf.DUMMYFUNCTION("""COMPUTED_VALUE"""),498.7)</f>
        <v>498.7</v>
      </c>
      <c r="C2945" s="9">
        <f>IFERROR(__xludf.DUMMYFUNCTION("""COMPUTED_VALUE"""),509.48)</f>
        <v>509.48</v>
      </c>
      <c r="D2945" s="9">
        <f>IFERROR(__xludf.DUMMYFUNCTION("""COMPUTED_VALUE"""),494.5)</f>
        <v>494.5</v>
      </c>
      <c r="E2945" s="9">
        <f>IFERROR(__xludf.DUMMYFUNCTION("""COMPUTED_VALUE"""),496.18)</f>
        <v>496.18</v>
      </c>
      <c r="F2945" s="9">
        <f>IFERROR(__xludf.DUMMYFUNCTION("""COMPUTED_VALUE"""),3983208.0)</f>
        <v>3983208</v>
      </c>
      <c r="H2945" s="27">
        <f>IFERROR(__xludf.DUMMYFUNCTION("""COMPUTED_VALUE"""),42719.64583333333)</f>
        <v>42719.64583</v>
      </c>
      <c r="I2945" s="25">
        <f>IFERROR(__xludf.DUMMYFUNCTION("""COMPUTED_VALUE"""),1101.0)</f>
        <v>1101</v>
      </c>
      <c r="J2945" s="25">
        <f>IFERROR(__xludf.DUMMYFUNCTION("""COMPUTED_VALUE"""),1136.05)</f>
        <v>1136.05</v>
      </c>
      <c r="K2945" s="25">
        <f>IFERROR(__xludf.DUMMYFUNCTION("""COMPUTED_VALUE"""),1101.0)</f>
        <v>1101</v>
      </c>
      <c r="L2945" s="25">
        <f>IFERROR(__xludf.DUMMYFUNCTION("""COMPUTED_VALUE"""),1129.65)</f>
        <v>1129.65</v>
      </c>
      <c r="M2945" s="25">
        <f>IFERROR(__xludf.DUMMYFUNCTION("""COMPUTED_VALUE"""),2147705.0)</f>
        <v>2147705</v>
      </c>
    </row>
    <row r="2946">
      <c r="A2946" s="26">
        <f>IFERROR(__xludf.DUMMYFUNCTION("""COMPUTED_VALUE"""),42720.64583333333)</f>
        <v>42720.64583</v>
      </c>
      <c r="B2946" s="9">
        <f>IFERROR(__xludf.DUMMYFUNCTION("""COMPUTED_VALUE"""),501.9)</f>
        <v>501.9</v>
      </c>
      <c r="C2946" s="9">
        <f>IFERROR(__xludf.DUMMYFUNCTION("""COMPUTED_VALUE"""),504.85)</f>
        <v>504.85</v>
      </c>
      <c r="D2946" s="9">
        <f>IFERROR(__xludf.DUMMYFUNCTION("""COMPUTED_VALUE"""),498.88)</f>
        <v>498.88</v>
      </c>
      <c r="E2946" s="9">
        <f>IFERROR(__xludf.DUMMYFUNCTION("""COMPUTED_VALUE"""),502.58)</f>
        <v>502.58</v>
      </c>
      <c r="F2946" s="9">
        <f>IFERROR(__xludf.DUMMYFUNCTION("""COMPUTED_VALUE"""),3218371.0)</f>
        <v>3218371</v>
      </c>
      <c r="H2946" s="27">
        <f>IFERROR(__xludf.DUMMYFUNCTION("""COMPUTED_VALUE"""),42720.64583333333)</f>
        <v>42720.64583</v>
      </c>
      <c r="I2946" s="25">
        <f>IFERROR(__xludf.DUMMYFUNCTION("""COMPUTED_VALUE"""),1138.5)</f>
        <v>1138.5</v>
      </c>
      <c r="J2946" s="25">
        <f>IFERROR(__xludf.DUMMYFUNCTION("""COMPUTED_VALUE"""),1145.0)</f>
        <v>1145</v>
      </c>
      <c r="K2946" s="25">
        <f>IFERROR(__xludf.DUMMYFUNCTION("""COMPUTED_VALUE"""),1126.0)</f>
        <v>1126</v>
      </c>
      <c r="L2946" s="25">
        <f>IFERROR(__xludf.DUMMYFUNCTION("""COMPUTED_VALUE"""),1141.33)</f>
        <v>1141.33</v>
      </c>
      <c r="M2946" s="25">
        <f>IFERROR(__xludf.DUMMYFUNCTION("""COMPUTED_VALUE"""),993615.0)</f>
        <v>993615</v>
      </c>
    </row>
    <row r="2947">
      <c r="A2947" s="26">
        <f>IFERROR(__xludf.DUMMYFUNCTION("""COMPUTED_VALUE"""),42723.64583333333)</f>
        <v>42723.64583</v>
      </c>
      <c r="B2947" s="9">
        <f>IFERROR(__xludf.DUMMYFUNCTION("""COMPUTED_VALUE"""),503.05)</f>
        <v>503.05</v>
      </c>
      <c r="C2947" s="9">
        <f>IFERROR(__xludf.DUMMYFUNCTION("""COMPUTED_VALUE"""),504.13)</f>
        <v>504.13</v>
      </c>
      <c r="D2947" s="9">
        <f>IFERROR(__xludf.DUMMYFUNCTION("""COMPUTED_VALUE"""),497.05)</f>
        <v>497.05</v>
      </c>
      <c r="E2947" s="9">
        <f>IFERROR(__xludf.DUMMYFUNCTION("""COMPUTED_VALUE"""),502.33)</f>
        <v>502.33</v>
      </c>
      <c r="F2947" s="9">
        <f>IFERROR(__xludf.DUMMYFUNCTION("""COMPUTED_VALUE"""),2062067.0)</f>
        <v>2062067</v>
      </c>
      <c r="H2947" s="27">
        <f>IFERROR(__xludf.DUMMYFUNCTION("""COMPUTED_VALUE"""),42723.64583333333)</f>
        <v>42723.64583</v>
      </c>
      <c r="I2947" s="25">
        <f>IFERROR(__xludf.DUMMYFUNCTION("""COMPUTED_VALUE"""),1140.0)</f>
        <v>1140</v>
      </c>
      <c r="J2947" s="25">
        <f>IFERROR(__xludf.DUMMYFUNCTION("""COMPUTED_VALUE"""),1148.85)</f>
        <v>1148.85</v>
      </c>
      <c r="K2947" s="25">
        <f>IFERROR(__xludf.DUMMYFUNCTION("""COMPUTED_VALUE"""),1130.65)</f>
        <v>1130.65</v>
      </c>
      <c r="L2947" s="25">
        <f>IFERROR(__xludf.DUMMYFUNCTION("""COMPUTED_VALUE"""),1144.45)</f>
        <v>1144.45</v>
      </c>
      <c r="M2947" s="25">
        <f>IFERROR(__xludf.DUMMYFUNCTION("""COMPUTED_VALUE"""),667105.0)</f>
        <v>667105</v>
      </c>
    </row>
    <row r="2948">
      <c r="A2948" s="26">
        <f>IFERROR(__xludf.DUMMYFUNCTION("""COMPUTED_VALUE"""),42724.64583333333)</f>
        <v>42724.64583</v>
      </c>
      <c r="B2948" s="9">
        <f>IFERROR(__xludf.DUMMYFUNCTION("""COMPUTED_VALUE"""),501.0)</f>
        <v>501</v>
      </c>
      <c r="C2948" s="9">
        <f>IFERROR(__xludf.DUMMYFUNCTION("""COMPUTED_VALUE"""),509.5)</f>
        <v>509.5</v>
      </c>
      <c r="D2948" s="9">
        <f>IFERROR(__xludf.DUMMYFUNCTION("""COMPUTED_VALUE"""),500.65)</f>
        <v>500.65</v>
      </c>
      <c r="E2948" s="9">
        <f>IFERROR(__xludf.DUMMYFUNCTION("""COMPUTED_VALUE"""),506.08)</f>
        <v>506.08</v>
      </c>
      <c r="F2948" s="9">
        <f>IFERROR(__xludf.DUMMYFUNCTION("""COMPUTED_VALUE"""),3818249.0)</f>
        <v>3818249</v>
      </c>
      <c r="H2948" s="27">
        <f>IFERROR(__xludf.DUMMYFUNCTION("""COMPUTED_VALUE"""),42724.64583333333)</f>
        <v>42724.64583</v>
      </c>
      <c r="I2948" s="25">
        <f>IFERROR(__xludf.DUMMYFUNCTION("""COMPUTED_VALUE"""),1146.0)</f>
        <v>1146</v>
      </c>
      <c r="J2948" s="25">
        <f>IFERROR(__xludf.DUMMYFUNCTION("""COMPUTED_VALUE"""),1172.5)</f>
        <v>1172.5</v>
      </c>
      <c r="K2948" s="25">
        <f>IFERROR(__xludf.DUMMYFUNCTION("""COMPUTED_VALUE"""),1143.53)</f>
        <v>1143.53</v>
      </c>
      <c r="L2948" s="25">
        <f>IFERROR(__xludf.DUMMYFUNCTION("""COMPUTED_VALUE"""),1169.65)</f>
        <v>1169.65</v>
      </c>
      <c r="M2948" s="25">
        <f>IFERROR(__xludf.DUMMYFUNCTION("""COMPUTED_VALUE"""),1461380.0)</f>
        <v>1461380</v>
      </c>
    </row>
    <row r="2949">
      <c r="A2949" s="26">
        <f>IFERROR(__xludf.DUMMYFUNCTION("""COMPUTED_VALUE"""),42725.64583333333)</f>
        <v>42725.64583</v>
      </c>
      <c r="B2949" s="9">
        <f>IFERROR(__xludf.DUMMYFUNCTION("""COMPUTED_VALUE"""),508.0)</f>
        <v>508</v>
      </c>
      <c r="C2949" s="9">
        <f>IFERROR(__xludf.DUMMYFUNCTION("""COMPUTED_VALUE"""),511.0)</f>
        <v>511</v>
      </c>
      <c r="D2949" s="9">
        <f>IFERROR(__xludf.DUMMYFUNCTION("""COMPUTED_VALUE"""),499.13)</f>
        <v>499.13</v>
      </c>
      <c r="E2949" s="9">
        <f>IFERROR(__xludf.DUMMYFUNCTION("""COMPUTED_VALUE"""),500.78)</f>
        <v>500.78</v>
      </c>
      <c r="F2949" s="9">
        <f>IFERROR(__xludf.DUMMYFUNCTION("""COMPUTED_VALUE"""),3671988.0)</f>
        <v>3671988</v>
      </c>
      <c r="H2949" s="27">
        <f>IFERROR(__xludf.DUMMYFUNCTION("""COMPUTED_VALUE"""),42725.64583333333)</f>
        <v>42725.64583</v>
      </c>
      <c r="I2949" s="25">
        <f>IFERROR(__xludf.DUMMYFUNCTION("""COMPUTED_VALUE"""),1171.9)</f>
        <v>1171.9</v>
      </c>
      <c r="J2949" s="25">
        <f>IFERROR(__xludf.DUMMYFUNCTION("""COMPUTED_VALUE"""),1171.9)</f>
        <v>1171.9</v>
      </c>
      <c r="K2949" s="25">
        <f>IFERROR(__xludf.DUMMYFUNCTION("""COMPUTED_VALUE"""),1152.8)</f>
        <v>1152.8</v>
      </c>
      <c r="L2949" s="25">
        <f>IFERROR(__xludf.DUMMYFUNCTION("""COMPUTED_VALUE"""),1156.8)</f>
        <v>1156.8</v>
      </c>
      <c r="M2949" s="25">
        <f>IFERROR(__xludf.DUMMYFUNCTION("""COMPUTED_VALUE"""),1017451.0)</f>
        <v>1017451</v>
      </c>
    </row>
    <row r="2950">
      <c r="A2950" s="26">
        <f>IFERROR(__xludf.DUMMYFUNCTION("""COMPUTED_VALUE"""),42726.64583333333)</f>
        <v>42726.64583</v>
      </c>
      <c r="B2950" s="9">
        <f>IFERROR(__xludf.DUMMYFUNCTION("""COMPUTED_VALUE"""),501.25)</f>
        <v>501.25</v>
      </c>
      <c r="C2950" s="9">
        <f>IFERROR(__xludf.DUMMYFUNCTION("""COMPUTED_VALUE"""),503.5)</f>
        <v>503.5</v>
      </c>
      <c r="D2950" s="9">
        <f>IFERROR(__xludf.DUMMYFUNCTION("""COMPUTED_VALUE"""),484.75)</f>
        <v>484.75</v>
      </c>
      <c r="E2950" s="9">
        <f>IFERROR(__xludf.DUMMYFUNCTION("""COMPUTED_VALUE"""),492.35)</f>
        <v>492.35</v>
      </c>
      <c r="F2950" s="9">
        <f>IFERROR(__xludf.DUMMYFUNCTION("""COMPUTED_VALUE"""),3530027.0)</f>
        <v>3530027</v>
      </c>
      <c r="H2950" s="27">
        <f>IFERROR(__xludf.DUMMYFUNCTION("""COMPUTED_VALUE"""),42726.64583333333)</f>
        <v>42726.64583</v>
      </c>
      <c r="I2950" s="25">
        <f>IFERROR(__xludf.DUMMYFUNCTION("""COMPUTED_VALUE"""),1153.0)</f>
        <v>1153</v>
      </c>
      <c r="J2950" s="25">
        <f>IFERROR(__xludf.DUMMYFUNCTION("""COMPUTED_VALUE"""),1162.5)</f>
        <v>1162.5</v>
      </c>
      <c r="K2950" s="25">
        <f>IFERROR(__xludf.DUMMYFUNCTION("""COMPUTED_VALUE"""),1143.1)</f>
        <v>1143.1</v>
      </c>
      <c r="L2950" s="25">
        <f>IFERROR(__xludf.DUMMYFUNCTION("""COMPUTED_VALUE"""),1153.85)</f>
        <v>1153.85</v>
      </c>
      <c r="M2950" s="25">
        <f>IFERROR(__xludf.DUMMYFUNCTION("""COMPUTED_VALUE"""),934150.0)</f>
        <v>934150</v>
      </c>
    </row>
    <row r="2951">
      <c r="A2951" s="26">
        <f>IFERROR(__xludf.DUMMYFUNCTION("""COMPUTED_VALUE"""),42727.64583333333)</f>
        <v>42727.64583</v>
      </c>
      <c r="B2951" s="9">
        <f>IFERROR(__xludf.DUMMYFUNCTION("""COMPUTED_VALUE"""),492.45)</f>
        <v>492.45</v>
      </c>
      <c r="C2951" s="9">
        <f>IFERROR(__xludf.DUMMYFUNCTION("""COMPUTED_VALUE"""),503.3)</f>
        <v>503.3</v>
      </c>
      <c r="D2951" s="9">
        <f>IFERROR(__xludf.DUMMYFUNCTION("""COMPUTED_VALUE"""),486.8)</f>
        <v>486.8</v>
      </c>
      <c r="E2951" s="9">
        <f>IFERROR(__xludf.DUMMYFUNCTION("""COMPUTED_VALUE"""),494.23)</f>
        <v>494.23</v>
      </c>
      <c r="F2951" s="9">
        <f>IFERROR(__xludf.DUMMYFUNCTION("""COMPUTED_VALUE"""),3653018.0)</f>
        <v>3653018</v>
      </c>
      <c r="H2951" s="27">
        <f>IFERROR(__xludf.DUMMYFUNCTION("""COMPUTED_VALUE"""),42727.64583333333)</f>
        <v>42727.64583</v>
      </c>
      <c r="I2951" s="25">
        <f>IFERROR(__xludf.DUMMYFUNCTION("""COMPUTED_VALUE"""),1150.0)</f>
        <v>1150</v>
      </c>
      <c r="J2951" s="25">
        <f>IFERROR(__xludf.DUMMYFUNCTION("""COMPUTED_VALUE"""),1158.88)</f>
        <v>1158.88</v>
      </c>
      <c r="K2951" s="25">
        <f>IFERROR(__xludf.DUMMYFUNCTION("""COMPUTED_VALUE"""),1139.4)</f>
        <v>1139.4</v>
      </c>
      <c r="L2951" s="25">
        <f>IFERROR(__xludf.DUMMYFUNCTION("""COMPUTED_VALUE"""),1144.05)</f>
        <v>1144.05</v>
      </c>
      <c r="M2951" s="25">
        <f>IFERROR(__xludf.DUMMYFUNCTION("""COMPUTED_VALUE"""),559477.0)</f>
        <v>559477</v>
      </c>
    </row>
    <row r="2952">
      <c r="A2952" s="26">
        <f>IFERROR(__xludf.DUMMYFUNCTION("""COMPUTED_VALUE"""),42730.64583333333)</f>
        <v>42730.64583</v>
      </c>
      <c r="B2952" s="9">
        <f>IFERROR(__xludf.DUMMYFUNCTION("""COMPUTED_VALUE"""),494.0)</f>
        <v>494</v>
      </c>
      <c r="C2952" s="9">
        <f>IFERROR(__xludf.DUMMYFUNCTION("""COMPUTED_VALUE"""),497.0)</f>
        <v>497</v>
      </c>
      <c r="D2952" s="9">
        <f>IFERROR(__xludf.DUMMYFUNCTION("""COMPUTED_VALUE"""),487.55)</f>
        <v>487.55</v>
      </c>
      <c r="E2952" s="9">
        <f>IFERROR(__xludf.DUMMYFUNCTION("""COMPUTED_VALUE"""),491.38)</f>
        <v>491.38</v>
      </c>
      <c r="F2952" s="9">
        <f>IFERROR(__xludf.DUMMYFUNCTION("""COMPUTED_VALUE"""),1606914.0)</f>
        <v>1606914</v>
      </c>
      <c r="H2952" s="27">
        <f>IFERROR(__xludf.DUMMYFUNCTION("""COMPUTED_VALUE"""),42730.64583333333)</f>
        <v>42730.64583</v>
      </c>
      <c r="I2952" s="25">
        <f>IFERROR(__xludf.DUMMYFUNCTION("""COMPUTED_VALUE"""),1133.0)</f>
        <v>1133</v>
      </c>
      <c r="J2952" s="25">
        <f>IFERROR(__xludf.DUMMYFUNCTION("""COMPUTED_VALUE"""),1150.8)</f>
        <v>1150.8</v>
      </c>
      <c r="K2952" s="25">
        <f>IFERROR(__xludf.DUMMYFUNCTION("""COMPUTED_VALUE"""),1133.0)</f>
        <v>1133</v>
      </c>
      <c r="L2952" s="25">
        <f>IFERROR(__xludf.DUMMYFUNCTION("""COMPUTED_VALUE"""),1146.55)</f>
        <v>1146.55</v>
      </c>
      <c r="M2952" s="25">
        <f>IFERROR(__xludf.DUMMYFUNCTION("""COMPUTED_VALUE"""),448704.0)</f>
        <v>448704</v>
      </c>
    </row>
    <row r="2953">
      <c r="A2953" s="26">
        <f>IFERROR(__xludf.DUMMYFUNCTION("""COMPUTED_VALUE"""),42731.64583333333)</f>
        <v>42731.64583</v>
      </c>
      <c r="B2953" s="9">
        <f>IFERROR(__xludf.DUMMYFUNCTION("""COMPUTED_VALUE"""),491.38)</f>
        <v>491.38</v>
      </c>
      <c r="C2953" s="9">
        <f>IFERROR(__xludf.DUMMYFUNCTION("""COMPUTED_VALUE"""),500.95)</f>
        <v>500.95</v>
      </c>
      <c r="D2953" s="9">
        <f>IFERROR(__xludf.DUMMYFUNCTION("""COMPUTED_VALUE"""),490.0)</f>
        <v>490</v>
      </c>
      <c r="E2953" s="9">
        <f>IFERROR(__xludf.DUMMYFUNCTION("""COMPUTED_VALUE"""),499.48)</f>
        <v>499.48</v>
      </c>
      <c r="F2953" s="9">
        <f>IFERROR(__xludf.DUMMYFUNCTION("""COMPUTED_VALUE"""),2456408.0)</f>
        <v>2456408</v>
      </c>
      <c r="H2953" s="27">
        <f>IFERROR(__xludf.DUMMYFUNCTION("""COMPUTED_VALUE"""),42731.64583333333)</f>
        <v>42731.64583</v>
      </c>
      <c r="I2953" s="25">
        <f>IFERROR(__xludf.DUMMYFUNCTION("""COMPUTED_VALUE"""),1140.75)</f>
        <v>1140.75</v>
      </c>
      <c r="J2953" s="25">
        <f>IFERROR(__xludf.DUMMYFUNCTION("""COMPUTED_VALUE"""),1165.0)</f>
        <v>1165</v>
      </c>
      <c r="K2953" s="25">
        <f>IFERROR(__xludf.DUMMYFUNCTION("""COMPUTED_VALUE"""),1140.75)</f>
        <v>1140.75</v>
      </c>
      <c r="L2953" s="25">
        <f>IFERROR(__xludf.DUMMYFUNCTION("""COMPUTED_VALUE"""),1161.7)</f>
        <v>1161.7</v>
      </c>
      <c r="M2953" s="25">
        <f>IFERROR(__xludf.DUMMYFUNCTION("""COMPUTED_VALUE"""),647346.0)</f>
        <v>647346</v>
      </c>
    </row>
    <row r="2954">
      <c r="A2954" s="26">
        <f>IFERROR(__xludf.DUMMYFUNCTION("""COMPUTED_VALUE"""),42732.64583333333)</f>
        <v>42732.64583</v>
      </c>
      <c r="B2954" s="9">
        <f>IFERROR(__xludf.DUMMYFUNCTION("""COMPUTED_VALUE"""),501.48)</f>
        <v>501.48</v>
      </c>
      <c r="C2954" s="9">
        <f>IFERROR(__xludf.DUMMYFUNCTION("""COMPUTED_VALUE"""),504.9)</f>
        <v>504.9</v>
      </c>
      <c r="D2954" s="9">
        <f>IFERROR(__xludf.DUMMYFUNCTION("""COMPUTED_VALUE"""),497.5)</f>
        <v>497.5</v>
      </c>
      <c r="E2954" s="9">
        <f>IFERROR(__xludf.DUMMYFUNCTION("""COMPUTED_VALUE"""),499.25)</f>
        <v>499.25</v>
      </c>
      <c r="F2954" s="9">
        <f>IFERROR(__xludf.DUMMYFUNCTION("""COMPUTED_VALUE"""),2738408.0)</f>
        <v>2738408</v>
      </c>
      <c r="H2954" s="27">
        <f>IFERROR(__xludf.DUMMYFUNCTION("""COMPUTED_VALUE"""),42732.64583333333)</f>
        <v>42732.64583</v>
      </c>
      <c r="I2954" s="25">
        <f>IFERROR(__xludf.DUMMYFUNCTION("""COMPUTED_VALUE"""),1163.35)</f>
        <v>1163.35</v>
      </c>
      <c r="J2954" s="25">
        <f>IFERROR(__xludf.DUMMYFUNCTION("""COMPUTED_VALUE"""),1174.95)</f>
        <v>1174.95</v>
      </c>
      <c r="K2954" s="25">
        <f>IFERROR(__xludf.DUMMYFUNCTION("""COMPUTED_VALUE"""),1151.58)</f>
        <v>1151.58</v>
      </c>
      <c r="L2954" s="25">
        <f>IFERROR(__xludf.DUMMYFUNCTION("""COMPUTED_VALUE"""),1156.7)</f>
        <v>1156.7</v>
      </c>
      <c r="M2954" s="25">
        <f>IFERROR(__xludf.DUMMYFUNCTION("""COMPUTED_VALUE"""),675209.0)</f>
        <v>675209</v>
      </c>
    </row>
    <row r="2955">
      <c r="A2955" s="26">
        <f>IFERROR(__xludf.DUMMYFUNCTION("""COMPUTED_VALUE"""),42733.64583333333)</f>
        <v>42733.64583</v>
      </c>
      <c r="B2955" s="9">
        <f>IFERROR(__xludf.DUMMYFUNCTION("""COMPUTED_VALUE"""),501.88)</f>
        <v>501.88</v>
      </c>
      <c r="C2955" s="9">
        <f>IFERROR(__xludf.DUMMYFUNCTION("""COMPUTED_VALUE"""),504.0)</f>
        <v>504</v>
      </c>
      <c r="D2955" s="9">
        <f>IFERROR(__xludf.DUMMYFUNCTION("""COMPUTED_VALUE"""),494.08)</f>
        <v>494.08</v>
      </c>
      <c r="E2955" s="9">
        <f>IFERROR(__xludf.DUMMYFUNCTION("""COMPUTED_VALUE"""),496.18)</f>
        <v>496.18</v>
      </c>
      <c r="F2955" s="9">
        <f>IFERROR(__xludf.DUMMYFUNCTION("""COMPUTED_VALUE"""),3120062.0)</f>
        <v>3120062</v>
      </c>
      <c r="H2955" s="27">
        <f>IFERROR(__xludf.DUMMYFUNCTION("""COMPUTED_VALUE"""),42733.64583333333)</f>
        <v>42733.64583</v>
      </c>
      <c r="I2955" s="25">
        <f>IFERROR(__xludf.DUMMYFUNCTION("""COMPUTED_VALUE"""),1151.5)</f>
        <v>1151.5</v>
      </c>
      <c r="J2955" s="25">
        <f>IFERROR(__xludf.DUMMYFUNCTION("""COMPUTED_VALUE"""),1179.95)</f>
        <v>1179.95</v>
      </c>
      <c r="K2955" s="25">
        <f>IFERROR(__xludf.DUMMYFUNCTION("""COMPUTED_VALUE"""),1151.5)</f>
        <v>1151.5</v>
      </c>
      <c r="L2955" s="25">
        <f>IFERROR(__xludf.DUMMYFUNCTION("""COMPUTED_VALUE"""),1175.85)</f>
        <v>1175.85</v>
      </c>
      <c r="M2955" s="25">
        <f>IFERROR(__xludf.DUMMYFUNCTION("""COMPUTED_VALUE"""),981758.0)</f>
        <v>981758</v>
      </c>
    </row>
    <row r="2956">
      <c r="A2956" s="26">
        <f>IFERROR(__xludf.DUMMYFUNCTION("""COMPUTED_VALUE"""),42734.64583333333)</f>
        <v>42734.64583</v>
      </c>
      <c r="B2956" s="9">
        <f>IFERROR(__xludf.DUMMYFUNCTION("""COMPUTED_VALUE"""),499.0)</f>
        <v>499</v>
      </c>
      <c r="C2956" s="9">
        <f>IFERROR(__xludf.DUMMYFUNCTION("""COMPUTED_VALUE"""),506.0)</f>
        <v>506</v>
      </c>
      <c r="D2956" s="9">
        <f>IFERROR(__xludf.DUMMYFUNCTION("""COMPUTED_VALUE"""),496.38)</f>
        <v>496.38</v>
      </c>
      <c r="E2956" s="9">
        <f>IFERROR(__xludf.DUMMYFUNCTION("""COMPUTED_VALUE"""),505.3)</f>
        <v>505.3</v>
      </c>
      <c r="F2956" s="9">
        <f>IFERROR(__xludf.DUMMYFUNCTION("""COMPUTED_VALUE"""),3633884.0)</f>
        <v>3633884</v>
      </c>
      <c r="H2956" s="27">
        <f>IFERROR(__xludf.DUMMYFUNCTION("""COMPUTED_VALUE"""),42734.64583333333)</f>
        <v>42734.64583</v>
      </c>
      <c r="I2956" s="25">
        <f>IFERROR(__xludf.DUMMYFUNCTION("""COMPUTED_VALUE"""),1177.45)</f>
        <v>1177.45</v>
      </c>
      <c r="J2956" s="25">
        <f>IFERROR(__xludf.DUMMYFUNCTION("""COMPUTED_VALUE"""),1189.3)</f>
        <v>1189.3</v>
      </c>
      <c r="K2956" s="25">
        <f>IFERROR(__xludf.DUMMYFUNCTION("""COMPUTED_VALUE"""),1172.83)</f>
        <v>1172.83</v>
      </c>
      <c r="L2956" s="25">
        <f>IFERROR(__xludf.DUMMYFUNCTION("""COMPUTED_VALUE"""),1182.78)</f>
        <v>1182.78</v>
      </c>
      <c r="M2956" s="25">
        <f>IFERROR(__xludf.DUMMYFUNCTION("""COMPUTED_VALUE"""),702874.0)</f>
        <v>702874</v>
      </c>
    </row>
    <row r="2957">
      <c r="A2957" s="26">
        <f>IFERROR(__xludf.DUMMYFUNCTION("""COMPUTED_VALUE"""),42737.64583333333)</f>
        <v>42737.64583</v>
      </c>
      <c r="B2957" s="9">
        <f>IFERROR(__xludf.DUMMYFUNCTION("""COMPUTED_VALUE"""),505.55)</f>
        <v>505.55</v>
      </c>
      <c r="C2957" s="9">
        <f>IFERROR(__xludf.DUMMYFUNCTION("""COMPUTED_VALUE"""),506.48)</f>
        <v>506.48</v>
      </c>
      <c r="D2957" s="9">
        <f>IFERROR(__xludf.DUMMYFUNCTION("""COMPUTED_VALUE"""),499.68)</f>
        <v>499.68</v>
      </c>
      <c r="E2957" s="9">
        <f>IFERROR(__xludf.DUMMYFUNCTION("""COMPUTED_VALUE"""),500.55)</f>
        <v>500.55</v>
      </c>
      <c r="F2957" s="9">
        <f>IFERROR(__xludf.DUMMYFUNCTION("""COMPUTED_VALUE"""),1167611.0)</f>
        <v>1167611</v>
      </c>
      <c r="H2957" s="27">
        <f>IFERROR(__xludf.DUMMYFUNCTION("""COMPUTED_VALUE"""),42737.64583333333)</f>
        <v>42737.64583</v>
      </c>
      <c r="I2957" s="25">
        <f>IFERROR(__xludf.DUMMYFUNCTION("""COMPUTED_VALUE"""),1183.3)</f>
        <v>1183.3</v>
      </c>
      <c r="J2957" s="25">
        <f>IFERROR(__xludf.DUMMYFUNCTION("""COMPUTED_VALUE"""),1187.55)</f>
        <v>1187.55</v>
      </c>
      <c r="K2957" s="25">
        <f>IFERROR(__xludf.DUMMYFUNCTION("""COMPUTED_VALUE"""),1176.2)</f>
        <v>1176.2</v>
      </c>
      <c r="L2957" s="25">
        <f>IFERROR(__xludf.DUMMYFUNCTION("""COMPUTED_VALUE"""),1180.68)</f>
        <v>1180.68</v>
      </c>
      <c r="M2957" s="25">
        <f>IFERROR(__xludf.DUMMYFUNCTION("""COMPUTED_VALUE"""),411566.0)</f>
        <v>411566</v>
      </c>
    </row>
    <row r="2958">
      <c r="A2958" s="26">
        <f>IFERROR(__xludf.DUMMYFUNCTION("""COMPUTED_VALUE"""),42738.64583333333)</f>
        <v>42738.64583</v>
      </c>
      <c r="B2958" s="9">
        <f>IFERROR(__xludf.DUMMYFUNCTION("""COMPUTED_VALUE"""),502.05)</f>
        <v>502.05</v>
      </c>
      <c r="C2958" s="9">
        <f>IFERROR(__xludf.DUMMYFUNCTION("""COMPUTED_VALUE"""),502.45)</f>
        <v>502.45</v>
      </c>
      <c r="D2958" s="9">
        <f>IFERROR(__xludf.DUMMYFUNCTION("""COMPUTED_VALUE"""),491.0)</f>
        <v>491</v>
      </c>
      <c r="E2958" s="9">
        <f>IFERROR(__xludf.DUMMYFUNCTION("""COMPUTED_VALUE"""),496.93)</f>
        <v>496.93</v>
      </c>
      <c r="F2958" s="9">
        <f>IFERROR(__xludf.DUMMYFUNCTION("""COMPUTED_VALUE"""),3389241.0)</f>
        <v>3389241</v>
      </c>
      <c r="H2958" s="27">
        <f>IFERROR(__xludf.DUMMYFUNCTION("""COMPUTED_VALUE"""),42738.64583333333)</f>
        <v>42738.64583</v>
      </c>
      <c r="I2958" s="25">
        <f>IFERROR(__xludf.DUMMYFUNCTION("""COMPUTED_VALUE"""),1180.63)</f>
        <v>1180.63</v>
      </c>
      <c r="J2958" s="25">
        <f>IFERROR(__xludf.DUMMYFUNCTION("""COMPUTED_VALUE"""),1185.85)</f>
        <v>1185.85</v>
      </c>
      <c r="K2958" s="25">
        <f>IFERROR(__xludf.DUMMYFUNCTION("""COMPUTED_VALUE"""),1171.65)</f>
        <v>1171.65</v>
      </c>
      <c r="L2958" s="25">
        <f>IFERROR(__xludf.DUMMYFUNCTION("""COMPUTED_VALUE"""),1184.13)</f>
        <v>1184.13</v>
      </c>
      <c r="M2958" s="25">
        <f>IFERROR(__xludf.DUMMYFUNCTION("""COMPUTED_VALUE"""),737662.0)</f>
        <v>737662</v>
      </c>
    </row>
    <row r="2959">
      <c r="A2959" s="26">
        <f>IFERROR(__xludf.DUMMYFUNCTION("""COMPUTED_VALUE"""),42739.64583333333)</f>
        <v>42739.64583</v>
      </c>
      <c r="B2959" s="9">
        <f>IFERROR(__xludf.DUMMYFUNCTION("""COMPUTED_VALUE"""),497.53)</f>
        <v>497.53</v>
      </c>
      <c r="C2959" s="9">
        <f>IFERROR(__xludf.DUMMYFUNCTION("""COMPUTED_VALUE"""),502.1)</f>
        <v>502.1</v>
      </c>
      <c r="D2959" s="9">
        <f>IFERROR(__xludf.DUMMYFUNCTION("""COMPUTED_VALUE"""),496.13)</f>
        <v>496.13</v>
      </c>
      <c r="E2959" s="9">
        <f>IFERROR(__xludf.DUMMYFUNCTION("""COMPUTED_VALUE"""),498.88)</f>
        <v>498.88</v>
      </c>
      <c r="F2959" s="9">
        <f>IFERROR(__xludf.DUMMYFUNCTION("""COMPUTED_VALUE"""),3536793.0)</f>
        <v>3536793</v>
      </c>
      <c r="H2959" s="27">
        <f>IFERROR(__xludf.DUMMYFUNCTION("""COMPUTED_VALUE"""),42739.64583333333)</f>
        <v>42739.64583</v>
      </c>
      <c r="I2959" s="25">
        <f>IFERROR(__xludf.DUMMYFUNCTION("""COMPUTED_VALUE"""),1184.85)</f>
        <v>1184.85</v>
      </c>
      <c r="J2959" s="25">
        <f>IFERROR(__xludf.DUMMYFUNCTION("""COMPUTED_VALUE"""),1194.43)</f>
        <v>1194.43</v>
      </c>
      <c r="K2959" s="25">
        <f>IFERROR(__xludf.DUMMYFUNCTION("""COMPUTED_VALUE"""),1179.15)</f>
        <v>1179.15</v>
      </c>
      <c r="L2959" s="25">
        <f>IFERROR(__xludf.DUMMYFUNCTION("""COMPUTED_VALUE"""),1189.75)</f>
        <v>1189.75</v>
      </c>
      <c r="M2959" s="25">
        <f>IFERROR(__xludf.DUMMYFUNCTION("""COMPUTED_VALUE"""),710033.0)</f>
        <v>710033</v>
      </c>
    </row>
    <row r="2960">
      <c r="A2960" s="26">
        <f>IFERROR(__xludf.DUMMYFUNCTION("""COMPUTED_VALUE"""),42740.64583333333)</f>
        <v>42740.64583</v>
      </c>
      <c r="B2960" s="9">
        <f>IFERROR(__xludf.DUMMYFUNCTION("""COMPUTED_VALUE"""),500.8)</f>
        <v>500.8</v>
      </c>
      <c r="C2960" s="9">
        <f>IFERROR(__xludf.DUMMYFUNCTION("""COMPUTED_VALUE"""),504.75)</f>
        <v>504.75</v>
      </c>
      <c r="D2960" s="9">
        <f>IFERROR(__xludf.DUMMYFUNCTION("""COMPUTED_VALUE"""),494.38)</f>
        <v>494.38</v>
      </c>
      <c r="E2960" s="9">
        <f>IFERROR(__xludf.DUMMYFUNCTION("""COMPUTED_VALUE"""),498.08)</f>
        <v>498.08</v>
      </c>
      <c r="F2960" s="9">
        <f>IFERROR(__xludf.DUMMYFUNCTION("""COMPUTED_VALUE"""),4103537.0)</f>
        <v>4103537</v>
      </c>
      <c r="H2960" s="27">
        <f>IFERROR(__xludf.DUMMYFUNCTION("""COMPUTED_VALUE"""),42740.64583333333)</f>
        <v>42740.64583</v>
      </c>
      <c r="I2960" s="25">
        <f>IFERROR(__xludf.DUMMYFUNCTION("""COMPUTED_VALUE"""),1192.0)</f>
        <v>1192</v>
      </c>
      <c r="J2960" s="25">
        <f>IFERROR(__xludf.DUMMYFUNCTION("""COMPUTED_VALUE"""),1194.97)</f>
        <v>1194.97</v>
      </c>
      <c r="K2960" s="25">
        <f>IFERROR(__xludf.DUMMYFUNCTION("""COMPUTED_VALUE"""),1160.2)</f>
        <v>1160.2</v>
      </c>
      <c r="L2960" s="25">
        <f>IFERROR(__xludf.DUMMYFUNCTION("""COMPUTED_VALUE"""),1167.2)</f>
        <v>1167.2</v>
      </c>
      <c r="M2960" s="25">
        <f>IFERROR(__xludf.DUMMYFUNCTION("""COMPUTED_VALUE"""),1108202.0)</f>
        <v>1108202</v>
      </c>
    </row>
    <row r="2961">
      <c r="A2961" s="26">
        <f>IFERROR(__xludf.DUMMYFUNCTION("""COMPUTED_VALUE"""),42741.64583333333)</f>
        <v>42741.64583</v>
      </c>
      <c r="B2961" s="9">
        <f>IFERROR(__xludf.DUMMYFUNCTION("""COMPUTED_VALUE"""),497.45)</f>
        <v>497.45</v>
      </c>
      <c r="C2961" s="9">
        <f>IFERROR(__xludf.DUMMYFUNCTION("""COMPUTED_VALUE"""),499.43)</f>
        <v>499.43</v>
      </c>
      <c r="D2961" s="9">
        <f>IFERROR(__xludf.DUMMYFUNCTION("""COMPUTED_VALUE"""),484.03)</f>
        <v>484.03</v>
      </c>
      <c r="E2961" s="9">
        <f>IFERROR(__xludf.DUMMYFUNCTION("""COMPUTED_VALUE"""),486.13)</f>
        <v>486.13</v>
      </c>
      <c r="F2961" s="9">
        <f>IFERROR(__xludf.DUMMYFUNCTION("""COMPUTED_VALUE"""),7196724.0)</f>
        <v>7196724</v>
      </c>
      <c r="H2961" s="27">
        <f>IFERROR(__xludf.DUMMYFUNCTION("""COMPUTED_VALUE"""),42741.64583333333)</f>
        <v>42741.64583</v>
      </c>
      <c r="I2961" s="25">
        <f>IFERROR(__xludf.DUMMYFUNCTION("""COMPUTED_VALUE"""),1160.5)</f>
        <v>1160.5</v>
      </c>
      <c r="J2961" s="25">
        <f>IFERROR(__xludf.DUMMYFUNCTION("""COMPUTED_VALUE"""),1164.68)</f>
        <v>1164.68</v>
      </c>
      <c r="K2961" s="25">
        <f>IFERROR(__xludf.DUMMYFUNCTION("""COMPUTED_VALUE"""),1128.55)</f>
        <v>1128.55</v>
      </c>
      <c r="L2961" s="25">
        <f>IFERROR(__xludf.DUMMYFUNCTION("""COMPUTED_VALUE"""),1140.7)</f>
        <v>1140.7</v>
      </c>
      <c r="M2961" s="25">
        <f>IFERROR(__xludf.DUMMYFUNCTION("""COMPUTED_VALUE"""),1504948.0)</f>
        <v>1504948</v>
      </c>
    </row>
    <row r="2962">
      <c r="A2962" s="26">
        <f>IFERROR(__xludf.DUMMYFUNCTION("""COMPUTED_VALUE"""),42744.64583333333)</f>
        <v>42744.64583</v>
      </c>
      <c r="B2962" s="9">
        <f>IFERROR(__xludf.DUMMYFUNCTION("""COMPUTED_VALUE"""),486.13)</f>
        <v>486.13</v>
      </c>
      <c r="C2962" s="9">
        <f>IFERROR(__xludf.DUMMYFUNCTION("""COMPUTED_VALUE"""),488.48)</f>
        <v>488.48</v>
      </c>
      <c r="D2962" s="9">
        <f>IFERROR(__xludf.DUMMYFUNCTION("""COMPUTED_VALUE"""),482.5)</f>
        <v>482.5</v>
      </c>
      <c r="E2962" s="9">
        <f>IFERROR(__xludf.DUMMYFUNCTION("""COMPUTED_VALUE"""),485.18)</f>
        <v>485.18</v>
      </c>
      <c r="F2962" s="9">
        <f>IFERROR(__xludf.DUMMYFUNCTION("""COMPUTED_VALUE"""),5272846.0)</f>
        <v>5272846</v>
      </c>
      <c r="H2962" s="27">
        <f>IFERROR(__xludf.DUMMYFUNCTION("""COMPUTED_VALUE"""),42744.64583333333)</f>
        <v>42744.64583</v>
      </c>
      <c r="I2962" s="25">
        <f>IFERROR(__xludf.DUMMYFUNCTION("""COMPUTED_VALUE"""),1137.5)</f>
        <v>1137.5</v>
      </c>
      <c r="J2962" s="25">
        <f>IFERROR(__xludf.DUMMYFUNCTION("""COMPUTED_VALUE"""),1155.65)</f>
        <v>1155.65</v>
      </c>
      <c r="K2962" s="25">
        <f>IFERROR(__xludf.DUMMYFUNCTION("""COMPUTED_VALUE"""),1128.5)</f>
        <v>1128.5</v>
      </c>
      <c r="L2962" s="25">
        <f>IFERROR(__xludf.DUMMYFUNCTION("""COMPUTED_VALUE"""),1151.85)</f>
        <v>1151.85</v>
      </c>
      <c r="M2962" s="25">
        <f>IFERROR(__xludf.DUMMYFUNCTION("""COMPUTED_VALUE"""),927289.0)</f>
        <v>927289</v>
      </c>
    </row>
    <row r="2963">
      <c r="A2963" s="26">
        <f>IFERROR(__xludf.DUMMYFUNCTION("""COMPUTED_VALUE"""),42745.64583333333)</f>
        <v>42745.64583</v>
      </c>
      <c r="B2963" s="9">
        <f>IFERROR(__xludf.DUMMYFUNCTION("""COMPUTED_VALUE"""),488.5)</f>
        <v>488.5</v>
      </c>
      <c r="C2963" s="9">
        <f>IFERROR(__xludf.DUMMYFUNCTION("""COMPUTED_VALUE"""),490.5)</f>
        <v>490.5</v>
      </c>
      <c r="D2963" s="9">
        <f>IFERROR(__xludf.DUMMYFUNCTION("""COMPUTED_VALUE"""),483.98)</f>
        <v>483.98</v>
      </c>
      <c r="E2963" s="9">
        <f>IFERROR(__xludf.DUMMYFUNCTION("""COMPUTED_VALUE"""),485.28)</f>
        <v>485.28</v>
      </c>
      <c r="F2963" s="9">
        <f>IFERROR(__xludf.DUMMYFUNCTION("""COMPUTED_VALUE"""),5969927.0)</f>
        <v>5969927</v>
      </c>
      <c r="H2963" s="27">
        <f>IFERROR(__xludf.DUMMYFUNCTION("""COMPUTED_VALUE"""),42745.64583333333)</f>
        <v>42745.64583</v>
      </c>
      <c r="I2963" s="25">
        <f>IFERROR(__xludf.DUMMYFUNCTION("""COMPUTED_VALUE"""),1152.0)</f>
        <v>1152</v>
      </c>
      <c r="J2963" s="25">
        <f>IFERROR(__xludf.DUMMYFUNCTION("""COMPUTED_VALUE"""),1164.9)</f>
        <v>1164.9</v>
      </c>
      <c r="K2963" s="25">
        <f>IFERROR(__xludf.DUMMYFUNCTION("""COMPUTED_VALUE"""),1145.75)</f>
        <v>1145.75</v>
      </c>
      <c r="L2963" s="25">
        <f>IFERROR(__xludf.DUMMYFUNCTION("""COMPUTED_VALUE"""),1157.68)</f>
        <v>1157.68</v>
      </c>
      <c r="M2963" s="25">
        <f>IFERROR(__xludf.DUMMYFUNCTION("""COMPUTED_VALUE"""),766957.0)</f>
        <v>766957</v>
      </c>
    </row>
    <row r="2964">
      <c r="A2964" s="26">
        <f>IFERROR(__xludf.DUMMYFUNCTION("""COMPUTED_VALUE"""),42746.64583333333)</f>
        <v>42746.64583</v>
      </c>
      <c r="B2964" s="9">
        <f>IFERROR(__xludf.DUMMYFUNCTION("""COMPUTED_VALUE"""),487.1)</f>
        <v>487.1</v>
      </c>
      <c r="C2964" s="9">
        <f>IFERROR(__xludf.DUMMYFUNCTION("""COMPUTED_VALUE"""),489.23)</f>
        <v>489.23</v>
      </c>
      <c r="D2964" s="9">
        <f>IFERROR(__xludf.DUMMYFUNCTION("""COMPUTED_VALUE"""),481.98)</f>
        <v>481.98</v>
      </c>
      <c r="E2964" s="9">
        <f>IFERROR(__xludf.DUMMYFUNCTION("""COMPUTED_VALUE"""),484.7)</f>
        <v>484.7</v>
      </c>
      <c r="F2964" s="9">
        <f>IFERROR(__xludf.DUMMYFUNCTION("""COMPUTED_VALUE"""),6120787.0)</f>
        <v>6120787</v>
      </c>
      <c r="H2964" s="27">
        <f>IFERROR(__xludf.DUMMYFUNCTION("""COMPUTED_VALUE"""),42746.64583333333)</f>
        <v>42746.64583</v>
      </c>
      <c r="I2964" s="25">
        <f>IFERROR(__xludf.DUMMYFUNCTION("""COMPUTED_VALUE"""),1157.5)</f>
        <v>1157.5</v>
      </c>
      <c r="J2964" s="25">
        <f>IFERROR(__xludf.DUMMYFUNCTION("""COMPUTED_VALUE"""),1164.8)</f>
        <v>1164.8</v>
      </c>
      <c r="K2964" s="25">
        <f>IFERROR(__xludf.DUMMYFUNCTION("""COMPUTED_VALUE"""),1140.1)</f>
        <v>1140.1</v>
      </c>
      <c r="L2964" s="25">
        <f>IFERROR(__xludf.DUMMYFUNCTION("""COMPUTED_VALUE"""),1162.5)</f>
        <v>1162.5</v>
      </c>
      <c r="M2964" s="25">
        <f>IFERROR(__xludf.DUMMYFUNCTION("""COMPUTED_VALUE"""),965648.0)</f>
        <v>965648</v>
      </c>
    </row>
    <row r="2965">
      <c r="A2965" s="26">
        <f>IFERROR(__xludf.DUMMYFUNCTION("""COMPUTED_VALUE"""),42747.64583333333)</f>
        <v>42747.64583</v>
      </c>
      <c r="B2965" s="9">
        <f>IFERROR(__xludf.DUMMYFUNCTION("""COMPUTED_VALUE"""),488.78)</f>
        <v>488.78</v>
      </c>
      <c r="C2965" s="9">
        <f>IFERROR(__xludf.DUMMYFUNCTION("""COMPUTED_VALUE"""),502.2)</f>
        <v>502.2</v>
      </c>
      <c r="D2965" s="9">
        <f>IFERROR(__xludf.DUMMYFUNCTION("""COMPUTED_VALUE"""),488.78)</f>
        <v>488.78</v>
      </c>
      <c r="E2965" s="9">
        <f>IFERROR(__xludf.DUMMYFUNCTION("""COMPUTED_VALUE"""),500.03)</f>
        <v>500.03</v>
      </c>
      <c r="F2965" s="9">
        <f>IFERROR(__xludf.DUMMYFUNCTION("""COMPUTED_VALUE"""),5927870.0)</f>
        <v>5927870</v>
      </c>
      <c r="H2965" s="27">
        <f>IFERROR(__xludf.DUMMYFUNCTION("""COMPUTED_VALUE"""),42747.64583333333)</f>
        <v>42747.64583</v>
      </c>
      <c r="I2965" s="25">
        <f>IFERROR(__xludf.DUMMYFUNCTION("""COMPUTED_VALUE"""),1162.2)</f>
        <v>1162.2</v>
      </c>
      <c r="J2965" s="25">
        <f>IFERROR(__xludf.DUMMYFUNCTION("""COMPUTED_VALUE"""),1180.0)</f>
        <v>1180</v>
      </c>
      <c r="K2965" s="25">
        <f>IFERROR(__xludf.DUMMYFUNCTION("""COMPUTED_VALUE"""),1152.0)</f>
        <v>1152</v>
      </c>
      <c r="L2965" s="25">
        <f>IFERROR(__xludf.DUMMYFUNCTION("""COMPUTED_VALUE"""),1172.18)</f>
        <v>1172.18</v>
      </c>
      <c r="M2965" s="25">
        <f>IFERROR(__xludf.DUMMYFUNCTION("""COMPUTED_VALUE"""),1285187.0)</f>
        <v>1285187</v>
      </c>
    </row>
    <row r="2966">
      <c r="A2966" s="26">
        <f>IFERROR(__xludf.DUMMYFUNCTION("""COMPUTED_VALUE"""),42748.64583333333)</f>
        <v>42748.64583</v>
      </c>
      <c r="B2966" s="9">
        <f>IFERROR(__xludf.DUMMYFUNCTION("""COMPUTED_VALUE"""),515.0)</f>
        <v>515</v>
      </c>
      <c r="C2966" s="9">
        <f>IFERROR(__xludf.DUMMYFUNCTION("""COMPUTED_VALUE"""),520.0)</f>
        <v>520</v>
      </c>
      <c r="D2966" s="9">
        <f>IFERROR(__xludf.DUMMYFUNCTION("""COMPUTED_VALUE"""),481.35)</f>
        <v>481.35</v>
      </c>
      <c r="E2966" s="9">
        <f>IFERROR(__xludf.DUMMYFUNCTION("""COMPUTED_VALUE"""),487.9)</f>
        <v>487.9</v>
      </c>
      <c r="F2966" s="9">
        <f>IFERROR(__xludf.DUMMYFUNCTION("""COMPUTED_VALUE"""),1.5638123E7)</f>
        <v>15638123</v>
      </c>
      <c r="H2966" s="27">
        <f>IFERROR(__xludf.DUMMYFUNCTION("""COMPUTED_VALUE"""),42748.64583333333)</f>
        <v>42748.64583</v>
      </c>
      <c r="I2966" s="25">
        <f>IFERROR(__xludf.DUMMYFUNCTION("""COMPUTED_VALUE"""),1174.0)</f>
        <v>1174</v>
      </c>
      <c r="J2966" s="25">
        <f>IFERROR(__xludf.DUMMYFUNCTION("""COMPUTED_VALUE"""),1178.97)</f>
        <v>1178.97</v>
      </c>
      <c r="K2966" s="25">
        <f>IFERROR(__xludf.DUMMYFUNCTION("""COMPUTED_VALUE"""),1118.93)</f>
        <v>1118.93</v>
      </c>
      <c r="L2966" s="25">
        <f>IFERROR(__xludf.DUMMYFUNCTION("""COMPUTED_VALUE"""),1124.65)</f>
        <v>1124.65</v>
      </c>
      <c r="M2966" s="25">
        <f>IFERROR(__xludf.DUMMYFUNCTION("""COMPUTED_VALUE"""),5117790.0)</f>
        <v>5117790</v>
      </c>
    </row>
    <row r="2967">
      <c r="A2967" s="26">
        <f>IFERROR(__xludf.DUMMYFUNCTION("""COMPUTED_VALUE"""),42751.64583333333)</f>
        <v>42751.64583</v>
      </c>
      <c r="B2967" s="9">
        <f>IFERROR(__xludf.DUMMYFUNCTION("""COMPUTED_VALUE"""),482.5)</f>
        <v>482.5</v>
      </c>
      <c r="C2967" s="9">
        <f>IFERROR(__xludf.DUMMYFUNCTION("""COMPUTED_VALUE"""),482.73)</f>
        <v>482.73</v>
      </c>
      <c r="D2967" s="9">
        <f>IFERROR(__xludf.DUMMYFUNCTION("""COMPUTED_VALUE"""),476.23)</f>
        <v>476.23</v>
      </c>
      <c r="E2967" s="9">
        <f>IFERROR(__xludf.DUMMYFUNCTION("""COMPUTED_VALUE"""),477.83)</f>
        <v>477.83</v>
      </c>
      <c r="F2967" s="9">
        <f>IFERROR(__xludf.DUMMYFUNCTION("""COMPUTED_VALUE"""),6175686.0)</f>
        <v>6175686</v>
      </c>
      <c r="H2967" s="27">
        <f>IFERROR(__xludf.DUMMYFUNCTION("""COMPUTED_VALUE"""),42751.64583333333)</f>
        <v>42751.64583</v>
      </c>
      <c r="I2967" s="25">
        <f>IFERROR(__xludf.DUMMYFUNCTION("""COMPUTED_VALUE"""),1125.0)</f>
        <v>1125</v>
      </c>
      <c r="J2967" s="25">
        <f>IFERROR(__xludf.DUMMYFUNCTION("""COMPUTED_VALUE"""),1136.95)</f>
        <v>1136.95</v>
      </c>
      <c r="K2967" s="25">
        <f>IFERROR(__xludf.DUMMYFUNCTION("""COMPUTED_VALUE"""),1114.0)</f>
        <v>1114</v>
      </c>
      <c r="L2967" s="25">
        <f>IFERROR(__xludf.DUMMYFUNCTION("""COMPUTED_VALUE"""),1129.28)</f>
        <v>1129.28</v>
      </c>
      <c r="M2967" s="25">
        <f>IFERROR(__xludf.DUMMYFUNCTION("""COMPUTED_VALUE"""),1682404.0)</f>
        <v>1682404</v>
      </c>
    </row>
    <row r="2968">
      <c r="A2968" s="26">
        <f>IFERROR(__xludf.DUMMYFUNCTION("""COMPUTED_VALUE"""),42752.64583333333)</f>
        <v>42752.64583</v>
      </c>
      <c r="B2968" s="9">
        <f>IFERROR(__xludf.DUMMYFUNCTION("""COMPUTED_VALUE"""),478.13)</f>
        <v>478.13</v>
      </c>
      <c r="C2968" s="9">
        <f>IFERROR(__xludf.DUMMYFUNCTION("""COMPUTED_VALUE"""),482.0)</f>
        <v>482</v>
      </c>
      <c r="D2968" s="9">
        <f>IFERROR(__xludf.DUMMYFUNCTION("""COMPUTED_VALUE"""),476.2)</f>
        <v>476.2</v>
      </c>
      <c r="E2968" s="9">
        <f>IFERROR(__xludf.DUMMYFUNCTION("""COMPUTED_VALUE"""),477.7)</f>
        <v>477.7</v>
      </c>
      <c r="F2968" s="9">
        <f>IFERROR(__xludf.DUMMYFUNCTION("""COMPUTED_VALUE"""),2780047.0)</f>
        <v>2780047</v>
      </c>
      <c r="H2968" s="27">
        <f>IFERROR(__xludf.DUMMYFUNCTION("""COMPUTED_VALUE"""),42752.64583333333)</f>
        <v>42752.64583</v>
      </c>
      <c r="I2968" s="25">
        <f>IFERROR(__xludf.DUMMYFUNCTION("""COMPUTED_VALUE"""),1127.45)</f>
        <v>1127.45</v>
      </c>
      <c r="J2968" s="25">
        <f>IFERROR(__xludf.DUMMYFUNCTION("""COMPUTED_VALUE"""),1143.9)</f>
        <v>1143.9</v>
      </c>
      <c r="K2968" s="25">
        <f>IFERROR(__xludf.DUMMYFUNCTION("""COMPUTED_VALUE"""),1126.4)</f>
        <v>1126.4</v>
      </c>
      <c r="L2968" s="25">
        <f>IFERROR(__xludf.DUMMYFUNCTION("""COMPUTED_VALUE"""),1139.38)</f>
        <v>1139.38</v>
      </c>
      <c r="M2968" s="25">
        <f>IFERROR(__xludf.DUMMYFUNCTION("""COMPUTED_VALUE"""),1504978.0)</f>
        <v>1504978</v>
      </c>
    </row>
    <row r="2969">
      <c r="A2969" s="26">
        <f>IFERROR(__xludf.DUMMYFUNCTION("""COMPUTED_VALUE"""),42753.64583333333)</f>
        <v>42753.64583</v>
      </c>
      <c r="B2969" s="9">
        <f>IFERROR(__xludf.DUMMYFUNCTION("""COMPUTED_VALUE"""),479.05)</f>
        <v>479.05</v>
      </c>
      <c r="C2969" s="9">
        <f>IFERROR(__xludf.DUMMYFUNCTION("""COMPUTED_VALUE"""),480.5)</f>
        <v>480.5</v>
      </c>
      <c r="D2969" s="9">
        <f>IFERROR(__xludf.DUMMYFUNCTION("""COMPUTED_VALUE"""),474.9)</f>
        <v>474.9</v>
      </c>
      <c r="E2969" s="9">
        <f>IFERROR(__xludf.DUMMYFUNCTION("""COMPUTED_VALUE"""),475.4)</f>
        <v>475.4</v>
      </c>
      <c r="F2969" s="9">
        <f>IFERROR(__xludf.DUMMYFUNCTION("""COMPUTED_VALUE"""),2976481.0)</f>
        <v>2976481</v>
      </c>
      <c r="H2969" s="27">
        <f>IFERROR(__xludf.DUMMYFUNCTION("""COMPUTED_VALUE"""),42753.64583333333)</f>
        <v>42753.64583</v>
      </c>
      <c r="I2969" s="25">
        <f>IFERROR(__xludf.DUMMYFUNCTION("""COMPUTED_VALUE"""),1139.0)</f>
        <v>1139</v>
      </c>
      <c r="J2969" s="25">
        <f>IFERROR(__xludf.DUMMYFUNCTION("""COMPUTED_VALUE"""),1149.0)</f>
        <v>1149</v>
      </c>
      <c r="K2969" s="25">
        <f>IFERROR(__xludf.DUMMYFUNCTION("""COMPUTED_VALUE"""),1132.72)</f>
        <v>1132.72</v>
      </c>
      <c r="L2969" s="25">
        <f>IFERROR(__xludf.DUMMYFUNCTION("""COMPUTED_VALUE"""),1147.55)</f>
        <v>1147.55</v>
      </c>
      <c r="M2969" s="25">
        <f>IFERROR(__xludf.DUMMYFUNCTION("""COMPUTED_VALUE"""),1568287.0)</f>
        <v>1568287</v>
      </c>
    </row>
    <row r="2970">
      <c r="A2970" s="26">
        <f>IFERROR(__xludf.DUMMYFUNCTION("""COMPUTED_VALUE"""),42754.64583333333)</f>
        <v>42754.64583</v>
      </c>
      <c r="B2970" s="9">
        <f>IFERROR(__xludf.DUMMYFUNCTION("""COMPUTED_VALUE"""),475.5)</f>
        <v>475.5</v>
      </c>
      <c r="C2970" s="9">
        <f>IFERROR(__xludf.DUMMYFUNCTION("""COMPUTED_VALUE"""),479.8)</f>
        <v>479.8</v>
      </c>
      <c r="D2970" s="9">
        <f>IFERROR(__xludf.DUMMYFUNCTION("""COMPUTED_VALUE"""),474.05)</f>
        <v>474.05</v>
      </c>
      <c r="E2970" s="9">
        <f>IFERROR(__xludf.DUMMYFUNCTION("""COMPUTED_VALUE"""),479.05)</f>
        <v>479.05</v>
      </c>
      <c r="F2970" s="9">
        <f>IFERROR(__xludf.DUMMYFUNCTION("""COMPUTED_VALUE"""),4438240.0)</f>
        <v>4438240</v>
      </c>
      <c r="H2970" s="27">
        <f>IFERROR(__xludf.DUMMYFUNCTION("""COMPUTED_VALUE"""),42754.64583333333)</f>
        <v>42754.64583</v>
      </c>
      <c r="I2970" s="25">
        <f>IFERROR(__xludf.DUMMYFUNCTION("""COMPUTED_VALUE"""),1147.5)</f>
        <v>1147.5</v>
      </c>
      <c r="J2970" s="25">
        <f>IFERROR(__xludf.DUMMYFUNCTION("""COMPUTED_VALUE"""),1147.58)</f>
        <v>1147.58</v>
      </c>
      <c r="K2970" s="25">
        <f>IFERROR(__xludf.DUMMYFUNCTION("""COMPUTED_VALUE"""),1141.47)</f>
        <v>1141.47</v>
      </c>
      <c r="L2970" s="25">
        <f>IFERROR(__xludf.DUMMYFUNCTION("""COMPUTED_VALUE"""),1145.5)</f>
        <v>1145.5</v>
      </c>
      <c r="M2970" s="25">
        <f>IFERROR(__xludf.DUMMYFUNCTION("""COMPUTED_VALUE"""),1125838.0)</f>
        <v>1125838</v>
      </c>
    </row>
    <row r="2971">
      <c r="A2971" s="26">
        <f>IFERROR(__xludf.DUMMYFUNCTION("""COMPUTED_VALUE"""),42755.64583333333)</f>
        <v>42755.64583</v>
      </c>
      <c r="B2971" s="9">
        <f>IFERROR(__xludf.DUMMYFUNCTION("""COMPUTED_VALUE"""),475.0)</f>
        <v>475</v>
      </c>
      <c r="C2971" s="9">
        <f>IFERROR(__xludf.DUMMYFUNCTION("""COMPUTED_VALUE"""),476.58)</f>
        <v>476.58</v>
      </c>
      <c r="D2971" s="9">
        <f>IFERROR(__xludf.DUMMYFUNCTION("""COMPUTED_VALUE"""),473.0)</f>
        <v>473</v>
      </c>
      <c r="E2971" s="9">
        <f>IFERROR(__xludf.DUMMYFUNCTION("""COMPUTED_VALUE"""),474.35)</f>
        <v>474.35</v>
      </c>
      <c r="F2971" s="9">
        <f>IFERROR(__xludf.DUMMYFUNCTION("""COMPUTED_VALUE"""),4562371.0)</f>
        <v>4562371</v>
      </c>
      <c r="H2971" s="27">
        <f>IFERROR(__xludf.DUMMYFUNCTION("""COMPUTED_VALUE"""),42755.64583333333)</f>
        <v>42755.64583</v>
      </c>
      <c r="I2971" s="25">
        <f>IFERROR(__xludf.DUMMYFUNCTION("""COMPUTED_VALUE"""),1143.5)</f>
        <v>1143.5</v>
      </c>
      <c r="J2971" s="25">
        <f>IFERROR(__xludf.DUMMYFUNCTION("""COMPUTED_VALUE"""),1150.0)</f>
        <v>1150</v>
      </c>
      <c r="K2971" s="25">
        <f>IFERROR(__xludf.DUMMYFUNCTION("""COMPUTED_VALUE"""),1132.5)</f>
        <v>1132.5</v>
      </c>
      <c r="L2971" s="25">
        <f>IFERROR(__xludf.DUMMYFUNCTION("""COMPUTED_VALUE"""),1142.68)</f>
        <v>1142.68</v>
      </c>
      <c r="M2971" s="25">
        <f>IFERROR(__xludf.DUMMYFUNCTION("""COMPUTED_VALUE"""),1018623.0)</f>
        <v>1018623</v>
      </c>
    </row>
    <row r="2972">
      <c r="A2972" s="26">
        <f>IFERROR(__xludf.DUMMYFUNCTION("""COMPUTED_VALUE"""),42758.64583333333)</f>
        <v>42758.64583</v>
      </c>
      <c r="B2972" s="9">
        <f>IFERROR(__xludf.DUMMYFUNCTION("""COMPUTED_VALUE"""),472.5)</f>
        <v>472.5</v>
      </c>
      <c r="C2972" s="9">
        <f>IFERROR(__xludf.DUMMYFUNCTION("""COMPUTED_VALUE"""),479.0)</f>
        <v>479</v>
      </c>
      <c r="D2972" s="9">
        <f>IFERROR(__xludf.DUMMYFUNCTION("""COMPUTED_VALUE"""),470.0)</f>
        <v>470</v>
      </c>
      <c r="E2972" s="9">
        <f>IFERROR(__xludf.DUMMYFUNCTION("""COMPUTED_VALUE"""),476.35)</f>
        <v>476.35</v>
      </c>
      <c r="F2972" s="9">
        <f>IFERROR(__xludf.DUMMYFUNCTION("""COMPUTED_VALUE"""),3974290.0)</f>
        <v>3974290</v>
      </c>
      <c r="H2972" s="27">
        <f>IFERROR(__xludf.DUMMYFUNCTION("""COMPUTED_VALUE"""),42758.64583333333)</f>
        <v>42758.64583</v>
      </c>
      <c r="I2972" s="25">
        <f>IFERROR(__xludf.DUMMYFUNCTION("""COMPUTED_VALUE"""),1132.5)</f>
        <v>1132.5</v>
      </c>
      <c r="J2972" s="25">
        <f>IFERROR(__xludf.DUMMYFUNCTION("""COMPUTED_VALUE"""),1156.75)</f>
        <v>1156.75</v>
      </c>
      <c r="K2972" s="25">
        <f>IFERROR(__xludf.DUMMYFUNCTION("""COMPUTED_VALUE"""),1129.9)</f>
        <v>1129.9</v>
      </c>
      <c r="L2972" s="25">
        <f>IFERROR(__xludf.DUMMYFUNCTION("""COMPUTED_VALUE"""),1153.35)</f>
        <v>1153.35</v>
      </c>
      <c r="M2972" s="25">
        <f>IFERROR(__xludf.DUMMYFUNCTION("""COMPUTED_VALUE"""),1159273.0)</f>
        <v>1159273</v>
      </c>
    </row>
    <row r="2973">
      <c r="A2973" s="26">
        <f>IFERROR(__xludf.DUMMYFUNCTION("""COMPUTED_VALUE"""),42759.64583333333)</f>
        <v>42759.64583</v>
      </c>
      <c r="B2973" s="9">
        <f>IFERROR(__xludf.DUMMYFUNCTION("""COMPUTED_VALUE"""),475.0)</f>
        <v>475</v>
      </c>
      <c r="C2973" s="9">
        <f>IFERROR(__xludf.DUMMYFUNCTION("""COMPUTED_VALUE"""),475.0)</f>
        <v>475</v>
      </c>
      <c r="D2973" s="9">
        <f>IFERROR(__xludf.DUMMYFUNCTION("""COMPUTED_VALUE"""),470.05)</f>
        <v>470.05</v>
      </c>
      <c r="E2973" s="9">
        <f>IFERROR(__xludf.DUMMYFUNCTION("""COMPUTED_VALUE"""),472.78)</f>
        <v>472.78</v>
      </c>
      <c r="F2973" s="9">
        <f>IFERROR(__xludf.DUMMYFUNCTION("""COMPUTED_VALUE"""),3413005.0)</f>
        <v>3413005</v>
      </c>
      <c r="H2973" s="27">
        <f>IFERROR(__xludf.DUMMYFUNCTION("""COMPUTED_VALUE"""),42759.64583333333)</f>
        <v>42759.64583</v>
      </c>
      <c r="I2973" s="25">
        <f>IFERROR(__xludf.DUMMYFUNCTION("""COMPUTED_VALUE"""),1152.0)</f>
        <v>1152</v>
      </c>
      <c r="J2973" s="25">
        <f>IFERROR(__xludf.DUMMYFUNCTION("""COMPUTED_VALUE"""),1161.5)</f>
        <v>1161.5</v>
      </c>
      <c r="K2973" s="25">
        <f>IFERROR(__xludf.DUMMYFUNCTION("""COMPUTED_VALUE"""),1145.0)</f>
        <v>1145</v>
      </c>
      <c r="L2973" s="25">
        <f>IFERROR(__xludf.DUMMYFUNCTION("""COMPUTED_VALUE"""),1159.18)</f>
        <v>1159.18</v>
      </c>
      <c r="M2973" s="25">
        <f>IFERROR(__xludf.DUMMYFUNCTION("""COMPUTED_VALUE"""),1141319.0)</f>
        <v>1141319</v>
      </c>
    </row>
    <row r="2974">
      <c r="A2974" s="26">
        <f>IFERROR(__xludf.DUMMYFUNCTION("""COMPUTED_VALUE"""),42760.64583333333)</f>
        <v>42760.64583</v>
      </c>
      <c r="B2974" s="9">
        <f>IFERROR(__xludf.DUMMYFUNCTION("""COMPUTED_VALUE"""),473.05)</f>
        <v>473.05</v>
      </c>
      <c r="C2974" s="9">
        <f>IFERROR(__xludf.DUMMYFUNCTION("""COMPUTED_VALUE"""),473.4)</f>
        <v>473.4</v>
      </c>
      <c r="D2974" s="9">
        <f>IFERROR(__xludf.DUMMYFUNCTION("""COMPUTED_VALUE"""),467.4)</f>
        <v>467.4</v>
      </c>
      <c r="E2974" s="9">
        <f>IFERROR(__xludf.DUMMYFUNCTION("""COMPUTED_VALUE"""),468.3)</f>
        <v>468.3</v>
      </c>
      <c r="F2974" s="9">
        <f>IFERROR(__xludf.DUMMYFUNCTION("""COMPUTED_VALUE"""),4989045.0)</f>
        <v>4989045</v>
      </c>
      <c r="H2974" s="27">
        <f>IFERROR(__xludf.DUMMYFUNCTION("""COMPUTED_VALUE"""),42760.64583333333)</f>
        <v>42760.64583</v>
      </c>
      <c r="I2974" s="25">
        <f>IFERROR(__xludf.DUMMYFUNCTION("""COMPUTED_VALUE"""),1161.3)</f>
        <v>1161.3</v>
      </c>
      <c r="J2974" s="25">
        <f>IFERROR(__xludf.DUMMYFUNCTION("""COMPUTED_VALUE"""),1180.0)</f>
        <v>1180</v>
      </c>
      <c r="K2974" s="25">
        <f>IFERROR(__xludf.DUMMYFUNCTION("""COMPUTED_VALUE"""),1159.03)</f>
        <v>1159.03</v>
      </c>
      <c r="L2974" s="25">
        <f>IFERROR(__xludf.DUMMYFUNCTION("""COMPUTED_VALUE"""),1176.5)</f>
        <v>1176.5</v>
      </c>
      <c r="M2974" s="25">
        <f>IFERROR(__xludf.DUMMYFUNCTION("""COMPUTED_VALUE"""),2055824.0)</f>
        <v>2055824</v>
      </c>
    </row>
    <row r="2975">
      <c r="A2975" s="26">
        <f>IFERROR(__xludf.DUMMYFUNCTION("""COMPUTED_VALUE"""),42762.64583333333)</f>
        <v>42762.64583</v>
      </c>
      <c r="B2975" s="9">
        <f>IFERROR(__xludf.DUMMYFUNCTION("""COMPUTED_VALUE"""),466.93)</f>
        <v>466.93</v>
      </c>
      <c r="C2975" s="9">
        <f>IFERROR(__xludf.DUMMYFUNCTION("""COMPUTED_VALUE"""),473.78)</f>
        <v>473.78</v>
      </c>
      <c r="D2975" s="9">
        <f>IFERROR(__xludf.DUMMYFUNCTION("""COMPUTED_VALUE"""),450.58)</f>
        <v>450.58</v>
      </c>
      <c r="E2975" s="9">
        <f>IFERROR(__xludf.DUMMYFUNCTION("""COMPUTED_VALUE"""),471.08)</f>
        <v>471.08</v>
      </c>
      <c r="F2975" s="9">
        <f>IFERROR(__xludf.DUMMYFUNCTION("""COMPUTED_VALUE"""),5317569.0)</f>
        <v>5317569</v>
      </c>
      <c r="H2975" s="27">
        <f>IFERROR(__xludf.DUMMYFUNCTION("""COMPUTED_VALUE"""),42762.64583333333)</f>
        <v>42762.64583</v>
      </c>
      <c r="I2975" s="25">
        <f>IFERROR(__xludf.DUMMYFUNCTION("""COMPUTED_VALUE"""),1172.53)</f>
        <v>1172.53</v>
      </c>
      <c r="J2975" s="25">
        <f>IFERROR(__xludf.DUMMYFUNCTION("""COMPUTED_VALUE"""),1189.38)</f>
        <v>1189.38</v>
      </c>
      <c r="K2975" s="25">
        <f>IFERROR(__xludf.DUMMYFUNCTION("""COMPUTED_VALUE"""),1172.53)</f>
        <v>1172.53</v>
      </c>
      <c r="L2975" s="25">
        <f>IFERROR(__xludf.DUMMYFUNCTION("""COMPUTED_VALUE"""),1178.9)</f>
        <v>1178.9</v>
      </c>
      <c r="M2975" s="25">
        <f>IFERROR(__xludf.DUMMYFUNCTION("""COMPUTED_VALUE"""),1435829.0)</f>
        <v>1435829</v>
      </c>
    </row>
    <row r="2976">
      <c r="A2976" s="26">
        <f>IFERROR(__xludf.DUMMYFUNCTION("""COMPUTED_VALUE"""),42765.64583333333)</f>
        <v>42765.64583</v>
      </c>
      <c r="B2976" s="9">
        <f>IFERROR(__xludf.DUMMYFUNCTION("""COMPUTED_VALUE"""),468.75)</f>
        <v>468.75</v>
      </c>
      <c r="C2976" s="9">
        <f>IFERROR(__xludf.DUMMYFUNCTION("""COMPUTED_VALUE"""),475.75)</f>
        <v>475.75</v>
      </c>
      <c r="D2976" s="9">
        <f>IFERROR(__xludf.DUMMYFUNCTION("""COMPUTED_VALUE"""),464.43)</f>
        <v>464.43</v>
      </c>
      <c r="E2976" s="9">
        <f>IFERROR(__xludf.DUMMYFUNCTION("""COMPUTED_VALUE"""),474.68)</f>
        <v>474.68</v>
      </c>
      <c r="F2976" s="9">
        <f>IFERROR(__xludf.DUMMYFUNCTION("""COMPUTED_VALUE"""),5684604.0)</f>
        <v>5684604</v>
      </c>
      <c r="H2976" s="27">
        <f>IFERROR(__xludf.DUMMYFUNCTION("""COMPUTED_VALUE"""),42765.64583333333)</f>
        <v>42765.64583</v>
      </c>
      <c r="I2976" s="25">
        <f>IFERROR(__xludf.DUMMYFUNCTION("""COMPUTED_VALUE"""),1170.5)</f>
        <v>1170.5</v>
      </c>
      <c r="J2976" s="25">
        <f>IFERROR(__xludf.DUMMYFUNCTION("""COMPUTED_VALUE"""),1175.97)</f>
        <v>1175.97</v>
      </c>
      <c r="K2976" s="25">
        <f>IFERROR(__xludf.DUMMYFUNCTION("""COMPUTED_VALUE"""),1159.08)</f>
        <v>1159.08</v>
      </c>
      <c r="L2976" s="25">
        <f>IFERROR(__xludf.DUMMYFUNCTION("""COMPUTED_VALUE"""),1166.45)</f>
        <v>1166.45</v>
      </c>
      <c r="M2976" s="25">
        <f>IFERROR(__xludf.DUMMYFUNCTION("""COMPUTED_VALUE"""),1288978.0)</f>
        <v>1288978</v>
      </c>
    </row>
    <row r="2977">
      <c r="A2977" s="26">
        <f>IFERROR(__xludf.DUMMYFUNCTION("""COMPUTED_VALUE"""),42766.64583333333)</f>
        <v>42766.64583</v>
      </c>
      <c r="B2977" s="9">
        <f>IFERROR(__xludf.DUMMYFUNCTION("""COMPUTED_VALUE"""),470.75)</f>
        <v>470.75</v>
      </c>
      <c r="C2977" s="9">
        <f>IFERROR(__xludf.DUMMYFUNCTION("""COMPUTED_VALUE"""),470.75)</f>
        <v>470.75</v>
      </c>
      <c r="D2977" s="9">
        <f>IFERROR(__xludf.DUMMYFUNCTION("""COMPUTED_VALUE"""),452.18)</f>
        <v>452.18</v>
      </c>
      <c r="E2977" s="9">
        <f>IFERROR(__xludf.DUMMYFUNCTION("""COMPUTED_VALUE"""),464.3)</f>
        <v>464.3</v>
      </c>
      <c r="F2977" s="9">
        <f>IFERROR(__xludf.DUMMYFUNCTION("""COMPUTED_VALUE"""),1.2034267E7)</f>
        <v>12034267</v>
      </c>
      <c r="H2977" s="27">
        <f>IFERROR(__xludf.DUMMYFUNCTION("""COMPUTED_VALUE"""),42766.64583333333)</f>
        <v>42766.64583</v>
      </c>
      <c r="I2977" s="25">
        <f>IFERROR(__xludf.DUMMYFUNCTION("""COMPUTED_VALUE"""),1160.0)</f>
        <v>1160</v>
      </c>
      <c r="J2977" s="25">
        <f>IFERROR(__xludf.DUMMYFUNCTION("""COMPUTED_VALUE"""),1166.03)</f>
        <v>1166.03</v>
      </c>
      <c r="K2977" s="25">
        <f>IFERROR(__xludf.DUMMYFUNCTION("""COMPUTED_VALUE"""),1100.03)</f>
        <v>1100.03</v>
      </c>
      <c r="L2977" s="25">
        <f>IFERROR(__xludf.DUMMYFUNCTION("""COMPUTED_VALUE"""),1114.9)</f>
        <v>1114.9</v>
      </c>
      <c r="M2977" s="25">
        <f>IFERROR(__xludf.DUMMYFUNCTION("""COMPUTED_VALUE"""),2333402.0)</f>
        <v>2333402</v>
      </c>
    </row>
    <row r="2978">
      <c r="A2978" s="26">
        <f>IFERROR(__xludf.DUMMYFUNCTION("""COMPUTED_VALUE"""),42767.64583333333)</f>
        <v>42767.64583</v>
      </c>
      <c r="B2978" s="9">
        <f>IFERROR(__xludf.DUMMYFUNCTION("""COMPUTED_VALUE"""),460.55)</f>
        <v>460.55</v>
      </c>
      <c r="C2978" s="9">
        <f>IFERROR(__xludf.DUMMYFUNCTION("""COMPUTED_VALUE"""),461.6)</f>
        <v>461.6</v>
      </c>
      <c r="D2978" s="9">
        <f>IFERROR(__xludf.DUMMYFUNCTION("""COMPUTED_VALUE"""),452.58)</f>
        <v>452.58</v>
      </c>
      <c r="E2978" s="9">
        <f>IFERROR(__xludf.DUMMYFUNCTION("""COMPUTED_VALUE"""),458.38)</f>
        <v>458.38</v>
      </c>
      <c r="F2978" s="9">
        <f>IFERROR(__xludf.DUMMYFUNCTION("""COMPUTED_VALUE"""),5765891.0)</f>
        <v>5765891</v>
      </c>
      <c r="H2978" s="27">
        <f>IFERROR(__xludf.DUMMYFUNCTION("""COMPUTED_VALUE"""),42767.64583333333)</f>
        <v>42767.64583</v>
      </c>
      <c r="I2978" s="25">
        <f>IFERROR(__xludf.DUMMYFUNCTION("""COMPUTED_VALUE"""),1110.0)</f>
        <v>1110</v>
      </c>
      <c r="J2978" s="25">
        <f>IFERROR(__xludf.DUMMYFUNCTION("""COMPUTED_VALUE"""),1119.97)</f>
        <v>1119.97</v>
      </c>
      <c r="K2978" s="25">
        <f>IFERROR(__xludf.DUMMYFUNCTION("""COMPUTED_VALUE"""),1077.78)</f>
        <v>1077.78</v>
      </c>
      <c r="L2978" s="25">
        <f>IFERROR(__xludf.DUMMYFUNCTION("""COMPUTED_VALUE"""),1083.95)</f>
        <v>1083.95</v>
      </c>
      <c r="M2978" s="25">
        <f>IFERROR(__xludf.DUMMYFUNCTION("""COMPUTED_VALUE"""),2432076.0)</f>
        <v>2432076</v>
      </c>
    </row>
    <row r="2979">
      <c r="A2979" s="26">
        <f>IFERROR(__xludf.DUMMYFUNCTION("""COMPUTED_VALUE"""),42768.64583333333)</f>
        <v>42768.64583</v>
      </c>
      <c r="B2979" s="9">
        <f>IFERROR(__xludf.DUMMYFUNCTION("""COMPUTED_VALUE"""),458.5)</f>
        <v>458.5</v>
      </c>
      <c r="C2979" s="9">
        <f>IFERROR(__xludf.DUMMYFUNCTION("""COMPUTED_VALUE"""),472.5)</f>
        <v>472.5</v>
      </c>
      <c r="D2979" s="9">
        <f>IFERROR(__xludf.DUMMYFUNCTION("""COMPUTED_VALUE"""),455.05)</f>
        <v>455.05</v>
      </c>
      <c r="E2979" s="9">
        <f>IFERROR(__xludf.DUMMYFUNCTION("""COMPUTED_VALUE"""),467.95)</f>
        <v>467.95</v>
      </c>
      <c r="F2979" s="9">
        <f>IFERROR(__xludf.DUMMYFUNCTION("""COMPUTED_VALUE"""),5914134.0)</f>
        <v>5914134</v>
      </c>
      <c r="H2979" s="27">
        <f>IFERROR(__xludf.DUMMYFUNCTION("""COMPUTED_VALUE"""),42768.64583333333)</f>
        <v>42768.64583</v>
      </c>
      <c r="I2979" s="25">
        <f>IFERROR(__xludf.DUMMYFUNCTION("""COMPUTED_VALUE"""),1085.03)</f>
        <v>1085.03</v>
      </c>
      <c r="J2979" s="25">
        <f>IFERROR(__xludf.DUMMYFUNCTION("""COMPUTED_VALUE"""),1109.5)</f>
        <v>1109.5</v>
      </c>
      <c r="K2979" s="25">
        <f>IFERROR(__xludf.DUMMYFUNCTION("""COMPUTED_VALUE"""),1076.5)</f>
        <v>1076.5</v>
      </c>
      <c r="L2979" s="25">
        <f>IFERROR(__xludf.DUMMYFUNCTION("""COMPUTED_VALUE"""),1103.83)</f>
        <v>1103.83</v>
      </c>
      <c r="M2979" s="25">
        <f>IFERROR(__xludf.DUMMYFUNCTION("""COMPUTED_VALUE"""),3004741.0)</f>
        <v>3004741</v>
      </c>
    </row>
    <row r="2980">
      <c r="A2980" s="26">
        <f>IFERROR(__xludf.DUMMYFUNCTION("""COMPUTED_VALUE"""),42769.64583333333)</f>
        <v>42769.64583</v>
      </c>
      <c r="B2980" s="9">
        <f>IFERROR(__xludf.DUMMYFUNCTION("""COMPUTED_VALUE"""),466.9)</f>
        <v>466.9</v>
      </c>
      <c r="C2980" s="9">
        <f>IFERROR(__xludf.DUMMYFUNCTION("""COMPUTED_VALUE"""),470.45)</f>
        <v>470.45</v>
      </c>
      <c r="D2980" s="9">
        <f>IFERROR(__xludf.DUMMYFUNCTION("""COMPUTED_VALUE"""),460.53)</f>
        <v>460.53</v>
      </c>
      <c r="E2980" s="9">
        <f>IFERROR(__xludf.DUMMYFUNCTION("""COMPUTED_VALUE"""),468.05)</f>
        <v>468.05</v>
      </c>
      <c r="F2980" s="9">
        <f>IFERROR(__xludf.DUMMYFUNCTION("""COMPUTED_VALUE"""),4211979.0)</f>
        <v>4211979</v>
      </c>
      <c r="H2980" s="27">
        <f>IFERROR(__xludf.DUMMYFUNCTION("""COMPUTED_VALUE"""),42769.64583333333)</f>
        <v>42769.64583</v>
      </c>
      <c r="I2980" s="25">
        <f>IFERROR(__xludf.DUMMYFUNCTION("""COMPUTED_VALUE"""),1104.85)</f>
        <v>1104.85</v>
      </c>
      <c r="J2980" s="25">
        <f>IFERROR(__xludf.DUMMYFUNCTION("""COMPUTED_VALUE"""),1121.5)</f>
        <v>1121.5</v>
      </c>
      <c r="K2980" s="25">
        <f>IFERROR(__xludf.DUMMYFUNCTION("""COMPUTED_VALUE"""),1095.5)</f>
        <v>1095.5</v>
      </c>
      <c r="L2980" s="25">
        <f>IFERROR(__xludf.DUMMYFUNCTION("""COMPUTED_VALUE"""),1116.28)</f>
        <v>1116.28</v>
      </c>
      <c r="M2980" s="25">
        <f>IFERROR(__xludf.DUMMYFUNCTION("""COMPUTED_VALUE"""),1076686.0)</f>
        <v>1076686</v>
      </c>
    </row>
    <row r="2981">
      <c r="A2981" s="26">
        <f>IFERROR(__xludf.DUMMYFUNCTION("""COMPUTED_VALUE"""),42772.64583333333)</f>
        <v>42772.64583</v>
      </c>
      <c r="B2981" s="9">
        <f>IFERROR(__xludf.DUMMYFUNCTION("""COMPUTED_VALUE"""),468.63)</f>
        <v>468.63</v>
      </c>
      <c r="C2981" s="9">
        <f>IFERROR(__xludf.DUMMYFUNCTION("""COMPUTED_VALUE"""),471.88)</f>
        <v>471.88</v>
      </c>
      <c r="D2981" s="9">
        <f>IFERROR(__xludf.DUMMYFUNCTION("""COMPUTED_VALUE"""),465.28)</f>
        <v>465.28</v>
      </c>
      <c r="E2981" s="9">
        <f>IFERROR(__xludf.DUMMYFUNCTION("""COMPUTED_VALUE"""),467.63)</f>
        <v>467.63</v>
      </c>
      <c r="F2981" s="9">
        <f>IFERROR(__xludf.DUMMYFUNCTION("""COMPUTED_VALUE"""),3363967.0)</f>
        <v>3363967</v>
      </c>
      <c r="H2981" s="27">
        <f>IFERROR(__xludf.DUMMYFUNCTION("""COMPUTED_VALUE"""),42772.64583333333)</f>
        <v>42772.64583</v>
      </c>
      <c r="I2981" s="25">
        <f>IFERROR(__xludf.DUMMYFUNCTION("""COMPUTED_VALUE"""),1129.0)</f>
        <v>1129</v>
      </c>
      <c r="J2981" s="25">
        <f>IFERROR(__xludf.DUMMYFUNCTION("""COMPUTED_VALUE"""),1129.25)</f>
        <v>1129.25</v>
      </c>
      <c r="K2981" s="25">
        <f>IFERROR(__xludf.DUMMYFUNCTION("""COMPUTED_VALUE"""),1107.47)</f>
        <v>1107.47</v>
      </c>
      <c r="L2981" s="25">
        <f>IFERROR(__xludf.DUMMYFUNCTION("""COMPUTED_VALUE"""),1120.38)</f>
        <v>1120.38</v>
      </c>
      <c r="M2981" s="25">
        <f>IFERROR(__xludf.DUMMYFUNCTION("""COMPUTED_VALUE"""),1204455.0)</f>
        <v>1204455</v>
      </c>
    </row>
    <row r="2982">
      <c r="A2982" s="26">
        <f>IFERROR(__xludf.DUMMYFUNCTION("""COMPUTED_VALUE"""),42773.64583333333)</f>
        <v>42773.64583</v>
      </c>
      <c r="B2982" s="9">
        <f>IFERROR(__xludf.DUMMYFUNCTION("""COMPUTED_VALUE"""),466.5)</f>
        <v>466.5</v>
      </c>
      <c r="C2982" s="9">
        <f>IFERROR(__xludf.DUMMYFUNCTION("""COMPUTED_VALUE"""),474.9)</f>
        <v>474.9</v>
      </c>
      <c r="D2982" s="9">
        <f>IFERROR(__xludf.DUMMYFUNCTION("""COMPUTED_VALUE"""),464.28)</f>
        <v>464.28</v>
      </c>
      <c r="E2982" s="9">
        <f>IFERROR(__xludf.DUMMYFUNCTION("""COMPUTED_VALUE"""),471.13)</f>
        <v>471.13</v>
      </c>
      <c r="F2982" s="9">
        <f>IFERROR(__xludf.DUMMYFUNCTION("""COMPUTED_VALUE"""),4634001.0)</f>
        <v>4634001</v>
      </c>
      <c r="H2982" s="27">
        <f>IFERROR(__xludf.DUMMYFUNCTION("""COMPUTED_VALUE"""),42773.64583333333)</f>
        <v>42773.64583</v>
      </c>
      <c r="I2982" s="25">
        <f>IFERROR(__xludf.DUMMYFUNCTION("""COMPUTED_VALUE"""),1122.0)</f>
        <v>1122</v>
      </c>
      <c r="J2982" s="25">
        <f>IFERROR(__xludf.DUMMYFUNCTION("""COMPUTED_VALUE"""),1126.3)</f>
        <v>1126.3</v>
      </c>
      <c r="K2982" s="25">
        <f>IFERROR(__xludf.DUMMYFUNCTION("""COMPUTED_VALUE"""),1113.0)</f>
        <v>1113</v>
      </c>
      <c r="L2982" s="25">
        <f>IFERROR(__xludf.DUMMYFUNCTION("""COMPUTED_VALUE"""),1122.3)</f>
        <v>1122.3</v>
      </c>
      <c r="M2982" s="25">
        <f>IFERROR(__xludf.DUMMYFUNCTION("""COMPUTED_VALUE"""),907319.0)</f>
        <v>907319</v>
      </c>
    </row>
    <row r="2983">
      <c r="A2983" s="26">
        <f>IFERROR(__xludf.DUMMYFUNCTION("""COMPUTED_VALUE"""),42774.64583333333)</f>
        <v>42774.64583</v>
      </c>
      <c r="B2983" s="9">
        <f>IFERROR(__xludf.DUMMYFUNCTION("""COMPUTED_VALUE"""),468.0)</f>
        <v>468</v>
      </c>
      <c r="C2983" s="9">
        <f>IFERROR(__xludf.DUMMYFUNCTION("""COMPUTED_VALUE"""),472.05)</f>
        <v>472.05</v>
      </c>
      <c r="D2983" s="9">
        <f>IFERROR(__xludf.DUMMYFUNCTION("""COMPUTED_VALUE"""),466.23)</f>
        <v>466.23</v>
      </c>
      <c r="E2983" s="9">
        <f>IFERROR(__xludf.DUMMYFUNCTION("""COMPUTED_VALUE"""),468.25)</f>
        <v>468.25</v>
      </c>
      <c r="F2983" s="9">
        <f>IFERROR(__xludf.DUMMYFUNCTION("""COMPUTED_VALUE"""),3159981.0)</f>
        <v>3159981</v>
      </c>
      <c r="H2983" s="27">
        <f>IFERROR(__xludf.DUMMYFUNCTION("""COMPUTED_VALUE"""),42774.64583333333)</f>
        <v>42774.64583</v>
      </c>
      <c r="I2983" s="25">
        <f>IFERROR(__xludf.DUMMYFUNCTION("""COMPUTED_VALUE"""),1122.45)</f>
        <v>1122.45</v>
      </c>
      <c r="J2983" s="25">
        <f>IFERROR(__xludf.DUMMYFUNCTION("""COMPUTED_VALUE"""),1141.3)</f>
        <v>1141.3</v>
      </c>
      <c r="K2983" s="25">
        <f>IFERROR(__xludf.DUMMYFUNCTION("""COMPUTED_VALUE"""),1122.03)</f>
        <v>1122.03</v>
      </c>
      <c r="L2983" s="25">
        <f>IFERROR(__xludf.DUMMYFUNCTION("""COMPUTED_VALUE"""),1135.47)</f>
        <v>1135.47</v>
      </c>
      <c r="M2983" s="25">
        <f>IFERROR(__xludf.DUMMYFUNCTION("""COMPUTED_VALUE"""),1106292.0)</f>
        <v>1106292</v>
      </c>
    </row>
    <row r="2984">
      <c r="A2984" s="26">
        <f>IFERROR(__xludf.DUMMYFUNCTION("""COMPUTED_VALUE"""),42775.64583333333)</f>
        <v>42775.64583</v>
      </c>
      <c r="B2984" s="9">
        <f>IFERROR(__xludf.DUMMYFUNCTION("""COMPUTED_VALUE"""),468.5)</f>
        <v>468.5</v>
      </c>
      <c r="C2984" s="9">
        <f>IFERROR(__xludf.DUMMYFUNCTION("""COMPUTED_VALUE"""),475.0)</f>
        <v>475</v>
      </c>
      <c r="D2984" s="9">
        <f>IFERROR(__xludf.DUMMYFUNCTION("""COMPUTED_VALUE"""),468.28)</f>
        <v>468.28</v>
      </c>
      <c r="E2984" s="9">
        <f>IFERROR(__xludf.DUMMYFUNCTION("""COMPUTED_VALUE"""),473.0)</f>
        <v>473</v>
      </c>
      <c r="F2984" s="9">
        <f>IFERROR(__xludf.DUMMYFUNCTION("""COMPUTED_VALUE"""),5953633.0)</f>
        <v>5953633</v>
      </c>
      <c r="H2984" s="27">
        <f>IFERROR(__xludf.DUMMYFUNCTION("""COMPUTED_VALUE"""),42775.64583333333)</f>
        <v>42775.64583</v>
      </c>
      <c r="I2984" s="25">
        <f>IFERROR(__xludf.DUMMYFUNCTION("""COMPUTED_VALUE"""),1137.5)</f>
        <v>1137.5</v>
      </c>
      <c r="J2984" s="25">
        <f>IFERROR(__xludf.DUMMYFUNCTION("""COMPUTED_VALUE"""),1164.0)</f>
        <v>1164</v>
      </c>
      <c r="K2984" s="25">
        <f>IFERROR(__xludf.DUMMYFUNCTION("""COMPUTED_VALUE"""),1135.1)</f>
        <v>1135.1</v>
      </c>
      <c r="L2984" s="25">
        <f>IFERROR(__xludf.DUMMYFUNCTION("""COMPUTED_VALUE"""),1158.65)</f>
        <v>1158.65</v>
      </c>
      <c r="M2984" s="25">
        <f>IFERROR(__xludf.DUMMYFUNCTION("""COMPUTED_VALUE"""),2016601.0)</f>
        <v>2016601</v>
      </c>
    </row>
    <row r="2985">
      <c r="A2985" s="26">
        <f>IFERROR(__xludf.DUMMYFUNCTION("""COMPUTED_VALUE"""),42776.64583333333)</f>
        <v>42776.64583</v>
      </c>
      <c r="B2985" s="9">
        <f>IFERROR(__xludf.DUMMYFUNCTION("""COMPUTED_VALUE"""),473.13)</f>
        <v>473.13</v>
      </c>
      <c r="C2985" s="9">
        <f>IFERROR(__xludf.DUMMYFUNCTION("""COMPUTED_VALUE"""),486.0)</f>
        <v>486</v>
      </c>
      <c r="D2985" s="9">
        <f>IFERROR(__xludf.DUMMYFUNCTION("""COMPUTED_VALUE"""),471.65)</f>
        <v>471.65</v>
      </c>
      <c r="E2985" s="9">
        <f>IFERROR(__xludf.DUMMYFUNCTION("""COMPUTED_VALUE"""),484.15)</f>
        <v>484.15</v>
      </c>
      <c r="F2985" s="9">
        <f>IFERROR(__xludf.DUMMYFUNCTION("""COMPUTED_VALUE"""),6126226.0)</f>
        <v>6126226</v>
      </c>
      <c r="H2985" s="27">
        <f>IFERROR(__xludf.DUMMYFUNCTION("""COMPUTED_VALUE"""),42776.64583333333)</f>
        <v>42776.64583</v>
      </c>
      <c r="I2985" s="25">
        <f>IFERROR(__xludf.DUMMYFUNCTION("""COMPUTED_VALUE"""),1155.5)</f>
        <v>1155.5</v>
      </c>
      <c r="J2985" s="25">
        <f>IFERROR(__xludf.DUMMYFUNCTION("""COMPUTED_VALUE"""),1212.22)</f>
        <v>1212.22</v>
      </c>
      <c r="K2985" s="25">
        <f>IFERROR(__xludf.DUMMYFUNCTION("""COMPUTED_VALUE"""),1155.5)</f>
        <v>1155.5</v>
      </c>
      <c r="L2985" s="25">
        <f>IFERROR(__xludf.DUMMYFUNCTION("""COMPUTED_VALUE"""),1198.97)</f>
        <v>1198.97</v>
      </c>
      <c r="M2985" s="25">
        <f>IFERROR(__xludf.DUMMYFUNCTION("""COMPUTED_VALUE"""),2891080.0)</f>
        <v>2891080</v>
      </c>
    </row>
    <row r="2986">
      <c r="A2986" s="26">
        <f>IFERROR(__xludf.DUMMYFUNCTION("""COMPUTED_VALUE"""),42779.64583333333)</f>
        <v>42779.64583</v>
      </c>
      <c r="B2986" s="9">
        <f>IFERROR(__xludf.DUMMYFUNCTION("""COMPUTED_VALUE"""),486.43)</f>
        <v>486.43</v>
      </c>
      <c r="C2986" s="9">
        <f>IFERROR(__xludf.DUMMYFUNCTION("""COMPUTED_VALUE"""),493.05)</f>
        <v>493.05</v>
      </c>
      <c r="D2986" s="9">
        <f>IFERROR(__xludf.DUMMYFUNCTION("""COMPUTED_VALUE"""),481.43)</f>
        <v>481.43</v>
      </c>
      <c r="E2986" s="9">
        <f>IFERROR(__xludf.DUMMYFUNCTION("""COMPUTED_VALUE"""),492.18)</f>
        <v>492.18</v>
      </c>
      <c r="F2986" s="9">
        <f>IFERROR(__xludf.DUMMYFUNCTION("""COMPUTED_VALUE"""),6862134.0)</f>
        <v>6862134</v>
      </c>
      <c r="H2986" s="27">
        <f>IFERROR(__xludf.DUMMYFUNCTION("""COMPUTED_VALUE"""),42779.64583333333)</f>
        <v>42779.64583</v>
      </c>
      <c r="I2986" s="25">
        <f>IFERROR(__xludf.DUMMYFUNCTION("""COMPUTED_VALUE"""),1198.0)</f>
        <v>1198</v>
      </c>
      <c r="J2986" s="25">
        <f>IFERROR(__xludf.DUMMYFUNCTION("""COMPUTED_VALUE"""),1214.5)</f>
        <v>1214.5</v>
      </c>
      <c r="K2986" s="25">
        <f>IFERROR(__xludf.DUMMYFUNCTION("""COMPUTED_VALUE"""),1191.18)</f>
        <v>1191.18</v>
      </c>
      <c r="L2986" s="25">
        <f>IFERROR(__xludf.DUMMYFUNCTION("""COMPUTED_VALUE"""),1207.13)</f>
        <v>1207.13</v>
      </c>
      <c r="M2986" s="25">
        <f>IFERROR(__xludf.DUMMYFUNCTION("""COMPUTED_VALUE"""),1909906.0)</f>
        <v>1909906</v>
      </c>
    </row>
    <row r="2987">
      <c r="A2987" s="26">
        <f>IFERROR(__xludf.DUMMYFUNCTION("""COMPUTED_VALUE"""),42780.64583333333)</f>
        <v>42780.64583</v>
      </c>
      <c r="B2987" s="9">
        <f>IFERROR(__xludf.DUMMYFUNCTION("""COMPUTED_VALUE"""),490.0)</f>
        <v>490</v>
      </c>
      <c r="C2987" s="9">
        <f>IFERROR(__xludf.DUMMYFUNCTION("""COMPUTED_VALUE"""),494.5)</f>
        <v>494.5</v>
      </c>
      <c r="D2987" s="9">
        <f>IFERROR(__xludf.DUMMYFUNCTION("""COMPUTED_VALUE"""),486.18)</f>
        <v>486.18</v>
      </c>
      <c r="E2987" s="9">
        <f>IFERROR(__xludf.DUMMYFUNCTION("""COMPUTED_VALUE"""),493.85)</f>
        <v>493.85</v>
      </c>
      <c r="F2987" s="9">
        <f>IFERROR(__xludf.DUMMYFUNCTION("""COMPUTED_VALUE"""),4669409.0)</f>
        <v>4669409</v>
      </c>
      <c r="H2987" s="27">
        <f>IFERROR(__xludf.DUMMYFUNCTION("""COMPUTED_VALUE"""),42780.64583333333)</f>
        <v>42780.64583</v>
      </c>
      <c r="I2987" s="25">
        <f>IFERROR(__xludf.DUMMYFUNCTION("""COMPUTED_VALUE"""),1209.83)</f>
        <v>1209.83</v>
      </c>
      <c r="J2987" s="25">
        <f>IFERROR(__xludf.DUMMYFUNCTION("""COMPUTED_VALUE"""),1209.83)</f>
        <v>1209.83</v>
      </c>
      <c r="K2987" s="25">
        <f>IFERROR(__xludf.DUMMYFUNCTION("""COMPUTED_VALUE"""),1199.0)</f>
        <v>1199</v>
      </c>
      <c r="L2987" s="25">
        <f>IFERROR(__xludf.DUMMYFUNCTION("""COMPUTED_VALUE"""),1203.13)</f>
        <v>1203.13</v>
      </c>
      <c r="M2987" s="25">
        <f>IFERROR(__xludf.DUMMYFUNCTION("""COMPUTED_VALUE"""),1016664.0)</f>
        <v>1016664</v>
      </c>
    </row>
    <row r="2988">
      <c r="A2988" s="26">
        <f>IFERROR(__xludf.DUMMYFUNCTION("""COMPUTED_VALUE"""),42781.64583333333)</f>
        <v>42781.64583</v>
      </c>
      <c r="B2988" s="9">
        <f>IFERROR(__xludf.DUMMYFUNCTION("""COMPUTED_VALUE"""),494.6)</f>
        <v>494.6</v>
      </c>
      <c r="C2988" s="9">
        <f>IFERROR(__xludf.DUMMYFUNCTION("""COMPUTED_VALUE"""),499.4)</f>
        <v>499.4</v>
      </c>
      <c r="D2988" s="9">
        <f>IFERROR(__xludf.DUMMYFUNCTION("""COMPUTED_VALUE"""),484.4)</f>
        <v>484.4</v>
      </c>
      <c r="E2988" s="9">
        <f>IFERROR(__xludf.DUMMYFUNCTION("""COMPUTED_VALUE"""),490.9)</f>
        <v>490.9</v>
      </c>
      <c r="F2988" s="9">
        <f>IFERROR(__xludf.DUMMYFUNCTION("""COMPUTED_VALUE"""),3629743.0)</f>
        <v>3629743</v>
      </c>
      <c r="H2988" s="27">
        <f>IFERROR(__xludf.DUMMYFUNCTION("""COMPUTED_VALUE"""),42781.64583333333)</f>
        <v>42781.64583</v>
      </c>
      <c r="I2988" s="25">
        <f>IFERROR(__xludf.DUMMYFUNCTION("""COMPUTED_VALUE"""),1198.5)</f>
        <v>1198.5</v>
      </c>
      <c r="J2988" s="25">
        <f>IFERROR(__xludf.DUMMYFUNCTION("""COMPUTED_VALUE"""),1214.0)</f>
        <v>1214</v>
      </c>
      <c r="K2988" s="25">
        <f>IFERROR(__xludf.DUMMYFUNCTION("""COMPUTED_VALUE"""),1187.55)</f>
        <v>1187.55</v>
      </c>
      <c r="L2988" s="25">
        <f>IFERROR(__xludf.DUMMYFUNCTION("""COMPUTED_VALUE"""),1206.85)</f>
        <v>1206.85</v>
      </c>
      <c r="M2988" s="25">
        <f>IFERROR(__xludf.DUMMYFUNCTION("""COMPUTED_VALUE"""),962486.0)</f>
        <v>962486</v>
      </c>
    </row>
    <row r="2989">
      <c r="A2989" s="26">
        <f>IFERROR(__xludf.DUMMYFUNCTION("""COMPUTED_VALUE"""),42782.64583333333)</f>
        <v>42782.64583</v>
      </c>
      <c r="B2989" s="9">
        <f>IFERROR(__xludf.DUMMYFUNCTION("""COMPUTED_VALUE"""),495.5)</f>
        <v>495.5</v>
      </c>
      <c r="C2989" s="9">
        <f>IFERROR(__xludf.DUMMYFUNCTION("""COMPUTED_VALUE"""),506.95)</f>
        <v>506.95</v>
      </c>
      <c r="D2989" s="9">
        <f>IFERROR(__xludf.DUMMYFUNCTION("""COMPUTED_VALUE"""),495.03)</f>
        <v>495.03</v>
      </c>
      <c r="E2989" s="9">
        <f>IFERROR(__xludf.DUMMYFUNCTION("""COMPUTED_VALUE"""),506.05)</f>
        <v>506.05</v>
      </c>
      <c r="F2989" s="9">
        <f>IFERROR(__xludf.DUMMYFUNCTION("""COMPUTED_VALUE"""),6407929.0)</f>
        <v>6407929</v>
      </c>
      <c r="H2989" s="27">
        <f>IFERROR(__xludf.DUMMYFUNCTION("""COMPUTED_VALUE"""),42782.64583333333)</f>
        <v>42782.64583</v>
      </c>
      <c r="I2989" s="25">
        <f>IFERROR(__xludf.DUMMYFUNCTION("""COMPUTED_VALUE"""),1230.0)</f>
        <v>1230</v>
      </c>
      <c r="J2989" s="25">
        <f>IFERROR(__xludf.DUMMYFUNCTION("""COMPUTED_VALUE"""),1239.0)</f>
        <v>1239</v>
      </c>
      <c r="K2989" s="25">
        <f>IFERROR(__xludf.DUMMYFUNCTION("""COMPUTED_VALUE"""),1217.8)</f>
        <v>1217.8</v>
      </c>
      <c r="L2989" s="25">
        <f>IFERROR(__xludf.DUMMYFUNCTION("""COMPUTED_VALUE"""),1223.88)</f>
        <v>1223.88</v>
      </c>
      <c r="M2989" s="25">
        <f>IFERROR(__xludf.DUMMYFUNCTION("""COMPUTED_VALUE"""),2087840.0)</f>
        <v>2087840</v>
      </c>
    </row>
    <row r="2990">
      <c r="A2990" s="26">
        <f>IFERROR(__xludf.DUMMYFUNCTION("""COMPUTED_VALUE"""),42783.64583333333)</f>
        <v>42783.64583</v>
      </c>
      <c r="B2990" s="9">
        <f>IFERROR(__xludf.DUMMYFUNCTION("""COMPUTED_VALUE"""),506.88)</f>
        <v>506.88</v>
      </c>
      <c r="C2990" s="9">
        <f>IFERROR(__xludf.DUMMYFUNCTION("""COMPUTED_VALUE"""),506.88)</f>
        <v>506.88</v>
      </c>
      <c r="D2990" s="9">
        <f>IFERROR(__xludf.DUMMYFUNCTION("""COMPUTED_VALUE"""),496.35)</f>
        <v>496.35</v>
      </c>
      <c r="E2990" s="9">
        <f>IFERROR(__xludf.DUMMYFUNCTION("""COMPUTED_VALUE"""),500.05)</f>
        <v>500.05</v>
      </c>
      <c r="F2990" s="9">
        <f>IFERROR(__xludf.DUMMYFUNCTION("""COMPUTED_VALUE"""),2425604.0)</f>
        <v>2425604</v>
      </c>
      <c r="H2990" s="27">
        <f>IFERROR(__xludf.DUMMYFUNCTION("""COMPUTED_VALUE"""),42783.64583333333)</f>
        <v>42783.64583</v>
      </c>
      <c r="I2990" s="25">
        <f>IFERROR(__xludf.DUMMYFUNCTION("""COMPUTED_VALUE"""),1236.0)</f>
        <v>1236</v>
      </c>
      <c r="J2990" s="25">
        <f>IFERROR(__xludf.DUMMYFUNCTION("""COMPUTED_VALUE"""),1237.8)</f>
        <v>1237.8</v>
      </c>
      <c r="K2990" s="25">
        <f>IFERROR(__xludf.DUMMYFUNCTION("""COMPUTED_VALUE"""),1201.0)</f>
        <v>1201</v>
      </c>
      <c r="L2990" s="25">
        <f>IFERROR(__xludf.DUMMYFUNCTION("""COMPUTED_VALUE"""),1203.95)</f>
        <v>1203.95</v>
      </c>
      <c r="M2990" s="25">
        <f>IFERROR(__xludf.DUMMYFUNCTION("""COMPUTED_VALUE"""),1361662.0)</f>
        <v>1361662</v>
      </c>
    </row>
    <row r="2991">
      <c r="A2991" s="26">
        <f>IFERROR(__xludf.DUMMYFUNCTION("""COMPUTED_VALUE"""),42786.64583333333)</f>
        <v>42786.64583</v>
      </c>
      <c r="B2991" s="9">
        <f>IFERROR(__xludf.DUMMYFUNCTION("""COMPUTED_VALUE"""),498.25)</f>
        <v>498.25</v>
      </c>
      <c r="C2991" s="9">
        <f>IFERROR(__xludf.DUMMYFUNCTION("""COMPUTED_VALUE"""),515.5)</f>
        <v>515.5</v>
      </c>
      <c r="D2991" s="9">
        <f>IFERROR(__xludf.DUMMYFUNCTION("""COMPUTED_VALUE"""),496.75)</f>
        <v>496.75</v>
      </c>
      <c r="E2991" s="9">
        <f>IFERROR(__xludf.DUMMYFUNCTION("""COMPUTED_VALUE"""),505.13)</f>
        <v>505.13</v>
      </c>
      <c r="F2991" s="9">
        <f>IFERROR(__xludf.DUMMYFUNCTION("""COMPUTED_VALUE"""),2325331.0)</f>
        <v>2325331</v>
      </c>
      <c r="H2991" s="27">
        <f>IFERROR(__xludf.DUMMYFUNCTION("""COMPUTED_VALUE"""),42786.64583333333)</f>
        <v>42786.64583</v>
      </c>
      <c r="I2991" s="25">
        <f>IFERROR(__xludf.DUMMYFUNCTION("""COMPUTED_VALUE"""),1212.5)</f>
        <v>1212.5</v>
      </c>
      <c r="J2991" s="25">
        <f>IFERROR(__xludf.DUMMYFUNCTION("""COMPUTED_VALUE"""),1277.5)</f>
        <v>1277.5</v>
      </c>
      <c r="K2991" s="25">
        <f>IFERROR(__xludf.DUMMYFUNCTION("""COMPUTED_VALUE"""),1204.05)</f>
        <v>1204.05</v>
      </c>
      <c r="L2991" s="25">
        <f>IFERROR(__xludf.DUMMYFUNCTION("""COMPUTED_VALUE"""),1251.1)</f>
        <v>1251.1</v>
      </c>
      <c r="M2991" s="25">
        <f>IFERROR(__xludf.DUMMYFUNCTION("""COMPUTED_VALUE"""),1986974.0)</f>
        <v>1986974</v>
      </c>
    </row>
    <row r="2992">
      <c r="A2992" s="26">
        <f>IFERROR(__xludf.DUMMYFUNCTION("""COMPUTED_VALUE"""),42787.64583333333)</f>
        <v>42787.64583</v>
      </c>
      <c r="B2992" s="9">
        <f>IFERROR(__xludf.DUMMYFUNCTION("""COMPUTED_VALUE"""),511.05)</f>
        <v>511.05</v>
      </c>
      <c r="C2992" s="9">
        <f>IFERROR(__xludf.DUMMYFUNCTION("""COMPUTED_VALUE"""),512.25)</f>
        <v>512.25</v>
      </c>
      <c r="D2992" s="9">
        <f>IFERROR(__xludf.DUMMYFUNCTION("""COMPUTED_VALUE"""),500.03)</f>
        <v>500.03</v>
      </c>
      <c r="E2992" s="9">
        <f>IFERROR(__xludf.DUMMYFUNCTION("""COMPUTED_VALUE"""),506.8)</f>
        <v>506.8</v>
      </c>
      <c r="F2992" s="9">
        <f>IFERROR(__xludf.DUMMYFUNCTION("""COMPUTED_VALUE"""),3806998.0)</f>
        <v>3806998</v>
      </c>
      <c r="H2992" s="27">
        <f>IFERROR(__xludf.DUMMYFUNCTION("""COMPUTED_VALUE"""),42787.64583333333)</f>
        <v>42787.64583</v>
      </c>
      <c r="I2992" s="25">
        <f>IFERROR(__xludf.DUMMYFUNCTION("""COMPUTED_VALUE"""),1257.0)</f>
        <v>1257</v>
      </c>
      <c r="J2992" s="25">
        <f>IFERROR(__xludf.DUMMYFUNCTION("""COMPUTED_VALUE"""),1262.95)</f>
        <v>1262.95</v>
      </c>
      <c r="K2992" s="25">
        <f>IFERROR(__xludf.DUMMYFUNCTION("""COMPUTED_VALUE"""),1227.58)</f>
        <v>1227.58</v>
      </c>
      <c r="L2992" s="25">
        <f>IFERROR(__xludf.DUMMYFUNCTION("""COMPUTED_VALUE"""),1232.68)</f>
        <v>1232.68</v>
      </c>
      <c r="M2992" s="25">
        <f>IFERROR(__xludf.DUMMYFUNCTION("""COMPUTED_VALUE"""),2750556.0)</f>
        <v>2750556</v>
      </c>
    </row>
    <row r="2993">
      <c r="A2993" s="26">
        <f>IFERROR(__xludf.DUMMYFUNCTION("""COMPUTED_VALUE"""),42788.64583333333)</f>
        <v>42788.64583</v>
      </c>
      <c r="B2993" s="9">
        <f>IFERROR(__xludf.DUMMYFUNCTION("""COMPUTED_VALUE"""),507.5)</f>
        <v>507.5</v>
      </c>
      <c r="C2993" s="9">
        <f>IFERROR(__xludf.DUMMYFUNCTION("""COMPUTED_VALUE"""),507.5)</f>
        <v>507.5</v>
      </c>
      <c r="D2993" s="9">
        <f>IFERROR(__xludf.DUMMYFUNCTION("""COMPUTED_VALUE"""),493.2)</f>
        <v>493.2</v>
      </c>
      <c r="E2993" s="9">
        <f>IFERROR(__xludf.DUMMYFUNCTION("""COMPUTED_VALUE"""),495.08)</f>
        <v>495.08</v>
      </c>
      <c r="F2993" s="9">
        <f>IFERROR(__xludf.DUMMYFUNCTION("""COMPUTED_VALUE"""),3303919.0)</f>
        <v>3303919</v>
      </c>
      <c r="H2993" s="27">
        <f>IFERROR(__xludf.DUMMYFUNCTION("""COMPUTED_VALUE"""),42788.64583333333)</f>
        <v>42788.64583</v>
      </c>
      <c r="I2993" s="25">
        <f>IFERROR(__xludf.DUMMYFUNCTION("""COMPUTED_VALUE"""),1232.95)</f>
        <v>1232.95</v>
      </c>
      <c r="J2993" s="25">
        <f>IFERROR(__xludf.DUMMYFUNCTION("""COMPUTED_VALUE"""),1235.0)</f>
        <v>1235</v>
      </c>
      <c r="K2993" s="25">
        <f>IFERROR(__xludf.DUMMYFUNCTION("""COMPUTED_VALUE"""),1200.08)</f>
        <v>1200.08</v>
      </c>
      <c r="L2993" s="25">
        <f>IFERROR(__xludf.DUMMYFUNCTION("""COMPUTED_VALUE"""),1205.75)</f>
        <v>1205.75</v>
      </c>
      <c r="M2993" s="25">
        <f>IFERROR(__xludf.DUMMYFUNCTION("""COMPUTED_VALUE"""),2252748.0)</f>
        <v>2252748</v>
      </c>
    </row>
    <row r="2994">
      <c r="A2994" s="26">
        <f>IFERROR(__xludf.DUMMYFUNCTION("""COMPUTED_VALUE"""),42789.64583333333)</f>
        <v>42789.64583</v>
      </c>
      <c r="B2994" s="9">
        <f>IFERROR(__xludf.DUMMYFUNCTION("""COMPUTED_VALUE"""),499.45)</f>
        <v>499.45</v>
      </c>
      <c r="C2994" s="9">
        <f>IFERROR(__xludf.DUMMYFUNCTION("""COMPUTED_VALUE"""),510.0)</f>
        <v>510</v>
      </c>
      <c r="D2994" s="9">
        <f>IFERROR(__xludf.DUMMYFUNCTION("""COMPUTED_VALUE"""),496.68)</f>
        <v>496.68</v>
      </c>
      <c r="E2994" s="9">
        <f>IFERROR(__xludf.DUMMYFUNCTION("""COMPUTED_VALUE"""),504.43)</f>
        <v>504.43</v>
      </c>
      <c r="F2994" s="9">
        <f>IFERROR(__xludf.DUMMYFUNCTION("""COMPUTED_VALUE"""),4771328.0)</f>
        <v>4771328</v>
      </c>
      <c r="H2994" s="27">
        <f>IFERROR(__xludf.DUMMYFUNCTION("""COMPUTED_VALUE"""),42789.64583333333)</f>
        <v>42789.64583</v>
      </c>
      <c r="I2994" s="25">
        <f>IFERROR(__xludf.DUMMYFUNCTION("""COMPUTED_VALUE"""),1207.5)</f>
        <v>1207.5</v>
      </c>
      <c r="J2994" s="25">
        <f>IFERROR(__xludf.DUMMYFUNCTION("""COMPUTED_VALUE"""),1246.63)</f>
        <v>1246.63</v>
      </c>
      <c r="K2994" s="25">
        <f>IFERROR(__xludf.DUMMYFUNCTION("""COMPUTED_VALUE"""),1207.5)</f>
        <v>1207.5</v>
      </c>
      <c r="L2994" s="25">
        <f>IFERROR(__xludf.DUMMYFUNCTION("""COMPUTED_VALUE"""),1240.9)</f>
        <v>1240.9</v>
      </c>
      <c r="M2994" s="25">
        <f>IFERROR(__xludf.DUMMYFUNCTION("""COMPUTED_VALUE"""),2426676.0)</f>
        <v>2426676</v>
      </c>
    </row>
    <row r="2995">
      <c r="A2995" s="26">
        <f>IFERROR(__xludf.DUMMYFUNCTION("""COMPUTED_VALUE"""),42793.64583333333)</f>
        <v>42793.64583</v>
      </c>
      <c r="B2995" s="9">
        <f>IFERROR(__xludf.DUMMYFUNCTION("""COMPUTED_VALUE"""),503.65)</f>
        <v>503.65</v>
      </c>
      <c r="C2995" s="9">
        <f>IFERROR(__xludf.DUMMYFUNCTION("""COMPUTED_VALUE"""),511.5)</f>
        <v>511.5</v>
      </c>
      <c r="D2995" s="9">
        <f>IFERROR(__xludf.DUMMYFUNCTION("""COMPUTED_VALUE"""),503.48)</f>
        <v>503.48</v>
      </c>
      <c r="E2995" s="9">
        <f>IFERROR(__xludf.DUMMYFUNCTION("""COMPUTED_VALUE"""),506.2)</f>
        <v>506.2</v>
      </c>
      <c r="F2995" s="9">
        <f>IFERROR(__xludf.DUMMYFUNCTION("""COMPUTED_VALUE"""),2664348.0)</f>
        <v>2664348</v>
      </c>
      <c r="H2995" s="27">
        <f>IFERROR(__xludf.DUMMYFUNCTION("""COMPUTED_VALUE"""),42793.64583333333)</f>
        <v>42793.64583</v>
      </c>
      <c r="I2995" s="25">
        <f>IFERROR(__xludf.DUMMYFUNCTION("""COMPUTED_VALUE"""),1239.55)</f>
        <v>1239.55</v>
      </c>
      <c r="J2995" s="25">
        <f>IFERROR(__xludf.DUMMYFUNCTION("""COMPUTED_VALUE"""),1251.0)</f>
        <v>1251</v>
      </c>
      <c r="K2995" s="25">
        <f>IFERROR(__xludf.DUMMYFUNCTION("""COMPUTED_VALUE"""),1235.03)</f>
        <v>1235.03</v>
      </c>
      <c r="L2995" s="25">
        <f>IFERROR(__xludf.DUMMYFUNCTION("""COMPUTED_VALUE"""),1244.93)</f>
        <v>1244.93</v>
      </c>
      <c r="M2995" s="25">
        <f>IFERROR(__xludf.DUMMYFUNCTION("""COMPUTED_VALUE"""),1069946.0)</f>
        <v>1069946</v>
      </c>
    </row>
    <row r="2996">
      <c r="A2996" s="26">
        <f>IFERROR(__xludf.DUMMYFUNCTION("""COMPUTED_VALUE"""),42794.64583333333)</f>
        <v>42794.64583</v>
      </c>
      <c r="B2996" s="9">
        <f>IFERROR(__xludf.DUMMYFUNCTION("""COMPUTED_VALUE"""),505.93)</f>
        <v>505.93</v>
      </c>
      <c r="C2996" s="9">
        <f>IFERROR(__xludf.DUMMYFUNCTION("""COMPUTED_VALUE"""),511.35)</f>
        <v>511.35</v>
      </c>
      <c r="D2996" s="9">
        <f>IFERROR(__xludf.DUMMYFUNCTION("""COMPUTED_VALUE"""),504.63)</f>
        <v>504.63</v>
      </c>
      <c r="E2996" s="9">
        <f>IFERROR(__xludf.DUMMYFUNCTION("""COMPUTED_VALUE"""),506.2)</f>
        <v>506.2</v>
      </c>
      <c r="F2996" s="9">
        <f>IFERROR(__xludf.DUMMYFUNCTION("""COMPUTED_VALUE"""),2970066.0)</f>
        <v>2970066</v>
      </c>
      <c r="H2996" s="27">
        <f>IFERROR(__xludf.DUMMYFUNCTION("""COMPUTED_VALUE"""),42794.64583333333)</f>
        <v>42794.64583</v>
      </c>
      <c r="I2996" s="25">
        <f>IFERROR(__xludf.DUMMYFUNCTION("""COMPUTED_VALUE"""),1244.75)</f>
        <v>1244.75</v>
      </c>
      <c r="J2996" s="25">
        <f>IFERROR(__xludf.DUMMYFUNCTION("""COMPUTED_VALUE"""),1245.0)</f>
        <v>1245</v>
      </c>
      <c r="K2996" s="25">
        <f>IFERROR(__xludf.DUMMYFUNCTION("""COMPUTED_VALUE"""),1225.0)</f>
        <v>1225</v>
      </c>
      <c r="L2996" s="25">
        <f>IFERROR(__xludf.DUMMYFUNCTION("""COMPUTED_VALUE"""),1233.13)</f>
        <v>1233.13</v>
      </c>
      <c r="M2996" s="25">
        <f>IFERROR(__xludf.DUMMYFUNCTION("""COMPUTED_VALUE"""),1177414.0)</f>
        <v>1177414</v>
      </c>
    </row>
    <row r="2997">
      <c r="A2997" s="26">
        <f>IFERROR(__xludf.DUMMYFUNCTION("""COMPUTED_VALUE"""),42795.64583333333)</f>
        <v>42795.64583</v>
      </c>
      <c r="B2997" s="9">
        <f>IFERROR(__xludf.DUMMYFUNCTION("""COMPUTED_VALUE"""),506.0)</f>
        <v>506</v>
      </c>
      <c r="C2997" s="9">
        <f>IFERROR(__xludf.DUMMYFUNCTION("""COMPUTED_VALUE"""),513.5)</f>
        <v>513.5</v>
      </c>
      <c r="D2997" s="9">
        <f>IFERROR(__xludf.DUMMYFUNCTION("""COMPUTED_VALUE"""),505.05)</f>
        <v>505.05</v>
      </c>
      <c r="E2997" s="9">
        <f>IFERROR(__xludf.DUMMYFUNCTION("""COMPUTED_VALUE"""),512.58)</f>
        <v>512.58</v>
      </c>
      <c r="F2997" s="9">
        <f>IFERROR(__xludf.DUMMYFUNCTION("""COMPUTED_VALUE"""),2141224.0)</f>
        <v>2141224</v>
      </c>
      <c r="H2997" s="27">
        <f>IFERROR(__xludf.DUMMYFUNCTION("""COMPUTED_VALUE"""),42795.64583333333)</f>
        <v>42795.64583</v>
      </c>
      <c r="I2997" s="25">
        <f>IFERROR(__xludf.DUMMYFUNCTION("""COMPUTED_VALUE"""),1239.95)</f>
        <v>1239.95</v>
      </c>
      <c r="J2997" s="25">
        <f>IFERROR(__xludf.DUMMYFUNCTION("""COMPUTED_VALUE"""),1250.95)</f>
        <v>1250.95</v>
      </c>
      <c r="K2997" s="25">
        <f>IFERROR(__xludf.DUMMYFUNCTION("""COMPUTED_VALUE"""),1235.0)</f>
        <v>1235</v>
      </c>
      <c r="L2997" s="25">
        <f>IFERROR(__xludf.DUMMYFUNCTION("""COMPUTED_VALUE"""),1239.78)</f>
        <v>1239.78</v>
      </c>
      <c r="M2997" s="25">
        <f>IFERROR(__xludf.DUMMYFUNCTION("""COMPUTED_VALUE"""),565187.0)</f>
        <v>565187</v>
      </c>
    </row>
    <row r="2998">
      <c r="A2998" s="26">
        <f>IFERROR(__xludf.DUMMYFUNCTION("""COMPUTED_VALUE"""),42796.64583333333)</f>
        <v>42796.64583</v>
      </c>
      <c r="B2998" s="9">
        <f>IFERROR(__xludf.DUMMYFUNCTION("""COMPUTED_VALUE"""),512.2)</f>
        <v>512.2</v>
      </c>
      <c r="C2998" s="9">
        <f>IFERROR(__xludf.DUMMYFUNCTION("""COMPUTED_VALUE"""),514.0)</f>
        <v>514</v>
      </c>
      <c r="D2998" s="9">
        <f>IFERROR(__xludf.DUMMYFUNCTION("""COMPUTED_VALUE"""),508.25)</f>
        <v>508.25</v>
      </c>
      <c r="E2998" s="9">
        <f>IFERROR(__xludf.DUMMYFUNCTION("""COMPUTED_VALUE"""),511.65)</f>
        <v>511.65</v>
      </c>
      <c r="F2998" s="9">
        <f>IFERROR(__xludf.DUMMYFUNCTION("""COMPUTED_VALUE"""),1474249.0)</f>
        <v>1474249</v>
      </c>
      <c r="H2998" s="27">
        <f>IFERROR(__xludf.DUMMYFUNCTION("""COMPUTED_VALUE"""),42796.64583333333)</f>
        <v>42796.64583</v>
      </c>
      <c r="I2998" s="25">
        <f>IFERROR(__xludf.DUMMYFUNCTION("""COMPUTED_VALUE"""),1243.35)</f>
        <v>1243.35</v>
      </c>
      <c r="J2998" s="25">
        <f>IFERROR(__xludf.DUMMYFUNCTION("""COMPUTED_VALUE"""),1255.0)</f>
        <v>1255</v>
      </c>
      <c r="K2998" s="25">
        <f>IFERROR(__xludf.DUMMYFUNCTION("""COMPUTED_VALUE"""),1235.03)</f>
        <v>1235.03</v>
      </c>
      <c r="L2998" s="25">
        <f>IFERROR(__xludf.DUMMYFUNCTION("""COMPUTED_VALUE"""),1250.72)</f>
        <v>1250.72</v>
      </c>
      <c r="M2998" s="25">
        <f>IFERROR(__xludf.DUMMYFUNCTION("""COMPUTED_VALUE"""),772471.0)</f>
        <v>772471</v>
      </c>
    </row>
    <row r="2999">
      <c r="A2999" s="26">
        <f>IFERROR(__xludf.DUMMYFUNCTION("""COMPUTED_VALUE"""),42797.64583333333)</f>
        <v>42797.64583</v>
      </c>
      <c r="B2999" s="9">
        <f>IFERROR(__xludf.DUMMYFUNCTION("""COMPUTED_VALUE"""),505.13)</f>
        <v>505.13</v>
      </c>
      <c r="C2999" s="9">
        <f>IFERROR(__xludf.DUMMYFUNCTION("""COMPUTED_VALUE"""),517.15)</f>
        <v>517.15</v>
      </c>
      <c r="D2999" s="9">
        <f>IFERROR(__xludf.DUMMYFUNCTION("""COMPUTED_VALUE"""),500.2)</f>
        <v>500.2</v>
      </c>
      <c r="E2999" s="9">
        <f>IFERROR(__xludf.DUMMYFUNCTION("""COMPUTED_VALUE"""),515.6)</f>
        <v>515.6</v>
      </c>
      <c r="F2999" s="9">
        <f>IFERROR(__xludf.DUMMYFUNCTION("""COMPUTED_VALUE"""),2700806.0)</f>
        <v>2700806</v>
      </c>
      <c r="H2999" s="27">
        <f>IFERROR(__xludf.DUMMYFUNCTION("""COMPUTED_VALUE"""),42797.64583333333)</f>
        <v>42797.64583</v>
      </c>
      <c r="I2999" s="25">
        <f>IFERROR(__xludf.DUMMYFUNCTION("""COMPUTED_VALUE"""),1246.0)</f>
        <v>1246</v>
      </c>
      <c r="J2999" s="25">
        <f>IFERROR(__xludf.DUMMYFUNCTION("""COMPUTED_VALUE"""),1249.85)</f>
        <v>1249.85</v>
      </c>
      <c r="K2999" s="25">
        <f>IFERROR(__xludf.DUMMYFUNCTION("""COMPUTED_VALUE"""),1237.7)</f>
        <v>1237.7</v>
      </c>
      <c r="L2999" s="25">
        <f>IFERROR(__xludf.DUMMYFUNCTION("""COMPUTED_VALUE"""),1247.03)</f>
        <v>1247.03</v>
      </c>
      <c r="M2999" s="25">
        <f>IFERROR(__xludf.DUMMYFUNCTION("""COMPUTED_VALUE"""),506985.0)</f>
        <v>506985</v>
      </c>
    </row>
    <row r="3000">
      <c r="A3000" s="26">
        <f>IFERROR(__xludf.DUMMYFUNCTION("""COMPUTED_VALUE"""),42800.64583333333)</f>
        <v>42800.64583</v>
      </c>
      <c r="B3000" s="9">
        <f>IFERROR(__xludf.DUMMYFUNCTION("""COMPUTED_VALUE"""),510.03)</f>
        <v>510.03</v>
      </c>
      <c r="C3000" s="9">
        <f>IFERROR(__xludf.DUMMYFUNCTION("""COMPUTED_VALUE"""),517.98)</f>
        <v>517.98</v>
      </c>
      <c r="D3000" s="9">
        <f>IFERROR(__xludf.DUMMYFUNCTION("""COMPUTED_VALUE"""),509.85)</f>
        <v>509.85</v>
      </c>
      <c r="E3000" s="9">
        <f>IFERROR(__xludf.DUMMYFUNCTION("""COMPUTED_VALUE"""),516.95)</f>
        <v>516.95</v>
      </c>
      <c r="F3000" s="9">
        <f>IFERROR(__xludf.DUMMYFUNCTION("""COMPUTED_VALUE"""),2643193.0)</f>
        <v>2643193</v>
      </c>
      <c r="H3000" s="27">
        <f>IFERROR(__xludf.DUMMYFUNCTION("""COMPUTED_VALUE"""),42800.64583333333)</f>
        <v>42800.64583</v>
      </c>
      <c r="I3000" s="25">
        <f>IFERROR(__xludf.DUMMYFUNCTION("""COMPUTED_VALUE"""),1240.0)</f>
        <v>1240</v>
      </c>
      <c r="J3000" s="25">
        <f>IFERROR(__xludf.DUMMYFUNCTION("""COMPUTED_VALUE"""),1242.0)</f>
        <v>1242</v>
      </c>
      <c r="K3000" s="25">
        <f>IFERROR(__xludf.DUMMYFUNCTION("""COMPUTED_VALUE"""),1227.28)</f>
        <v>1227.28</v>
      </c>
      <c r="L3000" s="25">
        <f>IFERROR(__xludf.DUMMYFUNCTION("""COMPUTED_VALUE"""),1236.25)</f>
        <v>1236.25</v>
      </c>
      <c r="M3000" s="25">
        <f>IFERROR(__xludf.DUMMYFUNCTION("""COMPUTED_VALUE"""),700347.0)</f>
        <v>700347</v>
      </c>
    </row>
    <row r="3001">
      <c r="A3001" s="26">
        <f>IFERROR(__xludf.DUMMYFUNCTION("""COMPUTED_VALUE"""),42801.64583333333)</f>
        <v>42801.64583</v>
      </c>
      <c r="B3001" s="9">
        <f>IFERROR(__xludf.DUMMYFUNCTION("""COMPUTED_VALUE"""),511.0)</f>
        <v>511</v>
      </c>
      <c r="C3001" s="9">
        <f>IFERROR(__xludf.DUMMYFUNCTION("""COMPUTED_VALUE"""),512.9)</f>
        <v>512.9</v>
      </c>
      <c r="D3001" s="9">
        <f>IFERROR(__xludf.DUMMYFUNCTION("""COMPUTED_VALUE"""),507.35)</f>
        <v>507.35</v>
      </c>
      <c r="E3001" s="9">
        <f>IFERROR(__xludf.DUMMYFUNCTION("""COMPUTED_VALUE"""),509.9)</f>
        <v>509.9</v>
      </c>
      <c r="F3001" s="9">
        <f>IFERROR(__xludf.DUMMYFUNCTION("""COMPUTED_VALUE"""),2322248.0)</f>
        <v>2322248</v>
      </c>
      <c r="H3001" s="27">
        <f>IFERROR(__xludf.DUMMYFUNCTION("""COMPUTED_VALUE"""),42801.64583333333)</f>
        <v>42801.64583</v>
      </c>
      <c r="I3001" s="25">
        <f>IFERROR(__xludf.DUMMYFUNCTION("""COMPUTED_VALUE"""),1241.45)</f>
        <v>1241.45</v>
      </c>
      <c r="J3001" s="25">
        <f>IFERROR(__xludf.DUMMYFUNCTION("""COMPUTED_VALUE"""),1252.5)</f>
        <v>1252.5</v>
      </c>
      <c r="K3001" s="25">
        <f>IFERROR(__xludf.DUMMYFUNCTION("""COMPUTED_VALUE"""),1237.53)</f>
        <v>1237.53</v>
      </c>
      <c r="L3001" s="25">
        <f>IFERROR(__xludf.DUMMYFUNCTION("""COMPUTED_VALUE"""),1249.9)</f>
        <v>1249.9</v>
      </c>
      <c r="M3001" s="25">
        <f>IFERROR(__xludf.DUMMYFUNCTION("""COMPUTED_VALUE"""),755836.0)</f>
        <v>755836</v>
      </c>
    </row>
    <row r="3002">
      <c r="A3002" s="26">
        <f>IFERROR(__xludf.DUMMYFUNCTION("""COMPUTED_VALUE"""),42802.64583333333)</f>
        <v>42802.64583</v>
      </c>
      <c r="B3002" s="9">
        <f>IFERROR(__xludf.DUMMYFUNCTION("""COMPUTED_VALUE"""),508.45)</f>
        <v>508.45</v>
      </c>
      <c r="C3002" s="9">
        <f>IFERROR(__xludf.DUMMYFUNCTION("""COMPUTED_VALUE"""),508.45)</f>
        <v>508.45</v>
      </c>
      <c r="D3002" s="9">
        <f>IFERROR(__xludf.DUMMYFUNCTION("""COMPUTED_VALUE"""),502.23)</f>
        <v>502.23</v>
      </c>
      <c r="E3002" s="9">
        <f>IFERROR(__xludf.DUMMYFUNCTION("""COMPUTED_VALUE"""),503.9)</f>
        <v>503.9</v>
      </c>
      <c r="F3002" s="9">
        <f>IFERROR(__xludf.DUMMYFUNCTION("""COMPUTED_VALUE"""),3089588.0)</f>
        <v>3089588</v>
      </c>
      <c r="H3002" s="27">
        <f>IFERROR(__xludf.DUMMYFUNCTION("""COMPUTED_VALUE"""),42802.64583333333)</f>
        <v>42802.64583</v>
      </c>
      <c r="I3002" s="25">
        <f>IFERROR(__xludf.DUMMYFUNCTION("""COMPUTED_VALUE"""),1251.0)</f>
        <v>1251</v>
      </c>
      <c r="J3002" s="25">
        <f>IFERROR(__xludf.DUMMYFUNCTION("""COMPUTED_VALUE"""),1260.0)</f>
        <v>1260</v>
      </c>
      <c r="K3002" s="25">
        <f>IFERROR(__xludf.DUMMYFUNCTION("""COMPUTED_VALUE"""),1246.1)</f>
        <v>1246.1</v>
      </c>
      <c r="L3002" s="25">
        <f>IFERROR(__xludf.DUMMYFUNCTION("""COMPUTED_VALUE"""),1256.1)</f>
        <v>1256.1</v>
      </c>
      <c r="M3002" s="25">
        <f>IFERROR(__xludf.DUMMYFUNCTION("""COMPUTED_VALUE"""),895755.0)</f>
        <v>895755</v>
      </c>
    </row>
    <row r="3003">
      <c r="A3003" s="26">
        <f>IFERROR(__xludf.DUMMYFUNCTION("""COMPUTED_VALUE"""),42803.64583333333)</f>
        <v>42803.64583</v>
      </c>
      <c r="B3003" s="9">
        <f>IFERROR(__xludf.DUMMYFUNCTION("""COMPUTED_VALUE"""),503.9)</f>
        <v>503.9</v>
      </c>
      <c r="C3003" s="9">
        <f>IFERROR(__xludf.DUMMYFUNCTION("""COMPUTED_VALUE"""),506.5)</f>
        <v>506.5</v>
      </c>
      <c r="D3003" s="9">
        <f>IFERROR(__xludf.DUMMYFUNCTION("""COMPUTED_VALUE"""),499.5)</f>
        <v>499.5</v>
      </c>
      <c r="E3003" s="9">
        <f>IFERROR(__xludf.DUMMYFUNCTION("""COMPUTED_VALUE"""),505.78)</f>
        <v>505.78</v>
      </c>
      <c r="F3003" s="9">
        <f>IFERROR(__xludf.DUMMYFUNCTION("""COMPUTED_VALUE"""),1740315.0)</f>
        <v>1740315</v>
      </c>
      <c r="H3003" s="27">
        <f>IFERROR(__xludf.DUMMYFUNCTION("""COMPUTED_VALUE"""),42803.64583333333)</f>
        <v>42803.64583</v>
      </c>
      <c r="I3003" s="25">
        <f>IFERROR(__xludf.DUMMYFUNCTION("""COMPUTED_VALUE"""),1257.08)</f>
        <v>1257.08</v>
      </c>
      <c r="J3003" s="25">
        <f>IFERROR(__xludf.DUMMYFUNCTION("""COMPUTED_VALUE"""),1262.0)</f>
        <v>1262</v>
      </c>
      <c r="K3003" s="25">
        <f>IFERROR(__xludf.DUMMYFUNCTION("""COMPUTED_VALUE"""),1252.03)</f>
        <v>1252.03</v>
      </c>
      <c r="L3003" s="25">
        <f>IFERROR(__xludf.DUMMYFUNCTION("""COMPUTED_VALUE"""),1259.88)</f>
        <v>1259.88</v>
      </c>
      <c r="M3003" s="25">
        <f>IFERROR(__xludf.DUMMYFUNCTION("""COMPUTED_VALUE"""),429234.0)</f>
        <v>429234</v>
      </c>
    </row>
    <row r="3004">
      <c r="A3004" s="26">
        <f>IFERROR(__xludf.DUMMYFUNCTION("""COMPUTED_VALUE"""),42804.64583333333)</f>
        <v>42804.64583</v>
      </c>
      <c r="B3004" s="9">
        <f>IFERROR(__xludf.DUMMYFUNCTION("""COMPUTED_VALUE"""),507.5)</f>
        <v>507.5</v>
      </c>
      <c r="C3004" s="9">
        <f>IFERROR(__xludf.DUMMYFUNCTION("""COMPUTED_VALUE"""),513.83)</f>
        <v>513.83</v>
      </c>
      <c r="D3004" s="9">
        <f>IFERROR(__xludf.DUMMYFUNCTION("""COMPUTED_VALUE"""),506.7)</f>
        <v>506.7</v>
      </c>
      <c r="E3004" s="9">
        <f>IFERROR(__xludf.DUMMYFUNCTION("""COMPUTED_VALUE"""),510.93)</f>
        <v>510.93</v>
      </c>
      <c r="F3004" s="9">
        <f>IFERROR(__xludf.DUMMYFUNCTION("""COMPUTED_VALUE"""),2275162.0)</f>
        <v>2275162</v>
      </c>
      <c r="H3004" s="27">
        <f>IFERROR(__xludf.DUMMYFUNCTION("""COMPUTED_VALUE"""),42804.64583333333)</f>
        <v>42804.64583</v>
      </c>
      <c r="I3004" s="25">
        <f>IFERROR(__xludf.DUMMYFUNCTION("""COMPUTED_VALUE"""),1259.8)</f>
        <v>1259.8</v>
      </c>
      <c r="J3004" s="25">
        <f>IFERROR(__xludf.DUMMYFUNCTION("""COMPUTED_VALUE"""),1274.78)</f>
        <v>1274.78</v>
      </c>
      <c r="K3004" s="25">
        <f>IFERROR(__xludf.DUMMYFUNCTION("""COMPUTED_VALUE"""),1256.97)</f>
        <v>1256.97</v>
      </c>
      <c r="L3004" s="25">
        <f>IFERROR(__xludf.DUMMYFUNCTION("""COMPUTED_VALUE"""),1271.13)</f>
        <v>1271.13</v>
      </c>
      <c r="M3004" s="25">
        <f>IFERROR(__xludf.DUMMYFUNCTION("""COMPUTED_VALUE"""),585710.0)</f>
        <v>585710</v>
      </c>
    </row>
    <row r="3005">
      <c r="A3005" s="26">
        <f>IFERROR(__xludf.DUMMYFUNCTION("""COMPUTED_VALUE"""),42808.64583333333)</f>
        <v>42808.64583</v>
      </c>
      <c r="B3005" s="9">
        <f>IFERROR(__xludf.DUMMYFUNCTION("""COMPUTED_VALUE"""),511.4)</f>
        <v>511.4</v>
      </c>
      <c r="C3005" s="9">
        <f>IFERROR(__xludf.DUMMYFUNCTION("""COMPUTED_VALUE"""),520.95)</f>
        <v>520.95</v>
      </c>
      <c r="D3005" s="9">
        <f>IFERROR(__xludf.DUMMYFUNCTION("""COMPUTED_VALUE"""),511.4)</f>
        <v>511.4</v>
      </c>
      <c r="E3005" s="9">
        <f>IFERROR(__xludf.DUMMYFUNCTION("""COMPUTED_VALUE"""),517.4)</f>
        <v>517.4</v>
      </c>
      <c r="F3005" s="9">
        <f>IFERROR(__xludf.DUMMYFUNCTION("""COMPUTED_VALUE"""),3939198.0)</f>
        <v>3939198</v>
      </c>
      <c r="H3005" s="27">
        <f>IFERROR(__xludf.DUMMYFUNCTION("""COMPUTED_VALUE"""),42808.64583333333)</f>
        <v>42808.64583</v>
      </c>
      <c r="I3005" s="25">
        <f>IFERROR(__xludf.DUMMYFUNCTION("""COMPUTED_VALUE"""),1278.4)</f>
        <v>1278.4</v>
      </c>
      <c r="J3005" s="25">
        <f>IFERROR(__xludf.DUMMYFUNCTION("""COMPUTED_VALUE"""),1293.58)</f>
        <v>1293.58</v>
      </c>
      <c r="K3005" s="25">
        <f>IFERROR(__xludf.DUMMYFUNCTION("""COMPUTED_VALUE"""),1275.53)</f>
        <v>1275.53</v>
      </c>
      <c r="L3005" s="25">
        <f>IFERROR(__xludf.DUMMYFUNCTION("""COMPUTED_VALUE"""),1283.75)</f>
        <v>1283.75</v>
      </c>
      <c r="M3005" s="25">
        <f>IFERROR(__xludf.DUMMYFUNCTION("""COMPUTED_VALUE"""),1701147.0)</f>
        <v>1701147</v>
      </c>
    </row>
    <row r="3006">
      <c r="A3006" s="26">
        <f>IFERROR(__xludf.DUMMYFUNCTION("""COMPUTED_VALUE"""),42809.64583333333)</f>
        <v>42809.64583</v>
      </c>
      <c r="B3006" s="9">
        <f>IFERROR(__xludf.DUMMYFUNCTION("""COMPUTED_VALUE"""),517.45)</f>
        <v>517.45</v>
      </c>
      <c r="C3006" s="9">
        <f>IFERROR(__xludf.DUMMYFUNCTION("""COMPUTED_VALUE"""),517.45)</f>
        <v>517.45</v>
      </c>
      <c r="D3006" s="9">
        <f>IFERROR(__xludf.DUMMYFUNCTION("""COMPUTED_VALUE"""),503.75)</f>
        <v>503.75</v>
      </c>
      <c r="E3006" s="9">
        <f>IFERROR(__xludf.DUMMYFUNCTION("""COMPUTED_VALUE"""),505.98)</f>
        <v>505.98</v>
      </c>
      <c r="F3006" s="9">
        <f>IFERROR(__xludf.DUMMYFUNCTION("""COMPUTED_VALUE"""),3186989.0)</f>
        <v>3186989</v>
      </c>
      <c r="H3006" s="27">
        <f>IFERROR(__xludf.DUMMYFUNCTION("""COMPUTED_VALUE"""),42809.64583333333)</f>
        <v>42809.64583</v>
      </c>
      <c r="I3006" s="25">
        <f>IFERROR(__xludf.DUMMYFUNCTION("""COMPUTED_VALUE"""),1286.0)</f>
        <v>1286</v>
      </c>
      <c r="J3006" s="25">
        <f>IFERROR(__xludf.DUMMYFUNCTION("""COMPUTED_VALUE"""),1286.08)</f>
        <v>1286.08</v>
      </c>
      <c r="K3006" s="25">
        <f>IFERROR(__xludf.DUMMYFUNCTION("""COMPUTED_VALUE"""),1246.93)</f>
        <v>1246.93</v>
      </c>
      <c r="L3006" s="25">
        <f>IFERROR(__xludf.DUMMYFUNCTION("""COMPUTED_VALUE"""),1249.15)</f>
        <v>1249.15</v>
      </c>
      <c r="M3006" s="25">
        <f>IFERROR(__xludf.DUMMYFUNCTION("""COMPUTED_VALUE"""),1511248.0)</f>
        <v>1511248</v>
      </c>
    </row>
    <row r="3007">
      <c r="A3007" s="26">
        <f>IFERROR(__xludf.DUMMYFUNCTION("""COMPUTED_VALUE"""),42810.64583333333)</f>
        <v>42810.64583</v>
      </c>
      <c r="B3007" s="9">
        <f>IFERROR(__xludf.DUMMYFUNCTION("""COMPUTED_VALUE"""),506.65)</f>
        <v>506.65</v>
      </c>
      <c r="C3007" s="9">
        <f>IFERROR(__xludf.DUMMYFUNCTION("""COMPUTED_VALUE"""),515.85)</f>
        <v>515.85</v>
      </c>
      <c r="D3007" s="9">
        <f>IFERROR(__xludf.DUMMYFUNCTION("""COMPUTED_VALUE"""),506.65)</f>
        <v>506.65</v>
      </c>
      <c r="E3007" s="9">
        <f>IFERROR(__xludf.DUMMYFUNCTION("""COMPUTED_VALUE"""),514.42)</f>
        <v>514.42</v>
      </c>
      <c r="F3007" s="9">
        <f>IFERROR(__xludf.DUMMYFUNCTION("""COMPUTED_VALUE"""),3351478.0)</f>
        <v>3351478</v>
      </c>
      <c r="H3007" s="27">
        <f>IFERROR(__xludf.DUMMYFUNCTION("""COMPUTED_VALUE"""),42810.64583333333)</f>
        <v>42810.64583</v>
      </c>
      <c r="I3007" s="25">
        <f>IFERROR(__xludf.DUMMYFUNCTION("""COMPUTED_VALUE"""),1253.0)</f>
        <v>1253</v>
      </c>
      <c r="J3007" s="25">
        <f>IFERROR(__xludf.DUMMYFUNCTION("""COMPUTED_VALUE"""),1263.5)</f>
        <v>1263.5</v>
      </c>
      <c r="K3007" s="25">
        <f>IFERROR(__xludf.DUMMYFUNCTION("""COMPUTED_VALUE"""),1253.0)</f>
        <v>1253</v>
      </c>
      <c r="L3007" s="25">
        <f>IFERROR(__xludf.DUMMYFUNCTION("""COMPUTED_VALUE"""),1260.45)</f>
        <v>1260.45</v>
      </c>
      <c r="M3007" s="25">
        <f>IFERROR(__xludf.DUMMYFUNCTION("""COMPUTED_VALUE"""),785909.0)</f>
        <v>785909</v>
      </c>
    </row>
    <row r="3008">
      <c r="A3008" s="26">
        <f>IFERROR(__xludf.DUMMYFUNCTION("""COMPUTED_VALUE"""),42811.64583333333)</f>
        <v>42811.64583</v>
      </c>
      <c r="B3008" s="9">
        <f>IFERROR(__xludf.DUMMYFUNCTION("""COMPUTED_VALUE"""),517.7)</f>
        <v>517.7</v>
      </c>
      <c r="C3008" s="9">
        <f>IFERROR(__xludf.DUMMYFUNCTION("""COMPUTED_VALUE"""),521.45)</f>
        <v>521.45</v>
      </c>
      <c r="D3008" s="9">
        <f>IFERROR(__xludf.DUMMYFUNCTION("""COMPUTED_VALUE"""),509.63)</f>
        <v>509.63</v>
      </c>
      <c r="E3008" s="9">
        <f>IFERROR(__xludf.DUMMYFUNCTION("""COMPUTED_VALUE"""),520.15)</f>
        <v>520.15</v>
      </c>
      <c r="F3008" s="9">
        <f>IFERROR(__xludf.DUMMYFUNCTION("""COMPUTED_VALUE"""),4753923.0)</f>
        <v>4753923</v>
      </c>
      <c r="H3008" s="27">
        <f>IFERROR(__xludf.DUMMYFUNCTION("""COMPUTED_VALUE"""),42811.64583333333)</f>
        <v>42811.64583</v>
      </c>
      <c r="I3008" s="25">
        <f>IFERROR(__xludf.DUMMYFUNCTION("""COMPUTED_VALUE"""),1273.0)</f>
        <v>1273</v>
      </c>
      <c r="J3008" s="25">
        <f>IFERROR(__xludf.DUMMYFUNCTION("""COMPUTED_VALUE"""),1273.0)</f>
        <v>1273</v>
      </c>
      <c r="K3008" s="25">
        <f>IFERROR(__xludf.DUMMYFUNCTION("""COMPUTED_VALUE"""),1254.88)</f>
        <v>1254.88</v>
      </c>
      <c r="L3008" s="25">
        <f>IFERROR(__xludf.DUMMYFUNCTION("""COMPUTED_VALUE"""),1262.88)</f>
        <v>1262.88</v>
      </c>
      <c r="M3008" s="25">
        <f>IFERROR(__xludf.DUMMYFUNCTION("""COMPUTED_VALUE"""),1296576.0)</f>
        <v>1296576</v>
      </c>
    </row>
    <row r="3009">
      <c r="A3009" s="26">
        <f>IFERROR(__xludf.DUMMYFUNCTION("""COMPUTED_VALUE"""),42814.64583333333)</f>
        <v>42814.64583</v>
      </c>
      <c r="B3009" s="9">
        <f>IFERROR(__xludf.DUMMYFUNCTION("""COMPUTED_VALUE"""),513.28)</f>
        <v>513.28</v>
      </c>
      <c r="C3009" s="9">
        <f>IFERROR(__xludf.DUMMYFUNCTION("""COMPUTED_VALUE"""),513.28)</f>
        <v>513.28</v>
      </c>
      <c r="D3009" s="9">
        <f>IFERROR(__xludf.DUMMYFUNCTION("""COMPUTED_VALUE"""),507.55)</f>
        <v>507.55</v>
      </c>
      <c r="E3009" s="9">
        <f>IFERROR(__xludf.DUMMYFUNCTION("""COMPUTED_VALUE"""),510.75)</f>
        <v>510.75</v>
      </c>
      <c r="F3009" s="9">
        <f>IFERROR(__xludf.DUMMYFUNCTION("""COMPUTED_VALUE"""),2213694.0)</f>
        <v>2213694</v>
      </c>
      <c r="H3009" s="27">
        <f>IFERROR(__xludf.DUMMYFUNCTION("""COMPUTED_VALUE"""),42814.64583333333)</f>
        <v>42814.64583</v>
      </c>
      <c r="I3009" s="25">
        <f>IFERROR(__xludf.DUMMYFUNCTION("""COMPUTED_VALUE"""),1262.97)</f>
        <v>1262.97</v>
      </c>
      <c r="J3009" s="25">
        <f>IFERROR(__xludf.DUMMYFUNCTION("""COMPUTED_VALUE"""),1262.97)</f>
        <v>1262.97</v>
      </c>
      <c r="K3009" s="25">
        <f>IFERROR(__xludf.DUMMYFUNCTION("""COMPUTED_VALUE"""),1233.0)</f>
        <v>1233</v>
      </c>
      <c r="L3009" s="25">
        <f>IFERROR(__xludf.DUMMYFUNCTION("""COMPUTED_VALUE"""),1240.0)</f>
        <v>1240</v>
      </c>
      <c r="M3009" s="25">
        <f>IFERROR(__xludf.DUMMYFUNCTION("""COMPUTED_VALUE"""),1743770.0)</f>
        <v>1743770</v>
      </c>
    </row>
    <row r="3010">
      <c r="A3010" s="26">
        <f>IFERROR(__xludf.DUMMYFUNCTION("""COMPUTED_VALUE"""),42815.64583333333)</f>
        <v>42815.64583</v>
      </c>
      <c r="B3010" s="9">
        <f>IFERROR(__xludf.DUMMYFUNCTION("""COMPUTED_VALUE"""),510.45)</f>
        <v>510.45</v>
      </c>
      <c r="C3010" s="9">
        <f>IFERROR(__xludf.DUMMYFUNCTION("""COMPUTED_VALUE"""),517.48)</f>
        <v>517.48</v>
      </c>
      <c r="D3010" s="9">
        <f>IFERROR(__xludf.DUMMYFUNCTION("""COMPUTED_VALUE"""),509.4)</f>
        <v>509.4</v>
      </c>
      <c r="E3010" s="9">
        <f>IFERROR(__xludf.DUMMYFUNCTION("""COMPUTED_VALUE"""),516.42)</f>
        <v>516.42</v>
      </c>
      <c r="F3010" s="9">
        <f>IFERROR(__xludf.DUMMYFUNCTION("""COMPUTED_VALUE"""),2434792.0)</f>
        <v>2434792</v>
      </c>
      <c r="H3010" s="27">
        <f>IFERROR(__xludf.DUMMYFUNCTION("""COMPUTED_VALUE"""),42815.64583333333)</f>
        <v>42815.64583</v>
      </c>
      <c r="I3010" s="25">
        <f>IFERROR(__xludf.DUMMYFUNCTION("""COMPUTED_VALUE"""),1241.0)</f>
        <v>1241</v>
      </c>
      <c r="J3010" s="25">
        <f>IFERROR(__xludf.DUMMYFUNCTION("""COMPUTED_VALUE"""),1246.0)</f>
        <v>1246</v>
      </c>
      <c r="K3010" s="25">
        <f>IFERROR(__xludf.DUMMYFUNCTION("""COMPUTED_VALUE"""),1232.5)</f>
        <v>1232.5</v>
      </c>
      <c r="L3010" s="25">
        <f>IFERROR(__xludf.DUMMYFUNCTION("""COMPUTED_VALUE"""),1243.35)</f>
        <v>1243.35</v>
      </c>
      <c r="M3010" s="25">
        <f>IFERROR(__xludf.DUMMYFUNCTION("""COMPUTED_VALUE"""),1686850.0)</f>
        <v>1686850</v>
      </c>
    </row>
    <row r="3011">
      <c r="A3011" s="26">
        <f>IFERROR(__xludf.DUMMYFUNCTION("""COMPUTED_VALUE"""),42816.64583333333)</f>
        <v>42816.64583</v>
      </c>
      <c r="B3011" s="9">
        <f>IFERROR(__xludf.DUMMYFUNCTION("""COMPUTED_VALUE"""),511.23)</f>
        <v>511.23</v>
      </c>
      <c r="C3011" s="9">
        <f>IFERROR(__xludf.DUMMYFUNCTION("""COMPUTED_VALUE"""),519.98)</f>
        <v>519.98</v>
      </c>
      <c r="D3011" s="9">
        <f>IFERROR(__xludf.DUMMYFUNCTION("""COMPUTED_VALUE"""),510.2)</f>
        <v>510.2</v>
      </c>
      <c r="E3011" s="9">
        <f>IFERROR(__xludf.DUMMYFUNCTION("""COMPUTED_VALUE"""),513.85)</f>
        <v>513.85</v>
      </c>
      <c r="F3011" s="9">
        <f>IFERROR(__xludf.DUMMYFUNCTION("""COMPUTED_VALUE"""),1995426.0)</f>
        <v>1995426</v>
      </c>
      <c r="H3011" s="27">
        <f>IFERROR(__xludf.DUMMYFUNCTION("""COMPUTED_VALUE"""),42816.64583333333)</f>
        <v>42816.64583</v>
      </c>
      <c r="I3011" s="25">
        <f>IFERROR(__xludf.DUMMYFUNCTION("""COMPUTED_VALUE"""),1240.08)</f>
        <v>1240.08</v>
      </c>
      <c r="J3011" s="25">
        <f>IFERROR(__xludf.DUMMYFUNCTION("""COMPUTED_VALUE"""),1248.0)</f>
        <v>1248</v>
      </c>
      <c r="K3011" s="25">
        <f>IFERROR(__xludf.DUMMYFUNCTION("""COMPUTED_VALUE"""),1234.97)</f>
        <v>1234.97</v>
      </c>
      <c r="L3011" s="25">
        <f>IFERROR(__xludf.DUMMYFUNCTION("""COMPUTED_VALUE"""),1239.47)</f>
        <v>1239.47</v>
      </c>
      <c r="M3011" s="25">
        <f>IFERROR(__xludf.DUMMYFUNCTION("""COMPUTED_VALUE"""),944358.0)</f>
        <v>944358</v>
      </c>
    </row>
    <row r="3012">
      <c r="A3012" s="26">
        <f>IFERROR(__xludf.DUMMYFUNCTION("""COMPUTED_VALUE"""),42817.64583333333)</f>
        <v>42817.64583</v>
      </c>
      <c r="B3012" s="9">
        <f>IFERROR(__xludf.DUMMYFUNCTION("""COMPUTED_VALUE"""),514.13)</f>
        <v>514.13</v>
      </c>
      <c r="C3012" s="9">
        <f>IFERROR(__xludf.DUMMYFUNCTION("""COMPUTED_VALUE"""),521.5)</f>
        <v>521.5</v>
      </c>
      <c r="D3012" s="9">
        <f>IFERROR(__xludf.DUMMYFUNCTION("""COMPUTED_VALUE"""),513.3)</f>
        <v>513.3</v>
      </c>
      <c r="E3012" s="9">
        <f>IFERROR(__xludf.DUMMYFUNCTION("""COMPUTED_VALUE"""),520.23)</f>
        <v>520.23</v>
      </c>
      <c r="F3012" s="9">
        <f>IFERROR(__xludf.DUMMYFUNCTION("""COMPUTED_VALUE"""),2250831.0)</f>
        <v>2250831</v>
      </c>
      <c r="H3012" s="27">
        <f>IFERROR(__xludf.DUMMYFUNCTION("""COMPUTED_VALUE"""),42817.64583333333)</f>
        <v>42817.64583</v>
      </c>
      <c r="I3012" s="25">
        <f>IFERROR(__xludf.DUMMYFUNCTION("""COMPUTED_VALUE"""),1241.0)</f>
        <v>1241</v>
      </c>
      <c r="J3012" s="25">
        <f>IFERROR(__xludf.DUMMYFUNCTION("""COMPUTED_VALUE"""),1242.53)</f>
        <v>1242.53</v>
      </c>
      <c r="K3012" s="25">
        <f>IFERROR(__xludf.DUMMYFUNCTION("""COMPUTED_VALUE"""),1223.6)</f>
        <v>1223.6</v>
      </c>
      <c r="L3012" s="25">
        <f>IFERROR(__xludf.DUMMYFUNCTION("""COMPUTED_VALUE"""),1230.18)</f>
        <v>1230.18</v>
      </c>
      <c r="M3012" s="25">
        <f>IFERROR(__xludf.DUMMYFUNCTION("""COMPUTED_VALUE"""),1310319.0)</f>
        <v>1310319</v>
      </c>
    </row>
    <row r="3013">
      <c r="A3013" s="26">
        <f>IFERROR(__xludf.DUMMYFUNCTION("""COMPUTED_VALUE"""),42818.64583333333)</f>
        <v>42818.64583</v>
      </c>
      <c r="B3013" s="9">
        <f>IFERROR(__xludf.DUMMYFUNCTION("""COMPUTED_VALUE"""),519.0)</f>
        <v>519</v>
      </c>
      <c r="C3013" s="9">
        <f>IFERROR(__xludf.DUMMYFUNCTION("""COMPUTED_VALUE"""),522.0)</f>
        <v>522</v>
      </c>
      <c r="D3013" s="9">
        <f>IFERROR(__xludf.DUMMYFUNCTION("""COMPUTED_VALUE"""),513.85)</f>
        <v>513.85</v>
      </c>
      <c r="E3013" s="9">
        <f>IFERROR(__xludf.DUMMYFUNCTION("""COMPUTED_VALUE"""),515.7)</f>
        <v>515.7</v>
      </c>
      <c r="F3013" s="9">
        <f>IFERROR(__xludf.DUMMYFUNCTION("""COMPUTED_VALUE"""),2441948.0)</f>
        <v>2441948</v>
      </c>
      <c r="H3013" s="27">
        <f>IFERROR(__xludf.DUMMYFUNCTION("""COMPUTED_VALUE"""),42818.64583333333)</f>
        <v>42818.64583</v>
      </c>
      <c r="I3013" s="25">
        <f>IFERROR(__xludf.DUMMYFUNCTION("""COMPUTED_VALUE"""),1234.9)</f>
        <v>1234.9</v>
      </c>
      <c r="J3013" s="25">
        <f>IFERROR(__xludf.DUMMYFUNCTION("""COMPUTED_VALUE"""),1234.9)</f>
        <v>1234.9</v>
      </c>
      <c r="K3013" s="25">
        <f>IFERROR(__xludf.DUMMYFUNCTION("""COMPUTED_VALUE"""),1211.65)</f>
        <v>1211.65</v>
      </c>
      <c r="L3013" s="25">
        <f>IFERROR(__xludf.DUMMYFUNCTION("""COMPUTED_VALUE"""),1213.6)</f>
        <v>1213.6</v>
      </c>
      <c r="M3013" s="25">
        <f>IFERROR(__xludf.DUMMYFUNCTION("""COMPUTED_VALUE"""),2549907.0)</f>
        <v>2549907</v>
      </c>
    </row>
    <row r="3014">
      <c r="A3014" s="26">
        <f>IFERROR(__xludf.DUMMYFUNCTION("""COMPUTED_VALUE"""),42821.64583333333)</f>
        <v>42821.64583</v>
      </c>
      <c r="B3014" s="9">
        <f>IFERROR(__xludf.DUMMYFUNCTION("""COMPUTED_VALUE"""),513.6)</f>
        <v>513.6</v>
      </c>
      <c r="C3014" s="9">
        <f>IFERROR(__xludf.DUMMYFUNCTION("""COMPUTED_VALUE"""),520.92)</f>
        <v>520.92</v>
      </c>
      <c r="D3014" s="9">
        <f>IFERROR(__xludf.DUMMYFUNCTION("""COMPUTED_VALUE"""),512.25)</f>
        <v>512.25</v>
      </c>
      <c r="E3014" s="9">
        <f>IFERROR(__xludf.DUMMYFUNCTION("""COMPUTED_VALUE"""),514.42)</f>
        <v>514.42</v>
      </c>
      <c r="F3014" s="9">
        <f>IFERROR(__xludf.DUMMYFUNCTION("""COMPUTED_VALUE"""),3842412.0)</f>
        <v>3842412</v>
      </c>
      <c r="H3014" s="27">
        <f>IFERROR(__xludf.DUMMYFUNCTION("""COMPUTED_VALUE"""),42821.64583333333)</f>
        <v>42821.64583</v>
      </c>
      <c r="I3014" s="25">
        <f>IFERROR(__xludf.DUMMYFUNCTION("""COMPUTED_VALUE"""),1213.47)</f>
        <v>1213.47</v>
      </c>
      <c r="J3014" s="25">
        <f>IFERROR(__xludf.DUMMYFUNCTION("""COMPUTED_VALUE"""),1220.0)</f>
        <v>1220</v>
      </c>
      <c r="K3014" s="25">
        <f>IFERROR(__xludf.DUMMYFUNCTION("""COMPUTED_VALUE"""),1203.0)</f>
        <v>1203</v>
      </c>
      <c r="L3014" s="25">
        <f>IFERROR(__xludf.DUMMYFUNCTION("""COMPUTED_VALUE"""),1206.03)</f>
        <v>1206.03</v>
      </c>
      <c r="M3014" s="25">
        <f>IFERROR(__xludf.DUMMYFUNCTION("""COMPUTED_VALUE"""),1090635.0)</f>
        <v>1090635</v>
      </c>
    </row>
    <row r="3015">
      <c r="A3015" s="26">
        <f>IFERROR(__xludf.DUMMYFUNCTION("""COMPUTED_VALUE"""),42822.64583333333)</f>
        <v>42822.64583</v>
      </c>
      <c r="B3015" s="9">
        <f>IFERROR(__xludf.DUMMYFUNCTION("""COMPUTED_VALUE"""),515.75)</f>
        <v>515.75</v>
      </c>
      <c r="C3015" s="9">
        <f>IFERROR(__xludf.DUMMYFUNCTION("""COMPUTED_VALUE"""),519.5)</f>
        <v>519.5</v>
      </c>
      <c r="D3015" s="9">
        <f>IFERROR(__xludf.DUMMYFUNCTION("""COMPUTED_VALUE"""),515.03)</f>
        <v>515.03</v>
      </c>
      <c r="E3015" s="9">
        <f>IFERROR(__xludf.DUMMYFUNCTION("""COMPUTED_VALUE"""),517.58)</f>
        <v>517.58</v>
      </c>
      <c r="F3015" s="9">
        <f>IFERROR(__xludf.DUMMYFUNCTION("""COMPUTED_VALUE"""),2398398.0)</f>
        <v>2398398</v>
      </c>
      <c r="H3015" s="27">
        <f>IFERROR(__xludf.DUMMYFUNCTION("""COMPUTED_VALUE"""),42822.64583333333)</f>
        <v>42822.64583</v>
      </c>
      <c r="I3015" s="25">
        <f>IFERROR(__xludf.DUMMYFUNCTION("""COMPUTED_VALUE"""),1205.0)</f>
        <v>1205</v>
      </c>
      <c r="J3015" s="25">
        <f>IFERROR(__xludf.DUMMYFUNCTION("""COMPUTED_VALUE"""),1221.7)</f>
        <v>1221.7</v>
      </c>
      <c r="K3015" s="25">
        <f>IFERROR(__xludf.DUMMYFUNCTION("""COMPUTED_VALUE"""),1205.0)</f>
        <v>1205</v>
      </c>
      <c r="L3015" s="25">
        <f>IFERROR(__xludf.DUMMYFUNCTION("""COMPUTED_VALUE"""),1214.97)</f>
        <v>1214.97</v>
      </c>
      <c r="M3015" s="25">
        <f>IFERROR(__xludf.DUMMYFUNCTION("""COMPUTED_VALUE"""),576579.0)</f>
        <v>576579</v>
      </c>
    </row>
    <row r="3016">
      <c r="A3016" s="26">
        <f>IFERROR(__xludf.DUMMYFUNCTION("""COMPUTED_VALUE"""),42823.64583333333)</f>
        <v>42823.64583</v>
      </c>
      <c r="B3016" s="9">
        <f>IFERROR(__xludf.DUMMYFUNCTION("""COMPUTED_VALUE"""),517.15)</f>
        <v>517.15</v>
      </c>
      <c r="C3016" s="9">
        <f>IFERROR(__xludf.DUMMYFUNCTION("""COMPUTED_VALUE"""),520.75)</f>
        <v>520.75</v>
      </c>
      <c r="D3016" s="9">
        <f>IFERROR(__xludf.DUMMYFUNCTION("""COMPUTED_VALUE"""),512.92)</f>
        <v>512.92</v>
      </c>
      <c r="E3016" s="9">
        <f>IFERROR(__xludf.DUMMYFUNCTION("""COMPUTED_VALUE"""),515.92)</f>
        <v>515.92</v>
      </c>
      <c r="F3016" s="9">
        <f>IFERROR(__xludf.DUMMYFUNCTION("""COMPUTED_VALUE"""),3490593.0)</f>
        <v>3490593</v>
      </c>
      <c r="H3016" s="27">
        <f>IFERROR(__xludf.DUMMYFUNCTION("""COMPUTED_VALUE"""),42823.64583333333)</f>
        <v>42823.64583</v>
      </c>
      <c r="I3016" s="25">
        <f>IFERROR(__xludf.DUMMYFUNCTION("""COMPUTED_VALUE"""),1218.0)</f>
        <v>1218</v>
      </c>
      <c r="J3016" s="25">
        <f>IFERROR(__xludf.DUMMYFUNCTION("""COMPUTED_VALUE"""),1225.4)</f>
        <v>1225.4</v>
      </c>
      <c r="K3016" s="25">
        <f>IFERROR(__xludf.DUMMYFUNCTION("""COMPUTED_VALUE"""),1212.8)</f>
        <v>1212.8</v>
      </c>
      <c r="L3016" s="25">
        <f>IFERROR(__xludf.DUMMYFUNCTION("""COMPUTED_VALUE"""),1222.3)</f>
        <v>1222.3</v>
      </c>
      <c r="M3016" s="25">
        <f>IFERROR(__xludf.DUMMYFUNCTION("""COMPUTED_VALUE"""),858882.0)</f>
        <v>858882</v>
      </c>
    </row>
    <row r="3017">
      <c r="A3017" s="26">
        <f>IFERROR(__xludf.DUMMYFUNCTION("""COMPUTED_VALUE"""),42824.64583333333)</f>
        <v>42824.64583</v>
      </c>
      <c r="B3017" s="9">
        <f>IFERROR(__xludf.DUMMYFUNCTION("""COMPUTED_VALUE"""),517.0)</f>
        <v>517</v>
      </c>
      <c r="C3017" s="9">
        <f>IFERROR(__xludf.DUMMYFUNCTION("""COMPUTED_VALUE"""),517.95)</f>
        <v>517.95</v>
      </c>
      <c r="D3017" s="9">
        <f>IFERROR(__xludf.DUMMYFUNCTION("""COMPUTED_VALUE"""),510.13)</f>
        <v>510.13</v>
      </c>
      <c r="E3017" s="9">
        <f>IFERROR(__xludf.DUMMYFUNCTION("""COMPUTED_VALUE"""),512.75)</f>
        <v>512.75</v>
      </c>
      <c r="F3017" s="9">
        <f>IFERROR(__xludf.DUMMYFUNCTION("""COMPUTED_VALUE"""),6078590.0)</f>
        <v>6078590</v>
      </c>
      <c r="H3017" s="27">
        <f>IFERROR(__xludf.DUMMYFUNCTION("""COMPUTED_VALUE"""),42824.64583333333)</f>
        <v>42824.64583</v>
      </c>
      <c r="I3017" s="25">
        <f>IFERROR(__xludf.DUMMYFUNCTION("""COMPUTED_VALUE"""),1222.45)</f>
        <v>1222.45</v>
      </c>
      <c r="J3017" s="25">
        <f>IFERROR(__xludf.DUMMYFUNCTION("""COMPUTED_VALUE"""),1232.5)</f>
        <v>1232.5</v>
      </c>
      <c r="K3017" s="25">
        <f>IFERROR(__xludf.DUMMYFUNCTION("""COMPUTED_VALUE"""),1217.5)</f>
        <v>1217.5</v>
      </c>
      <c r="L3017" s="25">
        <f>IFERROR(__xludf.DUMMYFUNCTION("""COMPUTED_VALUE"""),1220.5)</f>
        <v>1220.5</v>
      </c>
      <c r="M3017" s="25">
        <f>IFERROR(__xludf.DUMMYFUNCTION("""COMPUTED_VALUE"""),1493043.0)</f>
        <v>1493043</v>
      </c>
    </row>
    <row r="3018">
      <c r="A3018" s="26">
        <f>IFERROR(__xludf.DUMMYFUNCTION("""COMPUTED_VALUE"""),42825.64583333333)</f>
        <v>42825.64583</v>
      </c>
      <c r="B3018" s="9">
        <f>IFERROR(__xludf.DUMMYFUNCTION("""COMPUTED_VALUE"""),511.63)</f>
        <v>511.63</v>
      </c>
      <c r="C3018" s="9">
        <f>IFERROR(__xludf.DUMMYFUNCTION("""COMPUTED_VALUE"""),514.65)</f>
        <v>514.65</v>
      </c>
      <c r="D3018" s="9">
        <f>IFERROR(__xludf.DUMMYFUNCTION("""COMPUTED_VALUE"""),504.0)</f>
        <v>504</v>
      </c>
      <c r="E3018" s="9">
        <f>IFERROR(__xludf.DUMMYFUNCTION("""COMPUTED_VALUE"""),511.13)</f>
        <v>511.13</v>
      </c>
      <c r="F3018" s="9">
        <f>IFERROR(__xludf.DUMMYFUNCTION("""COMPUTED_VALUE"""),7076927.0)</f>
        <v>7076927</v>
      </c>
      <c r="H3018" s="27">
        <f>IFERROR(__xludf.DUMMYFUNCTION("""COMPUTED_VALUE"""),42825.64583333333)</f>
        <v>42825.64583</v>
      </c>
      <c r="I3018" s="25">
        <f>IFERROR(__xludf.DUMMYFUNCTION("""COMPUTED_VALUE"""),1219.2)</f>
        <v>1219.2</v>
      </c>
      <c r="J3018" s="25">
        <f>IFERROR(__xludf.DUMMYFUNCTION("""COMPUTED_VALUE"""),1220.43)</f>
        <v>1220.43</v>
      </c>
      <c r="K3018" s="25">
        <f>IFERROR(__xludf.DUMMYFUNCTION("""COMPUTED_VALUE"""),1207.5)</f>
        <v>1207.5</v>
      </c>
      <c r="L3018" s="25">
        <f>IFERROR(__xludf.DUMMYFUNCTION("""COMPUTED_VALUE"""),1215.9)</f>
        <v>1215.9</v>
      </c>
      <c r="M3018" s="25">
        <f>IFERROR(__xludf.DUMMYFUNCTION("""COMPUTED_VALUE"""),933522.0)</f>
        <v>933522</v>
      </c>
    </row>
    <row r="3019">
      <c r="A3019" s="26">
        <f>IFERROR(__xludf.DUMMYFUNCTION("""COMPUTED_VALUE"""),42828.64583333333)</f>
        <v>42828.64583</v>
      </c>
      <c r="B3019" s="9">
        <f>IFERROR(__xludf.DUMMYFUNCTION("""COMPUTED_VALUE"""),516.08)</f>
        <v>516.08</v>
      </c>
      <c r="C3019" s="9">
        <f>IFERROR(__xludf.DUMMYFUNCTION("""COMPUTED_VALUE"""),516.23)</f>
        <v>516.23</v>
      </c>
      <c r="D3019" s="9">
        <f>IFERROR(__xludf.DUMMYFUNCTION("""COMPUTED_VALUE"""),503.05)</f>
        <v>503.05</v>
      </c>
      <c r="E3019" s="9">
        <f>IFERROR(__xludf.DUMMYFUNCTION("""COMPUTED_VALUE"""),504.4)</f>
        <v>504.4</v>
      </c>
      <c r="F3019" s="9">
        <f>IFERROR(__xludf.DUMMYFUNCTION("""COMPUTED_VALUE"""),2157800.0)</f>
        <v>2157800</v>
      </c>
      <c r="H3019" s="27">
        <f>IFERROR(__xludf.DUMMYFUNCTION("""COMPUTED_VALUE"""),42828.64583333333)</f>
        <v>42828.64583</v>
      </c>
      <c r="I3019" s="25">
        <f>IFERROR(__xludf.DUMMYFUNCTION("""COMPUTED_VALUE"""),1217.5)</f>
        <v>1217.5</v>
      </c>
      <c r="J3019" s="25">
        <f>IFERROR(__xludf.DUMMYFUNCTION("""COMPUTED_VALUE"""),1217.5)</f>
        <v>1217.5</v>
      </c>
      <c r="K3019" s="25">
        <f>IFERROR(__xludf.DUMMYFUNCTION("""COMPUTED_VALUE"""),1204.1)</f>
        <v>1204.1</v>
      </c>
      <c r="L3019" s="25">
        <f>IFERROR(__xludf.DUMMYFUNCTION("""COMPUTED_VALUE"""),1205.85)</f>
        <v>1205.85</v>
      </c>
      <c r="M3019" s="25">
        <f>IFERROR(__xludf.DUMMYFUNCTION("""COMPUTED_VALUE"""),598444.0)</f>
        <v>598444</v>
      </c>
    </row>
    <row r="3020">
      <c r="A3020" s="26">
        <f>IFERROR(__xludf.DUMMYFUNCTION("""COMPUTED_VALUE"""),42830.64583333333)</f>
        <v>42830.64583</v>
      </c>
      <c r="B3020" s="9">
        <f>IFERROR(__xludf.DUMMYFUNCTION("""COMPUTED_VALUE"""),502.5)</f>
        <v>502.5</v>
      </c>
      <c r="C3020" s="9">
        <f>IFERROR(__xludf.DUMMYFUNCTION("""COMPUTED_VALUE"""),502.7)</f>
        <v>502.7</v>
      </c>
      <c r="D3020" s="9">
        <f>IFERROR(__xludf.DUMMYFUNCTION("""COMPUTED_VALUE"""),495.5)</f>
        <v>495.5</v>
      </c>
      <c r="E3020" s="9">
        <f>IFERROR(__xludf.DUMMYFUNCTION("""COMPUTED_VALUE"""),497.98)</f>
        <v>497.98</v>
      </c>
      <c r="F3020" s="9">
        <f>IFERROR(__xludf.DUMMYFUNCTION("""COMPUTED_VALUE"""),3699169.0)</f>
        <v>3699169</v>
      </c>
      <c r="H3020" s="27">
        <f>IFERROR(__xludf.DUMMYFUNCTION("""COMPUTED_VALUE"""),42830.64583333333)</f>
        <v>42830.64583</v>
      </c>
      <c r="I3020" s="25">
        <f>IFERROR(__xludf.DUMMYFUNCTION("""COMPUTED_VALUE"""),1209.95)</f>
        <v>1209.95</v>
      </c>
      <c r="J3020" s="25">
        <f>IFERROR(__xludf.DUMMYFUNCTION("""COMPUTED_VALUE"""),1209.95)</f>
        <v>1209.95</v>
      </c>
      <c r="K3020" s="25">
        <f>IFERROR(__xludf.DUMMYFUNCTION("""COMPUTED_VALUE"""),1197.5)</f>
        <v>1197.5</v>
      </c>
      <c r="L3020" s="25">
        <f>IFERROR(__xludf.DUMMYFUNCTION("""COMPUTED_VALUE"""),1200.63)</f>
        <v>1200.63</v>
      </c>
      <c r="M3020" s="25">
        <f>IFERROR(__xludf.DUMMYFUNCTION("""COMPUTED_VALUE"""),1452784.0)</f>
        <v>1452784</v>
      </c>
    </row>
    <row r="3021">
      <c r="A3021" s="26">
        <f>IFERROR(__xludf.DUMMYFUNCTION("""COMPUTED_VALUE"""),42831.64583333333)</f>
        <v>42831.64583</v>
      </c>
      <c r="B3021" s="9">
        <f>IFERROR(__xludf.DUMMYFUNCTION("""COMPUTED_VALUE"""),499.08)</f>
        <v>499.08</v>
      </c>
      <c r="C3021" s="9">
        <f>IFERROR(__xludf.DUMMYFUNCTION("""COMPUTED_VALUE"""),502.9)</f>
        <v>502.9</v>
      </c>
      <c r="D3021" s="9">
        <f>IFERROR(__xludf.DUMMYFUNCTION("""COMPUTED_VALUE"""),496.0)</f>
        <v>496</v>
      </c>
      <c r="E3021" s="9">
        <f>IFERROR(__xludf.DUMMYFUNCTION("""COMPUTED_VALUE"""),499.8)</f>
        <v>499.8</v>
      </c>
      <c r="F3021" s="9">
        <f>IFERROR(__xludf.DUMMYFUNCTION("""COMPUTED_VALUE"""),2689504.0)</f>
        <v>2689504</v>
      </c>
      <c r="H3021" s="27">
        <f>IFERROR(__xludf.DUMMYFUNCTION("""COMPUTED_VALUE"""),42831.64583333333)</f>
        <v>42831.64583</v>
      </c>
      <c r="I3021" s="25">
        <f>IFERROR(__xludf.DUMMYFUNCTION("""COMPUTED_VALUE"""),1200.0)</f>
        <v>1200</v>
      </c>
      <c r="J3021" s="25">
        <f>IFERROR(__xludf.DUMMYFUNCTION("""COMPUTED_VALUE"""),1205.0)</f>
        <v>1205</v>
      </c>
      <c r="K3021" s="25">
        <f>IFERROR(__xludf.DUMMYFUNCTION("""COMPUTED_VALUE"""),1196.28)</f>
        <v>1196.28</v>
      </c>
      <c r="L3021" s="25">
        <f>IFERROR(__xludf.DUMMYFUNCTION("""COMPUTED_VALUE"""),1200.03)</f>
        <v>1200.03</v>
      </c>
      <c r="M3021" s="25">
        <f>IFERROR(__xludf.DUMMYFUNCTION("""COMPUTED_VALUE"""),860352.0)</f>
        <v>860352</v>
      </c>
    </row>
    <row r="3022">
      <c r="A3022" s="26">
        <f>IFERROR(__xludf.DUMMYFUNCTION("""COMPUTED_VALUE"""),42832.64583333333)</f>
        <v>42832.64583</v>
      </c>
      <c r="B3022" s="9">
        <f>IFERROR(__xludf.DUMMYFUNCTION("""COMPUTED_VALUE"""),500.45)</f>
        <v>500.45</v>
      </c>
      <c r="C3022" s="9">
        <f>IFERROR(__xludf.DUMMYFUNCTION("""COMPUTED_VALUE"""),500.45)</f>
        <v>500.45</v>
      </c>
      <c r="D3022" s="9">
        <f>IFERROR(__xludf.DUMMYFUNCTION("""COMPUTED_VALUE"""),489.5)</f>
        <v>489.5</v>
      </c>
      <c r="E3022" s="9">
        <f>IFERROR(__xludf.DUMMYFUNCTION("""COMPUTED_VALUE"""),490.78)</f>
        <v>490.78</v>
      </c>
      <c r="F3022" s="9">
        <f>IFERROR(__xludf.DUMMYFUNCTION("""COMPUTED_VALUE"""),3202254.0)</f>
        <v>3202254</v>
      </c>
      <c r="H3022" s="27">
        <f>IFERROR(__xludf.DUMMYFUNCTION("""COMPUTED_VALUE"""),42832.64583333333)</f>
        <v>42832.64583</v>
      </c>
      <c r="I3022" s="25">
        <f>IFERROR(__xludf.DUMMYFUNCTION("""COMPUTED_VALUE"""),1197.45)</f>
        <v>1197.45</v>
      </c>
      <c r="J3022" s="25">
        <f>IFERROR(__xludf.DUMMYFUNCTION("""COMPUTED_VALUE"""),1216.63)</f>
        <v>1216.63</v>
      </c>
      <c r="K3022" s="25">
        <f>IFERROR(__xludf.DUMMYFUNCTION("""COMPUTED_VALUE"""),1196.08)</f>
        <v>1196.08</v>
      </c>
      <c r="L3022" s="25">
        <f>IFERROR(__xludf.DUMMYFUNCTION("""COMPUTED_VALUE"""),1214.53)</f>
        <v>1214.53</v>
      </c>
      <c r="M3022" s="25">
        <f>IFERROR(__xludf.DUMMYFUNCTION("""COMPUTED_VALUE"""),1138506.0)</f>
        <v>1138506</v>
      </c>
    </row>
    <row r="3023">
      <c r="A3023" s="26">
        <f>IFERROR(__xludf.DUMMYFUNCTION("""COMPUTED_VALUE"""),42835.64583333333)</f>
        <v>42835.64583</v>
      </c>
      <c r="B3023" s="9">
        <f>IFERROR(__xludf.DUMMYFUNCTION("""COMPUTED_VALUE"""),492.45)</f>
        <v>492.45</v>
      </c>
      <c r="C3023" s="9">
        <f>IFERROR(__xludf.DUMMYFUNCTION("""COMPUTED_VALUE"""),494.75)</f>
        <v>494.75</v>
      </c>
      <c r="D3023" s="9">
        <f>IFERROR(__xludf.DUMMYFUNCTION("""COMPUTED_VALUE"""),475.05)</f>
        <v>475.05</v>
      </c>
      <c r="E3023" s="9">
        <f>IFERROR(__xludf.DUMMYFUNCTION("""COMPUTED_VALUE"""),476.7)</f>
        <v>476.7</v>
      </c>
      <c r="F3023" s="9">
        <f>IFERROR(__xludf.DUMMYFUNCTION("""COMPUTED_VALUE"""),4764236.0)</f>
        <v>4764236</v>
      </c>
      <c r="H3023" s="27">
        <f>IFERROR(__xludf.DUMMYFUNCTION("""COMPUTED_VALUE"""),42835.64583333333)</f>
        <v>42835.64583</v>
      </c>
      <c r="I3023" s="25">
        <f>IFERROR(__xludf.DUMMYFUNCTION("""COMPUTED_VALUE"""),1216.0)</f>
        <v>1216</v>
      </c>
      <c r="J3023" s="25">
        <f>IFERROR(__xludf.DUMMYFUNCTION("""COMPUTED_VALUE"""),1224.5)</f>
        <v>1224.5</v>
      </c>
      <c r="K3023" s="25">
        <f>IFERROR(__xludf.DUMMYFUNCTION("""COMPUTED_VALUE"""),1202.5)</f>
        <v>1202.5</v>
      </c>
      <c r="L3023" s="25">
        <f>IFERROR(__xludf.DUMMYFUNCTION("""COMPUTED_VALUE"""),1211.13)</f>
        <v>1211.13</v>
      </c>
      <c r="M3023" s="25">
        <f>IFERROR(__xludf.DUMMYFUNCTION("""COMPUTED_VALUE"""),1271632.0)</f>
        <v>1271632</v>
      </c>
    </row>
    <row r="3024">
      <c r="A3024" s="26">
        <f>IFERROR(__xludf.DUMMYFUNCTION("""COMPUTED_VALUE"""),42836.64583333333)</f>
        <v>42836.64583</v>
      </c>
      <c r="B3024" s="9">
        <f>IFERROR(__xludf.DUMMYFUNCTION("""COMPUTED_VALUE"""),478.03)</f>
        <v>478.03</v>
      </c>
      <c r="C3024" s="9">
        <f>IFERROR(__xludf.DUMMYFUNCTION("""COMPUTED_VALUE"""),485.85)</f>
        <v>485.85</v>
      </c>
      <c r="D3024" s="9">
        <f>IFERROR(__xludf.DUMMYFUNCTION("""COMPUTED_VALUE"""),478.03)</f>
        <v>478.03</v>
      </c>
      <c r="E3024" s="9">
        <f>IFERROR(__xludf.DUMMYFUNCTION("""COMPUTED_VALUE"""),483.58)</f>
        <v>483.58</v>
      </c>
      <c r="F3024" s="9">
        <f>IFERROR(__xludf.DUMMYFUNCTION("""COMPUTED_VALUE"""),4327733.0)</f>
        <v>4327733</v>
      </c>
      <c r="H3024" s="27">
        <f>IFERROR(__xludf.DUMMYFUNCTION("""COMPUTED_VALUE"""),42836.64583333333)</f>
        <v>42836.64583</v>
      </c>
      <c r="I3024" s="25">
        <f>IFERROR(__xludf.DUMMYFUNCTION("""COMPUTED_VALUE"""),1208.65)</f>
        <v>1208.65</v>
      </c>
      <c r="J3024" s="25">
        <f>IFERROR(__xludf.DUMMYFUNCTION("""COMPUTED_VALUE"""),1221.55)</f>
        <v>1221.55</v>
      </c>
      <c r="K3024" s="25">
        <f>IFERROR(__xludf.DUMMYFUNCTION("""COMPUTED_VALUE"""),1203.0)</f>
        <v>1203</v>
      </c>
      <c r="L3024" s="25">
        <f>IFERROR(__xludf.DUMMYFUNCTION("""COMPUTED_VALUE"""),1209.65)</f>
        <v>1209.65</v>
      </c>
      <c r="M3024" s="25">
        <f>IFERROR(__xludf.DUMMYFUNCTION("""COMPUTED_VALUE"""),778892.0)</f>
        <v>778892</v>
      </c>
    </row>
    <row r="3025">
      <c r="A3025" s="26">
        <f>IFERROR(__xludf.DUMMYFUNCTION("""COMPUTED_VALUE"""),42837.64583333333)</f>
        <v>42837.64583</v>
      </c>
      <c r="B3025" s="9">
        <f>IFERROR(__xludf.DUMMYFUNCTION("""COMPUTED_VALUE"""),485.0)</f>
        <v>485</v>
      </c>
      <c r="C3025" s="9">
        <f>IFERROR(__xludf.DUMMYFUNCTION("""COMPUTED_VALUE"""),488.45)</f>
        <v>488.45</v>
      </c>
      <c r="D3025" s="9">
        <f>IFERROR(__xludf.DUMMYFUNCTION("""COMPUTED_VALUE"""),480.18)</f>
        <v>480.18</v>
      </c>
      <c r="E3025" s="9">
        <f>IFERROR(__xludf.DUMMYFUNCTION("""COMPUTED_VALUE"""),484.43)</f>
        <v>484.43</v>
      </c>
      <c r="F3025" s="9">
        <f>IFERROR(__xludf.DUMMYFUNCTION("""COMPUTED_VALUE"""),3348376.0)</f>
        <v>3348376</v>
      </c>
      <c r="H3025" s="27">
        <f>IFERROR(__xludf.DUMMYFUNCTION("""COMPUTED_VALUE"""),42837.64583333333)</f>
        <v>42837.64583</v>
      </c>
      <c r="I3025" s="25">
        <f>IFERROR(__xludf.DUMMYFUNCTION("""COMPUTED_VALUE"""),1211.25)</f>
        <v>1211.25</v>
      </c>
      <c r="J3025" s="25">
        <f>IFERROR(__xludf.DUMMYFUNCTION("""COMPUTED_VALUE"""),1214.0)</f>
        <v>1214</v>
      </c>
      <c r="K3025" s="25">
        <f>IFERROR(__xludf.DUMMYFUNCTION("""COMPUTED_VALUE"""),1191.5)</f>
        <v>1191.5</v>
      </c>
      <c r="L3025" s="25">
        <f>IFERROR(__xludf.DUMMYFUNCTION("""COMPUTED_VALUE"""),1196.63)</f>
        <v>1196.63</v>
      </c>
      <c r="M3025" s="25">
        <f>IFERROR(__xludf.DUMMYFUNCTION("""COMPUTED_VALUE"""),525269.0)</f>
        <v>525269</v>
      </c>
    </row>
    <row r="3026">
      <c r="A3026" s="26">
        <f>IFERROR(__xludf.DUMMYFUNCTION("""COMPUTED_VALUE"""),42838.64583333333)</f>
        <v>42838.64583</v>
      </c>
      <c r="B3026" s="9">
        <f>IFERROR(__xludf.DUMMYFUNCTION("""COMPUTED_VALUE"""),485.0)</f>
        <v>485</v>
      </c>
      <c r="C3026" s="9">
        <f>IFERROR(__xludf.DUMMYFUNCTION("""COMPUTED_VALUE"""),495.0)</f>
        <v>495</v>
      </c>
      <c r="D3026" s="9">
        <f>IFERROR(__xludf.DUMMYFUNCTION("""COMPUTED_VALUE"""),463.33)</f>
        <v>463.33</v>
      </c>
      <c r="E3026" s="9">
        <f>IFERROR(__xludf.DUMMYFUNCTION("""COMPUTED_VALUE"""),465.7)</f>
        <v>465.7</v>
      </c>
      <c r="F3026" s="9">
        <f>IFERROR(__xludf.DUMMYFUNCTION("""COMPUTED_VALUE"""),1.5486594E7)</f>
        <v>15486594</v>
      </c>
      <c r="H3026" s="27">
        <f>IFERROR(__xludf.DUMMYFUNCTION("""COMPUTED_VALUE"""),42838.64583333333)</f>
        <v>42838.64583</v>
      </c>
      <c r="I3026" s="25">
        <f>IFERROR(__xludf.DUMMYFUNCTION("""COMPUTED_VALUE"""),1200.0)</f>
        <v>1200</v>
      </c>
      <c r="J3026" s="25">
        <f>IFERROR(__xludf.DUMMYFUNCTION("""COMPUTED_VALUE"""),1204.5)</f>
        <v>1204.5</v>
      </c>
      <c r="K3026" s="25">
        <f>IFERROR(__xludf.DUMMYFUNCTION("""COMPUTED_VALUE"""),1160.53)</f>
        <v>1160.53</v>
      </c>
      <c r="L3026" s="25">
        <f>IFERROR(__xludf.DUMMYFUNCTION("""COMPUTED_VALUE"""),1164.33)</f>
        <v>1164.33</v>
      </c>
      <c r="M3026" s="25">
        <f>IFERROR(__xludf.DUMMYFUNCTION("""COMPUTED_VALUE"""),1250236.0)</f>
        <v>1250236</v>
      </c>
    </row>
    <row r="3027">
      <c r="A3027" s="26">
        <f>IFERROR(__xludf.DUMMYFUNCTION("""COMPUTED_VALUE"""),42842.64583333333)</f>
        <v>42842.64583</v>
      </c>
      <c r="B3027" s="9">
        <f>IFERROR(__xludf.DUMMYFUNCTION("""COMPUTED_VALUE"""),465.0)</f>
        <v>465</v>
      </c>
      <c r="C3027" s="9">
        <f>IFERROR(__xludf.DUMMYFUNCTION("""COMPUTED_VALUE"""),466.05)</f>
        <v>466.05</v>
      </c>
      <c r="D3027" s="9">
        <f>IFERROR(__xludf.DUMMYFUNCTION("""COMPUTED_VALUE"""),461.75)</f>
        <v>461.75</v>
      </c>
      <c r="E3027" s="9">
        <f>IFERROR(__xludf.DUMMYFUNCTION("""COMPUTED_VALUE"""),462.45)</f>
        <v>462.45</v>
      </c>
      <c r="F3027" s="9">
        <f>IFERROR(__xludf.DUMMYFUNCTION("""COMPUTED_VALUE"""),3606717.0)</f>
        <v>3606717</v>
      </c>
      <c r="H3027" s="27">
        <f>IFERROR(__xludf.DUMMYFUNCTION("""COMPUTED_VALUE"""),42842.64583333333)</f>
        <v>42842.64583</v>
      </c>
      <c r="I3027" s="25">
        <f>IFERROR(__xludf.DUMMYFUNCTION("""COMPUTED_VALUE"""),1165.2)</f>
        <v>1165.2</v>
      </c>
      <c r="J3027" s="25">
        <f>IFERROR(__xludf.DUMMYFUNCTION("""COMPUTED_VALUE"""),1166.45)</f>
        <v>1166.45</v>
      </c>
      <c r="K3027" s="25">
        <f>IFERROR(__xludf.DUMMYFUNCTION("""COMPUTED_VALUE"""),1147.58)</f>
        <v>1147.58</v>
      </c>
      <c r="L3027" s="25">
        <f>IFERROR(__xludf.DUMMYFUNCTION("""COMPUTED_VALUE"""),1157.43)</f>
        <v>1157.43</v>
      </c>
      <c r="M3027" s="25">
        <f>IFERROR(__xludf.DUMMYFUNCTION("""COMPUTED_VALUE"""),1135441.0)</f>
        <v>1135441</v>
      </c>
    </row>
    <row r="3028">
      <c r="A3028" s="26">
        <f>IFERROR(__xludf.DUMMYFUNCTION("""COMPUTED_VALUE"""),42843.64583333333)</f>
        <v>42843.64583</v>
      </c>
      <c r="B3028" s="9">
        <f>IFERROR(__xludf.DUMMYFUNCTION("""COMPUTED_VALUE"""),462.38)</f>
        <v>462.38</v>
      </c>
      <c r="C3028" s="9">
        <f>IFERROR(__xludf.DUMMYFUNCTION("""COMPUTED_VALUE"""),467.0)</f>
        <v>467</v>
      </c>
      <c r="D3028" s="9">
        <f>IFERROR(__xludf.DUMMYFUNCTION("""COMPUTED_VALUE"""),459.55)</f>
        <v>459.55</v>
      </c>
      <c r="E3028" s="9">
        <f>IFERROR(__xludf.DUMMYFUNCTION("""COMPUTED_VALUE"""),461.33)</f>
        <v>461.33</v>
      </c>
      <c r="F3028" s="9">
        <f>IFERROR(__xludf.DUMMYFUNCTION("""COMPUTED_VALUE"""),2323759.0)</f>
        <v>2323759</v>
      </c>
      <c r="H3028" s="27">
        <f>IFERROR(__xludf.DUMMYFUNCTION("""COMPUTED_VALUE"""),42843.64583333333)</f>
        <v>42843.64583</v>
      </c>
      <c r="I3028" s="25">
        <f>IFERROR(__xludf.DUMMYFUNCTION("""COMPUTED_VALUE"""),1165.0)</f>
        <v>1165</v>
      </c>
      <c r="J3028" s="25">
        <f>IFERROR(__xludf.DUMMYFUNCTION("""COMPUTED_VALUE"""),1167.1)</f>
        <v>1167.1</v>
      </c>
      <c r="K3028" s="25">
        <f>IFERROR(__xludf.DUMMYFUNCTION("""COMPUTED_VALUE"""),1151.03)</f>
        <v>1151.03</v>
      </c>
      <c r="L3028" s="25">
        <f>IFERROR(__xludf.DUMMYFUNCTION("""COMPUTED_VALUE"""),1154.4)</f>
        <v>1154.4</v>
      </c>
      <c r="M3028" s="25">
        <f>IFERROR(__xludf.DUMMYFUNCTION("""COMPUTED_VALUE"""),865310.0)</f>
        <v>865310</v>
      </c>
    </row>
    <row r="3029">
      <c r="A3029" s="26">
        <f>IFERROR(__xludf.DUMMYFUNCTION("""COMPUTED_VALUE"""),42844.64583333333)</f>
        <v>42844.64583</v>
      </c>
      <c r="B3029" s="9">
        <f>IFERROR(__xludf.DUMMYFUNCTION("""COMPUTED_VALUE"""),461.5)</f>
        <v>461.5</v>
      </c>
      <c r="C3029" s="9">
        <f>IFERROR(__xludf.DUMMYFUNCTION("""COMPUTED_VALUE"""),465.0)</f>
        <v>465</v>
      </c>
      <c r="D3029" s="9">
        <f>IFERROR(__xludf.DUMMYFUNCTION("""COMPUTED_VALUE"""),456.33)</f>
        <v>456.33</v>
      </c>
      <c r="E3029" s="9">
        <f>IFERROR(__xludf.DUMMYFUNCTION("""COMPUTED_VALUE"""),459.6)</f>
        <v>459.6</v>
      </c>
      <c r="F3029" s="9">
        <f>IFERROR(__xludf.DUMMYFUNCTION("""COMPUTED_VALUE"""),5035851.0)</f>
        <v>5035851</v>
      </c>
      <c r="H3029" s="27">
        <f>IFERROR(__xludf.DUMMYFUNCTION("""COMPUTED_VALUE"""),42844.64583333333)</f>
        <v>42844.64583</v>
      </c>
      <c r="I3029" s="25">
        <f>IFERROR(__xludf.DUMMYFUNCTION("""COMPUTED_VALUE"""),1131.75)</f>
        <v>1131.75</v>
      </c>
      <c r="J3029" s="25">
        <f>IFERROR(__xludf.DUMMYFUNCTION("""COMPUTED_VALUE"""),1174.35)</f>
        <v>1174.35</v>
      </c>
      <c r="K3029" s="25">
        <f>IFERROR(__xludf.DUMMYFUNCTION("""COMPUTED_VALUE"""),1126.4)</f>
        <v>1126.4</v>
      </c>
      <c r="L3029" s="25">
        <f>IFERROR(__xludf.DUMMYFUNCTION("""COMPUTED_VALUE"""),1149.58)</f>
        <v>1149.58</v>
      </c>
      <c r="M3029" s="25">
        <f>IFERROR(__xludf.DUMMYFUNCTION("""COMPUTED_VALUE"""),2813406.0)</f>
        <v>2813406</v>
      </c>
    </row>
    <row r="3030">
      <c r="A3030" s="26">
        <f>IFERROR(__xludf.DUMMYFUNCTION("""COMPUTED_VALUE"""),42845.64583333333)</f>
        <v>42845.64583</v>
      </c>
      <c r="B3030" s="9">
        <f>IFERROR(__xludf.DUMMYFUNCTION("""COMPUTED_VALUE"""),460.75)</f>
        <v>460.75</v>
      </c>
      <c r="C3030" s="9">
        <f>IFERROR(__xludf.DUMMYFUNCTION("""COMPUTED_VALUE"""),464.85)</f>
        <v>464.85</v>
      </c>
      <c r="D3030" s="9">
        <f>IFERROR(__xludf.DUMMYFUNCTION("""COMPUTED_VALUE"""),459.28)</f>
        <v>459.28</v>
      </c>
      <c r="E3030" s="9">
        <f>IFERROR(__xludf.DUMMYFUNCTION("""COMPUTED_VALUE"""),463.65)</f>
        <v>463.65</v>
      </c>
      <c r="F3030" s="9">
        <f>IFERROR(__xludf.DUMMYFUNCTION("""COMPUTED_VALUE"""),2274500.0)</f>
        <v>2274500</v>
      </c>
      <c r="H3030" s="27">
        <f>IFERROR(__xludf.DUMMYFUNCTION("""COMPUTED_VALUE"""),42845.64583333333)</f>
        <v>42845.64583</v>
      </c>
      <c r="I3030" s="25">
        <f>IFERROR(__xludf.DUMMYFUNCTION("""COMPUTED_VALUE"""),1152.65)</f>
        <v>1152.65</v>
      </c>
      <c r="J3030" s="25">
        <f>IFERROR(__xludf.DUMMYFUNCTION("""COMPUTED_VALUE"""),1166.0)</f>
        <v>1166</v>
      </c>
      <c r="K3030" s="25">
        <f>IFERROR(__xludf.DUMMYFUNCTION("""COMPUTED_VALUE"""),1145.47)</f>
        <v>1145.47</v>
      </c>
      <c r="L3030" s="25">
        <f>IFERROR(__xludf.DUMMYFUNCTION("""COMPUTED_VALUE"""),1162.75)</f>
        <v>1162.75</v>
      </c>
      <c r="M3030" s="25">
        <f>IFERROR(__xludf.DUMMYFUNCTION("""COMPUTED_VALUE"""),634421.0)</f>
        <v>634421</v>
      </c>
    </row>
    <row r="3031">
      <c r="A3031" s="26">
        <f>IFERROR(__xludf.DUMMYFUNCTION("""COMPUTED_VALUE"""),42846.64583333333)</f>
        <v>42846.64583</v>
      </c>
      <c r="B3031" s="9">
        <f>IFERROR(__xludf.DUMMYFUNCTION("""COMPUTED_VALUE"""),467.4)</f>
        <v>467.4</v>
      </c>
      <c r="C3031" s="9">
        <f>IFERROR(__xludf.DUMMYFUNCTION("""COMPUTED_VALUE"""),467.4)</f>
        <v>467.4</v>
      </c>
      <c r="D3031" s="9">
        <f>IFERROR(__xludf.DUMMYFUNCTION("""COMPUTED_VALUE"""),460.55)</f>
        <v>460.55</v>
      </c>
      <c r="E3031" s="9">
        <f>IFERROR(__xludf.DUMMYFUNCTION("""COMPUTED_VALUE"""),461.85)</f>
        <v>461.85</v>
      </c>
      <c r="F3031" s="9">
        <f>IFERROR(__xludf.DUMMYFUNCTION("""COMPUTED_VALUE"""),1788733.0)</f>
        <v>1788733</v>
      </c>
      <c r="H3031" s="27">
        <f>IFERROR(__xludf.DUMMYFUNCTION("""COMPUTED_VALUE"""),42846.64583333333)</f>
        <v>42846.64583</v>
      </c>
      <c r="I3031" s="25">
        <f>IFERROR(__xludf.DUMMYFUNCTION("""COMPUTED_VALUE"""),1164.55)</f>
        <v>1164.55</v>
      </c>
      <c r="J3031" s="25">
        <f>IFERROR(__xludf.DUMMYFUNCTION("""COMPUTED_VALUE"""),1167.83)</f>
        <v>1167.83</v>
      </c>
      <c r="K3031" s="25">
        <f>IFERROR(__xludf.DUMMYFUNCTION("""COMPUTED_VALUE"""),1150.5)</f>
        <v>1150.5</v>
      </c>
      <c r="L3031" s="25">
        <f>IFERROR(__xludf.DUMMYFUNCTION("""COMPUTED_VALUE"""),1155.4)</f>
        <v>1155.4</v>
      </c>
      <c r="M3031" s="25">
        <f>IFERROR(__xludf.DUMMYFUNCTION("""COMPUTED_VALUE"""),580577.0)</f>
        <v>580577</v>
      </c>
    </row>
    <row r="3032">
      <c r="A3032" s="26">
        <f>IFERROR(__xludf.DUMMYFUNCTION("""COMPUTED_VALUE"""),42849.64583333333)</f>
        <v>42849.64583</v>
      </c>
      <c r="B3032" s="9">
        <f>IFERROR(__xludf.DUMMYFUNCTION("""COMPUTED_VALUE"""),458.75)</f>
        <v>458.75</v>
      </c>
      <c r="C3032" s="9">
        <f>IFERROR(__xludf.DUMMYFUNCTION("""COMPUTED_VALUE"""),464.25)</f>
        <v>464.25</v>
      </c>
      <c r="D3032" s="9">
        <f>IFERROR(__xludf.DUMMYFUNCTION("""COMPUTED_VALUE"""),456.5)</f>
        <v>456.5</v>
      </c>
      <c r="E3032" s="9">
        <f>IFERROR(__xludf.DUMMYFUNCTION("""COMPUTED_VALUE"""),463.28)</f>
        <v>463.28</v>
      </c>
      <c r="F3032" s="9">
        <f>IFERROR(__xludf.DUMMYFUNCTION("""COMPUTED_VALUE"""),2778333.0)</f>
        <v>2778333</v>
      </c>
      <c r="H3032" s="27">
        <f>IFERROR(__xludf.DUMMYFUNCTION("""COMPUTED_VALUE"""),42849.64583333333)</f>
        <v>42849.64583</v>
      </c>
      <c r="I3032" s="25">
        <f>IFERROR(__xludf.DUMMYFUNCTION("""COMPUTED_VALUE"""),1150.0)</f>
        <v>1150</v>
      </c>
      <c r="J3032" s="25">
        <f>IFERROR(__xludf.DUMMYFUNCTION("""COMPUTED_VALUE"""),1169.83)</f>
        <v>1169.83</v>
      </c>
      <c r="K3032" s="25">
        <f>IFERROR(__xludf.DUMMYFUNCTION("""COMPUTED_VALUE"""),1141.25)</f>
        <v>1141.25</v>
      </c>
      <c r="L3032" s="25">
        <f>IFERROR(__xludf.DUMMYFUNCTION("""COMPUTED_VALUE"""),1164.05)</f>
        <v>1164.05</v>
      </c>
      <c r="M3032" s="25">
        <f>IFERROR(__xludf.DUMMYFUNCTION("""COMPUTED_VALUE"""),1000010.0)</f>
        <v>1000010</v>
      </c>
    </row>
    <row r="3033">
      <c r="A3033" s="26">
        <f>IFERROR(__xludf.DUMMYFUNCTION("""COMPUTED_VALUE"""),42850.64583333333)</f>
        <v>42850.64583</v>
      </c>
      <c r="B3033" s="9">
        <f>IFERROR(__xludf.DUMMYFUNCTION("""COMPUTED_VALUE"""),462.95)</f>
        <v>462.95</v>
      </c>
      <c r="C3033" s="9">
        <f>IFERROR(__xludf.DUMMYFUNCTION("""COMPUTED_VALUE"""),466.5)</f>
        <v>466.5</v>
      </c>
      <c r="D3033" s="9">
        <f>IFERROR(__xludf.DUMMYFUNCTION("""COMPUTED_VALUE"""),460.28)</f>
        <v>460.28</v>
      </c>
      <c r="E3033" s="9">
        <f>IFERROR(__xludf.DUMMYFUNCTION("""COMPUTED_VALUE"""),464.68)</f>
        <v>464.68</v>
      </c>
      <c r="F3033" s="9">
        <f>IFERROR(__xludf.DUMMYFUNCTION("""COMPUTED_VALUE"""),2368530.0)</f>
        <v>2368530</v>
      </c>
      <c r="H3033" s="27">
        <f>IFERROR(__xludf.DUMMYFUNCTION("""COMPUTED_VALUE"""),42850.64583333333)</f>
        <v>42850.64583</v>
      </c>
      <c r="I3033" s="25">
        <f>IFERROR(__xludf.DUMMYFUNCTION("""COMPUTED_VALUE"""),1164.0)</f>
        <v>1164</v>
      </c>
      <c r="J3033" s="25">
        <f>IFERROR(__xludf.DUMMYFUNCTION("""COMPUTED_VALUE"""),1172.22)</f>
        <v>1172.22</v>
      </c>
      <c r="K3033" s="25">
        <f>IFERROR(__xludf.DUMMYFUNCTION("""COMPUTED_VALUE"""),1151.35)</f>
        <v>1151.35</v>
      </c>
      <c r="L3033" s="25">
        <f>IFERROR(__xludf.DUMMYFUNCTION("""COMPUTED_VALUE"""),1155.75)</f>
        <v>1155.75</v>
      </c>
      <c r="M3033" s="25">
        <f>IFERROR(__xludf.DUMMYFUNCTION("""COMPUTED_VALUE"""),1574355.0)</f>
        <v>1574355</v>
      </c>
    </row>
    <row r="3034">
      <c r="A3034" s="26">
        <f>IFERROR(__xludf.DUMMYFUNCTION("""COMPUTED_VALUE"""),42851.64583333333)</f>
        <v>42851.64583</v>
      </c>
      <c r="B3034" s="9">
        <f>IFERROR(__xludf.DUMMYFUNCTION("""COMPUTED_VALUE"""),464.98)</f>
        <v>464.98</v>
      </c>
      <c r="C3034" s="9">
        <f>IFERROR(__xludf.DUMMYFUNCTION("""COMPUTED_VALUE"""),467.78)</f>
        <v>467.78</v>
      </c>
      <c r="D3034" s="9">
        <f>IFERROR(__xludf.DUMMYFUNCTION("""COMPUTED_VALUE"""),455.1)</f>
        <v>455.1</v>
      </c>
      <c r="E3034" s="9">
        <f>IFERROR(__xludf.DUMMYFUNCTION("""COMPUTED_VALUE"""),457.13)</f>
        <v>457.13</v>
      </c>
      <c r="F3034" s="9">
        <f>IFERROR(__xludf.DUMMYFUNCTION("""COMPUTED_VALUE"""),4542248.0)</f>
        <v>4542248</v>
      </c>
      <c r="H3034" s="27">
        <f>IFERROR(__xludf.DUMMYFUNCTION("""COMPUTED_VALUE"""),42851.64583333333)</f>
        <v>42851.64583</v>
      </c>
      <c r="I3034" s="25">
        <f>IFERROR(__xludf.DUMMYFUNCTION("""COMPUTED_VALUE"""),1170.0)</f>
        <v>1170</v>
      </c>
      <c r="J3034" s="25">
        <f>IFERROR(__xludf.DUMMYFUNCTION("""COMPUTED_VALUE"""),1171.97)</f>
        <v>1171.97</v>
      </c>
      <c r="K3034" s="25">
        <f>IFERROR(__xludf.DUMMYFUNCTION("""COMPUTED_VALUE"""),1151.53)</f>
        <v>1151.53</v>
      </c>
      <c r="L3034" s="25">
        <f>IFERROR(__xludf.DUMMYFUNCTION("""COMPUTED_VALUE"""),1155.18)</f>
        <v>1155.18</v>
      </c>
      <c r="M3034" s="25">
        <f>IFERROR(__xludf.DUMMYFUNCTION("""COMPUTED_VALUE"""),1093719.0)</f>
        <v>1093719</v>
      </c>
    </row>
    <row r="3035">
      <c r="A3035" s="26">
        <f>IFERROR(__xludf.DUMMYFUNCTION("""COMPUTED_VALUE"""),42852.64583333333)</f>
        <v>42852.64583</v>
      </c>
      <c r="B3035" s="9">
        <f>IFERROR(__xludf.DUMMYFUNCTION("""COMPUTED_VALUE"""),458.0)</f>
        <v>458</v>
      </c>
      <c r="C3035" s="9">
        <f>IFERROR(__xludf.DUMMYFUNCTION("""COMPUTED_VALUE"""),464.5)</f>
        <v>464.5</v>
      </c>
      <c r="D3035" s="9">
        <f>IFERROR(__xludf.DUMMYFUNCTION("""COMPUTED_VALUE"""),458.0)</f>
        <v>458</v>
      </c>
      <c r="E3035" s="9">
        <f>IFERROR(__xludf.DUMMYFUNCTION("""COMPUTED_VALUE"""),462.63)</f>
        <v>462.63</v>
      </c>
      <c r="F3035" s="9">
        <f>IFERROR(__xludf.DUMMYFUNCTION("""COMPUTED_VALUE"""),3898604.0)</f>
        <v>3898604</v>
      </c>
      <c r="H3035" s="27">
        <f>IFERROR(__xludf.DUMMYFUNCTION("""COMPUTED_VALUE"""),42852.64583333333)</f>
        <v>42852.64583</v>
      </c>
      <c r="I3035" s="25">
        <f>IFERROR(__xludf.DUMMYFUNCTION("""COMPUTED_VALUE"""),1153.03)</f>
        <v>1153.03</v>
      </c>
      <c r="J3035" s="25">
        <f>IFERROR(__xludf.DUMMYFUNCTION("""COMPUTED_VALUE"""),1163.9)</f>
        <v>1163.9</v>
      </c>
      <c r="K3035" s="25">
        <f>IFERROR(__xludf.DUMMYFUNCTION("""COMPUTED_VALUE"""),1138.83)</f>
        <v>1138.83</v>
      </c>
      <c r="L3035" s="25">
        <f>IFERROR(__xludf.DUMMYFUNCTION("""COMPUTED_VALUE"""),1151.33)</f>
        <v>1151.33</v>
      </c>
      <c r="M3035" s="25">
        <f>IFERROR(__xludf.DUMMYFUNCTION("""COMPUTED_VALUE"""),2886593.0)</f>
        <v>2886593</v>
      </c>
    </row>
    <row r="3036">
      <c r="A3036" s="26">
        <f>IFERROR(__xludf.DUMMYFUNCTION("""COMPUTED_VALUE"""),42853.64583333333)</f>
        <v>42853.64583</v>
      </c>
      <c r="B3036" s="9">
        <f>IFERROR(__xludf.DUMMYFUNCTION("""COMPUTED_VALUE"""),463.43)</f>
        <v>463.43</v>
      </c>
      <c r="C3036" s="9">
        <f>IFERROR(__xludf.DUMMYFUNCTION("""COMPUTED_VALUE"""),463.7)</f>
        <v>463.7</v>
      </c>
      <c r="D3036" s="9">
        <f>IFERROR(__xludf.DUMMYFUNCTION("""COMPUTED_VALUE"""),457.8)</f>
        <v>457.8</v>
      </c>
      <c r="E3036" s="9">
        <f>IFERROR(__xludf.DUMMYFUNCTION("""COMPUTED_VALUE"""),459.48)</f>
        <v>459.48</v>
      </c>
      <c r="F3036" s="9">
        <f>IFERROR(__xludf.DUMMYFUNCTION("""COMPUTED_VALUE"""),2514851.0)</f>
        <v>2514851</v>
      </c>
      <c r="H3036" s="27">
        <f>IFERROR(__xludf.DUMMYFUNCTION("""COMPUTED_VALUE"""),42853.64583333333)</f>
        <v>42853.64583</v>
      </c>
      <c r="I3036" s="25">
        <f>IFERROR(__xludf.DUMMYFUNCTION("""COMPUTED_VALUE"""),1147.0)</f>
        <v>1147</v>
      </c>
      <c r="J3036" s="25">
        <f>IFERROR(__xludf.DUMMYFUNCTION("""COMPUTED_VALUE"""),1149.38)</f>
        <v>1149.38</v>
      </c>
      <c r="K3036" s="25">
        <f>IFERROR(__xludf.DUMMYFUNCTION("""COMPUTED_VALUE"""),1134.0)</f>
        <v>1134</v>
      </c>
      <c r="L3036" s="25">
        <f>IFERROR(__xludf.DUMMYFUNCTION("""COMPUTED_VALUE"""),1136.58)</f>
        <v>1136.58</v>
      </c>
      <c r="M3036" s="25">
        <f>IFERROR(__xludf.DUMMYFUNCTION("""COMPUTED_VALUE"""),1270255.0)</f>
        <v>1270255</v>
      </c>
    </row>
    <row r="3037">
      <c r="A3037" s="26">
        <f>IFERROR(__xludf.DUMMYFUNCTION("""COMPUTED_VALUE"""),42857.64583333333)</f>
        <v>42857.64583</v>
      </c>
      <c r="B3037" s="9">
        <f>IFERROR(__xludf.DUMMYFUNCTION("""COMPUTED_VALUE"""),462.0)</f>
        <v>462</v>
      </c>
      <c r="C3037" s="9">
        <f>IFERROR(__xludf.DUMMYFUNCTION("""COMPUTED_VALUE"""),463.2)</f>
        <v>463.2</v>
      </c>
      <c r="D3037" s="9">
        <f>IFERROR(__xludf.DUMMYFUNCTION("""COMPUTED_VALUE"""),457.55)</f>
        <v>457.55</v>
      </c>
      <c r="E3037" s="9">
        <f>IFERROR(__xludf.DUMMYFUNCTION("""COMPUTED_VALUE"""),461.3)</f>
        <v>461.3</v>
      </c>
      <c r="F3037" s="9">
        <f>IFERROR(__xludf.DUMMYFUNCTION("""COMPUTED_VALUE"""),1615563.0)</f>
        <v>1615563</v>
      </c>
      <c r="H3037" s="27">
        <f>IFERROR(__xludf.DUMMYFUNCTION("""COMPUTED_VALUE"""),42857.64583333333)</f>
        <v>42857.64583</v>
      </c>
      <c r="I3037" s="25">
        <f>IFERROR(__xludf.DUMMYFUNCTION("""COMPUTED_VALUE"""),1147.0)</f>
        <v>1147</v>
      </c>
      <c r="J3037" s="25">
        <f>IFERROR(__xludf.DUMMYFUNCTION("""COMPUTED_VALUE"""),1151.0)</f>
        <v>1151</v>
      </c>
      <c r="K3037" s="25">
        <f>IFERROR(__xludf.DUMMYFUNCTION("""COMPUTED_VALUE"""),1140.0)</f>
        <v>1140</v>
      </c>
      <c r="L3037" s="25">
        <f>IFERROR(__xludf.DUMMYFUNCTION("""COMPUTED_VALUE"""),1144.95)</f>
        <v>1144.95</v>
      </c>
      <c r="M3037" s="25">
        <f>IFERROR(__xludf.DUMMYFUNCTION("""COMPUTED_VALUE"""),1191348.0)</f>
        <v>1191348</v>
      </c>
    </row>
    <row r="3038">
      <c r="A3038" s="26">
        <f>IFERROR(__xludf.DUMMYFUNCTION("""COMPUTED_VALUE"""),42858.64583333333)</f>
        <v>42858.64583</v>
      </c>
      <c r="B3038" s="9">
        <f>IFERROR(__xludf.DUMMYFUNCTION("""COMPUTED_VALUE"""),463.25)</f>
        <v>463.25</v>
      </c>
      <c r="C3038" s="9">
        <f>IFERROR(__xludf.DUMMYFUNCTION("""COMPUTED_VALUE"""),469.55)</f>
        <v>469.55</v>
      </c>
      <c r="D3038" s="9">
        <f>IFERROR(__xludf.DUMMYFUNCTION("""COMPUTED_VALUE"""),458.83)</f>
        <v>458.83</v>
      </c>
      <c r="E3038" s="9">
        <f>IFERROR(__xludf.DUMMYFUNCTION("""COMPUTED_VALUE"""),467.15)</f>
        <v>467.15</v>
      </c>
      <c r="F3038" s="9">
        <f>IFERROR(__xludf.DUMMYFUNCTION("""COMPUTED_VALUE"""),2329724.0)</f>
        <v>2329724</v>
      </c>
      <c r="H3038" s="27">
        <f>IFERROR(__xludf.DUMMYFUNCTION("""COMPUTED_VALUE"""),42858.64583333333)</f>
        <v>42858.64583</v>
      </c>
      <c r="I3038" s="25">
        <f>IFERROR(__xludf.DUMMYFUNCTION("""COMPUTED_VALUE"""),1147.5)</f>
        <v>1147.5</v>
      </c>
      <c r="J3038" s="25">
        <f>IFERROR(__xludf.DUMMYFUNCTION("""COMPUTED_VALUE"""),1172.5)</f>
        <v>1172.5</v>
      </c>
      <c r="K3038" s="25">
        <f>IFERROR(__xludf.DUMMYFUNCTION("""COMPUTED_VALUE"""),1134.25)</f>
        <v>1134.25</v>
      </c>
      <c r="L3038" s="25">
        <f>IFERROR(__xludf.DUMMYFUNCTION("""COMPUTED_VALUE"""),1168.65)</f>
        <v>1168.65</v>
      </c>
      <c r="M3038" s="25">
        <f>IFERROR(__xludf.DUMMYFUNCTION("""COMPUTED_VALUE"""),1757203.0)</f>
        <v>1757203</v>
      </c>
    </row>
    <row r="3039">
      <c r="A3039" s="26">
        <f>IFERROR(__xludf.DUMMYFUNCTION("""COMPUTED_VALUE"""),42859.64583333333)</f>
        <v>42859.64583</v>
      </c>
      <c r="B3039" s="9">
        <f>IFERROR(__xludf.DUMMYFUNCTION("""COMPUTED_VALUE"""),468.5)</f>
        <v>468.5</v>
      </c>
      <c r="C3039" s="9">
        <f>IFERROR(__xludf.DUMMYFUNCTION("""COMPUTED_VALUE"""),469.83)</f>
        <v>469.83</v>
      </c>
      <c r="D3039" s="9">
        <f>IFERROR(__xludf.DUMMYFUNCTION("""COMPUTED_VALUE"""),464.45)</f>
        <v>464.45</v>
      </c>
      <c r="E3039" s="9">
        <f>IFERROR(__xludf.DUMMYFUNCTION("""COMPUTED_VALUE"""),468.83)</f>
        <v>468.83</v>
      </c>
      <c r="F3039" s="9">
        <f>IFERROR(__xludf.DUMMYFUNCTION("""COMPUTED_VALUE"""),2639903.0)</f>
        <v>2639903</v>
      </c>
      <c r="H3039" s="27">
        <f>IFERROR(__xludf.DUMMYFUNCTION("""COMPUTED_VALUE"""),42859.64583333333)</f>
        <v>42859.64583</v>
      </c>
      <c r="I3039" s="25">
        <f>IFERROR(__xludf.DUMMYFUNCTION("""COMPUTED_VALUE"""),1174.97)</f>
        <v>1174.97</v>
      </c>
      <c r="J3039" s="25">
        <f>IFERROR(__xludf.DUMMYFUNCTION("""COMPUTED_VALUE"""),1175.0)</f>
        <v>1175</v>
      </c>
      <c r="K3039" s="25">
        <f>IFERROR(__xludf.DUMMYFUNCTION("""COMPUTED_VALUE"""),1154.4)</f>
        <v>1154.4</v>
      </c>
      <c r="L3039" s="25">
        <f>IFERROR(__xludf.DUMMYFUNCTION("""COMPUTED_VALUE"""),1165.05)</f>
        <v>1165.05</v>
      </c>
      <c r="M3039" s="25">
        <f>IFERROR(__xludf.DUMMYFUNCTION("""COMPUTED_VALUE"""),1354104.0)</f>
        <v>1354104</v>
      </c>
    </row>
    <row r="3040">
      <c r="A3040" s="26">
        <f>IFERROR(__xludf.DUMMYFUNCTION("""COMPUTED_VALUE"""),42860.64583333333)</f>
        <v>42860.64583</v>
      </c>
      <c r="B3040" s="9">
        <f>IFERROR(__xludf.DUMMYFUNCTION("""COMPUTED_VALUE"""),468.0)</f>
        <v>468</v>
      </c>
      <c r="C3040" s="9">
        <f>IFERROR(__xludf.DUMMYFUNCTION("""COMPUTED_VALUE"""),468.68)</f>
        <v>468.68</v>
      </c>
      <c r="D3040" s="9">
        <f>IFERROR(__xludf.DUMMYFUNCTION("""COMPUTED_VALUE"""),460.0)</f>
        <v>460</v>
      </c>
      <c r="E3040" s="9">
        <f>IFERROR(__xludf.DUMMYFUNCTION("""COMPUTED_VALUE"""),465.75)</f>
        <v>465.75</v>
      </c>
      <c r="F3040" s="9">
        <f>IFERROR(__xludf.DUMMYFUNCTION("""COMPUTED_VALUE"""),2216394.0)</f>
        <v>2216394</v>
      </c>
      <c r="H3040" s="27">
        <f>IFERROR(__xludf.DUMMYFUNCTION("""COMPUTED_VALUE"""),42860.64583333333)</f>
        <v>42860.64583</v>
      </c>
      <c r="I3040" s="25">
        <f>IFERROR(__xludf.DUMMYFUNCTION("""COMPUTED_VALUE"""),1154.0)</f>
        <v>1154</v>
      </c>
      <c r="J3040" s="25">
        <f>IFERROR(__xludf.DUMMYFUNCTION("""COMPUTED_VALUE"""),1166.25)</f>
        <v>1166.25</v>
      </c>
      <c r="K3040" s="25">
        <f>IFERROR(__xludf.DUMMYFUNCTION("""COMPUTED_VALUE"""),1151.25)</f>
        <v>1151.25</v>
      </c>
      <c r="L3040" s="25">
        <f>IFERROR(__xludf.DUMMYFUNCTION("""COMPUTED_VALUE"""),1160.25)</f>
        <v>1160.25</v>
      </c>
      <c r="M3040" s="25">
        <f>IFERROR(__xludf.DUMMYFUNCTION("""COMPUTED_VALUE"""),841237.0)</f>
        <v>841237</v>
      </c>
    </row>
    <row r="3041">
      <c r="A3041" s="26">
        <f>IFERROR(__xludf.DUMMYFUNCTION("""COMPUTED_VALUE"""),42863.64583333333)</f>
        <v>42863.64583</v>
      </c>
      <c r="B3041" s="9">
        <f>IFERROR(__xludf.DUMMYFUNCTION("""COMPUTED_VALUE"""),469.0)</f>
        <v>469</v>
      </c>
      <c r="C3041" s="9">
        <f>IFERROR(__xludf.DUMMYFUNCTION("""COMPUTED_VALUE"""),474.28)</f>
        <v>474.28</v>
      </c>
      <c r="D3041" s="9">
        <f>IFERROR(__xludf.DUMMYFUNCTION("""COMPUTED_VALUE"""),466.0)</f>
        <v>466</v>
      </c>
      <c r="E3041" s="9">
        <f>IFERROR(__xludf.DUMMYFUNCTION("""COMPUTED_VALUE"""),472.75)</f>
        <v>472.75</v>
      </c>
      <c r="F3041" s="9">
        <f>IFERROR(__xludf.DUMMYFUNCTION("""COMPUTED_VALUE"""),2353549.0)</f>
        <v>2353549</v>
      </c>
      <c r="H3041" s="27">
        <f>IFERROR(__xludf.DUMMYFUNCTION("""COMPUTED_VALUE"""),42863.64583333333)</f>
        <v>42863.64583</v>
      </c>
      <c r="I3041" s="25">
        <f>IFERROR(__xludf.DUMMYFUNCTION("""COMPUTED_VALUE"""),1160.5)</f>
        <v>1160.5</v>
      </c>
      <c r="J3041" s="25">
        <f>IFERROR(__xludf.DUMMYFUNCTION("""COMPUTED_VALUE"""),1173.7)</f>
        <v>1173.7</v>
      </c>
      <c r="K3041" s="25">
        <f>IFERROR(__xludf.DUMMYFUNCTION("""COMPUTED_VALUE"""),1158.85)</f>
        <v>1158.85</v>
      </c>
      <c r="L3041" s="25">
        <f>IFERROR(__xludf.DUMMYFUNCTION("""COMPUTED_VALUE"""),1171.22)</f>
        <v>1171.22</v>
      </c>
      <c r="M3041" s="25">
        <f>IFERROR(__xludf.DUMMYFUNCTION("""COMPUTED_VALUE"""),535891.0)</f>
        <v>535891</v>
      </c>
    </row>
    <row r="3042">
      <c r="A3042" s="26">
        <f>IFERROR(__xludf.DUMMYFUNCTION("""COMPUTED_VALUE"""),42864.64583333333)</f>
        <v>42864.64583</v>
      </c>
      <c r="B3042" s="9">
        <f>IFERROR(__xludf.DUMMYFUNCTION("""COMPUTED_VALUE"""),475.3)</f>
        <v>475.3</v>
      </c>
      <c r="C3042" s="9">
        <f>IFERROR(__xludf.DUMMYFUNCTION("""COMPUTED_VALUE"""),475.98)</f>
        <v>475.98</v>
      </c>
      <c r="D3042" s="9">
        <f>IFERROR(__xludf.DUMMYFUNCTION("""COMPUTED_VALUE"""),471.05)</f>
        <v>471.05</v>
      </c>
      <c r="E3042" s="9">
        <f>IFERROR(__xludf.DUMMYFUNCTION("""COMPUTED_VALUE"""),473.33)</f>
        <v>473.33</v>
      </c>
      <c r="F3042" s="9">
        <f>IFERROR(__xludf.DUMMYFUNCTION("""COMPUTED_VALUE"""),2824686.0)</f>
        <v>2824686</v>
      </c>
      <c r="H3042" s="27">
        <f>IFERROR(__xludf.DUMMYFUNCTION("""COMPUTED_VALUE"""),42864.64583333333)</f>
        <v>42864.64583</v>
      </c>
      <c r="I3042" s="25">
        <f>IFERROR(__xludf.DUMMYFUNCTION("""COMPUTED_VALUE"""),1171.97)</f>
        <v>1171.97</v>
      </c>
      <c r="J3042" s="25">
        <f>IFERROR(__xludf.DUMMYFUNCTION("""COMPUTED_VALUE"""),1180.5)</f>
        <v>1180.5</v>
      </c>
      <c r="K3042" s="25">
        <f>IFERROR(__xludf.DUMMYFUNCTION("""COMPUTED_VALUE"""),1166.28)</f>
        <v>1166.28</v>
      </c>
      <c r="L3042" s="25">
        <f>IFERROR(__xludf.DUMMYFUNCTION("""COMPUTED_VALUE"""),1176.28)</f>
        <v>1176.28</v>
      </c>
      <c r="M3042" s="25">
        <f>IFERROR(__xludf.DUMMYFUNCTION("""COMPUTED_VALUE"""),895135.0)</f>
        <v>895135</v>
      </c>
    </row>
    <row r="3043">
      <c r="A3043" s="26">
        <f>IFERROR(__xludf.DUMMYFUNCTION("""COMPUTED_VALUE"""),42865.64583333333)</f>
        <v>42865.64583</v>
      </c>
      <c r="B3043" s="9">
        <f>IFERROR(__xludf.DUMMYFUNCTION("""COMPUTED_VALUE"""),473.58)</f>
        <v>473.58</v>
      </c>
      <c r="C3043" s="9">
        <f>IFERROR(__xludf.DUMMYFUNCTION("""COMPUTED_VALUE"""),475.0)</f>
        <v>475</v>
      </c>
      <c r="D3043" s="9">
        <f>IFERROR(__xludf.DUMMYFUNCTION("""COMPUTED_VALUE"""),468.58)</f>
        <v>468.58</v>
      </c>
      <c r="E3043" s="9">
        <f>IFERROR(__xludf.DUMMYFUNCTION("""COMPUTED_VALUE"""),471.83)</f>
        <v>471.83</v>
      </c>
      <c r="F3043" s="9">
        <f>IFERROR(__xludf.DUMMYFUNCTION("""COMPUTED_VALUE"""),1682151.0)</f>
        <v>1682151</v>
      </c>
      <c r="H3043" s="27">
        <f>IFERROR(__xludf.DUMMYFUNCTION("""COMPUTED_VALUE"""),42865.64583333333)</f>
        <v>42865.64583</v>
      </c>
      <c r="I3043" s="25">
        <f>IFERROR(__xludf.DUMMYFUNCTION("""COMPUTED_VALUE"""),1177.5)</f>
        <v>1177.5</v>
      </c>
      <c r="J3043" s="25">
        <f>IFERROR(__xludf.DUMMYFUNCTION("""COMPUTED_VALUE"""),1178.08)</f>
        <v>1178.08</v>
      </c>
      <c r="K3043" s="25">
        <f>IFERROR(__xludf.DUMMYFUNCTION("""COMPUTED_VALUE"""),1158.0)</f>
        <v>1158</v>
      </c>
      <c r="L3043" s="25">
        <f>IFERROR(__xludf.DUMMYFUNCTION("""COMPUTED_VALUE"""),1166.22)</f>
        <v>1166.22</v>
      </c>
      <c r="M3043" s="25">
        <f>IFERROR(__xludf.DUMMYFUNCTION("""COMPUTED_VALUE"""),603194.0)</f>
        <v>603194</v>
      </c>
    </row>
    <row r="3044">
      <c r="A3044" s="26">
        <f>IFERROR(__xludf.DUMMYFUNCTION("""COMPUTED_VALUE"""),42866.64583333333)</f>
        <v>42866.64583</v>
      </c>
      <c r="B3044" s="9">
        <f>IFERROR(__xludf.DUMMYFUNCTION("""COMPUTED_VALUE"""),473.43)</f>
        <v>473.43</v>
      </c>
      <c r="C3044" s="9">
        <f>IFERROR(__xludf.DUMMYFUNCTION("""COMPUTED_VALUE"""),474.93)</f>
        <v>474.93</v>
      </c>
      <c r="D3044" s="9">
        <f>IFERROR(__xludf.DUMMYFUNCTION("""COMPUTED_VALUE"""),468.78)</f>
        <v>468.78</v>
      </c>
      <c r="E3044" s="9">
        <f>IFERROR(__xludf.DUMMYFUNCTION("""COMPUTED_VALUE"""),472.05)</f>
        <v>472.05</v>
      </c>
      <c r="F3044" s="9">
        <f>IFERROR(__xludf.DUMMYFUNCTION("""COMPUTED_VALUE"""),1614741.0)</f>
        <v>1614741</v>
      </c>
      <c r="H3044" s="27">
        <f>IFERROR(__xludf.DUMMYFUNCTION("""COMPUTED_VALUE"""),42866.64583333333)</f>
        <v>42866.64583</v>
      </c>
      <c r="I3044" s="25">
        <f>IFERROR(__xludf.DUMMYFUNCTION("""COMPUTED_VALUE"""),1173.65)</f>
        <v>1173.65</v>
      </c>
      <c r="J3044" s="25">
        <f>IFERROR(__xludf.DUMMYFUNCTION("""COMPUTED_VALUE"""),1180.0)</f>
        <v>1180</v>
      </c>
      <c r="K3044" s="25">
        <f>IFERROR(__xludf.DUMMYFUNCTION("""COMPUTED_VALUE"""),1161.38)</f>
        <v>1161.38</v>
      </c>
      <c r="L3044" s="25">
        <f>IFERROR(__xludf.DUMMYFUNCTION("""COMPUTED_VALUE"""),1174.72)</f>
        <v>1174.72</v>
      </c>
      <c r="M3044" s="25">
        <f>IFERROR(__xludf.DUMMYFUNCTION("""COMPUTED_VALUE"""),1035651.0)</f>
        <v>1035651</v>
      </c>
    </row>
    <row r="3045">
      <c r="A3045" s="26">
        <f>IFERROR(__xludf.DUMMYFUNCTION("""COMPUTED_VALUE"""),42867.64583333333)</f>
        <v>42867.64583</v>
      </c>
      <c r="B3045" s="9">
        <f>IFERROR(__xludf.DUMMYFUNCTION("""COMPUTED_VALUE"""),476.5)</f>
        <v>476.5</v>
      </c>
      <c r="C3045" s="9">
        <f>IFERROR(__xludf.DUMMYFUNCTION("""COMPUTED_VALUE"""),483.0)</f>
        <v>483</v>
      </c>
      <c r="D3045" s="9">
        <f>IFERROR(__xludf.DUMMYFUNCTION("""COMPUTED_VALUE"""),475.73)</f>
        <v>475.73</v>
      </c>
      <c r="E3045" s="9">
        <f>IFERROR(__xludf.DUMMYFUNCTION("""COMPUTED_VALUE"""),482.13)</f>
        <v>482.13</v>
      </c>
      <c r="F3045" s="9">
        <f>IFERROR(__xludf.DUMMYFUNCTION("""COMPUTED_VALUE"""),5489998.0)</f>
        <v>5489998</v>
      </c>
      <c r="H3045" s="27">
        <f>IFERROR(__xludf.DUMMYFUNCTION("""COMPUTED_VALUE"""),42867.64583333333)</f>
        <v>42867.64583</v>
      </c>
      <c r="I3045" s="25">
        <f>IFERROR(__xludf.DUMMYFUNCTION("""COMPUTED_VALUE"""),1171.65)</f>
        <v>1171.65</v>
      </c>
      <c r="J3045" s="25">
        <f>IFERROR(__xludf.DUMMYFUNCTION("""COMPUTED_VALUE"""),1184.95)</f>
        <v>1184.95</v>
      </c>
      <c r="K3045" s="25">
        <f>IFERROR(__xludf.DUMMYFUNCTION("""COMPUTED_VALUE"""),1160.03)</f>
        <v>1160.03</v>
      </c>
      <c r="L3045" s="25">
        <f>IFERROR(__xludf.DUMMYFUNCTION("""COMPUTED_VALUE"""),1180.33)</f>
        <v>1180.33</v>
      </c>
      <c r="M3045" s="25">
        <f>IFERROR(__xludf.DUMMYFUNCTION("""COMPUTED_VALUE"""),1157223.0)</f>
        <v>1157223</v>
      </c>
    </row>
    <row r="3046">
      <c r="A3046" s="26">
        <f>IFERROR(__xludf.DUMMYFUNCTION("""COMPUTED_VALUE"""),42870.64583333333)</f>
        <v>42870.64583</v>
      </c>
      <c r="B3046" s="9">
        <f>IFERROR(__xludf.DUMMYFUNCTION("""COMPUTED_VALUE"""),481.75)</f>
        <v>481.75</v>
      </c>
      <c r="C3046" s="9">
        <f>IFERROR(__xludf.DUMMYFUNCTION("""COMPUTED_VALUE"""),481.75)</f>
        <v>481.75</v>
      </c>
      <c r="D3046" s="9">
        <f>IFERROR(__xludf.DUMMYFUNCTION("""COMPUTED_VALUE"""),474.55)</f>
        <v>474.55</v>
      </c>
      <c r="E3046" s="9">
        <f>IFERROR(__xludf.DUMMYFUNCTION("""COMPUTED_VALUE"""),475.78)</f>
        <v>475.78</v>
      </c>
      <c r="F3046" s="9">
        <f>IFERROR(__xludf.DUMMYFUNCTION("""COMPUTED_VALUE"""),3648582.0)</f>
        <v>3648582</v>
      </c>
      <c r="H3046" s="27">
        <f>IFERROR(__xludf.DUMMYFUNCTION("""COMPUTED_VALUE"""),42870.64583333333)</f>
        <v>42870.64583</v>
      </c>
      <c r="I3046" s="25">
        <f>IFERROR(__xludf.DUMMYFUNCTION("""COMPUTED_VALUE"""),1187.55)</f>
        <v>1187.55</v>
      </c>
      <c r="J3046" s="25">
        <f>IFERROR(__xludf.DUMMYFUNCTION("""COMPUTED_VALUE"""),1188.97)</f>
        <v>1188.97</v>
      </c>
      <c r="K3046" s="25">
        <f>IFERROR(__xludf.DUMMYFUNCTION("""COMPUTED_VALUE"""),1170.8)</f>
        <v>1170.8</v>
      </c>
      <c r="L3046" s="25">
        <f>IFERROR(__xludf.DUMMYFUNCTION("""COMPUTED_VALUE"""),1182.55)</f>
        <v>1182.55</v>
      </c>
      <c r="M3046" s="25">
        <f>IFERROR(__xludf.DUMMYFUNCTION("""COMPUTED_VALUE"""),908802.0)</f>
        <v>908802</v>
      </c>
    </row>
    <row r="3047">
      <c r="A3047" s="26">
        <f>IFERROR(__xludf.DUMMYFUNCTION("""COMPUTED_VALUE"""),42871.64583333333)</f>
        <v>42871.64583</v>
      </c>
      <c r="B3047" s="9">
        <f>IFERROR(__xludf.DUMMYFUNCTION("""COMPUTED_VALUE"""),476.55)</f>
        <v>476.55</v>
      </c>
      <c r="C3047" s="9">
        <f>IFERROR(__xludf.DUMMYFUNCTION("""COMPUTED_VALUE"""),480.08)</f>
        <v>480.08</v>
      </c>
      <c r="D3047" s="9">
        <f>IFERROR(__xludf.DUMMYFUNCTION("""COMPUTED_VALUE"""),473.48)</f>
        <v>473.48</v>
      </c>
      <c r="E3047" s="9">
        <f>IFERROR(__xludf.DUMMYFUNCTION("""COMPUTED_VALUE"""),477.5)</f>
        <v>477.5</v>
      </c>
      <c r="F3047" s="9">
        <f>IFERROR(__xludf.DUMMYFUNCTION("""COMPUTED_VALUE"""),3065084.0)</f>
        <v>3065084</v>
      </c>
      <c r="H3047" s="27">
        <f>IFERROR(__xludf.DUMMYFUNCTION("""COMPUTED_VALUE"""),42871.64583333333)</f>
        <v>42871.64583</v>
      </c>
      <c r="I3047" s="25">
        <f>IFERROR(__xludf.DUMMYFUNCTION("""COMPUTED_VALUE"""),1190.0)</f>
        <v>1190</v>
      </c>
      <c r="J3047" s="25">
        <f>IFERROR(__xludf.DUMMYFUNCTION("""COMPUTED_VALUE"""),1217.5)</f>
        <v>1217.5</v>
      </c>
      <c r="K3047" s="25">
        <f>IFERROR(__xludf.DUMMYFUNCTION("""COMPUTED_VALUE"""),1186.72)</f>
        <v>1186.72</v>
      </c>
      <c r="L3047" s="25">
        <f>IFERROR(__xludf.DUMMYFUNCTION("""COMPUTED_VALUE"""),1214.58)</f>
        <v>1214.58</v>
      </c>
      <c r="M3047" s="25">
        <f>IFERROR(__xludf.DUMMYFUNCTION("""COMPUTED_VALUE"""),1800513.0)</f>
        <v>1800513</v>
      </c>
    </row>
    <row r="3048">
      <c r="A3048" s="26">
        <f>IFERROR(__xludf.DUMMYFUNCTION("""COMPUTED_VALUE"""),42872.64583333333)</f>
        <v>42872.64583</v>
      </c>
      <c r="B3048" s="9">
        <f>IFERROR(__xludf.DUMMYFUNCTION("""COMPUTED_VALUE"""),475.8)</f>
        <v>475.8</v>
      </c>
      <c r="C3048" s="9">
        <f>IFERROR(__xludf.DUMMYFUNCTION("""COMPUTED_VALUE"""),479.23)</f>
        <v>479.23</v>
      </c>
      <c r="D3048" s="9">
        <f>IFERROR(__xludf.DUMMYFUNCTION("""COMPUTED_VALUE"""),471.93)</f>
        <v>471.93</v>
      </c>
      <c r="E3048" s="9">
        <f>IFERROR(__xludf.DUMMYFUNCTION("""COMPUTED_VALUE"""),476.4)</f>
        <v>476.4</v>
      </c>
      <c r="F3048" s="9">
        <f>IFERROR(__xludf.DUMMYFUNCTION("""COMPUTED_VALUE"""),1457754.0)</f>
        <v>1457754</v>
      </c>
      <c r="H3048" s="27">
        <f>IFERROR(__xludf.DUMMYFUNCTION("""COMPUTED_VALUE"""),42872.64583333333)</f>
        <v>42872.64583</v>
      </c>
      <c r="I3048" s="25">
        <f>IFERROR(__xludf.DUMMYFUNCTION("""COMPUTED_VALUE"""),1216.75)</f>
        <v>1216.75</v>
      </c>
      <c r="J3048" s="25">
        <f>IFERROR(__xludf.DUMMYFUNCTION("""COMPUTED_VALUE"""),1230.38)</f>
        <v>1230.38</v>
      </c>
      <c r="K3048" s="25">
        <f>IFERROR(__xludf.DUMMYFUNCTION("""COMPUTED_VALUE"""),1211.5)</f>
        <v>1211.5</v>
      </c>
      <c r="L3048" s="25">
        <f>IFERROR(__xludf.DUMMYFUNCTION("""COMPUTED_VALUE"""),1227.68)</f>
        <v>1227.68</v>
      </c>
      <c r="M3048" s="25">
        <f>IFERROR(__xludf.DUMMYFUNCTION("""COMPUTED_VALUE"""),1438099.0)</f>
        <v>1438099</v>
      </c>
    </row>
    <row r="3049">
      <c r="A3049" s="26">
        <f>IFERROR(__xludf.DUMMYFUNCTION("""COMPUTED_VALUE"""),42873.64583333333)</f>
        <v>42873.64583</v>
      </c>
      <c r="B3049" s="9">
        <f>IFERROR(__xludf.DUMMYFUNCTION("""COMPUTED_VALUE"""),471.5)</f>
        <v>471.5</v>
      </c>
      <c r="C3049" s="9">
        <f>IFERROR(__xludf.DUMMYFUNCTION("""COMPUTED_VALUE"""),486.95)</f>
        <v>486.95</v>
      </c>
      <c r="D3049" s="9">
        <f>IFERROR(__xludf.DUMMYFUNCTION("""COMPUTED_VALUE"""),471.43)</f>
        <v>471.43</v>
      </c>
      <c r="E3049" s="9">
        <f>IFERROR(__xludf.DUMMYFUNCTION("""COMPUTED_VALUE"""),480.88)</f>
        <v>480.88</v>
      </c>
      <c r="F3049" s="9">
        <f>IFERROR(__xludf.DUMMYFUNCTION("""COMPUTED_VALUE"""),4028924.0)</f>
        <v>4028924</v>
      </c>
      <c r="H3049" s="27">
        <f>IFERROR(__xludf.DUMMYFUNCTION("""COMPUTED_VALUE"""),42873.64583333333)</f>
        <v>42873.64583</v>
      </c>
      <c r="I3049" s="25">
        <f>IFERROR(__xludf.DUMMYFUNCTION("""COMPUTED_VALUE"""),1225.0)</f>
        <v>1225</v>
      </c>
      <c r="J3049" s="25">
        <f>IFERROR(__xludf.DUMMYFUNCTION("""COMPUTED_VALUE"""),1286.0)</f>
        <v>1286</v>
      </c>
      <c r="K3049" s="25">
        <f>IFERROR(__xludf.DUMMYFUNCTION("""COMPUTED_VALUE"""),1221.13)</f>
        <v>1221.13</v>
      </c>
      <c r="L3049" s="25">
        <f>IFERROR(__xludf.DUMMYFUNCTION("""COMPUTED_VALUE"""),1268.1)</f>
        <v>1268.1</v>
      </c>
      <c r="M3049" s="25">
        <f>IFERROR(__xludf.DUMMYFUNCTION("""COMPUTED_VALUE"""),2569297.0)</f>
        <v>2569297</v>
      </c>
    </row>
    <row r="3050">
      <c r="A3050" s="26">
        <f>IFERROR(__xludf.DUMMYFUNCTION("""COMPUTED_VALUE"""),42874.64583333333)</f>
        <v>42874.64583</v>
      </c>
      <c r="B3050" s="9">
        <f>IFERROR(__xludf.DUMMYFUNCTION("""COMPUTED_VALUE"""),480.75)</f>
        <v>480.75</v>
      </c>
      <c r="C3050" s="9">
        <f>IFERROR(__xludf.DUMMYFUNCTION("""COMPUTED_VALUE"""),481.35)</f>
        <v>481.35</v>
      </c>
      <c r="D3050" s="9">
        <f>IFERROR(__xludf.DUMMYFUNCTION("""COMPUTED_VALUE"""),473.93)</f>
        <v>473.93</v>
      </c>
      <c r="E3050" s="9">
        <f>IFERROR(__xludf.DUMMYFUNCTION("""COMPUTED_VALUE"""),478.98)</f>
        <v>478.98</v>
      </c>
      <c r="F3050" s="9">
        <f>IFERROR(__xludf.DUMMYFUNCTION("""COMPUTED_VALUE"""),2128698.0)</f>
        <v>2128698</v>
      </c>
      <c r="H3050" s="27">
        <f>IFERROR(__xludf.DUMMYFUNCTION("""COMPUTED_VALUE"""),42874.64583333333)</f>
        <v>42874.64583</v>
      </c>
      <c r="I3050" s="25">
        <f>IFERROR(__xludf.DUMMYFUNCTION("""COMPUTED_VALUE"""),1268.1)</f>
        <v>1268.1</v>
      </c>
      <c r="J3050" s="25">
        <f>IFERROR(__xludf.DUMMYFUNCTION("""COMPUTED_VALUE"""),1270.28)</f>
        <v>1270.28</v>
      </c>
      <c r="K3050" s="25">
        <f>IFERROR(__xludf.DUMMYFUNCTION("""COMPUTED_VALUE"""),1243.0)</f>
        <v>1243</v>
      </c>
      <c r="L3050" s="25">
        <f>IFERROR(__xludf.DUMMYFUNCTION("""COMPUTED_VALUE"""),1253.58)</f>
        <v>1253.58</v>
      </c>
      <c r="M3050" s="25">
        <f>IFERROR(__xludf.DUMMYFUNCTION("""COMPUTED_VALUE"""),893022.0)</f>
        <v>893022</v>
      </c>
    </row>
    <row r="3051">
      <c r="A3051" s="26">
        <f>IFERROR(__xludf.DUMMYFUNCTION("""COMPUTED_VALUE"""),42877.64583333333)</f>
        <v>42877.64583</v>
      </c>
      <c r="B3051" s="9">
        <f>IFERROR(__xludf.DUMMYFUNCTION("""COMPUTED_VALUE"""),479.2)</f>
        <v>479.2</v>
      </c>
      <c r="C3051" s="9">
        <f>IFERROR(__xludf.DUMMYFUNCTION("""COMPUTED_VALUE"""),483.45)</f>
        <v>483.45</v>
      </c>
      <c r="D3051" s="9">
        <f>IFERROR(__xludf.DUMMYFUNCTION("""COMPUTED_VALUE"""),478.28)</f>
        <v>478.28</v>
      </c>
      <c r="E3051" s="9">
        <f>IFERROR(__xludf.DUMMYFUNCTION("""COMPUTED_VALUE"""),480.73)</f>
        <v>480.73</v>
      </c>
      <c r="F3051" s="9">
        <f>IFERROR(__xludf.DUMMYFUNCTION("""COMPUTED_VALUE"""),2751526.0)</f>
        <v>2751526</v>
      </c>
      <c r="H3051" s="27">
        <f>IFERROR(__xludf.DUMMYFUNCTION("""COMPUTED_VALUE"""),42877.64583333333)</f>
        <v>42877.64583</v>
      </c>
      <c r="I3051" s="25">
        <f>IFERROR(__xludf.DUMMYFUNCTION("""COMPUTED_VALUE"""),1255.0)</f>
        <v>1255</v>
      </c>
      <c r="J3051" s="25">
        <f>IFERROR(__xludf.DUMMYFUNCTION("""COMPUTED_VALUE"""),1276.88)</f>
        <v>1276.88</v>
      </c>
      <c r="K3051" s="25">
        <f>IFERROR(__xludf.DUMMYFUNCTION("""COMPUTED_VALUE"""),1255.0)</f>
        <v>1255</v>
      </c>
      <c r="L3051" s="25">
        <f>IFERROR(__xludf.DUMMYFUNCTION("""COMPUTED_VALUE"""),1265.68)</f>
        <v>1265.68</v>
      </c>
      <c r="M3051" s="25">
        <f>IFERROR(__xludf.DUMMYFUNCTION("""COMPUTED_VALUE"""),831970.0)</f>
        <v>831970</v>
      </c>
    </row>
    <row r="3052">
      <c r="A3052" s="26">
        <f>IFERROR(__xludf.DUMMYFUNCTION("""COMPUTED_VALUE"""),42878.64583333333)</f>
        <v>42878.64583</v>
      </c>
      <c r="B3052" s="9">
        <f>IFERROR(__xludf.DUMMYFUNCTION("""COMPUTED_VALUE"""),482.33)</f>
        <v>482.33</v>
      </c>
      <c r="C3052" s="9">
        <f>IFERROR(__xludf.DUMMYFUNCTION("""COMPUTED_VALUE"""),483.5)</f>
        <v>483.5</v>
      </c>
      <c r="D3052" s="9">
        <f>IFERROR(__xludf.DUMMYFUNCTION("""COMPUTED_VALUE"""),477.05)</f>
        <v>477.05</v>
      </c>
      <c r="E3052" s="9">
        <f>IFERROR(__xludf.DUMMYFUNCTION("""COMPUTED_VALUE"""),478.65)</f>
        <v>478.65</v>
      </c>
      <c r="F3052" s="9">
        <f>IFERROR(__xludf.DUMMYFUNCTION("""COMPUTED_VALUE"""),2019991.0)</f>
        <v>2019991</v>
      </c>
      <c r="H3052" s="27">
        <f>IFERROR(__xludf.DUMMYFUNCTION("""COMPUTED_VALUE"""),42878.64583333333)</f>
        <v>42878.64583</v>
      </c>
      <c r="I3052" s="25">
        <f>IFERROR(__xludf.DUMMYFUNCTION("""COMPUTED_VALUE"""),1266.6)</f>
        <v>1266.6</v>
      </c>
      <c r="J3052" s="25">
        <f>IFERROR(__xludf.DUMMYFUNCTION("""COMPUTED_VALUE"""),1282.08)</f>
        <v>1282.08</v>
      </c>
      <c r="K3052" s="25">
        <f>IFERROR(__xludf.DUMMYFUNCTION("""COMPUTED_VALUE"""),1257.0)</f>
        <v>1257</v>
      </c>
      <c r="L3052" s="25">
        <f>IFERROR(__xludf.DUMMYFUNCTION("""COMPUTED_VALUE"""),1260.85)</f>
        <v>1260.85</v>
      </c>
      <c r="M3052" s="25">
        <f>IFERROR(__xludf.DUMMYFUNCTION("""COMPUTED_VALUE"""),1374298.0)</f>
        <v>1374298</v>
      </c>
    </row>
    <row r="3053">
      <c r="A3053" s="26">
        <f>IFERROR(__xludf.DUMMYFUNCTION("""COMPUTED_VALUE"""),42879.64583333333)</f>
        <v>42879.64583</v>
      </c>
      <c r="B3053" s="9">
        <f>IFERROR(__xludf.DUMMYFUNCTION("""COMPUTED_VALUE"""),480.0)</f>
        <v>480</v>
      </c>
      <c r="C3053" s="9">
        <f>IFERROR(__xludf.DUMMYFUNCTION("""COMPUTED_VALUE"""),482.75)</f>
        <v>482.75</v>
      </c>
      <c r="D3053" s="9">
        <f>IFERROR(__xludf.DUMMYFUNCTION("""COMPUTED_VALUE"""),474.8)</f>
        <v>474.8</v>
      </c>
      <c r="E3053" s="9">
        <f>IFERROR(__xludf.DUMMYFUNCTION("""COMPUTED_VALUE"""),477.4)</f>
        <v>477.4</v>
      </c>
      <c r="F3053" s="9">
        <f>IFERROR(__xludf.DUMMYFUNCTION("""COMPUTED_VALUE"""),2818143.0)</f>
        <v>2818143</v>
      </c>
      <c r="H3053" s="27">
        <f>IFERROR(__xludf.DUMMYFUNCTION("""COMPUTED_VALUE"""),42879.64583333333)</f>
        <v>42879.64583</v>
      </c>
      <c r="I3053" s="25">
        <f>IFERROR(__xludf.DUMMYFUNCTION("""COMPUTED_VALUE"""),1267.4)</f>
        <v>1267.4</v>
      </c>
      <c r="J3053" s="25">
        <f>IFERROR(__xludf.DUMMYFUNCTION("""COMPUTED_VALUE"""),1285.0)</f>
        <v>1285</v>
      </c>
      <c r="K3053" s="25">
        <f>IFERROR(__xludf.DUMMYFUNCTION("""COMPUTED_VALUE"""),1264.83)</f>
        <v>1264.83</v>
      </c>
      <c r="L3053" s="25">
        <f>IFERROR(__xludf.DUMMYFUNCTION("""COMPUTED_VALUE"""),1279.58)</f>
        <v>1279.58</v>
      </c>
      <c r="M3053" s="25">
        <f>IFERROR(__xludf.DUMMYFUNCTION("""COMPUTED_VALUE"""),1267274.0)</f>
        <v>1267274</v>
      </c>
    </row>
    <row r="3054">
      <c r="A3054" s="26">
        <f>IFERROR(__xludf.DUMMYFUNCTION("""COMPUTED_VALUE"""),42880.64583333333)</f>
        <v>42880.64583</v>
      </c>
      <c r="B3054" s="9">
        <f>IFERROR(__xludf.DUMMYFUNCTION("""COMPUTED_VALUE"""),480.5)</f>
        <v>480.5</v>
      </c>
      <c r="C3054" s="9">
        <f>IFERROR(__xludf.DUMMYFUNCTION("""COMPUTED_VALUE"""),493.3)</f>
        <v>493.3</v>
      </c>
      <c r="D3054" s="9">
        <f>IFERROR(__xludf.DUMMYFUNCTION("""COMPUTED_VALUE"""),480.5)</f>
        <v>480.5</v>
      </c>
      <c r="E3054" s="9">
        <f>IFERROR(__xludf.DUMMYFUNCTION("""COMPUTED_VALUE"""),491.65)</f>
        <v>491.65</v>
      </c>
      <c r="F3054" s="9">
        <f>IFERROR(__xludf.DUMMYFUNCTION("""COMPUTED_VALUE"""),5219257.0)</f>
        <v>5219257</v>
      </c>
      <c r="H3054" s="27">
        <f>IFERROR(__xludf.DUMMYFUNCTION("""COMPUTED_VALUE"""),42880.64583333333)</f>
        <v>42880.64583</v>
      </c>
      <c r="I3054" s="25">
        <f>IFERROR(__xludf.DUMMYFUNCTION("""COMPUTED_VALUE"""),1288.5)</f>
        <v>1288.5</v>
      </c>
      <c r="J3054" s="25">
        <f>IFERROR(__xludf.DUMMYFUNCTION("""COMPUTED_VALUE"""),1318.78)</f>
        <v>1318.78</v>
      </c>
      <c r="K3054" s="25">
        <f>IFERROR(__xludf.DUMMYFUNCTION("""COMPUTED_VALUE"""),1284.0)</f>
        <v>1284</v>
      </c>
      <c r="L3054" s="25">
        <f>IFERROR(__xludf.DUMMYFUNCTION("""COMPUTED_VALUE"""),1312.3)</f>
        <v>1312.3</v>
      </c>
      <c r="M3054" s="25">
        <f>IFERROR(__xludf.DUMMYFUNCTION("""COMPUTED_VALUE"""),2047047.0)</f>
        <v>2047047</v>
      </c>
    </row>
    <row r="3055">
      <c r="A3055" s="26">
        <f>IFERROR(__xludf.DUMMYFUNCTION("""COMPUTED_VALUE"""),42881.64583333333)</f>
        <v>42881.64583</v>
      </c>
      <c r="B3055" s="9">
        <f>IFERROR(__xludf.DUMMYFUNCTION("""COMPUTED_VALUE"""),493.5)</f>
        <v>493.5</v>
      </c>
      <c r="C3055" s="9">
        <f>IFERROR(__xludf.DUMMYFUNCTION("""COMPUTED_VALUE"""),500.0)</f>
        <v>500</v>
      </c>
      <c r="D3055" s="9">
        <f>IFERROR(__xludf.DUMMYFUNCTION("""COMPUTED_VALUE"""),490.3)</f>
        <v>490.3</v>
      </c>
      <c r="E3055" s="9">
        <f>IFERROR(__xludf.DUMMYFUNCTION("""COMPUTED_VALUE"""),497.85)</f>
        <v>497.85</v>
      </c>
      <c r="F3055" s="9">
        <f>IFERROR(__xludf.DUMMYFUNCTION("""COMPUTED_VALUE"""),2494002.0)</f>
        <v>2494002</v>
      </c>
      <c r="H3055" s="27">
        <f>IFERROR(__xludf.DUMMYFUNCTION("""COMPUTED_VALUE"""),42881.64583333333)</f>
        <v>42881.64583</v>
      </c>
      <c r="I3055" s="25">
        <f>IFERROR(__xludf.DUMMYFUNCTION("""COMPUTED_VALUE"""),1312.5)</f>
        <v>1312.5</v>
      </c>
      <c r="J3055" s="25">
        <f>IFERROR(__xludf.DUMMYFUNCTION("""COMPUTED_VALUE"""),1313.43)</f>
        <v>1313.43</v>
      </c>
      <c r="K3055" s="25">
        <f>IFERROR(__xludf.DUMMYFUNCTION("""COMPUTED_VALUE"""),1282.33)</f>
        <v>1282.33</v>
      </c>
      <c r="L3055" s="25">
        <f>IFERROR(__xludf.DUMMYFUNCTION("""COMPUTED_VALUE"""),1289.13)</f>
        <v>1289.13</v>
      </c>
      <c r="M3055" s="25">
        <f>IFERROR(__xludf.DUMMYFUNCTION("""COMPUTED_VALUE"""),681275.0)</f>
        <v>681275</v>
      </c>
    </row>
    <row r="3056">
      <c r="A3056" s="26">
        <f>IFERROR(__xludf.DUMMYFUNCTION("""COMPUTED_VALUE"""),42884.64583333333)</f>
        <v>42884.64583</v>
      </c>
      <c r="B3056" s="9">
        <f>IFERROR(__xludf.DUMMYFUNCTION("""COMPUTED_VALUE"""),495.45)</f>
        <v>495.45</v>
      </c>
      <c r="C3056" s="9">
        <f>IFERROR(__xludf.DUMMYFUNCTION("""COMPUTED_VALUE"""),498.35)</f>
        <v>498.35</v>
      </c>
      <c r="D3056" s="9">
        <f>IFERROR(__xludf.DUMMYFUNCTION("""COMPUTED_VALUE"""),487.85)</f>
        <v>487.85</v>
      </c>
      <c r="E3056" s="9">
        <f>IFERROR(__xludf.DUMMYFUNCTION("""COMPUTED_VALUE"""),492.58)</f>
        <v>492.58</v>
      </c>
      <c r="F3056" s="9">
        <f>IFERROR(__xludf.DUMMYFUNCTION("""COMPUTED_VALUE"""),3154217.0)</f>
        <v>3154217</v>
      </c>
      <c r="H3056" s="27">
        <f>IFERROR(__xludf.DUMMYFUNCTION("""COMPUTED_VALUE"""),42884.64583333333)</f>
        <v>42884.64583</v>
      </c>
      <c r="I3056" s="25">
        <f>IFERROR(__xludf.DUMMYFUNCTION("""COMPUTED_VALUE"""),1289.5)</f>
        <v>1289.5</v>
      </c>
      <c r="J3056" s="25">
        <f>IFERROR(__xludf.DUMMYFUNCTION("""COMPUTED_VALUE"""),1298.25)</f>
        <v>1298.25</v>
      </c>
      <c r="K3056" s="25">
        <f>IFERROR(__xludf.DUMMYFUNCTION("""COMPUTED_VALUE"""),1282.0)</f>
        <v>1282</v>
      </c>
      <c r="L3056" s="25">
        <f>IFERROR(__xludf.DUMMYFUNCTION("""COMPUTED_VALUE"""),1286.43)</f>
        <v>1286.43</v>
      </c>
      <c r="M3056" s="25">
        <f>IFERROR(__xludf.DUMMYFUNCTION("""COMPUTED_VALUE"""),874645.0)</f>
        <v>874645</v>
      </c>
    </row>
    <row r="3057">
      <c r="A3057" s="26">
        <f>IFERROR(__xludf.DUMMYFUNCTION("""COMPUTED_VALUE"""),42885.64583333333)</f>
        <v>42885.64583</v>
      </c>
      <c r="B3057" s="9">
        <f>IFERROR(__xludf.DUMMYFUNCTION("""COMPUTED_VALUE"""),491.0)</f>
        <v>491</v>
      </c>
      <c r="C3057" s="9">
        <f>IFERROR(__xludf.DUMMYFUNCTION("""COMPUTED_VALUE"""),500.0)</f>
        <v>500</v>
      </c>
      <c r="D3057" s="9">
        <f>IFERROR(__xludf.DUMMYFUNCTION("""COMPUTED_VALUE"""),489.33)</f>
        <v>489.33</v>
      </c>
      <c r="E3057" s="9">
        <f>IFERROR(__xludf.DUMMYFUNCTION("""COMPUTED_VALUE"""),498.1)</f>
        <v>498.1</v>
      </c>
      <c r="F3057" s="9">
        <f>IFERROR(__xludf.DUMMYFUNCTION("""COMPUTED_VALUE"""),1858455.0)</f>
        <v>1858455</v>
      </c>
      <c r="H3057" s="27">
        <f>IFERROR(__xludf.DUMMYFUNCTION("""COMPUTED_VALUE"""),42885.64583333333)</f>
        <v>42885.64583</v>
      </c>
      <c r="I3057" s="25">
        <f>IFERROR(__xludf.DUMMYFUNCTION("""COMPUTED_VALUE"""),1280.0)</f>
        <v>1280</v>
      </c>
      <c r="J3057" s="25">
        <f>IFERROR(__xludf.DUMMYFUNCTION("""COMPUTED_VALUE"""),1287.97)</f>
        <v>1287.97</v>
      </c>
      <c r="K3057" s="25">
        <f>IFERROR(__xludf.DUMMYFUNCTION("""COMPUTED_VALUE"""),1262.5)</f>
        <v>1262.5</v>
      </c>
      <c r="L3057" s="25">
        <f>IFERROR(__xludf.DUMMYFUNCTION("""COMPUTED_VALUE"""),1275.55)</f>
        <v>1275.55</v>
      </c>
      <c r="M3057" s="25">
        <f>IFERROR(__xludf.DUMMYFUNCTION("""COMPUTED_VALUE"""),463817.0)</f>
        <v>463817</v>
      </c>
    </row>
    <row r="3058">
      <c r="A3058" s="26">
        <f>IFERROR(__xludf.DUMMYFUNCTION("""COMPUTED_VALUE"""),42886.64583333333)</f>
        <v>42886.64583</v>
      </c>
      <c r="B3058" s="9">
        <f>IFERROR(__xludf.DUMMYFUNCTION("""COMPUTED_VALUE"""),496.78)</f>
        <v>496.78</v>
      </c>
      <c r="C3058" s="9">
        <f>IFERROR(__xludf.DUMMYFUNCTION("""COMPUTED_VALUE"""),496.78)</f>
        <v>496.78</v>
      </c>
      <c r="D3058" s="9">
        <f>IFERROR(__xludf.DUMMYFUNCTION("""COMPUTED_VALUE"""),487.43)</f>
        <v>487.43</v>
      </c>
      <c r="E3058" s="9">
        <f>IFERROR(__xludf.DUMMYFUNCTION("""COMPUTED_VALUE"""),488.53)</f>
        <v>488.53</v>
      </c>
      <c r="F3058" s="9">
        <f>IFERROR(__xludf.DUMMYFUNCTION("""COMPUTED_VALUE"""),3881950.0)</f>
        <v>3881950</v>
      </c>
      <c r="H3058" s="27">
        <f>IFERROR(__xludf.DUMMYFUNCTION("""COMPUTED_VALUE"""),42886.64583333333)</f>
        <v>42886.64583</v>
      </c>
      <c r="I3058" s="25">
        <f>IFERROR(__xludf.DUMMYFUNCTION("""COMPUTED_VALUE"""),1266.5)</f>
        <v>1266.5</v>
      </c>
      <c r="J3058" s="25">
        <f>IFERROR(__xludf.DUMMYFUNCTION("""COMPUTED_VALUE"""),1286.25)</f>
        <v>1286.25</v>
      </c>
      <c r="K3058" s="25">
        <f>IFERROR(__xludf.DUMMYFUNCTION("""COMPUTED_VALUE"""),1264.0)</f>
        <v>1264</v>
      </c>
      <c r="L3058" s="25">
        <f>IFERROR(__xludf.DUMMYFUNCTION("""COMPUTED_VALUE"""),1273.3)</f>
        <v>1273.3</v>
      </c>
      <c r="M3058" s="25">
        <f>IFERROR(__xludf.DUMMYFUNCTION("""COMPUTED_VALUE"""),1251365.0)</f>
        <v>1251365</v>
      </c>
    </row>
    <row r="3059">
      <c r="A3059" s="26">
        <f>IFERROR(__xludf.DUMMYFUNCTION("""COMPUTED_VALUE"""),42887.64583333333)</f>
        <v>42887.64583</v>
      </c>
      <c r="B3059" s="9">
        <f>IFERROR(__xludf.DUMMYFUNCTION("""COMPUTED_VALUE"""),484.65)</f>
        <v>484.65</v>
      </c>
      <c r="C3059" s="9">
        <f>IFERROR(__xludf.DUMMYFUNCTION("""COMPUTED_VALUE"""),489.85)</f>
        <v>489.85</v>
      </c>
      <c r="D3059" s="9">
        <f>IFERROR(__xludf.DUMMYFUNCTION("""COMPUTED_VALUE"""),479.28)</f>
        <v>479.28</v>
      </c>
      <c r="E3059" s="9">
        <f>IFERROR(__xludf.DUMMYFUNCTION("""COMPUTED_VALUE"""),485.7)</f>
        <v>485.7</v>
      </c>
      <c r="F3059" s="9">
        <f>IFERROR(__xludf.DUMMYFUNCTION("""COMPUTED_VALUE"""),2754303.0)</f>
        <v>2754303</v>
      </c>
      <c r="H3059" s="27">
        <f>IFERROR(__xludf.DUMMYFUNCTION("""COMPUTED_VALUE"""),42887.64583333333)</f>
        <v>42887.64583</v>
      </c>
      <c r="I3059" s="25">
        <f>IFERROR(__xludf.DUMMYFUNCTION("""COMPUTED_VALUE"""),1265.0)</f>
        <v>1265</v>
      </c>
      <c r="J3059" s="25">
        <f>IFERROR(__xludf.DUMMYFUNCTION("""COMPUTED_VALUE"""),1282.0)</f>
        <v>1282</v>
      </c>
      <c r="K3059" s="25">
        <f>IFERROR(__xludf.DUMMYFUNCTION("""COMPUTED_VALUE"""),1265.0)</f>
        <v>1265</v>
      </c>
      <c r="L3059" s="25">
        <f>IFERROR(__xludf.DUMMYFUNCTION("""COMPUTED_VALUE"""),1276.8)</f>
        <v>1276.8</v>
      </c>
      <c r="M3059" s="25">
        <f>IFERROR(__xludf.DUMMYFUNCTION("""COMPUTED_VALUE"""),540032.0)</f>
        <v>540032</v>
      </c>
    </row>
    <row r="3060">
      <c r="A3060" s="26">
        <f>IFERROR(__xludf.DUMMYFUNCTION("""COMPUTED_VALUE"""),42888.64583333333)</f>
        <v>42888.64583</v>
      </c>
      <c r="B3060" s="9">
        <f>IFERROR(__xludf.DUMMYFUNCTION("""COMPUTED_VALUE"""),486.7)</f>
        <v>486.7</v>
      </c>
      <c r="C3060" s="9">
        <f>IFERROR(__xludf.DUMMYFUNCTION("""COMPUTED_VALUE"""),487.73)</f>
        <v>487.73</v>
      </c>
      <c r="D3060" s="9">
        <f>IFERROR(__xludf.DUMMYFUNCTION("""COMPUTED_VALUE"""),482.1)</f>
        <v>482.1</v>
      </c>
      <c r="E3060" s="9">
        <f>IFERROR(__xludf.DUMMYFUNCTION("""COMPUTED_VALUE"""),484.73)</f>
        <v>484.73</v>
      </c>
      <c r="F3060" s="9">
        <f>IFERROR(__xludf.DUMMYFUNCTION("""COMPUTED_VALUE"""),1958983.0)</f>
        <v>1958983</v>
      </c>
      <c r="H3060" s="27">
        <f>IFERROR(__xludf.DUMMYFUNCTION("""COMPUTED_VALUE"""),42888.64583333333)</f>
        <v>42888.64583</v>
      </c>
      <c r="I3060" s="25">
        <f>IFERROR(__xludf.DUMMYFUNCTION("""COMPUTED_VALUE"""),1278.13)</f>
        <v>1278.13</v>
      </c>
      <c r="J3060" s="25">
        <f>IFERROR(__xludf.DUMMYFUNCTION("""COMPUTED_VALUE"""),1295.93)</f>
        <v>1295.93</v>
      </c>
      <c r="K3060" s="25">
        <f>IFERROR(__xludf.DUMMYFUNCTION("""COMPUTED_VALUE"""),1276.25)</f>
        <v>1276.25</v>
      </c>
      <c r="L3060" s="25">
        <f>IFERROR(__xludf.DUMMYFUNCTION("""COMPUTED_VALUE"""),1282.45)</f>
        <v>1282.45</v>
      </c>
      <c r="M3060" s="25">
        <f>IFERROR(__xludf.DUMMYFUNCTION("""COMPUTED_VALUE"""),677824.0)</f>
        <v>677824</v>
      </c>
    </row>
    <row r="3061">
      <c r="A3061" s="26">
        <f>IFERROR(__xludf.DUMMYFUNCTION("""COMPUTED_VALUE"""),42891.64583333333)</f>
        <v>42891.64583</v>
      </c>
      <c r="B3061" s="9">
        <f>IFERROR(__xludf.DUMMYFUNCTION("""COMPUTED_VALUE"""),485.0)</f>
        <v>485</v>
      </c>
      <c r="C3061" s="9">
        <f>IFERROR(__xludf.DUMMYFUNCTION("""COMPUTED_VALUE"""),486.0)</f>
        <v>486</v>
      </c>
      <c r="D3061" s="9">
        <f>IFERROR(__xludf.DUMMYFUNCTION("""COMPUTED_VALUE"""),478.53)</f>
        <v>478.53</v>
      </c>
      <c r="E3061" s="9">
        <f>IFERROR(__xludf.DUMMYFUNCTION("""COMPUTED_VALUE"""),479.38)</f>
        <v>479.38</v>
      </c>
      <c r="F3061" s="9">
        <f>IFERROR(__xludf.DUMMYFUNCTION("""COMPUTED_VALUE"""),2731349.0)</f>
        <v>2731349</v>
      </c>
      <c r="H3061" s="27">
        <f>IFERROR(__xludf.DUMMYFUNCTION("""COMPUTED_VALUE"""),42891.64583333333)</f>
        <v>42891.64583</v>
      </c>
      <c r="I3061" s="25">
        <f>IFERROR(__xludf.DUMMYFUNCTION("""COMPUTED_VALUE"""),1282.5)</f>
        <v>1282.5</v>
      </c>
      <c r="J3061" s="25">
        <f>IFERROR(__xludf.DUMMYFUNCTION("""COMPUTED_VALUE"""),1309.95)</f>
        <v>1309.95</v>
      </c>
      <c r="K3061" s="25">
        <f>IFERROR(__xludf.DUMMYFUNCTION("""COMPUTED_VALUE"""),1280.08)</f>
        <v>1280.08</v>
      </c>
      <c r="L3061" s="25">
        <f>IFERROR(__xludf.DUMMYFUNCTION("""COMPUTED_VALUE"""),1301.97)</f>
        <v>1301.97</v>
      </c>
      <c r="M3061" s="25">
        <f>IFERROR(__xludf.DUMMYFUNCTION("""COMPUTED_VALUE"""),750094.0)</f>
        <v>750094</v>
      </c>
    </row>
    <row r="3062">
      <c r="A3062" s="26">
        <f>IFERROR(__xludf.DUMMYFUNCTION("""COMPUTED_VALUE"""),42892.64583333333)</f>
        <v>42892.64583</v>
      </c>
      <c r="B3062" s="9">
        <f>IFERROR(__xludf.DUMMYFUNCTION("""COMPUTED_VALUE"""),482.5)</f>
        <v>482.5</v>
      </c>
      <c r="C3062" s="9">
        <f>IFERROR(__xludf.DUMMYFUNCTION("""COMPUTED_VALUE"""),493.75)</f>
        <v>493.75</v>
      </c>
      <c r="D3062" s="9">
        <f>IFERROR(__xludf.DUMMYFUNCTION("""COMPUTED_VALUE"""),482.2)</f>
        <v>482.2</v>
      </c>
      <c r="E3062" s="9">
        <f>IFERROR(__xludf.DUMMYFUNCTION("""COMPUTED_VALUE"""),489.68)</f>
        <v>489.68</v>
      </c>
      <c r="F3062" s="9">
        <f>IFERROR(__xludf.DUMMYFUNCTION("""COMPUTED_VALUE"""),3504343.0)</f>
        <v>3504343</v>
      </c>
      <c r="H3062" s="27">
        <f>IFERROR(__xludf.DUMMYFUNCTION("""COMPUTED_VALUE"""),42892.64583333333)</f>
        <v>42892.64583</v>
      </c>
      <c r="I3062" s="25">
        <f>IFERROR(__xludf.DUMMYFUNCTION("""COMPUTED_VALUE"""),1315.5)</f>
        <v>1315.5</v>
      </c>
      <c r="J3062" s="25">
        <f>IFERROR(__xludf.DUMMYFUNCTION("""COMPUTED_VALUE"""),1354.48)</f>
        <v>1354.48</v>
      </c>
      <c r="K3062" s="25">
        <f>IFERROR(__xludf.DUMMYFUNCTION("""COMPUTED_VALUE"""),1315.0)</f>
        <v>1315</v>
      </c>
      <c r="L3062" s="25">
        <f>IFERROR(__xludf.DUMMYFUNCTION("""COMPUTED_VALUE"""),1348.0)</f>
        <v>1348</v>
      </c>
      <c r="M3062" s="25">
        <f>IFERROR(__xludf.DUMMYFUNCTION("""COMPUTED_VALUE"""),2973360.0)</f>
        <v>2973360</v>
      </c>
    </row>
    <row r="3063">
      <c r="A3063" s="26">
        <f>IFERROR(__xludf.DUMMYFUNCTION("""COMPUTED_VALUE"""),42893.64583333333)</f>
        <v>42893.64583</v>
      </c>
      <c r="B3063" s="9">
        <f>IFERROR(__xludf.DUMMYFUNCTION("""COMPUTED_VALUE"""),492.5)</f>
        <v>492.5</v>
      </c>
      <c r="C3063" s="9">
        <f>IFERROR(__xludf.DUMMYFUNCTION("""COMPUTED_VALUE"""),494.45)</f>
        <v>494.45</v>
      </c>
      <c r="D3063" s="9">
        <f>IFERROR(__xludf.DUMMYFUNCTION("""COMPUTED_VALUE"""),472.5)</f>
        <v>472.5</v>
      </c>
      <c r="E3063" s="9">
        <f>IFERROR(__xludf.DUMMYFUNCTION("""COMPUTED_VALUE"""),480.65)</f>
        <v>480.65</v>
      </c>
      <c r="F3063" s="9">
        <f>IFERROR(__xludf.DUMMYFUNCTION("""COMPUTED_VALUE"""),6227523.0)</f>
        <v>6227523</v>
      </c>
      <c r="H3063" s="27">
        <f>IFERROR(__xludf.DUMMYFUNCTION("""COMPUTED_VALUE"""),42893.64583333333)</f>
        <v>42893.64583</v>
      </c>
      <c r="I3063" s="25">
        <f>IFERROR(__xludf.DUMMYFUNCTION("""COMPUTED_VALUE"""),1348.5)</f>
        <v>1348.5</v>
      </c>
      <c r="J3063" s="25">
        <f>IFERROR(__xludf.DUMMYFUNCTION("""COMPUTED_VALUE"""),1350.0)</f>
        <v>1350</v>
      </c>
      <c r="K3063" s="25">
        <f>IFERROR(__xludf.DUMMYFUNCTION("""COMPUTED_VALUE"""),1288.28)</f>
        <v>1288.28</v>
      </c>
      <c r="L3063" s="25">
        <f>IFERROR(__xludf.DUMMYFUNCTION("""COMPUTED_VALUE"""),1307.63)</f>
        <v>1307.63</v>
      </c>
      <c r="M3063" s="25">
        <f>IFERROR(__xludf.DUMMYFUNCTION("""COMPUTED_VALUE"""),2463888.0)</f>
        <v>2463888</v>
      </c>
    </row>
    <row r="3064">
      <c r="A3064" s="26">
        <f>IFERROR(__xludf.DUMMYFUNCTION("""COMPUTED_VALUE"""),42894.64583333333)</f>
        <v>42894.64583</v>
      </c>
      <c r="B3064" s="9">
        <f>IFERROR(__xludf.DUMMYFUNCTION("""COMPUTED_VALUE"""),481.48)</f>
        <v>481.48</v>
      </c>
      <c r="C3064" s="9">
        <f>IFERROR(__xludf.DUMMYFUNCTION("""COMPUTED_VALUE"""),481.48)</f>
        <v>481.48</v>
      </c>
      <c r="D3064" s="9">
        <f>IFERROR(__xludf.DUMMYFUNCTION("""COMPUTED_VALUE"""),474.08)</f>
        <v>474.08</v>
      </c>
      <c r="E3064" s="9">
        <f>IFERROR(__xludf.DUMMYFUNCTION("""COMPUTED_VALUE"""),478.23)</f>
        <v>478.23</v>
      </c>
      <c r="F3064" s="9">
        <f>IFERROR(__xludf.DUMMYFUNCTION("""COMPUTED_VALUE"""),3097676.0)</f>
        <v>3097676</v>
      </c>
      <c r="H3064" s="27">
        <f>IFERROR(__xludf.DUMMYFUNCTION("""COMPUTED_VALUE"""),42894.64583333333)</f>
        <v>42894.64583</v>
      </c>
      <c r="I3064" s="25">
        <f>IFERROR(__xludf.DUMMYFUNCTION("""COMPUTED_VALUE"""),1299.0)</f>
        <v>1299</v>
      </c>
      <c r="J3064" s="25">
        <f>IFERROR(__xludf.DUMMYFUNCTION("""COMPUTED_VALUE"""),1302.47)</f>
        <v>1302.47</v>
      </c>
      <c r="K3064" s="25">
        <f>IFERROR(__xludf.DUMMYFUNCTION("""COMPUTED_VALUE"""),1257.75)</f>
        <v>1257.75</v>
      </c>
      <c r="L3064" s="25">
        <f>IFERROR(__xludf.DUMMYFUNCTION("""COMPUTED_VALUE"""),1260.8)</f>
        <v>1260.8</v>
      </c>
      <c r="M3064" s="25">
        <f>IFERROR(__xludf.DUMMYFUNCTION("""COMPUTED_VALUE"""),1665357.0)</f>
        <v>1665357</v>
      </c>
    </row>
    <row r="3065">
      <c r="A3065" s="26">
        <f>IFERROR(__xludf.DUMMYFUNCTION("""COMPUTED_VALUE"""),42895.64583333333)</f>
        <v>42895.64583</v>
      </c>
      <c r="B3065" s="9">
        <f>IFERROR(__xludf.DUMMYFUNCTION("""COMPUTED_VALUE"""),469.28)</f>
        <v>469.28</v>
      </c>
      <c r="C3065" s="9">
        <f>IFERROR(__xludf.DUMMYFUNCTION("""COMPUTED_VALUE"""),475.48)</f>
        <v>475.48</v>
      </c>
      <c r="D3065" s="9">
        <f>IFERROR(__xludf.DUMMYFUNCTION("""COMPUTED_VALUE"""),461.5)</f>
        <v>461.5</v>
      </c>
      <c r="E3065" s="9">
        <f>IFERROR(__xludf.DUMMYFUNCTION("""COMPUTED_VALUE"""),474.3)</f>
        <v>474.3</v>
      </c>
      <c r="F3065" s="9">
        <f>IFERROR(__xludf.DUMMYFUNCTION("""COMPUTED_VALUE"""),7378831.0)</f>
        <v>7378831</v>
      </c>
      <c r="H3065" s="27">
        <f>IFERROR(__xludf.DUMMYFUNCTION("""COMPUTED_VALUE"""),42895.64583333333)</f>
        <v>42895.64583</v>
      </c>
      <c r="I3065" s="25">
        <f>IFERROR(__xludf.DUMMYFUNCTION("""COMPUTED_VALUE"""),1260.0)</f>
        <v>1260</v>
      </c>
      <c r="J3065" s="25">
        <f>IFERROR(__xludf.DUMMYFUNCTION("""COMPUTED_VALUE"""),1273.7)</f>
        <v>1273.7</v>
      </c>
      <c r="K3065" s="25">
        <f>IFERROR(__xludf.DUMMYFUNCTION("""COMPUTED_VALUE"""),1243.0)</f>
        <v>1243</v>
      </c>
      <c r="L3065" s="25">
        <f>IFERROR(__xludf.DUMMYFUNCTION("""COMPUTED_VALUE"""),1253.5)</f>
        <v>1253.5</v>
      </c>
      <c r="M3065" s="25">
        <f>IFERROR(__xludf.DUMMYFUNCTION("""COMPUTED_VALUE"""),1574017.0)</f>
        <v>1574017</v>
      </c>
    </row>
    <row r="3066">
      <c r="A3066" s="26">
        <f>IFERROR(__xludf.DUMMYFUNCTION("""COMPUTED_VALUE"""),42898.64583333333)</f>
        <v>42898.64583</v>
      </c>
      <c r="B3066" s="9">
        <f>IFERROR(__xludf.DUMMYFUNCTION("""COMPUTED_VALUE"""),471.68)</f>
        <v>471.68</v>
      </c>
      <c r="C3066" s="9">
        <f>IFERROR(__xludf.DUMMYFUNCTION("""COMPUTED_VALUE"""),482.6)</f>
        <v>482.6</v>
      </c>
      <c r="D3066" s="9">
        <f>IFERROR(__xludf.DUMMYFUNCTION("""COMPUTED_VALUE"""),470.05)</f>
        <v>470.05</v>
      </c>
      <c r="E3066" s="9">
        <f>IFERROR(__xludf.DUMMYFUNCTION("""COMPUTED_VALUE"""),481.93)</f>
        <v>481.93</v>
      </c>
      <c r="F3066" s="9">
        <f>IFERROR(__xludf.DUMMYFUNCTION("""COMPUTED_VALUE"""),4295838.0)</f>
        <v>4295838</v>
      </c>
      <c r="H3066" s="27">
        <f>IFERROR(__xludf.DUMMYFUNCTION("""COMPUTED_VALUE"""),42898.64583333333)</f>
        <v>42898.64583</v>
      </c>
      <c r="I3066" s="25">
        <f>IFERROR(__xludf.DUMMYFUNCTION("""COMPUTED_VALUE"""),1248.5)</f>
        <v>1248.5</v>
      </c>
      <c r="J3066" s="25">
        <f>IFERROR(__xludf.DUMMYFUNCTION("""COMPUTED_VALUE"""),1256.45)</f>
        <v>1256.45</v>
      </c>
      <c r="K3066" s="25">
        <f>IFERROR(__xludf.DUMMYFUNCTION("""COMPUTED_VALUE"""),1235.2)</f>
        <v>1235.2</v>
      </c>
      <c r="L3066" s="25">
        <f>IFERROR(__xludf.DUMMYFUNCTION("""COMPUTED_VALUE"""),1243.6)</f>
        <v>1243.6</v>
      </c>
      <c r="M3066" s="25">
        <f>IFERROR(__xludf.DUMMYFUNCTION("""COMPUTED_VALUE"""),813253.0)</f>
        <v>813253</v>
      </c>
    </row>
    <row r="3067">
      <c r="A3067" s="26">
        <f>IFERROR(__xludf.DUMMYFUNCTION("""COMPUTED_VALUE"""),42899.64583333333)</f>
        <v>42899.64583</v>
      </c>
      <c r="B3067" s="9">
        <f>IFERROR(__xludf.DUMMYFUNCTION("""COMPUTED_VALUE"""),476.75)</f>
        <v>476.75</v>
      </c>
      <c r="C3067" s="9">
        <f>IFERROR(__xludf.DUMMYFUNCTION("""COMPUTED_VALUE"""),481.48)</f>
        <v>481.48</v>
      </c>
      <c r="D3067" s="9">
        <f>IFERROR(__xludf.DUMMYFUNCTION("""COMPUTED_VALUE"""),475.8)</f>
        <v>475.8</v>
      </c>
      <c r="E3067" s="9">
        <f>IFERROR(__xludf.DUMMYFUNCTION("""COMPUTED_VALUE"""),478.9)</f>
        <v>478.9</v>
      </c>
      <c r="F3067" s="9">
        <f>IFERROR(__xludf.DUMMYFUNCTION("""COMPUTED_VALUE"""),2468897.0)</f>
        <v>2468897</v>
      </c>
      <c r="H3067" s="27">
        <f>IFERROR(__xludf.DUMMYFUNCTION("""COMPUTED_VALUE"""),42899.64583333333)</f>
        <v>42899.64583</v>
      </c>
      <c r="I3067" s="25">
        <f>IFERROR(__xludf.DUMMYFUNCTION("""COMPUTED_VALUE"""),1232.5)</f>
        <v>1232.5</v>
      </c>
      <c r="J3067" s="25">
        <f>IFERROR(__xludf.DUMMYFUNCTION("""COMPUTED_VALUE"""),1240.55)</f>
        <v>1240.55</v>
      </c>
      <c r="K3067" s="25">
        <f>IFERROR(__xludf.DUMMYFUNCTION("""COMPUTED_VALUE"""),1223.5)</f>
        <v>1223.5</v>
      </c>
      <c r="L3067" s="25">
        <f>IFERROR(__xludf.DUMMYFUNCTION("""COMPUTED_VALUE"""),1225.78)</f>
        <v>1225.78</v>
      </c>
      <c r="M3067" s="25">
        <f>IFERROR(__xludf.DUMMYFUNCTION("""COMPUTED_VALUE"""),587707.0)</f>
        <v>587707</v>
      </c>
    </row>
    <row r="3068">
      <c r="A3068" s="26">
        <f>IFERROR(__xludf.DUMMYFUNCTION("""COMPUTED_VALUE"""),42900.64583333333)</f>
        <v>42900.64583</v>
      </c>
      <c r="B3068" s="9">
        <f>IFERROR(__xludf.DUMMYFUNCTION("""COMPUTED_VALUE"""),480.0)</f>
        <v>480</v>
      </c>
      <c r="C3068" s="9">
        <f>IFERROR(__xludf.DUMMYFUNCTION("""COMPUTED_VALUE"""),480.95)</f>
        <v>480.95</v>
      </c>
      <c r="D3068" s="9">
        <f>IFERROR(__xludf.DUMMYFUNCTION("""COMPUTED_VALUE"""),475.6)</f>
        <v>475.6</v>
      </c>
      <c r="E3068" s="9">
        <f>IFERROR(__xludf.DUMMYFUNCTION("""COMPUTED_VALUE"""),479.3)</f>
        <v>479.3</v>
      </c>
      <c r="F3068" s="9">
        <f>IFERROR(__xludf.DUMMYFUNCTION("""COMPUTED_VALUE"""),3719055.0)</f>
        <v>3719055</v>
      </c>
      <c r="H3068" s="27">
        <f>IFERROR(__xludf.DUMMYFUNCTION("""COMPUTED_VALUE"""),42900.64583333333)</f>
        <v>42900.64583</v>
      </c>
      <c r="I3068" s="25">
        <f>IFERROR(__xludf.DUMMYFUNCTION("""COMPUTED_VALUE"""),1227.5)</f>
        <v>1227.5</v>
      </c>
      <c r="J3068" s="25">
        <f>IFERROR(__xludf.DUMMYFUNCTION("""COMPUTED_VALUE"""),1238.0)</f>
        <v>1238</v>
      </c>
      <c r="K3068" s="25">
        <f>IFERROR(__xludf.DUMMYFUNCTION("""COMPUTED_VALUE"""),1227.5)</f>
        <v>1227.5</v>
      </c>
      <c r="L3068" s="25">
        <f>IFERROR(__xludf.DUMMYFUNCTION("""COMPUTED_VALUE"""),1235.1)</f>
        <v>1235.1</v>
      </c>
      <c r="M3068" s="25">
        <f>IFERROR(__xludf.DUMMYFUNCTION("""COMPUTED_VALUE"""),744571.0)</f>
        <v>744571</v>
      </c>
    </row>
    <row r="3069">
      <c r="A3069" s="26">
        <f>IFERROR(__xludf.DUMMYFUNCTION("""COMPUTED_VALUE"""),42901.64583333333)</f>
        <v>42901.64583</v>
      </c>
      <c r="B3069" s="9">
        <f>IFERROR(__xludf.DUMMYFUNCTION("""COMPUTED_VALUE"""),479.83)</f>
        <v>479.83</v>
      </c>
      <c r="C3069" s="9">
        <f>IFERROR(__xludf.DUMMYFUNCTION("""COMPUTED_VALUE"""),483.98)</f>
        <v>483.98</v>
      </c>
      <c r="D3069" s="9">
        <f>IFERROR(__xludf.DUMMYFUNCTION("""COMPUTED_VALUE"""),474.8)</f>
        <v>474.8</v>
      </c>
      <c r="E3069" s="9">
        <f>IFERROR(__xludf.DUMMYFUNCTION("""COMPUTED_VALUE"""),476.05)</f>
        <v>476.05</v>
      </c>
      <c r="F3069" s="9">
        <f>IFERROR(__xludf.DUMMYFUNCTION("""COMPUTED_VALUE"""),2764031.0)</f>
        <v>2764031</v>
      </c>
      <c r="H3069" s="27">
        <f>IFERROR(__xludf.DUMMYFUNCTION("""COMPUTED_VALUE"""),42901.64583333333)</f>
        <v>42901.64583</v>
      </c>
      <c r="I3069" s="25">
        <f>IFERROR(__xludf.DUMMYFUNCTION("""COMPUTED_VALUE"""),1234.5)</f>
        <v>1234.5</v>
      </c>
      <c r="J3069" s="25">
        <f>IFERROR(__xludf.DUMMYFUNCTION("""COMPUTED_VALUE"""),1234.85)</f>
        <v>1234.85</v>
      </c>
      <c r="K3069" s="25">
        <f>IFERROR(__xludf.DUMMYFUNCTION("""COMPUTED_VALUE"""),1202.5)</f>
        <v>1202.5</v>
      </c>
      <c r="L3069" s="25">
        <f>IFERROR(__xludf.DUMMYFUNCTION("""COMPUTED_VALUE"""),1205.6)</f>
        <v>1205.6</v>
      </c>
      <c r="M3069" s="25">
        <f>IFERROR(__xludf.DUMMYFUNCTION("""COMPUTED_VALUE"""),1498599.0)</f>
        <v>1498599</v>
      </c>
    </row>
    <row r="3070">
      <c r="A3070" s="26">
        <f>IFERROR(__xludf.DUMMYFUNCTION("""COMPUTED_VALUE"""),42902.64583333333)</f>
        <v>42902.64583</v>
      </c>
      <c r="B3070" s="9">
        <f>IFERROR(__xludf.DUMMYFUNCTION("""COMPUTED_VALUE"""),474.55)</f>
        <v>474.55</v>
      </c>
      <c r="C3070" s="9">
        <f>IFERROR(__xludf.DUMMYFUNCTION("""COMPUTED_VALUE"""),476.93)</f>
        <v>476.93</v>
      </c>
      <c r="D3070" s="9">
        <f>IFERROR(__xludf.DUMMYFUNCTION("""COMPUTED_VALUE"""),468.0)</f>
        <v>468</v>
      </c>
      <c r="E3070" s="9">
        <f>IFERROR(__xludf.DUMMYFUNCTION("""COMPUTED_VALUE"""),470.13)</f>
        <v>470.13</v>
      </c>
      <c r="F3070" s="9">
        <f>IFERROR(__xludf.DUMMYFUNCTION("""COMPUTED_VALUE"""),5474225.0)</f>
        <v>5474225</v>
      </c>
      <c r="H3070" s="27">
        <f>IFERROR(__xludf.DUMMYFUNCTION("""COMPUTED_VALUE"""),42902.64583333333)</f>
        <v>42902.64583</v>
      </c>
      <c r="I3070" s="25">
        <f>IFERROR(__xludf.DUMMYFUNCTION("""COMPUTED_VALUE"""),1207.47)</f>
        <v>1207.47</v>
      </c>
      <c r="J3070" s="25">
        <f>IFERROR(__xludf.DUMMYFUNCTION("""COMPUTED_VALUE"""),1217.5)</f>
        <v>1217.5</v>
      </c>
      <c r="K3070" s="25">
        <f>IFERROR(__xludf.DUMMYFUNCTION("""COMPUTED_VALUE"""),1193.25)</f>
        <v>1193.25</v>
      </c>
      <c r="L3070" s="25">
        <f>IFERROR(__xludf.DUMMYFUNCTION("""COMPUTED_VALUE"""),1199.85)</f>
        <v>1199.85</v>
      </c>
      <c r="M3070" s="25">
        <f>IFERROR(__xludf.DUMMYFUNCTION("""COMPUTED_VALUE"""),1225213.0)</f>
        <v>1225213</v>
      </c>
    </row>
    <row r="3071">
      <c r="A3071" s="26">
        <f>IFERROR(__xludf.DUMMYFUNCTION("""COMPUTED_VALUE"""),42905.64583333333)</f>
        <v>42905.64583</v>
      </c>
      <c r="B3071" s="9">
        <f>IFERROR(__xludf.DUMMYFUNCTION("""COMPUTED_VALUE"""),469.98)</f>
        <v>469.98</v>
      </c>
      <c r="C3071" s="9">
        <f>IFERROR(__xludf.DUMMYFUNCTION("""COMPUTED_VALUE"""),470.13)</f>
        <v>470.13</v>
      </c>
      <c r="D3071" s="9">
        <f>IFERROR(__xludf.DUMMYFUNCTION("""COMPUTED_VALUE"""),464.0)</f>
        <v>464</v>
      </c>
      <c r="E3071" s="9">
        <f>IFERROR(__xludf.DUMMYFUNCTION("""COMPUTED_VALUE"""),464.93)</f>
        <v>464.93</v>
      </c>
      <c r="F3071" s="9">
        <f>IFERROR(__xludf.DUMMYFUNCTION("""COMPUTED_VALUE"""),3427930.0)</f>
        <v>3427930</v>
      </c>
      <c r="H3071" s="27">
        <f>IFERROR(__xludf.DUMMYFUNCTION("""COMPUTED_VALUE"""),42905.64583333333)</f>
        <v>42905.64583</v>
      </c>
      <c r="I3071" s="25">
        <f>IFERROR(__xludf.DUMMYFUNCTION("""COMPUTED_VALUE"""),1208.45)</f>
        <v>1208.45</v>
      </c>
      <c r="J3071" s="25">
        <f>IFERROR(__xludf.DUMMYFUNCTION("""COMPUTED_VALUE"""),1223.18)</f>
        <v>1223.18</v>
      </c>
      <c r="K3071" s="25">
        <f>IFERROR(__xludf.DUMMYFUNCTION("""COMPUTED_VALUE"""),1202.58)</f>
        <v>1202.58</v>
      </c>
      <c r="L3071" s="25">
        <f>IFERROR(__xludf.DUMMYFUNCTION("""COMPUTED_VALUE"""),1215.85)</f>
        <v>1215.85</v>
      </c>
      <c r="M3071" s="25">
        <f>IFERROR(__xludf.DUMMYFUNCTION("""COMPUTED_VALUE"""),822371.0)</f>
        <v>822371</v>
      </c>
    </row>
    <row r="3072">
      <c r="A3072" s="26">
        <f>IFERROR(__xludf.DUMMYFUNCTION("""COMPUTED_VALUE"""),42906.64583333333)</f>
        <v>42906.64583</v>
      </c>
      <c r="B3072" s="9">
        <f>IFERROR(__xludf.DUMMYFUNCTION("""COMPUTED_VALUE"""),467.5)</f>
        <v>467.5</v>
      </c>
      <c r="C3072" s="9">
        <f>IFERROR(__xludf.DUMMYFUNCTION("""COMPUTED_VALUE"""),473.45)</f>
        <v>473.45</v>
      </c>
      <c r="D3072" s="9">
        <f>IFERROR(__xludf.DUMMYFUNCTION("""COMPUTED_VALUE"""),467.03)</f>
        <v>467.03</v>
      </c>
      <c r="E3072" s="9">
        <f>IFERROR(__xludf.DUMMYFUNCTION("""COMPUTED_VALUE"""),471.78)</f>
        <v>471.78</v>
      </c>
      <c r="F3072" s="9">
        <f>IFERROR(__xludf.DUMMYFUNCTION("""COMPUTED_VALUE"""),2592198.0)</f>
        <v>2592198</v>
      </c>
      <c r="H3072" s="27">
        <f>IFERROR(__xludf.DUMMYFUNCTION("""COMPUTED_VALUE"""),42906.64583333333)</f>
        <v>42906.64583</v>
      </c>
      <c r="I3072" s="25">
        <f>IFERROR(__xludf.DUMMYFUNCTION("""COMPUTED_VALUE"""),1215.5)</f>
        <v>1215.5</v>
      </c>
      <c r="J3072" s="25">
        <f>IFERROR(__xludf.DUMMYFUNCTION("""COMPUTED_VALUE"""),1224.5)</f>
        <v>1224.5</v>
      </c>
      <c r="K3072" s="25">
        <f>IFERROR(__xludf.DUMMYFUNCTION("""COMPUTED_VALUE"""),1190.15)</f>
        <v>1190.15</v>
      </c>
      <c r="L3072" s="25">
        <f>IFERROR(__xludf.DUMMYFUNCTION("""COMPUTED_VALUE"""),1222.5)</f>
        <v>1222.5</v>
      </c>
      <c r="M3072" s="25">
        <f>IFERROR(__xludf.DUMMYFUNCTION("""COMPUTED_VALUE"""),835479.0)</f>
        <v>835479</v>
      </c>
    </row>
    <row r="3073">
      <c r="A3073" s="26">
        <f>IFERROR(__xludf.DUMMYFUNCTION("""COMPUTED_VALUE"""),42907.64583333333)</f>
        <v>42907.64583</v>
      </c>
      <c r="B3073" s="9">
        <f>IFERROR(__xludf.DUMMYFUNCTION("""COMPUTED_VALUE"""),472.5)</f>
        <v>472.5</v>
      </c>
      <c r="C3073" s="9">
        <f>IFERROR(__xludf.DUMMYFUNCTION("""COMPUTED_VALUE"""),474.5)</f>
        <v>474.5</v>
      </c>
      <c r="D3073" s="9">
        <f>IFERROR(__xludf.DUMMYFUNCTION("""COMPUTED_VALUE"""),468.03)</f>
        <v>468.03</v>
      </c>
      <c r="E3073" s="9">
        <f>IFERROR(__xludf.DUMMYFUNCTION("""COMPUTED_VALUE"""),471.68)</f>
        <v>471.68</v>
      </c>
      <c r="F3073" s="9">
        <f>IFERROR(__xludf.DUMMYFUNCTION("""COMPUTED_VALUE"""),1867932.0)</f>
        <v>1867932</v>
      </c>
      <c r="H3073" s="27">
        <f>IFERROR(__xludf.DUMMYFUNCTION("""COMPUTED_VALUE"""),42907.64583333333)</f>
        <v>42907.64583</v>
      </c>
      <c r="I3073" s="25">
        <f>IFERROR(__xludf.DUMMYFUNCTION("""COMPUTED_VALUE"""),1220.0)</f>
        <v>1220</v>
      </c>
      <c r="J3073" s="25">
        <f>IFERROR(__xludf.DUMMYFUNCTION("""COMPUTED_VALUE"""),1221.08)</f>
        <v>1221.08</v>
      </c>
      <c r="K3073" s="25">
        <f>IFERROR(__xludf.DUMMYFUNCTION("""COMPUTED_VALUE"""),1198.6)</f>
        <v>1198.6</v>
      </c>
      <c r="L3073" s="25">
        <f>IFERROR(__xludf.DUMMYFUNCTION("""COMPUTED_VALUE"""),1203.15)</f>
        <v>1203.15</v>
      </c>
      <c r="M3073" s="25">
        <f>IFERROR(__xludf.DUMMYFUNCTION("""COMPUTED_VALUE"""),828909.0)</f>
        <v>828909</v>
      </c>
    </row>
    <row r="3074">
      <c r="A3074" s="26">
        <f>IFERROR(__xludf.DUMMYFUNCTION("""COMPUTED_VALUE"""),42908.64583333333)</f>
        <v>42908.64583</v>
      </c>
      <c r="B3074" s="9">
        <f>IFERROR(__xludf.DUMMYFUNCTION("""COMPUTED_VALUE"""),473.85)</f>
        <v>473.85</v>
      </c>
      <c r="C3074" s="9">
        <f>IFERROR(__xludf.DUMMYFUNCTION("""COMPUTED_VALUE"""),484.35)</f>
        <v>484.35</v>
      </c>
      <c r="D3074" s="9">
        <f>IFERROR(__xludf.DUMMYFUNCTION("""COMPUTED_VALUE"""),467.55)</f>
        <v>467.55</v>
      </c>
      <c r="E3074" s="9">
        <f>IFERROR(__xludf.DUMMYFUNCTION("""COMPUTED_VALUE"""),470.08)</f>
        <v>470.08</v>
      </c>
      <c r="F3074" s="9">
        <f>IFERROR(__xludf.DUMMYFUNCTION("""COMPUTED_VALUE"""),4732621.0)</f>
        <v>4732621</v>
      </c>
      <c r="H3074" s="27">
        <f>IFERROR(__xludf.DUMMYFUNCTION("""COMPUTED_VALUE"""),42908.64583333333)</f>
        <v>42908.64583</v>
      </c>
      <c r="I3074" s="25">
        <f>IFERROR(__xludf.DUMMYFUNCTION("""COMPUTED_VALUE"""),1204.5)</f>
        <v>1204.5</v>
      </c>
      <c r="J3074" s="25">
        <f>IFERROR(__xludf.DUMMYFUNCTION("""COMPUTED_VALUE"""),1215.5)</f>
        <v>1215.5</v>
      </c>
      <c r="K3074" s="25">
        <f>IFERROR(__xludf.DUMMYFUNCTION("""COMPUTED_VALUE"""),1192.5)</f>
        <v>1192.5</v>
      </c>
      <c r="L3074" s="25">
        <f>IFERROR(__xludf.DUMMYFUNCTION("""COMPUTED_VALUE"""),1197.43)</f>
        <v>1197.43</v>
      </c>
      <c r="M3074" s="25">
        <f>IFERROR(__xludf.DUMMYFUNCTION("""COMPUTED_VALUE"""),2887941.0)</f>
        <v>2887941</v>
      </c>
    </row>
    <row r="3075">
      <c r="A3075" s="26">
        <f>IFERROR(__xludf.DUMMYFUNCTION("""COMPUTED_VALUE"""),42909.64583333333)</f>
        <v>42909.64583</v>
      </c>
      <c r="B3075" s="9">
        <f>IFERROR(__xludf.DUMMYFUNCTION("""COMPUTED_VALUE"""),472.5)</f>
        <v>472.5</v>
      </c>
      <c r="C3075" s="9">
        <f>IFERROR(__xludf.DUMMYFUNCTION("""COMPUTED_VALUE"""),474.58)</f>
        <v>474.58</v>
      </c>
      <c r="D3075" s="9">
        <f>IFERROR(__xludf.DUMMYFUNCTION("""COMPUTED_VALUE"""),469.0)</f>
        <v>469</v>
      </c>
      <c r="E3075" s="9">
        <f>IFERROR(__xludf.DUMMYFUNCTION("""COMPUTED_VALUE"""),471.63)</f>
        <v>471.63</v>
      </c>
      <c r="F3075" s="9">
        <f>IFERROR(__xludf.DUMMYFUNCTION("""COMPUTED_VALUE"""),3201509.0)</f>
        <v>3201509</v>
      </c>
      <c r="H3075" s="27">
        <f>IFERROR(__xludf.DUMMYFUNCTION("""COMPUTED_VALUE"""),42909.64583333333)</f>
        <v>42909.64583</v>
      </c>
      <c r="I3075" s="25">
        <f>IFERROR(__xludf.DUMMYFUNCTION("""COMPUTED_VALUE"""),1199.7)</f>
        <v>1199.7</v>
      </c>
      <c r="J3075" s="25">
        <f>IFERROR(__xludf.DUMMYFUNCTION("""COMPUTED_VALUE"""),1206.97)</f>
        <v>1206.97</v>
      </c>
      <c r="K3075" s="25">
        <f>IFERROR(__xludf.DUMMYFUNCTION("""COMPUTED_VALUE"""),1177.0)</f>
        <v>1177</v>
      </c>
      <c r="L3075" s="25">
        <f>IFERROR(__xludf.DUMMYFUNCTION("""COMPUTED_VALUE"""),1180.85)</f>
        <v>1180.85</v>
      </c>
      <c r="M3075" s="25">
        <f>IFERROR(__xludf.DUMMYFUNCTION("""COMPUTED_VALUE"""),712378.0)</f>
        <v>712378</v>
      </c>
    </row>
    <row r="3076">
      <c r="A3076" s="26">
        <f>IFERROR(__xludf.DUMMYFUNCTION("""COMPUTED_VALUE"""),42913.64583333333)</f>
        <v>42913.64583</v>
      </c>
      <c r="B3076" s="9">
        <f>IFERROR(__xludf.DUMMYFUNCTION("""COMPUTED_VALUE"""),472.5)</f>
        <v>472.5</v>
      </c>
      <c r="C3076" s="9">
        <f>IFERROR(__xludf.DUMMYFUNCTION("""COMPUTED_VALUE"""),474.0)</f>
        <v>474</v>
      </c>
      <c r="D3076" s="9">
        <f>IFERROR(__xludf.DUMMYFUNCTION("""COMPUTED_VALUE"""),461.88)</f>
        <v>461.88</v>
      </c>
      <c r="E3076" s="9">
        <f>IFERROR(__xludf.DUMMYFUNCTION("""COMPUTED_VALUE"""),463.53)</f>
        <v>463.53</v>
      </c>
      <c r="F3076" s="9">
        <f>IFERROR(__xludf.DUMMYFUNCTION("""COMPUTED_VALUE"""),3452330.0)</f>
        <v>3452330</v>
      </c>
      <c r="H3076" s="27">
        <f>IFERROR(__xludf.DUMMYFUNCTION("""COMPUTED_VALUE"""),42913.64583333333)</f>
        <v>42913.64583</v>
      </c>
      <c r="I3076" s="25">
        <f>IFERROR(__xludf.DUMMYFUNCTION("""COMPUTED_VALUE"""),1175.3)</f>
        <v>1175.3</v>
      </c>
      <c r="J3076" s="25">
        <f>IFERROR(__xludf.DUMMYFUNCTION("""COMPUTED_VALUE"""),1192.35)</f>
        <v>1192.35</v>
      </c>
      <c r="K3076" s="25">
        <f>IFERROR(__xludf.DUMMYFUNCTION("""COMPUTED_VALUE"""),1165.8)</f>
        <v>1165.8</v>
      </c>
      <c r="L3076" s="25">
        <f>IFERROR(__xludf.DUMMYFUNCTION("""COMPUTED_VALUE"""),1171.43)</f>
        <v>1171.43</v>
      </c>
      <c r="M3076" s="25">
        <f>IFERROR(__xludf.DUMMYFUNCTION("""COMPUTED_VALUE"""),987165.0)</f>
        <v>987165</v>
      </c>
    </row>
    <row r="3077">
      <c r="A3077" s="26">
        <f>IFERROR(__xludf.DUMMYFUNCTION("""COMPUTED_VALUE"""),42914.64583333333)</f>
        <v>42914.64583</v>
      </c>
      <c r="B3077" s="9">
        <f>IFERROR(__xludf.DUMMYFUNCTION("""COMPUTED_VALUE"""),466.4)</f>
        <v>466.4</v>
      </c>
      <c r="C3077" s="9">
        <f>IFERROR(__xludf.DUMMYFUNCTION("""COMPUTED_VALUE"""),466.5)</f>
        <v>466.5</v>
      </c>
      <c r="D3077" s="9">
        <f>IFERROR(__xludf.DUMMYFUNCTION("""COMPUTED_VALUE"""),460.5)</f>
        <v>460.5</v>
      </c>
      <c r="E3077" s="9">
        <f>IFERROR(__xludf.DUMMYFUNCTION("""COMPUTED_VALUE"""),462.35)</f>
        <v>462.35</v>
      </c>
      <c r="F3077" s="9">
        <f>IFERROR(__xludf.DUMMYFUNCTION("""COMPUTED_VALUE"""),2952612.0)</f>
        <v>2952612</v>
      </c>
      <c r="H3077" s="27">
        <f>IFERROR(__xludf.DUMMYFUNCTION("""COMPUTED_VALUE"""),42914.64583333333)</f>
        <v>42914.64583</v>
      </c>
      <c r="I3077" s="25">
        <f>IFERROR(__xludf.DUMMYFUNCTION("""COMPUTED_VALUE"""),1174.95)</f>
        <v>1174.95</v>
      </c>
      <c r="J3077" s="25">
        <f>IFERROR(__xludf.DUMMYFUNCTION("""COMPUTED_VALUE"""),1179.0)</f>
        <v>1179</v>
      </c>
      <c r="K3077" s="25">
        <f>IFERROR(__xludf.DUMMYFUNCTION("""COMPUTED_VALUE"""),1167.5)</f>
        <v>1167.5</v>
      </c>
      <c r="L3077" s="25">
        <f>IFERROR(__xludf.DUMMYFUNCTION("""COMPUTED_VALUE"""),1175.03)</f>
        <v>1175.03</v>
      </c>
      <c r="M3077" s="25">
        <f>IFERROR(__xludf.DUMMYFUNCTION("""COMPUTED_VALUE"""),894863.0)</f>
        <v>894863</v>
      </c>
    </row>
    <row r="3078">
      <c r="A3078" s="26">
        <f>IFERROR(__xludf.DUMMYFUNCTION("""COMPUTED_VALUE"""),42915.64583333333)</f>
        <v>42915.64583</v>
      </c>
      <c r="B3078" s="9">
        <f>IFERROR(__xludf.DUMMYFUNCTION("""COMPUTED_VALUE"""),465.1)</f>
        <v>465.1</v>
      </c>
      <c r="C3078" s="9">
        <f>IFERROR(__xludf.DUMMYFUNCTION("""COMPUTED_VALUE"""),473.98)</f>
        <v>473.98</v>
      </c>
      <c r="D3078" s="9">
        <f>IFERROR(__xludf.DUMMYFUNCTION("""COMPUTED_VALUE"""),463.3)</f>
        <v>463.3</v>
      </c>
      <c r="E3078" s="9">
        <f>IFERROR(__xludf.DUMMYFUNCTION("""COMPUTED_VALUE"""),465.1)</f>
        <v>465.1</v>
      </c>
      <c r="F3078" s="9">
        <f>IFERROR(__xludf.DUMMYFUNCTION("""COMPUTED_VALUE"""),7957020.0)</f>
        <v>7957020</v>
      </c>
      <c r="H3078" s="27">
        <f>IFERROR(__xludf.DUMMYFUNCTION("""COMPUTED_VALUE"""),42915.64583333333)</f>
        <v>42915.64583</v>
      </c>
      <c r="I3078" s="25">
        <f>IFERROR(__xludf.DUMMYFUNCTION("""COMPUTED_VALUE"""),1179.5)</f>
        <v>1179.5</v>
      </c>
      <c r="J3078" s="25">
        <f>IFERROR(__xludf.DUMMYFUNCTION("""COMPUTED_VALUE"""),1186.03)</f>
        <v>1186.03</v>
      </c>
      <c r="K3078" s="25">
        <f>IFERROR(__xludf.DUMMYFUNCTION("""COMPUTED_VALUE"""),1161.55)</f>
        <v>1161.55</v>
      </c>
      <c r="L3078" s="25">
        <f>IFERROR(__xludf.DUMMYFUNCTION("""COMPUTED_VALUE"""),1166.63)</f>
        <v>1166.63</v>
      </c>
      <c r="M3078" s="25">
        <f>IFERROR(__xludf.DUMMYFUNCTION("""COMPUTED_VALUE"""),1235913.0)</f>
        <v>1235913</v>
      </c>
    </row>
    <row r="3079">
      <c r="A3079" s="26">
        <f>IFERROR(__xludf.DUMMYFUNCTION("""COMPUTED_VALUE"""),42916.64583333333)</f>
        <v>42916.64583</v>
      </c>
      <c r="B3079" s="9">
        <f>IFERROR(__xludf.DUMMYFUNCTION("""COMPUTED_VALUE"""),465.4)</f>
        <v>465.4</v>
      </c>
      <c r="C3079" s="9">
        <f>IFERROR(__xludf.DUMMYFUNCTION("""COMPUTED_VALUE"""),469.0)</f>
        <v>469</v>
      </c>
      <c r="D3079" s="9">
        <f>IFERROR(__xludf.DUMMYFUNCTION("""COMPUTED_VALUE"""),464.5)</f>
        <v>464.5</v>
      </c>
      <c r="E3079" s="9">
        <f>IFERROR(__xludf.DUMMYFUNCTION("""COMPUTED_VALUE"""),467.78)</f>
        <v>467.78</v>
      </c>
      <c r="F3079" s="9">
        <f>IFERROR(__xludf.DUMMYFUNCTION("""COMPUTED_VALUE"""),2108350.0)</f>
        <v>2108350</v>
      </c>
      <c r="H3079" s="27">
        <f>IFERROR(__xludf.DUMMYFUNCTION("""COMPUTED_VALUE"""),42916.64583333333)</f>
        <v>42916.64583</v>
      </c>
      <c r="I3079" s="25">
        <f>IFERROR(__xludf.DUMMYFUNCTION("""COMPUTED_VALUE"""),1162.2)</f>
        <v>1162.2</v>
      </c>
      <c r="J3079" s="25">
        <f>IFERROR(__xludf.DUMMYFUNCTION("""COMPUTED_VALUE"""),1188.5)</f>
        <v>1188.5</v>
      </c>
      <c r="K3079" s="25">
        <f>IFERROR(__xludf.DUMMYFUNCTION("""COMPUTED_VALUE"""),1161.55)</f>
        <v>1161.55</v>
      </c>
      <c r="L3079" s="25">
        <f>IFERROR(__xludf.DUMMYFUNCTION("""COMPUTED_VALUE"""),1181.18)</f>
        <v>1181.18</v>
      </c>
      <c r="M3079" s="25">
        <f>IFERROR(__xludf.DUMMYFUNCTION("""COMPUTED_VALUE"""),876924.0)</f>
        <v>876924</v>
      </c>
    </row>
    <row r="3080">
      <c r="A3080" s="26">
        <f>IFERROR(__xludf.DUMMYFUNCTION("""COMPUTED_VALUE"""),42919.64583333333)</f>
        <v>42919.64583</v>
      </c>
      <c r="B3080" s="9">
        <f>IFERROR(__xludf.DUMMYFUNCTION("""COMPUTED_VALUE"""),470.55)</f>
        <v>470.55</v>
      </c>
      <c r="C3080" s="9">
        <f>IFERROR(__xludf.DUMMYFUNCTION("""COMPUTED_VALUE"""),477.5)</f>
        <v>477.5</v>
      </c>
      <c r="D3080" s="9">
        <f>IFERROR(__xludf.DUMMYFUNCTION("""COMPUTED_VALUE"""),467.3)</f>
        <v>467.3</v>
      </c>
      <c r="E3080" s="9">
        <f>IFERROR(__xludf.DUMMYFUNCTION("""COMPUTED_VALUE"""),475.95)</f>
        <v>475.95</v>
      </c>
      <c r="F3080" s="9">
        <f>IFERROR(__xludf.DUMMYFUNCTION("""COMPUTED_VALUE"""),2544462.0)</f>
        <v>2544462</v>
      </c>
      <c r="H3080" s="27">
        <f>IFERROR(__xludf.DUMMYFUNCTION("""COMPUTED_VALUE"""),42919.64583333333)</f>
        <v>42919.64583</v>
      </c>
      <c r="I3080" s="25">
        <f>IFERROR(__xludf.DUMMYFUNCTION("""COMPUTED_VALUE"""),1178.7)</f>
        <v>1178.7</v>
      </c>
      <c r="J3080" s="25">
        <f>IFERROR(__xludf.DUMMYFUNCTION("""COMPUTED_VALUE"""),1191.53)</f>
        <v>1191.53</v>
      </c>
      <c r="K3080" s="25">
        <f>IFERROR(__xludf.DUMMYFUNCTION("""COMPUTED_VALUE"""),1171.55)</f>
        <v>1171.55</v>
      </c>
      <c r="L3080" s="25">
        <f>IFERROR(__xludf.DUMMYFUNCTION("""COMPUTED_VALUE"""),1186.8)</f>
        <v>1186.8</v>
      </c>
      <c r="M3080" s="25">
        <f>IFERROR(__xludf.DUMMYFUNCTION("""COMPUTED_VALUE"""),737978.0)</f>
        <v>737978</v>
      </c>
    </row>
    <row r="3081">
      <c r="A3081" s="26">
        <f>IFERROR(__xludf.DUMMYFUNCTION("""COMPUTED_VALUE"""),42920.64583333333)</f>
        <v>42920.64583</v>
      </c>
      <c r="B3081" s="9">
        <f>IFERROR(__xludf.DUMMYFUNCTION("""COMPUTED_VALUE"""),476.93)</f>
        <v>476.93</v>
      </c>
      <c r="C3081" s="9">
        <f>IFERROR(__xludf.DUMMYFUNCTION("""COMPUTED_VALUE"""),485.0)</f>
        <v>485</v>
      </c>
      <c r="D3081" s="9">
        <f>IFERROR(__xludf.DUMMYFUNCTION("""COMPUTED_VALUE"""),474.7)</f>
        <v>474.7</v>
      </c>
      <c r="E3081" s="9">
        <f>IFERROR(__xludf.DUMMYFUNCTION("""COMPUTED_VALUE"""),481.08)</f>
        <v>481.08</v>
      </c>
      <c r="F3081" s="9">
        <f>IFERROR(__xludf.DUMMYFUNCTION("""COMPUTED_VALUE"""),2583863.0)</f>
        <v>2583863</v>
      </c>
      <c r="H3081" s="27">
        <f>IFERROR(__xludf.DUMMYFUNCTION("""COMPUTED_VALUE"""),42920.64583333333)</f>
        <v>42920.64583</v>
      </c>
      <c r="I3081" s="25">
        <f>IFERROR(__xludf.DUMMYFUNCTION("""COMPUTED_VALUE"""),1186.65)</f>
        <v>1186.65</v>
      </c>
      <c r="J3081" s="25">
        <f>IFERROR(__xludf.DUMMYFUNCTION("""COMPUTED_VALUE"""),1190.22)</f>
        <v>1190.22</v>
      </c>
      <c r="K3081" s="25">
        <f>IFERROR(__xludf.DUMMYFUNCTION("""COMPUTED_VALUE"""),1175.03)</f>
        <v>1175.03</v>
      </c>
      <c r="L3081" s="25">
        <f>IFERROR(__xludf.DUMMYFUNCTION("""COMPUTED_VALUE"""),1183.43)</f>
        <v>1183.43</v>
      </c>
      <c r="M3081" s="25">
        <f>IFERROR(__xludf.DUMMYFUNCTION("""COMPUTED_VALUE"""),607567.0)</f>
        <v>607567</v>
      </c>
    </row>
    <row r="3082">
      <c r="A3082" s="26">
        <f>IFERROR(__xludf.DUMMYFUNCTION("""COMPUTED_VALUE"""),42921.64583333333)</f>
        <v>42921.64583</v>
      </c>
      <c r="B3082" s="9">
        <f>IFERROR(__xludf.DUMMYFUNCTION("""COMPUTED_VALUE"""),479.5)</f>
        <v>479.5</v>
      </c>
      <c r="C3082" s="9">
        <f>IFERROR(__xludf.DUMMYFUNCTION("""COMPUTED_VALUE"""),479.5)</f>
        <v>479.5</v>
      </c>
      <c r="D3082" s="9">
        <f>IFERROR(__xludf.DUMMYFUNCTION("""COMPUTED_VALUE"""),472.7)</f>
        <v>472.7</v>
      </c>
      <c r="E3082" s="9">
        <f>IFERROR(__xludf.DUMMYFUNCTION("""COMPUTED_VALUE"""),475.45)</f>
        <v>475.45</v>
      </c>
      <c r="F3082" s="9">
        <f>IFERROR(__xludf.DUMMYFUNCTION("""COMPUTED_VALUE"""),2113114.0)</f>
        <v>2113114</v>
      </c>
      <c r="H3082" s="27">
        <f>IFERROR(__xludf.DUMMYFUNCTION("""COMPUTED_VALUE"""),42921.64583333333)</f>
        <v>42921.64583</v>
      </c>
      <c r="I3082" s="25">
        <f>IFERROR(__xludf.DUMMYFUNCTION("""COMPUTED_VALUE"""),1180.4)</f>
        <v>1180.4</v>
      </c>
      <c r="J3082" s="25">
        <f>IFERROR(__xludf.DUMMYFUNCTION("""COMPUTED_VALUE"""),1182.5)</f>
        <v>1182.5</v>
      </c>
      <c r="K3082" s="25">
        <f>IFERROR(__xludf.DUMMYFUNCTION("""COMPUTED_VALUE"""),1172.5)</f>
        <v>1172.5</v>
      </c>
      <c r="L3082" s="25">
        <f>IFERROR(__xludf.DUMMYFUNCTION("""COMPUTED_VALUE"""),1178.0)</f>
        <v>1178</v>
      </c>
      <c r="M3082" s="25">
        <f>IFERROR(__xludf.DUMMYFUNCTION("""COMPUTED_VALUE"""),407928.0)</f>
        <v>407928</v>
      </c>
    </row>
    <row r="3083">
      <c r="A3083" s="26">
        <f>IFERROR(__xludf.DUMMYFUNCTION("""COMPUTED_VALUE"""),42922.64583333333)</f>
        <v>42922.64583</v>
      </c>
      <c r="B3083" s="9">
        <f>IFERROR(__xludf.DUMMYFUNCTION("""COMPUTED_VALUE"""),472.5)</f>
        <v>472.5</v>
      </c>
      <c r="C3083" s="9">
        <f>IFERROR(__xludf.DUMMYFUNCTION("""COMPUTED_VALUE"""),478.5)</f>
        <v>478.5</v>
      </c>
      <c r="D3083" s="9">
        <f>IFERROR(__xludf.DUMMYFUNCTION("""COMPUTED_VALUE"""),472.1)</f>
        <v>472.1</v>
      </c>
      <c r="E3083" s="9">
        <f>IFERROR(__xludf.DUMMYFUNCTION("""COMPUTED_VALUE"""),473.5)</f>
        <v>473.5</v>
      </c>
      <c r="F3083" s="9">
        <f>IFERROR(__xludf.DUMMYFUNCTION("""COMPUTED_VALUE"""),1914860.0)</f>
        <v>1914860</v>
      </c>
      <c r="H3083" s="27">
        <f>IFERROR(__xludf.DUMMYFUNCTION("""COMPUTED_VALUE"""),42922.64583333333)</f>
        <v>42922.64583</v>
      </c>
      <c r="I3083" s="25">
        <f>IFERROR(__xludf.DUMMYFUNCTION("""COMPUTED_VALUE"""),1179.5)</f>
        <v>1179.5</v>
      </c>
      <c r="J3083" s="25">
        <f>IFERROR(__xludf.DUMMYFUNCTION("""COMPUTED_VALUE"""),1180.95)</f>
        <v>1180.95</v>
      </c>
      <c r="K3083" s="25">
        <f>IFERROR(__xludf.DUMMYFUNCTION("""COMPUTED_VALUE"""),1170.05)</f>
        <v>1170.05</v>
      </c>
      <c r="L3083" s="25">
        <f>IFERROR(__xludf.DUMMYFUNCTION("""COMPUTED_VALUE"""),1173.78)</f>
        <v>1173.78</v>
      </c>
      <c r="M3083" s="25">
        <f>IFERROR(__xludf.DUMMYFUNCTION("""COMPUTED_VALUE"""),513394.0)</f>
        <v>513394</v>
      </c>
    </row>
    <row r="3084">
      <c r="A3084" s="26">
        <f>IFERROR(__xludf.DUMMYFUNCTION("""COMPUTED_VALUE"""),42923.64583333333)</f>
        <v>42923.64583</v>
      </c>
      <c r="B3084" s="9">
        <f>IFERROR(__xludf.DUMMYFUNCTION("""COMPUTED_VALUE"""),471.93)</f>
        <v>471.93</v>
      </c>
      <c r="C3084" s="9">
        <f>IFERROR(__xludf.DUMMYFUNCTION("""COMPUTED_VALUE"""),472.73)</f>
        <v>472.73</v>
      </c>
      <c r="D3084" s="9">
        <f>IFERROR(__xludf.DUMMYFUNCTION("""COMPUTED_VALUE"""),466.53)</f>
        <v>466.53</v>
      </c>
      <c r="E3084" s="9">
        <f>IFERROR(__xludf.DUMMYFUNCTION("""COMPUTED_VALUE"""),467.7)</f>
        <v>467.7</v>
      </c>
      <c r="F3084" s="9">
        <f>IFERROR(__xludf.DUMMYFUNCTION("""COMPUTED_VALUE"""),2888443.0)</f>
        <v>2888443</v>
      </c>
      <c r="H3084" s="27">
        <f>IFERROR(__xludf.DUMMYFUNCTION("""COMPUTED_VALUE"""),42923.64583333333)</f>
        <v>42923.64583</v>
      </c>
      <c r="I3084" s="25">
        <f>IFERROR(__xludf.DUMMYFUNCTION("""COMPUTED_VALUE"""),1175.0)</f>
        <v>1175</v>
      </c>
      <c r="J3084" s="25">
        <f>IFERROR(__xludf.DUMMYFUNCTION("""COMPUTED_VALUE"""),1178.22)</f>
        <v>1178.22</v>
      </c>
      <c r="K3084" s="25">
        <f>IFERROR(__xludf.DUMMYFUNCTION("""COMPUTED_VALUE"""),1162.75)</f>
        <v>1162.75</v>
      </c>
      <c r="L3084" s="25">
        <f>IFERROR(__xludf.DUMMYFUNCTION("""COMPUTED_VALUE"""),1165.97)</f>
        <v>1165.97</v>
      </c>
      <c r="M3084" s="25">
        <f>IFERROR(__xludf.DUMMYFUNCTION("""COMPUTED_VALUE"""),616045.0)</f>
        <v>616045</v>
      </c>
    </row>
    <row r="3085">
      <c r="A3085" s="26">
        <f>IFERROR(__xludf.DUMMYFUNCTION("""COMPUTED_VALUE"""),42926.64583333333)</f>
        <v>42926.64583</v>
      </c>
      <c r="B3085" s="9">
        <f>IFERROR(__xludf.DUMMYFUNCTION("""COMPUTED_VALUE"""),471.6)</f>
        <v>471.6</v>
      </c>
      <c r="C3085" s="9">
        <f>IFERROR(__xludf.DUMMYFUNCTION("""COMPUTED_VALUE"""),479.9)</f>
        <v>479.9</v>
      </c>
      <c r="D3085" s="9">
        <f>IFERROR(__xludf.DUMMYFUNCTION("""COMPUTED_VALUE"""),470.0)</f>
        <v>470</v>
      </c>
      <c r="E3085" s="9">
        <f>IFERROR(__xludf.DUMMYFUNCTION("""COMPUTED_VALUE"""),478.53)</f>
        <v>478.53</v>
      </c>
      <c r="F3085" s="9">
        <f>IFERROR(__xludf.DUMMYFUNCTION("""COMPUTED_VALUE"""),732188.0)</f>
        <v>732188</v>
      </c>
      <c r="H3085" s="27">
        <f>IFERROR(__xludf.DUMMYFUNCTION("""COMPUTED_VALUE"""),42926.64583333333)</f>
        <v>42926.64583</v>
      </c>
      <c r="I3085" s="25">
        <f>IFERROR(__xludf.DUMMYFUNCTION("""COMPUTED_VALUE"""),1203.0)</f>
        <v>1203</v>
      </c>
      <c r="J3085" s="25">
        <f>IFERROR(__xludf.DUMMYFUNCTION("""COMPUTED_VALUE"""),1222.45)</f>
        <v>1222.45</v>
      </c>
      <c r="K3085" s="25">
        <f>IFERROR(__xludf.DUMMYFUNCTION("""COMPUTED_VALUE"""),1189.47)</f>
        <v>1189.47</v>
      </c>
      <c r="L3085" s="25">
        <f>IFERROR(__xludf.DUMMYFUNCTION("""COMPUTED_VALUE"""),1217.47)</f>
        <v>1217.47</v>
      </c>
      <c r="M3085" s="25">
        <f>IFERROR(__xludf.DUMMYFUNCTION("""COMPUTED_VALUE"""),391804.0)</f>
        <v>391804</v>
      </c>
    </row>
    <row r="3086">
      <c r="A3086" s="26">
        <f>IFERROR(__xludf.DUMMYFUNCTION("""COMPUTED_VALUE"""),42927.64583333333)</f>
        <v>42927.64583</v>
      </c>
      <c r="B3086" s="9">
        <f>IFERROR(__xludf.DUMMYFUNCTION("""COMPUTED_VALUE"""),478.33)</f>
        <v>478.33</v>
      </c>
      <c r="C3086" s="9">
        <f>IFERROR(__xludf.DUMMYFUNCTION("""COMPUTED_VALUE"""),494.75)</f>
        <v>494.75</v>
      </c>
      <c r="D3086" s="9">
        <f>IFERROR(__xludf.DUMMYFUNCTION("""COMPUTED_VALUE"""),478.33)</f>
        <v>478.33</v>
      </c>
      <c r="E3086" s="9">
        <f>IFERROR(__xludf.DUMMYFUNCTION("""COMPUTED_VALUE"""),487.68)</f>
        <v>487.68</v>
      </c>
      <c r="F3086" s="9">
        <f>IFERROR(__xludf.DUMMYFUNCTION("""COMPUTED_VALUE"""),5769854.0)</f>
        <v>5769854</v>
      </c>
      <c r="H3086" s="27">
        <f>IFERROR(__xludf.DUMMYFUNCTION("""COMPUTED_VALUE"""),42927.64583333333)</f>
        <v>42927.64583</v>
      </c>
      <c r="I3086" s="25">
        <f>IFERROR(__xludf.DUMMYFUNCTION("""COMPUTED_VALUE"""),1213.0)</f>
        <v>1213</v>
      </c>
      <c r="J3086" s="25">
        <f>IFERROR(__xludf.DUMMYFUNCTION("""COMPUTED_VALUE"""),1257.4)</f>
        <v>1257.4</v>
      </c>
      <c r="K3086" s="25">
        <f>IFERROR(__xludf.DUMMYFUNCTION("""COMPUTED_VALUE"""),1213.0)</f>
        <v>1213</v>
      </c>
      <c r="L3086" s="25">
        <f>IFERROR(__xludf.DUMMYFUNCTION("""COMPUTED_VALUE"""),1237.9)</f>
        <v>1237.9</v>
      </c>
      <c r="M3086" s="25">
        <f>IFERROR(__xludf.DUMMYFUNCTION("""COMPUTED_VALUE"""),1768752.0)</f>
        <v>1768752</v>
      </c>
    </row>
    <row r="3087">
      <c r="A3087" s="26">
        <f>IFERROR(__xludf.DUMMYFUNCTION("""COMPUTED_VALUE"""),42928.64583333333)</f>
        <v>42928.64583</v>
      </c>
      <c r="B3087" s="9">
        <f>IFERROR(__xludf.DUMMYFUNCTION("""COMPUTED_VALUE"""),487.48)</f>
        <v>487.48</v>
      </c>
      <c r="C3087" s="9">
        <f>IFERROR(__xludf.DUMMYFUNCTION("""COMPUTED_VALUE"""),490.75)</f>
        <v>490.75</v>
      </c>
      <c r="D3087" s="9">
        <f>IFERROR(__xludf.DUMMYFUNCTION("""COMPUTED_VALUE"""),484.38)</f>
        <v>484.38</v>
      </c>
      <c r="E3087" s="9">
        <f>IFERROR(__xludf.DUMMYFUNCTION("""COMPUTED_VALUE"""),486.18)</f>
        <v>486.18</v>
      </c>
      <c r="F3087" s="9">
        <f>IFERROR(__xludf.DUMMYFUNCTION("""COMPUTED_VALUE"""),3137988.0)</f>
        <v>3137988</v>
      </c>
      <c r="H3087" s="27">
        <f>IFERROR(__xludf.DUMMYFUNCTION("""COMPUTED_VALUE"""),42928.64583333333)</f>
        <v>42928.64583</v>
      </c>
      <c r="I3087" s="25">
        <f>IFERROR(__xludf.DUMMYFUNCTION("""COMPUTED_VALUE"""),1241.25)</f>
        <v>1241.25</v>
      </c>
      <c r="J3087" s="25">
        <f>IFERROR(__xludf.DUMMYFUNCTION("""COMPUTED_VALUE"""),1241.65)</f>
        <v>1241.65</v>
      </c>
      <c r="K3087" s="25">
        <f>IFERROR(__xludf.DUMMYFUNCTION("""COMPUTED_VALUE"""),1215.05)</f>
        <v>1215.05</v>
      </c>
      <c r="L3087" s="25">
        <f>IFERROR(__xludf.DUMMYFUNCTION("""COMPUTED_VALUE"""),1219.72)</f>
        <v>1219.72</v>
      </c>
      <c r="M3087" s="25">
        <f>IFERROR(__xludf.DUMMYFUNCTION("""COMPUTED_VALUE"""),1323225.0)</f>
        <v>1323225</v>
      </c>
    </row>
    <row r="3088">
      <c r="A3088" s="26">
        <f>IFERROR(__xludf.DUMMYFUNCTION("""COMPUTED_VALUE"""),42929.64583333333)</f>
        <v>42929.64583</v>
      </c>
      <c r="B3088" s="9">
        <f>IFERROR(__xludf.DUMMYFUNCTION("""COMPUTED_VALUE"""),488.63)</f>
        <v>488.63</v>
      </c>
      <c r="C3088" s="9">
        <f>IFERROR(__xludf.DUMMYFUNCTION("""COMPUTED_VALUE"""),491.73)</f>
        <v>491.73</v>
      </c>
      <c r="D3088" s="9">
        <f>IFERROR(__xludf.DUMMYFUNCTION("""COMPUTED_VALUE"""),482.05)</f>
        <v>482.05</v>
      </c>
      <c r="E3088" s="9">
        <f>IFERROR(__xludf.DUMMYFUNCTION("""COMPUTED_VALUE"""),488.53)</f>
        <v>488.53</v>
      </c>
      <c r="F3088" s="9">
        <f>IFERROR(__xludf.DUMMYFUNCTION("""COMPUTED_VALUE"""),2585196.0)</f>
        <v>2585196</v>
      </c>
      <c r="H3088" s="27">
        <f>IFERROR(__xludf.DUMMYFUNCTION("""COMPUTED_VALUE"""),42929.64583333333)</f>
        <v>42929.64583</v>
      </c>
      <c r="I3088" s="25">
        <f>IFERROR(__xludf.DUMMYFUNCTION("""COMPUTED_VALUE"""),1222.5)</f>
        <v>1222.5</v>
      </c>
      <c r="J3088" s="25">
        <f>IFERROR(__xludf.DUMMYFUNCTION("""COMPUTED_VALUE"""),1236.0)</f>
        <v>1236</v>
      </c>
      <c r="K3088" s="25">
        <f>IFERROR(__xludf.DUMMYFUNCTION("""COMPUTED_VALUE"""),1213.3)</f>
        <v>1213.3</v>
      </c>
      <c r="L3088" s="25">
        <f>IFERROR(__xludf.DUMMYFUNCTION("""COMPUTED_VALUE"""),1223.2)</f>
        <v>1223.2</v>
      </c>
      <c r="M3088" s="25">
        <f>IFERROR(__xludf.DUMMYFUNCTION("""COMPUTED_VALUE"""),1565980.0)</f>
        <v>1565980</v>
      </c>
    </row>
    <row r="3089">
      <c r="A3089" s="26">
        <f>IFERROR(__xludf.DUMMYFUNCTION("""COMPUTED_VALUE"""),42930.64583333333)</f>
        <v>42930.64583</v>
      </c>
      <c r="B3089" s="9">
        <f>IFERROR(__xludf.DUMMYFUNCTION("""COMPUTED_VALUE"""),499.73)</f>
        <v>499.73</v>
      </c>
      <c r="C3089" s="9">
        <f>IFERROR(__xludf.DUMMYFUNCTION("""COMPUTED_VALUE"""),503.43)</f>
        <v>503.43</v>
      </c>
      <c r="D3089" s="9">
        <f>IFERROR(__xludf.DUMMYFUNCTION("""COMPUTED_VALUE"""),483.03)</f>
        <v>483.03</v>
      </c>
      <c r="E3089" s="9">
        <f>IFERROR(__xludf.DUMMYFUNCTION("""COMPUTED_VALUE"""),486.03)</f>
        <v>486.03</v>
      </c>
      <c r="F3089" s="9">
        <f>IFERROR(__xludf.DUMMYFUNCTION("""COMPUTED_VALUE"""),1.123909E7)</f>
        <v>11239090</v>
      </c>
      <c r="H3089" s="27">
        <f>IFERROR(__xludf.DUMMYFUNCTION("""COMPUTED_VALUE"""),42930.64583333333)</f>
        <v>42930.64583</v>
      </c>
      <c r="I3089" s="25">
        <f>IFERROR(__xludf.DUMMYFUNCTION("""COMPUTED_VALUE"""),1191.5)</f>
        <v>1191.5</v>
      </c>
      <c r="J3089" s="25">
        <f>IFERROR(__xludf.DUMMYFUNCTION("""COMPUTED_VALUE"""),1212.5)</f>
        <v>1212.5</v>
      </c>
      <c r="K3089" s="25">
        <f>IFERROR(__xludf.DUMMYFUNCTION("""COMPUTED_VALUE"""),1187.5)</f>
        <v>1187.5</v>
      </c>
      <c r="L3089" s="25">
        <f>IFERROR(__xludf.DUMMYFUNCTION("""COMPUTED_VALUE"""),1198.72)</f>
        <v>1198.72</v>
      </c>
      <c r="M3089" s="25">
        <f>IFERROR(__xludf.DUMMYFUNCTION("""COMPUTED_VALUE"""),2254216.0)</f>
        <v>2254216</v>
      </c>
    </row>
    <row r="3090">
      <c r="A3090" s="26">
        <f>IFERROR(__xludf.DUMMYFUNCTION("""COMPUTED_VALUE"""),42933.64583333333)</f>
        <v>42933.64583</v>
      </c>
      <c r="B3090" s="9">
        <f>IFERROR(__xludf.DUMMYFUNCTION("""COMPUTED_VALUE"""),487.5)</f>
        <v>487.5</v>
      </c>
      <c r="C3090" s="9">
        <f>IFERROR(__xludf.DUMMYFUNCTION("""COMPUTED_VALUE"""),496.0)</f>
        <v>496</v>
      </c>
      <c r="D3090" s="9">
        <f>IFERROR(__xludf.DUMMYFUNCTION("""COMPUTED_VALUE"""),487.0)</f>
        <v>487</v>
      </c>
      <c r="E3090" s="9">
        <f>IFERROR(__xludf.DUMMYFUNCTION("""COMPUTED_VALUE"""),492.03)</f>
        <v>492.03</v>
      </c>
      <c r="F3090" s="9">
        <f>IFERROR(__xludf.DUMMYFUNCTION("""COMPUTED_VALUE"""),3849125.0)</f>
        <v>3849125</v>
      </c>
      <c r="H3090" s="27">
        <f>IFERROR(__xludf.DUMMYFUNCTION("""COMPUTED_VALUE"""),42933.64583333333)</f>
        <v>42933.64583</v>
      </c>
      <c r="I3090" s="25">
        <f>IFERROR(__xludf.DUMMYFUNCTION("""COMPUTED_VALUE"""),1198.85)</f>
        <v>1198.85</v>
      </c>
      <c r="J3090" s="25">
        <f>IFERROR(__xludf.DUMMYFUNCTION("""COMPUTED_VALUE"""),1211.05)</f>
        <v>1211.05</v>
      </c>
      <c r="K3090" s="25">
        <f>IFERROR(__xludf.DUMMYFUNCTION("""COMPUTED_VALUE"""),1191.1)</f>
        <v>1191.1</v>
      </c>
      <c r="L3090" s="25">
        <f>IFERROR(__xludf.DUMMYFUNCTION("""COMPUTED_VALUE"""),1197.72)</f>
        <v>1197.72</v>
      </c>
      <c r="M3090" s="25">
        <f>IFERROR(__xludf.DUMMYFUNCTION("""COMPUTED_VALUE"""),1105911.0)</f>
        <v>1105911</v>
      </c>
    </row>
    <row r="3091">
      <c r="A3091" s="26">
        <f>IFERROR(__xludf.DUMMYFUNCTION("""COMPUTED_VALUE"""),42934.64583333333)</f>
        <v>42934.64583</v>
      </c>
      <c r="B3091" s="9">
        <f>IFERROR(__xludf.DUMMYFUNCTION("""COMPUTED_VALUE"""),493.03)</f>
        <v>493.03</v>
      </c>
      <c r="C3091" s="9">
        <f>IFERROR(__xludf.DUMMYFUNCTION("""COMPUTED_VALUE"""),502.4)</f>
        <v>502.4</v>
      </c>
      <c r="D3091" s="9">
        <f>IFERROR(__xludf.DUMMYFUNCTION("""COMPUTED_VALUE"""),490.55)</f>
        <v>490.55</v>
      </c>
      <c r="E3091" s="9">
        <f>IFERROR(__xludf.DUMMYFUNCTION("""COMPUTED_VALUE"""),492.8)</f>
        <v>492.8</v>
      </c>
      <c r="F3091" s="9">
        <f>IFERROR(__xludf.DUMMYFUNCTION("""COMPUTED_VALUE"""),4130090.0)</f>
        <v>4130090</v>
      </c>
      <c r="H3091" s="27">
        <f>IFERROR(__xludf.DUMMYFUNCTION("""COMPUTED_VALUE"""),42934.64583333333)</f>
        <v>42934.64583</v>
      </c>
      <c r="I3091" s="25">
        <f>IFERROR(__xludf.DUMMYFUNCTION("""COMPUTED_VALUE"""),1198.08)</f>
        <v>1198.08</v>
      </c>
      <c r="J3091" s="25">
        <f>IFERROR(__xludf.DUMMYFUNCTION("""COMPUTED_VALUE"""),1221.5)</f>
        <v>1221.5</v>
      </c>
      <c r="K3091" s="25">
        <f>IFERROR(__xludf.DUMMYFUNCTION("""COMPUTED_VALUE"""),1198.08)</f>
        <v>1198.08</v>
      </c>
      <c r="L3091" s="25">
        <f>IFERROR(__xludf.DUMMYFUNCTION("""COMPUTED_VALUE"""),1204.18)</f>
        <v>1204.18</v>
      </c>
      <c r="M3091" s="25">
        <f>IFERROR(__xludf.DUMMYFUNCTION("""COMPUTED_VALUE"""),954001.0)</f>
        <v>954001</v>
      </c>
    </row>
    <row r="3092">
      <c r="A3092" s="26">
        <f>IFERROR(__xludf.DUMMYFUNCTION("""COMPUTED_VALUE"""),42935.64583333333)</f>
        <v>42935.64583</v>
      </c>
      <c r="B3092" s="9">
        <f>IFERROR(__xludf.DUMMYFUNCTION("""COMPUTED_VALUE"""),490.73)</f>
        <v>490.73</v>
      </c>
      <c r="C3092" s="9">
        <f>IFERROR(__xludf.DUMMYFUNCTION("""COMPUTED_VALUE"""),494.33)</f>
        <v>494.33</v>
      </c>
      <c r="D3092" s="9">
        <f>IFERROR(__xludf.DUMMYFUNCTION("""COMPUTED_VALUE"""),484.55)</f>
        <v>484.55</v>
      </c>
      <c r="E3092" s="9">
        <f>IFERROR(__xludf.DUMMYFUNCTION("""COMPUTED_VALUE"""),489.93)</f>
        <v>489.93</v>
      </c>
      <c r="F3092" s="9">
        <f>IFERROR(__xludf.DUMMYFUNCTION("""COMPUTED_VALUE"""),2945139.0)</f>
        <v>2945139</v>
      </c>
      <c r="H3092" s="27">
        <f>IFERROR(__xludf.DUMMYFUNCTION("""COMPUTED_VALUE"""),42935.64583333333)</f>
        <v>42935.64583</v>
      </c>
      <c r="I3092" s="25">
        <f>IFERROR(__xludf.DUMMYFUNCTION("""COMPUTED_VALUE"""),1207.75)</f>
        <v>1207.75</v>
      </c>
      <c r="J3092" s="25">
        <f>IFERROR(__xludf.DUMMYFUNCTION("""COMPUTED_VALUE"""),1230.0)</f>
        <v>1230</v>
      </c>
      <c r="K3092" s="25">
        <f>IFERROR(__xludf.DUMMYFUNCTION("""COMPUTED_VALUE"""),1207.55)</f>
        <v>1207.55</v>
      </c>
      <c r="L3092" s="25">
        <f>IFERROR(__xludf.DUMMYFUNCTION("""COMPUTED_VALUE"""),1224.8)</f>
        <v>1224.8</v>
      </c>
      <c r="M3092" s="25">
        <f>IFERROR(__xludf.DUMMYFUNCTION("""COMPUTED_VALUE"""),1957788.0)</f>
        <v>1957788</v>
      </c>
    </row>
    <row r="3093">
      <c r="A3093" s="26">
        <f>IFERROR(__xludf.DUMMYFUNCTION("""COMPUTED_VALUE"""),42936.64583333333)</f>
        <v>42936.64583</v>
      </c>
      <c r="B3093" s="9">
        <f>IFERROR(__xludf.DUMMYFUNCTION("""COMPUTED_VALUE"""),489.65)</f>
        <v>489.65</v>
      </c>
      <c r="C3093" s="9">
        <f>IFERROR(__xludf.DUMMYFUNCTION("""COMPUTED_VALUE"""),489.93)</f>
        <v>489.93</v>
      </c>
      <c r="D3093" s="9">
        <f>IFERROR(__xludf.DUMMYFUNCTION("""COMPUTED_VALUE"""),483.48)</f>
        <v>483.48</v>
      </c>
      <c r="E3093" s="9">
        <f>IFERROR(__xludf.DUMMYFUNCTION("""COMPUTED_VALUE"""),484.73)</f>
        <v>484.73</v>
      </c>
      <c r="F3093" s="9">
        <f>IFERROR(__xludf.DUMMYFUNCTION("""COMPUTED_VALUE"""),3404870.0)</f>
        <v>3404870</v>
      </c>
      <c r="H3093" s="27">
        <f>IFERROR(__xludf.DUMMYFUNCTION("""COMPUTED_VALUE"""),42936.64583333333)</f>
        <v>42936.64583</v>
      </c>
      <c r="I3093" s="25">
        <f>IFERROR(__xludf.DUMMYFUNCTION("""COMPUTED_VALUE"""),1224.63)</f>
        <v>1224.63</v>
      </c>
      <c r="J3093" s="25">
        <f>IFERROR(__xludf.DUMMYFUNCTION("""COMPUTED_VALUE"""),1228.45)</f>
        <v>1228.45</v>
      </c>
      <c r="K3093" s="25">
        <f>IFERROR(__xludf.DUMMYFUNCTION("""COMPUTED_VALUE"""),1215.25)</f>
        <v>1215.25</v>
      </c>
      <c r="L3093" s="25">
        <f>IFERROR(__xludf.DUMMYFUNCTION("""COMPUTED_VALUE"""),1222.35)</f>
        <v>1222.35</v>
      </c>
      <c r="M3093" s="25">
        <f>IFERROR(__xludf.DUMMYFUNCTION("""COMPUTED_VALUE"""),591252.0)</f>
        <v>591252</v>
      </c>
    </row>
    <row r="3094">
      <c r="A3094" s="26">
        <f>IFERROR(__xludf.DUMMYFUNCTION("""COMPUTED_VALUE"""),42937.64583333333)</f>
        <v>42937.64583</v>
      </c>
      <c r="B3094" s="9">
        <f>IFERROR(__xludf.DUMMYFUNCTION("""COMPUTED_VALUE"""),486.5)</f>
        <v>486.5</v>
      </c>
      <c r="C3094" s="9">
        <f>IFERROR(__xludf.DUMMYFUNCTION("""COMPUTED_VALUE"""),491.28)</f>
        <v>491.28</v>
      </c>
      <c r="D3094" s="9">
        <f>IFERROR(__xludf.DUMMYFUNCTION("""COMPUTED_VALUE"""),485.7)</f>
        <v>485.7</v>
      </c>
      <c r="E3094" s="9">
        <f>IFERROR(__xludf.DUMMYFUNCTION("""COMPUTED_VALUE"""),490.05)</f>
        <v>490.05</v>
      </c>
      <c r="F3094" s="9">
        <f>IFERROR(__xludf.DUMMYFUNCTION("""COMPUTED_VALUE"""),2990377.0)</f>
        <v>2990377</v>
      </c>
      <c r="H3094" s="27">
        <f>IFERROR(__xludf.DUMMYFUNCTION("""COMPUTED_VALUE"""),42937.64583333333)</f>
        <v>42937.64583</v>
      </c>
      <c r="I3094" s="25">
        <f>IFERROR(__xludf.DUMMYFUNCTION("""COMPUTED_VALUE"""),1217.45)</f>
        <v>1217.45</v>
      </c>
      <c r="J3094" s="25">
        <f>IFERROR(__xludf.DUMMYFUNCTION("""COMPUTED_VALUE"""),1250.0)</f>
        <v>1250</v>
      </c>
      <c r="K3094" s="25">
        <f>IFERROR(__xludf.DUMMYFUNCTION("""COMPUTED_VALUE"""),1217.28)</f>
        <v>1217.28</v>
      </c>
      <c r="L3094" s="25">
        <f>IFERROR(__xludf.DUMMYFUNCTION("""COMPUTED_VALUE"""),1245.6)</f>
        <v>1245.6</v>
      </c>
      <c r="M3094" s="25">
        <f>IFERROR(__xludf.DUMMYFUNCTION("""COMPUTED_VALUE"""),1074208.0)</f>
        <v>1074208</v>
      </c>
    </row>
    <row r="3095">
      <c r="A3095" s="26">
        <f>IFERROR(__xludf.DUMMYFUNCTION("""COMPUTED_VALUE"""),42940.64583333333)</f>
        <v>42940.64583</v>
      </c>
      <c r="B3095" s="9">
        <f>IFERROR(__xludf.DUMMYFUNCTION("""COMPUTED_VALUE"""),491.75)</f>
        <v>491.75</v>
      </c>
      <c r="C3095" s="9">
        <f>IFERROR(__xludf.DUMMYFUNCTION("""COMPUTED_VALUE"""),497.0)</f>
        <v>497</v>
      </c>
      <c r="D3095" s="9">
        <f>IFERROR(__xludf.DUMMYFUNCTION("""COMPUTED_VALUE"""),491.3)</f>
        <v>491.3</v>
      </c>
      <c r="E3095" s="9">
        <f>IFERROR(__xludf.DUMMYFUNCTION("""COMPUTED_VALUE"""),495.28)</f>
        <v>495.28</v>
      </c>
      <c r="F3095" s="9">
        <f>IFERROR(__xludf.DUMMYFUNCTION("""COMPUTED_VALUE"""),3064588.0)</f>
        <v>3064588</v>
      </c>
      <c r="H3095" s="27">
        <f>IFERROR(__xludf.DUMMYFUNCTION("""COMPUTED_VALUE"""),42940.64583333333)</f>
        <v>42940.64583</v>
      </c>
      <c r="I3095" s="25">
        <f>IFERROR(__xludf.DUMMYFUNCTION("""COMPUTED_VALUE"""),1241.0)</f>
        <v>1241</v>
      </c>
      <c r="J3095" s="25">
        <f>IFERROR(__xludf.DUMMYFUNCTION("""COMPUTED_VALUE"""),1270.0)</f>
        <v>1270</v>
      </c>
      <c r="K3095" s="25">
        <f>IFERROR(__xludf.DUMMYFUNCTION("""COMPUTED_VALUE"""),1241.0)</f>
        <v>1241</v>
      </c>
      <c r="L3095" s="25">
        <f>IFERROR(__xludf.DUMMYFUNCTION("""COMPUTED_VALUE"""),1265.35)</f>
        <v>1265.35</v>
      </c>
      <c r="M3095" s="25">
        <f>IFERROR(__xludf.DUMMYFUNCTION("""COMPUTED_VALUE"""),1135701.0)</f>
        <v>1135701</v>
      </c>
    </row>
    <row r="3096">
      <c r="A3096" s="26">
        <f>IFERROR(__xludf.DUMMYFUNCTION("""COMPUTED_VALUE"""),42941.64583333333)</f>
        <v>42941.64583</v>
      </c>
      <c r="B3096" s="9">
        <f>IFERROR(__xludf.DUMMYFUNCTION("""COMPUTED_VALUE"""),495.0)</f>
        <v>495</v>
      </c>
      <c r="C3096" s="9">
        <f>IFERROR(__xludf.DUMMYFUNCTION("""COMPUTED_VALUE"""),499.5)</f>
        <v>499.5</v>
      </c>
      <c r="D3096" s="9">
        <f>IFERROR(__xludf.DUMMYFUNCTION("""COMPUTED_VALUE"""),493.1)</f>
        <v>493.1</v>
      </c>
      <c r="E3096" s="9">
        <f>IFERROR(__xludf.DUMMYFUNCTION("""COMPUTED_VALUE"""),496.93)</f>
        <v>496.93</v>
      </c>
      <c r="F3096" s="9">
        <f>IFERROR(__xludf.DUMMYFUNCTION("""COMPUTED_VALUE"""),3572807.0)</f>
        <v>3572807</v>
      </c>
      <c r="H3096" s="27">
        <f>IFERROR(__xludf.DUMMYFUNCTION("""COMPUTED_VALUE"""),42941.64583333333)</f>
        <v>42941.64583</v>
      </c>
      <c r="I3096" s="25">
        <f>IFERROR(__xludf.DUMMYFUNCTION("""COMPUTED_VALUE"""),1262.88)</f>
        <v>1262.88</v>
      </c>
      <c r="J3096" s="25">
        <f>IFERROR(__xludf.DUMMYFUNCTION("""COMPUTED_VALUE"""),1290.0)</f>
        <v>1290</v>
      </c>
      <c r="K3096" s="25">
        <f>IFERROR(__xludf.DUMMYFUNCTION("""COMPUTED_VALUE"""),1259.2)</f>
        <v>1259.2</v>
      </c>
      <c r="L3096" s="25">
        <f>IFERROR(__xludf.DUMMYFUNCTION("""COMPUTED_VALUE"""),1285.75)</f>
        <v>1285.75</v>
      </c>
      <c r="M3096" s="25">
        <f>IFERROR(__xludf.DUMMYFUNCTION("""COMPUTED_VALUE"""),1339416.0)</f>
        <v>1339416</v>
      </c>
    </row>
    <row r="3097">
      <c r="A3097" s="26">
        <f>IFERROR(__xludf.DUMMYFUNCTION("""COMPUTED_VALUE"""),42942.64583333333)</f>
        <v>42942.64583</v>
      </c>
      <c r="B3097" s="9">
        <f>IFERROR(__xludf.DUMMYFUNCTION("""COMPUTED_VALUE"""),499.05)</f>
        <v>499.05</v>
      </c>
      <c r="C3097" s="9">
        <f>IFERROR(__xludf.DUMMYFUNCTION("""COMPUTED_VALUE"""),499.5)</f>
        <v>499.5</v>
      </c>
      <c r="D3097" s="9">
        <f>IFERROR(__xludf.DUMMYFUNCTION("""COMPUTED_VALUE"""),495.2)</f>
        <v>495.2</v>
      </c>
      <c r="E3097" s="9">
        <f>IFERROR(__xludf.DUMMYFUNCTION("""COMPUTED_VALUE"""),497.03)</f>
        <v>497.03</v>
      </c>
      <c r="F3097" s="9">
        <f>IFERROR(__xludf.DUMMYFUNCTION("""COMPUTED_VALUE"""),3435012.0)</f>
        <v>3435012</v>
      </c>
      <c r="H3097" s="27">
        <f>IFERROR(__xludf.DUMMYFUNCTION("""COMPUTED_VALUE"""),42942.64583333333)</f>
        <v>42942.64583</v>
      </c>
      <c r="I3097" s="25">
        <f>IFERROR(__xludf.DUMMYFUNCTION("""COMPUTED_VALUE"""),1280.0)</f>
        <v>1280</v>
      </c>
      <c r="J3097" s="25">
        <f>IFERROR(__xludf.DUMMYFUNCTION("""COMPUTED_VALUE"""),1287.5)</f>
        <v>1287.5</v>
      </c>
      <c r="K3097" s="25">
        <f>IFERROR(__xludf.DUMMYFUNCTION("""COMPUTED_VALUE"""),1273.5)</f>
        <v>1273.5</v>
      </c>
      <c r="L3097" s="25">
        <f>IFERROR(__xludf.DUMMYFUNCTION("""COMPUTED_VALUE"""),1278.0)</f>
        <v>1278</v>
      </c>
      <c r="M3097" s="25">
        <f>IFERROR(__xludf.DUMMYFUNCTION("""COMPUTED_VALUE"""),729913.0)</f>
        <v>729913</v>
      </c>
    </row>
    <row r="3098">
      <c r="A3098" s="26">
        <f>IFERROR(__xludf.DUMMYFUNCTION("""COMPUTED_VALUE"""),42943.64583333333)</f>
        <v>42943.64583</v>
      </c>
      <c r="B3098" s="9">
        <f>IFERROR(__xludf.DUMMYFUNCTION("""COMPUTED_VALUE"""),498.0)</f>
        <v>498</v>
      </c>
      <c r="C3098" s="9">
        <f>IFERROR(__xludf.DUMMYFUNCTION("""COMPUTED_VALUE"""),502.0)</f>
        <v>502</v>
      </c>
      <c r="D3098" s="9">
        <f>IFERROR(__xludf.DUMMYFUNCTION("""COMPUTED_VALUE"""),483.4)</f>
        <v>483.4</v>
      </c>
      <c r="E3098" s="9">
        <f>IFERROR(__xludf.DUMMYFUNCTION("""COMPUTED_VALUE"""),485.53)</f>
        <v>485.53</v>
      </c>
      <c r="F3098" s="9">
        <f>IFERROR(__xludf.DUMMYFUNCTION("""COMPUTED_VALUE"""),6338426.0)</f>
        <v>6338426</v>
      </c>
      <c r="H3098" s="27">
        <f>IFERROR(__xludf.DUMMYFUNCTION("""COMPUTED_VALUE"""),42943.64583333333)</f>
        <v>42943.64583</v>
      </c>
      <c r="I3098" s="25">
        <f>IFERROR(__xludf.DUMMYFUNCTION("""COMPUTED_VALUE"""),1271.1)</f>
        <v>1271.1</v>
      </c>
      <c r="J3098" s="25">
        <f>IFERROR(__xludf.DUMMYFUNCTION("""COMPUTED_VALUE"""),1292.4)</f>
        <v>1292.4</v>
      </c>
      <c r="K3098" s="25">
        <f>IFERROR(__xludf.DUMMYFUNCTION("""COMPUTED_VALUE"""),1233.25)</f>
        <v>1233.25</v>
      </c>
      <c r="L3098" s="25">
        <f>IFERROR(__xludf.DUMMYFUNCTION("""COMPUTED_VALUE"""),1240.85)</f>
        <v>1240.85</v>
      </c>
      <c r="M3098" s="25">
        <f>IFERROR(__xludf.DUMMYFUNCTION("""COMPUTED_VALUE"""),2127652.0)</f>
        <v>2127652</v>
      </c>
    </row>
    <row r="3099">
      <c r="A3099" s="26">
        <f>IFERROR(__xludf.DUMMYFUNCTION("""COMPUTED_VALUE"""),42944.64583333333)</f>
        <v>42944.64583</v>
      </c>
      <c r="B3099" s="9">
        <f>IFERROR(__xludf.DUMMYFUNCTION("""COMPUTED_VALUE"""),488.0)</f>
        <v>488</v>
      </c>
      <c r="C3099" s="9">
        <f>IFERROR(__xludf.DUMMYFUNCTION("""COMPUTED_VALUE"""),501.5)</f>
        <v>501.5</v>
      </c>
      <c r="D3099" s="9">
        <f>IFERROR(__xludf.DUMMYFUNCTION("""COMPUTED_VALUE"""),481.15)</f>
        <v>481.15</v>
      </c>
      <c r="E3099" s="9">
        <f>IFERROR(__xludf.DUMMYFUNCTION("""COMPUTED_VALUE"""),498.68)</f>
        <v>498.68</v>
      </c>
      <c r="F3099" s="9">
        <f>IFERROR(__xludf.DUMMYFUNCTION("""COMPUTED_VALUE"""),5549214.0)</f>
        <v>5549214</v>
      </c>
      <c r="H3099" s="27">
        <f>IFERROR(__xludf.DUMMYFUNCTION("""COMPUTED_VALUE"""),42944.64583333333)</f>
        <v>42944.64583</v>
      </c>
      <c r="I3099" s="25">
        <f>IFERROR(__xludf.DUMMYFUNCTION("""COMPUTED_VALUE"""),1240.5)</f>
        <v>1240.5</v>
      </c>
      <c r="J3099" s="25">
        <f>IFERROR(__xludf.DUMMYFUNCTION("""COMPUTED_VALUE"""),1246.53)</f>
        <v>1246.53</v>
      </c>
      <c r="K3099" s="25">
        <f>IFERROR(__xludf.DUMMYFUNCTION("""COMPUTED_VALUE"""),1221.0)</f>
        <v>1221</v>
      </c>
      <c r="L3099" s="25">
        <f>IFERROR(__xludf.DUMMYFUNCTION("""COMPUTED_VALUE"""),1242.15)</f>
        <v>1242.15</v>
      </c>
      <c r="M3099" s="25">
        <f>IFERROR(__xludf.DUMMYFUNCTION("""COMPUTED_VALUE"""),691376.0)</f>
        <v>691376</v>
      </c>
    </row>
    <row r="3100">
      <c r="A3100" s="26">
        <f>IFERROR(__xludf.DUMMYFUNCTION("""COMPUTED_VALUE"""),42947.64583333333)</f>
        <v>42947.64583</v>
      </c>
      <c r="B3100" s="9">
        <f>IFERROR(__xludf.DUMMYFUNCTION("""COMPUTED_VALUE"""),495.95)</f>
        <v>495.95</v>
      </c>
      <c r="C3100" s="9">
        <f>IFERROR(__xludf.DUMMYFUNCTION("""COMPUTED_VALUE"""),510.85)</f>
        <v>510.85</v>
      </c>
      <c r="D3100" s="9">
        <f>IFERROR(__xludf.DUMMYFUNCTION("""COMPUTED_VALUE"""),493.38)</f>
        <v>493.38</v>
      </c>
      <c r="E3100" s="9">
        <f>IFERROR(__xludf.DUMMYFUNCTION("""COMPUTED_VALUE"""),505.6)</f>
        <v>505.6</v>
      </c>
      <c r="F3100" s="9">
        <f>IFERROR(__xludf.DUMMYFUNCTION("""COMPUTED_VALUE"""),9579124.0)</f>
        <v>9579124</v>
      </c>
      <c r="H3100" s="27">
        <f>IFERROR(__xludf.DUMMYFUNCTION("""COMPUTED_VALUE"""),42947.64583333333)</f>
        <v>42947.64583</v>
      </c>
      <c r="I3100" s="25">
        <f>IFERROR(__xludf.DUMMYFUNCTION("""COMPUTED_VALUE"""),1235.5)</f>
        <v>1235.5</v>
      </c>
      <c r="J3100" s="25">
        <f>IFERROR(__xludf.DUMMYFUNCTION("""COMPUTED_VALUE"""),1259.5)</f>
        <v>1259.5</v>
      </c>
      <c r="K3100" s="25">
        <f>IFERROR(__xludf.DUMMYFUNCTION("""COMPUTED_VALUE"""),1231.5)</f>
        <v>1231.5</v>
      </c>
      <c r="L3100" s="25">
        <f>IFERROR(__xludf.DUMMYFUNCTION("""COMPUTED_VALUE"""),1245.9)</f>
        <v>1245.9</v>
      </c>
      <c r="M3100" s="25">
        <f>IFERROR(__xludf.DUMMYFUNCTION("""COMPUTED_VALUE"""),1009831.0)</f>
        <v>1009831</v>
      </c>
    </row>
    <row r="3101">
      <c r="A3101" s="26">
        <f>IFERROR(__xludf.DUMMYFUNCTION("""COMPUTED_VALUE"""),42948.64583333333)</f>
        <v>42948.64583</v>
      </c>
      <c r="B3101" s="9">
        <f>IFERROR(__xludf.DUMMYFUNCTION("""COMPUTED_VALUE"""),505.5)</f>
        <v>505.5</v>
      </c>
      <c r="C3101" s="9">
        <f>IFERROR(__xludf.DUMMYFUNCTION("""COMPUTED_VALUE"""),508.5)</f>
        <v>508.5</v>
      </c>
      <c r="D3101" s="9">
        <f>IFERROR(__xludf.DUMMYFUNCTION("""COMPUTED_VALUE"""),499.18)</f>
        <v>499.18</v>
      </c>
      <c r="E3101" s="9">
        <f>IFERROR(__xludf.DUMMYFUNCTION("""COMPUTED_VALUE"""),502.78)</f>
        <v>502.78</v>
      </c>
      <c r="F3101" s="9">
        <f>IFERROR(__xludf.DUMMYFUNCTION("""COMPUTED_VALUE"""),3844699.0)</f>
        <v>3844699</v>
      </c>
      <c r="H3101" s="27">
        <f>IFERROR(__xludf.DUMMYFUNCTION("""COMPUTED_VALUE"""),42948.64583333333)</f>
        <v>42948.64583</v>
      </c>
      <c r="I3101" s="25">
        <f>IFERROR(__xludf.DUMMYFUNCTION("""COMPUTED_VALUE"""),1250.0)</f>
        <v>1250</v>
      </c>
      <c r="J3101" s="25">
        <f>IFERROR(__xludf.DUMMYFUNCTION("""COMPUTED_VALUE"""),1260.38)</f>
        <v>1260.38</v>
      </c>
      <c r="K3101" s="25">
        <f>IFERROR(__xludf.DUMMYFUNCTION("""COMPUTED_VALUE"""),1245.5)</f>
        <v>1245.5</v>
      </c>
      <c r="L3101" s="25">
        <f>IFERROR(__xludf.DUMMYFUNCTION("""COMPUTED_VALUE"""),1250.83)</f>
        <v>1250.83</v>
      </c>
      <c r="M3101" s="25">
        <f>IFERROR(__xludf.DUMMYFUNCTION("""COMPUTED_VALUE"""),873730.0)</f>
        <v>873730</v>
      </c>
    </row>
    <row r="3102">
      <c r="A3102" s="26">
        <f>IFERROR(__xludf.DUMMYFUNCTION("""COMPUTED_VALUE"""),42949.64583333333)</f>
        <v>42949.64583</v>
      </c>
      <c r="B3102" s="9">
        <f>IFERROR(__xludf.DUMMYFUNCTION("""COMPUTED_VALUE"""),503.0)</f>
        <v>503</v>
      </c>
      <c r="C3102" s="9">
        <f>IFERROR(__xludf.DUMMYFUNCTION("""COMPUTED_VALUE"""),506.38)</f>
        <v>506.38</v>
      </c>
      <c r="D3102" s="9">
        <f>IFERROR(__xludf.DUMMYFUNCTION("""COMPUTED_VALUE"""),493.6)</f>
        <v>493.6</v>
      </c>
      <c r="E3102" s="9">
        <f>IFERROR(__xludf.DUMMYFUNCTION("""COMPUTED_VALUE"""),496.68)</f>
        <v>496.68</v>
      </c>
      <c r="F3102" s="9">
        <f>IFERROR(__xludf.DUMMYFUNCTION("""COMPUTED_VALUE"""),2128792.0)</f>
        <v>2128792</v>
      </c>
      <c r="H3102" s="27">
        <f>IFERROR(__xludf.DUMMYFUNCTION("""COMPUTED_VALUE"""),42949.64583333333)</f>
        <v>42949.64583</v>
      </c>
      <c r="I3102" s="25">
        <f>IFERROR(__xludf.DUMMYFUNCTION("""COMPUTED_VALUE"""),1250.0)</f>
        <v>1250</v>
      </c>
      <c r="J3102" s="25">
        <f>IFERROR(__xludf.DUMMYFUNCTION("""COMPUTED_VALUE"""),1254.0)</f>
        <v>1254</v>
      </c>
      <c r="K3102" s="25">
        <f>IFERROR(__xludf.DUMMYFUNCTION("""COMPUTED_VALUE"""),1231.0)</f>
        <v>1231</v>
      </c>
      <c r="L3102" s="25">
        <f>IFERROR(__xludf.DUMMYFUNCTION("""COMPUTED_VALUE"""),1236.9)</f>
        <v>1236.9</v>
      </c>
      <c r="M3102" s="25">
        <f>IFERROR(__xludf.DUMMYFUNCTION("""COMPUTED_VALUE"""),625512.0)</f>
        <v>625512</v>
      </c>
    </row>
    <row r="3103">
      <c r="A3103" s="26">
        <f>IFERROR(__xludf.DUMMYFUNCTION("""COMPUTED_VALUE"""),42950.64583333333)</f>
        <v>42950.64583</v>
      </c>
      <c r="B3103" s="9">
        <f>IFERROR(__xludf.DUMMYFUNCTION("""COMPUTED_VALUE"""),495.5)</f>
        <v>495.5</v>
      </c>
      <c r="C3103" s="9">
        <f>IFERROR(__xludf.DUMMYFUNCTION("""COMPUTED_VALUE"""),499.38)</f>
        <v>499.38</v>
      </c>
      <c r="D3103" s="9">
        <f>IFERROR(__xludf.DUMMYFUNCTION("""COMPUTED_VALUE"""),490.13)</f>
        <v>490.13</v>
      </c>
      <c r="E3103" s="9">
        <f>IFERROR(__xludf.DUMMYFUNCTION("""COMPUTED_VALUE"""),492.0)</f>
        <v>492</v>
      </c>
      <c r="F3103" s="9">
        <f>IFERROR(__xludf.DUMMYFUNCTION("""COMPUTED_VALUE"""),2320174.0)</f>
        <v>2320174</v>
      </c>
      <c r="H3103" s="27">
        <f>IFERROR(__xludf.DUMMYFUNCTION("""COMPUTED_VALUE"""),42950.64583333333)</f>
        <v>42950.64583</v>
      </c>
      <c r="I3103" s="25">
        <f>IFERROR(__xludf.DUMMYFUNCTION("""COMPUTED_VALUE"""),1240.0)</f>
        <v>1240</v>
      </c>
      <c r="J3103" s="25">
        <f>IFERROR(__xludf.DUMMYFUNCTION("""COMPUTED_VALUE"""),1251.0)</f>
        <v>1251</v>
      </c>
      <c r="K3103" s="25">
        <f>IFERROR(__xludf.DUMMYFUNCTION("""COMPUTED_VALUE"""),1233.22)</f>
        <v>1233.22</v>
      </c>
      <c r="L3103" s="25">
        <f>IFERROR(__xludf.DUMMYFUNCTION("""COMPUTED_VALUE"""),1244.72)</f>
        <v>1244.72</v>
      </c>
      <c r="M3103" s="25">
        <f>IFERROR(__xludf.DUMMYFUNCTION("""COMPUTED_VALUE"""),941274.0)</f>
        <v>941274</v>
      </c>
    </row>
    <row r="3104">
      <c r="A3104" s="26">
        <f>IFERROR(__xludf.DUMMYFUNCTION("""COMPUTED_VALUE"""),42951.64583333333)</f>
        <v>42951.64583</v>
      </c>
      <c r="B3104" s="9">
        <f>IFERROR(__xludf.DUMMYFUNCTION("""COMPUTED_VALUE"""),494.0)</f>
        <v>494</v>
      </c>
      <c r="C3104" s="9">
        <f>IFERROR(__xludf.DUMMYFUNCTION("""COMPUTED_VALUE"""),494.5)</f>
        <v>494.5</v>
      </c>
      <c r="D3104" s="9">
        <f>IFERROR(__xludf.DUMMYFUNCTION("""COMPUTED_VALUE"""),488.03)</f>
        <v>488.03</v>
      </c>
      <c r="E3104" s="9">
        <f>IFERROR(__xludf.DUMMYFUNCTION("""COMPUTED_VALUE"""),491.88)</f>
        <v>491.88</v>
      </c>
      <c r="F3104" s="9">
        <f>IFERROR(__xludf.DUMMYFUNCTION("""COMPUTED_VALUE"""),2674509.0)</f>
        <v>2674509</v>
      </c>
      <c r="H3104" s="27">
        <f>IFERROR(__xludf.DUMMYFUNCTION("""COMPUTED_VALUE"""),42951.64583333333)</f>
        <v>42951.64583</v>
      </c>
      <c r="I3104" s="25">
        <f>IFERROR(__xludf.DUMMYFUNCTION("""COMPUTED_VALUE"""),1245.4)</f>
        <v>1245.4</v>
      </c>
      <c r="J3104" s="25">
        <f>IFERROR(__xludf.DUMMYFUNCTION("""COMPUTED_VALUE"""),1264.15)</f>
        <v>1264.15</v>
      </c>
      <c r="K3104" s="25">
        <f>IFERROR(__xludf.DUMMYFUNCTION("""COMPUTED_VALUE"""),1244.0)</f>
        <v>1244</v>
      </c>
      <c r="L3104" s="25">
        <f>IFERROR(__xludf.DUMMYFUNCTION("""COMPUTED_VALUE"""),1261.4)</f>
        <v>1261.4</v>
      </c>
      <c r="M3104" s="25">
        <f>IFERROR(__xludf.DUMMYFUNCTION("""COMPUTED_VALUE"""),693945.0)</f>
        <v>693945</v>
      </c>
    </row>
    <row r="3105">
      <c r="A3105" s="26">
        <f>IFERROR(__xludf.DUMMYFUNCTION("""COMPUTED_VALUE"""),42954.64583333333)</f>
        <v>42954.64583</v>
      </c>
      <c r="B3105" s="9">
        <f>IFERROR(__xludf.DUMMYFUNCTION("""COMPUTED_VALUE"""),491.75)</f>
        <v>491.75</v>
      </c>
      <c r="C3105" s="9">
        <f>IFERROR(__xludf.DUMMYFUNCTION("""COMPUTED_VALUE"""),491.88)</f>
        <v>491.88</v>
      </c>
      <c r="D3105" s="9">
        <f>IFERROR(__xludf.DUMMYFUNCTION("""COMPUTED_VALUE"""),482.85)</f>
        <v>482.85</v>
      </c>
      <c r="E3105" s="9">
        <f>IFERROR(__xludf.DUMMYFUNCTION("""COMPUTED_VALUE"""),484.13)</f>
        <v>484.13</v>
      </c>
      <c r="F3105" s="9">
        <f>IFERROR(__xludf.DUMMYFUNCTION("""COMPUTED_VALUE"""),3036872.0)</f>
        <v>3036872</v>
      </c>
      <c r="H3105" s="27">
        <f>IFERROR(__xludf.DUMMYFUNCTION("""COMPUTED_VALUE"""),42954.64583333333)</f>
        <v>42954.64583</v>
      </c>
      <c r="I3105" s="25">
        <f>IFERROR(__xludf.DUMMYFUNCTION("""COMPUTED_VALUE"""),1258.25)</f>
        <v>1258.25</v>
      </c>
      <c r="J3105" s="25">
        <f>IFERROR(__xludf.DUMMYFUNCTION("""COMPUTED_VALUE"""),1260.0)</f>
        <v>1260</v>
      </c>
      <c r="K3105" s="25">
        <f>IFERROR(__xludf.DUMMYFUNCTION("""COMPUTED_VALUE"""),1240.6)</f>
        <v>1240.6</v>
      </c>
      <c r="L3105" s="25">
        <f>IFERROR(__xludf.DUMMYFUNCTION("""COMPUTED_VALUE"""),1251.72)</f>
        <v>1251.72</v>
      </c>
      <c r="M3105" s="25">
        <f>IFERROR(__xludf.DUMMYFUNCTION("""COMPUTED_VALUE"""),942760.0)</f>
        <v>942760</v>
      </c>
    </row>
    <row r="3106">
      <c r="A3106" s="26">
        <f>IFERROR(__xludf.DUMMYFUNCTION("""COMPUTED_VALUE"""),42955.64583333333)</f>
        <v>42955.64583</v>
      </c>
      <c r="B3106" s="9">
        <f>IFERROR(__xludf.DUMMYFUNCTION("""COMPUTED_VALUE"""),484.25)</f>
        <v>484.25</v>
      </c>
      <c r="C3106" s="9">
        <f>IFERROR(__xludf.DUMMYFUNCTION("""COMPUTED_VALUE"""),485.13)</f>
        <v>485.13</v>
      </c>
      <c r="D3106" s="9">
        <f>IFERROR(__xludf.DUMMYFUNCTION("""COMPUTED_VALUE"""),477.53)</f>
        <v>477.53</v>
      </c>
      <c r="E3106" s="9">
        <f>IFERROR(__xludf.DUMMYFUNCTION("""COMPUTED_VALUE"""),481.93)</f>
        <v>481.93</v>
      </c>
      <c r="F3106" s="9">
        <f>IFERROR(__xludf.DUMMYFUNCTION("""COMPUTED_VALUE"""),3002324.0)</f>
        <v>3002324</v>
      </c>
      <c r="H3106" s="27">
        <f>IFERROR(__xludf.DUMMYFUNCTION("""COMPUTED_VALUE"""),42955.64583333333)</f>
        <v>42955.64583</v>
      </c>
      <c r="I3106" s="25">
        <f>IFERROR(__xludf.DUMMYFUNCTION("""COMPUTED_VALUE"""),1256.0)</f>
        <v>1256</v>
      </c>
      <c r="J3106" s="25">
        <f>IFERROR(__xludf.DUMMYFUNCTION("""COMPUTED_VALUE"""),1264.3)</f>
        <v>1264.3</v>
      </c>
      <c r="K3106" s="25">
        <f>IFERROR(__xludf.DUMMYFUNCTION("""COMPUTED_VALUE"""),1248.15)</f>
        <v>1248.15</v>
      </c>
      <c r="L3106" s="25">
        <f>IFERROR(__xludf.DUMMYFUNCTION("""COMPUTED_VALUE"""),1251.53)</f>
        <v>1251.53</v>
      </c>
      <c r="M3106" s="25">
        <f>IFERROR(__xludf.DUMMYFUNCTION("""COMPUTED_VALUE"""),536979.0)</f>
        <v>536979</v>
      </c>
    </row>
    <row r="3107">
      <c r="A3107" s="26">
        <f>IFERROR(__xludf.DUMMYFUNCTION("""COMPUTED_VALUE"""),42956.64583333333)</f>
        <v>42956.64583</v>
      </c>
      <c r="B3107" s="9">
        <f>IFERROR(__xludf.DUMMYFUNCTION("""COMPUTED_VALUE"""),483.83)</f>
        <v>483.83</v>
      </c>
      <c r="C3107" s="9">
        <f>IFERROR(__xludf.DUMMYFUNCTION("""COMPUTED_VALUE"""),486.95)</f>
        <v>486.95</v>
      </c>
      <c r="D3107" s="9">
        <f>IFERROR(__xludf.DUMMYFUNCTION("""COMPUTED_VALUE"""),482.28)</f>
        <v>482.28</v>
      </c>
      <c r="E3107" s="9">
        <f>IFERROR(__xludf.DUMMYFUNCTION("""COMPUTED_VALUE"""),484.68)</f>
        <v>484.68</v>
      </c>
      <c r="F3107" s="9">
        <f>IFERROR(__xludf.DUMMYFUNCTION("""COMPUTED_VALUE"""),1961205.0)</f>
        <v>1961205</v>
      </c>
      <c r="H3107" s="27">
        <f>IFERROR(__xludf.DUMMYFUNCTION("""COMPUTED_VALUE"""),42956.64583333333)</f>
        <v>42956.64583</v>
      </c>
      <c r="I3107" s="25">
        <f>IFERROR(__xludf.DUMMYFUNCTION("""COMPUTED_VALUE"""),1250.0)</f>
        <v>1250</v>
      </c>
      <c r="J3107" s="25">
        <f>IFERROR(__xludf.DUMMYFUNCTION("""COMPUTED_VALUE"""),1261.43)</f>
        <v>1261.43</v>
      </c>
      <c r="K3107" s="25">
        <f>IFERROR(__xludf.DUMMYFUNCTION("""COMPUTED_VALUE"""),1246.65)</f>
        <v>1246.65</v>
      </c>
      <c r="L3107" s="25">
        <f>IFERROR(__xludf.DUMMYFUNCTION("""COMPUTED_VALUE"""),1256.0)</f>
        <v>1256</v>
      </c>
      <c r="M3107" s="25">
        <f>IFERROR(__xludf.DUMMYFUNCTION("""COMPUTED_VALUE"""),496473.0)</f>
        <v>496473</v>
      </c>
    </row>
    <row r="3108">
      <c r="A3108" s="26">
        <f>IFERROR(__xludf.DUMMYFUNCTION("""COMPUTED_VALUE"""),42957.64583333333)</f>
        <v>42957.64583</v>
      </c>
      <c r="B3108" s="9">
        <f>IFERROR(__xludf.DUMMYFUNCTION("""COMPUTED_VALUE"""),484.95)</f>
        <v>484.95</v>
      </c>
      <c r="C3108" s="9">
        <f>IFERROR(__xludf.DUMMYFUNCTION("""COMPUTED_VALUE"""),493.75)</f>
        <v>493.75</v>
      </c>
      <c r="D3108" s="9">
        <f>IFERROR(__xludf.DUMMYFUNCTION("""COMPUTED_VALUE"""),484.68)</f>
        <v>484.68</v>
      </c>
      <c r="E3108" s="9">
        <f>IFERROR(__xludf.DUMMYFUNCTION("""COMPUTED_VALUE"""),490.63)</f>
        <v>490.63</v>
      </c>
      <c r="F3108" s="9">
        <f>IFERROR(__xludf.DUMMYFUNCTION("""COMPUTED_VALUE"""),4570342.0)</f>
        <v>4570342</v>
      </c>
      <c r="H3108" s="27">
        <f>IFERROR(__xludf.DUMMYFUNCTION("""COMPUTED_VALUE"""),42957.64583333333)</f>
        <v>42957.64583</v>
      </c>
      <c r="I3108" s="25">
        <f>IFERROR(__xludf.DUMMYFUNCTION("""COMPUTED_VALUE"""),1254.5)</f>
        <v>1254.5</v>
      </c>
      <c r="J3108" s="25">
        <f>IFERROR(__xludf.DUMMYFUNCTION("""COMPUTED_VALUE"""),1260.3)</f>
        <v>1260.3</v>
      </c>
      <c r="K3108" s="25">
        <f>IFERROR(__xludf.DUMMYFUNCTION("""COMPUTED_VALUE"""),1243.18)</f>
        <v>1243.18</v>
      </c>
      <c r="L3108" s="25">
        <f>IFERROR(__xludf.DUMMYFUNCTION("""COMPUTED_VALUE"""),1255.72)</f>
        <v>1255.72</v>
      </c>
      <c r="M3108" s="25">
        <f>IFERROR(__xludf.DUMMYFUNCTION("""COMPUTED_VALUE"""),763086.0)</f>
        <v>763086</v>
      </c>
    </row>
    <row r="3109">
      <c r="A3109" s="26">
        <f>IFERROR(__xludf.DUMMYFUNCTION("""COMPUTED_VALUE"""),42958.64583333333)</f>
        <v>42958.64583</v>
      </c>
      <c r="B3109" s="9">
        <f>IFERROR(__xludf.DUMMYFUNCTION("""COMPUTED_VALUE"""),488.0)</f>
        <v>488</v>
      </c>
      <c r="C3109" s="9">
        <f>IFERROR(__xludf.DUMMYFUNCTION("""COMPUTED_VALUE"""),498.5)</f>
        <v>498.5</v>
      </c>
      <c r="D3109" s="9">
        <f>IFERROR(__xludf.DUMMYFUNCTION("""COMPUTED_VALUE"""),484.8)</f>
        <v>484.8</v>
      </c>
      <c r="E3109" s="9">
        <f>IFERROR(__xludf.DUMMYFUNCTION("""COMPUTED_VALUE"""),493.85)</f>
        <v>493.85</v>
      </c>
      <c r="F3109" s="9">
        <f>IFERROR(__xludf.DUMMYFUNCTION("""COMPUTED_VALUE"""),3272078.0)</f>
        <v>3272078</v>
      </c>
      <c r="H3109" s="27">
        <f>IFERROR(__xludf.DUMMYFUNCTION("""COMPUTED_VALUE"""),42958.64583333333)</f>
        <v>42958.64583</v>
      </c>
      <c r="I3109" s="25">
        <f>IFERROR(__xludf.DUMMYFUNCTION("""COMPUTED_VALUE"""),1249.95)</f>
        <v>1249.95</v>
      </c>
      <c r="J3109" s="25">
        <f>IFERROR(__xludf.DUMMYFUNCTION("""COMPUTED_VALUE"""),1267.5)</f>
        <v>1267.5</v>
      </c>
      <c r="K3109" s="25">
        <f>IFERROR(__xludf.DUMMYFUNCTION("""COMPUTED_VALUE"""),1241.5)</f>
        <v>1241.5</v>
      </c>
      <c r="L3109" s="25">
        <f>IFERROR(__xludf.DUMMYFUNCTION("""COMPUTED_VALUE"""),1248.03)</f>
        <v>1248.03</v>
      </c>
      <c r="M3109" s="25">
        <f>IFERROR(__xludf.DUMMYFUNCTION("""COMPUTED_VALUE"""),697368.0)</f>
        <v>697368</v>
      </c>
    </row>
    <row r="3110">
      <c r="A3110" s="26">
        <f>IFERROR(__xludf.DUMMYFUNCTION("""COMPUTED_VALUE"""),42961.64583333333)</f>
        <v>42961.64583</v>
      </c>
      <c r="B3110" s="9">
        <f>IFERROR(__xludf.DUMMYFUNCTION("""COMPUTED_VALUE"""),494.0)</f>
        <v>494</v>
      </c>
      <c r="C3110" s="9">
        <f>IFERROR(__xludf.DUMMYFUNCTION("""COMPUTED_VALUE"""),494.6)</f>
        <v>494.6</v>
      </c>
      <c r="D3110" s="9">
        <f>IFERROR(__xludf.DUMMYFUNCTION("""COMPUTED_VALUE"""),488.58)</f>
        <v>488.58</v>
      </c>
      <c r="E3110" s="9">
        <f>IFERROR(__xludf.DUMMYFUNCTION("""COMPUTED_VALUE"""),490.73)</f>
        <v>490.73</v>
      </c>
      <c r="F3110" s="9">
        <f>IFERROR(__xludf.DUMMYFUNCTION("""COMPUTED_VALUE"""),1908235.0)</f>
        <v>1908235</v>
      </c>
      <c r="H3110" s="27">
        <f>IFERROR(__xludf.DUMMYFUNCTION("""COMPUTED_VALUE"""),42961.64583333333)</f>
        <v>42961.64583</v>
      </c>
      <c r="I3110" s="25">
        <f>IFERROR(__xludf.DUMMYFUNCTION("""COMPUTED_VALUE"""),1251.5)</f>
        <v>1251.5</v>
      </c>
      <c r="J3110" s="25">
        <f>IFERROR(__xludf.DUMMYFUNCTION("""COMPUTED_VALUE"""),1254.95)</f>
        <v>1254.95</v>
      </c>
      <c r="K3110" s="25">
        <f>IFERROR(__xludf.DUMMYFUNCTION("""COMPUTED_VALUE"""),1231.5)</f>
        <v>1231.5</v>
      </c>
      <c r="L3110" s="25">
        <f>IFERROR(__xludf.DUMMYFUNCTION("""COMPUTED_VALUE"""),1234.7)</f>
        <v>1234.7</v>
      </c>
      <c r="M3110" s="25">
        <f>IFERROR(__xludf.DUMMYFUNCTION("""COMPUTED_VALUE"""),393252.0)</f>
        <v>393252</v>
      </c>
    </row>
    <row r="3111">
      <c r="A3111" s="26">
        <f>IFERROR(__xludf.DUMMYFUNCTION("""COMPUTED_VALUE"""),42963.64583333333)</f>
        <v>42963.64583</v>
      </c>
      <c r="B3111" s="9">
        <f>IFERROR(__xludf.DUMMYFUNCTION("""COMPUTED_VALUE"""),491.0)</f>
        <v>491</v>
      </c>
      <c r="C3111" s="9">
        <f>IFERROR(__xludf.DUMMYFUNCTION("""COMPUTED_VALUE"""),493.05)</f>
        <v>493.05</v>
      </c>
      <c r="D3111" s="9">
        <f>IFERROR(__xludf.DUMMYFUNCTION("""COMPUTED_VALUE"""),484.5)</f>
        <v>484.5</v>
      </c>
      <c r="E3111" s="9">
        <f>IFERROR(__xludf.DUMMYFUNCTION("""COMPUTED_VALUE"""),487.6)</f>
        <v>487.6</v>
      </c>
      <c r="F3111" s="9">
        <f>IFERROR(__xludf.DUMMYFUNCTION("""COMPUTED_VALUE"""),3089040.0)</f>
        <v>3089040</v>
      </c>
      <c r="H3111" s="27">
        <f>IFERROR(__xludf.DUMMYFUNCTION("""COMPUTED_VALUE"""),42963.64583333333)</f>
        <v>42963.64583</v>
      </c>
      <c r="I3111" s="25">
        <f>IFERROR(__xludf.DUMMYFUNCTION("""COMPUTED_VALUE"""),1242.0)</f>
        <v>1242</v>
      </c>
      <c r="J3111" s="25">
        <f>IFERROR(__xludf.DUMMYFUNCTION("""COMPUTED_VALUE"""),1271.9)</f>
        <v>1271.9</v>
      </c>
      <c r="K3111" s="25">
        <f>IFERROR(__xludf.DUMMYFUNCTION("""COMPUTED_VALUE"""),1232.6)</f>
        <v>1232.6</v>
      </c>
      <c r="L3111" s="25">
        <f>IFERROR(__xludf.DUMMYFUNCTION("""COMPUTED_VALUE"""),1246.18)</f>
        <v>1246.18</v>
      </c>
      <c r="M3111" s="25">
        <f>IFERROR(__xludf.DUMMYFUNCTION("""COMPUTED_VALUE"""),686670.0)</f>
        <v>686670</v>
      </c>
    </row>
    <row r="3112">
      <c r="A3112" s="26">
        <f>IFERROR(__xludf.DUMMYFUNCTION("""COMPUTED_VALUE"""),42964.64583333333)</f>
        <v>42964.64583</v>
      </c>
      <c r="B3112" s="9">
        <f>IFERROR(__xludf.DUMMYFUNCTION("""COMPUTED_VALUE"""),502.5)</f>
        <v>502.5</v>
      </c>
      <c r="C3112" s="9">
        <f>IFERROR(__xludf.DUMMYFUNCTION("""COMPUTED_VALUE"""),514.63)</f>
        <v>514.63</v>
      </c>
      <c r="D3112" s="9">
        <f>IFERROR(__xludf.DUMMYFUNCTION("""COMPUTED_VALUE"""),499.03)</f>
        <v>499.03</v>
      </c>
      <c r="E3112" s="9">
        <f>IFERROR(__xludf.DUMMYFUNCTION("""COMPUTED_VALUE"""),510.43)</f>
        <v>510.43</v>
      </c>
      <c r="F3112" s="9">
        <f>IFERROR(__xludf.DUMMYFUNCTION("""COMPUTED_VALUE"""),1.289213E7)</f>
        <v>12892130</v>
      </c>
      <c r="H3112" s="27">
        <f>IFERROR(__xludf.DUMMYFUNCTION("""COMPUTED_VALUE"""),42964.64583333333)</f>
        <v>42964.64583</v>
      </c>
      <c r="I3112" s="25">
        <f>IFERROR(__xludf.DUMMYFUNCTION("""COMPUTED_VALUE"""),1250.35)</f>
        <v>1250.35</v>
      </c>
      <c r="J3112" s="25">
        <f>IFERROR(__xludf.DUMMYFUNCTION("""COMPUTED_VALUE"""),1252.5)</f>
        <v>1252.5</v>
      </c>
      <c r="K3112" s="25">
        <f>IFERROR(__xludf.DUMMYFUNCTION("""COMPUTED_VALUE"""),1231.05)</f>
        <v>1231.05</v>
      </c>
      <c r="L3112" s="25">
        <f>IFERROR(__xludf.DUMMYFUNCTION("""COMPUTED_VALUE"""),1242.83)</f>
        <v>1242.83</v>
      </c>
      <c r="M3112" s="25">
        <f>IFERROR(__xludf.DUMMYFUNCTION("""COMPUTED_VALUE"""),876187.0)</f>
        <v>876187</v>
      </c>
    </row>
    <row r="3113">
      <c r="A3113" s="26">
        <f>IFERROR(__xludf.DUMMYFUNCTION("""COMPUTED_VALUE"""),42965.64583333333)</f>
        <v>42965.64583</v>
      </c>
      <c r="B3113" s="9">
        <f>IFERROR(__xludf.DUMMYFUNCTION("""COMPUTED_VALUE"""),508.95)</f>
        <v>508.95</v>
      </c>
      <c r="C3113" s="9">
        <f>IFERROR(__xludf.DUMMYFUNCTION("""COMPUTED_VALUE"""),508.95)</f>
        <v>508.95</v>
      </c>
      <c r="D3113" s="9">
        <f>IFERROR(__xludf.DUMMYFUNCTION("""COMPUTED_VALUE"""),442.1)</f>
        <v>442.1</v>
      </c>
      <c r="E3113" s="9">
        <f>IFERROR(__xludf.DUMMYFUNCTION("""COMPUTED_VALUE"""),461.63)</f>
        <v>461.63</v>
      </c>
      <c r="F3113" s="9">
        <f>IFERROR(__xludf.DUMMYFUNCTION("""COMPUTED_VALUE"""),8.220248E7)</f>
        <v>82202480</v>
      </c>
      <c r="H3113" s="27">
        <f>IFERROR(__xludf.DUMMYFUNCTION("""COMPUTED_VALUE"""),42965.64583333333)</f>
        <v>42965.64583</v>
      </c>
      <c r="I3113" s="25">
        <f>IFERROR(__xludf.DUMMYFUNCTION("""COMPUTED_VALUE"""),1237.0)</f>
        <v>1237</v>
      </c>
      <c r="J3113" s="25">
        <f>IFERROR(__xludf.DUMMYFUNCTION("""COMPUTED_VALUE"""),1274.95)</f>
        <v>1274.95</v>
      </c>
      <c r="K3113" s="25">
        <f>IFERROR(__xludf.DUMMYFUNCTION("""COMPUTED_VALUE"""),1235.7)</f>
        <v>1235.7</v>
      </c>
      <c r="L3113" s="25">
        <f>IFERROR(__xludf.DUMMYFUNCTION("""COMPUTED_VALUE"""),1256.9)</f>
        <v>1256.9</v>
      </c>
      <c r="M3113" s="25">
        <f>IFERROR(__xludf.DUMMYFUNCTION("""COMPUTED_VALUE"""),1418678.0)</f>
        <v>1418678</v>
      </c>
    </row>
    <row r="3114">
      <c r="A3114" s="26">
        <f>IFERROR(__xludf.DUMMYFUNCTION("""COMPUTED_VALUE"""),42968.64583333333)</f>
        <v>42968.64583</v>
      </c>
      <c r="B3114" s="9">
        <f>IFERROR(__xludf.DUMMYFUNCTION("""COMPUTED_VALUE"""),462.0)</f>
        <v>462</v>
      </c>
      <c r="C3114" s="9">
        <f>IFERROR(__xludf.DUMMYFUNCTION("""COMPUTED_VALUE"""),462.0)</f>
        <v>462</v>
      </c>
      <c r="D3114" s="9">
        <f>IFERROR(__xludf.DUMMYFUNCTION("""COMPUTED_VALUE"""),435.0)</f>
        <v>435</v>
      </c>
      <c r="E3114" s="9">
        <f>IFERROR(__xludf.DUMMYFUNCTION("""COMPUTED_VALUE"""),436.7)</f>
        <v>436.7</v>
      </c>
      <c r="F3114" s="9">
        <f>IFERROR(__xludf.DUMMYFUNCTION("""COMPUTED_VALUE"""),4.5203588E7)</f>
        <v>45203588</v>
      </c>
      <c r="H3114" s="27">
        <f>IFERROR(__xludf.DUMMYFUNCTION("""COMPUTED_VALUE"""),42968.64583333333)</f>
        <v>42968.64583</v>
      </c>
      <c r="I3114" s="25">
        <f>IFERROR(__xludf.DUMMYFUNCTION("""COMPUTED_VALUE"""),1252.75)</f>
        <v>1252.75</v>
      </c>
      <c r="J3114" s="25">
        <f>IFERROR(__xludf.DUMMYFUNCTION("""COMPUTED_VALUE"""),1274.5)</f>
        <v>1274.5</v>
      </c>
      <c r="K3114" s="25">
        <f>IFERROR(__xludf.DUMMYFUNCTION("""COMPUTED_VALUE"""),1247.15)</f>
        <v>1247.15</v>
      </c>
      <c r="L3114" s="25">
        <f>IFERROR(__xludf.DUMMYFUNCTION("""COMPUTED_VALUE"""),1264.4)</f>
        <v>1264.4</v>
      </c>
      <c r="M3114" s="25">
        <f>IFERROR(__xludf.DUMMYFUNCTION("""COMPUTED_VALUE"""),1152417.0)</f>
        <v>1152417</v>
      </c>
    </row>
    <row r="3115">
      <c r="A3115" s="26">
        <f>IFERROR(__xludf.DUMMYFUNCTION("""COMPUTED_VALUE"""),42969.64583333333)</f>
        <v>42969.64583</v>
      </c>
      <c r="B3115" s="9">
        <f>IFERROR(__xludf.DUMMYFUNCTION("""COMPUTED_VALUE"""),447.6)</f>
        <v>447.6</v>
      </c>
      <c r="C3115" s="9">
        <f>IFERROR(__xludf.DUMMYFUNCTION("""COMPUTED_VALUE"""),448.53)</f>
        <v>448.53</v>
      </c>
      <c r="D3115" s="9">
        <f>IFERROR(__xludf.DUMMYFUNCTION("""COMPUTED_VALUE"""),430.0)</f>
        <v>430</v>
      </c>
      <c r="E3115" s="9">
        <f>IFERROR(__xludf.DUMMYFUNCTION("""COMPUTED_VALUE"""),437.7)</f>
        <v>437.7</v>
      </c>
      <c r="F3115" s="9">
        <f>IFERROR(__xludf.DUMMYFUNCTION("""COMPUTED_VALUE"""),2.4621299E7)</f>
        <v>24621299</v>
      </c>
      <c r="H3115" s="27">
        <f>IFERROR(__xludf.DUMMYFUNCTION("""COMPUTED_VALUE"""),42969.64583333333)</f>
        <v>42969.64583</v>
      </c>
      <c r="I3115" s="25">
        <f>IFERROR(__xludf.DUMMYFUNCTION("""COMPUTED_VALUE"""),1261.5)</f>
        <v>1261.5</v>
      </c>
      <c r="J3115" s="25">
        <f>IFERROR(__xludf.DUMMYFUNCTION("""COMPUTED_VALUE"""),1269.75)</f>
        <v>1269.75</v>
      </c>
      <c r="K3115" s="25">
        <f>IFERROR(__xludf.DUMMYFUNCTION("""COMPUTED_VALUE"""),1246.0)</f>
        <v>1246</v>
      </c>
      <c r="L3115" s="25">
        <f>IFERROR(__xludf.DUMMYFUNCTION("""COMPUTED_VALUE"""),1248.78)</f>
        <v>1248.78</v>
      </c>
      <c r="M3115" s="25">
        <f>IFERROR(__xludf.DUMMYFUNCTION("""COMPUTED_VALUE"""),565663.0)</f>
        <v>565663</v>
      </c>
    </row>
    <row r="3116">
      <c r="A3116" s="26">
        <f>IFERROR(__xludf.DUMMYFUNCTION("""COMPUTED_VALUE"""),42970.64583333333)</f>
        <v>42970.64583</v>
      </c>
      <c r="B3116" s="9">
        <f>IFERROR(__xludf.DUMMYFUNCTION("""COMPUTED_VALUE"""),440.0)</f>
        <v>440</v>
      </c>
      <c r="C3116" s="9">
        <f>IFERROR(__xludf.DUMMYFUNCTION("""COMPUTED_VALUE"""),451.85)</f>
        <v>451.85</v>
      </c>
      <c r="D3116" s="9">
        <f>IFERROR(__xludf.DUMMYFUNCTION("""COMPUTED_VALUE"""),436.95)</f>
        <v>436.95</v>
      </c>
      <c r="E3116" s="9">
        <f>IFERROR(__xludf.DUMMYFUNCTION("""COMPUTED_VALUE"""),446.4)</f>
        <v>446.4</v>
      </c>
      <c r="F3116" s="9">
        <f>IFERROR(__xludf.DUMMYFUNCTION("""COMPUTED_VALUE"""),3.0642095E7)</f>
        <v>30642095</v>
      </c>
      <c r="H3116" s="27">
        <f>IFERROR(__xludf.DUMMYFUNCTION("""COMPUTED_VALUE"""),42970.64583333333)</f>
        <v>42970.64583</v>
      </c>
      <c r="I3116" s="25">
        <f>IFERROR(__xludf.DUMMYFUNCTION("""COMPUTED_VALUE"""),1252.5)</f>
        <v>1252.5</v>
      </c>
      <c r="J3116" s="25">
        <f>IFERROR(__xludf.DUMMYFUNCTION("""COMPUTED_VALUE"""),1258.4)</f>
        <v>1258.4</v>
      </c>
      <c r="K3116" s="25">
        <f>IFERROR(__xludf.DUMMYFUNCTION("""COMPUTED_VALUE"""),1236.58)</f>
        <v>1236.58</v>
      </c>
      <c r="L3116" s="25">
        <f>IFERROR(__xludf.DUMMYFUNCTION("""COMPUTED_VALUE"""),1244.72)</f>
        <v>1244.72</v>
      </c>
      <c r="M3116" s="25">
        <f>IFERROR(__xludf.DUMMYFUNCTION("""COMPUTED_VALUE"""),781136.0)</f>
        <v>781136</v>
      </c>
    </row>
    <row r="3117">
      <c r="A3117" s="26">
        <f>IFERROR(__xludf.DUMMYFUNCTION("""COMPUTED_VALUE"""),42971.64583333333)</f>
        <v>42971.64583</v>
      </c>
      <c r="B3117" s="9">
        <f>IFERROR(__xludf.DUMMYFUNCTION("""COMPUTED_VALUE"""),455.0)</f>
        <v>455</v>
      </c>
      <c r="C3117" s="9">
        <f>IFERROR(__xludf.DUMMYFUNCTION("""COMPUTED_VALUE"""),459.13)</f>
        <v>459.13</v>
      </c>
      <c r="D3117" s="9">
        <f>IFERROR(__xludf.DUMMYFUNCTION("""COMPUTED_VALUE"""),451.18)</f>
        <v>451.18</v>
      </c>
      <c r="E3117" s="9">
        <f>IFERROR(__xludf.DUMMYFUNCTION("""COMPUTED_VALUE"""),456.08)</f>
        <v>456.08</v>
      </c>
      <c r="F3117" s="9">
        <f>IFERROR(__xludf.DUMMYFUNCTION("""COMPUTED_VALUE"""),2.1190262E7)</f>
        <v>21190262</v>
      </c>
      <c r="H3117" s="27">
        <f>IFERROR(__xludf.DUMMYFUNCTION("""COMPUTED_VALUE"""),42971.64583333333)</f>
        <v>42971.64583</v>
      </c>
      <c r="I3117" s="25">
        <f>IFERROR(__xludf.DUMMYFUNCTION("""COMPUTED_VALUE"""),1248.85)</f>
        <v>1248.85</v>
      </c>
      <c r="J3117" s="25">
        <f>IFERROR(__xludf.DUMMYFUNCTION("""COMPUTED_VALUE"""),1258.97)</f>
        <v>1258.97</v>
      </c>
      <c r="K3117" s="25">
        <f>IFERROR(__xludf.DUMMYFUNCTION("""COMPUTED_VALUE"""),1243.08)</f>
        <v>1243.08</v>
      </c>
      <c r="L3117" s="25">
        <f>IFERROR(__xludf.DUMMYFUNCTION("""COMPUTED_VALUE"""),1248.3)</f>
        <v>1248.3</v>
      </c>
      <c r="M3117" s="25">
        <f>IFERROR(__xludf.DUMMYFUNCTION("""COMPUTED_VALUE"""),811954.0)</f>
        <v>811954</v>
      </c>
    </row>
    <row r="3118">
      <c r="A3118" s="26">
        <f>IFERROR(__xludf.DUMMYFUNCTION("""COMPUTED_VALUE"""),42975.64583333333)</f>
        <v>42975.64583</v>
      </c>
      <c r="B3118" s="9">
        <f>IFERROR(__xludf.DUMMYFUNCTION("""COMPUTED_VALUE"""),471.98)</f>
        <v>471.98</v>
      </c>
      <c r="C3118" s="9">
        <f>IFERROR(__xludf.DUMMYFUNCTION("""COMPUTED_VALUE"""),476.98)</f>
        <v>476.98</v>
      </c>
      <c r="D3118" s="9">
        <f>IFERROR(__xludf.DUMMYFUNCTION("""COMPUTED_VALUE"""),469.0)</f>
        <v>469</v>
      </c>
      <c r="E3118" s="9">
        <f>IFERROR(__xludf.DUMMYFUNCTION("""COMPUTED_VALUE"""),470.5)</f>
        <v>470.5</v>
      </c>
      <c r="F3118" s="9">
        <f>IFERROR(__xludf.DUMMYFUNCTION("""COMPUTED_VALUE"""),2.0356054E7)</f>
        <v>20356054</v>
      </c>
      <c r="H3118" s="27">
        <f>IFERROR(__xludf.DUMMYFUNCTION("""COMPUTED_VALUE"""),42975.64583333333)</f>
        <v>42975.64583</v>
      </c>
      <c r="I3118" s="25">
        <f>IFERROR(__xludf.DUMMYFUNCTION("""COMPUTED_VALUE"""),1252.3)</f>
        <v>1252.3</v>
      </c>
      <c r="J3118" s="25">
        <f>IFERROR(__xludf.DUMMYFUNCTION("""COMPUTED_VALUE"""),1252.7)</f>
        <v>1252.7</v>
      </c>
      <c r="K3118" s="25">
        <f>IFERROR(__xludf.DUMMYFUNCTION("""COMPUTED_VALUE"""),1230.5)</f>
        <v>1230.5</v>
      </c>
      <c r="L3118" s="25">
        <f>IFERROR(__xludf.DUMMYFUNCTION("""COMPUTED_VALUE"""),1243.65)</f>
        <v>1243.65</v>
      </c>
      <c r="M3118" s="25">
        <f>IFERROR(__xludf.DUMMYFUNCTION("""COMPUTED_VALUE"""),1018398.0)</f>
        <v>1018398</v>
      </c>
    </row>
    <row r="3119">
      <c r="A3119" s="26">
        <f>IFERROR(__xludf.DUMMYFUNCTION("""COMPUTED_VALUE"""),42976.64583333333)</f>
        <v>42976.64583</v>
      </c>
      <c r="B3119" s="9">
        <f>IFERROR(__xludf.DUMMYFUNCTION("""COMPUTED_VALUE"""),470.73)</f>
        <v>470.73</v>
      </c>
      <c r="C3119" s="9">
        <f>IFERROR(__xludf.DUMMYFUNCTION("""COMPUTED_VALUE"""),471.0)</f>
        <v>471</v>
      </c>
      <c r="D3119" s="9">
        <f>IFERROR(__xludf.DUMMYFUNCTION("""COMPUTED_VALUE"""),462.78)</f>
        <v>462.78</v>
      </c>
      <c r="E3119" s="9">
        <f>IFERROR(__xludf.DUMMYFUNCTION("""COMPUTED_VALUE"""),463.73)</f>
        <v>463.73</v>
      </c>
      <c r="F3119" s="9">
        <f>IFERROR(__xludf.DUMMYFUNCTION("""COMPUTED_VALUE"""),6684696.0)</f>
        <v>6684696</v>
      </c>
      <c r="H3119" s="27">
        <f>IFERROR(__xludf.DUMMYFUNCTION("""COMPUTED_VALUE"""),42976.64583333333)</f>
        <v>42976.64583</v>
      </c>
      <c r="I3119" s="25">
        <f>IFERROR(__xludf.DUMMYFUNCTION("""COMPUTED_VALUE"""),1241.0)</f>
        <v>1241</v>
      </c>
      <c r="J3119" s="25">
        <f>IFERROR(__xludf.DUMMYFUNCTION("""COMPUTED_VALUE"""),1248.0)</f>
        <v>1248</v>
      </c>
      <c r="K3119" s="25">
        <f>IFERROR(__xludf.DUMMYFUNCTION("""COMPUTED_VALUE"""),1231.97)</f>
        <v>1231.97</v>
      </c>
      <c r="L3119" s="25">
        <f>IFERROR(__xludf.DUMMYFUNCTION("""COMPUTED_VALUE"""),1235.43)</f>
        <v>1235.43</v>
      </c>
      <c r="M3119" s="25">
        <f>IFERROR(__xludf.DUMMYFUNCTION("""COMPUTED_VALUE"""),656301.0)</f>
        <v>656301</v>
      </c>
    </row>
    <row r="3120">
      <c r="A3120" s="26">
        <f>IFERROR(__xludf.DUMMYFUNCTION("""COMPUTED_VALUE"""),42977.64583333333)</f>
        <v>42977.64583</v>
      </c>
      <c r="B3120" s="9">
        <f>IFERROR(__xludf.DUMMYFUNCTION("""COMPUTED_VALUE"""),468.6)</f>
        <v>468.6</v>
      </c>
      <c r="C3120" s="9">
        <f>IFERROR(__xludf.DUMMYFUNCTION("""COMPUTED_VALUE"""),469.5)</f>
        <v>469.5</v>
      </c>
      <c r="D3120" s="9">
        <f>IFERROR(__xludf.DUMMYFUNCTION("""COMPUTED_VALUE"""),462.05)</f>
        <v>462.05</v>
      </c>
      <c r="E3120" s="9">
        <f>IFERROR(__xludf.DUMMYFUNCTION("""COMPUTED_VALUE"""),463.33)</f>
        <v>463.33</v>
      </c>
      <c r="F3120" s="9">
        <f>IFERROR(__xludf.DUMMYFUNCTION("""COMPUTED_VALUE"""),8074832.0)</f>
        <v>8074832</v>
      </c>
      <c r="H3120" s="27">
        <f>IFERROR(__xludf.DUMMYFUNCTION("""COMPUTED_VALUE"""),42977.64583333333)</f>
        <v>42977.64583</v>
      </c>
      <c r="I3120" s="25">
        <f>IFERROR(__xludf.DUMMYFUNCTION("""COMPUTED_VALUE"""),1240.5)</f>
        <v>1240.5</v>
      </c>
      <c r="J3120" s="25">
        <f>IFERROR(__xludf.DUMMYFUNCTION("""COMPUTED_VALUE"""),1245.0)</f>
        <v>1245</v>
      </c>
      <c r="K3120" s="25">
        <f>IFERROR(__xludf.DUMMYFUNCTION("""COMPUTED_VALUE"""),1230.05)</f>
        <v>1230.05</v>
      </c>
      <c r="L3120" s="25">
        <f>IFERROR(__xludf.DUMMYFUNCTION("""COMPUTED_VALUE"""),1242.28)</f>
        <v>1242.28</v>
      </c>
      <c r="M3120" s="25">
        <f>IFERROR(__xludf.DUMMYFUNCTION("""COMPUTED_VALUE"""),485391.0)</f>
        <v>485391</v>
      </c>
    </row>
    <row r="3121">
      <c r="A3121" s="26">
        <f>IFERROR(__xludf.DUMMYFUNCTION("""COMPUTED_VALUE"""),42978.64583333333)</f>
        <v>42978.64583</v>
      </c>
      <c r="B3121" s="9">
        <f>IFERROR(__xludf.DUMMYFUNCTION("""COMPUTED_VALUE"""),464.4)</f>
        <v>464.4</v>
      </c>
      <c r="C3121" s="9">
        <f>IFERROR(__xludf.DUMMYFUNCTION("""COMPUTED_VALUE"""),464.48)</f>
        <v>464.48</v>
      </c>
      <c r="D3121" s="9">
        <f>IFERROR(__xludf.DUMMYFUNCTION("""COMPUTED_VALUE"""),456.45)</f>
        <v>456.45</v>
      </c>
      <c r="E3121" s="9">
        <f>IFERROR(__xludf.DUMMYFUNCTION("""COMPUTED_VALUE"""),457.48)</f>
        <v>457.48</v>
      </c>
      <c r="F3121" s="9">
        <f>IFERROR(__xludf.DUMMYFUNCTION("""COMPUTED_VALUE"""),7511226.0)</f>
        <v>7511226</v>
      </c>
      <c r="H3121" s="27">
        <f>IFERROR(__xludf.DUMMYFUNCTION("""COMPUTED_VALUE"""),42978.64583333333)</f>
        <v>42978.64583</v>
      </c>
      <c r="I3121" s="25">
        <f>IFERROR(__xludf.DUMMYFUNCTION("""COMPUTED_VALUE"""),1242.5)</f>
        <v>1242.5</v>
      </c>
      <c r="J3121" s="25">
        <f>IFERROR(__xludf.DUMMYFUNCTION("""COMPUTED_VALUE"""),1252.2)</f>
        <v>1252.2</v>
      </c>
      <c r="K3121" s="25">
        <f>IFERROR(__xludf.DUMMYFUNCTION("""COMPUTED_VALUE"""),1233.33)</f>
        <v>1233.33</v>
      </c>
      <c r="L3121" s="25">
        <f>IFERROR(__xludf.DUMMYFUNCTION("""COMPUTED_VALUE"""),1248.18)</f>
        <v>1248.18</v>
      </c>
      <c r="M3121" s="25">
        <f>IFERROR(__xludf.DUMMYFUNCTION("""COMPUTED_VALUE"""),892332.0)</f>
        <v>892332</v>
      </c>
    </row>
    <row r="3122">
      <c r="A3122" s="26">
        <f>IFERROR(__xludf.DUMMYFUNCTION("""COMPUTED_VALUE"""),42979.64583333333)</f>
        <v>42979.64583</v>
      </c>
      <c r="B3122" s="9">
        <f>IFERROR(__xludf.DUMMYFUNCTION("""COMPUTED_VALUE"""),457.98)</f>
        <v>457.98</v>
      </c>
      <c r="C3122" s="9">
        <f>IFERROR(__xludf.DUMMYFUNCTION("""COMPUTED_VALUE"""),462.95)</f>
        <v>462.95</v>
      </c>
      <c r="D3122" s="9">
        <f>IFERROR(__xludf.DUMMYFUNCTION("""COMPUTED_VALUE"""),455.0)</f>
        <v>455</v>
      </c>
      <c r="E3122" s="9">
        <f>IFERROR(__xludf.DUMMYFUNCTION("""COMPUTED_VALUE"""),459.98)</f>
        <v>459.98</v>
      </c>
      <c r="F3122" s="9">
        <f>IFERROR(__xludf.DUMMYFUNCTION("""COMPUTED_VALUE"""),4216961.0)</f>
        <v>4216961</v>
      </c>
      <c r="H3122" s="27">
        <f>IFERROR(__xludf.DUMMYFUNCTION("""COMPUTED_VALUE"""),42979.64583333333)</f>
        <v>42979.64583</v>
      </c>
      <c r="I3122" s="25">
        <f>IFERROR(__xludf.DUMMYFUNCTION("""COMPUTED_VALUE"""),1240.0)</f>
        <v>1240</v>
      </c>
      <c r="J3122" s="25">
        <f>IFERROR(__xludf.DUMMYFUNCTION("""COMPUTED_VALUE"""),1249.03)</f>
        <v>1249.03</v>
      </c>
      <c r="K3122" s="25">
        <f>IFERROR(__xludf.DUMMYFUNCTION("""COMPUTED_VALUE"""),1218.28)</f>
        <v>1218.28</v>
      </c>
      <c r="L3122" s="25">
        <f>IFERROR(__xludf.DUMMYFUNCTION("""COMPUTED_VALUE"""),1228.22)</f>
        <v>1228.22</v>
      </c>
      <c r="M3122" s="25">
        <f>IFERROR(__xludf.DUMMYFUNCTION("""COMPUTED_VALUE"""),851165.0)</f>
        <v>851165</v>
      </c>
    </row>
    <row r="3123">
      <c r="A3123" s="26">
        <f>IFERROR(__xludf.DUMMYFUNCTION("""COMPUTED_VALUE"""),42982.64583333333)</f>
        <v>42982.64583</v>
      </c>
      <c r="B3123" s="9">
        <f>IFERROR(__xludf.DUMMYFUNCTION("""COMPUTED_VALUE"""),460.5)</f>
        <v>460.5</v>
      </c>
      <c r="C3123" s="9">
        <f>IFERROR(__xludf.DUMMYFUNCTION("""COMPUTED_VALUE"""),460.55)</f>
        <v>460.55</v>
      </c>
      <c r="D3123" s="9">
        <f>IFERROR(__xludf.DUMMYFUNCTION("""COMPUTED_VALUE"""),446.75)</f>
        <v>446.75</v>
      </c>
      <c r="E3123" s="9">
        <f>IFERROR(__xludf.DUMMYFUNCTION("""COMPUTED_VALUE"""),450.1)</f>
        <v>450.1</v>
      </c>
      <c r="F3123" s="9">
        <f>IFERROR(__xludf.DUMMYFUNCTION("""COMPUTED_VALUE"""),5088554.0)</f>
        <v>5088554</v>
      </c>
      <c r="H3123" s="27">
        <f>IFERROR(__xludf.DUMMYFUNCTION("""COMPUTED_VALUE"""),42982.64583333333)</f>
        <v>42982.64583</v>
      </c>
      <c r="I3123" s="25">
        <f>IFERROR(__xludf.DUMMYFUNCTION("""COMPUTED_VALUE"""),1226.55)</f>
        <v>1226.55</v>
      </c>
      <c r="J3123" s="25">
        <f>IFERROR(__xludf.DUMMYFUNCTION("""COMPUTED_VALUE"""),1230.5)</f>
        <v>1230.5</v>
      </c>
      <c r="K3123" s="25">
        <f>IFERROR(__xludf.DUMMYFUNCTION("""COMPUTED_VALUE"""),1219.0)</f>
        <v>1219</v>
      </c>
      <c r="L3123" s="25">
        <f>IFERROR(__xludf.DUMMYFUNCTION("""COMPUTED_VALUE"""),1228.1)</f>
        <v>1228.1</v>
      </c>
      <c r="M3123" s="25">
        <f>IFERROR(__xludf.DUMMYFUNCTION("""COMPUTED_VALUE"""),531272.0)</f>
        <v>531272</v>
      </c>
    </row>
    <row r="3124">
      <c r="A3124" s="26">
        <f>IFERROR(__xludf.DUMMYFUNCTION("""COMPUTED_VALUE"""),42983.64583333333)</f>
        <v>42983.64583</v>
      </c>
      <c r="B3124" s="9">
        <f>IFERROR(__xludf.DUMMYFUNCTION("""COMPUTED_VALUE"""),451.0)</f>
        <v>451</v>
      </c>
      <c r="C3124" s="9">
        <f>IFERROR(__xludf.DUMMYFUNCTION("""COMPUTED_VALUE"""),452.5)</f>
        <v>452.5</v>
      </c>
      <c r="D3124" s="9">
        <f>IFERROR(__xludf.DUMMYFUNCTION("""COMPUTED_VALUE"""),448.63)</f>
        <v>448.63</v>
      </c>
      <c r="E3124" s="9">
        <f>IFERROR(__xludf.DUMMYFUNCTION("""COMPUTED_VALUE"""),450.95)</f>
        <v>450.95</v>
      </c>
      <c r="F3124" s="9">
        <f>IFERROR(__xludf.DUMMYFUNCTION("""COMPUTED_VALUE"""),4891696.0)</f>
        <v>4891696</v>
      </c>
      <c r="H3124" s="27">
        <f>IFERROR(__xludf.DUMMYFUNCTION("""COMPUTED_VALUE"""),42983.64583333333)</f>
        <v>42983.64583</v>
      </c>
      <c r="I3124" s="25">
        <f>IFERROR(__xludf.DUMMYFUNCTION("""COMPUTED_VALUE"""),1230.0)</f>
        <v>1230</v>
      </c>
      <c r="J3124" s="25">
        <f>IFERROR(__xludf.DUMMYFUNCTION("""COMPUTED_VALUE"""),1245.0)</f>
        <v>1245</v>
      </c>
      <c r="K3124" s="25">
        <f>IFERROR(__xludf.DUMMYFUNCTION("""COMPUTED_VALUE"""),1218.53)</f>
        <v>1218.53</v>
      </c>
      <c r="L3124" s="25">
        <f>IFERROR(__xludf.DUMMYFUNCTION("""COMPUTED_VALUE"""),1242.18)</f>
        <v>1242.18</v>
      </c>
      <c r="M3124" s="25">
        <f>IFERROR(__xludf.DUMMYFUNCTION("""COMPUTED_VALUE"""),582997.0)</f>
        <v>582997</v>
      </c>
    </row>
    <row r="3125">
      <c r="A3125" s="26">
        <f>IFERROR(__xludf.DUMMYFUNCTION("""COMPUTED_VALUE"""),42984.64583333333)</f>
        <v>42984.64583</v>
      </c>
      <c r="B3125" s="9">
        <f>IFERROR(__xludf.DUMMYFUNCTION("""COMPUTED_VALUE"""),450.0)</f>
        <v>450</v>
      </c>
      <c r="C3125" s="9">
        <f>IFERROR(__xludf.DUMMYFUNCTION("""COMPUTED_VALUE"""),450.15)</f>
        <v>450.15</v>
      </c>
      <c r="D3125" s="9">
        <f>IFERROR(__xludf.DUMMYFUNCTION("""COMPUTED_VALUE"""),445.0)</f>
        <v>445</v>
      </c>
      <c r="E3125" s="9">
        <f>IFERROR(__xludf.DUMMYFUNCTION("""COMPUTED_VALUE"""),447.8)</f>
        <v>447.8</v>
      </c>
      <c r="F3125" s="9">
        <f>IFERROR(__xludf.DUMMYFUNCTION("""COMPUTED_VALUE"""),3867955.0)</f>
        <v>3867955</v>
      </c>
      <c r="H3125" s="27">
        <f>IFERROR(__xludf.DUMMYFUNCTION("""COMPUTED_VALUE"""),42984.64583333333)</f>
        <v>42984.64583</v>
      </c>
      <c r="I3125" s="25">
        <f>IFERROR(__xludf.DUMMYFUNCTION("""COMPUTED_VALUE"""),1234.08)</f>
        <v>1234.08</v>
      </c>
      <c r="J3125" s="25">
        <f>IFERROR(__xludf.DUMMYFUNCTION("""COMPUTED_VALUE"""),1237.43)</f>
        <v>1237.43</v>
      </c>
      <c r="K3125" s="25">
        <f>IFERROR(__xludf.DUMMYFUNCTION("""COMPUTED_VALUE"""),1225.0)</f>
        <v>1225</v>
      </c>
      <c r="L3125" s="25">
        <f>IFERROR(__xludf.DUMMYFUNCTION("""COMPUTED_VALUE"""),1226.6)</f>
        <v>1226.6</v>
      </c>
      <c r="M3125" s="25">
        <f>IFERROR(__xludf.DUMMYFUNCTION("""COMPUTED_VALUE"""),614382.0)</f>
        <v>614382</v>
      </c>
    </row>
    <row r="3126">
      <c r="A3126" s="26">
        <f>IFERROR(__xludf.DUMMYFUNCTION("""COMPUTED_VALUE"""),42985.64583333333)</f>
        <v>42985.64583</v>
      </c>
      <c r="B3126" s="9">
        <f>IFERROR(__xludf.DUMMYFUNCTION("""COMPUTED_VALUE"""),450.0)</f>
        <v>450</v>
      </c>
      <c r="C3126" s="9">
        <f>IFERROR(__xludf.DUMMYFUNCTION("""COMPUTED_VALUE"""),450.25)</f>
        <v>450.25</v>
      </c>
      <c r="D3126" s="9">
        <f>IFERROR(__xludf.DUMMYFUNCTION("""COMPUTED_VALUE"""),446.18)</f>
        <v>446.18</v>
      </c>
      <c r="E3126" s="9">
        <f>IFERROR(__xludf.DUMMYFUNCTION("""COMPUTED_VALUE"""),447.88)</f>
        <v>447.88</v>
      </c>
      <c r="F3126" s="9">
        <f>IFERROR(__xludf.DUMMYFUNCTION("""COMPUTED_VALUE"""),3120596.0)</f>
        <v>3120596</v>
      </c>
      <c r="H3126" s="27">
        <f>IFERROR(__xludf.DUMMYFUNCTION("""COMPUTED_VALUE"""),42985.64583333333)</f>
        <v>42985.64583</v>
      </c>
      <c r="I3126" s="25">
        <f>IFERROR(__xludf.DUMMYFUNCTION("""COMPUTED_VALUE"""),1229.0)</f>
        <v>1229</v>
      </c>
      <c r="J3126" s="25">
        <f>IFERROR(__xludf.DUMMYFUNCTION("""COMPUTED_VALUE"""),1234.2)</f>
        <v>1234.2</v>
      </c>
      <c r="K3126" s="25">
        <f>IFERROR(__xludf.DUMMYFUNCTION("""COMPUTED_VALUE"""),1225.53)</f>
        <v>1225.53</v>
      </c>
      <c r="L3126" s="25">
        <f>IFERROR(__xludf.DUMMYFUNCTION("""COMPUTED_VALUE"""),1230.05)</f>
        <v>1230.05</v>
      </c>
      <c r="M3126" s="25">
        <f>IFERROR(__xludf.DUMMYFUNCTION("""COMPUTED_VALUE"""),435318.0)</f>
        <v>435318</v>
      </c>
    </row>
    <row r="3127">
      <c r="A3127" s="26">
        <f>IFERROR(__xludf.DUMMYFUNCTION("""COMPUTED_VALUE"""),42986.64583333333)</f>
        <v>42986.64583</v>
      </c>
      <c r="B3127" s="9">
        <f>IFERROR(__xludf.DUMMYFUNCTION("""COMPUTED_VALUE"""),449.5)</f>
        <v>449.5</v>
      </c>
      <c r="C3127" s="9">
        <f>IFERROR(__xludf.DUMMYFUNCTION("""COMPUTED_VALUE"""),449.5)</f>
        <v>449.5</v>
      </c>
      <c r="D3127" s="9">
        <f>IFERROR(__xludf.DUMMYFUNCTION("""COMPUTED_VALUE"""),441.05)</f>
        <v>441.05</v>
      </c>
      <c r="E3127" s="9">
        <f>IFERROR(__xludf.DUMMYFUNCTION("""COMPUTED_VALUE"""),442.15)</f>
        <v>442.15</v>
      </c>
      <c r="F3127" s="9">
        <f>IFERROR(__xludf.DUMMYFUNCTION("""COMPUTED_VALUE"""),4302271.0)</f>
        <v>4302271</v>
      </c>
      <c r="H3127" s="27">
        <f>IFERROR(__xludf.DUMMYFUNCTION("""COMPUTED_VALUE"""),42986.64583333333)</f>
        <v>42986.64583</v>
      </c>
      <c r="I3127" s="25">
        <f>IFERROR(__xludf.DUMMYFUNCTION("""COMPUTED_VALUE"""),1226.88)</f>
        <v>1226.88</v>
      </c>
      <c r="J3127" s="25">
        <f>IFERROR(__xludf.DUMMYFUNCTION("""COMPUTED_VALUE"""),1237.0)</f>
        <v>1237</v>
      </c>
      <c r="K3127" s="25">
        <f>IFERROR(__xludf.DUMMYFUNCTION("""COMPUTED_VALUE"""),1226.28)</f>
        <v>1226.28</v>
      </c>
      <c r="L3127" s="25">
        <f>IFERROR(__xludf.DUMMYFUNCTION("""COMPUTED_VALUE"""),1235.3)</f>
        <v>1235.3</v>
      </c>
      <c r="M3127" s="25">
        <f>IFERROR(__xludf.DUMMYFUNCTION("""COMPUTED_VALUE"""),510567.0)</f>
        <v>510567</v>
      </c>
    </row>
    <row r="3128">
      <c r="A3128" s="26">
        <f>IFERROR(__xludf.DUMMYFUNCTION("""COMPUTED_VALUE"""),42989.64583333333)</f>
        <v>42989.64583</v>
      </c>
      <c r="B3128" s="9">
        <f>IFERROR(__xludf.DUMMYFUNCTION("""COMPUTED_VALUE"""),445.2)</f>
        <v>445.2</v>
      </c>
      <c r="C3128" s="9">
        <f>IFERROR(__xludf.DUMMYFUNCTION("""COMPUTED_VALUE"""),445.9)</f>
        <v>445.9</v>
      </c>
      <c r="D3128" s="9">
        <f>IFERROR(__xludf.DUMMYFUNCTION("""COMPUTED_VALUE"""),436.83)</f>
        <v>436.83</v>
      </c>
      <c r="E3128" s="9">
        <f>IFERROR(__xludf.DUMMYFUNCTION("""COMPUTED_VALUE"""),439.35)</f>
        <v>439.35</v>
      </c>
      <c r="F3128" s="9">
        <f>IFERROR(__xludf.DUMMYFUNCTION("""COMPUTED_VALUE"""),6893821.0)</f>
        <v>6893821</v>
      </c>
      <c r="H3128" s="27">
        <f>IFERROR(__xludf.DUMMYFUNCTION("""COMPUTED_VALUE"""),42989.64583333333)</f>
        <v>42989.64583</v>
      </c>
      <c r="I3128" s="25">
        <f>IFERROR(__xludf.DUMMYFUNCTION("""COMPUTED_VALUE"""),1235.6)</f>
        <v>1235.6</v>
      </c>
      <c r="J3128" s="25">
        <f>IFERROR(__xludf.DUMMYFUNCTION("""COMPUTED_VALUE"""),1241.47)</f>
        <v>1241.47</v>
      </c>
      <c r="K3128" s="25">
        <f>IFERROR(__xludf.DUMMYFUNCTION("""COMPUTED_VALUE"""),1225.0)</f>
        <v>1225</v>
      </c>
      <c r="L3128" s="25">
        <f>IFERROR(__xludf.DUMMYFUNCTION("""COMPUTED_VALUE"""),1227.22)</f>
        <v>1227.22</v>
      </c>
      <c r="M3128" s="25">
        <f>IFERROR(__xludf.DUMMYFUNCTION("""COMPUTED_VALUE"""),366382.0)</f>
        <v>366382</v>
      </c>
    </row>
    <row r="3129">
      <c r="A3129" s="26">
        <f>IFERROR(__xludf.DUMMYFUNCTION("""COMPUTED_VALUE"""),42990.64583333333)</f>
        <v>42990.64583</v>
      </c>
      <c r="B3129" s="9">
        <f>IFERROR(__xludf.DUMMYFUNCTION("""COMPUTED_VALUE"""),441.28)</f>
        <v>441.28</v>
      </c>
      <c r="C3129" s="9">
        <f>IFERROR(__xludf.DUMMYFUNCTION("""COMPUTED_VALUE"""),443.88)</f>
        <v>443.88</v>
      </c>
      <c r="D3129" s="9">
        <f>IFERROR(__xludf.DUMMYFUNCTION("""COMPUTED_VALUE"""),439.4)</f>
        <v>439.4</v>
      </c>
      <c r="E3129" s="9">
        <f>IFERROR(__xludf.DUMMYFUNCTION("""COMPUTED_VALUE"""),442.03)</f>
        <v>442.03</v>
      </c>
      <c r="F3129" s="9">
        <f>IFERROR(__xludf.DUMMYFUNCTION("""COMPUTED_VALUE"""),8620677.0)</f>
        <v>8620677</v>
      </c>
      <c r="H3129" s="27">
        <f>IFERROR(__xludf.DUMMYFUNCTION("""COMPUTED_VALUE"""),42990.64583333333)</f>
        <v>42990.64583</v>
      </c>
      <c r="I3129" s="25">
        <f>IFERROR(__xludf.DUMMYFUNCTION("""COMPUTED_VALUE"""),1236.95)</f>
        <v>1236.95</v>
      </c>
      <c r="J3129" s="25">
        <f>IFERROR(__xludf.DUMMYFUNCTION("""COMPUTED_VALUE"""),1248.5)</f>
        <v>1248.5</v>
      </c>
      <c r="K3129" s="25">
        <f>IFERROR(__xludf.DUMMYFUNCTION("""COMPUTED_VALUE"""),1228.5)</f>
        <v>1228.5</v>
      </c>
      <c r="L3129" s="25">
        <f>IFERROR(__xludf.DUMMYFUNCTION("""COMPUTED_VALUE"""),1244.22)</f>
        <v>1244.22</v>
      </c>
      <c r="M3129" s="25">
        <f>IFERROR(__xludf.DUMMYFUNCTION("""COMPUTED_VALUE"""),698230.0)</f>
        <v>698230</v>
      </c>
    </row>
    <row r="3130">
      <c r="A3130" s="26">
        <f>IFERROR(__xludf.DUMMYFUNCTION("""COMPUTED_VALUE"""),42991.64583333333)</f>
        <v>42991.64583</v>
      </c>
      <c r="B3130" s="9">
        <f>IFERROR(__xludf.DUMMYFUNCTION("""COMPUTED_VALUE"""),442.75)</f>
        <v>442.75</v>
      </c>
      <c r="C3130" s="9">
        <f>IFERROR(__xludf.DUMMYFUNCTION("""COMPUTED_VALUE"""),443.8)</f>
        <v>443.8</v>
      </c>
      <c r="D3130" s="9">
        <f>IFERROR(__xludf.DUMMYFUNCTION("""COMPUTED_VALUE"""),440.5)</f>
        <v>440.5</v>
      </c>
      <c r="E3130" s="9">
        <f>IFERROR(__xludf.DUMMYFUNCTION("""COMPUTED_VALUE"""),441.88)</f>
        <v>441.88</v>
      </c>
      <c r="F3130" s="9">
        <f>IFERROR(__xludf.DUMMYFUNCTION("""COMPUTED_VALUE"""),5739114.0)</f>
        <v>5739114</v>
      </c>
      <c r="H3130" s="27">
        <f>IFERROR(__xludf.DUMMYFUNCTION("""COMPUTED_VALUE"""),42991.64583333333)</f>
        <v>42991.64583</v>
      </c>
      <c r="I3130" s="25">
        <f>IFERROR(__xludf.DUMMYFUNCTION("""COMPUTED_VALUE"""),1250.0)</f>
        <v>1250</v>
      </c>
      <c r="J3130" s="25">
        <f>IFERROR(__xludf.DUMMYFUNCTION("""COMPUTED_VALUE"""),1265.83)</f>
        <v>1265.83</v>
      </c>
      <c r="K3130" s="25">
        <f>IFERROR(__xludf.DUMMYFUNCTION("""COMPUTED_VALUE"""),1237.6)</f>
        <v>1237.6</v>
      </c>
      <c r="L3130" s="25">
        <f>IFERROR(__xludf.DUMMYFUNCTION("""COMPUTED_VALUE"""),1244.6)</f>
        <v>1244.6</v>
      </c>
      <c r="M3130" s="25">
        <f>IFERROR(__xludf.DUMMYFUNCTION("""COMPUTED_VALUE"""),639490.0)</f>
        <v>639490</v>
      </c>
    </row>
    <row r="3131">
      <c r="A3131" s="26">
        <f>IFERROR(__xludf.DUMMYFUNCTION("""COMPUTED_VALUE"""),42992.64583333333)</f>
        <v>42992.64583</v>
      </c>
      <c r="B3131" s="9">
        <f>IFERROR(__xludf.DUMMYFUNCTION("""COMPUTED_VALUE"""),442.25)</f>
        <v>442.25</v>
      </c>
      <c r="C3131" s="9">
        <f>IFERROR(__xludf.DUMMYFUNCTION("""COMPUTED_VALUE"""),448.3)</f>
        <v>448.3</v>
      </c>
      <c r="D3131" s="9">
        <f>IFERROR(__xludf.DUMMYFUNCTION("""COMPUTED_VALUE"""),440.8)</f>
        <v>440.8</v>
      </c>
      <c r="E3131" s="9">
        <f>IFERROR(__xludf.DUMMYFUNCTION("""COMPUTED_VALUE"""),446.2)</f>
        <v>446.2</v>
      </c>
      <c r="F3131" s="9">
        <f>IFERROR(__xludf.DUMMYFUNCTION("""COMPUTED_VALUE"""),6849003.0)</f>
        <v>6849003</v>
      </c>
      <c r="H3131" s="27">
        <f>IFERROR(__xludf.DUMMYFUNCTION("""COMPUTED_VALUE"""),42992.64583333333)</f>
        <v>42992.64583</v>
      </c>
      <c r="I3131" s="25">
        <f>IFERROR(__xludf.DUMMYFUNCTION("""COMPUTED_VALUE"""),1241.0)</f>
        <v>1241</v>
      </c>
      <c r="J3131" s="25">
        <f>IFERROR(__xludf.DUMMYFUNCTION("""COMPUTED_VALUE"""),1248.8)</f>
        <v>1248.8</v>
      </c>
      <c r="K3131" s="25">
        <f>IFERROR(__xludf.DUMMYFUNCTION("""COMPUTED_VALUE"""),1235.95)</f>
        <v>1235.95</v>
      </c>
      <c r="L3131" s="25">
        <f>IFERROR(__xludf.DUMMYFUNCTION("""COMPUTED_VALUE"""),1243.47)</f>
        <v>1243.47</v>
      </c>
      <c r="M3131" s="25">
        <f>IFERROR(__xludf.DUMMYFUNCTION("""COMPUTED_VALUE"""),540755.0)</f>
        <v>540755</v>
      </c>
    </row>
    <row r="3132">
      <c r="A3132" s="26">
        <f>IFERROR(__xludf.DUMMYFUNCTION("""COMPUTED_VALUE"""),42993.64583333333)</f>
        <v>42993.64583</v>
      </c>
      <c r="B3132" s="9">
        <f>IFERROR(__xludf.DUMMYFUNCTION("""COMPUTED_VALUE"""),446.15)</f>
        <v>446.15</v>
      </c>
      <c r="C3132" s="9">
        <f>IFERROR(__xludf.DUMMYFUNCTION("""COMPUTED_VALUE"""),456.63)</f>
        <v>456.63</v>
      </c>
      <c r="D3132" s="9">
        <f>IFERROR(__xludf.DUMMYFUNCTION("""COMPUTED_VALUE"""),446.1)</f>
        <v>446.1</v>
      </c>
      <c r="E3132" s="9">
        <f>IFERROR(__xludf.DUMMYFUNCTION("""COMPUTED_VALUE"""),454.13)</f>
        <v>454.13</v>
      </c>
      <c r="F3132" s="9">
        <f>IFERROR(__xludf.DUMMYFUNCTION("""COMPUTED_VALUE"""),6729730.0)</f>
        <v>6729730</v>
      </c>
      <c r="H3132" s="27">
        <f>IFERROR(__xludf.DUMMYFUNCTION("""COMPUTED_VALUE"""),42993.64583333333)</f>
        <v>42993.64583</v>
      </c>
      <c r="I3132" s="25">
        <f>IFERROR(__xludf.DUMMYFUNCTION("""COMPUTED_VALUE"""),1249.5)</f>
        <v>1249.5</v>
      </c>
      <c r="J3132" s="25">
        <f>IFERROR(__xludf.DUMMYFUNCTION("""COMPUTED_VALUE"""),1258.5)</f>
        <v>1258.5</v>
      </c>
      <c r="K3132" s="25">
        <f>IFERROR(__xludf.DUMMYFUNCTION("""COMPUTED_VALUE"""),1242.5)</f>
        <v>1242.5</v>
      </c>
      <c r="L3132" s="25">
        <f>IFERROR(__xludf.DUMMYFUNCTION("""COMPUTED_VALUE"""),1253.03)</f>
        <v>1253.03</v>
      </c>
      <c r="M3132" s="25">
        <f>IFERROR(__xludf.DUMMYFUNCTION("""COMPUTED_VALUE"""),1472036.0)</f>
        <v>1472036</v>
      </c>
    </row>
    <row r="3133">
      <c r="A3133" s="26">
        <f>IFERROR(__xludf.DUMMYFUNCTION("""COMPUTED_VALUE"""),42996.64583333333)</f>
        <v>42996.64583</v>
      </c>
      <c r="B3133" s="9">
        <f>IFERROR(__xludf.DUMMYFUNCTION("""COMPUTED_VALUE"""),455.0)</f>
        <v>455</v>
      </c>
      <c r="C3133" s="9">
        <f>IFERROR(__xludf.DUMMYFUNCTION("""COMPUTED_VALUE"""),458.88)</f>
        <v>458.88</v>
      </c>
      <c r="D3133" s="9">
        <f>IFERROR(__xludf.DUMMYFUNCTION("""COMPUTED_VALUE"""),453.15)</f>
        <v>453.15</v>
      </c>
      <c r="E3133" s="9">
        <f>IFERROR(__xludf.DUMMYFUNCTION("""COMPUTED_VALUE"""),454.55)</f>
        <v>454.55</v>
      </c>
      <c r="F3133" s="9">
        <f>IFERROR(__xludf.DUMMYFUNCTION("""COMPUTED_VALUE"""),4237930.0)</f>
        <v>4237930</v>
      </c>
      <c r="H3133" s="27">
        <f>IFERROR(__xludf.DUMMYFUNCTION("""COMPUTED_VALUE"""),42996.64583333333)</f>
        <v>42996.64583</v>
      </c>
      <c r="I3133" s="25">
        <f>IFERROR(__xludf.DUMMYFUNCTION("""COMPUTED_VALUE"""),1252.47)</f>
        <v>1252.47</v>
      </c>
      <c r="J3133" s="25">
        <f>IFERROR(__xludf.DUMMYFUNCTION("""COMPUTED_VALUE"""),1259.47)</f>
        <v>1259.47</v>
      </c>
      <c r="K3133" s="25">
        <f>IFERROR(__xludf.DUMMYFUNCTION("""COMPUTED_VALUE"""),1244.63)</f>
        <v>1244.63</v>
      </c>
      <c r="L3133" s="25">
        <f>IFERROR(__xludf.DUMMYFUNCTION("""COMPUTED_VALUE"""),1249.53)</f>
        <v>1249.53</v>
      </c>
      <c r="M3133" s="25">
        <f>IFERROR(__xludf.DUMMYFUNCTION("""COMPUTED_VALUE"""),363300.0)</f>
        <v>363300</v>
      </c>
    </row>
    <row r="3134">
      <c r="A3134" s="26">
        <f>IFERROR(__xludf.DUMMYFUNCTION("""COMPUTED_VALUE"""),42997.64583333333)</f>
        <v>42997.64583</v>
      </c>
      <c r="B3134" s="9">
        <f>IFERROR(__xludf.DUMMYFUNCTION("""COMPUTED_VALUE"""),454.0)</f>
        <v>454</v>
      </c>
      <c r="C3134" s="9">
        <f>IFERROR(__xludf.DUMMYFUNCTION("""COMPUTED_VALUE"""),458.0)</f>
        <v>458</v>
      </c>
      <c r="D3134" s="9">
        <f>IFERROR(__xludf.DUMMYFUNCTION("""COMPUTED_VALUE"""),451.75)</f>
        <v>451.75</v>
      </c>
      <c r="E3134" s="9">
        <f>IFERROR(__xludf.DUMMYFUNCTION("""COMPUTED_VALUE"""),456.13)</f>
        <v>456.13</v>
      </c>
      <c r="F3134" s="9">
        <f>IFERROR(__xludf.DUMMYFUNCTION("""COMPUTED_VALUE"""),3016665.0)</f>
        <v>3016665</v>
      </c>
      <c r="H3134" s="27">
        <f>IFERROR(__xludf.DUMMYFUNCTION("""COMPUTED_VALUE"""),42997.64583333333)</f>
        <v>42997.64583</v>
      </c>
      <c r="I3134" s="25">
        <f>IFERROR(__xludf.DUMMYFUNCTION("""COMPUTED_VALUE"""),1252.5)</f>
        <v>1252.5</v>
      </c>
      <c r="J3134" s="25">
        <f>IFERROR(__xludf.DUMMYFUNCTION("""COMPUTED_VALUE"""),1252.5)</f>
        <v>1252.5</v>
      </c>
      <c r="K3134" s="25">
        <f>IFERROR(__xludf.DUMMYFUNCTION("""COMPUTED_VALUE"""),1245.75)</f>
        <v>1245.75</v>
      </c>
      <c r="L3134" s="25">
        <f>IFERROR(__xludf.DUMMYFUNCTION("""COMPUTED_VALUE"""),1249.13)</f>
        <v>1249.13</v>
      </c>
      <c r="M3134" s="25">
        <f>IFERROR(__xludf.DUMMYFUNCTION("""COMPUTED_VALUE"""),391377.0)</f>
        <v>391377</v>
      </c>
    </row>
    <row r="3135">
      <c r="A3135" s="26">
        <f>IFERROR(__xludf.DUMMYFUNCTION("""COMPUTED_VALUE"""),42998.64583333333)</f>
        <v>42998.64583</v>
      </c>
      <c r="B3135" s="9">
        <f>IFERROR(__xludf.DUMMYFUNCTION("""COMPUTED_VALUE"""),458.5)</f>
        <v>458.5</v>
      </c>
      <c r="C3135" s="9">
        <f>IFERROR(__xludf.DUMMYFUNCTION("""COMPUTED_VALUE"""),458.5)</f>
        <v>458.5</v>
      </c>
      <c r="D3135" s="9">
        <f>IFERROR(__xludf.DUMMYFUNCTION("""COMPUTED_VALUE"""),453.73)</f>
        <v>453.73</v>
      </c>
      <c r="E3135" s="9">
        <f>IFERROR(__xludf.DUMMYFUNCTION("""COMPUTED_VALUE"""),456.35)</f>
        <v>456.35</v>
      </c>
      <c r="F3135" s="9">
        <f>IFERROR(__xludf.DUMMYFUNCTION("""COMPUTED_VALUE"""),2883915.0)</f>
        <v>2883915</v>
      </c>
      <c r="H3135" s="27">
        <f>IFERROR(__xludf.DUMMYFUNCTION("""COMPUTED_VALUE"""),42998.64583333333)</f>
        <v>42998.64583</v>
      </c>
      <c r="I3135" s="25">
        <f>IFERROR(__xludf.DUMMYFUNCTION("""COMPUTED_VALUE"""),1257.0)</f>
        <v>1257</v>
      </c>
      <c r="J3135" s="25">
        <f>IFERROR(__xludf.DUMMYFUNCTION("""COMPUTED_VALUE"""),1257.0)</f>
        <v>1257</v>
      </c>
      <c r="K3135" s="25">
        <f>IFERROR(__xludf.DUMMYFUNCTION("""COMPUTED_VALUE"""),1237.15)</f>
        <v>1237.15</v>
      </c>
      <c r="L3135" s="25">
        <f>IFERROR(__xludf.DUMMYFUNCTION("""COMPUTED_VALUE"""),1246.78)</f>
        <v>1246.78</v>
      </c>
      <c r="M3135" s="25">
        <f>IFERROR(__xludf.DUMMYFUNCTION("""COMPUTED_VALUE"""),667321.0)</f>
        <v>667321</v>
      </c>
    </row>
    <row r="3136">
      <c r="A3136" s="26">
        <f>IFERROR(__xludf.DUMMYFUNCTION("""COMPUTED_VALUE"""),42999.64583333333)</f>
        <v>42999.64583</v>
      </c>
      <c r="B3136" s="9">
        <f>IFERROR(__xludf.DUMMYFUNCTION("""COMPUTED_VALUE"""),457.5)</f>
        <v>457.5</v>
      </c>
      <c r="C3136" s="9">
        <f>IFERROR(__xludf.DUMMYFUNCTION("""COMPUTED_VALUE"""),457.63)</f>
        <v>457.63</v>
      </c>
      <c r="D3136" s="9">
        <f>IFERROR(__xludf.DUMMYFUNCTION("""COMPUTED_VALUE"""),454.08)</f>
        <v>454.08</v>
      </c>
      <c r="E3136" s="9">
        <f>IFERROR(__xludf.DUMMYFUNCTION("""COMPUTED_VALUE"""),454.78)</f>
        <v>454.78</v>
      </c>
      <c r="F3136" s="9">
        <f>IFERROR(__xludf.DUMMYFUNCTION("""COMPUTED_VALUE"""),4102076.0)</f>
        <v>4102076</v>
      </c>
      <c r="H3136" s="27">
        <f>IFERROR(__xludf.DUMMYFUNCTION("""COMPUTED_VALUE"""),42999.64583333333)</f>
        <v>42999.64583</v>
      </c>
      <c r="I3136" s="25">
        <f>IFERROR(__xludf.DUMMYFUNCTION("""COMPUTED_VALUE"""),1245.53)</f>
        <v>1245.53</v>
      </c>
      <c r="J3136" s="25">
        <f>IFERROR(__xludf.DUMMYFUNCTION("""COMPUTED_VALUE"""),1270.5)</f>
        <v>1270.5</v>
      </c>
      <c r="K3136" s="25">
        <f>IFERROR(__xludf.DUMMYFUNCTION("""COMPUTED_VALUE"""),1240.0)</f>
        <v>1240</v>
      </c>
      <c r="L3136" s="25">
        <f>IFERROR(__xludf.DUMMYFUNCTION("""COMPUTED_VALUE"""),1262.45)</f>
        <v>1262.45</v>
      </c>
      <c r="M3136" s="25">
        <f>IFERROR(__xludf.DUMMYFUNCTION("""COMPUTED_VALUE"""),1219370.0)</f>
        <v>1219370</v>
      </c>
    </row>
    <row r="3137">
      <c r="A3137" s="26">
        <f>IFERROR(__xludf.DUMMYFUNCTION("""COMPUTED_VALUE"""),43000.64583333333)</f>
        <v>43000.64583</v>
      </c>
      <c r="B3137" s="9">
        <f>IFERROR(__xludf.DUMMYFUNCTION("""COMPUTED_VALUE"""),454.08)</f>
        <v>454.08</v>
      </c>
      <c r="C3137" s="9">
        <f>IFERROR(__xludf.DUMMYFUNCTION("""COMPUTED_VALUE"""),455.13)</f>
        <v>455.13</v>
      </c>
      <c r="D3137" s="9">
        <f>IFERROR(__xludf.DUMMYFUNCTION("""COMPUTED_VALUE"""),444.0)</f>
        <v>444</v>
      </c>
      <c r="E3137" s="9">
        <f>IFERROR(__xludf.DUMMYFUNCTION("""COMPUTED_VALUE"""),449.15)</f>
        <v>449.15</v>
      </c>
      <c r="F3137" s="9">
        <f>IFERROR(__xludf.DUMMYFUNCTION("""COMPUTED_VALUE"""),8802044.0)</f>
        <v>8802044</v>
      </c>
      <c r="H3137" s="27">
        <f>IFERROR(__xludf.DUMMYFUNCTION("""COMPUTED_VALUE"""),43000.64583333333)</f>
        <v>43000.64583</v>
      </c>
      <c r="I3137" s="25">
        <f>IFERROR(__xludf.DUMMYFUNCTION("""COMPUTED_VALUE"""),1259.95)</f>
        <v>1259.95</v>
      </c>
      <c r="J3137" s="25">
        <f>IFERROR(__xludf.DUMMYFUNCTION("""COMPUTED_VALUE"""),1263.45)</f>
        <v>1263.45</v>
      </c>
      <c r="K3137" s="25">
        <f>IFERROR(__xludf.DUMMYFUNCTION("""COMPUTED_VALUE"""),1246.0)</f>
        <v>1246</v>
      </c>
      <c r="L3137" s="25">
        <f>IFERROR(__xludf.DUMMYFUNCTION("""COMPUTED_VALUE"""),1251.8)</f>
        <v>1251.8</v>
      </c>
      <c r="M3137" s="25">
        <f>IFERROR(__xludf.DUMMYFUNCTION("""COMPUTED_VALUE"""),1217698.0)</f>
        <v>1217698</v>
      </c>
    </row>
    <row r="3138">
      <c r="A3138" s="26">
        <f>IFERROR(__xludf.DUMMYFUNCTION("""COMPUTED_VALUE"""),43003.64583333333)</f>
        <v>43003.64583</v>
      </c>
      <c r="B3138" s="9">
        <f>IFERROR(__xludf.DUMMYFUNCTION("""COMPUTED_VALUE"""),450.5)</f>
        <v>450.5</v>
      </c>
      <c r="C3138" s="9">
        <f>IFERROR(__xludf.DUMMYFUNCTION("""COMPUTED_VALUE"""),450.98)</f>
        <v>450.98</v>
      </c>
      <c r="D3138" s="9">
        <f>IFERROR(__xludf.DUMMYFUNCTION("""COMPUTED_VALUE"""),444.55)</f>
        <v>444.55</v>
      </c>
      <c r="E3138" s="9">
        <f>IFERROR(__xludf.DUMMYFUNCTION("""COMPUTED_VALUE"""),447.68)</f>
        <v>447.68</v>
      </c>
      <c r="F3138" s="9">
        <f>IFERROR(__xludf.DUMMYFUNCTION("""COMPUTED_VALUE"""),4544350.0)</f>
        <v>4544350</v>
      </c>
      <c r="H3138" s="27">
        <f>IFERROR(__xludf.DUMMYFUNCTION("""COMPUTED_VALUE"""),43003.64583333333)</f>
        <v>43003.64583</v>
      </c>
      <c r="I3138" s="25">
        <f>IFERROR(__xludf.DUMMYFUNCTION("""COMPUTED_VALUE"""),1248.28)</f>
        <v>1248.28</v>
      </c>
      <c r="J3138" s="25">
        <f>IFERROR(__xludf.DUMMYFUNCTION("""COMPUTED_VALUE"""),1267.0)</f>
        <v>1267</v>
      </c>
      <c r="K3138" s="25">
        <f>IFERROR(__xludf.DUMMYFUNCTION("""COMPUTED_VALUE"""),1246.38)</f>
        <v>1246.38</v>
      </c>
      <c r="L3138" s="25">
        <f>IFERROR(__xludf.DUMMYFUNCTION("""COMPUTED_VALUE"""),1255.38)</f>
        <v>1255.38</v>
      </c>
      <c r="M3138" s="25">
        <f>IFERROR(__xludf.DUMMYFUNCTION("""COMPUTED_VALUE"""),799779.0)</f>
        <v>799779</v>
      </c>
    </row>
    <row r="3139">
      <c r="A3139" s="26">
        <f>IFERROR(__xludf.DUMMYFUNCTION("""COMPUTED_VALUE"""),43004.64583333333)</f>
        <v>43004.64583</v>
      </c>
      <c r="B3139" s="9">
        <f>IFERROR(__xludf.DUMMYFUNCTION("""COMPUTED_VALUE"""),448.5)</f>
        <v>448.5</v>
      </c>
      <c r="C3139" s="9">
        <f>IFERROR(__xludf.DUMMYFUNCTION("""COMPUTED_VALUE"""),454.2)</f>
        <v>454.2</v>
      </c>
      <c r="D3139" s="9">
        <f>IFERROR(__xludf.DUMMYFUNCTION("""COMPUTED_VALUE"""),447.15)</f>
        <v>447.15</v>
      </c>
      <c r="E3139" s="9">
        <f>IFERROR(__xludf.DUMMYFUNCTION("""COMPUTED_VALUE"""),452.95)</f>
        <v>452.95</v>
      </c>
      <c r="F3139" s="9">
        <f>IFERROR(__xludf.DUMMYFUNCTION("""COMPUTED_VALUE"""),3683239.0)</f>
        <v>3683239</v>
      </c>
      <c r="H3139" s="27">
        <f>IFERROR(__xludf.DUMMYFUNCTION("""COMPUTED_VALUE"""),43004.64583333333)</f>
        <v>43004.64583</v>
      </c>
      <c r="I3139" s="25">
        <f>IFERROR(__xludf.DUMMYFUNCTION("""COMPUTED_VALUE"""),1255.0)</f>
        <v>1255</v>
      </c>
      <c r="J3139" s="25">
        <f>IFERROR(__xludf.DUMMYFUNCTION("""COMPUTED_VALUE"""),1263.2)</f>
        <v>1263.2</v>
      </c>
      <c r="K3139" s="25">
        <f>IFERROR(__xludf.DUMMYFUNCTION("""COMPUTED_VALUE"""),1233.0)</f>
        <v>1233</v>
      </c>
      <c r="L3139" s="25">
        <f>IFERROR(__xludf.DUMMYFUNCTION("""COMPUTED_VALUE"""),1237.33)</f>
        <v>1237.33</v>
      </c>
      <c r="M3139" s="25">
        <f>IFERROR(__xludf.DUMMYFUNCTION("""COMPUTED_VALUE"""),724615.0)</f>
        <v>724615</v>
      </c>
    </row>
    <row r="3140">
      <c r="A3140" s="26">
        <f>IFERROR(__xludf.DUMMYFUNCTION("""COMPUTED_VALUE"""),43005.64583333333)</f>
        <v>43005.64583</v>
      </c>
      <c r="B3140" s="9">
        <f>IFERROR(__xludf.DUMMYFUNCTION("""COMPUTED_VALUE"""),453.05)</f>
        <v>453.05</v>
      </c>
      <c r="C3140" s="9">
        <f>IFERROR(__xludf.DUMMYFUNCTION("""COMPUTED_VALUE"""),453.95)</f>
        <v>453.95</v>
      </c>
      <c r="D3140" s="9">
        <f>IFERROR(__xludf.DUMMYFUNCTION("""COMPUTED_VALUE"""),447.55)</f>
        <v>447.55</v>
      </c>
      <c r="E3140" s="9">
        <f>IFERROR(__xludf.DUMMYFUNCTION("""COMPUTED_VALUE"""),449.9)</f>
        <v>449.9</v>
      </c>
      <c r="F3140" s="9">
        <f>IFERROR(__xludf.DUMMYFUNCTION("""COMPUTED_VALUE"""),3000069.0)</f>
        <v>3000069</v>
      </c>
      <c r="H3140" s="27">
        <f>IFERROR(__xludf.DUMMYFUNCTION("""COMPUTED_VALUE"""),43005.64583333333)</f>
        <v>43005.64583</v>
      </c>
      <c r="I3140" s="25">
        <f>IFERROR(__xludf.DUMMYFUNCTION("""COMPUTED_VALUE"""),1245.0)</f>
        <v>1245</v>
      </c>
      <c r="J3140" s="25">
        <f>IFERROR(__xludf.DUMMYFUNCTION("""COMPUTED_VALUE"""),1256.1)</f>
        <v>1256.1</v>
      </c>
      <c r="K3140" s="25">
        <f>IFERROR(__xludf.DUMMYFUNCTION("""COMPUTED_VALUE"""),1236.88)</f>
        <v>1236.88</v>
      </c>
      <c r="L3140" s="25">
        <f>IFERROR(__xludf.DUMMYFUNCTION("""COMPUTED_VALUE"""),1247.5)</f>
        <v>1247.5</v>
      </c>
      <c r="M3140" s="25">
        <f>IFERROR(__xludf.DUMMYFUNCTION("""COMPUTED_VALUE"""),1005178.0)</f>
        <v>1005178</v>
      </c>
    </row>
    <row r="3141">
      <c r="A3141" s="26">
        <f>IFERROR(__xludf.DUMMYFUNCTION("""COMPUTED_VALUE"""),43006.64583333333)</f>
        <v>43006.64583</v>
      </c>
      <c r="B3141" s="9">
        <f>IFERROR(__xludf.DUMMYFUNCTION("""COMPUTED_VALUE"""),448.05)</f>
        <v>448.05</v>
      </c>
      <c r="C3141" s="9">
        <f>IFERROR(__xludf.DUMMYFUNCTION("""COMPUTED_VALUE"""),451.95)</f>
        <v>451.95</v>
      </c>
      <c r="D3141" s="9">
        <f>IFERROR(__xludf.DUMMYFUNCTION("""COMPUTED_VALUE"""),447.15)</f>
        <v>447.15</v>
      </c>
      <c r="E3141" s="9">
        <f>IFERROR(__xludf.DUMMYFUNCTION("""COMPUTED_VALUE"""),448.0)</f>
        <v>448</v>
      </c>
      <c r="F3141" s="9">
        <f>IFERROR(__xludf.DUMMYFUNCTION("""COMPUTED_VALUE"""),8768633.0)</f>
        <v>8768633</v>
      </c>
      <c r="H3141" s="27">
        <f>IFERROR(__xludf.DUMMYFUNCTION("""COMPUTED_VALUE"""),43006.64583333333)</f>
        <v>43006.64583</v>
      </c>
      <c r="I3141" s="25">
        <f>IFERROR(__xludf.DUMMYFUNCTION("""COMPUTED_VALUE"""),1247.35)</f>
        <v>1247.35</v>
      </c>
      <c r="J3141" s="25">
        <f>IFERROR(__xludf.DUMMYFUNCTION("""COMPUTED_VALUE"""),1257.0)</f>
        <v>1257</v>
      </c>
      <c r="K3141" s="25">
        <f>IFERROR(__xludf.DUMMYFUNCTION("""COMPUTED_VALUE"""),1226.0)</f>
        <v>1226</v>
      </c>
      <c r="L3141" s="25">
        <f>IFERROR(__xludf.DUMMYFUNCTION("""COMPUTED_VALUE"""),1238.22)</f>
        <v>1238.22</v>
      </c>
      <c r="M3141" s="25">
        <f>IFERROR(__xludf.DUMMYFUNCTION("""COMPUTED_VALUE"""),2166433.0)</f>
        <v>2166433</v>
      </c>
    </row>
    <row r="3142">
      <c r="A3142" s="26">
        <f>IFERROR(__xludf.DUMMYFUNCTION("""COMPUTED_VALUE"""),43007.64583333333)</f>
        <v>43007.64583</v>
      </c>
      <c r="B3142" s="9">
        <f>IFERROR(__xludf.DUMMYFUNCTION("""COMPUTED_VALUE"""),449.0)</f>
        <v>449</v>
      </c>
      <c r="C3142" s="9">
        <f>IFERROR(__xludf.DUMMYFUNCTION("""COMPUTED_VALUE"""),451.2)</f>
        <v>451.2</v>
      </c>
      <c r="D3142" s="9">
        <f>IFERROR(__xludf.DUMMYFUNCTION("""COMPUTED_VALUE"""),447.5)</f>
        <v>447.5</v>
      </c>
      <c r="E3142" s="9">
        <f>IFERROR(__xludf.DUMMYFUNCTION("""COMPUTED_VALUE"""),449.95)</f>
        <v>449.95</v>
      </c>
      <c r="F3142" s="9">
        <f>IFERROR(__xludf.DUMMYFUNCTION("""COMPUTED_VALUE"""),2852916.0)</f>
        <v>2852916</v>
      </c>
      <c r="H3142" s="27">
        <f>IFERROR(__xludf.DUMMYFUNCTION("""COMPUTED_VALUE"""),43007.64583333333)</f>
        <v>43007.64583</v>
      </c>
      <c r="I3142" s="25">
        <f>IFERROR(__xludf.DUMMYFUNCTION("""COMPUTED_VALUE"""),1239.5)</f>
        <v>1239.5</v>
      </c>
      <c r="J3142" s="25">
        <f>IFERROR(__xludf.DUMMYFUNCTION("""COMPUTED_VALUE"""),1242.0)</f>
        <v>1242</v>
      </c>
      <c r="K3142" s="25">
        <f>IFERROR(__xludf.DUMMYFUNCTION("""COMPUTED_VALUE"""),1210.75)</f>
        <v>1210.75</v>
      </c>
      <c r="L3142" s="25">
        <f>IFERROR(__xludf.DUMMYFUNCTION("""COMPUTED_VALUE"""),1217.97)</f>
        <v>1217.97</v>
      </c>
      <c r="M3142" s="25">
        <f>IFERROR(__xludf.DUMMYFUNCTION("""COMPUTED_VALUE"""),992507.0)</f>
        <v>992507</v>
      </c>
    </row>
    <row r="3143">
      <c r="A3143" s="26">
        <f>IFERROR(__xludf.DUMMYFUNCTION("""COMPUTED_VALUE"""),43011.64583333333)</f>
        <v>43011.64583</v>
      </c>
      <c r="B3143" s="9">
        <f>IFERROR(__xludf.DUMMYFUNCTION("""COMPUTED_VALUE"""),455.05)</f>
        <v>455.05</v>
      </c>
      <c r="C3143" s="9">
        <f>IFERROR(__xludf.DUMMYFUNCTION("""COMPUTED_VALUE"""),456.0)</f>
        <v>456</v>
      </c>
      <c r="D3143" s="9">
        <f>IFERROR(__xludf.DUMMYFUNCTION("""COMPUTED_VALUE"""),450.8)</f>
        <v>450.8</v>
      </c>
      <c r="E3143" s="9">
        <f>IFERROR(__xludf.DUMMYFUNCTION("""COMPUTED_VALUE"""),451.78)</f>
        <v>451.78</v>
      </c>
      <c r="F3143" s="9">
        <f>IFERROR(__xludf.DUMMYFUNCTION("""COMPUTED_VALUE"""),2473761.0)</f>
        <v>2473761</v>
      </c>
      <c r="H3143" s="27">
        <f>IFERROR(__xludf.DUMMYFUNCTION("""COMPUTED_VALUE"""),43011.64583333333)</f>
        <v>43011.64583</v>
      </c>
      <c r="I3143" s="25">
        <f>IFERROR(__xludf.DUMMYFUNCTION("""COMPUTED_VALUE"""),1220.0)</f>
        <v>1220</v>
      </c>
      <c r="J3143" s="25">
        <f>IFERROR(__xludf.DUMMYFUNCTION("""COMPUTED_VALUE"""),1227.15)</f>
        <v>1227.15</v>
      </c>
      <c r="K3143" s="25">
        <f>IFERROR(__xludf.DUMMYFUNCTION("""COMPUTED_VALUE"""),1213.53)</f>
        <v>1213.53</v>
      </c>
      <c r="L3143" s="25">
        <f>IFERROR(__xludf.DUMMYFUNCTION("""COMPUTED_VALUE"""),1224.22)</f>
        <v>1224.22</v>
      </c>
      <c r="M3143" s="25">
        <f>IFERROR(__xludf.DUMMYFUNCTION("""COMPUTED_VALUE"""),961503.0)</f>
        <v>961503</v>
      </c>
    </row>
    <row r="3144">
      <c r="A3144" s="26">
        <f>IFERROR(__xludf.DUMMYFUNCTION("""COMPUTED_VALUE"""),43012.64583333333)</f>
        <v>43012.64583</v>
      </c>
      <c r="B3144" s="9">
        <f>IFERROR(__xludf.DUMMYFUNCTION("""COMPUTED_VALUE"""),451.5)</f>
        <v>451.5</v>
      </c>
      <c r="C3144" s="9">
        <f>IFERROR(__xludf.DUMMYFUNCTION("""COMPUTED_VALUE"""),452.7)</f>
        <v>452.7</v>
      </c>
      <c r="D3144" s="9">
        <f>IFERROR(__xludf.DUMMYFUNCTION("""COMPUTED_VALUE"""),448.58)</f>
        <v>448.58</v>
      </c>
      <c r="E3144" s="9">
        <f>IFERROR(__xludf.DUMMYFUNCTION("""COMPUTED_VALUE"""),449.8)</f>
        <v>449.8</v>
      </c>
      <c r="F3144" s="9">
        <f>IFERROR(__xludf.DUMMYFUNCTION("""COMPUTED_VALUE"""),2495746.0)</f>
        <v>2495746</v>
      </c>
      <c r="H3144" s="27">
        <f>IFERROR(__xludf.DUMMYFUNCTION("""COMPUTED_VALUE"""),43012.64583333333)</f>
        <v>43012.64583</v>
      </c>
      <c r="I3144" s="25">
        <f>IFERROR(__xludf.DUMMYFUNCTION("""COMPUTED_VALUE"""),1224.8)</f>
        <v>1224.8</v>
      </c>
      <c r="J3144" s="25">
        <f>IFERROR(__xludf.DUMMYFUNCTION("""COMPUTED_VALUE"""),1227.0)</f>
        <v>1227</v>
      </c>
      <c r="K3144" s="25">
        <f>IFERROR(__xludf.DUMMYFUNCTION("""COMPUTED_VALUE"""),1212.5)</f>
        <v>1212.5</v>
      </c>
      <c r="L3144" s="25">
        <f>IFERROR(__xludf.DUMMYFUNCTION("""COMPUTED_VALUE"""),1221.15)</f>
        <v>1221.15</v>
      </c>
      <c r="M3144" s="25">
        <f>IFERROR(__xludf.DUMMYFUNCTION("""COMPUTED_VALUE"""),650389.0)</f>
        <v>650389</v>
      </c>
    </row>
    <row r="3145">
      <c r="A3145" s="26">
        <f>IFERROR(__xludf.DUMMYFUNCTION("""COMPUTED_VALUE"""),43013.64583333333)</f>
        <v>43013.64583</v>
      </c>
      <c r="B3145" s="9">
        <f>IFERROR(__xludf.DUMMYFUNCTION("""COMPUTED_VALUE"""),450.0)</f>
        <v>450</v>
      </c>
      <c r="C3145" s="9">
        <f>IFERROR(__xludf.DUMMYFUNCTION("""COMPUTED_VALUE"""),452.48)</f>
        <v>452.48</v>
      </c>
      <c r="D3145" s="9">
        <f>IFERROR(__xludf.DUMMYFUNCTION("""COMPUTED_VALUE"""),449.5)</f>
        <v>449.5</v>
      </c>
      <c r="E3145" s="9">
        <f>IFERROR(__xludf.DUMMYFUNCTION("""COMPUTED_VALUE"""),451.53)</f>
        <v>451.53</v>
      </c>
      <c r="F3145" s="9">
        <f>IFERROR(__xludf.DUMMYFUNCTION("""COMPUTED_VALUE"""),4305650.0)</f>
        <v>4305650</v>
      </c>
      <c r="H3145" s="27">
        <f>IFERROR(__xludf.DUMMYFUNCTION("""COMPUTED_VALUE"""),43013.64583333333)</f>
        <v>43013.64583</v>
      </c>
      <c r="I3145" s="25">
        <f>IFERROR(__xludf.DUMMYFUNCTION("""COMPUTED_VALUE"""),1220.5)</f>
        <v>1220.5</v>
      </c>
      <c r="J3145" s="25">
        <f>IFERROR(__xludf.DUMMYFUNCTION("""COMPUTED_VALUE"""),1221.72)</f>
        <v>1221.72</v>
      </c>
      <c r="K3145" s="25">
        <f>IFERROR(__xludf.DUMMYFUNCTION("""COMPUTED_VALUE"""),1212.2)</f>
        <v>1212.2</v>
      </c>
      <c r="L3145" s="25">
        <f>IFERROR(__xludf.DUMMYFUNCTION("""COMPUTED_VALUE"""),1214.8)</f>
        <v>1214.8</v>
      </c>
      <c r="M3145" s="25">
        <f>IFERROR(__xludf.DUMMYFUNCTION("""COMPUTED_VALUE"""),842343.0)</f>
        <v>842343</v>
      </c>
    </row>
    <row r="3146">
      <c r="A3146" s="26">
        <f>IFERROR(__xludf.DUMMYFUNCTION("""COMPUTED_VALUE"""),43014.64583333333)</f>
        <v>43014.64583</v>
      </c>
      <c r="B3146" s="9">
        <f>IFERROR(__xludf.DUMMYFUNCTION("""COMPUTED_VALUE"""),452.0)</f>
        <v>452</v>
      </c>
      <c r="C3146" s="9">
        <f>IFERROR(__xludf.DUMMYFUNCTION("""COMPUTED_VALUE"""),461.0)</f>
        <v>461</v>
      </c>
      <c r="D3146" s="9">
        <f>IFERROR(__xludf.DUMMYFUNCTION("""COMPUTED_VALUE"""),451.98)</f>
        <v>451.98</v>
      </c>
      <c r="E3146" s="9">
        <f>IFERROR(__xludf.DUMMYFUNCTION("""COMPUTED_VALUE"""),460.08)</f>
        <v>460.08</v>
      </c>
      <c r="F3146" s="9">
        <f>IFERROR(__xludf.DUMMYFUNCTION("""COMPUTED_VALUE"""),4287154.0)</f>
        <v>4287154</v>
      </c>
      <c r="H3146" s="27">
        <f>IFERROR(__xludf.DUMMYFUNCTION("""COMPUTED_VALUE"""),43014.64583333333)</f>
        <v>43014.64583</v>
      </c>
      <c r="I3146" s="25">
        <f>IFERROR(__xludf.DUMMYFUNCTION("""COMPUTED_VALUE"""),1215.0)</f>
        <v>1215</v>
      </c>
      <c r="J3146" s="25">
        <f>IFERROR(__xludf.DUMMYFUNCTION("""COMPUTED_VALUE"""),1227.5)</f>
        <v>1227.5</v>
      </c>
      <c r="K3146" s="25">
        <f>IFERROR(__xludf.DUMMYFUNCTION("""COMPUTED_VALUE"""),1214.03)</f>
        <v>1214.03</v>
      </c>
      <c r="L3146" s="25">
        <f>IFERROR(__xludf.DUMMYFUNCTION("""COMPUTED_VALUE"""),1223.33)</f>
        <v>1223.33</v>
      </c>
      <c r="M3146" s="25">
        <f>IFERROR(__xludf.DUMMYFUNCTION("""COMPUTED_VALUE"""),694594.0)</f>
        <v>694594</v>
      </c>
    </row>
    <row r="3147">
      <c r="A3147" s="26">
        <f>IFERROR(__xludf.DUMMYFUNCTION("""COMPUTED_VALUE"""),43017.64583333333)</f>
        <v>43017.64583</v>
      </c>
      <c r="B3147" s="9">
        <f>IFERROR(__xludf.DUMMYFUNCTION("""COMPUTED_VALUE"""),460.0)</f>
        <v>460</v>
      </c>
      <c r="C3147" s="9">
        <f>IFERROR(__xludf.DUMMYFUNCTION("""COMPUTED_VALUE"""),464.5)</f>
        <v>464.5</v>
      </c>
      <c r="D3147" s="9">
        <f>IFERROR(__xludf.DUMMYFUNCTION("""COMPUTED_VALUE"""),457.0)</f>
        <v>457</v>
      </c>
      <c r="E3147" s="9">
        <f>IFERROR(__xludf.DUMMYFUNCTION("""COMPUTED_VALUE"""),461.95)</f>
        <v>461.95</v>
      </c>
      <c r="F3147" s="9">
        <f>IFERROR(__xludf.DUMMYFUNCTION("""COMPUTED_VALUE"""),1752416.0)</f>
        <v>1752416</v>
      </c>
      <c r="H3147" s="27">
        <f>IFERROR(__xludf.DUMMYFUNCTION("""COMPUTED_VALUE"""),43017.64583333333)</f>
        <v>43017.64583</v>
      </c>
      <c r="I3147" s="25">
        <f>IFERROR(__xludf.DUMMYFUNCTION("""COMPUTED_VALUE"""),1220.53)</f>
        <v>1220.53</v>
      </c>
      <c r="J3147" s="25">
        <f>IFERROR(__xludf.DUMMYFUNCTION("""COMPUTED_VALUE"""),1233.97)</f>
        <v>1233.97</v>
      </c>
      <c r="K3147" s="25">
        <f>IFERROR(__xludf.DUMMYFUNCTION("""COMPUTED_VALUE"""),1220.53)</f>
        <v>1220.53</v>
      </c>
      <c r="L3147" s="25">
        <f>IFERROR(__xludf.DUMMYFUNCTION("""COMPUTED_VALUE"""),1227.05)</f>
        <v>1227.05</v>
      </c>
      <c r="M3147" s="25">
        <f>IFERROR(__xludf.DUMMYFUNCTION("""COMPUTED_VALUE"""),886808.0)</f>
        <v>886808</v>
      </c>
    </row>
    <row r="3148">
      <c r="A3148" s="26">
        <f>IFERROR(__xludf.DUMMYFUNCTION("""COMPUTED_VALUE"""),43018.64583333333)</f>
        <v>43018.64583</v>
      </c>
      <c r="B3148" s="9">
        <f>IFERROR(__xludf.DUMMYFUNCTION("""COMPUTED_VALUE"""),469.98)</f>
        <v>469.98</v>
      </c>
      <c r="C3148" s="9">
        <f>IFERROR(__xludf.DUMMYFUNCTION("""COMPUTED_VALUE"""),469.98)</f>
        <v>469.98</v>
      </c>
      <c r="D3148" s="9">
        <f>IFERROR(__xludf.DUMMYFUNCTION("""COMPUTED_VALUE"""),464.78)</f>
        <v>464.78</v>
      </c>
      <c r="E3148" s="9">
        <f>IFERROR(__xludf.DUMMYFUNCTION("""COMPUTED_VALUE"""),467.73)</f>
        <v>467.73</v>
      </c>
      <c r="F3148" s="9">
        <f>IFERROR(__xludf.DUMMYFUNCTION("""COMPUTED_VALUE"""),3571610.0)</f>
        <v>3571610</v>
      </c>
      <c r="H3148" s="27">
        <f>IFERROR(__xludf.DUMMYFUNCTION("""COMPUTED_VALUE"""),43018.64583333333)</f>
        <v>43018.64583</v>
      </c>
      <c r="I3148" s="25">
        <f>IFERROR(__xludf.DUMMYFUNCTION("""COMPUTED_VALUE"""),1227.5)</f>
        <v>1227.5</v>
      </c>
      <c r="J3148" s="25">
        <f>IFERROR(__xludf.DUMMYFUNCTION("""COMPUTED_VALUE"""),1234.97)</f>
        <v>1234.97</v>
      </c>
      <c r="K3148" s="25">
        <f>IFERROR(__xludf.DUMMYFUNCTION("""COMPUTED_VALUE"""),1225.63)</f>
        <v>1225.63</v>
      </c>
      <c r="L3148" s="25">
        <f>IFERROR(__xludf.DUMMYFUNCTION("""COMPUTED_VALUE"""),1229.63)</f>
        <v>1229.63</v>
      </c>
      <c r="M3148" s="25">
        <f>IFERROR(__xludf.DUMMYFUNCTION("""COMPUTED_VALUE"""),611005.0)</f>
        <v>611005</v>
      </c>
    </row>
    <row r="3149">
      <c r="A3149" s="26">
        <f>IFERROR(__xludf.DUMMYFUNCTION("""COMPUTED_VALUE"""),43019.64583333333)</f>
        <v>43019.64583</v>
      </c>
      <c r="B3149" s="9">
        <f>IFERROR(__xludf.DUMMYFUNCTION("""COMPUTED_VALUE"""),467.73)</f>
        <v>467.73</v>
      </c>
      <c r="C3149" s="9">
        <f>IFERROR(__xludf.DUMMYFUNCTION("""COMPUTED_VALUE"""),469.0)</f>
        <v>469</v>
      </c>
      <c r="D3149" s="9">
        <f>IFERROR(__xludf.DUMMYFUNCTION("""COMPUTED_VALUE"""),464.0)</f>
        <v>464</v>
      </c>
      <c r="E3149" s="9">
        <f>IFERROR(__xludf.DUMMYFUNCTION("""COMPUTED_VALUE"""),465.35)</f>
        <v>465.35</v>
      </c>
      <c r="F3149" s="9">
        <f>IFERROR(__xludf.DUMMYFUNCTION("""COMPUTED_VALUE"""),2991252.0)</f>
        <v>2991252</v>
      </c>
      <c r="H3149" s="27">
        <f>IFERROR(__xludf.DUMMYFUNCTION("""COMPUTED_VALUE"""),43019.64583333333)</f>
        <v>43019.64583</v>
      </c>
      <c r="I3149" s="25">
        <f>IFERROR(__xludf.DUMMYFUNCTION("""COMPUTED_VALUE"""),1230.0)</f>
        <v>1230</v>
      </c>
      <c r="J3149" s="25">
        <f>IFERROR(__xludf.DUMMYFUNCTION("""COMPUTED_VALUE"""),1257.22)</f>
        <v>1257.22</v>
      </c>
      <c r="K3149" s="25">
        <f>IFERROR(__xludf.DUMMYFUNCTION("""COMPUTED_VALUE"""),1228.38)</f>
        <v>1228.38</v>
      </c>
      <c r="L3149" s="25">
        <f>IFERROR(__xludf.DUMMYFUNCTION("""COMPUTED_VALUE"""),1250.18)</f>
        <v>1250.18</v>
      </c>
      <c r="M3149" s="25">
        <f>IFERROR(__xludf.DUMMYFUNCTION("""COMPUTED_VALUE"""),763873.0)</f>
        <v>763873</v>
      </c>
    </row>
    <row r="3150">
      <c r="A3150" s="26">
        <f>IFERROR(__xludf.DUMMYFUNCTION("""COMPUTED_VALUE"""),43020.64583333333)</f>
        <v>43020.64583</v>
      </c>
      <c r="B3150" s="9">
        <f>IFERROR(__xludf.DUMMYFUNCTION("""COMPUTED_VALUE"""),465.0)</f>
        <v>465</v>
      </c>
      <c r="C3150" s="9">
        <f>IFERROR(__xludf.DUMMYFUNCTION("""COMPUTED_VALUE"""),467.18)</f>
        <v>467.18</v>
      </c>
      <c r="D3150" s="9">
        <f>IFERROR(__xludf.DUMMYFUNCTION("""COMPUTED_VALUE"""),459.78)</f>
        <v>459.78</v>
      </c>
      <c r="E3150" s="9">
        <f>IFERROR(__xludf.DUMMYFUNCTION("""COMPUTED_VALUE"""),463.65)</f>
        <v>463.65</v>
      </c>
      <c r="F3150" s="9">
        <f>IFERROR(__xludf.DUMMYFUNCTION("""COMPUTED_VALUE"""),5140486.0)</f>
        <v>5140486</v>
      </c>
      <c r="H3150" s="27">
        <f>IFERROR(__xludf.DUMMYFUNCTION("""COMPUTED_VALUE"""),43020.64583333333)</f>
        <v>43020.64583</v>
      </c>
      <c r="I3150" s="25">
        <f>IFERROR(__xludf.DUMMYFUNCTION("""COMPUTED_VALUE"""),1256.5)</f>
        <v>1256.5</v>
      </c>
      <c r="J3150" s="25">
        <f>IFERROR(__xludf.DUMMYFUNCTION("""COMPUTED_VALUE"""),1277.5)</f>
        <v>1277.5</v>
      </c>
      <c r="K3150" s="25">
        <f>IFERROR(__xludf.DUMMYFUNCTION("""COMPUTED_VALUE"""),1253.5)</f>
        <v>1253.5</v>
      </c>
      <c r="L3150" s="25">
        <f>IFERROR(__xludf.DUMMYFUNCTION("""COMPUTED_VALUE"""),1274.1)</f>
        <v>1274.1</v>
      </c>
      <c r="M3150" s="25">
        <f>IFERROR(__xludf.DUMMYFUNCTION("""COMPUTED_VALUE"""),2503178.0)</f>
        <v>2503178</v>
      </c>
    </row>
    <row r="3151">
      <c r="A3151" s="26">
        <f>IFERROR(__xludf.DUMMYFUNCTION("""COMPUTED_VALUE"""),43021.64583333333)</f>
        <v>43021.64583</v>
      </c>
      <c r="B3151" s="9">
        <f>IFERROR(__xludf.DUMMYFUNCTION("""COMPUTED_VALUE"""),466.4)</f>
        <v>466.4</v>
      </c>
      <c r="C3151" s="9">
        <f>IFERROR(__xludf.DUMMYFUNCTION("""COMPUTED_VALUE"""),466.75)</f>
        <v>466.75</v>
      </c>
      <c r="D3151" s="9">
        <f>IFERROR(__xludf.DUMMYFUNCTION("""COMPUTED_VALUE"""),463.78)</f>
        <v>463.78</v>
      </c>
      <c r="E3151" s="9">
        <f>IFERROR(__xludf.DUMMYFUNCTION("""COMPUTED_VALUE"""),465.05)</f>
        <v>465.05</v>
      </c>
      <c r="F3151" s="9">
        <f>IFERROR(__xludf.DUMMYFUNCTION("""COMPUTED_VALUE"""),3590364.0)</f>
        <v>3590364</v>
      </c>
      <c r="H3151" s="27">
        <f>IFERROR(__xludf.DUMMYFUNCTION("""COMPUTED_VALUE"""),43021.64583333333)</f>
        <v>43021.64583</v>
      </c>
      <c r="I3151" s="25">
        <f>IFERROR(__xludf.DUMMYFUNCTION("""COMPUTED_VALUE"""),1274.1)</f>
        <v>1274.1</v>
      </c>
      <c r="J3151" s="25">
        <f>IFERROR(__xludf.DUMMYFUNCTION("""COMPUTED_VALUE"""),1304.47)</f>
        <v>1304.47</v>
      </c>
      <c r="K3151" s="25">
        <f>IFERROR(__xludf.DUMMYFUNCTION("""COMPUTED_VALUE"""),1261.5)</f>
        <v>1261.5</v>
      </c>
      <c r="L3151" s="25">
        <f>IFERROR(__xludf.DUMMYFUNCTION("""COMPUTED_VALUE"""),1279.3)</f>
        <v>1279.3</v>
      </c>
      <c r="M3151" s="25">
        <f>IFERROR(__xludf.DUMMYFUNCTION("""COMPUTED_VALUE"""),2033160.0)</f>
        <v>2033160</v>
      </c>
    </row>
    <row r="3152">
      <c r="A3152" s="26">
        <f>IFERROR(__xludf.DUMMYFUNCTION("""COMPUTED_VALUE"""),43024.64583333333)</f>
        <v>43024.64583</v>
      </c>
      <c r="B3152" s="9">
        <f>IFERROR(__xludf.DUMMYFUNCTION("""COMPUTED_VALUE"""),467.98)</f>
        <v>467.98</v>
      </c>
      <c r="C3152" s="9">
        <f>IFERROR(__xludf.DUMMYFUNCTION("""COMPUTED_VALUE"""),471.0)</f>
        <v>471</v>
      </c>
      <c r="D3152" s="9">
        <f>IFERROR(__xludf.DUMMYFUNCTION("""COMPUTED_VALUE"""),466.5)</f>
        <v>466.5</v>
      </c>
      <c r="E3152" s="9">
        <f>IFERROR(__xludf.DUMMYFUNCTION("""COMPUTED_VALUE"""),469.5)</f>
        <v>469.5</v>
      </c>
      <c r="F3152" s="9">
        <f>IFERROR(__xludf.DUMMYFUNCTION("""COMPUTED_VALUE"""),2879375.0)</f>
        <v>2879375</v>
      </c>
      <c r="H3152" s="27">
        <f>IFERROR(__xludf.DUMMYFUNCTION("""COMPUTED_VALUE"""),43024.64583333333)</f>
        <v>43024.64583</v>
      </c>
      <c r="I3152" s="25">
        <f>IFERROR(__xludf.DUMMYFUNCTION("""COMPUTED_VALUE"""),1277.53)</f>
        <v>1277.53</v>
      </c>
      <c r="J3152" s="25">
        <f>IFERROR(__xludf.DUMMYFUNCTION("""COMPUTED_VALUE"""),1295.0)</f>
        <v>1295</v>
      </c>
      <c r="K3152" s="25">
        <f>IFERROR(__xludf.DUMMYFUNCTION("""COMPUTED_VALUE"""),1277.53)</f>
        <v>1277.53</v>
      </c>
      <c r="L3152" s="25">
        <f>IFERROR(__xludf.DUMMYFUNCTION("""COMPUTED_VALUE"""),1292.2)</f>
        <v>1292.2</v>
      </c>
      <c r="M3152" s="25">
        <f>IFERROR(__xludf.DUMMYFUNCTION("""COMPUTED_VALUE"""),609295.0)</f>
        <v>609295</v>
      </c>
    </row>
    <row r="3153">
      <c r="A3153" s="26">
        <f>IFERROR(__xludf.DUMMYFUNCTION("""COMPUTED_VALUE"""),43025.83333333333)</f>
        <v>43025.83333</v>
      </c>
      <c r="B3153" s="9">
        <f>IFERROR(__xludf.DUMMYFUNCTION("""COMPUTED_VALUE"""),468.4)</f>
        <v>468.4</v>
      </c>
      <c r="C3153" s="9">
        <f>IFERROR(__xludf.DUMMYFUNCTION("""COMPUTED_VALUE"""),468.4)</f>
        <v>468.4</v>
      </c>
      <c r="D3153" s="9">
        <f>IFERROR(__xludf.DUMMYFUNCTION("""COMPUTED_VALUE"""),464.75)</f>
        <v>464.75</v>
      </c>
      <c r="E3153" s="9">
        <f>IFERROR(__xludf.DUMMYFUNCTION("""COMPUTED_VALUE"""),465.25)</f>
        <v>465.25</v>
      </c>
      <c r="F3153" s="9">
        <f>IFERROR(__xludf.DUMMYFUNCTION("""COMPUTED_VALUE"""),2812551.0)</f>
        <v>2812551</v>
      </c>
      <c r="H3153" s="27">
        <f>IFERROR(__xludf.DUMMYFUNCTION("""COMPUTED_VALUE"""),43025.83333333333)</f>
        <v>43025.83333</v>
      </c>
      <c r="I3153" s="25">
        <f>IFERROR(__xludf.DUMMYFUNCTION("""COMPUTED_VALUE"""),1292.5)</f>
        <v>1292.5</v>
      </c>
      <c r="J3153" s="25">
        <f>IFERROR(__xludf.DUMMYFUNCTION("""COMPUTED_VALUE"""),1307.47)</f>
        <v>1307.47</v>
      </c>
      <c r="K3153" s="25">
        <f>IFERROR(__xludf.DUMMYFUNCTION("""COMPUTED_VALUE"""),1288.78)</f>
        <v>1288.78</v>
      </c>
      <c r="L3153" s="25">
        <f>IFERROR(__xludf.DUMMYFUNCTION("""COMPUTED_VALUE"""),1297.28)</f>
        <v>1297.28</v>
      </c>
      <c r="M3153" s="25">
        <f>IFERROR(__xludf.DUMMYFUNCTION("""COMPUTED_VALUE"""),721508.0)</f>
        <v>721508</v>
      </c>
    </row>
    <row r="3154">
      <c r="A3154" s="26">
        <f>IFERROR(__xludf.DUMMYFUNCTION("""COMPUTED_VALUE"""),43026.64583333333)</f>
        <v>43026.64583</v>
      </c>
      <c r="B3154" s="9">
        <f>IFERROR(__xludf.DUMMYFUNCTION("""COMPUTED_VALUE"""),464.45)</f>
        <v>464.45</v>
      </c>
      <c r="C3154" s="9">
        <f>IFERROR(__xludf.DUMMYFUNCTION("""COMPUTED_VALUE"""),465.0)</f>
        <v>465</v>
      </c>
      <c r="D3154" s="9">
        <f>IFERROR(__xludf.DUMMYFUNCTION("""COMPUTED_VALUE"""),461.48)</f>
        <v>461.48</v>
      </c>
      <c r="E3154" s="9">
        <f>IFERROR(__xludf.DUMMYFUNCTION("""COMPUTED_VALUE"""),462.18)</f>
        <v>462.18</v>
      </c>
      <c r="F3154" s="9">
        <f>IFERROR(__xludf.DUMMYFUNCTION("""COMPUTED_VALUE"""),3615926.0)</f>
        <v>3615926</v>
      </c>
      <c r="H3154" s="27">
        <f>IFERROR(__xludf.DUMMYFUNCTION("""COMPUTED_VALUE"""),43026.64583333333)</f>
        <v>43026.64583</v>
      </c>
      <c r="I3154" s="25">
        <f>IFERROR(__xludf.DUMMYFUNCTION("""COMPUTED_VALUE"""),1297.5)</f>
        <v>1297.5</v>
      </c>
      <c r="J3154" s="25">
        <f>IFERROR(__xludf.DUMMYFUNCTION("""COMPUTED_VALUE"""),1306.83)</f>
        <v>1306.83</v>
      </c>
      <c r="K3154" s="25">
        <f>IFERROR(__xludf.DUMMYFUNCTION("""COMPUTED_VALUE"""),1290.0)</f>
        <v>1290</v>
      </c>
      <c r="L3154" s="25">
        <f>IFERROR(__xludf.DUMMYFUNCTION("""COMPUTED_VALUE"""),1293.3)</f>
        <v>1293.3</v>
      </c>
      <c r="M3154" s="25">
        <f>IFERROR(__xludf.DUMMYFUNCTION("""COMPUTED_VALUE"""),757072.0)</f>
        <v>757072</v>
      </c>
    </row>
    <row r="3155">
      <c r="A3155" s="26">
        <f>IFERROR(__xludf.DUMMYFUNCTION("""COMPUTED_VALUE"""),43027.83333333333)</f>
        <v>43027.83333</v>
      </c>
      <c r="B3155" s="9">
        <f>IFERROR(__xludf.DUMMYFUNCTION("""COMPUTED_VALUE"""),465.0)</f>
        <v>465</v>
      </c>
      <c r="C3155" s="9">
        <f>IFERROR(__xludf.DUMMYFUNCTION("""COMPUTED_VALUE"""),466.0)</f>
        <v>466</v>
      </c>
      <c r="D3155" s="9">
        <f>IFERROR(__xludf.DUMMYFUNCTION("""COMPUTED_VALUE"""),462.6)</f>
        <v>462.6</v>
      </c>
      <c r="E3155" s="9">
        <f>IFERROR(__xludf.DUMMYFUNCTION("""COMPUTED_VALUE"""),463.88)</f>
        <v>463.88</v>
      </c>
      <c r="F3155" s="9">
        <f>IFERROR(__xludf.DUMMYFUNCTION("""COMPUTED_VALUE"""),545717.0)</f>
        <v>545717</v>
      </c>
      <c r="H3155" s="27">
        <f>IFERROR(__xludf.DUMMYFUNCTION("""COMPUTED_VALUE"""),43027.83333333333)</f>
        <v>43027.83333</v>
      </c>
      <c r="I3155" s="25">
        <f>IFERROR(__xludf.DUMMYFUNCTION("""COMPUTED_VALUE"""),1296.0)</f>
        <v>1296</v>
      </c>
      <c r="J3155" s="25">
        <f>IFERROR(__xludf.DUMMYFUNCTION("""COMPUTED_VALUE"""),1297.9)</f>
        <v>1297.9</v>
      </c>
      <c r="K3155" s="25">
        <f>IFERROR(__xludf.DUMMYFUNCTION("""COMPUTED_VALUE"""),1285.5)</f>
        <v>1285.5</v>
      </c>
      <c r="L3155" s="25">
        <f>IFERROR(__xludf.DUMMYFUNCTION("""COMPUTED_VALUE"""),1291.7)</f>
        <v>1291.7</v>
      </c>
      <c r="M3155" s="25">
        <f>IFERROR(__xludf.DUMMYFUNCTION("""COMPUTED_VALUE"""),43411.0)</f>
        <v>43411</v>
      </c>
    </row>
    <row r="3156">
      <c r="A3156" s="26">
        <f>IFERROR(__xludf.DUMMYFUNCTION("""COMPUTED_VALUE"""),43031.64583333333)</f>
        <v>43031.64583</v>
      </c>
      <c r="B3156" s="9">
        <f>IFERROR(__xludf.DUMMYFUNCTION("""COMPUTED_VALUE"""),465.0)</f>
        <v>465</v>
      </c>
      <c r="C3156" s="9">
        <f>IFERROR(__xludf.DUMMYFUNCTION("""COMPUTED_VALUE"""),471.0)</f>
        <v>471</v>
      </c>
      <c r="D3156" s="9">
        <f>IFERROR(__xludf.DUMMYFUNCTION("""COMPUTED_VALUE"""),464.05)</f>
        <v>464.05</v>
      </c>
      <c r="E3156" s="9">
        <f>IFERROR(__xludf.DUMMYFUNCTION("""COMPUTED_VALUE"""),469.75)</f>
        <v>469.75</v>
      </c>
      <c r="F3156" s="9">
        <f>IFERROR(__xludf.DUMMYFUNCTION("""COMPUTED_VALUE"""),4577048.0)</f>
        <v>4577048</v>
      </c>
      <c r="H3156" s="27">
        <f>IFERROR(__xludf.DUMMYFUNCTION("""COMPUTED_VALUE"""),43031.64583333333)</f>
        <v>43031.64583</v>
      </c>
      <c r="I3156" s="25">
        <f>IFERROR(__xludf.DUMMYFUNCTION("""COMPUTED_VALUE"""),1292.0)</f>
        <v>1292</v>
      </c>
      <c r="J3156" s="25">
        <f>IFERROR(__xludf.DUMMYFUNCTION("""COMPUTED_VALUE"""),1314.5)</f>
        <v>1314.5</v>
      </c>
      <c r="K3156" s="25">
        <f>IFERROR(__xludf.DUMMYFUNCTION("""COMPUTED_VALUE"""),1273.72)</f>
        <v>1273.72</v>
      </c>
      <c r="L3156" s="25">
        <f>IFERROR(__xludf.DUMMYFUNCTION("""COMPUTED_VALUE"""),1293.95)</f>
        <v>1293.95</v>
      </c>
      <c r="M3156" s="25">
        <f>IFERROR(__xludf.DUMMYFUNCTION("""COMPUTED_VALUE"""),943044.0)</f>
        <v>943044</v>
      </c>
    </row>
    <row r="3157">
      <c r="A3157" s="26">
        <f>IFERROR(__xludf.DUMMYFUNCTION("""COMPUTED_VALUE"""),43032.64583333333)</f>
        <v>43032.64583</v>
      </c>
      <c r="B3157" s="9">
        <f>IFERROR(__xludf.DUMMYFUNCTION("""COMPUTED_VALUE"""),473.0)</f>
        <v>473</v>
      </c>
      <c r="C3157" s="9">
        <f>IFERROR(__xludf.DUMMYFUNCTION("""COMPUTED_VALUE"""),473.33)</f>
        <v>473.33</v>
      </c>
      <c r="D3157" s="9">
        <f>IFERROR(__xludf.DUMMYFUNCTION("""COMPUTED_VALUE"""),460.8)</f>
        <v>460.8</v>
      </c>
      <c r="E3157" s="9">
        <f>IFERROR(__xludf.DUMMYFUNCTION("""COMPUTED_VALUE"""),463.25)</f>
        <v>463.25</v>
      </c>
      <c r="F3157" s="9">
        <f>IFERROR(__xludf.DUMMYFUNCTION("""COMPUTED_VALUE"""),7264664.0)</f>
        <v>7264664</v>
      </c>
      <c r="H3157" s="27">
        <f>IFERROR(__xludf.DUMMYFUNCTION("""COMPUTED_VALUE"""),43032.64583333333)</f>
        <v>43032.64583</v>
      </c>
      <c r="I3157" s="25">
        <f>IFERROR(__xludf.DUMMYFUNCTION("""COMPUTED_VALUE"""),1310.0)</f>
        <v>1310</v>
      </c>
      <c r="J3157" s="25">
        <f>IFERROR(__xludf.DUMMYFUNCTION("""COMPUTED_VALUE"""),1310.45)</f>
        <v>1310.45</v>
      </c>
      <c r="K3157" s="25">
        <f>IFERROR(__xludf.DUMMYFUNCTION("""COMPUTED_VALUE"""),1284.53)</f>
        <v>1284.53</v>
      </c>
      <c r="L3157" s="25">
        <f>IFERROR(__xludf.DUMMYFUNCTION("""COMPUTED_VALUE"""),1289.2)</f>
        <v>1289.2</v>
      </c>
      <c r="M3157" s="25">
        <f>IFERROR(__xludf.DUMMYFUNCTION("""COMPUTED_VALUE"""),669510.0)</f>
        <v>669510</v>
      </c>
    </row>
    <row r="3158">
      <c r="A3158" s="26">
        <f>IFERROR(__xludf.DUMMYFUNCTION("""COMPUTED_VALUE"""),43033.64583333333)</f>
        <v>43033.64583</v>
      </c>
      <c r="B3158" s="9">
        <f>IFERROR(__xludf.DUMMYFUNCTION("""COMPUTED_VALUE"""),459.5)</f>
        <v>459.5</v>
      </c>
      <c r="C3158" s="9">
        <f>IFERROR(__xludf.DUMMYFUNCTION("""COMPUTED_VALUE"""),472.35)</f>
        <v>472.35</v>
      </c>
      <c r="D3158" s="9">
        <f>IFERROR(__xludf.DUMMYFUNCTION("""COMPUTED_VALUE"""),457.63)</f>
        <v>457.63</v>
      </c>
      <c r="E3158" s="9">
        <f>IFERROR(__xludf.DUMMYFUNCTION("""COMPUTED_VALUE"""),467.65)</f>
        <v>467.65</v>
      </c>
      <c r="F3158" s="9">
        <f>IFERROR(__xludf.DUMMYFUNCTION("""COMPUTED_VALUE"""),6992067.0)</f>
        <v>6992067</v>
      </c>
      <c r="H3158" s="27">
        <f>IFERROR(__xludf.DUMMYFUNCTION("""COMPUTED_VALUE"""),43033.64583333333)</f>
        <v>43033.64583</v>
      </c>
      <c r="I3158" s="25">
        <f>IFERROR(__xludf.DUMMYFUNCTION("""COMPUTED_VALUE"""),1289.25)</f>
        <v>1289.25</v>
      </c>
      <c r="J3158" s="25">
        <f>IFERROR(__xludf.DUMMYFUNCTION("""COMPUTED_VALUE"""),1307.0)</f>
        <v>1307</v>
      </c>
      <c r="K3158" s="25">
        <f>IFERROR(__xludf.DUMMYFUNCTION("""COMPUTED_VALUE"""),1277.5)</f>
        <v>1277.5</v>
      </c>
      <c r="L3158" s="25">
        <f>IFERROR(__xludf.DUMMYFUNCTION("""COMPUTED_VALUE"""),1279.95)</f>
        <v>1279.95</v>
      </c>
      <c r="M3158" s="25">
        <f>IFERROR(__xludf.DUMMYFUNCTION("""COMPUTED_VALUE"""),552553.0)</f>
        <v>552553</v>
      </c>
    </row>
    <row r="3159">
      <c r="A3159" s="26">
        <f>IFERROR(__xludf.DUMMYFUNCTION("""COMPUTED_VALUE"""),43034.64583333333)</f>
        <v>43034.64583</v>
      </c>
      <c r="B3159" s="9">
        <f>IFERROR(__xludf.DUMMYFUNCTION("""COMPUTED_VALUE"""),471.0)</f>
        <v>471</v>
      </c>
      <c r="C3159" s="9">
        <f>IFERROR(__xludf.DUMMYFUNCTION("""COMPUTED_VALUE"""),475.9)</f>
        <v>475.9</v>
      </c>
      <c r="D3159" s="9">
        <f>IFERROR(__xludf.DUMMYFUNCTION("""COMPUTED_VALUE"""),470.05)</f>
        <v>470.05</v>
      </c>
      <c r="E3159" s="9">
        <f>IFERROR(__xludf.DUMMYFUNCTION("""COMPUTED_VALUE"""),473.68)</f>
        <v>473.68</v>
      </c>
      <c r="F3159" s="9">
        <f>IFERROR(__xludf.DUMMYFUNCTION("""COMPUTED_VALUE"""),1.6829629E7)</f>
        <v>16829629</v>
      </c>
      <c r="H3159" s="27">
        <f>IFERROR(__xludf.DUMMYFUNCTION("""COMPUTED_VALUE"""),43034.64583333333)</f>
        <v>43034.64583</v>
      </c>
      <c r="I3159" s="25">
        <f>IFERROR(__xludf.DUMMYFUNCTION("""COMPUTED_VALUE"""),1267.55)</f>
        <v>1267.55</v>
      </c>
      <c r="J3159" s="25">
        <f>IFERROR(__xludf.DUMMYFUNCTION("""COMPUTED_VALUE"""),1284.58)</f>
        <v>1284.58</v>
      </c>
      <c r="K3159" s="25">
        <f>IFERROR(__xludf.DUMMYFUNCTION("""COMPUTED_VALUE"""),1258.95)</f>
        <v>1258.95</v>
      </c>
      <c r="L3159" s="25">
        <f>IFERROR(__xludf.DUMMYFUNCTION("""COMPUTED_VALUE"""),1269.43)</f>
        <v>1269.43</v>
      </c>
      <c r="M3159" s="25">
        <f>IFERROR(__xludf.DUMMYFUNCTION("""COMPUTED_VALUE"""),1503776.0)</f>
        <v>1503776</v>
      </c>
    </row>
    <row r="3160">
      <c r="A3160" s="26">
        <f>IFERROR(__xludf.DUMMYFUNCTION("""COMPUTED_VALUE"""),43035.64583333333)</f>
        <v>43035.64583</v>
      </c>
      <c r="B3160" s="9">
        <f>IFERROR(__xludf.DUMMYFUNCTION("""COMPUTED_VALUE"""),477.5)</f>
        <v>477.5</v>
      </c>
      <c r="C3160" s="9">
        <f>IFERROR(__xludf.DUMMYFUNCTION("""COMPUTED_VALUE"""),478.85)</f>
        <v>478.85</v>
      </c>
      <c r="D3160" s="9">
        <f>IFERROR(__xludf.DUMMYFUNCTION("""COMPUTED_VALUE"""),472.0)</f>
        <v>472</v>
      </c>
      <c r="E3160" s="9">
        <f>IFERROR(__xludf.DUMMYFUNCTION("""COMPUTED_VALUE"""),473.18)</f>
        <v>473.18</v>
      </c>
      <c r="F3160" s="9">
        <f>IFERROR(__xludf.DUMMYFUNCTION("""COMPUTED_VALUE"""),4262478.0)</f>
        <v>4262478</v>
      </c>
      <c r="H3160" s="27">
        <f>IFERROR(__xludf.DUMMYFUNCTION("""COMPUTED_VALUE"""),43035.64583333333)</f>
        <v>43035.64583</v>
      </c>
      <c r="I3160" s="25">
        <f>IFERROR(__xludf.DUMMYFUNCTION("""COMPUTED_VALUE"""),1269.0)</f>
        <v>1269</v>
      </c>
      <c r="J3160" s="25">
        <f>IFERROR(__xludf.DUMMYFUNCTION("""COMPUTED_VALUE"""),1296.58)</f>
        <v>1296.58</v>
      </c>
      <c r="K3160" s="25">
        <f>IFERROR(__xludf.DUMMYFUNCTION("""COMPUTED_VALUE"""),1265.15)</f>
        <v>1265.15</v>
      </c>
      <c r="L3160" s="25">
        <f>IFERROR(__xludf.DUMMYFUNCTION("""COMPUTED_VALUE"""),1292.15)</f>
        <v>1292.15</v>
      </c>
      <c r="M3160" s="25">
        <f>IFERROR(__xludf.DUMMYFUNCTION("""COMPUTED_VALUE"""),704635.0)</f>
        <v>704635</v>
      </c>
    </row>
    <row r="3161">
      <c r="A3161" s="26">
        <f>IFERROR(__xludf.DUMMYFUNCTION("""COMPUTED_VALUE"""),43038.64583333333)</f>
        <v>43038.64583</v>
      </c>
      <c r="B3161" s="9">
        <f>IFERROR(__xludf.DUMMYFUNCTION("""COMPUTED_VALUE"""),477.33)</f>
        <v>477.33</v>
      </c>
      <c r="C3161" s="9">
        <f>IFERROR(__xludf.DUMMYFUNCTION("""COMPUTED_VALUE"""),477.33)</f>
        <v>477.33</v>
      </c>
      <c r="D3161" s="9">
        <f>IFERROR(__xludf.DUMMYFUNCTION("""COMPUTED_VALUE"""),470.53)</f>
        <v>470.53</v>
      </c>
      <c r="E3161" s="9">
        <f>IFERROR(__xludf.DUMMYFUNCTION("""COMPUTED_VALUE"""),472.05)</f>
        <v>472.05</v>
      </c>
      <c r="F3161" s="9">
        <f>IFERROR(__xludf.DUMMYFUNCTION("""COMPUTED_VALUE"""),6484163.0)</f>
        <v>6484163</v>
      </c>
      <c r="H3161" s="27">
        <f>IFERROR(__xludf.DUMMYFUNCTION("""COMPUTED_VALUE"""),43038.64583333333)</f>
        <v>43038.64583</v>
      </c>
      <c r="I3161" s="25">
        <f>IFERROR(__xludf.DUMMYFUNCTION("""COMPUTED_VALUE"""),1293.0)</f>
        <v>1293</v>
      </c>
      <c r="J3161" s="25">
        <f>IFERROR(__xludf.DUMMYFUNCTION("""COMPUTED_VALUE"""),1310.0)</f>
        <v>1310</v>
      </c>
      <c r="K3161" s="25">
        <f>IFERROR(__xludf.DUMMYFUNCTION("""COMPUTED_VALUE"""),1290.85)</f>
        <v>1290.85</v>
      </c>
      <c r="L3161" s="25">
        <f>IFERROR(__xludf.DUMMYFUNCTION("""COMPUTED_VALUE"""),1308.1)</f>
        <v>1308.1</v>
      </c>
      <c r="M3161" s="25">
        <f>IFERROR(__xludf.DUMMYFUNCTION("""COMPUTED_VALUE"""),568626.0)</f>
        <v>568626</v>
      </c>
    </row>
    <row r="3162">
      <c r="A3162" s="26">
        <f>IFERROR(__xludf.DUMMYFUNCTION("""COMPUTED_VALUE"""),43039.64583333333)</f>
        <v>43039.64583</v>
      </c>
      <c r="B3162" s="9">
        <f>IFERROR(__xludf.DUMMYFUNCTION("""COMPUTED_VALUE"""),462.5)</f>
        <v>462.5</v>
      </c>
      <c r="C3162" s="9">
        <f>IFERROR(__xludf.DUMMYFUNCTION("""COMPUTED_VALUE"""),465.0)</f>
        <v>465</v>
      </c>
      <c r="D3162" s="9">
        <f>IFERROR(__xludf.DUMMYFUNCTION("""COMPUTED_VALUE"""),460.0)</f>
        <v>460</v>
      </c>
      <c r="E3162" s="9">
        <f>IFERROR(__xludf.DUMMYFUNCTION("""COMPUTED_VALUE"""),460.93)</f>
        <v>460.93</v>
      </c>
      <c r="F3162" s="9">
        <f>IFERROR(__xludf.DUMMYFUNCTION("""COMPUTED_VALUE"""),4977494.0)</f>
        <v>4977494</v>
      </c>
      <c r="H3162" s="27">
        <f>IFERROR(__xludf.DUMMYFUNCTION("""COMPUTED_VALUE"""),43039.64583333333)</f>
        <v>43039.64583</v>
      </c>
      <c r="I3162" s="25">
        <f>IFERROR(__xludf.DUMMYFUNCTION("""COMPUTED_VALUE"""),1300.65)</f>
        <v>1300.65</v>
      </c>
      <c r="J3162" s="25">
        <f>IFERROR(__xludf.DUMMYFUNCTION("""COMPUTED_VALUE"""),1320.0)</f>
        <v>1320</v>
      </c>
      <c r="K3162" s="25">
        <f>IFERROR(__xludf.DUMMYFUNCTION("""COMPUTED_VALUE"""),1300.65)</f>
        <v>1300.65</v>
      </c>
      <c r="L3162" s="25">
        <f>IFERROR(__xludf.DUMMYFUNCTION("""COMPUTED_VALUE"""),1312.0)</f>
        <v>1312</v>
      </c>
      <c r="M3162" s="25">
        <f>IFERROR(__xludf.DUMMYFUNCTION("""COMPUTED_VALUE"""),796317.0)</f>
        <v>796317</v>
      </c>
    </row>
    <row r="3163">
      <c r="A3163" s="26">
        <f>IFERROR(__xludf.DUMMYFUNCTION("""COMPUTED_VALUE"""),43040.64583333333)</f>
        <v>43040.64583</v>
      </c>
      <c r="B3163" s="9">
        <f>IFERROR(__xludf.DUMMYFUNCTION("""COMPUTED_VALUE"""),462.5)</f>
        <v>462.5</v>
      </c>
      <c r="C3163" s="9">
        <f>IFERROR(__xludf.DUMMYFUNCTION("""COMPUTED_VALUE"""),464.7)</f>
        <v>464.7</v>
      </c>
      <c r="D3163" s="9">
        <f>IFERROR(__xludf.DUMMYFUNCTION("""COMPUTED_VALUE"""),461.65)</f>
        <v>461.65</v>
      </c>
      <c r="E3163" s="9">
        <f>IFERROR(__xludf.DUMMYFUNCTION("""COMPUTED_VALUE"""),463.53)</f>
        <v>463.53</v>
      </c>
      <c r="F3163" s="9">
        <f>IFERROR(__xludf.DUMMYFUNCTION("""COMPUTED_VALUE"""),2816567.0)</f>
        <v>2816567</v>
      </c>
      <c r="H3163" s="27">
        <f>IFERROR(__xludf.DUMMYFUNCTION("""COMPUTED_VALUE"""),43040.64583333333)</f>
        <v>43040.64583</v>
      </c>
      <c r="I3163" s="25">
        <f>IFERROR(__xludf.DUMMYFUNCTION("""COMPUTED_VALUE"""),1312.0)</f>
        <v>1312</v>
      </c>
      <c r="J3163" s="25">
        <f>IFERROR(__xludf.DUMMYFUNCTION("""COMPUTED_VALUE"""),1313.43)</f>
        <v>1313.43</v>
      </c>
      <c r="K3163" s="25">
        <f>IFERROR(__xludf.DUMMYFUNCTION("""COMPUTED_VALUE"""),1289.43)</f>
        <v>1289.43</v>
      </c>
      <c r="L3163" s="25">
        <f>IFERROR(__xludf.DUMMYFUNCTION("""COMPUTED_VALUE"""),1301.43)</f>
        <v>1301.43</v>
      </c>
      <c r="M3163" s="25">
        <f>IFERROR(__xludf.DUMMYFUNCTION("""COMPUTED_VALUE"""),370941.0)</f>
        <v>370941</v>
      </c>
    </row>
    <row r="3164">
      <c r="A3164" s="26">
        <f>IFERROR(__xludf.DUMMYFUNCTION("""COMPUTED_VALUE"""),43041.64583333333)</f>
        <v>43041.64583</v>
      </c>
      <c r="B3164" s="9">
        <f>IFERROR(__xludf.DUMMYFUNCTION("""COMPUTED_VALUE"""),461.53)</f>
        <v>461.53</v>
      </c>
      <c r="C3164" s="9">
        <f>IFERROR(__xludf.DUMMYFUNCTION("""COMPUTED_VALUE"""),463.0)</f>
        <v>463</v>
      </c>
      <c r="D3164" s="9">
        <f>IFERROR(__xludf.DUMMYFUNCTION("""COMPUTED_VALUE"""),460.0)</f>
        <v>460</v>
      </c>
      <c r="E3164" s="9">
        <f>IFERROR(__xludf.DUMMYFUNCTION("""COMPUTED_VALUE"""),461.45)</f>
        <v>461.45</v>
      </c>
      <c r="F3164" s="9">
        <f>IFERROR(__xludf.DUMMYFUNCTION("""COMPUTED_VALUE"""),2343069.0)</f>
        <v>2343069</v>
      </c>
      <c r="H3164" s="27">
        <f>IFERROR(__xludf.DUMMYFUNCTION("""COMPUTED_VALUE"""),43041.64583333333)</f>
        <v>43041.64583</v>
      </c>
      <c r="I3164" s="25">
        <f>IFERROR(__xludf.DUMMYFUNCTION("""COMPUTED_VALUE"""),1304.25)</f>
        <v>1304.25</v>
      </c>
      <c r="J3164" s="25">
        <f>IFERROR(__xludf.DUMMYFUNCTION("""COMPUTED_VALUE"""),1337.0)</f>
        <v>1337</v>
      </c>
      <c r="K3164" s="25">
        <f>IFERROR(__xludf.DUMMYFUNCTION("""COMPUTED_VALUE"""),1303.38)</f>
        <v>1303.38</v>
      </c>
      <c r="L3164" s="25">
        <f>IFERROR(__xludf.DUMMYFUNCTION("""COMPUTED_VALUE"""),1313.08)</f>
        <v>1313.08</v>
      </c>
      <c r="M3164" s="25">
        <f>IFERROR(__xludf.DUMMYFUNCTION("""COMPUTED_VALUE"""),734211.0)</f>
        <v>734211</v>
      </c>
    </row>
    <row r="3165">
      <c r="A3165" s="26">
        <f>IFERROR(__xludf.DUMMYFUNCTION("""COMPUTED_VALUE"""),43042.64583333333)</f>
        <v>43042.64583</v>
      </c>
      <c r="B3165" s="9">
        <f>IFERROR(__xludf.DUMMYFUNCTION("""COMPUTED_VALUE"""),458.5)</f>
        <v>458.5</v>
      </c>
      <c r="C3165" s="9">
        <f>IFERROR(__xludf.DUMMYFUNCTION("""COMPUTED_VALUE"""),464.95)</f>
        <v>464.95</v>
      </c>
      <c r="D3165" s="9">
        <f>IFERROR(__xludf.DUMMYFUNCTION("""COMPUTED_VALUE"""),458.48)</f>
        <v>458.48</v>
      </c>
      <c r="E3165" s="9">
        <f>IFERROR(__xludf.DUMMYFUNCTION("""COMPUTED_VALUE"""),463.33)</f>
        <v>463.33</v>
      </c>
      <c r="F3165" s="9">
        <f>IFERROR(__xludf.DUMMYFUNCTION("""COMPUTED_VALUE"""),1849543.0)</f>
        <v>1849543</v>
      </c>
      <c r="H3165" s="27">
        <f>IFERROR(__xludf.DUMMYFUNCTION("""COMPUTED_VALUE"""),43042.64583333333)</f>
        <v>43042.64583</v>
      </c>
      <c r="I3165" s="25">
        <f>IFERROR(__xludf.DUMMYFUNCTION("""COMPUTED_VALUE"""),1316.2)</f>
        <v>1316.2</v>
      </c>
      <c r="J3165" s="25">
        <f>IFERROR(__xludf.DUMMYFUNCTION("""COMPUTED_VALUE"""),1318.35)</f>
        <v>1318.35</v>
      </c>
      <c r="K3165" s="25">
        <f>IFERROR(__xludf.DUMMYFUNCTION("""COMPUTED_VALUE"""),1301.4)</f>
        <v>1301.4</v>
      </c>
      <c r="L3165" s="25">
        <f>IFERROR(__xludf.DUMMYFUNCTION("""COMPUTED_VALUE"""),1310.05)</f>
        <v>1310.05</v>
      </c>
      <c r="M3165" s="25">
        <f>IFERROR(__xludf.DUMMYFUNCTION("""COMPUTED_VALUE"""),333443.0)</f>
        <v>333443</v>
      </c>
    </row>
    <row r="3166">
      <c r="A3166" s="26">
        <f>IFERROR(__xludf.DUMMYFUNCTION("""COMPUTED_VALUE"""),43045.64583333333)</f>
        <v>43045.64583</v>
      </c>
      <c r="B3166" s="9">
        <f>IFERROR(__xludf.DUMMYFUNCTION("""COMPUTED_VALUE"""),461.58)</f>
        <v>461.58</v>
      </c>
      <c r="C3166" s="9">
        <f>IFERROR(__xludf.DUMMYFUNCTION("""COMPUTED_VALUE"""),467.5)</f>
        <v>467.5</v>
      </c>
      <c r="D3166" s="9">
        <f>IFERROR(__xludf.DUMMYFUNCTION("""COMPUTED_VALUE"""),461.33)</f>
        <v>461.33</v>
      </c>
      <c r="E3166" s="9">
        <f>IFERROR(__xludf.DUMMYFUNCTION("""COMPUTED_VALUE"""),464.35)</f>
        <v>464.35</v>
      </c>
      <c r="F3166" s="9">
        <f>IFERROR(__xludf.DUMMYFUNCTION("""COMPUTED_VALUE"""),2533267.0)</f>
        <v>2533267</v>
      </c>
      <c r="H3166" s="27">
        <f>IFERROR(__xludf.DUMMYFUNCTION("""COMPUTED_VALUE"""),43045.64583333333)</f>
        <v>43045.64583</v>
      </c>
      <c r="I3166" s="25">
        <f>IFERROR(__xludf.DUMMYFUNCTION("""COMPUTED_VALUE"""),1310.0)</f>
        <v>1310</v>
      </c>
      <c r="J3166" s="25">
        <f>IFERROR(__xludf.DUMMYFUNCTION("""COMPUTED_VALUE"""),1335.9)</f>
        <v>1335.9</v>
      </c>
      <c r="K3166" s="25">
        <f>IFERROR(__xludf.DUMMYFUNCTION("""COMPUTED_VALUE"""),1305.88)</f>
        <v>1305.88</v>
      </c>
      <c r="L3166" s="25">
        <f>IFERROR(__xludf.DUMMYFUNCTION("""COMPUTED_VALUE"""),1332.78)</f>
        <v>1332.78</v>
      </c>
      <c r="M3166" s="25">
        <f>IFERROR(__xludf.DUMMYFUNCTION("""COMPUTED_VALUE"""),688500.0)</f>
        <v>688500</v>
      </c>
    </row>
    <row r="3167">
      <c r="A3167" s="26">
        <f>IFERROR(__xludf.DUMMYFUNCTION("""COMPUTED_VALUE"""),43046.64583333333)</f>
        <v>43046.64583</v>
      </c>
      <c r="B3167" s="9">
        <f>IFERROR(__xludf.DUMMYFUNCTION("""COMPUTED_VALUE"""),463.13)</f>
        <v>463.13</v>
      </c>
      <c r="C3167" s="9">
        <f>IFERROR(__xludf.DUMMYFUNCTION("""COMPUTED_VALUE"""),480.0)</f>
        <v>480</v>
      </c>
      <c r="D3167" s="9">
        <f>IFERROR(__xludf.DUMMYFUNCTION("""COMPUTED_VALUE"""),462.93)</f>
        <v>462.93</v>
      </c>
      <c r="E3167" s="9">
        <f>IFERROR(__xludf.DUMMYFUNCTION("""COMPUTED_VALUE"""),477.75)</f>
        <v>477.75</v>
      </c>
      <c r="F3167" s="9">
        <f>IFERROR(__xludf.DUMMYFUNCTION("""COMPUTED_VALUE"""),6721410.0)</f>
        <v>6721410</v>
      </c>
      <c r="H3167" s="27">
        <f>IFERROR(__xludf.DUMMYFUNCTION("""COMPUTED_VALUE"""),43046.64583333333)</f>
        <v>43046.64583</v>
      </c>
      <c r="I3167" s="25">
        <f>IFERROR(__xludf.DUMMYFUNCTION("""COMPUTED_VALUE"""),1335.0)</f>
        <v>1335</v>
      </c>
      <c r="J3167" s="25">
        <f>IFERROR(__xludf.DUMMYFUNCTION("""COMPUTED_VALUE"""),1384.0)</f>
        <v>1384</v>
      </c>
      <c r="K3167" s="25">
        <f>IFERROR(__xludf.DUMMYFUNCTION("""COMPUTED_VALUE"""),1333.03)</f>
        <v>1333.03</v>
      </c>
      <c r="L3167" s="25">
        <f>IFERROR(__xludf.DUMMYFUNCTION("""COMPUTED_VALUE"""),1355.03)</f>
        <v>1355.03</v>
      </c>
      <c r="M3167" s="25">
        <f>IFERROR(__xludf.DUMMYFUNCTION("""COMPUTED_VALUE"""),1348446.0)</f>
        <v>1348446</v>
      </c>
    </row>
    <row r="3168">
      <c r="A3168" s="26">
        <f>IFERROR(__xludf.DUMMYFUNCTION("""COMPUTED_VALUE"""),43047.64583333333)</f>
        <v>43047.64583</v>
      </c>
      <c r="B3168" s="9">
        <f>IFERROR(__xludf.DUMMYFUNCTION("""COMPUTED_VALUE"""),480.13)</f>
        <v>480.13</v>
      </c>
      <c r="C3168" s="9">
        <f>IFERROR(__xludf.DUMMYFUNCTION("""COMPUTED_VALUE"""),480.93)</f>
        <v>480.93</v>
      </c>
      <c r="D3168" s="9">
        <f>IFERROR(__xludf.DUMMYFUNCTION("""COMPUTED_VALUE"""),473.75)</f>
        <v>473.75</v>
      </c>
      <c r="E3168" s="9">
        <f>IFERROR(__xludf.DUMMYFUNCTION("""COMPUTED_VALUE"""),476.15)</f>
        <v>476.15</v>
      </c>
      <c r="F3168" s="9">
        <f>IFERROR(__xludf.DUMMYFUNCTION("""COMPUTED_VALUE"""),2684997.0)</f>
        <v>2684997</v>
      </c>
      <c r="H3168" s="27">
        <f>IFERROR(__xludf.DUMMYFUNCTION("""COMPUTED_VALUE"""),43047.64583333333)</f>
        <v>43047.64583</v>
      </c>
      <c r="I3168" s="25">
        <f>IFERROR(__xludf.DUMMYFUNCTION("""COMPUTED_VALUE"""),1361.5)</f>
        <v>1361.5</v>
      </c>
      <c r="J3168" s="25">
        <f>IFERROR(__xludf.DUMMYFUNCTION("""COMPUTED_VALUE"""),1379.5)</f>
        <v>1379.5</v>
      </c>
      <c r="K3168" s="25">
        <f>IFERROR(__xludf.DUMMYFUNCTION("""COMPUTED_VALUE"""),1359.13)</f>
        <v>1359.13</v>
      </c>
      <c r="L3168" s="25">
        <f>IFERROR(__xludf.DUMMYFUNCTION("""COMPUTED_VALUE"""),1367.5)</f>
        <v>1367.5</v>
      </c>
      <c r="M3168" s="25">
        <f>IFERROR(__xludf.DUMMYFUNCTION("""COMPUTED_VALUE"""),701126.0)</f>
        <v>701126</v>
      </c>
    </row>
    <row r="3169">
      <c r="A3169" s="26">
        <f>IFERROR(__xludf.DUMMYFUNCTION("""COMPUTED_VALUE"""),43048.64583333333)</f>
        <v>43048.64583</v>
      </c>
      <c r="B3169" s="9">
        <f>IFERROR(__xludf.DUMMYFUNCTION("""COMPUTED_VALUE"""),476.5)</f>
        <v>476.5</v>
      </c>
      <c r="C3169" s="9">
        <f>IFERROR(__xludf.DUMMYFUNCTION("""COMPUTED_VALUE"""),481.5)</f>
        <v>481.5</v>
      </c>
      <c r="D3169" s="9">
        <f>IFERROR(__xludf.DUMMYFUNCTION("""COMPUTED_VALUE"""),474.13)</f>
        <v>474.13</v>
      </c>
      <c r="E3169" s="9">
        <f>IFERROR(__xludf.DUMMYFUNCTION("""COMPUTED_VALUE"""),477.25)</f>
        <v>477.25</v>
      </c>
      <c r="F3169" s="9">
        <f>IFERROR(__xludf.DUMMYFUNCTION("""COMPUTED_VALUE"""),2361616.0)</f>
        <v>2361616</v>
      </c>
      <c r="H3169" s="27">
        <f>IFERROR(__xludf.DUMMYFUNCTION("""COMPUTED_VALUE"""),43048.64583333333)</f>
        <v>43048.64583</v>
      </c>
      <c r="I3169" s="25">
        <f>IFERROR(__xludf.DUMMYFUNCTION("""COMPUTED_VALUE"""),1375.0)</f>
        <v>1375</v>
      </c>
      <c r="J3169" s="25">
        <f>IFERROR(__xludf.DUMMYFUNCTION("""COMPUTED_VALUE"""),1375.0)</f>
        <v>1375</v>
      </c>
      <c r="K3169" s="25">
        <f>IFERROR(__xludf.DUMMYFUNCTION("""COMPUTED_VALUE"""),1359.65)</f>
        <v>1359.65</v>
      </c>
      <c r="L3169" s="25">
        <f>IFERROR(__xludf.DUMMYFUNCTION("""COMPUTED_VALUE"""),1368.2)</f>
        <v>1368.2</v>
      </c>
      <c r="M3169" s="25">
        <f>IFERROR(__xludf.DUMMYFUNCTION("""COMPUTED_VALUE"""),576216.0)</f>
        <v>576216</v>
      </c>
    </row>
    <row r="3170">
      <c r="A3170" s="26">
        <f>IFERROR(__xludf.DUMMYFUNCTION("""COMPUTED_VALUE"""),43049.64583333333)</f>
        <v>43049.64583</v>
      </c>
      <c r="B3170" s="9">
        <f>IFERROR(__xludf.DUMMYFUNCTION("""COMPUTED_VALUE"""),479.4)</f>
        <v>479.4</v>
      </c>
      <c r="C3170" s="9">
        <f>IFERROR(__xludf.DUMMYFUNCTION("""COMPUTED_VALUE"""),482.18)</f>
        <v>482.18</v>
      </c>
      <c r="D3170" s="9">
        <f>IFERROR(__xludf.DUMMYFUNCTION("""COMPUTED_VALUE"""),475.0)</f>
        <v>475</v>
      </c>
      <c r="E3170" s="9">
        <f>IFERROR(__xludf.DUMMYFUNCTION("""COMPUTED_VALUE"""),481.03)</f>
        <v>481.03</v>
      </c>
      <c r="F3170" s="9">
        <f>IFERROR(__xludf.DUMMYFUNCTION("""COMPUTED_VALUE"""),3294714.0)</f>
        <v>3294714</v>
      </c>
      <c r="H3170" s="27">
        <f>IFERROR(__xludf.DUMMYFUNCTION("""COMPUTED_VALUE"""),43049.64583333333)</f>
        <v>43049.64583</v>
      </c>
      <c r="I3170" s="25">
        <f>IFERROR(__xludf.DUMMYFUNCTION("""COMPUTED_VALUE"""),1361.1)</f>
        <v>1361.1</v>
      </c>
      <c r="J3170" s="25">
        <f>IFERROR(__xludf.DUMMYFUNCTION("""COMPUTED_VALUE"""),1363.0)</f>
        <v>1363</v>
      </c>
      <c r="K3170" s="25">
        <f>IFERROR(__xludf.DUMMYFUNCTION("""COMPUTED_VALUE"""),1346.68)</f>
        <v>1346.68</v>
      </c>
      <c r="L3170" s="25">
        <f>IFERROR(__xludf.DUMMYFUNCTION("""COMPUTED_VALUE"""),1354.38)</f>
        <v>1354.38</v>
      </c>
      <c r="M3170" s="25">
        <f>IFERROR(__xludf.DUMMYFUNCTION("""COMPUTED_VALUE"""),678283.0)</f>
        <v>678283</v>
      </c>
    </row>
    <row r="3171">
      <c r="A3171" s="26">
        <f>IFERROR(__xludf.DUMMYFUNCTION("""COMPUTED_VALUE"""),43052.64583333333)</f>
        <v>43052.64583</v>
      </c>
      <c r="B3171" s="9">
        <f>IFERROR(__xludf.DUMMYFUNCTION("""COMPUTED_VALUE"""),481.03)</f>
        <v>481.03</v>
      </c>
      <c r="C3171" s="9">
        <f>IFERROR(__xludf.DUMMYFUNCTION("""COMPUTED_VALUE"""),484.7)</f>
        <v>484.7</v>
      </c>
      <c r="D3171" s="9">
        <f>IFERROR(__xludf.DUMMYFUNCTION("""COMPUTED_VALUE"""),474.68)</f>
        <v>474.68</v>
      </c>
      <c r="E3171" s="9">
        <f>IFERROR(__xludf.DUMMYFUNCTION("""COMPUTED_VALUE"""),475.98)</f>
        <v>475.98</v>
      </c>
      <c r="F3171" s="9">
        <f>IFERROR(__xludf.DUMMYFUNCTION("""COMPUTED_VALUE"""),2510608.0)</f>
        <v>2510608</v>
      </c>
      <c r="H3171" s="27">
        <f>IFERROR(__xludf.DUMMYFUNCTION("""COMPUTED_VALUE"""),43052.64583333333)</f>
        <v>43052.64583</v>
      </c>
      <c r="I3171" s="25">
        <f>IFERROR(__xludf.DUMMYFUNCTION("""COMPUTED_VALUE"""),1351.03)</f>
        <v>1351.03</v>
      </c>
      <c r="J3171" s="25">
        <f>IFERROR(__xludf.DUMMYFUNCTION("""COMPUTED_VALUE"""),1388.7)</f>
        <v>1388.7</v>
      </c>
      <c r="K3171" s="25">
        <f>IFERROR(__xludf.DUMMYFUNCTION("""COMPUTED_VALUE"""),1351.03)</f>
        <v>1351.03</v>
      </c>
      <c r="L3171" s="25">
        <f>IFERROR(__xludf.DUMMYFUNCTION("""COMPUTED_VALUE"""),1379.48)</f>
        <v>1379.48</v>
      </c>
      <c r="M3171" s="25">
        <f>IFERROR(__xludf.DUMMYFUNCTION("""COMPUTED_VALUE"""),748498.0)</f>
        <v>748498</v>
      </c>
    </row>
    <row r="3172">
      <c r="A3172" s="26">
        <f>IFERROR(__xludf.DUMMYFUNCTION("""COMPUTED_VALUE"""),43053.64583333333)</f>
        <v>43053.64583</v>
      </c>
      <c r="B3172" s="9">
        <f>IFERROR(__xludf.DUMMYFUNCTION("""COMPUTED_VALUE"""),475.98)</f>
        <v>475.98</v>
      </c>
      <c r="C3172" s="9">
        <f>IFERROR(__xludf.DUMMYFUNCTION("""COMPUTED_VALUE"""),477.43)</f>
        <v>477.43</v>
      </c>
      <c r="D3172" s="9">
        <f>IFERROR(__xludf.DUMMYFUNCTION("""COMPUTED_VALUE"""),471.63)</f>
        <v>471.63</v>
      </c>
      <c r="E3172" s="9">
        <f>IFERROR(__xludf.DUMMYFUNCTION("""COMPUTED_VALUE"""),474.55)</f>
        <v>474.55</v>
      </c>
      <c r="F3172" s="9">
        <f>IFERROR(__xludf.DUMMYFUNCTION("""COMPUTED_VALUE"""),2866855.0)</f>
        <v>2866855</v>
      </c>
      <c r="H3172" s="27">
        <f>IFERROR(__xludf.DUMMYFUNCTION("""COMPUTED_VALUE"""),43053.64583333333)</f>
        <v>43053.64583</v>
      </c>
      <c r="I3172" s="25">
        <f>IFERROR(__xludf.DUMMYFUNCTION("""COMPUTED_VALUE"""),1378.28)</f>
        <v>1378.28</v>
      </c>
      <c r="J3172" s="25">
        <f>IFERROR(__xludf.DUMMYFUNCTION("""COMPUTED_VALUE"""),1378.28)</f>
        <v>1378.28</v>
      </c>
      <c r="K3172" s="25">
        <f>IFERROR(__xludf.DUMMYFUNCTION("""COMPUTED_VALUE"""),1353.75)</f>
        <v>1353.75</v>
      </c>
      <c r="L3172" s="25">
        <f>IFERROR(__xludf.DUMMYFUNCTION("""COMPUTED_VALUE"""),1357.3)</f>
        <v>1357.3</v>
      </c>
      <c r="M3172" s="25">
        <f>IFERROR(__xludf.DUMMYFUNCTION("""COMPUTED_VALUE"""),828626.0)</f>
        <v>828626</v>
      </c>
    </row>
    <row r="3173">
      <c r="A3173" s="26">
        <f>IFERROR(__xludf.DUMMYFUNCTION("""COMPUTED_VALUE"""),43054.64583333333)</f>
        <v>43054.64583</v>
      </c>
      <c r="B3173" s="9">
        <f>IFERROR(__xludf.DUMMYFUNCTION("""COMPUTED_VALUE"""),472.58)</f>
        <v>472.58</v>
      </c>
      <c r="C3173" s="9">
        <f>IFERROR(__xludf.DUMMYFUNCTION("""COMPUTED_VALUE"""),476.75)</f>
        <v>476.75</v>
      </c>
      <c r="D3173" s="9">
        <f>IFERROR(__xludf.DUMMYFUNCTION("""COMPUTED_VALUE"""),472.25)</f>
        <v>472.25</v>
      </c>
      <c r="E3173" s="9">
        <f>IFERROR(__xludf.DUMMYFUNCTION("""COMPUTED_VALUE"""),475.9)</f>
        <v>475.9</v>
      </c>
      <c r="F3173" s="9">
        <f>IFERROR(__xludf.DUMMYFUNCTION("""COMPUTED_VALUE"""),3511758.0)</f>
        <v>3511758</v>
      </c>
      <c r="H3173" s="27">
        <f>IFERROR(__xludf.DUMMYFUNCTION("""COMPUTED_VALUE"""),43054.64583333333)</f>
        <v>43054.64583</v>
      </c>
      <c r="I3173" s="25">
        <f>IFERROR(__xludf.DUMMYFUNCTION("""COMPUTED_VALUE"""),1353.0)</f>
        <v>1353</v>
      </c>
      <c r="J3173" s="25">
        <f>IFERROR(__xludf.DUMMYFUNCTION("""COMPUTED_VALUE"""),1377.5)</f>
        <v>1377.5</v>
      </c>
      <c r="K3173" s="25">
        <f>IFERROR(__xludf.DUMMYFUNCTION("""COMPUTED_VALUE"""),1350.68)</f>
        <v>1350.68</v>
      </c>
      <c r="L3173" s="25">
        <f>IFERROR(__xludf.DUMMYFUNCTION("""COMPUTED_VALUE"""),1352.65)</f>
        <v>1352.65</v>
      </c>
      <c r="M3173" s="25">
        <f>IFERROR(__xludf.DUMMYFUNCTION("""COMPUTED_VALUE"""),3335417.0)</f>
        <v>3335417</v>
      </c>
    </row>
    <row r="3174">
      <c r="A3174" s="26">
        <f>IFERROR(__xludf.DUMMYFUNCTION("""COMPUTED_VALUE"""),43055.64583333333)</f>
        <v>43055.64583</v>
      </c>
      <c r="B3174" s="9">
        <f>IFERROR(__xludf.DUMMYFUNCTION("""COMPUTED_VALUE"""),475.9)</f>
        <v>475.9</v>
      </c>
      <c r="C3174" s="9">
        <f>IFERROR(__xludf.DUMMYFUNCTION("""COMPUTED_VALUE"""),497.95)</f>
        <v>497.95</v>
      </c>
      <c r="D3174" s="9">
        <f>IFERROR(__xludf.DUMMYFUNCTION("""COMPUTED_VALUE"""),474.25)</f>
        <v>474.25</v>
      </c>
      <c r="E3174" s="9">
        <f>IFERROR(__xludf.DUMMYFUNCTION("""COMPUTED_VALUE"""),494.2)</f>
        <v>494.2</v>
      </c>
      <c r="F3174" s="9">
        <f>IFERROR(__xludf.DUMMYFUNCTION("""COMPUTED_VALUE"""),7843751.0)</f>
        <v>7843751</v>
      </c>
      <c r="H3174" s="27">
        <f>IFERROR(__xludf.DUMMYFUNCTION("""COMPUTED_VALUE"""),43055.64583333333)</f>
        <v>43055.64583</v>
      </c>
      <c r="I3174" s="25">
        <f>IFERROR(__xludf.DUMMYFUNCTION("""COMPUTED_VALUE"""),1355.0)</f>
        <v>1355</v>
      </c>
      <c r="J3174" s="25">
        <f>IFERROR(__xludf.DUMMYFUNCTION("""COMPUTED_VALUE"""),1381.5)</f>
        <v>1381.5</v>
      </c>
      <c r="K3174" s="25">
        <f>IFERROR(__xludf.DUMMYFUNCTION("""COMPUTED_VALUE"""),1343.48)</f>
        <v>1343.48</v>
      </c>
      <c r="L3174" s="25">
        <f>IFERROR(__xludf.DUMMYFUNCTION("""COMPUTED_VALUE"""),1373.33)</f>
        <v>1373.33</v>
      </c>
      <c r="M3174" s="25">
        <f>IFERROR(__xludf.DUMMYFUNCTION("""COMPUTED_VALUE"""),826741.0)</f>
        <v>826741</v>
      </c>
    </row>
    <row r="3175">
      <c r="A3175" s="26">
        <f>IFERROR(__xludf.DUMMYFUNCTION("""COMPUTED_VALUE"""),43056.64583333333)</f>
        <v>43056.64583</v>
      </c>
      <c r="B3175" s="9">
        <f>IFERROR(__xludf.DUMMYFUNCTION("""COMPUTED_VALUE"""),492.75)</f>
        <v>492.75</v>
      </c>
      <c r="C3175" s="9">
        <f>IFERROR(__xludf.DUMMYFUNCTION("""COMPUTED_VALUE"""),492.75)</f>
        <v>492.75</v>
      </c>
      <c r="D3175" s="9">
        <f>IFERROR(__xludf.DUMMYFUNCTION("""COMPUTED_VALUE"""),482.58)</f>
        <v>482.58</v>
      </c>
      <c r="E3175" s="9">
        <f>IFERROR(__xludf.DUMMYFUNCTION("""COMPUTED_VALUE"""),485.48)</f>
        <v>485.48</v>
      </c>
      <c r="F3175" s="9">
        <f>IFERROR(__xludf.DUMMYFUNCTION("""COMPUTED_VALUE"""),4028835.0)</f>
        <v>4028835</v>
      </c>
      <c r="H3175" s="27">
        <f>IFERROR(__xludf.DUMMYFUNCTION("""COMPUTED_VALUE"""),43056.64583333333)</f>
        <v>43056.64583</v>
      </c>
      <c r="I3175" s="25">
        <f>IFERROR(__xludf.DUMMYFUNCTION("""COMPUTED_VALUE"""),1374.05)</f>
        <v>1374.05</v>
      </c>
      <c r="J3175" s="25">
        <f>IFERROR(__xludf.DUMMYFUNCTION("""COMPUTED_VALUE"""),1374.05)</f>
        <v>1374.05</v>
      </c>
      <c r="K3175" s="25">
        <f>IFERROR(__xludf.DUMMYFUNCTION("""COMPUTED_VALUE"""),1351.8)</f>
        <v>1351.8</v>
      </c>
      <c r="L3175" s="25">
        <f>IFERROR(__xludf.DUMMYFUNCTION("""COMPUTED_VALUE"""),1353.65)</f>
        <v>1353.65</v>
      </c>
      <c r="M3175" s="25">
        <f>IFERROR(__xludf.DUMMYFUNCTION("""COMPUTED_VALUE"""),662732.0)</f>
        <v>662732</v>
      </c>
    </row>
    <row r="3176">
      <c r="A3176" s="26">
        <f>IFERROR(__xludf.DUMMYFUNCTION("""COMPUTED_VALUE"""),43059.64583333333)</f>
        <v>43059.64583</v>
      </c>
      <c r="B3176" s="9">
        <f>IFERROR(__xludf.DUMMYFUNCTION("""COMPUTED_VALUE"""),484.5)</f>
        <v>484.5</v>
      </c>
      <c r="C3176" s="9">
        <f>IFERROR(__xludf.DUMMYFUNCTION("""COMPUTED_VALUE"""),485.5)</f>
        <v>485.5</v>
      </c>
      <c r="D3176" s="9">
        <f>IFERROR(__xludf.DUMMYFUNCTION("""COMPUTED_VALUE"""),478.63)</f>
        <v>478.63</v>
      </c>
      <c r="E3176" s="9">
        <f>IFERROR(__xludf.DUMMYFUNCTION("""COMPUTED_VALUE"""),480.28)</f>
        <v>480.28</v>
      </c>
      <c r="F3176" s="9">
        <f>IFERROR(__xludf.DUMMYFUNCTION("""COMPUTED_VALUE"""),2830595.0)</f>
        <v>2830595</v>
      </c>
      <c r="H3176" s="27">
        <f>IFERROR(__xludf.DUMMYFUNCTION("""COMPUTED_VALUE"""),43059.64583333333)</f>
        <v>43059.64583</v>
      </c>
      <c r="I3176" s="25">
        <f>IFERROR(__xludf.DUMMYFUNCTION("""COMPUTED_VALUE"""),1357.5)</f>
        <v>1357.5</v>
      </c>
      <c r="J3176" s="25">
        <f>IFERROR(__xludf.DUMMYFUNCTION("""COMPUTED_VALUE"""),1363.45)</f>
        <v>1363.45</v>
      </c>
      <c r="K3176" s="25">
        <f>IFERROR(__xludf.DUMMYFUNCTION("""COMPUTED_VALUE"""),1347.65)</f>
        <v>1347.65</v>
      </c>
      <c r="L3176" s="25">
        <f>IFERROR(__xludf.DUMMYFUNCTION("""COMPUTED_VALUE"""),1351.73)</f>
        <v>1351.73</v>
      </c>
      <c r="M3176" s="25">
        <f>IFERROR(__xludf.DUMMYFUNCTION("""COMPUTED_VALUE"""),507249.0)</f>
        <v>507249</v>
      </c>
    </row>
    <row r="3177">
      <c r="A3177" s="26">
        <f>IFERROR(__xludf.DUMMYFUNCTION("""COMPUTED_VALUE"""),43060.64583333333)</f>
        <v>43060.64583</v>
      </c>
      <c r="B3177" s="9">
        <f>IFERROR(__xludf.DUMMYFUNCTION("""COMPUTED_VALUE"""),480.65)</f>
        <v>480.65</v>
      </c>
      <c r="C3177" s="9">
        <f>IFERROR(__xludf.DUMMYFUNCTION("""COMPUTED_VALUE"""),485.75)</f>
        <v>485.75</v>
      </c>
      <c r="D3177" s="9">
        <f>IFERROR(__xludf.DUMMYFUNCTION("""COMPUTED_VALUE"""),480.03)</f>
        <v>480.03</v>
      </c>
      <c r="E3177" s="9">
        <f>IFERROR(__xludf.DUMMYFUNCTION("""COMPUTED_VALUE"""),483.13)</f>
        <v>483.13</v>
      </c>
      <c r="F3177" s="9">
        <f>IFERROR(__xludf.DUMMYFUNCTION("""COMPUTED_VALUE"""),2682328.0)</f>
        <v>2682328</v>
      </c>
      <c r="H3177" s="27">
        <f>IFERROR(__xludf.DUMMYFUNCTION("""COMPUTED_VALUE"""),43060.64583333333)</f>
        <v>43060.64583</v>
      </c>
      <c r="I3177" s="25">
        <f>IFERROR(__xludf.DUMMYFUNCTION("""COMPUTED_VALUE"""),1350.5)</f>
        <v>1350.5</v>
      </c>
      <c r="J3177" s="25">
        <f>IFERROR(__xludf.DUMMYFUNCTION("""COMPUTED_VALUE"""),1350.5)</f>
        <v>1350.5</v>
      </c>
      <c r="K3177" s="25">
        <f>IFERROR(__xludf.DUMMYFUNCTION("""COMPUTED_VALUE"""),1333.0)</f>
        <v>1333</v>
      </c>
      <c r="L3177" s="25">
        <f>IFERROR(__xludf.DUMMYFUNCTION("""COMPUTED_VALUE"""),1336.48)</f>
        <v>1336.48</v>
      </c>
      <c r="M3177" s="25">
        <f>IFERROR(__xludf.DUMMYFUNCTION("""COMPUTED_VALUE"""),763870.0)</f>
        <v>763870</v>
      </c>
    </row>
    <row r="3178">
      <c r="A3178" s="26">
        <f>IFERROR(__xludf.DUMMYFUNCTION("""COMPUTED_VALUE"""),43061.64583333333)</f>
        <v>43061.64583</v>
      </c>
      <c r="B3178" s="9">
        <f>IFERROR(__xludf.DUMMYFUNCTION("""COMPUTED_VALUE"""),483.3)</f>
        <v>483.3</v>
      </c>
      <c r="C3178" s="9">
        <f>IFERROR(__xludf.DUMMYFUNCTION("""COMPUTED_VALUE"""),485.53)</f>
        <v>485.53</v>
      </c>
      <c r="D3178" s="9">
        <f>IFERROR(__xludf.DUMMYFUNCTION("""COMPUTED_VALUE"""),481.65)</f>
        <v>481.65</v>
      </c>
      <c r="E3178" s="9">
        <f>IFERROR(__xludf.DUMMYFUNCTION("""COMPUTED_VALUE"""),483.15)</f>
        <v>483.15</v>
      </c>
      <c r="F3178" s="9">
        <f>IFERROR(__xludf.DUMMYFUNCTION("""COMPUTED_VALUE"""),3042460.0)</f>
        <v>3042460</v>
      </c>
      <c r="H3178" s="27">
        <f>IFERROR(__xludf.DUMMYFUNCTION("""COMPUTED_VALUE"""),43061.64583333333)</f>
        <v>43061.64583</v>
      </c>
      <c r="I3178" s="25">
        <f>IFERROR(__xludf.DUMMYFUNCTION("""COMPUTED_VALUE"""),1336.5)</f>
        <v>1336.5</v>
      </c>
      <c r="J3178" s="25">
        <f>IFERROR(__xludf.DUMMYFUNCTION("""COMPUTED_VALUE"""),1354.85)</f>
        <v>1354.85</v>
      </c>
      <c r="K3178" s="25">
        <f>IFERROR(__xludf.DUMMYFUNCTION("""COMPUTED_VALUE"""),1336.2)</f>
        <v>1336.2</v>
      </c>
      <c r="L3178" s="25">
        <f>IFERROR(__xludf.DUMMYFUNCTION("""COMPUTED_VALUE"""),1340.33)</f>
        <v>1340.33</v>
      </c>
      <c r="M3178" s="25">
        <f>IFERROR(__xludf.DUMMYFUNCTION("""COMPUTED_VALUE"""),911312.0)</f>
        <v>911312</v>
      </c>
    </row>
    <row r="3179">
      <c r="A3179" s="26">
        <f>IFERROR(__xludf.DUMMYFUNCTION("""COMPUTED_VALUE"""),43062.64583333333)</f>
        <v>43062.64583</v>
      </c>
      <c r="B3179" s="9">
        <f>IFERROR(__xludf.DUMMYFUNCTION("""COMPUTED_VALUE"""),485.75)</f>
        <v>485.75</v>
      </c>
      <c r="C3179" s="9">
        <f>IFERROR(__xludf.DUMMYFUNCTION("""COMPUTED_VALUE"""),497.23)</f>
        <v>497.23</v>
      </c>
      <c r="D3179" s="9">
        <f>IFERROR(__xludf.DUMMYFUNCTION("""COMPUTED_VALUE"""),484.5)</f>
        <v>484.5</v>
      </c>
      <c r="E3179" s="9">
        <f>IFERROR(__xludf.DUMMYFUNCTION("""COMPUTED_VALUE"""),495.63)</f>
        <v>495.63</v>
      </c>
      <c r="F3179" s="9">
        <f>IFERROR(__xludf.DUMMYFUNCTION("""COMPUTED_VALUE"""),5947309.0)</f>
        <v>5947309</v>
      </c>
      <c r="H3179" s="27">
        <f>IFERROR(__xludf.DUMMYFUNCTION("""COMPUTED_VALUE"""),43062.64583333333)</f>
        <v>43062.64583</v>
      </c>
      <c r="I3179" s="25">
        <f>IFERROR(__xludf.DUMMYFUNCTION("""COMPUTED_VALUE"""),1340.5)</f>
        <v>1340.5</v>
      </c>
      <c r="J3179" s="25">
        <f>IFERROR(__xludf.DUMMYFUNCTION("""COMPUTED_VALUE"""),1346.5)</f>
        <v>1346.5</v>
      </c>
      <c r="K3179" s="25">
        <f>IFERROR(__xludf.DUMMYFUNCTION("""COMPUTED_VALUE"""),1334.5)</f>
        <v>1334.5</v>
      </c>
      <c r="L3179" s="25">
        <f>IFERROR(__xludf.DUMMYFUNCTION("""COMPUTED_VALUE"""),1340.63)</f>
        <v>1340.63</v>
      </c>
      <c r="M3179" s="25">
        <f>IFERROR(__xludf.DUMMYFUNCTION("""COMPUTED_VALUE"""),396735.0)</f>
        <v>396735</v>
      </c>
    </row>
    <row r="3180">
      <c r="A3180" s="26">
        <f>IFERROR(__xludf.DUMMYFUNCTION("""COMPUTED_VALUE"""),43063.64583333333)</f>
        <v>43063.64583</v>
      </c>
      <c r="B3180" s="9">
        <f>IFERROR(__xludf.DUMMYFUNCTION("""COMPUTED_VALUE"""),495.45)</f>
        <v>495.45</v>
      </c>
      <c r="C3180" s="9">
        <f>IFERROR(__xludf.DUMMYFUNCTION("""COMPUTED_VALUE"""),509.65)</f>
        <v>509.65</v>
      </c>
      <c r="D3180" s="9">
        <f>IFERROR(__xludf.DUMMYFUNCTION("""COMPUTED_VALUE"""),495.1)</f>
        <v>495.1</v>
      </c>
      <c r="E3180" s="9">
        <f>IFERROR(__xludf.DUMMYFUNCTION("""COMPUTED_VALUE"""),504.78)</f>
        <v>504.78</v>
      </c>
      <c r="F3180" s="9">
        <f>IFERROR(__xludf.DUMMYFUNCTION("""COMPUTED_VALUE"""),9309956.0)</f>
        <v>9309956</v>
      </c>
      <c r="H3180" s="27">
        <f>IFERROR(__xludf.DUMMYFUNCTION("""COMPUTED_VALUE"""),43063.64583333333)</f>
        <v>43063.64583</v>
      </c>
      <c r="I3180" s="25">
        <f>IFERROR(__xludf.DUMMYFUNCTION("""COMPUTED_VALUE"""),1341.0)</f>
        <v>1341</v>
      </c>
      <c r="J3180" s="25">
        <f>IFERROR(__xludf.DUMMYFUNCTION("""COMPUTED_VALUE"""),1351.45)</f>
        <v>1351.45</v>
      </c>
      <c r="K3180" s="25">
        <f>IFERROR(__xludf.DUMMYFUNCTION("""COMPUTED_VALUE"""),1336.55)</f>
        <v>1336.55</v>
      </c>
      <c r="L3180" s="25">
        <f>IFERROR(__xludf.DUMMYFUNCTION("""COMPUTED_VALUE"""),1344.03)</f>
        <v>1344.03</v>
      </c>
      <c r="M3180" s="25">
        <f>IFERROR(__xludf.DUMMYFUNCTION("""COMPUTED_VALUE"""),1143756.0)</f>
        <v>1143756</v>
      </c>
    </row>
    <row r="3181">
      <c r="A3181" s="26">
        <f>IFERROR(__xludf.DUMMYFUNCTION("""COMPUTED_VALUE"""),43066.64583333333)</f>
        <v>43066.64583</v>
      </c>
      <c r="B3181" s="9">
        <f>IFERROR(__xludf.DUMMYFUNCTION("""COMPUTED_VALUE"""),503.35)</f>
        <v>503.35</v>
      </c>
      <c r="C3181" s="9">
        <f>IFERROR(__xludf.DUMMYFUNCTION("""COMPUTED_VALUE"""),503.35)</f>
        <v>503.35</v>
      </c>
      <c r="D3181" s="9">
        <f>IFERROR(__xludf.DUMMYFUNCTION("""COMPUTED_VALUE"""),496.65)</f>
        <v>496.65</v>
      </c>
      <c r="E3181" s="9">
        <f>IFERROR(__xludf.DUMMYFUNCTION("""COMPUTED_VALUE"""),499.38)</f>
        <v>499.38</v>
      </c>
      <c r="F3181" s="9">
        <f>IFERROR(__xludf.DUMMYFUNCTION("""COMPUTED_VALUE"""),3008865.0)</f>
        <v>3008865</v>
      </c>
      <c r="H3181" s="27">
        <f>IFERROR(__xludf.DUMMYFUNCTION("""COMPUTED_VALUE"""),43066.64583333333)</f>
        <v>43066.64583</v>
      </c>
      <c r="I3181" s="25">
        <f>IFERROR(__xludf.DUMMYFUNCTION("""COMPUTED_VALUE"""),1344.0)</f>
        <v>1344</v>
      </c>
      <c r="J3181" s="25">
        <f>IFERROR(__xludf.DUMMYFUNCTION("""COMPUTED_VALUE"""),1347.95)</f>
        <v>1347.95</v>
      </c>
      <c r="K3181" s="25">
        <f>IFERROR(__xludf.DUMMYFUNCTION("""COMPUTED_VALUE"""),1331.1)</f>
        <v>1331.1</v>
      </c>
      <c r="L3181" s="25">
        <f>IFERROR(__xludf.DUMMYFUNCTION("""COMPUTED_VALUE"""),1342.93)</f>
        <v>1342.93</v>
      </c>
      <c r="M3181" s="25">
        <f>IFERROR(__xludf.DUMMYFUNCTION("""COMPUTED_VALUE"""),928393.0)</f>
        <v>928393</v>
      </c>
    </row>
    <row r="3182">
      <c r="A3182" s="26">
        <f>IFERROR(__xludf.DUMMYFUNCTION("""COMPUTED_VALUE"""),43067.64583333333)</f>
        <v>43067.64583</v>
      </c>
      <c r="B3182" s="9">
        <f>IFERROR(__xludf.DUMMYFUNCTION("""COMPUTED_VALUE"""),497.2)</f>
        <v>497.2</v>
      </c>
      <c r="C3182" s="9">
        <f>IFERROR(__xludf.DUMMYFUNCTION("""COMPUTED_VALUE"""),499.95)</f>
        <v>499.95</v>
      </c>
      <c r="D3182" s="9">
        <f>IFERROR(__xludf.DUMMYFUNCTION("""COMPUTED_VALUE"""),490.65)</f>
        <v>490.65</v>
      </c>
      <c r="E3182" s="9">
        <f>IFERROR(__xludf.DUMMYFUNCTION("""COMPUTED_VALUE"""),492.35)</f>
        <v>492.35</v>
      </c>
      <c r="F3182" s="9">
        <f>IFERROR(__xludf.DUMMYFUNCTION("""COMPUTED_VALUE"""),2308434.0)</f>
        <v>2308434</v>
      </c>
      <c r="H3182" s="27">
        <f>IFERROR(__xludf.DUMMYFUNCTION("""COMPUTED_VALUE"""),43067.64583333333)</f>
        <v>43067.64583</v>
      </c>
      <c r="I3182" s="25">
        <f>IFERROR(__xludf.DUMMYFUNCTION("""COMPUTED_VALUE"""),1343.0)</f>
        <v>1343</v>
      </c>
      <c r="J3182" s="25">
        <f>IFERROR(__xludf.DUMMYFUNCTION("""COMPUTED_VALUE"""),1351.2)</f>
        <v>1351.2</v>
      </c>
      <c r="K3182" s="25">
        <f>IFERROR(__xludf.DUMMYFUNCTION("""COMPUTED_VALUE"""),1335.0)</f>
        <v>1335</v>
      </c>
      <c r="L3182" s="25">
        <f>IFERROR(__xludf.DUMMYFUNCTION("""COMPUTED_VALUE"""),1342.65)</f>
        <v>1342.65</v>
      </c>
      <c r="M3182" s="25">
        <f>IFERROR(__xludf.DUMMYFUNCTION("""COMPUTED_VALUE"""),455858.0)</f>
        <v>455858</v>
      </c>
    </row>
    <row r="3183">
      <c r="A3183" s="26">
        <f>IFERROR(__xludf.DUMMYFUNCTION("""COMPUTED_VALUE"""),43068.64583333333)</f>
        <v>43068.64583</v>
      </c>
      <c r="B3183" s="9">
        <f>IFERROR(__xludf.DUMMYFUNCTION("""COMPUTED_VALUE"""),493.83)</f>
        <v>493.83</v>
      </c>
      <c r="C3183" s="9">
        <f>IFERROR(__xludf.DUMMYFUNCTION("""COMPUTED_VALUE"""),495.98)</f>
        <v>495.98</v>
      </c>
      <c r="D3183" s="9">
        <f>IFERROR(__xludf.DUMMYFUNCTION("""COMPUTED_VALUE"""),490.15)</f>
        <v>490.15</v>
      </c>
      <c r="E3183" s="9">
        <f>IFERROR(__xludf.DUMMYFUNCTION("""COMPUTED_VALUE"""),491.35)</f>
        <v>491.35</v>
      </c>
      <c r="F3183" s="9">
        <f>IFERROR(__xludf.DUMMYFUNCTION("""COMPUTED_VALUE"""),1919035.0)</f>
        <v>1919035</v>
      </c>
      <c r="H3183" s="27">
        <f>IFERROR(__xludf.DUMMYFUNCTION("""COMPUTED_VALUE"""),43068.64583333333)</f>
        <v>43068.64583</v>
      </c>
      <c r="I3183" s="25">
        <f>IFERROR(__xludf.DUMMYFUNCTION("""COMPUTED_VALUE"""),1338.75)</f>
        <v>1338.75</v>
      </c>
      <c r="J3183" s="25">
        <f>IFERROR(__xludf.DUMMYFUNCTION("""COMPUTED_VALUE"""),1346.5)</f>
        <v>1346.5</v>
      </c>
      <c r="K3183" s="25">
        <f>IFERROR(__xludf.DUMMYFUNCTION("""COMPUTED_VALUE"""),1325.0)</f>
        <v>1325</v>
      </c>
      <c r="L3183" s="25">
        <f>IFERROR(__xludf.DUMMYFUNCTION("""COMPUTED_VALUE"""),1329.08)</f>
        <v>1329.08</v>
      </c>
      <c r="M3183" s="25">
        <f>IFERROR(__xludf.DUMMYFUNCTION("""COMPUTED_VALUE"""),723766.0)</f>
        <v>723766</v>
      </c>
    </row>
    <row r="3184">
      <c r="A3184" s="26">
        <f>IFERROR(__xludf.DUMMYFUNCTION("""COMPUTED_VALUE"""),43069.64583333333)</f>
        <v>43069.64583</v>
      </c>
      <c r="B3184" s="9">
        <f>IFERROR(__xludf.DUMMYFUNCTION("""COMPUTED_VALUE"""),494.73)</f>
        <v>494.73</v>
      </c>
      <c r="C3184" s="9">
        <f>IFERROR(__xludf.DUMMYFUNCTION("""COMPUTED_VALUE"""),494.73)</f>
        <v>494.73</v>
      </c>
      <c r="D3184" s="9">
        <f>IFERROR(__xludf.DUMMYFUNCTION("""COMPUTED_VALUE"""),484.18)</f>
        <v>484.18</v>
      </c>
      <c r="E3184" s="9">
        <f>IFERROR(__xludf.DUMMYFUNCTION("""COMPUTED_VALUE"""),488.05)</f>
        <v>488.05</v>
      </c>
      <c r="F3184" s="9">
        <f>IFERROR(__xludf.DUMMYFUNCTION("""COMPUTED_VALUE"""),8633472.0)</f>
        <v>8633472</v>
      </c>
      <c r="H3184" s="27">
        <f>IFERROR(__xludf.DUMMYFUNCTION("""COMPUTED_VALUE"""),43069.64583333333)</f>
        <v>43069.64583</v>
      </c>
      <c r="I3184" s="25">
        <f>IFERROR(__xludf.DUMMYFUNCTION("""COMPUTED_VALUE"""),1326.83)</f>
        <v>1326.83</v>
      </c>
      <c r="J3184" s="25">
        <f>IFERROR(__xludf.DUMMYFUNCTION("""COMPUTED_VALUE"""),1333.48)</f>
        <v>1333.48</v>
      </c>
      <c r="K3184" s="25">
        <f>IFERROR(__xludf.DUMMYFUNCTION("""COMPUTED_VALUE"""),1311.5)</f>
        <v>1311.5</v>
      </c>
      <c r="L3184" s="25">
        <f>IFERROR(__xludf.DUMMYFUNCTION("""COMPUTED_VALUE"""),1318.5)</f>
        <v>1318.5</v>
      </c>
      <c r="M3184" s="25">
        <f>IFERROR(__xludf.DUMMYFUNCTION("""COMPUTED_VALUE"""),2149981.0)</f>
        <v>2149981</v>
      </c>
    </row>
    <row r="3185">
      <c r="A3185" s="26">
        <f>IFERROR(__xludf.DUMMYFUNCTION("""COMPUTED_VALUE"""),43070.64583333333)</f>
        <v>43070.64583</v>
      </c>
      <c r="B3185" s="9">
        <f>IFERROR(__xludf.DUMMYFUNCTION("""COMPUTED_VALUE"""),489.7)</f>
        <v>489.7</v>
      </c>
      <c r="C3185" s="9">
        <f>IFERROR(__xludf.DUMMYFUNCTION("""COMPUTED_VALUE"""),491.6)</f>
        <v>491.6</v>
      </c>
      <c r="D3185" s="9">
        <f>IFERROR(__xludf.DUMMYFUNCTION("""COMPUTED_VALUE"""),478.53)</f>
        <v>478.53</v>
      </c>
      <c r="E3185" s="9">
        <f>IFERROR(__xludf.DUMMYFUNCTION("""COMPUTED_VALUE"""),479.4)</f>
        <v>479.4</v>
      </c>
      <c r="F3185" s="9">
        <f>IFERROR(__xludf.DUMMYFUNCTION("""COMPUTED_VALUE"""),2042500.0)</f>
        <v>2042500</v>
      </c>
      <c r="H3185" s="27">
        <f>IFERROR(__xludf.DUMMYFUNCTION("""COMPUTED_VALUE"""),43070.64583333333)</f>
        <v>43070.64583</v>
      </c>
      <c r="I3185" s="25">
        <f>IFERROR(__xludf.DUMMYFUNCTION("""COMPUTED_VALUE"""),1317.5)</f>
        <v>1317.5</v>
      </c>
      <c r="J3185" s="25">
        <f>IFERROR(__xludf.DUMMYFUNCTION("""COMPUTED_VALUE"""),1334.0)</f>
        <v>1334</v>
      </c>
      <c r="K3185" s="25">
        <f>IFERROR(__xludf.DUMMYFUNCTION("""COMPUTED_VALUE"""),1310.75)</f>
        <v>1310.75</v>
      </c>
      <c r="L3185" s="25">
        <f>IFERROR(__xludf.DUMMYFUNCTION("""COMPUTED_VALUE"""),1314.98)</f>
        <v>1314.98</v>
      </c>
      <c r="M3185" s="25">
        <f>IFERROR(__xludf.DUMMYFUNCTION("""COMPUTED_VALUE"""),515572.0)</f>
        <v>515572</v>
      </c>
    </row>
    <row r="3186">
      <c r="A3186" s="26">
        <f>IFERROR(__xludf.DUMMYFUNCTION("""COMPUTED_VALUE"""),43073.64583333333)</f>
        <v>43073.64583</v>
      </c>
      <c r="B3186" s="9">
        <f>IFERROR(__xludf.DUMMYFUNCTION("""COMPUTED_VALUE"""),490.0)</f>
        <v>490</v>
      </c>
      <c r="C3186" s="9">
        <f>IFERROR(__xludf.DUMMYFUNCTION("""COMPUTED_VALUE"""),498.4)</f>
        <v>498.4</v>
      </c>
      <c r="D3186" s="9">
        <f>IFERROR(__xludf.DUMMYFUNCTION("""COMPUTED_VALUE"""),484.28)</f>
        <v>484.28</v>
      </c>
      <c r="E3186" s="9">
        <f>IFERROR(__xludf.DUMMYFUNCTION("""COMPUTED_VALUE"""),492.68)</f>
        <v>492.68</v>
      </c>
      <c r="F3186" s="9">
        <f>IFERROR(__xludf.DUMMYFUNCTION("""COMPUTED_VALUE"""),8905803.0)</f>
        <v>8905803</v>
      </c>
      <c r="H3186" s="27">
        <f>IFERROR(__xludf.DUMMYFUNCTION("""COMPUTED_VALUE"""),43073.64583333333)</f>
        <v>43073.64583</v>
      </c>
      <c r="I3186" s="25">
        <f>IFERROR(__xludf.DUMMYFUNCTION("""COMPUTED_VALUE"""),1311.0)</f>
        <v>1311</v>
      </c>
      <c r="J3186" s="25">
        <f>IFERROR(__xludf.DUMMYFUNCTION("""COMPUTED_VALUE"""),1329.25)</f>
        <v>1329.25</v>
      </c>
      <c r="K3186" s="25">
        <f>IFERROR(__xludf.DUMMYFUNCTION("""COMPUTED_VALUE"""),1301.47)</f>
        <v>1301.47</v>
      </c>
      <c r="L3186" s="25">
        <f>IFERROR(__xludf.DUMMYFUNCTION("""COMPUTED_VALUE"""),1316.18)</f>
        <v>1316.18</v>
      </c>
      <c r="M3186" s="25">
        <f>IFERROR(__xludf.DUMMYFUNCTION("""COMPUTED_VALUE"""),629552.0)</f>
        <v>629552</v>
      </c>
    </row>
    <row r="3187">
      <c r="A3187" s="26">
        <f>IFERROR(__xludf.DUMMYFUNCTION("""COMPUTED_VALUE"""),43074.64583333333)</f>
        <v>43074.64583</v>
      </c>
      <c r="B3187" s="9">
        <f>IFERROR(__xludf.DUMMYFUNCTION("""COMPUTED_VALUE"""),492.68)</f>
        <v>492.68</v>
      </c>
      <c r="C3187" s="9">
        <f>IFERROR(__xludf.DUMMYFUNCTION("""COMPUTED_VALUE"""),501.5)</f>
        <v>501.5</v>
      </c>
      <c r="D3187" s="9">
        <f>IFERROR(__xludf.DUMMYFUNCTION("""COMPUTED_VALUE"""),489.5)</f>
        <v>489.5</v>
      </c>
      <c r="E3187" s="9">
        <f>IFERROR(__xludf.DUMMYFUNCTION("""COMPUTED_VALUE"""),492.18)</f>
        <v>492.18</v>
      </c>
      <c r="F3187" s="9">
        <f>IFERROR(__xludf.DUMMYFUNCTION("""COMPUTED_VALUE"""),4988369.0)</f>
        <v>4988369</v>
      </c>
      <c r="H3187" s="27">
        <f>IFERROR(__xludf.DUMMYFUNCTION("""COMPUTED_VALUE"""),43074.64583333333)</f>
        <v>43074.64583</v>
      </c>
      <c r="I3187" s="25">
        <f>IFERROR(__xludf.DUMMYFUNCTION("""COMPUTED_VALUE"""),1315.5)</f>
        <v>1315.5</v>
      </c>
      <c r="J3187" s="25">
        <f>IFERROR(__xludf.DUMMYFUNCTION("""COMPUTED_VALUE"""),1325.85)</f>
        <v>1325.85</v>
      </c>
      <c r="K3187" s="25">
        <f>IFERROR(__xludf.DUMMYFUNCTION("""COMPUTED_VALUE"""),1314.08)</f>
        <v>1314.08</v>
      </c>
      <c r="L3187" s="25">
        <f>IFERROR(__xludf.DUMMYFUNCTION("""COMPUTED_VALUE"""),1317.78)</f>
        <v>1317.78</v>
      </c>
      <c r="M3187" s="25">
        <f>IFERROR(__xludf.DUMMYFUNCTION("""COMPUTED_VALUE"""),583957.0)</f>
        <v>583957</v>
      </c>
    </row>
    <row r="3188">
      <c r="A3188" s="26">
        <f>IFERROR(__xludf.DUMMYFUNCTION("""COMPUTED_VALUE"""),43075.64583333333)</f>
        <v>43075.64583</v>
      </c>
      <c r="B3188" s="9">
        <f>IFERROR(__xludf.DUMMYFUNCTION("""COMPUTED_VALUE"""),492.5)</f>
        <v>492.5</v>
      </c>
      <c r="C3188" s="9">
        <f>IFERROR(__xludf.DUMMYFUNCTION("""COMPUTED_VALUE"""),497.05)</f>
        <v>497.05</v>
      </c>
      <c r="D3188" s="9">
        <f>IFERROR(__xludf.DUMMYFUNCTION("""COMPUTED_VALUE"""),492.0)</f>
        <v>492</v>
      </c>
      <c r="E3188" s="9">
        <f>IFERROR(__xludf.DUMMYFUNCTION("""COMPUTED_VALUE"""),495.15)</f>
        <v>495.15</v>
      </c>
      <c r="F3188" s="9">
        <f>IFERROR(__xludf.DUMMYFUNCTION("""COMPUTED_VALUE"""),3745047.0)</f>
        <v>3745047</v>
      </c>
      <c r="H3188" s="27">
        <f>IFERROR(__xludf.DUMMYFUNCTION("""COMPUTED_VALUE"""),43075.64583333333)</f>
        <v>43075.64583</v>
      </c>
      <c r="I3188" s="25">
        <f>IFERROR(__xludf.DUMMYFUNCTION("""COMPUTED_VALUE"""),1318.0)</f>
        <v>1318</v>
      </c>
      <c r="J3188" s="25">
        <f>IFERROR(__xludf.DUMMYFUNCTION("""COMPUTED_VALUE"""),1322.5)</f>
        <v>1322.5</v>
      </c>
      <c r="K3188" s="25">
        <f>IFERROR(__xludf.DUMMYFUNCTION("""COMPUTED_VALUE"""),1306.43)</f>
        <v>1306.43</v>
      </c>
      <c r="L3188" s="25">
        <f>IFERROR(__xludf.DUMMYFUNCTION("""COMPUTED_VALUE"""),1316.65)</f>
        <v>1316.65</v>
      </c>
      <c r="M3188" s="25">
        <f>IFERROR(__xludf.DUMMYFUNCTION("""COMPUTED_VALUE"""),703759.0)</f>
        <v>703759</v>
      </c>
    </row>
    <row r="3189">
      <c r="A3189" s="26">
        <f>IFERROR(__xludf.DUMMYFUNCTION("""COMPUTED_VALUE"""),43076.64583333333)</f>
        <v>43076.64583</v>
      </c>
      <c r="B3189" s="9">
        <f>IFERROR(__xludf.DUMMYFUNCTION("""COMPUTED_VALUE"""),494.5)</f>
        <v>494.5</v>
      </c>
      <c r="C3189" s="9">
        <f>IFERROR(__xludf.DUMMYFUNCTION("""COMPUTED_VALUE"""),501.45)</f>
        <v>501.45</v>
      </c>
      <c r="D3189" s="9">
        <f>IFERROR(__xludf.DUMMYFUNCTION("""COMPUTED_VALUE"""),492.8)</f>
        <v>492.8</v>
      </c>
      <c r="E3189" s="9">
        <f>IFERROR(__xludf.DUMMYFUNCTION("""COMPUTED_VALUE"""),499.93)</f>
        <v>499.93</v>
      </c>
      <c r="F3189" s="9">
        <f>IFERROR(__xludf.DUMMYFUNCTION("""COMPUTED_VALUE"""),3774772.0)</f>
        <v>3774772</v>
      </c>
      <c r="H3189" s="27">
        <f>IFERROR(__xludf.DUMMYFUNCTION("""COMPUTED_VALUE"""),43076.64583333333)</f>
        <v>43076.64583</v>
      </c>
      <c r="I3189" s="25">
        <f>IFERROR(__xludf.DUMMYFUNCTION("""COMPUTED_VALUE"""),1316.15)</f>
        <v>1316.15</v>
      </c>
      <c r="J3189" s="25">
        <f>IFERROR(__xludf.DUMMYFUNCTION("""COMPUTED_VALUE"""),1322.98)</f>
        <v>1322.98</v>
      </c>
      <c r="K3189" s="25">
        <f>IFERROR(__xludf.DUMMYFUNCTION("""COMPUTED_VALUE"""),1307.5)</f>
        <v>1307.5</v>
      </c>
      <c r="L3189" s="25">
        <f>IFERROR(__xludf.DUMMYFUNCTION("""COMPUTED_VALUE"""),1308.97)</f>
        <v>1308.97</v>
      </c>
      <c r="M3189" s="25">
        <f>IFERROR(__xludf.DUMMYFUNCTION("""COMPUTED_VALUE"""),663150.0)</f>
        <v>663150</v>
      </c>
    </row>
    <row r="3190">
      <c r="A3190" s="26">
        <f>IFERROR(__xludf.DUMMYFUNCTION("""COMPUTED_VALUE"""),43077.64583333333)</f>
        <v>43077.64583</v>
      </c>
      <c r="B3190" s="9">
        <f>IFERROR(__xludf.DUMMYFUNCTION("""COMPUTED_VALUE"""),500.5)</f>
        <v>500.5</v>
      </c>
      <c r="C3190" s="9">
        <f>IFERROR(__xludf.DUMMYFUNCTION("""COMPUTED_VALUE"""),503.5)</f>
        <v>503.5</v>
      </c>
      <c r="D3190" s="9">
        <f>IFERROR(__xludf.DUMMYFUNCTION("""COMPUTED_VALUE"""),497.5)</f>
        <v>497.5</v>
      </c>
      <c r="E3190" s="9">
        <f>IFERROR(__xludf.DUMMYFUNCTION("""COMPUTED_VALUE"""),500.93)</f>
        <v>500.93</v>
      </c>
      <c r="F3190" s="9">
        <f>IFERROR(__xludf.DUMMYFUNCTION("""COMPUTED_VALUE"""),2991622.0)</f>
        <v>2991622</v>
      </c>
      <c r="H3190" s="27">
        <f>IFERROR(__xludf.DUMMYFUNCTION("""COMPUTED_VALUE"""),43077.64583333333)</f>
        <v>43077.64583</v>
      </c>
      <c r="I3190" s="25">
        <f>IFERROR(__xludf.DUMMYFUNCTION("""COMPUTED_VALUE"""),1309.0)</f>
        <v>1309</v>
      </c>
      <c r="J3190" s="25">
        <f>IFERROR(__xludf.DUMMYFUNCTION("""COMPUTED_VALUE"""),1322.5)</f>
        <v>1322.5</v>
      </c>
      <c r="K3190" s="25">
        <f>IFERROR(__xludf.DUMMYFUNCTION("""COMPUTED_VALUE"""),1298.5)</f>
        <v>1298.5</v>
      </c>
      <c r="L3190" s="25">
        <f>IFERROR(__xludf.DUMMYFUNCTION("""COMPUTED_VALUE"""),1300.75)</f>
        <v>1300.75</v>
      </c>
      <c r="M3190" s="25">
        <f>IFERROR(__xludf.DUMMYFUNCTION("""COMPUTED_VALUE"""),692774.0)</f>
        <v>692774</v>
      </c>
    </row>
    <row r="3191">
      <c r="A3191" s="26">
        <f>IFERROR(__xludf.DUMMYFUNCTION("""COMPUTED_VALUE"""),43080.64583333333)</f>
        <v>43080.64583</v>
      </c>
      <c r="B3191" s="9">
        <f>IFERROR(__xludf.DUMMYFUNCTION("""COMPUTED_VALUE"""),497.48)</f>
        <v>497.48</v>
      </c>
      <c r="C3191" s="9">
        <f>IFERROR(__xludf.DUMMYFUNCTION("""COMPUTED_VALUE"""),503.45)</f>
        <v>503.45</v>
      </c>
      <c r="D3191" s="9">
        <f>IFERROR(__xludf.DUMMYFUNCTION("""COMPUTED_VALUE"""),496.98)</f>
        <v>496.98</v>
      </c>
      <c r="E3191" s="9">
        <f>IFERROR(__xludf.DUMMYFUNCTION("""COMPUTED_VALUE"""),502.65)</f>
        <v>502.65</v>
      </c>
      <c r="F3191" s="9">
        <f>IFERROR(__xludf.DUMMYFUNCTION("""COMPUTED_VALUE"""),2569549.0)</f>
        <v>2569549</v>
      </c>
      <c r="H3191" s="27">
        <f>IFERROR(__xludf.DUMMYFUNCTION("""COMPUTED_VALUE"""),43080.64583333333)</f>
        <v>43080.64583</v>
      </c>
      <c r="I3191" s="25">
        <f>IFERROR(__xludf.DUMMYFUNCTION("""COMPUTED_VALUE"""),1304.18)</f>
        <v>1304.18</v>
      </c>
      <c r="J3191" s="25">
        <f>IFERROR(__xludf.DUMMYFUNCTION("""COMPUTED_VALUE"""),1336.33)</f>
        <v>1336.33</v>
      </c>
      <c r="K3191" s="25">
        <f>IFERROR(__xludf.DUMMYFUNCTION("""COMPUTED_VALUE"""),1304.18)</f>
        <v>1304.18</v>
      </c>
      <c r="L3191" s="25">
        <f>IFERROR(__xludf.DUMMYFUNCTION("""COMPUTED_VALUE"""),1330.55)</f>
        <v>1330.55</v>
      </c>
      <c r="M3191" s="25">
        <f>IFERROR(__xludf.DUMMYFUNCTION("""COMPUTED_VALUE"""),504001.0)</f>
        <v>504001</v>
      </c>
    </row>
    <row r="3192">
      <c r="A3192" s="26">
        <f>IFERROR(__xludf.DUMMYFUNCTION("""COMPUTED_VALUE"""),43081.64583333333)</f>
        <v>43081.64583</v>
      </c>
      <c r="B3192" s="9">
        <f>IFERROR(__xludf.DUMMYFUNCTION("""COMPUTED_VALUE"""),501.0)</f>
        <v>501</v>
      </c>
      <c r="C3192" s="9">
        <f>IFERROR(__xludf.DUMMYFUNCTION("""COMPUTED_VALUE"""),507.0)</f>
        <v>507</v>
      </c>
      <c r="D3192" s="9">
        <f>IFERROR(__xludf.DUMMYFUNCTION("""COMPUTED_VALUE"""),501.0)</f>
        <v>501</v>
      </c>
      <c r="E3192" s="9">
        <f>IFERROR(__xludf.DUMMYFUNCTION("""COMPUTED_VALUE"""),505.25)</f>
        <v>505.25</v>
      </c>
      <c r="F3192" s="9">
        <f>IFERROR(__xludf.DUMMYFUNCTION("""COMPUTED_VALUE"""),4660217.0)</f>
        <v>4660217</v>
      </c>
      <c r="H3192" s="27">
        <f>IFERROR(__xludf.DUMMYFUNCTION("""COMPUTED_VALUE"""),43081.64583333333)</f>
        <v>43081.64583</v>
      </c>
      <c r="I3192" s="25">
        <f>IFERROR(__xludf.DUMMYFUNCTION("""COMPUTED_VALUE"""),1330.5)</f>
        <v>1330.5</v>
      </c>
      <c r="J3192" s="25">
        <f>IFERROR(__xludf.DUMMYFUNCTION("""COMPUTED_VALUE"""),1331.0)</f>
        <v>1331</v>
      </c>
      <c r="K3192" s="25">
        <f>IFERROR(__xludf.DUMMYFUNCTION("""COMPUTED_VALUE"""),1303.7)</f>
        <v>1303.7</v>
      </c>
      <c r="L3192" s="25">
        <f>IFERROR(__xludf.DUMMYFUNCTION("""COMPUTED_VALUE"""),1306.08)</f>
        <v>1306.08</v>
      </c>
      <c r="M3192" s="25">
        <f>IFERROR(__xludf.DUMMYFUNCTION("""COMPUTED_VALUE"""),941123.0)</f>
        <v>941123</v>
      </c>
    </row>
    <row r="3193">
      <c r="A3193" s="26">
        <f>IFERROR(__xludf.DUMMYFUNCTION("""COMPUTED_VALUE"""),43082.64583333333)</f>
        <v>43082.64583</v>
      </c>
      <c r="B3193" s="9">
        <f>IFERROR(__xludf.DUMMYFUNCTION("""COMPUTED_VALUE"""),505.45)</f>
        <v>505.45</v>
      </c>
      <c r="C3193" s="9">
        <f>IFERROR(__xludf.DUMMYFUNCTION("""COMPUTED_VALUE"""),509.5)</f>
        <v>509.5</v>
      </c>
      <c r="D3193" s="9">
        <f>IFERROR(__xludf.DUMMYFUNCTION("""COMPUTED_VALUE"""),498.83)</f>
        <v>498.83</v>
      </c>
      <c r="E3193" s="9">
        <f>IFERROR(__xludf.DUMMYFUNCTION("""COMPUTED_VALUE"""),501.88)</f>
        <v>501.88</v>
      </c>
      <c r="F3193" s="9">
        <f>IFERROR(__xludf.DUMMYFUNCTION("""COMPUTED_VALUE"""),2681199.0)</f>
        <v>2681199</v>
      </c>
      <c r="H3193" s="27">
        <f>IFERROR(__xludf.DUMMYFUNCTION("""COMPUTED_VALUE"""),43082.64583333333)</f>
        <v>43082.64583</v>
      </c>
      <c r="I3193" s="25">
        <f>IFERROR(__xludf.DUMMYFUNCTION("""COMPUTED_VALUE"""),1305.7)</f>
        <v>1305.7</v>
      </c>
      <c r="J3193" s="25">
        <f>IFERROR(__xludf.DUMMYFUNCTION("""COMPUTED_VALUE"""),1325.73)</f>
        <v>1325.73</v>
      </c>
      <c r="K3193" s="25">
        <f>IFERROR(__xludf.DUMMYFUNCTION("""COMPUTED_VALUE"""),1300.5)</f>
        <v>1300.5</v>
      </c>
      <c r="L3193" s="25">
        <f>IFERROR(__xludf.DUMMYFUNCTION("""COMPUTED_VALUE"""),1314.2)</f>
        <v>1314.2</v>
      </c>
      <c r="M3193" s="25">
        <f>IFERROR(__xludf.DUMMYFUNCTION("""COMPUTED_VALUE"""),1480729.0)</f>
        <v>1480729</v>
      </c>
    </row>
    <row r="3194">
      <c r="A3194" s="26">
        <f>IFERROR(__xludf.DUMMYFUNCTION("""COMPUTED_VALUE"""),43083.64583333333)</f>
        <v>43083.64583</v>
      </c>
      <c r="B3194" s="9">
        <f>IFERROR(__xludf.DUMMYFUNCTION("""COMPUTED_VALUE"""),502.63)</f>
        <v>502.63</v>
      </c>
      <c r="C3194" s="9">
        <f>IFERROR(__xludf.DUMMYFUNCTION("""COMPUTED_VALUE"""),507.5)</f>
        <v>507.5</v>
      </c>
      <c r="D3194" s="9">
        <f>IFERROR(__xludf.DUMMYFUNCTION("""COMPUTED_VALUE"""),499.65)</f>
        <v>499.65</v>
      </c>
      <c r="E3194" s="9">
        <f>IFERROR(__xludf.DUMMYFUNCTION("""COMPUTED_VALUE"""),506.55)</f>
        <v>506.55</v>
      </c>
      <c r="F3194" s="9">
        <f>IFERROR(__xludf.DUMMYFUNCTION("""COMPUTED_VALUE"""),3011786.0)</f>
        <v>3011786</v>
      </c>
      <c r="H3194" s="27">
        <f>IFERROR(__xludf.DUMMYFUNCTION("""COMPUTED_VALUE"""),43083.64583333333)</f>
        <v>43083.64583</v>
      </c>
      <c r="I3194" s="25">
        <f>IFERROR(__xludf.DUMMYFUNCTION("""COMPUTED_VALUE"""),1316.0)</f>
        <v>1316</v>
      </c>
      <c r="J3194" s="25">
        <f>IFERROR(__xludf.DUMMYFUNCTION("""COMPUTED_VALUE"""),1316.0)</f>
        <v>1316</v>
      </c>
      <c r="K3194" s="25">
        <f>IFERROR(__xludf.DUMMYFUNCTION("""COMPUTED_VALUE"""),1265.55)</f>
        <v>1265.55</v>
      </c>
      <c r="L3194" s="25">
        <f>IFERROR(__xludf.DUMMYFUNCTION("""COMPUTED_VALUE"""),1278.9)</f>
        <v>1278.9</v>
      </c>
      <c r="M3194" s="25">
        <f>IFERROR(__xludf.DUMMYFUNCTION("""COMPUTED_VALUE"""),2752075.0)</f>
        <v>2752075</v>
      </c>
    </row>
    <row r="3195">
      <c r="A3195" s="26">
        <f>IFERROR(__xludf.DUMMYFUNCTION("""COMPUTED_VALUE"""),43084.64583333333)</f>
        <v>43084.64583</v>
      </c>
      <c r="B3195" s="9">
        <f>IFERROR(__xludf.DUMMYFUNCTION("""COMPUTED_VALUE"""),506.5)</f>
        <v>506.5</v>
      </c>
      <c r="C3195" s="9">
        <f>IFERROR(__xludf.DUMMYFUNCTION("""COMPUTED_VALUE"""),513.2)</f>
        <v>513.2</v>
      </c>
      <c r="D3195" s="9">
        <f>IFERROR(__xludf.DUMMYFUNCTION("""COMPUTED_VALUE"""),505.93)</f>
        <v>505.93</v>
      </c>
      <c r="E3195" s="9">
        <f>IFERROR(__xludf.DUMMYFUNCTION("""COMPUTED_VALUE"""),511.45)</f>
        <v>511.45</v>
      </c>
      <c r="F3195" s="9">
        <f>IFERROR(__xludf.DUMMYFUNCTION("""COMPUTED_VALUE"""),5192067.0)</f>
        <v>5192067</v>
      </c>
      <c r="H3195" s="27">
        <f>IFERROR(__xludf.DUMMYFUNCTION("""COMPUTED_VALUE"""),43084.64583333333)</f>
        <v>43084.64583</v>
      </c>
      <c r="I3195" s="25">
        <f>IFERROR(__xludf.DUMMYFUNCTION("""COMPUTED_VALUE"""),1281.88)</f>
        <v>1281.88</v>
      </c>
      <c r="J3195" s="25">
        <f>IFERROR(__xludf.DUMMYFUNCTION("""COMPUTED_VALUE"""),1292.22)</f>
        <v>1292.22</v>
      </c>
      <c r="K3195" s="25">
        <f>IFERROR(__xludf.DUMMYFUNCTION("""COMPUTED_VALUE"""),1268.43)</f>
        <v>1268.43</v>
      </c>
      <c r="L3195" s="25">
        <f>IFERROR(__xludf.DUMMYFUNCTION("""COMPUTED_VALUE"""),1272.8)</f>
        <v>1272.8</v>
      </c>
      <c r="M3195" s="25">
        <f>IFERROR(__xludf.DUMMYFUNCTION("""COMPUTED_VALUE"""),1359069.0)</f>
        <v>1359069</v>
      </c>
    </row>
    <row r="3196">
      <c r="A3196" s="26">
        <f>IFERROR(__xludf.DUMMYFUNCTION("""COMPUTED_VALUE"""),43087.64583333333)</f>
        <v>43087.64583</v>
      </c>
      <c r="B3196" s="9">
        <f>IFERROR(__xludf.DUMMYFUNCTION("""COMPUTED_VALUE"""),505.95)</f>
        <v>505.95</v>
      </c>
      <c r="C3196" s="9">
        <f>IFERROR(__xludf.DUMMYFUNCTION("""COMPUTED_VALUE"""),515.35)</f>
        <v>515.35</v>
      </c>
      <c r="D3196" s="9">
        <f>IFERROR(__xludf.DUMMYFUNCTION("""COMPUTED_VALUE"""),502.9)</f>
        <v>502.9</v>
      </c>
      <c r="E3196" s="9">
        <f>IFERROR(__xludf.DUMMYFUNCTION("""COMPUTED_VALUE"""),508.3)</f>
        <v>508.3</v>
      </c>
      <c r="F3196" s="9">
        <f>IFERROR(__xludf.DUMMYFUNCTION("""COMPUTED_VALUE"""),2017724.0)</f>
        <v>2017724</v>
      </c>
      <c r="H3196" s="27">
        <f>IFERROR(__xludf.DUMMYFUNCTION("""COMPUTED_VALUE"""),43087.64583333333)</f>
        <v>43087.64583</v>
      </c>
      <c r="I3196" s="25">
        <f>IFERROR(__xludf.DUMMYFUNCTION("""COMPUTED_VALUE"""),1268.5)</f>
        <v>1268.5</v>
      </c>
      <c r="J3196" s="25">
        <f>IFERROR(__xludf.DUMMYFUNCTION("""COMPUTED_VALUE"""),1294.47)</f>
        <v>1294.47</v>
      </c>
      <c r="K3196" s="25">
        <f>IFERROR(__xludf.DUMMYFUNCTION("""COMPUTED_VALUE"""),1247.18)</f>
        <v>1247.18</v>
      </c>
      <c r="L3196" s="25">
        <f>IFERROR(__xludf.DUMMYFUNCTION("""COMPUTED_VALUE"""),1290.25)</f>
        <v>1290.25</v>
      </c>
      <c r="M3196" s="25">
        <f>IFERROR(__xludf.DUMMYFUNCTION("""COMPUTED_VALUE"""),1090332.0)</f>
        <v>1090332</v>
      </c>
    </row>
    <row r="3197">
      <c r="A3197" s="26">
        <f>IFERROR(__xludf.DUMMYFUNCTION("""COMPUTED_VALUE"""),43088.64583333333)</f>
        <v>43088.64583</v>
      </c>
      <c r="B3197" s="9">
        <f>IFERROR(__xludf.DUMMYFUNCTION("""COMPUTED_VALUE"""),508.73)</f>
        <v>508.73</v>
      </c>
      <c r="C3197" s="9">
        <f>IFERROR(__xludf.DUMMYFUNCTION("""COMPUTED_VALUE"""),508.98)</f>
        <v>508.98</v>
      </c>
      <c r="D3197" s="9">
        <f>IFERROR(__xludf.DUMMYFUNCTION("""COMPUTED_VALUE"""),499.78)</f>
        <v>499.78</v>
      </c>
      <c r="E3197" s="9">
        <f>IFERROR(__xludf.DUMMYFUNCTION("""COMPUTED_VALUE"""),501.98)</f>
        <v>501.98</v>
      </c>
      <c r="F3197" s="9">
        <f>IFERROR(__xludf.DUMMYFUNCTION("""COMPUTED_VALUE"""),3559449.0)</f>
        <v>3559449</v>
      </c>
      <c r="H3197" s="27">
        <f>IFERROR(__xludf.DUMMYFUNCTION("""COMPUTED_VALUE"""),43088.64583333333)</f>
        <v>43088.64583</v>
      </c>
      <c r="I3197" s="25">
        <f>IFERROR(__xludf.DUMMYFUNCTION("""COMPUTED_VALUE"""),1288.0)</f>
        <v>1288</v>
      </c>
      <c r="J3197" s="25">
        <f>IFERROR(__xludf.DUMMYFUNCTION("""COMPUTED_VALUE"""),1298.9)</f>
        <v>1298.9</v>
      </c>
      <c r="K3197" s="25">
        <f>IFERROR(__xludf.DUMMYFUNCTION("""COMPUTED_VALUE"""),1282.35)</f>
        <v>1282.35</v>
      </c>
      <c r="L3197" s="25">
        <f>IFERROR(__xludf.DUMMYFUNCTION("""COMPUTED_VALUE"""),1287.65)</f>
        <v>1287.65</v>
      </c>
      <c r="M3197" s="25">
        <f>IFERROR(__xludf.DUMMYFUNCTION("""COMPUTED_VALUE"""),900976.0)</f>
        <v>900976</v>
      </c>
    </row>
    <row r="3198">
      <c r="A3198" s="26">
        <f>IFERROR(__xludf.DUMMYFUNCTION("""COMPUTED_VALUE"""),43089.64583333333)</f>
        <v>43089.64583</v>
      </c>
      <c r="B3198" s="9">
        <f>IFERROR(__xludf.DUMMYFUNCTION("""COMPUTED_VALUE"""),502.55)</f>
        <v>502.55</v>
      </c>
      <c r="C3198" s="9">
        <f>IFERROR(__xludf.DUMMYFUNCTION("""COMPUTED_VALUE"""),509.3)</f>
        <v>509.3</v>
      </c>
      <c r="D3198" s="9">
        <f>IFERROR(__xludf.DUMMYFUNCTION("""COMPUTED_VALUE"""),500.5)</f>
        <v>500.5</v>
      </c>
      <c r="E3198" s="9">
        <f>IFERROR(__xludf.DUMMYFUNCTION("""COMPUTED_VALUE"""),507.93)</f>
        <v>507.93</v>
      </c>
      <c r="F3198" s="9">
        <f>IFERROR(__xludf.DUMMYFUNCTION("""COMPUTED_VALUE"""),2093163.0)</f>
        <v>2093163</v>
      </c>
      <c r="H3198" s="27">
        <f>IFERROR(__xludf.DUMMYFUNCTION("""COMPUTED_VALUE"""),43089.64583333333)</f>
        <v>43089.64583</v>
      </c>
      <c r="I3198" s="25">
        <f>IFERROR(__xludf.DUMMYFUNCTION("""COMPUTED_VALUE"""),1291.0)</f>
        <v>1291</v>
      </c>
      <c r="J3198" s="25">
        <f>IFERROR(__xludf.DUMMYFUNCTION("""COMPUTED_VALUE"""),1296.38)</f>
        <v>1296.38</v>
      </c>
      <c r="K3198" s="25">
        <f>IFERROR(__xludf.DUMMYFUNCTION("""COMPUTED_VALUE"""),1275.33)</f>
        <v>1275.33</v>
      </c>
      <c r="L3198" s="25">
        <f>IFERROR(__xludf.DUMMYFUNCTION("""COMPUTED_VALUE"""),1294.47)</f>
        <v>1294.47</v>
      </c>
      <c r="M3198" s="25">
        <f>IFERROR(__xludf.DUMMYFUNCTION("""COMPUTED_VALUE"""),788785.0)</f>
        <v>788785</v>
      </c>
    </row>
    <row r="3199">
      <c r="A3199" s="26">
        <f>IFERROR(__xludf.DUMMYFUNCTION("""COMPUTED_VALUE"""),43090.64583333333)</f>
        <v>43090.64583</v>
      </c>
      <c r="B3199" s="9">
        <f>IFERROR(__xludf.DUMMYFUNCTION("""COMPUTED_VALUE"""),507.4)</f>
        <v>507.4</v>
      </c>
      <c r="C3199" s="9">
        <f>IFERROR(__xludf.DUMMYFUNCTION("""COMPUTED_VALUE"""),514.48)</f>
        <v>514.48</v>
      </c>
      <c r="D3199" s="9">
        <f>IFERROR(__xludf.DUMMYFUNCTION("""COMPUTED_VALUE"""),499.2)</f>
        <v>499.2</v>
      </c>
      <c r="E3199" s="9">
        <f>IFERROR(__xludf.DUMMYFUNCTION("""COMPUTED_VALUE"""),511.03)</f>
        <v>511.03</v>
      </c>
      <c r="F3199" s="9">
        <f>IFERROR(__xludf.DUMMYFUNCTION("""COMPUTED_VALUE"""),5529581.0)</f>
        <v>5529581</v>
      </c>
      <c r="H3199" s="27">
        <f>IFERROR(__xludf.DUMMYFUNCTION("""COMPUTED_VALUE"""),43090.64583333333)</f>
        <v>43090.64583</v>
      </c>
      <c r="I3199" s="25">
        <f>IFERROR(__xludf.DUMMYFUNCTION("""COMPUTED_VALUE"""),1293.5)</f>
        <v>1293.5</v>
      </c>
      <c r="J3199" s="25">
        <f>IFERROR(__xludf.DUMMYFUNCTION("""COMPUTED_VALUE"""),1304.0)</f>
        <v>1304</v>
      </c>
      <c r="K3199" s="25">
        <f>IFERROR(__xludf.DUMMYFUNCTION("""COMPUTED_VALUE"""),1290.03)</f>
        <v>1290.03</v>
      </c>
      <c r="L3199" s="25">
        <f>IFERROR(__xludf.DUMMYFUNCTION("""COMPUTED_VALUE"""),1297.85)</f>
        <v>1297.85</v>
      </c>
      <c r="M3199" s="25">
        <f>IFERROR(__xludf.DUMMYFUNCTION("""COMPUTED_VALUE"""),646824.0)</f>
        <v>646824</v>
      </c>
    </row>
    <row r="3200">
      <c r="A3200" s="26">
        <f>IFERROR(__xludf.DUMMYFUNCTION("""COMPUTED_VALUE"""),43091.64583333333)</f>
        <v>43091.64583</v>
      </c>
      <c r="B3200" s="9">
        <f>IFERROR(__xludf.DUMMYFUNCTION("""COMPUTED_VALUE"""),508.0)</f>
        <v>508</v>
      </c>
      <c r="C3200" s="9">
        <f>IFERROR(__xludf.DUMMYFUNCTION("""COMPUTED_VALUE"""),522.4)</f>
        <v>522.4</v>
      </c>
      <c r="D3200" s="9">
        <f>IFERROR(__xludf.DUMMYFUNCTION("""COMPUTED_VALUE"""),508.0)</f>
        <v>508</v>
      </c>
      <c r="E3200" s="9">
        <f>IFERROR(__xludf.DUMMYFUNCTION("""COMPUTED_VALUE"""),519.67)</f>
        <v>519.67</v>
      </c>
      <c r="F3200" s="9">
        <f>IFERROR(__xludf.DUMMYFUNCTION("""COMPUTED_VALUE"""),6453470.0)</f>
        <v>6453470</v>
      </c>
      <c r="H3200" s="27">
        <f>IFERROR(__xludf.DUMMYFUNCTION("""COMPUTED_VALUE"""),43091.64583333333)</f>
        <v>43091.64583</v>
      </c>
      <c r="I3200" s="25">
        <f>IFERROR(__xludf.DUMMYFUNCTION("""COMPUTED_VALUE"""),1302.0)</f>
        <v>1302</v>
      </c>
      <c r="J3200" s="25">
        <f>IFERROR(__xludf.DUMMYFUNCTION("""COMPUTED_VALUE"""),1331.95)</f>
        <v>1331.95</v>
      </c>
      <c r="K3200" s="25">
        <f>IFERROR(__xludf.DUMMYFUNCTION("""COMPUTED_VALUE"""),1295.1)</f>
        <v>1295.1</v>
      </c>
      <c r="L3200" s="25">
        <f>IFERROR(__xludf.DUMMYFUNCTION("""COMPUTED_VALUE"""),1323.38)</f>
        <v>1323.38</v>
      </c>
      <c r="M3200" s="25">
        <f>IFERROR(__xludf.DUMMYFUNCTION("""COMPUTED_VALUE"""),1832832.0)</f>
        <v>1832832</v>
      </c>
    </row>
    <row r="3201">
      <c r="A3201" s="26">
        <f>IFERROR(__xludf.DUMMYFUNCTION("""COMPUTED_VALUE"""),43095.64583333333)</f>
        <v>43095.64583</v>
      </c>
      <c r="B3201" s="9">
        <f>IFERROR(__xludf.DUMMYFUNCTION("""COMPUTED_VALUE"""),515.0)</f>
        <v>515</v>
      </c>
      <c r="C3201" s="9">
        <f>IFERROR(__xludf.DUMMYFUNCTION("""COMPUTED_VALUE"""),520.75)</f>
        <v>520.75</v>
      </c>
      <c r="D3201" s="9">
        <f>IFERROR(__xludf.DUMMYFUNCTION("""COMPUTED_VALUE"""),511.5)</f>
        <v>511.5</v>
      </c>
      <c r="E3201" s="9">
        <f>IFERROR(__xludf.DUMMYFUNCTION("""COMPUTED_VALUE"""),517.8)</f>
        <v>517.8</v>
      </c>
      <c r="F3201" s="9">
        <f>IFERROR(__xludf.DUMMYFUNCTION("""COMPUTED_VALUE"""),5404453.0)</f>
        <v>5404453</v>
      </c>
      <c r="H3201" s="27">
        <f>IFERROR(__xludf.DUMMYFUNCTION("""COMPUTED_VALUE"""),43095.64583333333)</f>
        <v>43095.64583</v>
      </c>
      <c r="I3201" s="25">
        <f>IFERROR(__xludf.DUMMYFUNCTION("""COMPUTED_VALUE"""),1343.0)</f>
        <v>1343</v>
      </c>
      <c r="J3201" s="25">
        <f>IFERROR(__xludf.DUMMYFUNCTION("""COMPUTED_VALUE"""),1344.88)</f>
        <v>1344.88</v>
      </c>
      <c r="K3201" s="25">
        <f>IFERROR(__xludf.DUMMYFUNCTION("""COMPUTED_VALUE"""),1315.8)</f>
        <v>1315.8</v>
      </c>
      <c r="L3201" s="25">
        <f>IFERROR(__xludf.DUMMYFUNCTION("""COMPUTED_VALUE"""),1324.73)</f>
        <v>1324.73</v>
      </c>
      <c r="M3201" s="25">
        <f>IFERROR(__xludf.DUMMYFUNCTION("""COMPUTED_VALUE"""),1087893.0)</f>
        <v>1087893</v>
      </c>
    </row>
    <row r="3202">
      <c r="A3202" s="26">
        <f>IFERROR(__xludf.DUMMYFUNCTION("""COMPUTED_VALUE"""),43096.64583333333)</f>
        <v>43096.64583</v>
      </c>
      <c r="B3202" s="9">
        <f>IFERROR(__xludf.DUMMYFUNCTION("""COMPUTED_VALUE"""),514.0)</f>
        <v>514</v>
      </c>
      <c r="C3202" s="9">
        <f>IFERROR(__xludf.DUMMYFUNCTION("""COMPUTED_VALUE"""),519.55)</f>
        <v>519.55</v>
      </c>
      <c r="D3202" s="9">
        <f>IFERROR(__xludf.DUMMYFUNCTION("""COMPUTED_VALUE"""),513.7)</f>
        <v>513.7</v>
      </c>
      <c r="E3202" s="9">
        <f>IFERROR(__xludf.DUMMYFUNCTION("""COMPUTED_VALUE"""),517.13)</f>
        <v>517.13</v>
      </c>
      <c r="F3202" s="9">
        <f>IFERROR(__xludf.DUMMYFUNCTION("""COMPUTED_VALUE"""),3485086.0)</f>
        <v>3485086</v>
      </c>
      <c r="H3202" s="27">
        <f>IFERROR(__xludf.DUMMYFUNCTION("""COMPUTED_VALUE"""),43096.64583333333)</f>
        <v>43096.64583</v>
      </c>
      <c r="I3202" s="25">
        <f>IFERROR(__xludf.DUMMYFUNCTION("""COMPUTED_VALUE"""),1324.73)</f>
        <v>1324.73</v>
      </c>
      <c r="J3202" s="25">
        <f>IFERROR(__xludf.DUMMYFUNCTION("""COMPUTED_VALUE"""),1329.25)</f>
        <v>1329.25</v>
      </c>
      <c r="K3202" s="25">
        <f>IFERROR(__xludf.DUMMYFUNCTION("""COMPUTED_VALUE"""),1305.25)</f>
        <v>1305.25</v>
      </c>
      <c r="L3202" s="25">
        <f>IFERROR(__xludf.DUMMYFUNCTION("""COMPUTED_VALUE"""),1309.95)</f>
        <v>1309.95</v>
      </c>
      <c r="M3202" s="25">
        <f>IFERROR(__xludf.DUMMYFUNCTION("""COMPUTED_VALUE"""),369642.0)</f>
        <v>369642</v>
      </c>
    </row>
    <row r="3203">
      <c r="A3203" s="26">
        <f>IFERROR(__xludf.DUMMYFUNCTION("""COMPUTED_VALUE"""),43097.64583333333)</f>
        <v>43097.64583</v>
      </c>
      <c r="B3203" s="9">
        <f>IFERROR(__xludf.DUMMYFUNCTION("""COMPUTED_VALUE"""),515.0)</f>
        <v>515</v>
      </c>
      <c r="C3203" s="9">
        <f>IFERROR(__xludf.DUMMYFUNCTION("""COMPUTED_VALUE"""),520.0)</f>
        <v>520</v>
      </c>
      <c r="D3203" s="9">
        <f>IFERROR(__xludf.DUMMYFUNCTION("""COMPUTED_VALUE"""),511.9)</f>
        <v>511.9</v>
      </c>
      <c r="E3203" s="9">
        <f>IFERROR(__xludf.DUMMYFUNCTION("""COMPUTED_VALUE"""),516.63)</f>
        <v>516.63</v>
      </c>
      <c r="F3203" s="9">
        <f>IFERROR(__xludf.DUMMYFUNCTION("""COMPUTED_VALUE"""),4216736.0)</f>
        <v>4216736</v>
      </c>
      <c r="H3203" s="27">
        <f>IFERROR(__xludf.DUMMYFUNCTION("""COMPUTED_VALUE"""),43097.64583333333)</f>
        <v>43097.64583</v>
      </c>
      <c r="I3203" s="25">
        <f>IFERROR(__xludf.DUMMYFUNCTION("""COMPUTED_VALUE"""),1304.4)</f>
        <v>1304.4</v>
      </c>
      <c r="J3203" s="25">
        <f>IFERROR(__xludf.DUMMYFUNCTION("""COMPUTED_VALUE"""),1326.75)</f>
        <v>1326.75</v>
      </c>
      <c r="K3203" s="25">
        <f>IFERROR(__xludf.DUMMYFUNCTION("""COMPUTED_VALUE"""),1302.83)</f>
        <v>1302.83</v>
      </c>
      <c r="L3203" s="25">
        <f>IFERROR(__xludf.DUMMYFUNCTION("""COMPUTED_VALUE"""),1313.48)</f>
        <v>1313.48</v>
      </c>
      <c r="M3203" s="25">
        <f>IFERROR(__xludf.DUMMYFUNCTION("""COMPUTED_VALUE"""),1302544.0)</f>
        <v>1302544</v>
      </c>
    </row>
    <row r="3204">
      <c r="A3204" s="26">
        <f>IFERROR(__xludf.DUMMYFUNCTION("""COMPUTED_VALUE"""),43098.64583333333)</f>
        <v>43098.64583</v>
      </c>
      <c r="B3204" s="9">
        <f>IFERROR(__xludf.DUMMYFUNCTION("""COMPUTED_VALUE"""),515.05)</f>
        <v>515.05</v>
      </c>
      <c r="C3204" s="9">
        <f>IFERROR(__xludf.DUMMYFUNCTION("""COMPUTED_VALUE"""),524.4)</f>
        <v>524.4</v>
      </c>
      <c r="D3204" s="9">
        <f>IFERROR(__xludf.DUMMYFUNCTION("""COMPUTED_VALUE"""),515.0)</f>
        <v>515</v>
      </c>
      <c r="E3204" s="9">
        <f>IFERROR(__xludf.DUMMYFUNCTION("""COMPUTED_VALUE"""),521.03)</f>
        <v>521.03</v>
      </c>
      <c r="F3204" s="9">
        <f>IFERROR(__xludf.DUMMYFUNCTION("""COMPUTED_VALUE"""),3300884.0)</f>
        <v>3300884</v>
      </c>
      <c r="H3204" s="27">
        <f>IFERROR(__xludf.DUMMYFUNCTION("""COMPUTED_VALUE"""),43098.64583333333)</f>
        <v>43098.64583</v>
      </c>
      <c r="I3204" s="25">
        <f>IFERROR(__xludf.DUMMYFUNCTION("""COMPUTED_VALUE"""),1311.55)</f>
        <v>1311.55</v>
      </c>
      <c r="J3204" s="25">
        <f>IFERROR(__xludf.DUMMYFUNCTION("""COMPUTED_VALUE"""),1354.45)</f>
        <v>1354.45</v>
      </c>
      <c r="K3204" s="25">
        <f>IFERROR(__xludf.DUMMYFUNCTION("""COMPUTED_VALUE"""),1309.28)</f>
        <v>1309.28</v>
      </c>
      <c r="L3204" s="25">
        <f>IFERROR(__xludf.DUMMYFUNCTION("""COMPUTED_VALUE"""),1350.6)</f>
        <v>1350.6</v>
      </c>
      <c r="M3204" s="25">
        <f>IFERROR(__xludf.DUMMYFUNCTION("""COMPUTED_VALUE"""),1304771.0)</f>
        <v>1304771</v>
      </c>
    </row>
    <row r="3205">
      <c r="A3205" s="26">
        <f>IFERROR(__xludf.DUMMYFUNCTION("""COMPUTED_VALUE"""),43101.64583333333)</f>
        <v>43101.64583</v>
      </c>
      <c r="B3205" s="9">
        <f>IFERROR(__xludf.DUMMYFUNCTION("""COMPUTED_VALUE"""),518.85)</f>
        <v>518.85</v>
      </c>
      <c r="C3205" s="9">
        <f>IFERROR(__xludf.DUMMYFUNCTION("""COMPUTED_VALUE"""),522.25)</f>
        <v>522.25</v>
      </c>
      <c r="D3205" s="9">
        <f>IFERROR(__xludf.DUMMYFUNCTION("""COMPUTED_VALUE"""),515.0)</f>
        <v>515</v>
      </c>
      <c r="E3205" s="9">
        <f>IFERROR(__xludf.DUMMYFUNCTION("""COMPUTED_VALUE"""),516.78)</f>
        <v>516.78</v>
      </c>
      <c r="F3205" s="9">
        <f>IFERROR(__xludf.DUMMYFUNCTION("""COMPUTED_VALUE"""),2715670.0)</f>
        <v>2715670</v>
      </c>
      <c r="H3205" s="27">
        <f>IFERROR(__xludf.DUMMYFUNCTION("""COMPUTED_VALUE"""),43101.64583333333)</f>
        <v>43101.64583</v>
      </c>
      <c r="I3205" s="25">
        <f>IFERROR(__xludf.DUMMYFUNCTION("""COMPUTED_VALUE"""),1341.15)</f>
        <v>1341.15</v>
      </c>
      <c r="J3205" s="25">
        <f>IFERROR(__xludf.DUMMYFUNCTION("""COMPUTED_VALUE"""),1347.4)</f>
        <v>1347.4</v>
      </c>
      <c r="K3205" s="25">
        <f>IFERROR(__xludf.DUMMYFUNCTION("""COMPUTED_VALUE"""),1317.5)</f>
        <v>1317.5</v>
      </c>
      <c r="L3205" s="25">
        <f>IFERROR(__xludf.DUMMYFUNCTION("""COMPUTED_VALUE"""),1322.8)</f>
        <v>1322.8</v>
      </c>
      <c r="M3205" s="25">
        <f>IFERROR(__xludf.DUMMYFUNCTION("""COMPUTED_VALUE"""),675880.0)</f>
        <v>675880</v>
      </c>
    </row>
    <row r="3206">
      <c r="A3206" s="26">
        <f>IFERROR(__xludf.DUMMYFUNCTION("""COMPUTED_VALUE"""),43102.64583333333)</f>
        <v>43102.64583</v>
      </c>
      <c r="B3206" s="9">
        <f>IFERROR(__xludf.DUMMYFUNCTION("""COMPUTED_VALUE"""),518.63)</f>
        <v>518.63</v>
      </c>
      <c r="C3206" s="9">
        <f>IFERROR(__xludf.DUMMYFUNCTION("""COMPUTED_VALUE"""),521.0)</f>
        <v>521</v>
      </c>
      <c r="D3206" s="9">
        <f>IFERROR(__xludf.DUMMYFUNCTION("""COMPUTED_VALUE"""),511.5)</f>
        <v>511.5</v>
      </c>
      <c r="E3206" s="9">
        <f>IFERROR(__xludf.DUMMYFUNCTION("""COMPUTED_VALUE"""),514.85)</f>
        <v>514.85</v>
      </c>
      <c r="F3206" s="9">
        <f>IFERROR(__xludf.DUMMYFUNCTION("""COMPUTED_VALUE"""),3056124.0)</f>
        <v>3056124</v>
      </c>
      <c r="H3206" s="27">
        <f>IFERROR(__xludf.DUMMYFUNCTION("""COMPUTED_VALUE"""),43102.64583333333)</f>
        <v>43102.64583</v>
      </c>
      <c r="I3206" s="25">
        <f>IFERROR(__xludf.DUMMYFUNCTION("""COMPUTED_VALUE"""),1330.0)</f>
        <v>1330</v>
      </c>
      <c r="J3206" s="25">
        <f>IFERROR(__xludf.DUMMYFUNCTION("""COMPUTED_VALUE"""),1334.8)</f>
        <v>1334.8</v>
      </c>
      <c r="K3206" s="25">
        <f>IFERROR(__xludf.DUMMYFUNCTION("""COMPUTED_VALUE"""),1310.1)</f>
        <v>1310.1</v>
      </c>
      <c r="L3206" s="25">
        <f>IFERROR(__xludf.DUMMYFUNCTION("""COMPUTED_VALUE"""),1315.6)</f>
        <v>1315.6</v>
      </c>
      <c r="M3206" s="25">
        <f>IFERROR(__xludf.DUMMYFUNCTION("""COMPUTED_VALUE"""),960145.0)</f>
        <v>960145</v>
      </c>
    </row>
    <row r="3207">
      <c r="A3207" s="26">
        <f>IFERROR(__xludf.DUMMYFUNCTION("""COMPUTED_VALUE"""),43103.64583333333)</f>
        <v>43103.64583</v>
      </c>
      <c r="B3207" s="9">
        <f>IFERROR(__xludf.DUMMYFUNCTION("""COMPUTED_VALUE"""),514.25)</f>
        <v>514.25</v>
      </c>
      <c r="C3207" s="9">
        <f>IFERROR(__xludf.DUMMYFUNCTION("""COMPUTED_VALUE"""),515.8)</f>
        <v>515.8</v>
      </c>
      <c r="D3207" s="9">
        <f>IFERROR(__xludf.DUMMYFUNCTION("""COMPUTED_VALUE"""),509.3)</f>
        <v>509.3</v>
      </c>
      <c r="E3207" s="9">
        <f>IFERROR(__xludf.DUMMYFUNCTION("""COMPUTED_VALUE"""),510.65)</f>
        <v>510.65</v>
      </c>
      <c r="F3207" s="9">
        <f>IFERROR(__xludf.DUMMYFUNCTION("""COMPUTED_VALUE"""),3423276.0)</f>
        <v>3423276</v>
      </c>
      <c r="H3207" s="27">
        <f>IFERROR(__xludf.DUMMYFUNCTION("""COMPUTED_VALUE"""),43103.64583333333)</f>
        <v>43103.64583</v>
      </c>
      <c r="I3207" s="25">
        <f>IFERROR(__xludf.DUMMYFUNCTION("""COMPUTED_VALUE"""),1316.0)</f>
        <v>1316</v>
      </c>
      <c r="J3207" s="25">
        <f>IFERROR(__xludf.DUMMYFUNCTION("""COMPUTED_VALUE"""),1334.5)</f>
        <v>1334.5</v>
      </c>
      <c r="K3207" s="25">
        <f>IFERROR(__xludf.DUMMYFUNCTION("""COMPUTED_VALUE"""),1315.6)</f>
        <v>1315.6</v>
      </c>
      <c r="L3207" s="25">
        <f>IFERROR(__xludf.DUMMYFUNCTION("""COMPUTED_VALUE"""),1319.33)</f>
        <v>1319.33</v>
      </c>
      <c r="M3207" s="25">
        <f>IFERROR(__xludf.DUMMYFUNCTION("""COMPUTED_VALUE"""),628560.0)</f>
        <v>628560</v>
      </c>
    </row>
    <row r="3208">
      <c r="A3208" s="26">
        <f>IFERROR(__xludf.DUMMYFUNCTION("""COMPUTED_VALUE"""),43104.64583333333)</f>
        <v>43104.64583</v>
      </c>
      <c r="B3208" s="9">
        <f>IFERROR(__xludf.DUMMYFUNCTION("""COMPUTED_VALUE"""),510.5)</f>
        <v>510.5</v>
      </c>
      <c r="C3208" s="9">
        <f>IFERROR(__xludf.DUMMYFUNCTION("""COMPUTED_VALUE"""),510.5)</f>
        <v>510.5</v>
      </c>
      <c r="D3208" s="9">
        <f>IFERROR(__xludf.DUMMYFUNCTION("""COMPUTED_VALUE"""),504.8)</f>
        <v>504.8</v>
      </c>
      <c r="E3208" s="9">
        <f>IFERROR(__xludf.DUMMYFUNCTION("""COMPUTED_VALUE"""),507.7)</f>
        <v>507.7</v>
      </c>
      <c r="F3208" s="9">
        <f>IFERROR(__xludf.DUMMYFUNCTION("""COMPUTED_VALUE"""),4473807.0)</f>
        <v>4473807</v>
      </c>
      <c r="H3208" s="27">
        <f>IFERROR(__xludf.DUMMYFUNCTION("""COMPUTED_VALUE"""),43104.64583333333)</f>
        <v>43104.64583</v>
      </c>
      <c r="I3208" s="25">
        <f>IFERROR(__xludf.DUMMYFUNCTION("""COMPUTED_VALUE"""),1325.0)</f>
        <v>1325</v>
      </c>
      <c r="J3208" s="25">
        <f>IFERROR(__xludf.DUMMYFUNCTION("""COMPUTED_VALUE"""),1331.0)</f>
        <v>1331</v>
      </c>
      <c r="K3208" s="25">
        <f>IFERROR(__xludf.DUMMYFUNCTION("""COMPUTED_VALUE"""),1320.0)</f>
        <v>1320</v>
      </c>
      <c r="L3208" s="25">
        <f>IFERROR(__xludf.DUMMYFUNCTION("""COMPUTED_VALUE"""),1328.55)</f>
        <v>1328.55</v>
      </c>
      <c r="M3208" s="25">
        <f>IFERROR(__xludf.DUMMYFUNCTION("""COMPUTED_VALUE"""),456541.0)</f>
        <v>456541</v>
      </c>
    </row>
    <row r="3209">
      <c r="A3209" s="26">
        <f>IFERROR(__xludf.DUMMYFUNCTION("""COMPUTED_VALUE"""),43105.64583333333)</f>
        <v>43105.64583</v>
      </c>
      <c r="B3209" s="9">
        <f>IFERROR(__xludf.DUMMYFUNCTION("""COMPUTED_VALUE"""),507.65)</f>
        <v>507.65</v>
      </c>
      <c r="C3209" s="9">
        <f>IFERROR(__xludf.DUMMYFUNCTION("""COMPUTED_VALUE"""),513.2)</f>
        <v>513.2</v>
      </c>
      <c r="D3209" s="9">
        <f>IFERROR(__xludf.DUMMYFUNCTION("""COMPUTED_VALUE"""),503.0)</f>
        <v>503</v>
      </c>
      <c r="E3209" s="9">
        <f>IFERROR(__xludf.DUMMYFUNCTION("""COMPUTED_VALUE"""),506.0)</f>
        <v>506</v>
      </c>
      <c r="F3209" s="9">
        <f>IFERROR(__xludf.DUMMYFUNCTION("""COMPUTED_VALUE"""),5512988.0)</f>
        <v>5512988</v>
      </c>
      <c r="H3209" s="27">
        <f>IFERROR(__xludf.DUMMYFUNCTION("""COMPUTED_VALUE"""),43105.64583333333)</f>
        <v>43105.64583</v>
      </c>
      <c r="I3209" s="25">
        <f>IFERROR(__xludf.DUMMYFUNCTION("""COMPUTED_VALUE"""),1325.0)</f>
        <v>1325</v>
      </c>
      <c r="J3209" s="25">
        <f>IFERROR(__xludf.DUMMYFUNCTION("""COMPUTED_VALUE"""),1349.75)</f>
        <v>1349.75</v>
      </c>
      <c r="K3209" s="25">
        <f>IFERROR(__xludf.DUMMYFUNCTION("""COMPUTED_VALUE"""),1325.0)</f>
        <v>1325</v>
      </c>
      <c r="L3209" s="25">
        <f>IFERROR(__xludf.DUMMYFUNCTION("""COMPUTED_VALUE"""),1344.6)</f>
        <v>1344.6</v>
      </c>
      <c r="M3209" s="25">
        <f>IFERROR(__xludf.DUMMYFUNCTION("""COMPUTED_VALUE"""),576853.0)</f>
        <v>576853</v>
      </c>
    </row>
    <row r="3210">
      <c r="A3210" s="26">
        <f>IFERROR(__xludf.DUMMYFUNCTION("""COMPUTED_VALUE"""),43108.64583333333)</f>
        <v>43108.64583</v>
      </c>
      <c r="B3210" s="9">
        <f>IFERROR(__xludf.DUMMYFUNCTION("""COMPUTED_VALUE"""),512.45)</f>
        <v>512.45</v>
      </c>
      <c r="C3210" s="9">
        <f>IFERROR(__xludf.DUMMYFUNCTION("""COMPUTED_VALUE"""),519.5)</f>
        <v>519.5</v>
      </c>
      <c r="D3210" s="9">
        <f>IFERROR(__xludf.DUMMYFUNCTION("""COMPUTED_VALUE"""),510.03)</f>
        <v>510.03</v>
      </c>
      <c r="E3210" s="9">
        <f>IFERROR(__xludf.DUMMYFUNCTION("""COMPUTED_VALUE"""),518.03)</f>
        <v>518.03</v>
      </c>
      <c r="F3210" s="9">
        <f>IFERROR(__xludf.DUMMYFUNCTION("""COMPUTED_VALUE"""),2797345.0)</f>
        <v>2797345</v>
      </c>
      <c r="H3210" s="27">
        <f>IFERROR(__xludf.DUMMYFUNCTION("""COMPUTED_VALUE"""),43108.64583333333)</f>
        <v>43108.64583</v>
      </c>
      <c r="I3210" s="25">
        <f>IFERROR(__xludf.DUMMYFUNCTION("""COMPUTED_VALUE"""),1350.0)</f>
        <v>1350</v>
      </c>
      <c r="J3210" s="25">
        <f>IFERROR(__xludf.DUMMYFUNCTION("""COMPUTED_VALUE"""),1363.43)</f>
        <v>1363.43</v>
      </c>
      <c r="K3210" s="25">
        <f>IFERROR(__xludf.DUMMYFUNCTION("""COMPUTED_VALUE"""),1340.93)</f>
        <v>1340.93</v>
      </c>
      <c r="L3210" s="25">
        <f>IFERROR(__xludf.DUMMYFUNCTION("""COMPUTED_VALUE"""),1357.2)</f>
        <v>1357.2</v>
      </c>
      <c r="M3210" s="25">
        <f>IFERROR(__xludf.DUMMYFUNCTION("""COMPUTED_VALUE"""),621110.0)</f>
        <v>621110</v>
      </c>
    </row>
    <row r="3211">
      <c r="A3211" s="26">
        <f>IFERROR(__xludf.DUMMYFUNCTION("""COMPUTED_VALUE"""),43109.64583333333)</f>
        <v>43109.64583</v>
      </c>
      <c r="B3211" s="9">
        <f>IFERROR(__xludf.DUMMYFUNCTION("""COMPUTED_VALUE"""),520.0)</f>
        <v>520</v>
      </c>
      <c r="C3211" s="9">
        <f>IFERROR(__xludf.DUMMYFUNCTION("""COMPUTED_VALUE"""),522.45)</f>
        <v>522.45</v>
      </c>
      <c r="D3211" s="9">
        <f>IFERROR(__xludf.DUMMYFUNCTION("""COMPUTED_VALUE"""),514.45)</f>
        <v>514.45</v>
      </c>
      <c r="E3211" s="9">
        <f>IFERROR(__xludf.DUMMYFUNCTION("""COMPUTED_VALUE"""),520.67)</f>
        <v>520.67</v>
      </c>
      <c r="F3211" s="9">
        <f>IFERROR(__xludf.DUMMYFUNCTION("""COMPUTED_VALUE"""),4974118.0)</f>
        <v>4974118</v>
      </c>
      <c r="H3211" s="27">
        <f>IFERROR(__xludf.DUMMYFUNCTION("""COMPUTED_VALUE"""),43109.64583333333)</f>
        <v>43109.64583</v>
      </c>
      <c r="I3211" s="25">
        <f>IFERROR(__xludf.DUMMYFUNCTION("""COMPUTED_VALUE"""),1357.5)</f>
        <v>1357.5</v>
      </c>
      <c r="J3211" s="25">
        <f>IFERROR(__xludf.DUMMYFUNCTION("""COMPUTED_VALUE"""),1360.5)</f>
        <v>1360.5</v>
      </c>
      <c r="K3211" s="25">
        <f>IFERROR(__xludf.DUMMYFUNCTION("""COMPUTED_VALUE"""),1338.28)</f>
        <v>1338.28</v>
      </c>
      <c r="L3211" s="25">
        <f>IFERROR(__xludf.DUMMYFUNCTION("""COMPUTED_VALUE"""),1354.5)</f>
        <v>1354.5</v>
      </c>
      <c r="M3211" s="25">
        <f>IFERROR(__xludf.DUMMYFUNCTION("""COMPUTED_VALUE"""),1074698.0)</f>
        <v>1074698</v>
      </c>
    </row>
    <row r="3212">
      <c r="A3212" s="26">
        <f>IFERROR(__xludf.DUMMYFUNCTION("""COMPUTED_VALUE"""),43110.64583333333)</f>
        <v>43110.64583</v>
      </c>
      <c r="B3212" s="9">
        <f>IFERROR(__xludf.DUMMYFUNCTION("""COMPUTED_VALUE"""),523.4)</f>
        <v>523.4</v>
      </c>
      <c r="C3212" s="9">
        <f>IFERROR(__xludf.DUMMYFUNCTION("""COMPUTED_VALUE"""),528.0)</f>
        <v>528</v>
      </c>
      <c r="D3212" s="9">
        <f>IFERROR(__xludf.DUMMYFUNCTION("""COMPUTED_VALUE"""),516.53)</f>
        <v>516.53</v>
      </c>
      <c r="E3212" s="9">
        <f>IFERROR(__xludf.DUMMYFUNCTION("""COMPUTED_VALUE"""),526.13)</f>
        <v>526.13</v>
      </c>
      <c r="F3212" s="9">
        <f>IFERROR(__xludf.DUMMYFUNCTION("""COMPUTED_VALUE"""),4734317.0)</f>
        <v>4734317</v>
      </c>
      <c r="H3212" s="27">
        <f>IFERROR(__xludf.DUMMYFUNCTION("""COMPUTED_VALUE"""),43110.64583333333)</f>
        <v>43110.64583</v>
      </c>
      <c r="I3212" s="25">
        <f>IFERROR(__xludf.DUMMYFUNCTION("""COMPUTED_VALUE"""),1355.5)</f>
        <v>1355.5</v>
      </c>
      <c r="J3212" s="25">
        <f>IFERROR(__xludf.DUMMYFUNCTION("""COMPUTED_VALUE"""),1408.0)</f>
        <v>1408</v>
      </c>
      <c r="K3212" s="25">
        <f>IFERROR(__xludf.DUMMYFUNCTION("""COMPUTED_VALUE"""),1347.33)</f>
        <v>1347.33</v>
      </c>
      <c r="L3212" s="25">
        <f>IFERROR(__xludf.DUMMYFUNCTION("""COMPUTED_VALUE"""),1403.3)</f>
        <v>1403.3</v>
      </c>
      <c r="M3212" s="25">
        <f>IFERROR(__xludf.DUMMYFUNCTION("""COMPUTED_VALUE"""),1682925.0)</f>
        <v>1682925</v>
      </c>
    </row>
    <row r="3213">
      <c r="A3213" s="26">
        <f>IFERROR(__xludf.DUMMYFUNCTION("""COMPUTED_VALUE"""),43111.64583333333)</f>
        <v>43111.64583</v>
      </c>
      <c r="B3213" s="9">
        <f>IFERROR(__xludf.DUMMYFUNCTION("""COMPUTED_VALUE"""),527.63)</f>
        <v>527.63</v>
      </c>
      <c r="C3213" s="9">
        <f>IFERROR(__xludf.DUMMYFUNCTION("""COMPUTED_VALUE"""),541.7)</f>
        <v>541.7</v>
      </c>
      <c r="D3213" s="9">
        <f>IFERROR(__xludf.DUMMYFUNCTION("""COMPUTED_VALUE"""),527.63)</f>
        <v>527.63</v>
      </c>
      <c r="E3213" s="9">
        <f>IFERROR(__xludf.DUMMYFUNCTION("""COMPUTED_VALUE"""),537.9)</f>
        <v>537.9</v>
      </c>
      <c r="F3213" s="9">
        <f>IFERROR(__xludf.DUMMYFUNCTION("""COMPUTED_VALUE"""),8387735.0)</f>
        <v>8387735</v>
      </c>
      <c r="H3213" s="27">
        <f>IFERROR(__xludf.DUMMYFUNCTION("""COMPUTED_VALUE"""),43111.64583333333)</f>
        <v>43111.64583</v>
      </c>
      <c r="I3213" s="25">
        <f>IFERROR(__xludf.DUMMYFUNCTION("""COMPUTED_VALUE"""),1405.0)</f>
        <v>1405</v>
      </c>
      <c r="J3213" s="25">
        <f>IFERROR(__xludf.DUMMYFUNCTION("""COMPUTED_VALUE"""),1410.95)</f>
        <v>1410.95</v>
      </c>
      <c r="K3213" s="25">
        <f>IFERROR(__xludf.DUMMYFUNCTION("""COMPUTED_VALUE"""),1391.1)</f>
        <v>1391.1</v>
      </c>
      <c r="L3213" s="25">
        <f>IFERROR(__xludf.DUMMYFUNCTION("""COMPUTED_VALUE"""),1395.25)</f>
        <v>1395.25</v>
      </c>
      <c r="M3213" s="25">
        <f>IFERROR(__xludf.DUMMYFUNCTION("""COMPUTED_VALUE"""),1260524.0)</f>
        <v>1260524</v>
      </c>
    </row>
    <row r="3214">
      <c r="A3214" s="26">
        <f>IFERROR(__xludf.DUMMYFUNCTION("""COMPUTED_VALUE"""),43112.64583333333)</f>
        <v>43112.64583</v>
      </c>
      <c r="B3214" s="9">
        <f>IFERROR(__xludf.DUMMYFUNCTION("""COMPUTED_VALUE"""),542.9)</f>
        <v>542.9</v>
      </c>
      <c r="C3214" s="9">
        <f>IFERROR(__xludf.DUMMYFUNCTION("""COMPUTED_VALUE"""),542.95)</f>
        <v>542.95</v>
      </c>
      <c r="D3214" s="9">
        <f>IFERROR(__xludf.DUMMYFUNCTION("""COMPUTED_VALUE"""),535.28)</f>
        <v>535.28</v>
      </c>
      <c r="E3214" s="9">
        <f>IFERROR(__xludf.DUMMYFUNCTION("""COMPUTED_VALUE"""),539.23)</f>
        <v>539.23</v>
      </c>
      <c r="F3214" s="9">
        <f>IFERROR(__xludf.DUMMYFUNCTION("""COMPUTED_VALUE"""),9008264.0)</f>
        <v>9008264</v>
      </c>
      <c r="H3214" s="27">
        <f>IFERROR(__xludf.DUMMYFUNCTION("""COMPUTED_VALUE"""),43112.64583333333)</f>
        <v>43112.64583</v>
      </c>
      <c r="I3214" s="25">
        <f>IFERROR(__xludf.DUMMYFUNCTION("""COMPUTED_VALUE"""),1402.5)</f>
        <v>1402.5</v>
      </c>
      <c r="J3214" s="25">
        <f>IFERROR(__xludf.DUMMYFUNCTION("""COMPUTED_VALUE"""),1402.5)</f>
        <v>1402.5</v>
      </c>
      <c r="K3214" s="25">
        <f>IFERROR(__xludf.DUMMYFUNCTION("""COMPUTED_VALUE"""),1370.28)</f>
        <v>1370.28</v>
      </c>
      <c r="L3214" s="25">
        <f>IFERROR(__xludf.DUMMYFUNCTION("""COMPUTED_VALUE"""),1388.18)</f>
        <v>1388.18</v>
      </c>
      <c r="M3214" s="25">
        <f>IFERROR(__xludf.DUMMYFUNCTION("""COMPUTED_VALUE"""),1680157.0)</f>
        <v>1680157</v>
      </c>
    </row>
    <row r="3215">
      <c r="A3215" s="26">
        <f>IFERROR(__xludf.DUMMYFUNCTION("""COMPUTED_VALUE"""),43115.64583333333)</f>
        <v>43115.64583</v>
      </c>
      <c r="B3215" s="9">
        <f>IFERROR(__xludf.DUMMYFUNCTION("""COMPUTED_VALUE"""),540.0)</f>
        <v>540</v>
      </c>
      <c r="C3215" s="9">
        <f>IFERROR(__xludf.DUMMYFUNCTION("""COMPUTED_VALUE"""),546.48)</f>
        <v>546.48</v>
      </c>
      <c r="D3215" s="9">
        <f>IFERROR(__xludf.DUMMYFUNCTION("""COMPUTED_VALUE"""),532.55)</f>
        <v>532.55</v>
      </c>
      <c r="E3215" s="9">
        <f>IFERROR(__xludf.DUMMYFUNCTION("""COMPUTED_VALUE"""),540.58)</f>
        <v>540.58</v>
      </c>
      <c r="F3215" s="9">
        <f>IFERROR(__xludf.DUMMYFUNCTION("""COMPUTED_VALUE"""),5324625.0)</f>
        <v>5324625</v>
      </c>
      <c r="H3215" s="27">
        <f>IFERROR(__xludf.DUMMYFUNCTION("""COMPUTED_VALUE"""),43115.64583333333)</f>
        <v>43115.64583</v>
      </c>
      <c r="I3215" s="25">
        <f>IFERROR(__xludf.DUMMYFUNCTION("""COMPUTED_VALUE"""),1388.58)</f>
        <v>1388.58</v>
      </c>
      <c r="J3215" s="25">
        <f>IFERROR(__xludf.DUMMYFUNCTION("""COMPUTED_VALUE"""),1404.0)</f>
        <v>1404</v>
      </c>
      <c r="K3215" s="25">
        <f>IFERROR(__xludf.DUMMYFUNCTION("""COMPUTED_VALUE"""),1367.53)</f>
        <v>1367.53</v>
      </c>
      <c r="L3215" s="25">
        <f>IFERROR(__xludf.DUMMYFUNCTION("""COMPUTED_VALUE"""),1373.05)</f>
        <v>1373.05</v>
      </c>
      <c r="M3215" s="25">
        <f>IFERROR(__xludf.DUMMYFUNCTION("""COMPUTED_VALUE"""),728607.0)</f>
        <v>728607</v>
      </c>
    </row>
    <row r="3216">
      <c r="A3216" s="26">
        <f>IFERROR(__xludf.DUMMYFUNCTION("""COMPUTED_VALUE"""),43116.64583333333)</f>
        <v>43116.64583</v>
      </c>
      <c r="B3216" s="9">
        <f>IFERROR(__xludf.DUMMYFUNCTION("""COMPUTED_VALUE"""),540.63)</f>
        <v>540.63</v>
      </c>
      <c r="C3216" s="9">
        <f>IFERROR(__xludf.DUMMYFUNCTION("""COMPUTED_VALUE"""),567.4)</f>
        <v>567.4</v>
      </c>
      <c r="D3216" s="9">
        <f>IFERROR(__xludf.DUMMYFUNCTION("""COMPUTED_VALUE"""),540.63)</f>
        <v>540.63</v>
      </c>
      <c r="E3216" s="9">
        <f>IFERROR(__xludf.DUMMYFUNCTION("""COMPUTED_VALUE"""),561.42)</f>
        <v>561.42</v>
      </c>
      <c r="F3216" s="9">
        <f>IFERROR(__xludf.DUMMYFUNCTION("""COMPUTED_VALUE"""),1.1323483E7)</f>
        <v>11323483</v>
      </c>
      <c r="H3216" s="27">
        <f>IFERROR(__xludf.DUMMYFUNCTION("""COMPUTED_VALUE"""),43116.64583333333)</f>
        <v>43116.64583</v>
      </c>
      <c r="I3216" s="25">
        <f>IFERROR(__xludf.DUMMYFUNCTION("""COMPUTED_VALUE"""),1378.0)</f>
        <v>1378</v>
      </c>
      <c r="J3216" s="25">
        <f>IFERROR(__xludf.DUMMYFUNCTION("""COMPUTED_VALUE"""),1430.83)</f>
        <v>1430.83</v>
      </c>
      <c r="K3216" s="25">
        <f>IFERROR(__xludf.DUMMYFUNCTION("""COMPUTED_VALUE"""),1375.28)</f>
        <v>1375.28</v>
      </c>
      <c r="L3216" s="25">
        <f>IFERROR(__xludf.DUMMYFUNCTION("""COMPUTED_VALUE"""),1425.43)</f>
        <v>1425.43</v>
      </c>
      <c r="M3216" s="25">
        <f>IFERROR(__xludf.DUMMYFUNCTION("""COMPUTED_VALUE"""),2133876.0)</f>
        <v>2133876</v>
      </c>
    </row>
    <row r="3217">
      <c r="A3217" s="26">
        <f>IFERROR(__xludf.DUMMYFUNCTION("""COMPUTED_VALUE"""),43117.64583333333)</f>
        <v>43117.64583</v>
      </c>
      <c r="B3217" s="9">
        <f>IFERROR(__xludf.DUMMYFUNCTION("""COMPUTED_VALUE"""),562.42)</f>
        <v>562.42</v>
      </c>
      <c r="C3217" s="9">
        <f>IFERROR(__xludf.DUMMYFUNCTION("""COMPUTED_VALUE"""),580.9)</f>
        <v>580.9</v>
      </c>
      <c r="D3217" s="9">
        <f>IFERROR(__xludf.DUMMYFUNCTION("""COMPUTED_VALUE"""),561.5)</f>
        <v>561.5</v>
      </c>
      <c r="E3217" s="9">
        <f>IFERROR(__xludf.DUMMYFUNCTION("""COMPUTED_VALUE"""),576.05)</f>
        <v>576.05</v>
      </c>
      <c r="F3217" s="9">
        <f>IFERROR(__xludf.DUMMYFUNCTION("""COMPUTED_VALUE"""),1.3077044E7)</f>
        <v>13077044</v>
      </c>
      <c r="H3217" s="27">
        <f>IFERROR(__xludf.DUMMYFUNCTION("""COMPUTED_VALUE"""),43117.64583333333)</f>
        <v>43117.64583</v>
      </c>
      <c r="I3217" s="25">
        <f>IFERROR(__xludf.DUMMYFUNCTION("""COMPUTED_VALUE"""),1435.0)</f>
        <v>1435</v>
      </c>
      <c r="J3217" s="25">
        <f>IFERROR(__xludf.DUMMYFUNCTION("""COMPUTED_VALUE"""),1462.5)</f>
        <v>1462.5</v>
      </c>
      <c r="K3217" s="25">
        <f>IFERROR(__xludf.DUMMYFUNCTION("""COMPUTED_VALUE"""),1431.08)</f>
        <v>1431.08</v>
      </c>
      <c r="L3217" s="25">
        <f>IFERROR(__xludf.DUMMYFUNCTION("""COMPUTED_VALUE"""),1444.48)</f>
        <v>1444.48</v>
      </c>
      <c r="M3217" s="25">
        <f>IFERROR(__xludf.DUMMYFUNCTION("""COMPUTED_VALUE"""),2140403.0)</f>
        <v>2140403</v>
      </c>
    </row>
    <row r="3218">
      <c r="A3218" s="26">
        <f>IFERROR(__xludf.DUMMYFUNCTION("""COMPUTED_VALUE"""),43118.64583333333)</f>
        <v>43118.64583</v>
      </c>
      <c r="B3218" s="9">
        <f>IFERROR(__xludf.DUMMYFUNCTION("""COMPUTED_VALUE"""),572.5)</f>
        <v>572.5</v>
      </c>
      <c r="C3218" s="9">
        <f>IFERROR(__xludf.DUMMYFUNCTION("""COMPUTED_VALUE"""),582.45)</f>
        <v>582.45</v>
      </c>
      <c r="D3218" s="9">
        <f>IFERROR(__xludf.DUMMYFUNCTION("""COMPUTED_VALUE"""),566.05)</f>
        <v>566.05</v>
      </c>
      <c r="E3218" s="9">
        <f>IFERROR(__xludf.DUMMYFUNCTION("""COMPUTED_VALUE"""),576.35)</f>
        <v>576.35</v>
      </c>
      <c r="F3218" s="9">
        <f>IFERROR(__xludf.DUMMYFUNCTION("""COMPUTED_VALUE"""),6602485.0)</f>
        <v>6602485</v>
      </c>
      <c r="H3218" s="27">
        <f>IFERROR(__xludf.DUMMYFUNCTION("""COMPUTED_VALUE"""),43118.64583333333)</f>
        <v>43118.64583</v>
      </c>
      <c r="I3218" s="25">
        <f>IFERROR(__xludf.DUMMYFUNCTION("""COMPUTED_VALUE"""),1448.5)</f>
        <v>1448.5</v>
      </c>
      <c r="J3218" s="25">
        <f>IFERROR(__xludf.DUMMYFUNCTION("""COMPUTED_VALUE"""),1466.5)</f>
        <v>1466.5</v>
      </c>
      <c r="K3218" s="25">
        <f>IFERROR(__xludf.DUMMYFUNCTION("""COMPUTED_VALUE"""),1434.03)</f>
        <v>1434.03</v>
      </c>
      <c r="L3218" s="25">
        <f>IFERROR(__xludf.DUMMYFUNCTION("""COMPUTED_VALUE"""),1459.1)</f>
        <v>1459.1</v>
      </c>
      <c r="M3218" s="25">
        <f>IFERROR(__xludf.DUMMYFUNCTION("""COMPUTED_VALUE"""),1104739.0)</f>
        <v>1104739</v>
      </c>
    </row>
    <row r="3219">
      <c r="A3219" s="26">
        <f>IFERROR(__xludf.DUMMYFUNCTION("""COMPUTED_VALUE"""),43119.64583333333)</f>
        <v>43119.64583</v>
      </c>
      <c r="B3219" s="9">
        <f>IFERROR(__xludf.DUMMYFUNCTION("""COMPUTED_VALUE"""),572.5)</f>
        <v>572.5</v>
      </c>
      <c r="C3219" s="9">
        <f>IFERROR(__xludf.DUMMYFUNCTION("""COMPUTED_VALUE"""),573.95)</f>
        <v>573.95</v>
      </c>
      <c r="D3219" s="9">
        <f>IFERROR(__xludf.DUMMYFUNCTION("""COMPUTED_VALUE"""),568.0)</f>
        <v>568</v>
      </c>
      <c r="E3219" s="9">
        <f>IFERROR(__xludf.DUMMYFUNCTION("""COMPUTED_VALUE"""),571.73)</f>
        <v>571.73</v>
      </c>
      <c r="F3219" s="9">
        <f>IFERROR(__xludf.DUMMYFUNCTION("""COMPUTED_VALUE"""),2994139.0)</f>
        <v>2994139</v>
      </c>
      <c r="H3219" s="27">
        <f>IFERROR(__xludf.DUMMYFUNCTION("""COMPUTED_VALUE"""),43119.64583333333)</f>
        <v>43119.64583</v>
      </c>
      <c r="I3219" s="25">
        <f>IFERROR(__xludf.DUMMYFUNCTION("""COMPUTED_VALUE"""),1465.28)</f>
        <v>1465.28</v>
      </c>
      <c r="J3219" s="25">
        <f>IFERROR(__xludf.DUMMYFUNCTION("""COMPUTED_VALUE"""),1491.0)</f>
        <v>1491</v>
      </c>
      <c r="K3219" s="25">
        <f>IFERROR(__xludf.DUMMYFUNCTION("""COMPUTED_VALUE"""),1451.83)</f>
        <v>1451.83</v>
      </c>
      <c r="L3219" s="25">
        <f>IFERROR(__xludf.DUMMYFUNCTION("""COMPUTED_VALUE"""),1479.65)</f>
        <v>1479.65</v>
      </c>
      <c r="M3219" s="25">
        <f>IFERROR(__xludf.DUMMYFUNCTION("""COMPUTED_VALUE"""),910000.0)</f>
        <v>910000</v>
      </c>
    </row>
    <row r="3220">
      <c r="A3220" s="26">
        <f>IFERROR(__xludf.DUMMYFUNCTION("""COMPUTED_VALUE"""),43122.64583333333)</f>
        <v>43122.64583</v>
      </c>
      <c r="B3220" s="9">
        <f>IFERROR(__xludf.DUMMYFUNCTION("""COMPUTED_VALUE"""),566.08)</f>
        <v>566.08</v>
      </c>
      <c r="C3220" s="9">
        <f>IFERROR(__xludf.DUMMYFUNCTION("""COMPUTED_VALUE"""),578.48)</f>
        <v>578.48</v>
      </c>
      <c r="D3220" s="9">
        <f>IFERROR(__xludf.DUMMYFUNCTION("""COMPUTED_VALUE"""),566.0)</f>
        <v>566</v>
      </c>
      <c r="E3220" s="9">
        <f>IFERROR(__xludf.DUMMYFUNCTION("""COMPUTED_VALUE"""),575.0)</f>
        <v>575</v>
      </c>
      <c r="F3220" s="9">
        <f>IFERROR(__xludf.DUMMYFUNCTION("""COMPUTED_VALUE"""),4825107.0)</f>
        <v>4825107</v>
      </c>
      <c r="H3220" s="27">
        <f>IFERROR(__xludf.DUMMYFUNCTION("""COMPUTED_VALUE"""),43122.64583333333)</f>
        <v>43122.64583</v>
      </c>
      <c r="I3220" s="25">
        <f>IFERROR(__xludf.DUMMYFUNCTION("""COMPUTED_VALUE"""),1480.5)</f>
        <v>1480.5</v>
      </c>
      <c r="J3220" s="25">
        <f>IFERROR(__xludf.DUMMYFUNCTION("""COMPUTED_VALUE"""),1567.35)</f>
        <v>1567.35</v>
      </c>
      <c r="K3220" s="25">
        <f>IFERROR(__xludf.DUMMYFUNCTION("""COMPUTED_VALUE"""),1461.0)</f>
        <v>1461</v>
      </c>
      <c r="L3220" s="25">
        <f>IFERROR(__xludf.DUMMYFUNCTION("""COMPUTED_VALUE"""),1558.2)</f>
        <v>1558.2</v>
      </c>
      <c r="M3220" s="25">
        <f>IFERROR(__xludf.DUMMYFUNCTION("""COMPUTED_VALUE"""),2183555.0)</f>
        <v>2183555</v>
      </c>
    </row>
    <row r="3221">
      <c r="A3221" s="26">
        <f>IFERROR(__xludf.DUMMYFUNCTION("""COMPUTED_VALUE"""),43123.64583333333)</f>
        <v>43123.64583</v>
      </c>
      <c r="B3221" s="9">
        <f>IFERROR(__xludf.DUMMYFUNCTION("""COMPUTED_VALUE"""),577.5)</f>
        <v>577.5</v>
      </c>
      <c r="C3221" s="9">
        <f>IFERROR(__xludf.DUMMYFUNCTION("""COMPUTED_VALUE"""),594.0)</f>
        <v>594</v>
      </c>
      <c r="D3221" s="9">
        <f>IFERROR(__xludf.DUMMYFUNCTION("""COMPUTED_VALUE"""),577.5)</f>
        <v>577.5</v>
      </c>
      <c r="E3221" s="9">
        <f>IFERROR(__xludf.DUMMYFUNCTION("""COMPUTED_VALUE"""),588.55)</f>
        <v>588.55</v>
      </c>
      <c r="F3221" s="9">
        <f>IFERROR(__xludf.DUMMYFUNCTION("""COMPUTED_VALUE"""),7701898.0)</f>
        <v>7701898</v>
      </c>
      <c r="H3221" s="27">
        <f>IFERROR(__xludf.DUMMYFUNCTION("""COMPUTED_VALUE"""),43123.64583333333)</f>
        <v>43123.64583</v>
      </c>
      <c r="I3221" s="25">
        <f>IFERROR(__xludf.DUMMYFUNCTION("""COMPUTED_VALUE"""),1557.48)</f>
        <v>1557.48</v>
      </c>
      <c r="J3221" s="25">
        <f>IFERROR(__xludf.DUMMYFUNCTION("""COMPUTED_VALUE"""),1571.18)</f>
        <v>1571.18</v>
      </c>
      <c r="K3221" s="25">
        <f>IFERROR(__xludf.DUMMYFUNCTION("""COMPUTED_VALUE"""),1545.03)</f>
        <v>1545.03</v>
      </c>
      <c r="L3221" s="25">
        <f>IFERROR(__xludf.DUMMYFUNCTION("""COMPUTED_VALUE"""),1551.0)</f>
        <v>1551</v>
      </c>
      <c r="M3221" s="25">
        <f>IFERROR(__xludf.DUMMYFUNCTION("""COMPUTED_VALUE"""),1619805.0)</f>
        <v>1619805</v>
      </c>
    </row>
    <row r="3222">
      <c r="A3222" s="26">
        <f>IFERROR(__xludf.DUMMYFUNCTION("""COMPUTED_VALUE"""),43124.64583333333)</f>
        <v>43124.64583</v>
      </c>
      <c r="B3222" s="9">
        <f>IFERROR(__xludf.DUMMYFUNCTION("""COMPUTED_VALUE"""),587.4)</f>
        <v>587.4</v>
      </c>
      <c r="C3222" s="9">
        <f>IFERROR(__xludf.DUMMYFUNCTION("""COMPUTED_VALUE"""),610.53)</f>
        <v>610.53</v>
      </c>
      <c r="D3222" s="9">
        <f>IFERROR(__xludf.DUMMYFUNCTION("""COMPUTED_VALUE"""),583.75)</f>
        <v>583.75</v>
      </c>
      <c r="E3222" s="9">
        <f>IFERROR(__xludf.DUMMYFUNCTION("""COMPUTED_VALUE"""),592.9)</f>
        <v>592.9</v>
      </c>
      <c r="F3222" s="9">
        <f>IFERROR(__xludf.DUMMYFUNCTION("""COMPUTED_VALUE"""),1.0302359E7)</f>
        <v>10302359</v>
      </c>
      <c r="H3222" s="27">
        <f>IFERROR(__xludf.DUMMYFUNCTION("""COMPUTED_VALUE"""),43124.64583333333)</f>
        <v>43124.64583</v>
      </c>
      <c r="I3222" s="25">
        <f>IFERROR(__xludf.DUMMYFUNCTION("""COMPUTED_VALUE"""),1545.0)</f>
        <v>1545</v>
      </c>
      <c r="J3222" s="25">
        <f>IFERROR(__xludf.DUMMYFUNCTION("""COMPUTED_VALUE"""),1629.53)</f>
        <v>1629.53</v>
      </c>
      <c r="K3222" s="25">
        <f>IFERROR(__xludf.DUMMYFUNCTION("""COMPUTED_VALUE"""),1541.33)</f>
        <v>1541.33</v>
      </c>
      <c r="L3222" s="25">
        <f>IFERROR(__xludf.DUMMYFUNCTION("""COMPUTED_VALUE"""),1587.3)</f>
        <v>1587.3</v>
      </c>
      <c r="M3222" s="25">
        <f>IFERROR(__xludf.DUMMYFUNCTION("""COMPUTED_VALUE"""),2810769.0)</f>
        <v>2810769</v>
      </c>
    </row>
    <row r="3223">
      <c r="A3223" s="26">
        <f>IFERROR(__xludf.DUMMYFUNCTION("""COMPUTED_VALUE"""),43125.64583333333)</f>
        <v>43125.64583</v>
      </c>
      <c r="B3223" s="9">
        <f>IFERROR(__xludf.DUMMYFUNCTION("""COMPUTED_VALUE"""),591.0)</f>
        <v>591</v>
      </c>
      <c r="C3223" s="9">
        <f>IFERROR(__xludf.DUMMYFUNCTION("""COMPUTED_VALUE"""),591.7)</f>
        <v>591.7</v>
      </c>
      <c r="D3223" s="9">
        <f>IFERROR(__xludf.DUMMYFUNCTION("""COMPUTED_VALUE"""),581.13)</f>
        <v>581.13</v>
      </c>
      <c r="E3223" s="9">
        <f>IFERROR(__xludf.DUMMYFUNCTION("""COMPUTED_VALUE"""),587.7)</f>
        <v>587.7</v>
      </c>
      <c r="F3223" s="9">
        <f>IFERROR(__xludf.DUMMYFUNCTION("""COMPUTED_VALUE"""),6774457.0)</f>
        <v>6774457</v>
      </c>
      <c r="H3223" s="27">
        <f>IFERROR(__xludf.DUMMYFUNCTION("""COMPUTED_VALUE"""),43125.64583333333)</f>
        <v>43125.64583</v>
      </c>
      <c r="I3223" s="25">
        <f>IFERROR(__xludf.DUMMYFUNCTION("""COMPUTED_VALUE"""),1587.5)</f>
        <v>1587.5</v>
      </c>
      <c r="J3223" s="25">
        <f>IFERROR(__xludf.DUMMYFUNCTION("""COMPUTED_VALUE"""),1589.9)</f>
        <v>1589.9</v>
      </c>
      <c r="K3223" s="25">
        <f>IFERROR(__xludf.DUMMYFUNCTION("""COMPUTED_VALUE"""),1540.5)</f>
        <v>1540.5</v>
      </c>
      <c r="L3223" s="25">
        <f>IFERROR(__xludf.DUMMYFUNCTION("""COMPUTED_VALUE"""),1560.53)</f>
        <v>1560.53</v>
      </c>
      <c r="M3223" s="25">
        <f>IFERROR(__xludf.DUMMYFUNCTION("""COMPUTED_VALUE"""),1916922.0)</f>
        <v>1916922</v>
      </c>
    </row>
    <row r="3224">
      <c r="A3224" s="26">
        <f>IFERROR(__xludf.DUMMYFUNCTION("""COMPUTED_VALUE"""),43129.64583333333)</f>
        <v>43129.64583</v>
      </c>
      <c r="B3224" s="9">
        <f>IFERROR(__xludf.DUMMYFUNCTION("""COMPUTED_VALUE"""),583.28)</f>
        <v>583.28</v>
      </c>
      <c r="C3224" s="9">
        <f>IFERROR(__xludf.DUMMYFUNCTION("""COMPUTED_VALUE"""),598.13)</f>
        <v>598.13</v>
      </c>
      <c r="D3224" s="9">
        <f>IFERROR(__xludf.DUMMYFUNCTION("""COMPUTED_VALUE"""),582.6)</f>
        <v>582.6</v>
      </c>
      <c r="E3224" s="9">
        <f>IFERROR(__xludf.DUMMYFUNCTION("""COMPUTED_VALUE"""),591.45)</f>
        <v>591.45</v>
      </c>
      <c r="F3224" s="9">
        <f>IFERROR(__xludf.DUMMYFUNCTION("""COMPUTED_VALUE"""),5411501.0)</f>
        <v>5411501</v>
      </c>
      <c r="H3224" s="27">
        <f>IFERROR(__xludf.DUMMYFUNCTION("""COMPUTED_VALUE"""),43129.64583333333)</f>
        <v>43129.64583</v>
      </c>
      <c r="I3224" s="25">
        <f>IFERROR(__xludf.DUMMYFUNCTION("""COMPUTED_VALUE"""),1565.7)</f>
        <v>1565.7</v>
      </c>
      <c r="J3224" s="25">
        <f>IFERROR(__xludf.DUMMYFUNCTION("""COMPUTED_VALUE"""),1612.5)</f>
        <v>1612.5</v>
      </c>
      <c r="K3224" s="25">
        <f>IFERROR(__xludf.DUMMYFUNCTION("""COMPUTED_VALUE"""),1561.0)</f>
        <v>1561</v>
      </c>
      <c r="L3224" s="25">
        <f>IFERROR(__xludf.DUMMYFUNCTION("""COMPUTED_VALUE"""),1599.43)</f>
        <v>1599.43</v>
      </c>
      <c r="M3224" s="25">
        <f>IFERROR(__xludf.DUMMYFUNCTION("""COMPUTED_VALUE"""),1570530.0)</f>
        <v>1570530</v>
      </c>
    </row>
    <row r="3225">
      <c r="A3225" s="26">
        <f>IFERROR(__xludf.DUMMYFUNCTION("""COMPUTED_VALUE"""),43130.64583333333)</f>
        <v>43130.64583</v>
      </c>
      <c r="B3225" s="9">
        <f>IFERROR(__xludf.DUMMYFUNCTION("""COMPUTED_VALUE"""),589.45)</f>
        <v>589.45</v>
      </c>
      <c r="C3225" s="9">
        <f>IFERROR(__xludf.DUMMYFUNCTION("""COMPUTED_VALUE"""),591.55)</f>
        <v>591.55</v>
      </c>
      <c r="D3225" s="9">
        <f>IFERROR(__xludf.DUMMYFUNCTION("""COMPUTED_VALUE"""),581.35)</f>
        <v>581.35</v>
      </c>
      <c r="E3225" s="9">
        <f>IFERROR(__xludf.DUMMYFUNCTION("""COMPUTED_VALUE"""),585.33)</f>
        <v>585.33</v>
      </c>
      <c r="F3225" s="9">
        <f>IFERROR(__xludf.DUMMYFUNCTION("""COMPUTED_VALUE"""),4314156.0)</f>
        <v>4314156</v>
      </c>
      <c r="H3225" s="27">
        <f>IFERROR(__xludf.DUMMYFUNCTION("""COMPUTED_VALUE"""),43130.64583333333)</f>
        <v>43130.64583</v>
      </c>
      <c r="I3225" s="25">
        <f>IFERROR(__xludf.DUMMYFUNCTION("""COMPUTED_VALUE"""),1590.0)</f>
        <v>1590</v>
      </c>
      <c r="J3225" s="25">
        <f>IFERROR(__xludf.DUMMYFUNCTION("""COMPUTED_VALUE"""),1601.9)</f>
        <v>1601.9</v>
      </c>
      <c r="K3225" s="25">
        <f>IFERROR(__xludf.DUMMYFUNCTION("""COMPUTED_VALUE"""),1571.85)</f>
        <v>1571.85</v>
      </c>
      <c r="L3225" s="25">
        <f>IFERROR(__xludf.DUMMYFUNCTION("""COMPUTED_VALUE"""),1576.43)</f>
        <v>1576.43</v>
      </c>
      <c r="M3225" s="25">
        <f>IFERROR(__xludf.DUMMYFUNCTION("""COMPUTED_VALUE"""),787379.0)</f>
        <v>787379</v>
      </c>
    </row>
    <row r="3226">
      <c r="A3226" s="26">
        <f>IFERROR(__xludf.DUMMYFUNCTION("""COMPUTED_VALUE"""),43131.64583333333)</f>
        <v>43131.64583</v>
      </c>
      <c r="B3226" s="9">
        <f>IFERROR(__xludf.DUMMYFUNCTION("""COMPUTED_VALUE"""),579.58)</f>
        <v>579.58</v>
      </c>
      <c r="C3226" s="9">
        <f>IFERROR(__xludf.DUMMYFUNCTION("""COMPUTED_VALUE"""),583.3)</f>
        <v>583.3</v>
      </c>
      <c r="D3226" s="9">
        <f>IFERROR(__xludf.DUMMYFUNCTION("""COMPUTED_VALUE"""),571.08)</f>
        <v>571.08</v>
      </c>
      <c r="E3226" s="9">
        <f>IFERROR(__xludf.DUMMYFUNCTION("""COMPUTED_VALUE"""),575.13)</f>
        <v>575.13</v>
      </c>
      <c r="F3226" s="9">
        <f>IFERROR(__xludf.DUMMYFUNCTION("""COMPUTED_VALUE"""),4606849.0)</f>
        <v>4606849</v>
      </c>
      <c r="H3226" s="27">
        <f>IFERROR(__xludf.DUMMYFUNCTION("""COMPUTED_VALUE"""),43131.64583333333)</f>
        <v>43131.64583</v>
      </c>
      <c r="I3226" s="25">
        <f>IFERROR(__xludf.DUMMYFUNCTION("""COMPUTED_VALUE"""),1568.5)</f>
        <v>1568.5</v>
      </c>
      <c r="J3226" s="25">
        <f>IFERROR(__xludf.DUMMYFUNCTION("""COMPUTED_VALUE"""),1575.0)</f>
        <v>1575</v>
      </c>
      <c r="K3226" s="25">
        <f>IFERROR(__xludf.DUMMYFUNCTION("""COMPUTED_VALUE"""),1549.3)</f>
        <v>1549.3</v>
      </c>
      <c r="L3226" s="25">
        <f>IFERROR(__xludf.DUMMYFUNCTION("""COMPUTED_VALUE"""),1556.18)</f>
        <v>1556.18</v>
      </c>
      <c r="M3226" s="25">
        <f>IFERROR(__xludf.DUMMYFUNCTION("""COMPUTED_VALUE"""),1521607.0)</f>
        <v>1521607</v>
      </c>
    </row>
    <row r="3227">
      <c r="A3227" s="26">
        <f>IFERROR(__xludf.DUMMYFUNCTION("""COMPUTED_VALUE"""),43132.64583333333)</f>
        <v>43132.64583</v>
      </c>
      <c r="B3227" s="9">
        <f>IFERROR(__xludf.DUMMYFUNCTION("""COMPUTED_VALUE"""),571.1)</f>
        <v>571.1</v>
      </c>
      <c r="C3227" s="9">
        <f>IFERROR(__xludf.DUMMYFUNCTION("""COMPUTED_VALUE"""),578.95)</f>
        <v>578.95</v>
      </c>
      <c r="D3227" s="9">
        <f>IFERROR(__xludf.DUMMYFUNCTION("""COMPUTED_VALUE"""),559.28)</f>
        <v>559.28</v>
      </c>
      <c r="E3227" s="9">
        <f>IFERROR(__xludf.DUMMYFUNCTION("""COMPUTED_VALUE"""),572.3)</f>
        <v>572.3</v>
      </c>
      <c r="F3227" s="9">
        <f>IFERROR(__xludf.DUMMYFUNCTION("""COMPUTED_VALUE"""),6502727.0)</f>
        <v>6502727</v>
      </c>
      <c r="H3227" s="27">
        <f>IFERROR(__xludf.DUMMYFUNCTION("""COMPUTED_VALUE"""),43132.64583333333)</f>
        <v>43132.64583</v>
      </c>
      <c r="I3227" s="25">
        <f>IFERROR(__xludf.DUMMYFUNCTION("""COMPUTED_VALUE"""),1562.0)</f>
        <v>1562</v>
      </c>
      <c r="J3227" s="25">
        <f>IFERROR(__xludf.DUMMYFUNCTION("""COMPUTED_VALUE"""),1595.0)</f>
        <v>1595</v>
      </c>
      <c r="K3227" s="25">
        <f>IFERROR(__xludf.DUMMYFUNCTION("""COMPUTED_VALUE"""),1544.4)</f>
        <v>1544.4</v>
      </c>
      <c r="L3227" s="25">
        <f>IFERROR(__xludf.DUMMYFUNCTION("""COMPUTED_VALUE"""),1569.3)</f>
        <v>1569.3</v>
      </c>
      <c r="M3227" s="25">
        <f>IFERROR(__xludf.DUMMYFUNCTION("""COMPUTED_VALUE"""),1200315.0)</f>
        <v>1200315</v>
      </c>
    </row>
    <row r="3228">
      <c r="A3228" s="26">
        <f>IFERROR(__xludf.DUMMYFUNCTION("""COMPUTED_VALUE"""),43133.64583333333)</f>
        <v>43133.64583</v>
      </c>
      <c r="B3228" s="9">
        <f>IFERROR(__xludf.DUMMYFUNCTION("""COMPUTED_VALUE"""),567.63)</f>
        <v>567.63</v>
      </c>
      <c r="C3228" s="9">
        <f>IFERROR(__xludf.DUMMYFUNCTION("""COMPUTED_VALUE"""),581.45)</f>
        <v>581.45</v>
      </c>
      <c r="D3228" s="9">
        <f>IFERROR(__xludf.DUMMYFUNCTION("""COMPUTED_VALUE"""),565.05)</f>
        <v>565.05</v>
      </c>
      <c r="E3228" s="9">
        <f>IFERROR(__xludf.DUMMYFUNCTION("""COMPUTED_VALUE"""),571.63)</f>
        <v>571.63</v>
      </c>
      <c r="F3228" s="9">
        <f>IFERROR(__xludf.DUMMYFUNCTION("""COMPUTED_VALUE"""),5122243.0)</f>
        <v>5122243</v>
      </c>
      <c r="H3228" s="27">
        <f>IFERROR(__xludf.DUMMYFUNCTION("""COMPUTED_VALUE"""),43133.64583333333)</f>
        <v>43133.64583</v>
      </c>
      <c r="I3228" s="25">
        <f>IFERROR(__xludf.DUMMYFUNCTION("""COMPUTED_VALUE"""),1560.0)</f>
        <v>1560</v>
      </c>
      <c r="J3228" s="25">
        <f>IFERROR(__xludf.DUMMYFUNCTION("""COMPUTED_VALUE"""),1595.0)</f>
        <v>1595</v>
      </c>
      <c r="K3228" s="25">
        <f>IFERROR(__xludf.DUMMYFUNCTION("""COMPUTED_VALUE"""),1551.73)</f>
        <v>1551.73</v>
      </c>
      <c r="L3228" s="25">
        <f>IFERROR(__xludf.DUMMYFUNCTION("""COMPUTED_VALUE"""),1576.83)</f>
        <v>1576.83</v>
      </c>
      <c r="M3228" s="25">
        <f>IFERROR(__xludf.DUMMYFUNCTION("""COMPUTED_VALUE"""),1228245.0)</f>
        <v>1228245</v>
      </c>
    </row>
    <row r="3229">
      <c r="A3229" s="26">
        <f>IFERROR(__xludf.DUMMYFUNCTION("""COMPUTED_VALUE"""),43136.64583333333)</f>
        <v>43136.64583</v>
      </c>
      <c r="B3229" s="9">
        <f>IFERROR(__xludf.DUMMYFUNCTION("""COMPUTED_VALUE"""),570.0)</f>
        <v>570</v>
      </c>
      <c r="C3229" s="9">
        <f>IFERROR(__xludf.DUMMYFUNCTION("""COMPUTED_VALUE"""),577.42)</f>
        <v>577.42</v>
      </c>
      <c r="D3229" s="9">
        <f>IFERROR(__xludf.DUMMYFUNCTION("""COMPUTED_VALUE"""),567.92)</f>
        <v>567.92</v>
      </c>
      <c r="E3229" s="9">
        <f>IFERROR(__xludf.DUMMYFUNCTION("""COMPUTED_VALUE"""),569.1)</f>
        <v>569.1</v>
      </c>
      <c r="F3229" s="9">
        <f>IFERROR(__xludf.DUMMYFUNCTION("""COMPUTED_VALUE"""),4930110.0)</f>
        <v>4930110</v>
      </c>
      <c r="H3229" s="27">
        <f>IFERROR(__xludf.DUMMYFUNCTION("""COMPUTED_VALUE"""),43136.64583333333)</f>
        <v>43136.64583</v>
      </c>
      <c r="I3229" s="25">
        <f>IFERROR(__xludf.DUMMYFUNCTION("""COMPUTED_VALUE"""),1555.0)</f>
        <v>1555</v>
      </c>
      <c r="J3229" s="25">
        <f>IFERROR(__xludf.DUMMYFUNCTION("""COMPUTED_VALUE"""),1594.0)</f>
        <v>1594</v>
      </c>
      <c r="K3229" s="25">
        <f>IFERROR(__xludf.DUMMYFUNCTION("""COMPUTED_VALUE"""),1538.43)</f>
        <v>1538.43</v>
      </c>
      <c r="L3229" s="25">
        <f>IFERROR(__xludf.DUMMYFUNCTION("""COMPUTED_VALUE"""),1551.6)</f>
        <v>1551.6</v>
      </c>
      <c r="M3229" s="25">
        <f>IFERROR(__xludf.DUMMYFUNCTION("""COMPUTED_VALUE"""),1378871.0)</f>
        <v>1378871</v>
      </c>
    </row>
    <row r="3230">
      <c r="A3230" s="26">
        <f>IFERROR(__xludf.DUMMYFUNCTION("""COMPUTED_VALUE"""),43137.64583333333)</f>
        <v>43137.64583</v>
      </c>
      <c r="B3230" s="9">
        <f>IFERROR(__xludf.DUMMYFUNCTION("""COMPUTED_VALUE"""),549.98)</f>
        <v>549.98</v>
      </c>
      <c r="C3230" s="9">
        <f>IFERROR(__xludf.DUMMYFUNCTION("""COMPUTED_VALUE"""),564.17)</f>
        <v>564.17</v>
      </c>
      <c r="D3230" s="9">
        <f>IFERROR(__xludf.DUMMYFUNCTION("""COMPUTED_VALUE"""),547.58)</f>
        <v>547.58</v>
      </c>
      <c r="E3230" s="9">
        <f>IFERROR(__xludf.DUMMYFUNCTION("""COMPUTED_VALUE"""),553.88)</f>
        <v>553.88</v>
      </c>
      <c r="F3230" s="9">
        <f>IFERROR(__xludf.DUMMYFUNCTION("""COMPUTED_VALUE"""),5276039.0)</f>
        <v>5276039</v>
      </c>
      <c r="H3230" s="27">
        <f>IFERROR(__xludf.DUMMYFUNCTION("""COMPUTED_VALUE"""),43137.64583333333)</f>
        <v>43137.64583</v>
      </c>
      <c r="I3230" s="25">
        <f>IFERROR(__xludf.DUMMYFUNCTION("""COMPUTED_VALUE"""),1505.0)</f>
        <v>1505</v>
      </c>
      <c r="J3230" s="25">
        <f>IFERROR(__xludf.DUMMYFUNCTION("""COMPUTED_VALUE"""),1538.58)</f>
        <v>1538.58</v>
      </c>
      <c r="K3230" s="25">
        <f>IFERROR(__xludf.DUMMYFUNCTION("""COMPUTED_VALUE"""),1492.5)</f>
        <v>1492.5</v>
      </c>
      <c r="L3230" s="25">
        <f>IFERROR(__xludf.DUMMYFUNCTION("""COMPUTED_VALUE"""),1498.63)</f>
        <v>1498.63</v>
      </c>
      <c r="M3230" s="25">
        <f>IFERROR(__xludf.DUMMYFUNCTION("""COMPUTED_VALUE"""),1328653.0)</f>
        <v>1328653</v>
      </c>
    </row>
    <row r="3231">
      <c r="A3231" s="26">
        <f>IFERROR(__xludf.DUMMYFUNCTION("""COMPUTED_VALUE"""),43138.64583333333)</f>
        <v>43138.64583</v>
      </c>
      <c r="B3231" s="9">
        <f>IFERROR(__xludf.DUMMYFUNCTION("""COMPUTED_VALUE"""),558.0)</f>
        <v>558</v>
      </c>
      <c r="C3231" s="9">
        <f>IFERROR(__xludf.DUMMYFUNCTION("""COMPUTED_VALUE"""),562.4)</f>
        <v>562.4</v>
      </c>
      <c r="D3231" s="9">
        <f>IFERROR(__xludf.DUMMYFUNCTION("""COMPUTED_VALUE"""),551.78)</f>
        <v>551.78</v>
      </c>
      <c r="E3231" s="9">
        <f>IFERROR(__xludf.DUMMYFUNCTION("""COMPUTED_VALUE"""),554.53)</f>
        <v>554.53</v>
      </c>
      <c r="F3231" s="9">
        <f>IFERROR(__xludf.DUMMYFUNCTION("""COMPUTED_VALUE"""),4171028.0)</f>
        <v>4171028</v>
      </c>
      <c r="H3231" s="27">
        <f>IFERROR(__xludf.DUMMYFUNCTION("""COMPUTED_VALUE"""),43138.64583333333)</f>
        <v>43138.64583</v>
      </c>
      <c r="I3231" s="25">
        <f>IFERROR(__xludf.DUMMYFUNCTION("""COMPUTED_VALUE"""),1513.5)</f>
        <v>1513.5</v>
      </c>
      <c r="J3231" s="25">
        <f>IFERROR(__xludf.DUMMYFUNCTION("""COMPUTED_VALUE"""),1515.5)</f>
        <v>1515.5</v>
      </c>
      <c r="K3231" s="25">
        <f>IFERROR(__xludf.DUMMYFUNCTION("""COMPUTED_VALUE"""),1473.73)</f>
        <v>1473.73</v>
      </c>
      <c r="L3231" s="25">
        <f>IFERROR(__xludf.DUMMYFUNCTION("""COMPUTED_VALUE"""),1477.53)</f>
        <v>1477.53</v>
      </c>
      <c r="M3231" s="25">
        <f>IFERROR(__xludf.DUMMYFUNCTION("""COMPUTED_VALUE"""),1090162.0)</f>
        <v>1090162</v>
      </c>
    </row>
    <row r="3232">
      <c r="A3232" s="26">
        <f>IFERROR(__xludf.DUMMYFUNCTION("""COMPUTED_VALUE"""),43139.64583333333)</f>
        <v>43139.64583</v>
      </c>
      <c r="B3232" s="9">
        <f>IFERROR(__xludf.DUMMYFUNCTION("""COMPUTED_VALUE"""),561.4)</f>
        <v>561.4</v>
      </c>
      <c r="C3232" s="9">
        <f>IFERROR(__xludf.DUMMYFUNCTION("""COMPUTED_VALUE"""),573.2)</f>
        <v>573.2</v>
      </c>
      <c r="D3232" s="9">
        <f>IFERROR(__xludf.DUMMYFUNCTION("""COMPUTED_VALUE"""),558.28)</f>
        <v>558.28</v>
      </c>
      <c r="E3232" s="9">
        <f>IFERROR(__xludf.DUMMYFUNCTION("""COMPUTED_VALUE"""),567.13)</f>
        <v>567.13</v>
      </c>
      <c r="F3232" s="9">
        <f>IFERROR(__xludf.DUMMYFUNCTION("""COMPUTED_VALUE"""),4403622.0)</f>
        <v>4403622</v>
      </c>
      <c r="H3232" s="27">
        <f>IFERROR(__xludf.DUMMYFUNCTION("""COMPUTED_VALUE"""),43139.64583333333)</f>
        <v>43139.64583</v>
      </c>
      <c r="I3232" s="25">
        <f>IFERROR(__xludf.DUMMYFUNCTION("""COMPUTED_VALUE"""),1489.88)</f>
        <v>1489.88</v>
      </c>
      <c r="J3232" s="25">
        <f>IFERROR(__xludf.DUMMYFUNCTION("""COMPUTED_VALUE"""),1513.8)</f>
        <v>1513.8</v>
      </c>
      <c r="K3232" s="25">
        <f>IFERROR(__xludf.DUMMYFUNCTION("""COMPUTED_VALUE"""),1479.5)</f>
        <v>1479.5</v>
      </c>
      <c r="L3232" s="25">
        <f>IFERROR(__xludf.DUMMYFUNCTION("""COMPUTED_VALUE"""),1487.1)</f>
        <v>1487.1</v>
      </c>
      <c r="M3232" s="25">
        <f>IFERROR(__xludf.DUMMYFUNCTION("""COMPUTED_VALUE"""),1377502.0)</f>
        <v>1377502</v>
      </c>
    </row>
    <row r="3233">
      <c r="A3233" s="26">
        <f>IFERROR(__xludf.DUMMYFUNCTION("""COMPUTED_VALUE"""),43140.64583333333)</f>
        <v>43140.64583</v>
      </c>
      <c r="B3233" s="9">
        <f>IFERROR(__xludf.DUMMYFUNCTION("""COMPUTED_VALUE"""),559.0)</f>
        <v>559</v>
      </c>
      <c r="C3233" s="9">
        <f>IFERROR(__xludf.DUMMYFUNCTION("""COMPUTED_VALUE"""),560.15)</f>
        <v>560.15</v>
      </c>
      <c r="D3233" s="9">
        <f>IFERROR(__xludf.DUMMYFUNCTION("""COMPUTED_VALUE"""),553.0)</f>
        <v>553</v>
      </c>
      <c r="E3233" s="9">
        <f>IFERROR(__xludf.DUMMYFUNCTION("""COMPUTED_VALUE"""),554.58)</f>
        <v>554.58</v>
      </c>
      <c r="F3233" s="9">
        <f>IFERROR(__xludf.DUMMYFUNCTION("""COMPUTED_VALUE"""),2191345.0)</f>
        <v>2191345</v>
      </c>
      <c r="H3233" s="27">
        <f>IFERROR(__xludf.DUMMYFUNCTION("""COMPUTED_VALUE"""),43140.64583333333)</f>
        <v>43140.64583</v>
      </c>
      <c r="I3233" s="25">
        <f>IFERROR(__xludf.DUMMYFUNCTION("""COMPUTED_VALUE"""),1475.0)</f>
        <v>1475</v>
      </c>
      <c r="J3233" s="25">
        <f>IFERROR(__xludf.DUMMYFUNCTION("""COMPUTED_VALUE"""),1497.0)</f>
        <v>1497</v>
      </c>
      <c r="K3233" s="25">
        <f>IFERROR(__xludf.DUMMYFUNCTION("""COMPUTED_VALUE"""),1448.33)</f>
        <v>1448.33</v>
      </c>
      <c r="L3233" s="25">
        <f>IFERROR(__xludf.DUMMYFUNCTION("""COMPUTED_VALUE"""),1485.85)</f>
        <v>1485.85</v>
      </c>
      <c r="M3233" s="25">
        <f>IFERROR(__xludf.DUMMYFUNCTION("""COMPUTED_VALUE"""),1051229.0)</f>
        <v>1051229</v>
      </c>
    </row>
    <row r="3234">
      <c r="A3234" s="26">
        <f>IFERROR(__xludf.DUMMYFUNCTION("""COMPUTED_VALUE"""),43143.64583333333)</f>
        <v>43143.64583</v>
      </c>
      <c r="B3234" s="9">
        <f>IFERROR(__xludf.DUMMYFUNCTION("""COMPUTED_VALUE"""),557.4)</f>
        <v>557.4</v>
      </c>
      <c r="C3234" s="9">
        <f>IFERROR(__xludf.DUMMYFUNCTION("""COMPUTED_VALUE"""),560.3)</f>
        <v>560.3</v>
      </c>
      <c r="D3234" s="9">
        <f>IFERROR(__xludf.DUMMYFUNCTION("""COMPUTED_VALUE"""),548.9)</f>
        <v>548.9</v>
      </c>
      <c r="E3234" s="9">
        <f>IFERROR(__xludf.DUMMYFUNCTION("""COMPUTED_VALUE"""),551.4)</f>
        <v>551.4</v>
      </c>
      <c r="F3234" s="9">
        <f>IFERROR(__xludf.DUMMYFUNCTION("""COMPUTED_VALUE"""),3145986.0)</f>
        <v>3145986</v>
      </c>
      <c r="H3234" s="27">
        <f>IFERROR(__xludf.DUMMYFUNCTION("""COMPUTED_VALUE"""),43143.64583333333)</f>
        <v>43143.64583</v>
      </c>
      <c r="I3234" s="25">
        <f>IFERROR(__xludf.DUMMYFUNCTION("""COMPUTED_VALUE"""),1489.15)</f>
        <v>1489.15</v>
      </c>
      <c r="J3234" s="25">
        <f>IFERROR(__xludf.DUMMYFUNCTION("""COMPUTED_VALUE"""),1511.68)</f>
        <v>1511.68</v>
      </c>
      <c r="K3234" s="25">
        <f>IFERROR(__xludf.DUMMYFUNCTION("""COMPUTED_VALUE"""),1477.78)</f>
        <v>1477.78</v>
      </c>
      <c r="L3234" s="25">
        <f>IFERROR(__xludf.DUMMYFUNCTION("""COMPUTED_VALUE"""),1483.65)</f>
        <v>1483.65</v>
      </c>
      <c r="M3234" s="25">
        <f>IFERROR(__xludf.DUMMYFUNCTION("""COMPUTED_VALUE"""),987281.0)</f>
        <v>987281</v>
      </c>
    </row>
    <row r="3235">
      <c r="A3235" s="26">
        <f>IFERROR(__xludf.DUMMYFUNCTION("""COMPUTED_VALUE"""),43145.64583333333)</f>
        <v>43145.64583</v>
      </c>
      <c r="B3235" s="9">
        <f>IFERROR(__xludf.DUMMYFUNCTION("""COMPUTED_VALUE"""),553.0)</f>
        <v>553</v>
      </c>
      <c r="C3235" s="9">
        <f>IFERROR(__xludf.DUMMYFUNCTION("""COMPUTED_VALUE"""),558.65)</f>
        <v>558.65</v>
      </c>
      <c r="D3235" s="9">
        <f>IFERROR(__xludf.DUMMYFUNCTION("""COMPUTED_VALUE"""),545.1)</f>
        <v>545.1</v>
      </c>
      <c r="E3235" s="9">
        <f>IFERROR(__xludf.DUMMYFUNCTION("""COMPUTED_VALUE"""),548.88)</f>
        <v>548.88</v>
      </c>
      <c r="F3235" s="9">
        <f>IFERROR(__xludf.DUMMYFUNCTION("""COMPUTED_VALUE"""),4172856.0)</f>
        <v>4172856</v>
      </c>
      <c r="H3235" s="27">
        <f>IFERROR(__xludf.DUMMYFUNCTION("""COMPUTED_VALUE"""),43145.64583333333)</f>
        <v>43145.64583</v>
      </c>
      <c r="I3235" s="25">
        <f>IFERROR(__xludf.DUMMYFUNCTION("""COMPUTED_VALUE"""),1485.0)</f>
        <v>1485</v>
      </c>
      <c r="J3235" s="25">
        <f>IFERROR(__xludf.DUMMYFUNCTION("""COMPUTED_VALUE"""),1487.23)</f>
        <v>1487.23</v>
      </c>
      <c r="K3235" s="25">
        <f>IFERROR(__xludf.DUMMYFUNCTION("""COMPUTED_VALUE"""),1446.25)</f>
        <v>1446.25</v>
      </c>
      <c r="L3235" s="25">
        <f>IFERROR(__xludf.DUMMYFUNCTION("""COMPUTED_VALUE"""),1455.9)</f>
        <v>1455.9</v>
      </c>
      <c r="M3235" s="25">
        <f>IFERROR(__xludf.DUMMYFUNCTION("""COMPUTED_VALUE"""),1423766.0)</f>
        <v>1423766</v>
      </c>
    </row>
    <row r="3236">
      <c r="A3236" s="26">
        <f>IFERROR(__xludf.DUMMYFUNCTION("""COMPUTED_VALUE"""),43146.64583333333)</f>
        <v>43146.64583</v>
      </c>
      <c r="B3236" s="9">
        <f>IFERROR(__xludf.DUMMYFUNCTION("""COMPUTED_VALUE"""),551.5)</f>
        <v>551.5</v>
      </c>
      <c r="C3236" s="9">
        <f>IFERROR(__xludf.DUMMYFUNCTION("""COMPUTED_VALUE"""),564.85)</f>
        <v>564.85</v>
      </c>
      <c r="D3236" s="9">
        <f>IFERROR(__xludf.DUMMYFUNCTION("""COMPUTED_VALUE"""),551.5)</f>
        <v>551.5</v>
      </c>
      <c r="E3236" s="9">
        <f>IFERROR(__xludf.DUMMYFUNCTION("""COMPUTED_VALUE"""),557.23)</f>
        <v>557.23</v>
      </c>
      <c r="F3236" s="9">
        <f>IFERROR(__xludf.DUMMYFUNCTION("""COMPUTED_VALUE"""),3993368.0)</f>
        <v>3993368</v>
      </c>
      <c r="H3236" s="27">
        <f>IFERROR(__xludf.DUMMYFUNCTION("""COMPUTED_VALUE"""),43146.64583333333)</f>
        <v>43146.64583</v>
      </c>
      <c r="I3236" s="25">
        <f>IFERROR(__xludf.DUMMYFUNCTION("""COMPUTED_VALUE"""),1465.98)</f>
        <v>1465.98</v>
      </c>
      <c r="J3236" s="25">
        <f>IFERROR(__xludf.DUMMYFUNCTION("""COMPUTED_VALUE"""),1471.5)</f>
        <v>1471.5</v>
      </c>
      <c r="K3236" s="25">
        <f>IFERROR(__xludf.DUMMYFUNCTION("""COMPUTED_VALUE"""),1452.55)</f>
        <v>1452.55</v>
      </c>
      <c r="L3236" s="25">
        <f>IFERROR(__xludf.DUMMYFUNCTION("""COMPUTED_VALUE"""),1462.93)</f>
        <v>1462.93</v>
      </c>
      <c r="M3236" s="25">
        <f>IFERROR(__xludf.DUMMYFUNCTION("""COMPUTED_VALUE"""),1232618.0)</f>
        <v>1232618</v>
      </c>
    </row>
    <row r="3237">
      <c r="A3237" s="26">
        <f>IFERROR(__xludf.DUMMYFUNCTION("""COMPUTED_VALUE"""),43147.64583333333)</f>
        <v>43147.64583</v>
      </c>
      <c r="B3237" s="9">
        <f>IFERROR(__xludf.DUMMYFUNCTION("""COMPUTED_VALUE"""),562.5)</f>
        <v>562.5</v>
      </c>
      <c r="C3237" s="9">
        <f>IFERROR(__xludf.DUMMYFUNCTION("""COMPUTED_VALUE"""),570.83)</f>
        <v>570.83</v>
      </c>
      <c r="D3237" s="9">
        <f>IFERROR(__xludf.DUMMYFUNCTION("""COMPUTED_VALUE"""),559.05)</f>
        <v>559.05</v>
      </c>
      <c r="E3237" s="9">
        <f>IFERROR(__xludf.DUMMYFUNCTION("""COMPUTED_VALUE"""),564.03)</f>
        <v>564.03</v>
      </c>
      <c r="F3237" s="9">
        <f>IFERROR(__xludf.DUMMYFUNCTION("""COMPUTED_VALUE"""),4944611.0)</f>
        <v>4944611</v>
      </c>
      <c r="H3237" s="27">
        <f>IFERROR(__xludf.DUMMYFUNCTION("""COMPUTED_VALUE"""),43147.64583333333)</f>
        <v>43147.64583</v>
      </c>
      <c r="I3237" s="25">
        <f>IFERROR(__xludf.DUMMYFUNCTION("""COMPUTED_VALUE"""),1461.5)</f>
        <v>1461.5</v>
      </c>
      <c r="J3237" s="25">
        <f>IFERROR(__xludf.DUMMYFUNCTION("""COMPUTED_VALUE"""),1499.8)</f>
        <v>1499.8</v>
      </c>
      <c r="K3237" s="25">
        <f>IFERROR(__xludf.DUMMYFUNCTION("""COMPUTED_VALUE"""),1461.5)</f>
        <v>1461.5</v>
      </c>
      <c r="L3237" s="25">
        <f>IFERROR(__xludf.DUMMYFUNCTION("""COMPUTED_VALUE"""),1466.53)</f>
        <v>1466.53</v>
      </c>
      <c r="M3237" s="25">
        <f>IFERROR(__xludf.DUMMYFUNCTION("""COMPUTED_VALUE"""),1257878.0)</f>
        <v>1257878</v>
      </c>
    </row>
    <row r="3238">
      <c r="A3238" s="26">
        <f>IFERROR(__xludf.DUMMYFUNCTION("""COMPUTED_VALUE"""),43150.64583333333)</f>
        <v>43150.64583</v>
      </c>
      <c r="B3238" s="9">
        <f>IFERROR(__xludf.DUMMYFUNCTION("""COMPUTED_VALUE"""),564.2)</f>
        <v>564.2</v>
      </c>
      <c r="C3238" s="9">
        <f>IFERROR(__xludf.DUMMYFUNCTION("""COMPUTED_VALUE"""),568.0)</f>
        <v>568</v>
      </c>
      <c r="D3238" s="9">
        <f>IFERROR(__xludf.DUMMYFUNCTION("""COMPUTED_VALUE"""),560.15)</f>
        <v>560.15</v>
      </c>
      <c r="E3238" s="9">
        <f>IFERROR(__xludf.DUMMYFUNCTION("""COMPUTED_VALUE"""),565.88)</f>
        <v>565.88</v>
      </c>
      <c r="F3238" s="9">
        <f>IFERROR(__xludf.DUMMYFUNCTION("""COMPUTED_VALUE"""),3230920.0)</f>
        <v>3230920</v>
      </c>
      <c r="H3238" s="27">
        <f>IFERROR(__xludf.DUMMYFUNCTION("""COMPUTED_VALUE"""),43150.64583333333)</f>
        <v>43150.64583</v>
      </c>
      <c r="I3238" s="25">
        <f>IFERROR(__xludf.DUMMYFUNCTION("""COMPUTED_VALUE"""),1472.5)</f>
        <v>1472.5</v>
      </c>
      <c r="J3238" s="25">
        <f>IFERROR(__xludf.DUMMYFUNCTION("""COMPUTED_VALUE"""),1476.65)</f>
        <v>1476.65</v>
      </c>
      <c r="K3238" s="25">
        <f>IFERROR(__xludf.DUMMYFUNCTION("""COMPUTED_VALUE"""),1447.6)</f>
        <v>1447.6</v>
      </c>
      <c r="L3238" s="25">
        <f>IFERROR(__xludf.DUMMYFUNCTION("""COMPUTED_VALUE"""),1461.8)</f>
        <v>1461.8</v>
      </c>
      <c r="M3238" s="25">
        <f>IFERROR(__xludf.DUMMYFUNCTION("""COMPUTED_VALUE"""),784112.0)</f>
        <v>784112</v>
      </c>
    </row>
    <row r="3239">
      <c r="A3239" s="26">
        <f>IFERROR(__xludf.DUMMYFUNCTION("""COMPUTED_VALUE"""),43151.64583333333)</f>
        <v>43151.64583</v>
      </c>
      <c r="B3239" s="9">
        <f>IFERROR(__xludf.DUMMYFUNCTION("""COMPUTED_VALUE"""),551.88)</f>
        <v>551.88</v>
      </c>
      <c r="C3239" s="9">
        <f>IFERROR(__xludf.DUMMYFUNCTION("""COMPUTED_VALUE"""),574.75)</f>
        <v>574.75</v>
      </c>
      <c r="D3239" s="9">
        <f>IFERROR(__xludf.DUMMYFUNCTION("""COMPUTED_VALUE"""),551.88)</f>
        <v>551.88</v>
      </c>
      <c r="E3239" s="9">
        <f>IFERROR(__xludf.DUMMYFUNCTION("""COMPUTED_VALUE"""),568.48)</f>
        <v>568.48</v>
      </c>
      <c r="F3239" s="9">
        <f>IFERROR(__xludf.DUMMYFUNCTION("""COMPUTED_VALUE"""),3594297.0)</f>
        <v>3594297</v>
      </c>
      <c r="H3239" s="27">
        <f>IFERROR(__xludf.DUMMYFUNCTION("""COMPUTED_VALUE"""),43151.64583333333)</f>
        <v>43151.64583</v>
      </c>
      <c r="I3239" s="25">
        <f>IFERROR(__xludf.DUMMYFUNCTION("""COMPUTED_VALUE"""),1464.0)</f>
        <v>1464</v>
      </c>
      <c r="J3239" s="25">
        <f>IFERROR(__xludf.DUMMYFUNCTION("""COMPUTED_VALUE"""),1492.53)</f>
        <v>1492.53</v>
      </c>
      <c r="K3239" s="25">
        <f>IFERROR(__xludf.DUMMYFUNCTION("""COMPUTED_VALUE"""),1463.95)</f>
        <v>1463.95</v>
      </c>
      <c r="L3239" s="25">
        <f>IFERROR(__xludf.DUMMYFUNCTION("""COMPUTED_VALUE"""),1472.38)</f>
        <v>1472.38</v>
      </c>
      <c r="M3239" s="25">
        <f>IFERROR(__xludf.DUMMYFUNCTION("""COMPUTED_VALUE"""),944534.0)</f>
        <v>944534</v>
      </c>
    </row>
    <row r="3240">
      <c r="A3240" s="26">
        <f>IFERROR(__xludf.DUMMYFUNCTION("""COMPUTED_VALUE"""),43152.64583333333)</f>
        <v>43152.64583</v>
      </c>
      <c r="B3240" s="9">
        <f>IFERROR(__xludf.DUMMYFUNCTION("""COMPUTED_VALUE"""),573.75)</f>
        <v>573.75</v>
      </c>
      <c r="C3240" s="9">
        <f>IFERROR(__xludf.DUMMYFUNCTION("""COMPUTED_VALUE"""),575.95)</f>
        <v>575.95</v>
      </c>
      <c r="D3240" s="9">
        <f>IFERROR(__xludf.DUMMYFUNCTION("""COMPUTED_VALUE"""),570.0)</f>
        <v>570</v>
      </c>
      <c r="E3240" s="9">
        <f>IFERROR(__xludf.DUMMYFUNCTION("""COMPUTED_VALUE"""),573.7)</f>
        <v>573.7</v>
      </c>
      <c r="F3240" s="9">
        <f>IFERROR(__xludf.DUMMYFUNCTION("""COMPUTED_VALUE"""),6885679.0)</f>
        <v>6885679</v>
      </c>
      <c r="H3240" s="27">
        <f>IFERROR(__xludf.DUMMYFUNCTION("""COMPUTED_VALUE"""),43152.64583333333)</f>
        <v>43152.64583</v>
      </c>
      <c r="I3240" s="25">
        <f>IFERROR(__xludf.DUMMYFUNCTION("""COMPUTED_VALUE"""),1487.0)</f>
        <v>1487</v>
      </c>
      <c r="J3240" s="25">
        <f>IFERROR(__xludf.DUMMYFUNCTION("""COMPUTED_VALUE"""),1531.3)</f>
        <v>1531.3</v>
      </c>
      <c r="K3240" s="25">
        <f>IFERROR(__xludf.DUMMYFUNCTION("""COMPUTED_VALUE"""),1480.03)</f>
        <v>1480.03</v>
      </c>
      <c r="L3240" s="25">
        <f>IFERROR(__xludf.DUMMYFUNCTION("""COMPUTED_VALUE"""),1521.15)</f>
        <v>1521.15</v>
      </c>
      <c r="M3240" s="25">
        <f>IFERROR(__xludf.DUMMYFUNCTION("""COMPUTED_VALUE"""),1544614.0)</f>
        <v>1544614</v>
      </c>
    </row>
    <row r="3241">
      <c r="A3241" s="26">
        <f>IFERROR(__xludf.DUMMYFUNCTION("""COMPUTED_VALUE"""),43153.64583333333)</f>
        <v>43153.64583</v>
      </c>
      <c r="B3241" s="9">
        <f>IFERROR(__xludf.DUMMYFUNCTION("""COMPUTED_VALUE"""),572.78)</f>
        <v>572.78</v>
      </c>
      <c r="C3241" s="9">
        <f>IFERROR(__xludf.DUMMYFUNCTION("""COMPUTED_VALUE"""),582.0)</f>
        <v>582</v>
      </c>
      <c r="D3241" s="9">
        <f>IFERROR(__xludf.DUMMYFUNCTION("""COMPUTED_VALUE"""),570.23)</f>
        <v>570.23</v>
      </c>
      <c r="E3241" s="9">
        <f>IFERROR(__xludf.DUMMYFUNCTION("""COMPUTED_VALUE"""),580.38)</f>
        <v>580.38</v>
      </c>
      <c r="F3241" s="9">
        <f>IFERROR(__xludf.DUMMYFUNCTION("""COMPUTED_VALUE"""),8929987.0)</f>
        <v>8929987</v>
      </c>
      <c r="H3241" s="27">
        <f>IFERROR(__xludf.DUMMYFUNCTION("""COMPUTED_VALUE"""),43153.64583333333)</f>
        <v>43153.64583</v>
      </c>
      <c r="I3241" s="25">
        <f>IFERROR(__xludf.DUMMYFUNCTION("""COMPUTED_VALUE"""),1526.0)</f>
        <v>1526</v>
      </c>
      <c r="J3241" s="25">
        <f>IFERROR(__xludf.DUMMYFUNCTION("""COMPUTED_VALUE"""),1539.5)</f>
        <v>1539.5</v>
      </c>
      <c r="K3241" s="25">
        <f>IFERROR(__xludf.DUMMYFUNCTION("""COMPUTED_VALUE"""),1511.25)</f>
        <v>1511.25</v>
      </c>
      <c r="L3241" s="25">
        <f>IFERROR(__xludf.DUMMYFUNCTION("""COMPUTED_VALUE"""),1525.1)</f>
        <v>1525.1</v>
      </c>
      <c r="M3241" s="25">
        <f>IFERROR(__xludf.DUMMYFUNCTION("""COMPUTED_VALUE"""),1731505.0)</f>
        <v>1731505</v>
      </c>
    </row>
    <row r="3242">
      <c r="A3242" s="26">
        <f>IFERROR(__xludf.DUMMYFUNCTION("""COMPUTED_VALUE"""),43154.64583333333)</f>
        <v>43154.64583</v>
      </c>
      <c r="B3242" s="9">
        <f>IFERROR(__xludf.DUMMYFUNCTION("""COMPUTED_VALUE"""),581.75)</f>
        <v>581.75</v>
      </c>
      <c r="C3242" s="9">
        <f>IFERROR(__xludf.DUMMYFUNCTION("""COMPUTED_VALUE"""),583.0)</f>
        <v>583</v>
      </c>
      <c r="D3242" s="9">
        <f>IFERROR(__xludf.DUMMYFUNCTION("""COMPUTED_VALUE"""),573.38)</f>
        <v>573.38</v>
      </c>
      <c r="E3242" s="9">
        <f>IFERROR(__xludf.DUMMYFUNCTION("""COMPUTED_VALUE"""),577.83)</f>
        <v>577.83</v>
      </c>
      <c r="F3242" s="9">
        <f>IFERROR(__xludf.DUMMYFUNCTION("""COMPUTED_VALUE"""),4729914.0)</f>
        <v>4729914</v>
      </c>
      <c r="H3242" s="27">
        <f>IFERROR(__xludf.DUMMYFUNCTION("""COMPUTED_VALUE"""),43154.64583333333)</f>
        <v>43154.64583</v>
      </c>
      <c r="I3242" s="25">
        <f>IFERROR(__xludf.DUMMYFUNCTION("""COMPUTED_VALUE"""),1525.0)</f>
        <v>1525</v>
      </c>
      <c r="J3242" s="25">
        <f>IFERROR(__xludf.DUMMYFUNCTION("""COMPUTED_VALUE"""),1544.5)</f>
        <v>1544.5</v>
      </c>
      <c r="K3242" s="25">
        <f>IFERROR(__xludf.DUMMYFUNCTION("""COMPUTED_VALUE"""),1496.05)</f>
        <v>1496.05</v>
      </c>
      <c r="L3242" s="25">
        <f>IFERROR(__xludf.DUMMYFUNCTION("""COMPUTED_VALUE"""),1537.9)</f>
        <v>1537.9</v>
      </c>
      <c r="M3242" s="25">
        <f>IFERROR(__xludf.DUMMYFUNCTION("""COMPUTED_VALUE"""),1681250.0)</f>
        <v>1681250</v>
      </c>
    </row>
    <row r="3243">
      <c r="A3243" s="26">
        <f>IFERROR(__xludf.DUMMYFUNCTION("""COMPUTED_VALUE"""),43157.64583333333)</f>
        <v>43157.64583</v>
      </c>
      <c r="B3243" s="9">
        <f>IFERROR(__xludf.DUMMYFUNCTION("""COMPUTED_VALUE"""),575.5)</f>
        <v>575.5</v>
      </c>
      <c r="C3243" s="9">
        <f>IFERROR(__xludf.DUMMYFUNCTION("""COMPUTED_VALUE"""),577.53)</f>
        <v>577.53</v>
      </c>
      <c r="D3243" s="9">
        <f>IFERROR(__xludf.DUMMYFUNCTION("""COMPUTED_VALUE"""),567.17)</f>
        <v>567.17</v>
      </c>
      <c r="E3243" s="9">
        <f>IFERROR(__xludf.DUMMYFUNCTION("""COMPUTED_VALUE"""),569.3)</f>
        <v>569.3</v>
      </c>
      <c r="F3243" s="9">
        <f>IFERROR(__xludf.DUMMYFUNCTION("""COMPUTED_VALUE"""),2541804.0)</f>
        <v>2541804</v>
      </c>
      <c r="H3243" s="27">
        <f>IFERROR(__xludf.DUMMYFUNCTION("""COMPUTED_VALUE"""),43157.64583333333)</f>
        <v>43157.64583</v>
      </c>
      <c r="I3243" s="25">
        <f>IFERROR(__xludf.DUMMYFUNCTION("""COMPUTED_VALUE"""),1537.5)</f>
        <v>1537.5</v>
      </c>
      <c r="J3243" s="25">
        <f>IFERROR(__xludf.DUMMYFUNCTION("""COMPUTED_VALUE"""),1544.98)</f>
        <v>1544.98</v>
      </c>
      <c r="K3243" s="25">
        <f>IFERROR(__xludf.DUMMYFUNCTION("""COMPUTED_VALUE"""),1510.6)</f>
        <v>1510.6</v>
      </c>
      <c r="L3243" s="25">
        <f>IFERROR(__xludf.DUMMYFUNCTION("""COMPUTED_VALUE"""),1515.85)</f>
        <v>1515.85</v>
      </c>
      <c r="M3243" s="25">
        <f>IFERROR(__xludf.DUMMYFUNCTION("""COMPUTED_VALUE"""),681941.0)</f>
        <v>681941</v>
      </c>
    </row>
    <row r="3244">
      <c r="A3244" s="26">
        <f>IFERROR(__xludf.DUMMYFUNCTION("""COMPUTED_VALUE"""),43158.64583333333)</f>
        <v>43158.64583</v>
      </c>
      <c r="B3244" s="9">
        <f>IFERROR(__xludf.DUMMYFUNCTION("""COMPUTED_VALUE"""),572.48)</f>
        <v>572.48</v>
      </c>
      <c r="C3244" s="9">
        <f>IFERROR(__xludf.DUMMYFUNCTION("""COMPUTED_VALUE"""),576.83)</f>
        <v>576.83</v>
      </c>
      <c r="D3244" s="9">
        <f>IFERROR(__xludf.DUMMYFUNCTION("""COMPUTED_VALUE"""),562.83)</f>
        <v>562.83</v>
      </c>
      <c r="E3244" s="9">
        <f>IFERROR(__xludf.DUMMYFUNCTION("""COMPUTED_VALUE"""),575.1)</f>
        <v>575.1</v>
      </c>
      <c r="F3244" s="9">
        <f>IFERROR(__xludf.DUMMYFUNCTION("""COMPUTED_VALUE"""),3308013.0)</f>
        <v>3308013</v>
      </c>
      <c r="H3244" s="27">
        <f>IFERROR(__xludf.DUMMYFUNCTION("""COMPUTED_VALUE"""),43158.64583333333)</f>
        <v>43158.64583</v>
      </c>
      <c r="I3244" s="25">
        <f>IFERROR(__xludf.DUMMYFUNCTION("""COMPUTED_VALUE"""),1520.5)</f>
        <v>1520.5</v>
      </c>
      <c r="J3244" s="25">
        <f>IFERROR(__xludf.DUMMYFUNCTION("""COMPUTED_VALUE"""),1539.28)</f>
        <v>1539.28</v>
      </c>
      <c r="K3244" s="25">
        <f>IFERROR(__xludf.DUMMYFUNCTION("""COMPUTED_VALUE"""),1516.0)</f>
        <v>1516</v>
      </c>
      <c r="L3244" s="25">
        <f>IFERROR(__xludf.DUMMYFUNCTION("""COMPUTED_VALUE"""),1521.18)</f>
        <v>1521.18</v>
      </c>
      <c r="M3244" s="25">
        <f>IFERROR(__xludf.DUMMYFUNCTION("""COMPUTED_VALUE"""),858900.0)</f>
        <v>858900</v>
      </c>
    </row>
    <row r="3245">
      <c r="A3245" s="26">
        <f>IFERROR(__xludf.DUMMYFUNCTION("""COMPUTED_VALUE"""),43159.64583333333)</f>
        <v>43159.64583</v>
      </c>
      <c r="B3245" s="9">
        <f>IFERROR(__xludf.DUMMYFUNCTION("""COMPUTED_VALUE"""),573.8)</f>
        <v>573.8</v>
      </c>
      <c r="C3245" s="9">
        <f>IFERROR(__xludf.DUMMYFUNCTION("""COMPUTED_VALUE"""),594.75)</f>
        <v>594.75</v>
      </c>
      <c r="D3245" s="9">
        <f>IFERROR(__xludf.DUMMYFUNCTION("""COMPUTED_VALUE"""),571.28)</f>
        <v>571.28</v>
      </c>
      <c r="E3245" s="9">
        <f>IFERROR(__xludf.DUMMYFUNCTION("""COMPUTED_VALUE"""),586.3)</f>
        <v>586.3</v>
      </c>
      <c r="F3245" s="9">
        <f>IFERROR(__xludf.DUMMYFUNCTION("""COMPUTED_VALUE"""),8634208.0)</f>
        <v>8634208</v>
      </c>
      <c r="H3245" s="27">
        <f>IFERROR(__xludf.DUMMYFUNCTION("""COMPUTED_VALUE"""),43159.64583333333)</f>
        <v>43159.64583</v>
      </c>
      <c r="I3245" s="25">
        <f>IFERROR(__xludf.DUMMYFUNCTION("""COMPUTED_VALUE"""),1517.5)</f>
        <v>1517.5</v>
      </c>
      <c r="J3245" s="25">
        <f>IFERROR(__xludf.DUMMYFUNCTION("""COMPUTED_VALUE"""),1531.98)</f>
        <v>1531.98</v>
      </c>
      <c r="K3245" s="25">
        <f>IFERROR(__xludf.DUMMYFUNCTION("""COMPUTED_VALUE"""),1510.73)</f>
        <v>1510.73</v>
      </c>
      <c r="L3245" s="25">
        <f>IFERROR(__xludf.DUMMYFUNCTION("""COMPUTED_VALUE"""),1517.53)</f>
        <v>1517.53</v>
      </c>
      <c r="M3245" s="25">
        <f>IFERROR(__xludf.DUMMYFUNCTION("""COMPUTED_VALUE"""),1353432.0)</f>
        <v>1353432</v>
      </c>
    </row>
    <row r="3246">
      <c r="A3246" s="26">
        <f>IFERROR(__xludf.DUMMYFUNCTION("""COMPUTED_VALUE"""),43160.64583333333)</f>
        <v>43160.64583</v>
      </c>
      <c r="B3246" s="9">
        <f>IFERROR(__xludf.DUMMYFUNCTION("""COMPUTED_VALUE"""),584.8)</f>
        <v>584.8</v>
      </c>
      <c r="C3246" s="9">
        <f>IFERROR(__xludf.DUMMYFUNCTION("""COMPUTED_VALUE"""),584.8)</f>
        <v>584.8</v>
      </c>
      <c r="D3246" s="9">
        <f>IFERROR(__xludf.DUMMYFUNCTION("""COMPUTED_VALUE"""),578.03)</f>
        <v>578.03</v>
      </c>
      <c r="E3246" s="9">
        <f>IFERROR(__xludf.DUMMYFUNCTION("""COMPUTED_VALUE"""),580.38)</f>
        <v>580.38</v>
      </c>
      <c r="F3246" s="9">
        <f>IFERROR(__xludf.DUMMYFUNCTION("""COMPUTED_VALUE"""),3289926.0)</f>
        <v>3289926</v>
      </c>
      <c r="H3246" s="27">
        <f>IFERROR(__xludf.DUMMYFUNCTION("""COMPUTED_VALUE"""),43160.64583333333)</f>
        <v>43160.64583</v>
      </c>
      <c r="I3246" s="25">
        <f>IFERROR(__xludf.DUMMYFUNCTION("""COMPUTED_VALUE"""),1524.5)</f>
        <v>1524.5</v>
      </c>
      <c r="J3246" s="25">
        <f>IFERROR(__xludf.DUMMYFUNCTION("""COMPUTED_VALUE"""),1530.6)</f>
        <v>1530.6</v>
      </c>
      <c r="K3246" s="25">
        <f>IFERROR(__xludf.DUMMYFUNCTION("""COMPUTED_VALUE"""),1510.0)</f>
        <v>1510</v>
      </c>
      <c r="L3246" s="25">
        <f>IFERROR(__xludf.DUMMYFUNCTION("""COMPUTED_VALUE"""),1518.85)</f>
        <v>1518.85</v>
      </c>
      <c r="M3246" s="25">
        <f>IFERROR(__xludf.DUMMYFUNCTION("""COMPUTED_VALUE"""),859062.0)</f>
        <v>859062</v>
      </c>
    </row>
    <row r="3247">
      <c r="A3247" s="26">
        <f>IFERROR(__xludf.DUMMYFUNCTION("""COMPUTED_VALUE"""),43164.64583333333)</f>
        <v>43164.64583</v>
      </c>
      <c r="B3247" s="9">
        <f>IFERROR(__xludf.DUMMYFUNCTION("""COMPUTED_VALUE"""),580.38)</f>
        <v>580.38</v>
      </c>
      <c r="C3247" s="9">
        <f>IFERROR(__xludf.DUMMYFUNCTION("""COMPUTED_VALUE"""),585.4)</f>
        <v>585.4</v>
      </c>
      <c r="D3247" s="9">
        <f>IFERROR(__xludf.DUMMYFUNCTION("""COMPUTED_VALUE"""),571.63)</f>
        <v>571.63</v>
      </c>
      <c r="E3247" s="9">
        <f>IFERROR(__xludf.DUMMYFUNCTION("""COMPUTED_VALUE"""),577.95)</f>
        <v>577.95</v>
      </c>
      <c r="F3247" s="9">
        <f>IFERROR(__xludf.DUMMYFUNCTION("""COMPUTED_VALUE"""),4050728.0)</f>
        <v>4050728</v>
      </c>
      <c r="H3247" s="27">
        <f>IFERROR(__xludf.DUMMYFUNCTION("""COMPUTED_VALUE"""),43164.64583333333)</f>
        <v>43164.64583</v>
      </c>
      <c r="I3247" s="25">
        <f>IFERROR(__xludf.DUMMYFUNCTION("""COMPUTED_VALUE"""),1524.5)</f>
        <v>1524.5</v>
      </c>
      <c r="J3247" s="25">
        <f>IFERROR(__xludf.DUMMYFUNCTION("""COMPUTED_VALUE"""),1556.83)</f>
        <v>1556.83</v>
      </c>
      <c r="K3247" s="25">
        <f>IFERROR(__xludf.DUMMYFUNCTION("""COMPUTED_VALUE"""),1516.48)</f>
        <v>1516.48</v>
      </c>
      <c r="L3247" s="25">
        <f>IFERROR(__xludf.DUMMYFUNCTION("""COMPUTED_VALUE"""),1552.93)</f>
        <v>1552.93</v>
      </c>
      <c r="M3247" s="25">
        <f>IFERROR(__xludf.DUMMYFUNCTION("""COMPUTED_VALUE"""),1429084.0)</f>
        <v>1429084</v>
      </c>
    </row>
    <row r="3248">
      <c r="A3248" s="26">
        <f>IFERROR(__xludf.DUMMYFUNCTION("""COMPUTED_VALUE"""),43165.64583333333)</f>
        <v>43165.64583</v>
      </c>
      <c r="B3248" s="9">
        <f>IFERROR(__xludf.DUMMYFUNCTION("""COMPUTED_VALUE"""),581.28)</f>
        <v>581.28</v>
      </c>
      <c r="C3248" s="9">
        <f>IFERROR(__xludf.DUMMYFUNCTION("""COMPUTED_VALUE"""),582.7)</f>
        <v>582.7</v>
      </c>
      <c r="D3248" s="9">
        <f>IFERROR(__xludf.DUMMYFUNCTION("""COMPUTED_VALUE"""),571.8)</f>
        <v>571.8</v>
      </c>
      <c r="E3248" s="9">
        <f>IFERROR(__xludf.DUMMYFUNCTION("""COMPUTED_VALUE"""),575.67)</f>
        <v>575.67</v>
      </c>
      <c r="F3248" s="9">
        <f>IFERROR(__xludf.DUMMYFUNCTION("""COMPUTED_VALUE"""),3344867.0)</f>
        <v>3344867</v>
      </c>
      <c r="H3248" s="27">
        <f>IFERROR(__xludf.DUMMYFUNCTION("""COMPUTED_VALUE"""),43165.64583333333)</f>
        <v>43165.64583</v>
      </c>
      <c r="I3248" s="25">
        <f>IFERROR(__xludf.DUMMYFUNCTION("""COMPUTED_VALUE"""),1561.0)</f>
        <v>1561</v>
      </c>
      <c r="J3248" s="25">
        <f>IFERROR(__xludf.DUMMYFUNCTION("""COMPUTED_VALUE"""),1563.5)</f>
        <v>1563.5</v>
      </c>
      <c r="K3248" s="25">
        <f>IFERROR(__xludf.DUMMYFUNCTION("""COMPUTED_VALUE"""),1515.08)</f>
        <v>1515.08</v>
      </c>
      <c r="L3248" s="25">
        <f>IFERROR(__xludf.DUMMYFUNCTION("""COMPUTED_VALUE"""),1521.4)</f>
        <v>1521.4</v>
      </c>
      <c r="M3248" s="25">
        <f>IFERROR(__xludf.DUMMYFUNCTION("""COMPUTED_VALUE"""),953382.0)</f>
        <v>953382</v>
      </c>
    </row>
    <row r="3249">
      <c r="A3249" s="26">
        <f>IFERROR(__xludf.DUMMYFUNCTION("""COMPUTED_VALUE"""),43166.64583333333)</f>
        <v>43166.64583</v>
      </c>
      <c r="B3249" s="9">
        <f>IFERROR(__xludf.DUMMYFUNCTION("""COMPUTED_VALUE"""),577.5)</f>
        <v>577.5</v>
      </c>
      <c r="C3249" s="9">
        <f>IFERROR(__xludf.DUMMYFUNCTION("""COMPUTED_VALUE"""),580.0)</f>
        <v>580</v>
      </c>
      <c r="D3249" s="9">
        <f>IFERROR(__xludf.DUMMYFUNCTION("""COMPUTED_VALUE"""),569.03)</f>
        <v>569.03</v>
      </c>
      <c r="E3249" s="9">
        <f>IFERROR(__xludf.DUMMYFUNCTION("""COMPUTED_VALUE"""),572.05)</f>
        <v>572.05</v>
      </c>
      <c r="F3249" s="9">
        <f>IFERROR(__xludf.DUMMYFUNCTION("""COMPUTED_VALUE"""),3185208.0)</f>
        <v>3185208</v>
      </c>
      <c r="H3249" s="27">
        <f>IFERROR(__xludf.DUMMYFUNCTION("""COMPUTED_VALUE"""),43166.64583333333)</f>
        <v>43166.64583</v>
      </c>
      <c r="I3249" s="25">
        <f>IFERROR(__xludf.DUMMYFUNCTION("""COMPUTED_VALUE"""),1535.0)</f>
        <v>1535</v>
      </c>
      <c r="J3249" s="25">
        <f>IFERROR(__xludf.DUMMYFUNCTION("""COMPUTED_VALUE"""),1544.5)</f>
        <v>1544.5</v>
      </c>
      <c r="K3249" s="25">
        <f>IFERROR(__xludf.DUMMYFUNCTION("""COMPUTED_VALUE"""),1509.25)</f>
        <v>1509.25</v>
      </c>
      <c r="L3249" s="25">
        <f>IFERROR(__xludf.DUMMYFUNCTION("""COMPUTED_VALUE"""),1513.73)</f>
        <v>1513.73</v>
      </c>
      <c r="M3249" s="25">
        <f>IFERROR(__xludf.DUMMYFUNCTION("""COMPUTED_VALUE"""),958886.0)</f>
        <v>958886</v>
      </c>
    </row>
    <row r="3250">
      <c r="A3250" s="26">
        <f>IFERROR(__xludf.DUMMYFUNCTION("""COMPUTED_VALUE"""),43167.64583333333)</f>
        <v>43167.64583</v>
      </c>
      <c r="B3250" s="9">
        <f>IFERROR(__xludf.DUMMYFUNCTION("""COMPUTED_VALUE"""),574.5)</f>
        <v>574.5</v>
      </c>
      <c r="C3250" s="9">
        <f>IFERROR(__xludf.DUMMYFUNCTION("""COMPUTED_VALUE"""),582.9)</f>
        <v>582.9</v>
      </c>
      <c r="D3250" s="9">
        <f>IFERROR(__xludf.DUMMYFUNCTION("""COMPUTED_VALUE"""),574.5)</f>
        <v>574.5</v>
      </c>
      <c r="E3250" s="9">
        <f>IFERROR(__xludf.DUMMYFUNCTION("""COMPUTED_VALUE"""),578.33)</f>
        <v>578.33</v>
      </c>
      <c r="F3250" s="9">
        <f>IFERROR(__xludf.DUMMYFUNCTION("""COMPUTED_VALUE"""),3046507.0)</f>
        <v>3046507</v>
      </c>
      <c r="H3250" s="27">
        <f>IFERROR(__xludf.DUMMYFUNCTION("""COMPUTED_VALUE"""),43167.64583333333)</f>
        <v>43167.64583</v>
      </c>
      <c r="I3250" s="25">
        <f>IFERROR(__xludf.DUMMYFUNCTION("""COMPUTED_VALUE"""),1527.45)</f>
        <v>1527.45</v>
      </c>
      <c r="J3250" s="25">
        <f>IFERROR(__xludf.DUMMYFUNCTION("""COMPUTED_VALUE"""),1527.45)</f>
        <v>1527.45</v>
      </c>
      <c r="K3250" s="25">
        <f>IFERROR(__xludf.DUMMYFUNCTION("""COMPUTED_VALUE"""),1493.75)</f>
        <v>1493.75</v>
      </c>
      <c r="L3250" s="25">
        <f>IFERROR(__xludf.DUMMYFUNCTION("""COMPUTED_VALUE"""),1501.98)</f>
        <v>1501.98</v>
      </c>
      <c r="M3250" s="25">
        <f>IFERROR(__xludf.DUMMYFUNCTION("""COMPUTED_VALUE"""),975913.0)</f>
        <v>975913</v>
      </c>
    </row>
    <row r="3251">
      <c r="A3251" s="26">
        <f>IFERROR(__xludf.DUMMYFUNCTION("""COMPUTED_VALUE"""),43168.64583333333)</f>
        <v>43168.64583</v>
      </c>
      <c r="B3251" s="9">
        <f>IFERROR(__xludf.DUMMYFUNCTION("""COMPUTED_VALUE"""),581.17)</f>
        <v>581.17</v>
      </c>
      <c r="C3251" s="9">
        <f>IFERROR(__xludf.DUMMYFUNCTION("""COMPUTED_VALUE"""),583.0)</f>
        <v>583</v>
      </c>
      <c r="D3251" s="9">
        <f>IFERROR(__xludf.DUMMYFUNCTION("""COMPUTED_VALUE"""),577.78)</f>
        <v>577.78</v>
      </c>
      <c r="E3251" s="9">
        <f>IFERROR(__xludf.DUMMYFUNCTION("""COMPUTED_VALUE"""),581.7)</f>
        <v>581.7</v>
      </c>
      <c r="F3251" s="9">
        <f>IFERROR(__xludf.DUMMYFUNCTION("""COMPUTED_VALUE"""),2110482.0)</f>
        <v>2110482</v>
      </c>
      <c r="H3251" s="27">
        <f>IFERROR(__xludf.DUMMYFUNCTION("""COMPUTED_VALUE"""),43168.64583333333)</f>
        <v>43168.64583</v>
      </c>
      <c r="I3251" s="25">
        <f>IFERROR(__xludf.DUMMYFUNCTION("""COMPUTED_VALUE"""),1502.5)</f>
        <v>1502.5</v>
      </c>
      <c r="J3251" s="25">
        <f>IFERROR(__xludf.DUMMYFUNCTION("""COMPUTED_VALUE"""),1531.6)</f>
        <v>1531.6</v>
      </c>
      <c r="K3251" s="25">
        <f>IFERROR(__xludf.DUMMYFUNCTION("""COMPUTED_VALUE"""),1488.6)</f>
        <v>1488.6</v>
      </c>
      <c r="L3251" s="25">
        <f>IFERROR(__xludf.DUMMYFUNCTION("""COMPUTED_VALUE"""),1517.05)</f>
        <v>1517.05</v>
      </c>
      <c r="M3251" s="25">
        <f>IFERROR(__xludf.DUMMYFUNCTION("""COMPUTED_VALUE"""),936218.0)</f>
        <v>936218</v>
      </c>
    </row>
    <row r="3252">
      <c r="A3252" s="26">
        <f>IFERROR(__xludf.DUMMYFUNCTION("""COMPUTED_VALUE"""),43171.64583333333)</f>
        <v>43171.64583</v>
      </c>
      <c r="B3252" s="9">
        <f>IFERROR(__xludf.DUMMYFUNCTION("""COMPUTED_VALUE"""),588.0)</f>
        <v>588</v>
      </c>
      <c r="C3252" s="9">
        <f>IFERROR(__xludf.DUMMYFUNCTION("""COMPUTED_VALUE"""),595.92)</f>
        <v>595.92</v>
      </c>
      <c r="D3252" s="9">
        <f>IFERROR(__xludf.DUMMYFUNCTION("""COMPUTED_VALUE"""),585.88)</f>
        <v>585.88</v>
      </c>
      <c r="E3252" s="9">
        <f>IFERROR(__xludf.DUMMYFUNCTION("""COMPUTED_VALUE"""),592.88)</f>
        <v>592.88</v>
      </c>
      <c r="F3252" s="9">
        <f>IFERROR(__xludf.DUMMYFUNCTION("""COMPUTED_VALUE"""),3838485.0)</f>
        <v>3838485</v>
      </c>
      <c r="H3252" s="27">
        <f>IFERROR(__xludf.DUMMYFUNCTION("""COMPUTED_VALUE"""),43171.64583333333)</f>
        <v>43171.64583</v>
      </c>
      <c r="I3252" s="25">
        <f>IFERROR(__xludf.DUMMYFUNCTION("""COMPUTED_VALUE"""),1521.5)</f>
        <v>1521.5</v>
      </c>
      <c r="J3252" s="25">
        <f>IFERROR(__xludf.DUMMYFUNCTION("""COMPUTED_VALUE"""),1541.95)</f>
        <v>1541.95</v>
      </c>
      <c r="K3252" s="25">
        <f>IFERROR(__xludf.DUMMYFUNCTION("""COMPUTED_VALUE"""),1517.75)</f>
        <v>1517.75</v>
      </c>
      <c r="L3252" s="25">
        <f>IFERROR(__xludf.DUMMYFUNCTION("""COMPUTED_VALUE"""),1526.08)</f>
        <v>1526.08</v>
      </c>
      <c r="M3252" s="25">
        <f>IFERROR(__xludf.DUMMYFUNCTION("""COMPUTED_VALUE"""),1045670.0)</f>
        <v>1045670</v>
      </c>
    </row>
    <row r="3253">
      <c r="A3253" s="26">
        <f>IFERROR(__xludf.DUMMYFUNCTION("""COMPUTED_VALUE"""),43172.64583333333)</f>
        <v>43172.64583</v>
      </c>
      <c r="B3253" s="9">
        <f>IFERROR(__xludf.DUMMYFUNCTION("""COMPUTED_VALUE"""),590.1)</f>
        <v>590.1</v>
      </c>
      <c r="C3253" s="9">
        <f>IFERROR(__xludf.DUMMYFUNCTION("""COMPUTED_VALUE"""),598.5)</f>
        <v>598.5</v>
      </c>
      <c r="D3253" s="9">
        <f>IFERROR(__xludf.DUMMYFUNCTION("""COMPUTED_VALUE"""),587.58)</f>
        <v>587.58</v>
      </c>
      <c r="E3253" s="9">
        <f>IFERROR(__xludf.DUMMYFUNCTION("""COMPUTED_VALUE"""),591.9)</f>
        <v>591.9</v>
      </c>
      <c r="F3253" s="9">
        <f>IFERROR(__xludf.DUMMYFUNCTION("""COMPUTED_VALUE"""),4290526.0)</f>
        <v>4290526</v>
      </c>
      <c r="H3253" s="27">
        <f>IFERROR(__xludf.DUMMYFUNCTION("""COMPUTED_VALUE"""),43172.64583333333)</f>
        <v>43172.64583</v>
      </c>
      <c r="I3253" s="25">
        <f>IFERROR(__xludf.DUMMYFUNCTION("""COMPUTED_VALUE"""),1462.45)</f>
        <v>1462.45</v>
      </c>
      <c r="J3253" s="25">
        <f>IFERROR(__xludf.DUMMYFUNCTION("""COMPUTED_VALUE"""),1469.85)</f>
        <v>1469.85</v>
      </c>
      <c r="K3253" s="25">
        <f>IFERROR(__xludf.DUMMYFUNCTION("""COMPUTED_VALUE"""),1436.0)</f>
        <v>1436</v>
      </c>
      <c r="L3253" s="25">
        <f>IFERROR(__xludf.DUMMYFUNCTION("""COMPUTED_VALUE"""),1443.4)</f>
        <v>1443.4</v>
      </c>
      <c r="M3253" s="25">
        <f>IFERROR(__xludf.DUMMYFUNCTION("""COMPUTED_VALUE"""),4.4033577E7)</f>
        <v>44033577</v>
      </c>
    </row>
    <row r="3254">
      <c r="A3254" s="26">
        <f>IFERROR(__xludf.DUMMYFUNCTION("""COMPUTED_VALUE"""),43173.64583333333)</f>
        <v>43173.64583</v>
      </c>
      <c r="B3254" s="9">
        <f>IFERROR(__xludf.DUMMYFUNCTION("""COMPUTED_VALUE"""),590.0)</f>
        <v>590</v>
      </c>
      <c r="C3254" s="9">
        <f>IFERROR(__xludf.DUMMYFUNCTION("""COMPUTED_VALUE"""),595.3)</f>
        <v>595.3</v>
      </c>
      <c r="D3254" s="9">
        <f>IFERROR(__xludf.DUMMYFUNCTION("""COMPUTED_VALUE"""),584.55)</f>
        <v>584.55</v>
      </c>
      <c r="E3254" s="9">
        <f>IFERROR(__xludf.DUMMYFUNCTION("""COMPUTED_VALUE"""),590.4)</f>
        <v>590.4</v>
      </c>
      <c r="F3254" s="9">
        <f>IFERROR(__xludf.DUMMYFUNCTION("""COMPUTED_VALUE"""),2214855.0)</f>
        <v>2214855</v>
      </c>
      <c r="H3254" s="27">
        <f>IFERROR(__xludf.DUMMYFUNCTION("""COMPUTED_VALUE"""),43173.64583333333)</f>
        <v>43173.64583</v>
      </c>
      <c r="I3254" s="25">
        <f>IFERROR(__xludf.DUMMYFUNCTION("""COMPUTED_VALUE"""),1446.48)</f>
        <v>1446.48</v>
      </c>
      <c r="J3254" s="25">
        <f>IFERROR(__xludf.DUMMYFUNCTION("""COMPUTED_VALUE"""),1461.53)</f>
        <v>1461.53</v>
      </c>
      <c r="K3254" s="25">
        <f>IFERROR(__xludf.DUMMYFUNCTION("""COMPUTED_VALUE"""),1437.53)</f>
        <v>1437.53</v>
      </c>
      <c r="L3254" s="25">
        <f>IFERROR(__xludf.DUMMYFUNCTION("""COMPUTED_VALUE"""),1443.45)</f>
        <v>1443.45</v>
      </c>
      <c r="M3254" s="25">
        <f>IFERROR(__xludf.DUMMYFUNCTION("""COMPUTED_VALUE"""),1834334.0)</f>
        <v>1834334</v>
      </c>
    </row>
    <row r="3255">
      <c r="A3255" s="26">
        <f>IFERROR(__xludf.DUMMYFUNCTION("""COMPUTED_VALUE"""),43174.64583333333)</f>
        <v>43174.64583</v>
      </c>
      <c r="B3255" s="9">
        <f>IFERROR(__xludf.DUMMYFUNCTION("""COMPUTED_VALUE"""),590.0)</f>
        <v>590</v>
      </c>
      <c r="C3255" s="9">
        <f>IFERROR(__xludf.DUMMYFUNCTION("""COMPUTED_VALUE"""),594.2)</f>
        <v>594.2</v>
      </c>
      <c r="D3255" s="9">
        <f>IFERROR(__xludf.DUMMYFUNCTION("""COMPUTED_VALUE"""),586.0)</f>
        <v>586</v>
      </c>
      <c r="E3255" s="9">
        <f>IFERROR(__xludf.DUMMYFUNCTION("""COMPUTED_VALUE"""),591.25)</f>
        <v>591.25</v>
      </c>
      <c r="F3255" s="9">
        <f>IFERROR(__xludf.DUMMYFUNCTION("""COMPUTED_VALUE"""),3050750.0)</f>
        <v>3050750</v>
      </c>
      <c r="H3255" s="27">
        <f>IFERROR(__xludf.DUMMYFUNCTION("""COMPUTED_VALUE"""),43174.64583333333)</f>
        <v>43174.64583</v>
      </c>
      <c r="I3255" s="25">
        <f>IFERROR(__xludf.DUMMYFUNCTION("""COMPUTED_VALUE"""),1447.5)</f>
        <v>1447.5</v>
      </c>
      <c r="J3255" s="25">
        <f>IFERROR(__xludf.DUMMYFUNCTION("""COMPUTED_VALUE"""),1451.28)</f>
        <v>1451.28</v>
      </c>
      <c r="K3255" s="25">
        <f>IFERROR(__xludf.DUMMYFUNCTION("""COMPUTED_VALUE"""),1427.8)</f>
        <v>1427.8</v>
      </c>
      <c r="L3255" s="25">
        <f>IFERROR(__xludf.DUMMYFUNCTION("""COMPUTED_VALUE"""),1434.85)</f>
        <v>1434.85</v>
      </c>
      <c r="M3255" s="25">
        <f>IFERROR(__xludf.DUMMYFUNCTION("""COMPUTED_VALUE"""),1174453.0)</f>
        <v>1174453</v>
      </c>
    </row>
    <row r="3256">
      <c r="A3256" s="26">
        <f>IFERROR(__xludf.DUMMYFUNCTION("""COMPUTED_VALUE"""),43175.64583333333)</f>
        <v>43175.64583</v>
      </c>
      <c r="B3256" s="9">
        <f>IFERROR(__xludf.DUMMYFUNCTION("""COMPUTED_VALUE"""),591.0)</f>
        <v>591</v>
      </c>
      <c r="C3256" s="9">
        <f>IFERROR(__xludf.DUMMYFUNCTION("""COMPUTED_VALUE"""),591.2)</f>
        <v>591.2</v>
      </c>
      <c r="D3256" s="9">
        <f>IFERROR(__xludf.DUMMYFUNCTION("""COMPUTED_VALUE"""),584.63)</f>
        <v>584.63</v>
      </c>
      <c r="E3256" s="9">
        <f>IFERROR(__xludf.DUMMYFUNCTION("""COMPUTED_VALUE"""),585.95)</f>
        <v>585.95</v>
      </c>
      <c r="F3256" s="9">
        <f>IFERROR(__xludf.DUMMYFUNCTION("""COMPUTED_VALUE"""),8977413.0)</f>
        <v>8977413</v>
      </c>
      <c r="H3256" s="27">
        <f>IFERROR(__xludf.DUMMYFUNCTION("""COMPUTED_VALUE"""),43175.64583333333)</f>
        <v>43175.64583</v>
      </c>
      <c r="I3256" s="25">
        <f>IFERROR(__xludf.DUMMYFUNCTION("""COMPUTED_VALUE"""),1434.4)</f>
        <v>1434.4</v>
      </c>
      <c r="J3256" s="25">
        <f>IFERROR(__xludf.DUMMYFUNCTION("""COMPUTED_VALUE"""),1436.0)</f>
        <v>1436</v>
      </c>
      <c r="K3256" s="25">
        <f>IFERROR(__xludf.DUMMYFUNCTION("""COMPUTED_VALUE"""),1402.5)</f>
        <v>1402.5</v>
      </c>
      <c r="L3256" s="25">
        <f>IFERROR(__xludf.DUMMYFUNCTION("""COMPUTED_VALUE"""),1412.85)</f>
        <v>1412.85</v>
      </c>
      <c r="M3256" s="25">
        <f>IFERROR(__xludf.DUMMYFUNCTION("""COMPUTED_VALUE"""),3598741.0)</f>
        <v>3598741</v>
      </c>
    </row>
    <row r="3257">
      <c r="A3257" s="26">
        <f>IFERROR(__xludf.DUMMYFUNCTION("""COMPUTED_VALUE"""),43178.64583333333)</f>
        <v>43178.64583</v>
      </c>
      <c r="B3257" s="9">
        <f>IFERROR(__xludf.DUMMYFUNCTION("""COMPUTED_VALUE"""),582.0)</f>
        <v>582</v>
      </c>
      <c r="C3257" s="9">
        <f>IFERROR(__xludf.DUMMYFUNCTION("""COMPUTED_VALUE"""),590.25)</f>
        <v>590.25</v>
      </c>
      <c r="D3257" s="9">
        <f>IFERROR(__xludf.DUMMYFUNCTION("""COMPUTED_VALUE"""),571.33)</f>
        <v>571.33</v>
      </c>
      <c r="E3257" s="9">
        <f>IFERROR(__xludf.DUMMYFUNCTION("""COMPUTED_VALUE"""),573.38)</f>
        <v>573.38</v>
      </c>
      <c r="F3257" s="9">
        <f>IFERROR(__xludf.DUMMYFUNCTION("""COMPUTED_VALUE"""),3763310.0)</f>
        <v>3763310</v>
      </c>
      <c r="H3257" s="27">
        <f>IFERROR(__xludf.DUMMYFUNCTION("""COMPUTED_VALUE"""),43178.64583333333)</f>
        <v>43178.64583</v>
      </c>
      <c r="I3257" s="25">
        <f>IFERROR(__xludf.DUMMYFUNCTION("""COMPUTED_VALUE"""),1414.5)</f>
        <v>1414.5</v>
      </c>
      <c r="J3257" s="25">
        <f>IFERROR(__xludf.DUMMYFUNCTION("""COMPUTED_VALUE"""),1424.0)</f>
        <v>1424</v>
      </c>
      <c r="K3257" s="25">
        <f>IFERROR(__xludf.DUMMYFUNCTION("""COMPUTED_VALUE"""),1410.0)</f>
        <v>1410</v>
      </c>
      <c r="L3257" s="25">
        <f>IFERROR(__xludf.DUMMYFUNCTION("""COMPUTED_VALUE"""),1415.5)</f>
        <v>1415.5</v>
      </c>
      <c r="M3257" s="25">
        <f>IFERROR(__xludf.DUMMYFUNCTION("""COMPUTED_VALUE"""),1744970.0)</f>
        <v>1744970</v>
      </c>
    </row>
    <row r="3258">
      <c r="A3258" s="26">
        <f>IFERROR(__xludf.DUMMYFUNCTION("""COMPUTED_VALUE"""),43179.64583333333)</f>
        <v>43179.64583</v>
      </c>
      <c r="B3258" s="9">
        <f>IFERROR(__xludf.DUMMYFUNCTION("""COMPUTED_VALUE"""),574.3)</f>
        <v>574.3</v>
      </c>
      <c r="C3258" s="9">
        <f>IFERROR(__xludf.DUMMYFUNCTION("""COMPUTED_VALUE"""),585.0)</f>
        <v>585</v>
      </c>
      <c r="D3258" s="9">
        <f>IFERROR(__xludf.DUMMYFUNCTION("""COMPUTED_VALUE"""),574.3)</f>
        <v>574.3</v>
      </c>
      <c r="E3258" s="9">
        <f>IFERROR(__xludf.DUMMYFUNCTION("""COMPUTED_VALUE"""),582.28)</f>
        <v>582.28</v>
      </c>
      <c r="F3258" s="9">
        <f>IFERROR(__xludf.DUMMYFUNCTION("""COMPUTED_VALUE"""),4276883.0)</f>
        <v>4276883</v>
      </c>
      <c r="H3258" s="27">
        <f>IFERROR(__xludf.DUMMYFUNCTION("""COMPUTED_VALUE"""),43179.64583333333)</f>
        <v>43179.64583</v>
      </c>
      <c r="I3258" s="25">
        <f>IFERROR(__xludf.DUMMYFUNCTION("""COMPUTED_VALUE"""),1410.0)</f>
        <v>1410</v>
      </c>
      <c r="J3258" s="25">
        <f>IFERROR(__xludf.DUMMYFUNCTION("""COMPUTED_VALUE"""),1436.6)</f>
        <v>1436.6</v>
      </c>
      <c r="K3258" s="25">
        <f>IFERROR(__xludf.DUMMYFUNCTION("""COMPUTED_VALUE"""),1409.5)</f>
        <v>1409.5</v>
      </c>
      <c r="L3258" s="25">
        <f>IFERROR(__xludf.DUMMYFUNCTION("""COMPUTED_VALUE"""),1432.43)</f>
        <v>1432.43</v>
      </c>
      <c r="M3258" s="25">
        <f>IFERROR(__xludf.DUMMYFUNCTION("""COMPUTED_VALUE"""),2012492.0)</f>
        <v>2012492</v>
      </c>
    </row>
    <row r="3259">
      <c r="A3259" s="26">
        <f>IFERROR(__xludf.DUMMYFUNCTION("""COMPUTED_VALUE"""),43180.64583333333)</f>
        <v>43180.64583</v>
      </c>
      <c r="B3259" s="9">
        <f>IFERROR(__xludf.DUMMYFUNCTION("""COMPUTED_VALUE"""),585.0)</f>
        <v>585</v>
      </c>
      <c r="C3259" s="9">
        <f>IFERROR(__xludf.DUMMYFUNCTION("""COMPUTED_VALUE"""),587.75)</f>
        <v>587.75</v>
      </c>
      <c r="D3259" s="9">
        <f>IFERROR(__xludf.DUMMYFUNCTION("""COMPUTED_VALUE"""),581.1)</f>
        <v>581.1</v>
      </c>
      <c r="E3259" s="9">
        <f>IFERROR(__xludf.DUMMYFUNCTION("""COMPUTED_VALUE"""),583.75)</f>
        <v>583.75</v>
      </c>
      <c r="F3259" s="9">
        <f>IFERROR(__xludf.DUMMYFUNCTION("""COMPUTED_VALUE"""),3846497.0)</f>
        <v>3846497</v>
      </c>
      <c r="H3259" s="27">
        <f>IFERROR(__xludf.DUMMYFUNCTION("""COMPUTED_VALUE"""),43180.64583333333)</f>
        <v>43180.64583</v>
      </c>
      <c r="I3259" s="25">
        <f>IFERROR(__xludf.DUMMYFUNCTION("""COMPUTED_VALUE"""),1436.25)</f>
        <v>1436.25</v>
      </c>
      <c r="J3259" s="25">
        <f>IFERROR(__xludf.DUMMYFUNCTION("""COMPUTED_VALUE"""),1442.15)</f>
        <v>1442.15</v>
      </c>
      <c r="K3259" s="25">
        <f>IFERROR(__xludf.DUMMYFUNCTION("""COMPUTED_VALUE"""),1425.0)</f>
        <v>1425</v>
      </c>
      <c r="L3259" s="25">
        <f>IFERROR(__xludf.DUMMYFUNCTION("""COMPUTED_VALUE"""),1428.38)</f>
        <v>1428.38</v>
      </c>
      <c r="M3259" s="25">
        <f>IFERROR(__xludf.DUMMYFUNCTION("""COMPUTED_VALUE"""),1953839.0)</f>
        <v>1953839</v>
      </c>
    </row>
    <row r="3260">
      <c r="A3260" s="26">
        <f>IFERROR(__xludf.DUMMYFUNCTION("""COMPUTED_VALUE"""),43181.64583333333)</f>
        <v>43181.64583</v>
      </c>
      <c r="B3260" s="9">
        <f>IFERROR(__xludf.DUMMYFUNCTION("""COMPUTED_VALUE"""),582.25)</f>
        <v>582.25</v>
      </c>
      <c r="C3260" s="9">
        <f>IFERROR(__xludf.DUMMYFUNCTION("""COMPUTED_VALUE"""),588.73)</f>
        <v>588.73</v>
      </c>
      <c r="D3260" s="9">
        <f>IFERROR(__xludf.DUMMYFUNCTION("""COMPUTED_VALUE"""),577.65)</f>
        <v>577.65</v>
      </c>
      <c r="E3260" s="9">
        <f>IFERROR(__xludf.DUMMYFUNCTION("""COMPUTED_VALUE"""),580.65)</f>
        <v>580.65</v>
      </c>
      <c r="F3260" s="9">
        <f>IFERROR(__xludf.DUMMYFUNCTION("""COMPUTED_VALUE"""),3406584.0)</f>
        <v>3406584</v>
      </c>
      <c r="H3260" s="27">
        <f>IFERROR(__xludf.DUMMYFUNCTION("""COMPUTED_VALUE"""),43181.64583333333)</f>
        <v>43181.64583</v>
      </c>
      <c r="I3260" s="25">
        <f>IFERROR(__xludf.DUMMYFUNCTION("""COMPUTED_VALUE"""),1429.98)</f>
        <v>1429.98</v>
      </c>
      <c r="J3260" s="25">
        <f>IFERROR(__xludf.DUMMYFUNCTION("""COMPUTED_VALUE"""),1437.98)</f>
        <v>1437.98</v>
      </c>
      <c r="K3260" s="25">
        <f>IFERROR(__xludf.DUMMYFUNCTION("""COMPUTED_VALUE"""),1411.28)</f>
        <v>1411.28</v>
      </c>
      <c r="L3260" s="25">
        <f>IFERROR(__xludf.DUMMYFUNCTION("""COMPUTED_VALUE"""),1415.68)</f>
        <v>1415.68</v>
      </c>
      <c r="M3260" s="25">
        <f>IFERROR(__xludf.DUMMYFUNCTION("""COMPUTED_VALUE"""),1163047.0)</f>
        <v>1163047</v>
      </c>
    </row>
    <row r="3261">
      <c r="A3261" s="26">
        <f>IFERROR(__xludf.DUMMYFUNCTION("""COMPUTED_VALUE"""),43182.64583333333)</f>
        <v>43182.64583</v>
      </c>
      <c r="B3261" s="9">
        <f>IFERROR(__xludf.DUMMYFUNCTION("""COMPUTED_VALUE"""),573.5)</f>
        <v>573.5</v>
      </c>
      <c r="C3261" s="9">
        <f>IFERROR(__xludf.DUMMYFUNCTION("""COMPUTED_VALUE"""),586.9)</f>
        <v>586.9</v>
      </c>
      <c r="D3261" s="9">
        <f>IFERROR(__xludf.DUMMYFUNCTION("""COMPUTED_VALUE"""),571.17)</f>
        <v>571.17</v>
      </c>
      <c r="E3261" s="9">
        <f>IFERROR(__xludf.DUMMYFUNCTION("""COMPUTED_VALUE"""),583.8)</f>
        <v>583.8</v>
      </c>
      <c r="F3261" s="9">
        <f>IFERROR(__xludf.DUMMYFUNCTION("""COMPUTED_VALUE"""),6004042.0)</f>
        <v>6004042</v>
      </c>
      <c r="H3261" s="27">
        <f>IFERROR(__xludf.DUMMYFUNCTION("""COMPUTED_VALUE"""),43182.64583333333)</f>
        <v>43182.64583</v>
      </c>
      <c r="I3261" s="25">
        <f>IFERROR(__xludf.DUMMYFUNCTION("""COMPUTED_VALUE"""),1401.0)</f>
        <v>1401</v>
      </c>
      <c r="J3261" s="25">
        <f>IFERROR(__xludf.DUMMYFUNCTION("""COMPUTED_VALUE"""),1417.05)</f>
        <v>1417.05</v>
      </c>
      <c r="K3261" s="25">
        <f>IFERROR(__xludf.DUMMYFUNCTION("""COMPUTED_VALUE"""),1399.03)</f>
        <v>1399.03</v>
      </c>
      <c r="L3261" s="25">
        <f>IFERROR(__xludf.DUMMYFUNCTION("""COMPUTED_VALUE"""),1409.08)</f>
        <v>1409.08</v>
      </c>
      <c r="M3261" s="25">
        <f>IFERROR(__xludf.DUMMYFUNCTION("""COMPUTED_VALUE"""),1827061.0)</f>
        <v>1827061</v>
      </c>
    </row>
    <row r="3262">
      <c r="A3262" s="26">
        <f>IFERROR(__xludf.DUMMYFUNCTION("""COMPUTED_VALUE"""),43185.64583333333)</f>
        <v>43185.64583</v>
      </c>
      <c r="B3262" s="9">
        <f>IFERROR(__xludf.DUMMYFUNCTION("""COMPUTED_VALUE"""),583.45)</f>
        <v>583.45</v>
      </c>
      <c r="C3262" s="9">
        <f>IFERROR(__xludf.DUMMYFUNCTION("""COMPUTED_VALUE"""),583.45)</f>
        <v>583.45</v>
      </c>
      <c r="D3262" s="9">
        <f>IFERROR(__xludf.DUMMYFUNCTION("""COMPUTED_VALUE"""),572.0)</f>
        <v>572</v>
      </c>
      <c r="E3262" s="9">
        <f>IFERROR(__xludf.DUMMYFUNCTION("""COMPUTED_VALUE"""),577.63)</f>
        <v>577.63</v>
      </c>
      <c r="F3262" s="9">
        <f>IFERROR(__xludf.DUMMYFUNCTION("""COMPUTED_VALUE"""),4465361.0)</f>
        <v>4465361</v>
      </c>
      <c r="H3262" s="27">
        <f>IFERROR(__xludf.DUMMYFUNCTION("""COMPUTED_VALUE"""),43185.64583333333)</f>
        <v>43185.64583</v>
      </c>
      <c r="I3262" s="25">
        <f>IFERROR(__xludf.DUMMYFUNCTION("""COMPUTED_VALUE"""),1409.5)</f>
        <v>1409.5</v>
      </c>
      <c r="J3262" s="25">
        <f>IFERROR(__xludf.DUMMYFUNCTION("""COMPUTED_VALUE"""),1413.7)</f>
        <v>1413.7</v>
      </c>
      <c r="K3262" s="25">
        <f>IFERROR(__xludf.DUMMYFUNCTION("""COMPUTED_VALUE"""),1390.78)</f>
        <v>1390.78</v>
      </c>
      <c r="L3262" s="25">
        <f>IFERROR(__xludf.DUMMYFUNCTION("""COMPUTED_VALUE"""),1408.5)</f>
        <v>1408.5</v>
      </c>
      <c r="M3262" s="25">
        <f>IFERROR(__xludf.DUMMYFUNCTION("""COMPUTED_VALUE"""),1482105.0)</f>
        <v>1482105</v>
      </c>
    </row>
    <row r="3263">
      <c r="A3263" s="26">
        <f>IFERROR(__xludf.DUMMYFUNCTION("""COMPUTED_VALUE"""),43186.64583333333)</f>
        <v>43186.64583</v>
      </c>
      <c r="B3263" s="9">
        <f>IFERROR(__xludf.DUMMYFUNCTION("""COMPUTED_VALUE"""),580.0)</f>
        <v>580</v>
      </c>
      <c r="C3263" s="9">
        <f>IFERROR(__xludf.DUMMYFUNCTION("""COMPUTED_VALUE"""),580.65)</f>
        <v>580.65</v>
      </c>
      <c r="D3263" s="9">
        <f>IFERROR(__xludf.DUMMYFUNCTION("""COMPUTED_VALUE"""),575.05)</f>
        <v>575.05</v>
      </c>
      <c r="E3263" s="9">
        <f>IFERROR(__xludf.DUMMYFUNCTION("""COMPUTED_VALUE"""),577.0)</f>
        <v>577</v>
      </c>
      <c r="F3263" s="9">
        <f>IFERROR(__xludf.DUMMYFUNCTION("""COMPUTED_VALUE"""),1901044.0)</f>
        <v>1901044</v>
      </c>
      <c r="H3263" s="27">
        <f>IFERROR(__xludf.DUMMYFUNCTION("""COMPUTED_VALUE"""),43186.64583333333)</f>
        <v>43186.64583</v>
      </c>
      <c r="I3263" s="25">
        <f>IFERROR(__xludf.DUMMYFUNCTION("""COMPUTED_VALUE"""),1412.5)</f>
        <v>1412.5</v>
      </c>
      <c r="J3263" s="25">
        <f>IFERROR(__xludf.DUMMYFUNCTION("""COMPUTED_VALUE"""),1431.5)</f>
        <v>1431.5</v>
      </c>
      <c r="K3263" s="25">
        <f>IFERROR(__xludf.DUMMYFUNCTION("""COMPUTED_VALUE"""),1411.53)</f>
        <v>1411.53</v>
      </c>
      <c r="L3263" s="25">
        <f>IFERROR(__xludf.DUMMYFUNCTION("""COMPUTED_VALUE"""),1423.85)</f>
        <v>1423.85</v>
      </c>
      <c r="M3263" s="25">
        <f>IFERROR(__xludf.DUMMYFUNCTION("""COMPUTED_VALUE"""),1247287.0)</f>
        <v>1247287</v>
      </c>
    </row>
    <row r="3264">
      <c r="A3264" s="26">
        <f>IFERROR(__xludf.DUMMYFUNCTION("""COMPUTED_VALUE"""),43187.64583333333)</f>
        <v>43187.64583</v>
      </c>
      <c r="B3264" s="9">
        <f>IFERROR(__xludf.DUMMYFUNCTION("""COMPUTED_VALUE"""),575.38)</f>
        <v>575.38</v>
      </c>
      <c r="C3264" s="9">
        <f>IFERROR(__xludf.DUMMYFUNCTION("""COMPUTED_VALUE"""),575.38)</f>
        <v>575.38</v>
      </c>
      <c r="D3264" s="9">
        <f>IFERROR(__xludf.DUMMYFUNCTION("""COMPUTED_VALUE"""),563.13)</f>
        <v>563.13</v>
      </c>
      <c r="E3264" s="9">
        <f>IFERROR(__xludf.DUMMYFUNCTION("""COMPUTED_VALUE"""),565.9)</f>
        <v>565.9</v>
      </c>
      <c r="F3264" s="9">
        <f>IFERROR(__xludf.DUMMYFUNCTION("""COMPUTED_VALUE"""),6279161.0)</f>
        <v>6279161</v>
      </c>
      <c r="H3264" s="27">
        <f>IFERROR(__xludf.DUMMYFUNCTION("""COMPUTED_VALUE"""),43187.64583333333)</f>
        <v>43187.64583</v>
      </c>
      <c r="I3264" s="25">
        <f>IFERROR(__xludf.DUMMYFUNCTION("""COMPUTED_VALUE"""),1417.95)</f>
        <v>1417.95</v>
      </c>
      <c r="J3264" s="25">
        <f>IFERROR(__xludf.DUMMYFUNCTION("""COMPUTED_VALUE"""),1437.5)</f>
        <v>1437.5</v>
      </c>
      <c r="K3264" s="25">
        <f>IFERROR(__xludf.DUMMYFUNCTION("""COMPUTED_VALUE"""),1412.5)</f>
        <v>1412.5</v>
      </c>
      <c r="L3264" s="25">
        <f>IFERROR(__xludf.DUMMYFUNCTION("""COMPUTED_VALUE"""),1424.58)</f>
        <v>1424.58</v>
      </c>
      <c r="M3264" s="25">
        <f>IFERROR(__xludf.DUMMYFUNCTION("""COMPUTED_VALUE"""),3432827.0)</f>
        <v>3432827</v>
      </c>
    </row>
    <row r="3265">
      <c r="A3265" s="26">
        <f>IFERROR(__xludf.DUMMYFUNCTION("""COMPUTED_VALUE"""),43192.64583333333)</f>
        <v>43192.64583</v>
      </c>
      <c r="B3265" s="9">
        <f>IFERROR(__xludf.DUMMYFUNCTION("""COMPUTED_VALUE"""),570.5)</f>
        <v>570.5</v>
      </c>
      <c r="C3265" s="9">
        <f>IFERROR(__xludf.DUMMYFUNCTION("""COMPUTED_VALUE"""),574.78)</f>
        <v>574.78</v>
      </c>
      <c r="D3265" s="9">
        <f>IFERROR(__xludf.DUMMYFUNCTION("""COMPUTED_VALUE"""),560.65)</f>
        <v>560.65</v>
      </c>
      <c r="E3265" s="9">
        <f>IFERROR(__xludf.DUMMYFUNCTION("""COMPUTED_VALUE"""),568.58)</f>
        <v>568.58</v>
      </c>
      <c r="F3265" s="9">
        <f>IFERROR(__xludf.DUMMYFUNCTION("""COMPUTED_VALUE"""),4036351.0)</f>
        <v>4036351</v>
      </c>
      <c r="H3265" s="27">
        <f>IFERROR(__xludf.DUMMYFUNCTION("""COMPUTED_VALUE"""),43192.64583333333)</f>
        <v>43192.64583</v>
      </c>
      <c r="I3265" s="25">
        <f>IFERROR(__xludf.DUMMYFUNCTION("""COMPUTED_VALUE"""),1420.0)</f>
        <v>1420</v>
      </c>
      <c r="J3265" s="25">
        <f>IFERROR(__xludf.DUMMYFUNCTION("""COMPUTED_VALUE"""),1457.0)</f>
        <v>1457</v>
      </c>
      <c r="K3265" s="25">
        <f>IFERROR(__xludf.DUMMYFUNCTION("""COMPUTED_VALUE"""),1420.0)</f>
        <v>1420</v>
      </c>
      <c r="L3265" s="25">
        <f>IFERROR(__xludf.DUMMYFUNCTION("""COMPUTED_VALUE"""),1454.83)</f>
        <v>1454.83</v>
      </c>
      <c r="M3265" s="25">
        <f>IFERROR(__xludf.DUMMYFUNCTION("""COMPUTED_VALUE"""),831494.0)</f>
        <v>831494</v>
      </c>
    </row>
    <row r="3266">
      <c r="A3266" s="26">
        <f>IFERROR(__xludf.DUMMYFUNCTION("""COMPUTED_VALUE"""),43193.64583333333)</f>
        <v>43193.64583</v>
      </c>
      <c r="B3266" s="9">
        <f>IFERROR(__xludf.DUMMYFUNCTION("""COMPUTED_VALUE"""),567.35)</f>
        <v>567.35</v>
      </c>
      <c r="C3266" s="9">
        <f>IFERROR(__xludf.DUMMYFUNCTION("""COMPUTED_VALUE"""),571.78)</f>
        <v>571.78</v>
      </c>
      <c r="D3266" s="9">
        <f>IFERROR(__xludf.DUMMYFUNCTION("""COMPUTED_VALUE"""),564.05)</f>
        <v>564.05</v>
      </c>
      <c r="E3266" s="9">
        <f>IFERROR(__xludf.DUMMYFUNCTION("""COMPUTED_VALUE"""),570.23)</f>
        <v>570.23</v>
      </c>
      <c r="F3266" s="9">
        <f>IFERROR(__xludf.DUMMYFUNCTION("""COMPUTED_VALUE"""),2038584.0)</f>
        <v>2038584</v>
      </c>
      <c r="H3266" s="27">
        <f>IFERROR(__xludf.DUMMYFUNCTION("""COMPUTED_VALUE"""),43193.64583333333)</f>
        <v>43193.64583</v>
      </c>
      <c r="I3266" s="25">
        <f>IFERROR(__xludf.DUMMYFUNCTION("""COMPUTED_VALUE"""),1446.05)</f>
        <v>1446.05</v>
      </c>
      <c r="J3266" s="25">
        <f>IFERROR(__xludf.DUMMYFUNCTION("""COMPUTED_VALUE"""),1464.95)</f>
        <v>1464.95</v>
      </c>
      <c r="K3266" s="25">
        <f>IFERROR(__xludf.DUMMYFUNCTION("""COMPUTED_VALUE"""),1446.05)</f>
        <v>1446.05</v>
      </c>
      <c r="L3266" s="25">
        <f>IFERROR(__xludf.DUMMYFUNCTION("""COMPUTED_VALUE"""),1455.63)</f>
        <v>1455.63</v>
      </c>
      <c r="M3266" s="25">
        <f>IFERROR(__xludf.DUMMYFUNCTION("""COMPUTED_VALUE"""),968645.0)</f>
        <v>968645</v>
      </c>
    </row>
    <row r="3267">
      <c r="A3267" s="26">
        <f>IFERROR(__xludf.DUMMYFUNCTION("""COMPUTED_VALUE"""),43194.64583333333)</f>
        <v>43194.64583</v>
      </c>
      <c r="B3267" s="9">
        <f>IFERROR(__xludf.DUMMYFUNCTION("""COMPUTED_VALUE"""),572.0)</f>
        <v>572</v>
      </c>
      <c r="C3267" s="9">
        <f>IFERROR(__xludf.DUMMYFUNCTION("""COMPUTED_VALUE"""),572.28)</f>
        <v>572.28</v>
      </c>
      <c r="D3267" s="9">
        <f>IFERROR(__xludf.DUMMYFUNCTION("""COMPUTED_VALUE"""),560.0)</f>
        <v>560</v>
      </c>
      <c r="E3267" s="9">
        <f>IFERROR(__xludf.DUMMYFUNCTION("""COMPUTED_VALUE"""),562.1)</f>
        <v>562.1</v>
      </c>
      <c r="F3267" s="9">
        <f>IFERROR(__xludf.DUMMYFUNCTION("""COMPUTED_VALUE"""),2406651.0)</f>
        <v>2406651</v>
      </c>
      <c r="H3267" s="27">
        <f>IFERROR(__xludf.DUMMYFUNCTION("""COMPUTED_VALUE"""),43194.64583333333)</f>
        <v>43194.64583</v>
      </c>
      <c r="I3267" s="25">
        <f>IFERROR(__xludf.DUMMYFUNCTION("""COMPUTED_VALUE"""),1464.73)</f>
        <v>1464.73</v>
      </c>
      <c r="J3267" s="25">
        <f>IFERROR(__xludf.DUMMYFUNCTION("""COMPUTED_VALUE"""),1467.0)</f>
        <v>1467</v>
      </c>
      <c r="K3267" s="25">
        <f>IFERROR(__xludf.DUMMYFUNCTION("""COMPUTED_VALUE"""),1446.0)</f>
        <v>1446</v>
      </c>
      <c r="L3267" s="25">
        <f>IFERROR(__xludf.DUMMYFUNCTION("""COMPUTED_VALUE"""),1455.45)</f>
        <v>1455.45</v>
      </c>
      <c r="M3267" s="25">
        <f>IFERROR(__xludf.DUMMYFUNCTION("""COMPUTED_VALUE"""),1420910.0)</f>
        <v>1420910</v>
      </c>
    </row>
    <row r="3268">
      <c r="A3268" s="26">
        <f>IFERROR(__xludf.DUMMYFUNCTION("""COMPUTED_VALUE"""),43195.64583333333)</f>
        <v>43195.64583</v>
      </c>
      <c r="B3268" s="9">
        <f>IFERROR(__xludf.DUMMYFUNCTION("""COMPUTED_VALUE"""),569.78)</f>
        <v>569.78</v>
      </c>
      <c r="C3268" s="9">
        <f>IFERROR(__xludf.DUMMYFUNCTION("""COMPUTED_VALUE"""),575.65)</f>
        <v>575.65</v>
      </c>
      <c r="D3268" s="9">
        <f>IFERROR(__xludf.DUMMYFUNCTION("""COMPUTED_VALUE"""),564.55)</f>
        <v>564.55</v>
      </c>
      <c r="E3268" s="9">
        <f>IFERROR(__xludf.DUMMYFUNCTION("""COMPUTED_VALUE"""),573.78)</f>
        <v>573.78</v>
      </c>
      <c r="F3268" s="9">
        <f>IFERROR(__xludf.DUMMYFUNCTION("""COMPUTED_VALUE"""),3881772.0)</f>
        <v>3881772</v>
      </c>
      <c r="H3268" s="27">
        <f>IFERROR(__xludf.DUMMYFUNCTION("""COMPUTED_VALUE"""),43195.64583333333)</f>
        <v>43195.64583</v>
      </c>
      <c r="I3268" s="25">
        <f>IFERROR(__xludf.DUMMYFUNCTION("""COMPUTED_VALUE"""),1463.28)</f>
        <v>1463.28</v>
      </c>
      <c r="J3268" s="25">
        <f>IFERROR(__xludf.DUMMYFUNCTION("""COMPUTED_VALUE"""),1481.88)</f>
        <v>1481.88</v>
      </c>
      <c r="K3268" s="25">
        <f>IFERROR(__xludf.DUMMYFUNCTION("""COMPUTED_VALUE"""),1460.18)</f>
        <v>1460.18</v>
      </c>
      <c r="L3268" s="25">
        <f>IFERROR(__xludf.DUMMYFUNCTION("""COMPUTED_VALUE"""),1478.98)</f>
        <v>1478.98</v>
      </c>
      <c r="M3268" s="25">
        <f>IFERROR(__xludf.DUMMYFUNCTION("""COMPUTED_VALUE"""),904712.0)</f>
        <v>904712</v>
      </c>
    </row>
    <row r="3269">
      <c r="A3269" s="26">
        <f>IFERROR(__xludf.DUMMYFUNCTION("""COMPUTED_VALUE"""),43196.64583333333)</f>
        <v>43196.64583</v>
      </c>
      <c r="B3269" s="9">
        <f>IFERROR(__xludf.DUMMYFUNCTION("""COMPUTED_VALUE"""),571.5)</f>
        <v>571.5</v>
      </c>
      <c r="C3269" s="9">
        <f>IFERROR(__xludf.DUMMYFUNCTION("""COMPUTED_VALUE"""),573.0)</f>
        <v>573</v>
      </c>
      <c r="D3269" s="9">
        <f>IFERROR(__xludf.DUMMYFUNCTION("""COMPUTED_VALUE"""),561.05)</f>
        <v>561.05</v>
      </c>
      <c r="E3269" s="9">
        <f>IFERROR(__xludf.DUMMYFUNCTION("""COMPUTED_VALUE"""),563.5)</f>
        <v>563.5</v>
      </c>
      <c r="F3269" s="9">
        <f>IFERROR(__xludf.DUMMYFUNCTION("""COMPUTED_VALUE"""),2968871.0)</f>
        <v>2968871</v>
      </c>
      <c r="H3269" s="27">
        <f>IFERROR(__xludf.DUMMYFUNCTION("""COMPUTED_VALUE"""),43196.64583333333)</f>
        <v>43196.64583</v>
      </c>
      <c r="I3269" s="25">
        <f>IFERROR(__xludf.DUMMYFUNCTION("""COMPUTED_VALUE"""),1477.0)</f>
        <v>1477</v>
      </c>
      <c r="J3269" s="25">
        <f>IFERROR(__xludf.DUMMYFUNCTION("""COMPUTED_VALUE"""),1480.0)</f>
        <v>1480</v>
      </c>
      <c r="K3269" s="25">
        <f>IFERROR(__xludf.DUMMYFUNCTION("""COMPUTED_VALUE"""),1463.28)</f>
        <v>1463.28</v>
      </c>
      <c r="L3269" s="25">
        <f>IFERROR(__xludf.DUMMYFUNCTION("""COMPUTED_VALUE"""),1475.15)</f>
        <v>1475.15</v>
      </c>
      <c r="M3269" s="25">
        <f>IFERROR(__xludf.DUMMYFUNCTION("""COMPUTED_VALUE"""),564509.0)</f>
        <v>564509</v>
      </c>
    </row>
    <row r="3270">
      <c r="A3270" s="26">
        <f>IFERROR(__xludf.DUMMYFUNCTION("""COMPUTED_VALUE"""),43199.64583333333)</f>
        <v>43199.64583</v>
      </c>
      <c r="B3270" s="9">
        <f>IFERROR(__xludf.DUMMYFUNCTION("""COMPUTED_VALUE"""),562.5)</f>
        <v>562.5</v>
      </c>
      <c r="C3270" s="9">
        <f>IFERROR(__xludf.DUMMYFUNCTION("""COMPUTED_VALUE"""),562.9)</f>
        <v>562.9</v>
      </c>
      <c r="D3270" s="9">
        <f>IFERROR(__xludf.DUMMYFUNCTION("""COMPUTED_VALUE"""),553.28)</f>
        <v>553.28</v>
      </c>
      <c r="E3270" s="9">
        <f>IFERROR(__xludf.DUMMYFUNCTION("""COMPUTED_VALUE"""),555.63)</f>
        <v>555.63</v>
      </c>
      <c r="F3270" s="9">
        <f>IFERROR(__xludf.DUMMYFUNCTION("""COMPUTED_VALUE"""),3601441.0)</f>
        <v>3601441</v>
      </c>
      <c r="H3270" s="27">
        <f>IFERROR(__xludf.DUMMYFUNCTION("""COMPUTED_VALUE"""),43199.64583333333)</f>
        <v>43199.64583</v>
      </c>
      <c r="I3270" s="25">
        <f>IFERROR(__xludf.DUMMYFUNCTION("""COMPUTED_VALUE"""),1469.85)</f>
        <v>1469.85</v>
      </c>
      <c r="J3270" s="25">
        <f>IFERROR(__xludf.DUMMYFUNCTION("""COMPUTED_VALUE"""),1481.75)</f>
        <v>1481.75</v>
      </c>
      <c r="K3270" s="25">
        <f>IFERROR(__xludf.DUMMYFUNCTION("""COMPUTED_VALUE"""),1457.5)</f>
        <v>1457.5</v>
      </c>
      <c r="L3270" s="25">
        <f>IFERROR(__xludf.DUMMYFUNCTION("""COMPUTED_VALUE"""),1461.95)</f>
        <v>1461.95</v>
      </c>
      <c r="M3270" s="25">
        <f>IFERROR(__xludf.DUMMYFUNCTION("""COMPUTED_VALUE"""),617933.0)</f>
        <v>617933</v>
      </c>
    </row>
    <row r="3271">
      <c r="A3271" s="26">
        <f>IFERROR(__xludf.DUMMYFUNCTION("""COMPUTED_VALUE"""),43200.64583333333)</f>
        <v>43200.64583</v>
      </c>
      <c r="B3271" s="9">
        <f>IFERROR(__xludf.DUMMYFUNCTION("""COMPUTED_VALUE"""),556.0)</f>
        <v>556</v>
      </c>
      <c r="C3271" s="9">
        <f>IFERROR(__xludf.DUMMYFUNCTION("""COMPUTED_VALUE"""),562.25)</f>
        <v>562.25</v>
      </c>
      <c r="D3271" s="9">
        <f>IFERROR(__xludf.DUMMYFUNCTION("""COMPUTED_VALUE"""),552.7)</f>
        <v>552.7</v>
      </c>
      <c r="E3271" s="9">
        <f>IFERROR(__xludf.DUMMYFUNCTION("""COMPUTED_VALUE"""),556.7)</f>
        <v>556.7</v>
      </c>
      <c r="F3271" s="9">
        <f>IFERROR(__xludf.DUMMYFUNCTION("""COMPUTED_VALUE"""),4463029.0)</f>
        <v>4463029</v>
      </c>
      <c r="H3271" s="27">
        <f>IFERROR(__xludf.DUMMYFUNCTION("""COMPUTED_VALUE"""),43200.64583333333)</f>
        <v>43200.64583</v>
      </c>
      <c r="I3271" s="25">
        <f>IFERROR(__xludf.DUMMYFUNCTION("""COMPUTED_VALUE"""),1462.85)</f>
        <v>1462.85</v>
      </c>
      <c r="J3271" s="25">
        <f>IFERROR(__xludf.DUMMYFUNCTION("""COMPUTED_VALUE"""),1478.63)</f>
        <v>1478.63</v>
      </c>
      <c r="K3271" s="25">
        <f>IFERROR(__xludf.DUMMYFUNCTION("""COMPUTED_VALUE"""),1462.85)</f>
        <v>1462.85</v>
      </c>
      <c r="L3271" s="25">
        <f>IFERROR(__xludf.DUMMYFUNCTION("""COMPUTED_VALUE"""),1468.8)</f>
        <v>1468.8</v>
      </c>
      <c r="M3271" s="25">
        <f>IFERROR(__xludf.DUMMYFUNCTION("""COMPUTED_VALUE"""),592266.0)</f>
        <v>592266</v>
      </c>
    </row>
    <row r="3272">
      <c r="A3272" s="26">
        <f>IFERROR(__xludf.DUMMYFUNCTION("""COMPUTED_VALUE"""),43201.64583333333)</f>
        <v>43201.64583</v>
      </c>
      <c r="B3272" s="9">
        <f>IFERROR(__xludf.DUMMYFUNCTION("""COMPUTED_VALUE"""),559.0)</f>
        <v>559</v>
      </c>
      <c r="C3272" s="9">
        <f>IFERROR(__xludf.DUMMYFUNCTION("""COMPUTED_VALUE"""),565.75)</f>
        <v>565.75</v>
      </c>
      <c r="D3272" s="9">
        <f>IFERROR(__xludf.DUMMYFUNCTION("""COMPUTED_VALUE"""),558.25)</f>
        <v>558.25</v>
      </c>
      <c r="E3272" s="9">
        <f>IFERROR(__xludf.DUMMYFUNCTION("""COMPUTED_VALUE"""),562.13)</f>
        <v>562.13</v>
      </c>
      <c r="F3272" s="9">
        <f>IFERROR(__xludf.DUMMYFUNCTION("""COMPUTED_VALUE"""),4512787.0)</f>
        <v>4512787</v>
      </c>
      <c r="H3272" s="27">
        <f>IFERROR(__xludf.DUMMYFUNCTION("""COMPUTED_VALUE"""),43201.64583333333)</f>
        <v>43201.64583</v>
      </c>
      <c r="I3272" s="25">
        <f>IFERROR(__xludf.DUMMYFUNCTION("""COMPUTED_VALUE"""),1475.3)</f>
        <v>1475.3</v>
      </c>
      <c r="J3272" s="25">
        <f>IFERROR(__xludf.DUMMYFUNCTION("""COMPUTED_VALUE"""),1512.5)</f>
        <v>1512.5</v>
      </c>
      <c r="K3272" s="25">
        <f>IFERROR(__xludf.DUMMYFUNCTION("""COMPUTED_VALUE"""),1472.8)</f>
        <v>1472.8</v>
      </c>
      <c r="L3272" s="25">
        <f>IFERROR(__xludf.DUMMYFUNCTION("""COMPUTED_VALUE"""),1507.08)</f>
        <v>1507.08</v>
      </c>
      <c r="M3272" s="25">
        <f>IFERROR(__xludf.DUMMYFUNCTION("""COMPUTED_VALUE"""),1562208.0)</f>
        <v>1562208</v>
      </c>
    </row>
    <row r="3273">
      <c r="A3273" s="26">
        <f>IFERROR(__xludf.DUMMYFUNCTION("""COMPUTED_VALUE"""),43202.64583333333)</f>
        <v>43202.64583</v>
      </c>
      <c r="B3273" s="9">
        <f>IFERROR(__xludf.DUMMYFUNCTION("""COMPUTED_VALUE"""),564.73)</f>
        <v>564.73</v>
      </c>
      <c r="C3273" s="9">
        <f>IFERROR(__xludf.DUMMYFUNCTION("""COMPUTED_VALUE"""),586.38)</f>
        <v>586.38</v>
      </c>
      <c r="D3273" s="9">
        <f>IFERROR(__xludf.DUMMYFUNCTION("""COMPUTED_VALUE"""),562.5)</f>
        <v>562.5</v>
      </c>
      <c r="E3273" s="9">
        <f>IFERROR(__xludf.DUMMYFUNCTION("""COMPUTED_VALUE"""),581.3)</f>
        <v>581.3</v>
      </c>
      <c r="F3273" s="9">
        <f>IFERROR(__xludf.DUMMYFUNCTION("""COMPUTED_VALUE"""),8522183.0)</f>
        <v>8522183</v>
      </c>
      <c r="H3273" s="27">
        <f>IFERROR(__xludf.DUMMYFUNCTION("""COMPUTED_VALUE"""),43202.64583333333)</f>
        <v>43202.64583</v>
      </c>
      <c r="I3273" s="25">
        <f>IFERROR(__xludf.DUMMYFUNCTION("""COMPUTED_VALUE"""),1505.0)</f>
        <v>1505</v>
      </c>
      <c r="J3273" s="25">
        <f>IFERROR(__xludf.DUMMYFUNCTION("""COMPUTED_VALUE"""),1575.0)</f>
        <v>1575</v>
      </c>
      <c r="K3273" s="25">
        <f>IFERROR(__xludf.DUMMYFUNCTION("""COMPUTED_VALUE"""),1503.98)</f>
        <v>1503.98</v>
      </c>
      <c r="L3273" s="25">
        <f>IFERROR(__xludf.DUMMYFUNCTION("""COMPUTED_VALUE"""),1569.63)</f>
        <v>1569.63</v>
      </c>
      <c r="M3273" s="25">
        <f>IFERROR(__xludf.DUMMYFUNCTION("""COMPUTED_VALUE"""),3057180.0)</f>
        <v>3057180</v>
      </c>
    </row>
    <row r="3274">
      <c r="A3274" s="26">
        <f>IFERROR(__xludf.DUMMYFUNCTION("""COMPUTED_VALUE"""),43203.64583333333)</f>
        <v>43203.64583</v>
      </c>
      <c r="B3274" s="9">
        <f>IFERROR(__xludf.DUMMYFUNCTION("""COMPUTED_VALUE"""),587.0)</f>
        <v>587</v>
      </c>
      <c r="C3274" s="9">
        <f>IFERROR(__xludf.DUMMYFUNCTION("""COMPUTED_VALUE"""),592.95)</f>
        <v>592.95</v>
      </c>
      <c r="D3274" s="9">
        <f>IFERROR(__xludf.DUMMYFUNCTION("""COMPUTED_VALUE"""),575.13)</f>
        <v>575.13</v>
      </c>
      <c r="E3274" s="9">
        <f>IFERROR(__xludf.DUMMYFUNCTION("""COMPUTED_VALUE"""),585.73)</f>
        <v>585.73</v>
      </c>
      <c r="F3274" s="9">
        <f>IFERROR(__xludf.DUMMYFUNCTION("""COMPUTED_VALUE"""),1.0613519E7)</f>
        <v>10613519</v>
      </c>
      <c r="H3274" s="27">
        <f>IFERROR(__xludf.DUMMYFUNCTION("""COMPUTED_VALUE"""),43203.64583333333)</f>
        <v>43203.64583</v>
      </c>
      <c r="I3274" s="25">
        <f>IFERROR(__xludf.DUMMYFUNCTION("""COMPUTED_VALUE"""),1575.0)</f>
        <v>1575</v>
      </c>
      <c r="J3274" s="25">
        <f>IFERROR(__xludf.DUMMYFUNCTION("""COMPUTED_VALUE"""),1620.4)</f>
        <v>1620.4</v>
      </c>
      <c r="K3274" s="25">
        <f>IFERROR(__xludf.DUMMYFUNCTION("""COMPUTED_VALUE"""),1566.05)</f>
        <v>1566.05</v>
      </c>
      <c r="L3274" s="25">
        <f>IFERROR(__xludf.DUMMYFUNCTION("""COMPUTED_VALUE"""),1576.65)</f>
        <v>1576.65</v>
      </c>
      <c r="M3274" s="25">
        <f>IFERROR(__xludf.DUMMYFUNCTION("""COMPUTED_VALUE"""),4089559.0)</f>
        <v>4089559</v>
      </c>
    </row>
    <row r="3275">
      <c r="A3275" s="26">
        <f>IFERROR(__xludf.DUMMYFUNCTION("""COMPUTED_VALUE"""),43206.64583333333)</f>
        <v>43206.64583</v>
      </c>
      <c r="B3275" s="9">
        <f>IFERROR(__xludf.DUMMYFUNCTION("""COMPUTED_VALUE"""),551.0)</f>
        <v>551</v>
      </c>
      <c r="C3275" s="9">
        <f>IFERROR(__xludf.DUMMYFUNCTION("""COMPUTED_VALUE"""),570.0)</f>
        <v>570</v>
      </c>
      <c r="D3275" s="9">
        <f>IFERROR(__xludf.DUMMYFUNCTION("""COMPUTED_VALUE"""),551.0)</f>
        <v>551</v>
      </c>
      <c r="E3275" s="9">
        <f>IFERROR(__xludf.DUMMYFUNCTION("""COMPUTED_VALUE"""),566.6)</f>
        <v>566.6</v>
      </c>
      <c r="F3275" s="9">
        <f>IFERROR(__xludf.DUMMYFUNCTION("""COMPUTED_VALUE"""),1.2372542E7)</f>
        <v>12372542</v>
      </c>
      <c r="H3275" s="27">
        <f>IFERROR(__xludf.DUMMYFUNCTION("""COMPUTED_VALUE"""),43206.64583333333)</f>
        <v>43206.64583</v>
      </c>
      <c r="I3275" s="25">
        <f>IFERROR(__xludf.DUMMYFUNCTION("""COMPUTED_VALUE"""),1558.0)</f>
        <v>1558</v>
      </c>
      <c r="J3275" s="25">
        <f>IFERROR(__xludf.DUMMYFUNCTION("""COMPUTED_VALUE"""),1599.98)</f>
        <v>1599.98</v>
      </c>
      <c r="K3275" s="25">
        <f>IFERROR(__xludf.DUMMYFUNCTION("""COMPUTED_VALUE"""),1555.38)</f>
        <v>1555.38</v>
      </c>
      <c r="L3275" s="25">
        <f>IFERROR(__xludf.DUMMYFUNCTION("""COMPUTED_VALUE"""),1593.83)</f>
        <v>1593.83</v>
      </c>
      <c r="M3275" s="25">
        <f>IFERROR(__xludf.DUMMYFUNCTION("""COMPUTED_VALUE"""),3135137.0)</f>
        <v>3135137</v>
      </c>
    </row>
    <row r="3276">
      <c r="A3276" s="26">
        <f>IFERROR(__xludf.DUMMYFUNCTION("""COMPUTED_VALUE"""),43207.64583333333)</f>
        <v>43207.64583</v>
      </c>
      <c r="B3276" s="9">
        <f>IFERROR(__xludf.DUMMYFUNCTION("""COMPUTED_VALUE"""),563.5)</f>
        <v>563.5</v>
      </c>
      <c r="C3276" s="9">
        <f>IFERROR(__xludf.DUMMYFUNCTION("""COMPUTED_VALUE"""),563.7)</f>
        <v>563.7</v>
      </c>
      <c r="D3276" s="9">
        <f>IFERROR(__xludf.DUMMYFUNCTION("""COMPUTED_VALUE"""),557.5)</f>
        <v>557.5</v>
      </c>
      <c r="E3276" s="9">
        <f>IFERROR(__xludf.DUMMYFUNCTION("""COMPUTED_VALUE"""),562.6)</f>
        <v>562.6</v>
      </c>
      <c r="F3276" s="9">
        <f>IFERROR(__xludf.DUMMYFUNCTION("""COMPUTED_VALUE"""),5198970.0)</f>
        <v>5198970</v>
      </c>
      <c r="H3276" s="27">
        <f>IFERROR(__xludf.DUMMYFUNCTION("""COMPUTED_VALUE"""),43207.64583333333)</f>
        <v>43207.64583</v>
      </c>
      <c r="I3276" s="25">
        <f>IFERROR(__xludf.DUMMYFUNCTION("""COMPUTED_VALUE"""),1593.83)</f>
        <v>1593.83</v>
      </c>
      <c r="J3276" s="25">
        <f>IFERROR(__xludf.DUMMYFUNCTION("""COMPUTED_VALUE"""),1597.48)</f>
        <v>1597.48</v>
      </c>
      <c r="K3276" s="25">
        <f>IFERROR(__xludf.DUMMYFUNCTION("""COMPUTED_VALUE"""),1573.6)</f>
        <v>1573.6</v>
      </c>
      <c r="L3276" s="25">
        <f>IFERROR(__xludf.DUMMYFUNCTION("""COMPUTED_VALUE"""),1583.3)</f>
        <v>1583.3</v>
      </c>
      <c r="M3276" s="25">
        <f>IFERROR(__xludf.DUMMYFUNCTION("""COMPUTED_VALUE"""),1650862.0)</f>
        <v>1650862</v>
      </c>
    </row>
    <row r="3277">
      <c r="A3277" s="26">
        <f>IFERROR(__xludf.DUMMYFUNCTION("""COMPUTED_VALUE"""),43208.64583333333)</f>
        <v>43208.64583</v>
      </c>
      <c r="B3277" s="9">
        <f>IFERROR(__xludf.DUMMYFUNCTION("""COMPUTED_VALUE"""),561.42)</f>
        <v>561.42</v>
      </c>
      <c r="C3277" s="9">
        <f>IFERROR(__xludf.DUMMYFUNCTION("""COMPUTED_VALUE"""),567.38)</f>
        <v>567.38</v>
      </c>
      <c r="D3277" s="9">
        <f>IFERROR(__xludf.DUMMYFUNCTION("""COMPUTED_VALUE"""),556.92)</f>
        <v>556.92</v>
      </c>
      <c r="E3277" s="9">
        <f>IFERROR(__xludf.DUMMYFUNCTION("""COMPUTED_VALUE"""),562.98)</f>
        <v>562.98</v>
      </c>
      <c r="F3277" s="9">
        <f>IFERROR(__xludf.DUMMYFUNCTION("""COMPUTED_VALUE"""),5215190.0)</f>
        <v>5215190</v>
      </c>
      <c r="H3277" s="27">
        <f>IFERROR(__xludf.DUMMYFUNCTION("""COMPUTED_VALUE"""),43208.64583333333)</f>
        <v>43208.64583</v>
      </c>
      <c r="I3277" s="25">
        <f>IFERROR(__xludf.DUMMYFUNCTION("""COMPUTED_VALUE"""),1583.0)</f>
        <v>1583</v>
      </c>
      <c r="J3277" s="25">
        <f>IFERROR(__xludf.DUMMYFUNCTION("""COMPUTED_VALUE"""),1596.73)</f>
        <v>1596.73</v>
      </c>
      <c r="K3277" s="25">
        <f>IFERROR(__xludf.DUMMYFUNCTION("""COMPUTED_VALUE"""),1572.93)</f>
        <v>1572.93</v>
      </c>
      <c r="L3277" s="25">
        <f>IFERROR(__xludf.DUMMYFUNCTION("""COMPUTED_VALUE"""),1579.55)</f>
        <v>1579.55</v>
      </c>
      <c r="M3277" s="25">
        <f>IFERROR(__xludf.DUMMYFUNCTION("""COMPUTED_VALUE"""),1216533.0)</f>
        <v>1216533</v>
      </c>
    </row>
    <row r="3278">
      <c r="A3278" s="26">
        <f>IFERROR(__xludf.DUMMYFUNCTION("""COMPUTED_VALUE"""),43209.64583333333)</f>
        <v>43209.64583</v>
      </c>
      <c r="B3278" s="9">
        <f>IFERROR(__xludf.DUMMYFUNCTION("""COMPUTED_VALUE"""),562.0)</f>
        <v>562</v>
      </c>
      <c r="C3278" s="9">
        <f>IFERROR(__xludf.DUMMYFUNCTION("""COMPUTED_VALUE"""),569.9)</f>
        <v>569.9</v>
      </c>
      <c r="D3278" s="9">
        <f>IFERROR(__xludf.DUMMYFUNCTION("""COMPUTED_VALUE"""),561.55)</f>
        <v>561.55</v>
      </c>
      <c r="E3278" s="9">
        <f>IFERROR(__xludf.DUMMYFUNCTION("""COMPUTED_VALUE"""),566.42)</f>
        <v>566.42</v>
      </c>
      <c r="F3278" s="9">
        <f>IFERROR(__xludf.DUMMYFUNCTION("""COMPUTED_VALUE"""),4262771.0)</f>
        <v>4262771</v>
      </c>
      <c r="H3278" s="27">
        <f>IFERROR(__xludf.DUMMYFUNCTION("""COMPUTED_VALUE"""),43209.64583333333)</f>
        <v>43209.64583</v>
      </c>
      <c r="I3278" s="25">
        <f>IFERROR(__xludf.DUMMYFUNCTION("""COMPUTED_VALUE"""),1589.95)</f>
        <v>1589.95</v>
      </c>
      <c r="J3278" s="25">
        <f>IFERROR(__xludf.DUMMYFUNCTION("""COMPUTED_VALUE"""),1608.6)</f>
        <v>1608.6</v>
      </c>
      <c r="K3278" s="25">
        <f>IFERROR(__xludf.DUMMYFUNCTION("""COMPUTED_VALUE"""),1582.88)</f>
        <v>1582.88</v>
      </c>
      <c r="L3278" s="25">
        <f>IFERROR(__xludf.DUMMYFUNCTION("""COMPUTED_VALUE"""),1595.58)</f>
        <v>1595.58</v>
      </c>
      <c r="M3278" s="25">
        <f>IFERROR(__xludf.DUMMYFUNCTION("""COMPUTED_VALUE"""),2410476.0)</f>
        <v>2410476</v>
      </c>
    </row>
    <row r="3279">
      <c r="A3279" s="26">
        <f>IFERROR(__xludf.DUMMYFUNCTION("""COMPUTED_VALUE"""),43210.64583333333)</f>
        <v>43210.64583</v>
      </c>
      <c r="B3279" s="9">
        <f>IFERROR(__xludf.DUMMYFUNCTION("""COMPUTED_VALUE"""),569.5)</f>
        <v>569.5</v>
      </c>
      <c r="C3279" s="9">
        <f>IFERROR(__xludf.DUMMYFUNCTION("""COMPUTED_VALUE"""),596.85)</f>
        <v>596.85</v>
      </c>
      <c r="D3279" s="9">
        <f>IFERROR(__xludf.DUMMYFUNCTION("""COMPUTED_VALUE"""),568.48)</f>
        <v>568.48</v>
      </c>
      <c r="E3279" s="9">
        <f>IFERROR(__xludf.DUMMYFUNCTION("""COMPUTED_VALUE"""),589.23)</f>
        <v>589.23</v>
      </c>
      <c r="F3279" s="9">
        <f>IFERROR(__xludf.DUMMYFUNCTION("""COMPUTED_VALUE"""),1.2136346E7)</f>
        <v>12136346</v>
      </c>
      <c r="H3279" s="27">
        <f>IFERROR(__xludf.DUMMYFUNCTION("""COMPUTED_VALUE"""),43210.64583333333)</f>
        <v>43210.64583</v>
      </c>
      <c r="I3279" s="25">
        <f>IFERROR(__xludf.DUMMYFUNCTION("""COMPUTED_VALUE"""),1625.0)</f>
        <v>1625</v>
      </c>
      <c r="J3279" s="25">
        <f>IFERROR(__xludf.DUMMYFUNCTION("""COMPUTED_VALUE"""),1711.18)</f>
        <v>1711.18</v>
      </c>
      <c r="K3279" s="25">
        <f>IFERROR(__xludf.DUMMYFUNCTION("""COMPUTED_VALUE"""),1620.0)</f>
        <v>1620</v>
      </c>
      <c r="L3279" s="25">
        <f>IFERROR(__xludf.DUMMYFUNCTION("""COMPUTED_VALUE"""),1701.23)</f>
        <v>1701.23</v>
      </c>
      <c r="M3279" s="25">
        <f>IFERROR(__xludf.DUMMYFUNCTION("""COMPUTED_VALUE"""),9232831.0)</f>
        <v>9232831</v>
      </c>
    </row>
    <row r="3280">
      <c r="A3280" s="26">
        <f>IFERROR(__xludf.DUMMYFUNCTION("""COMPUTED_VALUE"""),43213.64583333333)</f>
        <v>43213.64583</v>
      </c>
      <c r="B3280" s="9">
        <f>IFERROR(__xludf.DUMMYFUNCTION("""COMPUTED_VALUE"""),584.0)</f>
        <v>584</v>
      </c>
      <c r="C3280" s="9">
        <f>IFERROR(__xludf.DUMMYFUNCTION("""COMPUTED_VALUE"""),607.2)</f>
        <v>607.2</v>
      </c>
      <c r="D3280" s="9">
        <f>IFERROR(__xludf.DUMMYFUNCTION("""COMPUTED_VALUE"""),577.63)</f>
        <v>577.63</v>
      </c>
      <c r="E3280" s="9">
        <f>IFERROR(__xludf.DUMMYFUNCTION("""COMPUTED_VALUE"""),593.85)</f>
        <v>593.85</v>
      </c>
      <c r="F3280" s="9">
        <f>IFERROR(__xludf.DUMMYFUNCTION("""COMPUTED_VALUE"""),1.0915319E7)</f>
        <v>10915319</v>
      </c>
      <c r="H3280" s="27">
        <f>IFERROR(__xludf.DUMMYFUNCTION("""COMPUTED_VALUE"""),43213.64583333333)</f>
        <v>43213.64583</v>
      </c>
      <c r="I3280" s="25">
        <f>IFERROR(__xludf.DUMMYFUNCTION("""COMPUTED_VALUE"""),1712.0)</f>
        <v>1712</v>
      </c>
      <c r="J3280" s="25">
        <f>IFERROR(__xludf.DUMMYFUNCTION("""COMPUTED_VALUE"""),1778.95)</f>
        <v>1778.95</v>
      </c>
      <c r="K3280" s="25">
        <f>IFERROR(__xludf.DUMMYFUNCTION("""COMPUTED_VALUE"""),1694.78)</f>
        <v>1694.78</v>
      </c>
      <c r="L3280" s="25">
        <f>IFERROR(__xludf.DUMMYFUNCTION("""COMPUTED_VALUE"""),1704.33)</f>
        <v>1704.33</v>
      </c>
      <c r="M3280" s="25">
        <f>IFERROR(__xludf.DUMMYFUNCTION("""COMPUTED_VALUE"""),7592955.0)</f>
        <v>7592955</v>
      </c>
    </row>
    <row r="3281">
      <c r="A3281" s="26">
        <f>IFERROR(__xludf.DUMMYFUNCTION("""COMPUTED_VALUE"""),43214.64583333333)</f>
        <v>43214.64583</v>
      </c>
      <c r="B3281" s="9">
        <f>IFERROR(__xludf.DUMMYFUNCTION("""COMPUTED_VALUE"""),592.5)</f>
        <v>592.5</v>
      </c>
      <c r="C3281" s="9">
        <f>IFERROR(__xludf.DUMMYFUNCTION("""COMPUTED_VALUE"""),598.2)</f>
        <v>598.2</v>
      </c>
      <c r="D3281" s="9">
        <f>IFERROR(__xludf.DUMMYFUNCTION("""COMPUTED_VALUE"""),575.05)</f>
        <v>575.05</v>
      </c>
      <c r="E3281" s="9">
        <f>IFERROR(__xludf.DUMMYFUNCTION("""COMPUTED_VALUE"""),577.25)</f>
        <v>577.25</v>
      </c>
      <c r="F3281" s="9">
        <f>IFERROR(__xludf.DUMMYFUNCTION("""COMPUTED_VALUE"""),4263108.0)</f>
        <v>4263108</v>
      </c>
      <c r="H3281" s="27">
        <f>IFERROR(__xludf.DUMMYFUNCTION("""COMPUTED_VALUE"""),43214.64583333333)</f>
        <v>43214.64583</v>
      </c>
      <c r="I3281" s="25">
        <f>IFERROR(__xludf.DUMMYFUNCTION("""COMPUTED_VALUE"""),1705.0)</f>
        <v>1705</v>
      </c>
      <c r="J3281" s="25">
        <f>IFERROR(__xludf.DUMMYFUNCTION("""COMPUTED_VALUE"""),1721.58)</f>
        <v>1721.58</v>
      </c>
      <c r="K3281" s="25">
        <f>IFERROR(__xludf.DUMMYFUNCTION("""COMPUTED_VALUE"""),1671.25)</f>
        <v>1671.25</v>
      </c>
      <c r="L3281" s="25">
        <f>IFERROR(__xludf.DUMMYFUNCTION("""COMPUTED_VALUE"""),1692.83)</f>
        <v>1692.83</v>
      </c>
      <c r="M3281" s="25">
        <f>IFERROR(__xludf.DUMMYFUNCTION("""COMPUTED_VALUE"""),4157168.0)</f>
        <v>4157168</v>
      </c>
    </row>
    <row r="3282">
      <c r="A3282" s="26">
        <f>IFERROR(__xludf.DUMMYFUNCTION("""COMPUTED_VALUE"""),43215.64583333333)</f>
        <v>43215.64583</v>
      </c>
      <c r="B3282" s="9">
        <f>IFERROR(__xludf.DUMMYFUNCTION("""COMPUTED_VALUE"""),576.0)</f>
        <v>576</v>
      </c>
      <c r="C3282" s="9">
        <f>IFERROR(__xludf.DUMMYFUNCTION("""COMPUTED_VALUE"""),585.5)</f>
        <v>585.5</v>
      </c>
      <c r="D3282" s="9">
        <f>IFERROR(__xludf.DUMMYFUNCTION("""COMPUTED_VALUE"""),572.6)</f>
        <v>572.6</v>
      </c>
      <c r="E3282" s="9">
        <f>IFERROR(__xludf.DUMMYFUNCTION("""COMPUTED_VALUE"""),580.17)</f>
        <v>580.17</v>
      </c>
      <c r="F3282" s="9">
        <f>IFERROR(__xludf.DUMMYFUNCTION("""COMPUTED_VALUE"""),5797089.0)</f>
        <v>5797089</v>
      </c>
      <c r="H3282" s="27">
        <f>IFERROR(__xludf.DUMMYFUNCTION("""COMPUTED_VALUE"""),43215.64583333333)</f>
        <v>43215.64583</v>
      </c>
      <c r="I3282" s="25">
        <f>IFERROR(__xludf.DUMMYFUNCTION("""COMPUTED_VALUE"""),1692.5)</f>
        <v>1692.5</v>
      </c>
      <c r="J3282" s="25">
        <f>IFERROR(__xludf.DUMMYFUNCTION("""COMPUTED_VALUE"""),1741.5)</f>
        <v>1741.5</v>
      </c>
      <c r="K3282" s="25">
        <f>IFERROR(__xludf.DUMMYFUNCTION("""COMPUTED_VALUE"""),1682.53)</f>
        <v>1682.53</v>
      </c>
      <c r="L3282" s="25">
        <f>IFERROR(__xludf.DUMMYFUNCTION("""COMPUTED_VALUE"""),1735.13)</f>
        <v>1735.13</v>
      </c>
      <c r="M3282" s="25">
        <f>IFERROR(__xludf.DUMMYFUNCTION("""COMPUTED_VALUE"""),4098287.0)</f>
        <v>4098287</v>
      </c>
    </row>
    <row r="3283">
      <c r="A3283" s="26">
        <f>IFERROR(__xludf.DUMMYFUNCTION("""COMPUTED_VALUE"""),43216.64583333333)</f>
        <v>43216.64583</v>
      </c>
      <c r="B3283" s="9">
        <f>IFERROR(__xludf.DUMMYFUNCTION("""COMPUTED_VALUE"""),587.0)</f>
        <v>587</v>
      </c>
      <c r="C3283" s="9">
        <f>IFERROR(__xludf.DUMMYFUNCTION("""COMPUTED_VALUE"""),590.83)</f>
        <v>590.83</v>
      </c>
      <c r="D3283" s="9">
        <f>IFERROR(__xludf.DUMMYFUNCTION("""COMPUTED_VALUE"""),580.0)</f>
        <v>580</v>
      </c>
      <c r="E3283" s="9">
        <f>IFERROR(__xludf.DUMMYFUNCTION("""COMPUTED_VALUE"""),588.23)</f>
        <v>588.23</v>
      </c>
      <c r="F3283" s="9">
        <f>IFERROR(__xludf.DUMMYFUNCTION("""COMPUTED_VALUE"""),5651042.0)</f>
        <v>5651042</v>
      </c>
      <c r="H3283" s="27">
        <f>IFERROR(__xludf.DUMMYFUNCTION("""COMPUTED_VALUE"""),43216.64583333333)</f>
        <v>43216.64583</v>
      </c>
      <c r="I3283" s="25">
        <f>IFERROR(__xludf.DUMMYFUNCTION("""COMPUTED_VALUE"""),1733.5)</f>
        <v>1733.5</v>
      </c>
      <c r="J3283" s="25">
        <f>IFERROR(__xludf.DUMMYFUNCTION("""COMPUTED_VALUE"""),1780.0)</f>
        <v>1780</v>
      </c>
      <c r="K3283" s="25">
        <f>IFERROR(__xludf.DUMMYFUNCTION("""COMPUTED_VALUE"""),1733.5)</f>
        <v>1733.5</v>
      </c>
      <c r="L3283" s="25">
        <f>IFERROR(__xludf.DUMMYFUNCTION("""COMPUTED_VALUE"""),1769.63)</f>
        <v>1769.63</v>
      </c>
      <c r="M3283" s="25">
        <f>IFERROR(__xludf.DUMMYFUNCTION("""COMPUTED_VALUE"""),6067517.0)</f>
        <v>6067517</v>
      </c>
    </row>
    <row r="3284">
      <c r="A3284" s="26">
        <f>IFERROR(__xludf.DUMMYFUNCTION("""COMPUTED_VALUE"""),43217.64583333333)</f>
        <v>43217.64583</v>
      </c>
      <c r="B3284" s="9">
        <f>IFERROR(__xludf.DUMMYFUNCTION("""COMPUTED_VALUE"""),590.0)</f>
        <v>590</v>
      </c>
      <c r="C3284" s="9">
        <f>IFERROR(__xludf.DUMMYFUNCTION("""COMPUTED_VALUE"""),595.8)</f>
        <v>595.8</v>
      </c>
      <c r="D3284" s="9">
        <f>IFERROR(__xludf.DUMMYFUNCTION("""COMPUTED_VALUE"""),587.1)</f>
        <v>587.1</v>
      </c>
      <c r="E3284" s="9">
        <f>IFERROR(__xludf.DUMMYFUNCTION("""COMPUTED_VALUE"""),592.6)</f>
        <v>592.6</v>
      </c>
      <c r="F3284" s="9">
        <f>IFERROR(__xludf.DUMMYFUNCTION("""COMPUTED_VALUE"""),3831685.0)</f>
        <v>3831685</v>
      </c>
      <c r="H3284" s="27">
        <f>IFERROR(__xludf.DUMMYFUNCTION("""COMPUTED_VALUE"""),43217.64583333333)</f>
        <v>43217.64583</v>
      </c>
      <c r="I3284" s="25">
        <f>IFERROR(__xludf.DUMMYFUNCTION("""COMPUTED_VALUE"""),1762.5)</f>
        <v>1762.5</v>
      </c>
      <c r="J3284" s="25">
        <f>IFERROR(__xludf.DUMMYFUNCTION("""COMPUTED_VALUE"""),1772.0)</f>
        <v>1772</v>
      </c>
      <c r="K3284" s="25">
        <f>IFERROR(__xludf.DUMMYFUNCTION("""COMPUTED_VALUE"""),1710.0)</f>
        <v>1710</v>
      </c>
      <c r="L3284" s="25">
        <f>IFERROR(__xludf.DUMMYFUNCTION("""COMPUTED_VALUE"""),1725.98)</f>
        <v>1725.98</v>
      </c>
      <c r="M3284" s="25">
        <f>IFERROR(__xludf.DUMMYFUNCTION("""COMPUTED_VALUE"""),2250665.0)</f>
        <v>2250665</v>
      </c>
    </row>
    <row r="3285">
      <c r="A3285" s="26">
        <f>IFERROR(__xludf.DUMMYFUNCTION("""COMPUTED_VALUE"""),43220.64583333333)</f>
        <v>43220.64583</v>
      </c>
      <c r="B3285" s="9">
        <f>IFERROR(__xludf.DUMMYFUNCTION("""COMPUTED_VALUE"""),590.85)</f>
        <v>590.85</v>
      </c>
      <c r="C3285" s="9">
        <f>IFERROR(__xludf.DUMMYFUNCTION("""COMPUTED_VALUE"""),603.98)</f>
        <v>603.98</v>
      </c>
      <c r="D3285" s="9">
        <f>IFERROR(__xludf.DUMMYFUNCTION("""COMPUTED_VALUE"""),590.33)</f>
        <v>590.33</v>
      </c>
      <c r="E3285" s="9">
        <f>IFERROR(__xludf.DUMMYFUNCTION("""COMPUTED_VALUE"""),599.75)</f>
        <v>599.75</v>
      </c>
      <c r="F3285" s="9">
        <f>IFERROR(__xludf.DUMMYFUNCTION("""COMPUTED_VALUE"""),2755839.0)</f>
        <v>2755839</v>
      </c>
      <c r="H3285" s="27">
        <f>IFERROR(__xludf.DUMMYFUNCTION("""COMPUTED_VALUE"""),43220.64583333333)</f>
        <v>43220.64583</v>
      </c>
      <c r="I3285" s="25">
        <f>IFERROR(__xludf.DUMMYFUNCTION("""COMPUTED_VALUE"""),1725.98)</f>
        <v>1725.98</v>
      </c>
      <c r="J3285" s="25">
        <f>IFERROR(__xludf.DUMMYFUNCTION("""COMPUTED_VALUE"""),1774.5)</f>
        <v>1774.5</v>
      </c>
      <c r="K3285" s="25">
        <f>IFERROR(__xludf.DUMMYFUNCTION("""COMPUTED_VALUE"""),1718.8)</f>
        <v>1718.8</v>
      </c>
      <c r="L3285" s="25">
        <f>IFERROR(__xludf.DUMMYFUNCTION("""COMPUTED_VALUE"""),1766.05)</f>
        <v>1766.05</v>
      </c>
      <c r="M3285" s="25">
        <f>IFERROR(__xludf.DUMMYFUNCTION("""COMPUTED_VALUE"""),1729279.0)</f>
        <v>1729279</v>
      </c>
    </row>
    <row r="3286">
      <c r="A3286" s="26">
        <f>IFERROR(__xludf.DUMMYFUNCTION("""COMPUTED_VALUE"""),43222.64583333333)</f>
        <v>43222.64583</v>
      </c>
      <c r="B3286" s="9">
        <f>IFERROR(__xludf.DUMMYFUNCTION("""COMPUTED_VALUE"""),599.45)</f>
        <v>599.45</v>
      </c>
      <c r="C3286" s="9">
        <f>IFERROR(__xludf.DUMMYFUNCTION("""COMPUTED_VALUE"""),600.8)</f>
        <v>600.8</v>
      </c>
      <c r="D3286" s="9">
        <f>IFERROR(__xludf.DUMMYFUNCTION("""COMPUTED_VALUE"""),590.5)</f>
        <v>590.5</v>
      </c>
      <c r="E3286" s="9">
        <f>IFERROR(__xludf.DUMMYFUNCTION("""COMPUTED_VALUE"""),598.53)</f>
        <v>598.53</v>
      </c>
      <c r="F3286" s="9">
        <f>IFERROR(__xludf.DUMMYFUNCTION("""COMPUTED_VALUE"""),5147521.0)</f>
        <v>5147521</v>
      </c>
      <c r="H3286" s="27">
        <f>IFERROR(__xludf.DUMMYFUNCTION("""COMPUTED_VALUE"""),43222.64583333333)</f>
        <v>43222.64583</v>
      </c>
      <c r="I3286" s="25">
        <f>IFERROR(__xludf.DUMMYFUNCTION("""COMPUTED_VALUE"""),1765.25)</f>
        <v>1765.25</v>
      </c>
      <c r="J3286" s="25">
        <f>IFERROR(__xludf.DUMMYFUNCTION("""COMPUTED_VALUE"""),1766.1)</f>
        <v>1766.1</v>
      </c>
      <c r="K3286" s="25">
        <f>IFERROR(__xludf.DUMMYFUNCTION("""COMPUTED_VALUE"""),1735.65)</f>
        <v>1735.65</v>
      </c>
      <c r="L3286" s="25">
        <f>IFERROR(__xludf.DUMMYFUNCTION("""COMPUTED_VALUE"""),1749.88)</f>
        <v>1749.88</v>
      </c>
      <c r="M3286" s="25">
        <f>IFERROR(__xludf.DUMMYFUNCTION("""COMPUTED_VALUE"""),1579023.0)</f>
        <v>1579023</v>
      </c>
    </row>
    <row r="3287">
      <c r="A3287" s="26">
        <f>IFERROR(__xludf.DUMMYFUNCTION("""COMPUTED_VALUE"""),43223.64583333333)</f>
        <v>43223.64583</v>
      </c>
      <c r="B3287" s="9">
        <f>IFERROR(__xludf.DUMMYFUNCTION("""COMPUTED_VALUE"""),598.63)</f>
        <v>598.63</v>
      </c>
      <c r="C3287" s="9">
        <f>IFERROR(__xludf.DUMMYFUNCTION("""COMPUTED_VALUE"""),602.35)</f>
        <v>602.35</v>
      </c>
      <c r="D3287" s="9">
        <f>IFERROR(__xludf.DUMMYFUNCTION("""COMPUTED_VALUE"""),588.05)</f>
        <v>588.05</v>
      </c>
      <c r="E3287" s="9">
        <f>IFERROR(__xludf.DUMMYFUNCTION("""COMPUTED_VALUE"""),591.28)</f>
        <v>591.28</v>
      </c>
      <c r="F3287" s="9">
        <f>IFERROR(__xludf.DUMMYFUNCTION("""COMPUTED_VALUE"""),2666115.0)</f>
        <v>2666115</v>
      </c>
      <c r="H3287" s="27">
        <f>IFERROR(__xludf.DUMMYFUNCTION("""COMPUTED_VALUE"""),43223.64583333333)</f>
        <v>43223.64583</v>
      </c>
      <c r="I3287" s="25">
        <f>IFERROR(__xludf.DUMMYFUNCTION("""COMPUTED_VALUE"""),1754.9)</f>
        <v>1754.9</v>
      </c>
      <c r="J3287" s="25">
        <f>IFERROR(__xludf.DUMMYFUNCTION("""COMPUTED_VALUE"""),1763.0)</f>
        <v>1763</v>
      </c>
      <c r="K3287" s="25">
        <f>IFERROR(__xludf.DUMMYFUNCTION("""COMPUTED_VALUE"""),1735.2)</f>
        <v>1735.2</v>
      </c>
      <c r="L3287" s="25">
        <f>IFERROR(__xludf.DUMMYFUNCTION("""COMPUTED_VALUE"""),1740.93)</f>
        <v>1740.93</v>
      </c>
      <c r="M3287" s="25">
        <f>IFERROR(__xludf.DUMMYFUNCTION("""COMPUTED_VALUE"""),1880775.0)</f>
        <v>1880775</v>
      </c>
    </row>
    <row r="3288">
      <c r="A3288" s="26">
        <f>IFERROR(__xludf.DUMMYFUNCTION("""COMPUTED_VALUE"""),43224.64583333333)</f>
        <v>43224.64583</v>
      </c>
      <c r="B3288" s="9">
        <f>IFERROR(__xludf.DUMMYFUNCTION("""COMPUTED_VALUE"""),592.5)</f>
        <v>592.5</v>
      </c>
      <c r="C3288" s="9">
        <f>IFERROR(__xludf.DUMMYFUNCTION("""COMPUTED_VALUE"""),593.0)</f>
        <v>593</v>
      </c>
      <c r="D3288" s="9">
        <f>IFERROR(__xludf.DUMMYFUNCTION("""COMPUTED_VALUE"""),577.5)</f>
        <v>577.5</v>
      </c>
      <c r="E3288" s="9">
        <f>IFERROR(__xludf.DUMMYFUNCTION("""COMPUTED_VALUE"""),586.55)</f>
        <v>586.55</v>
      </c>
      <c r="F3288" s="9">
        <f>IFERROR(__xludf.DUMMYFUNCTION("""COMPUTED_VALUE"""),3011684.0)</f>
        <v>3011684</v>
      </c>
      <c r="H3288" s="27">
        <f>IFERROR(__xludf.DUMMYFUNCTION("""COMPUTED_VALUE"""),43224.64583333333)</f>
        <v>43224.64583</v>
      </c>
      <c r="I3288" s="25">
        <f>IFERROR(__xludf.DUMMYFUNCTION("""COMPUTED_VALUE"""),1746.0)</f>
        <v>1746</v>
      </c>
      <c r="J3288" s="25">
        <f>IFERROR(__xludf.DUMMYFUNCTION("""COMPUTED_VALUE"""),1748.5)</f>
        <v>1748.5</v>
      </c>
      <c r="K3288" s="25">
        <f>IFERROR(__xludf.DUMMYFUNCTION("""COMPUTED_VALUE"""),1735.0)</f>
        <v>1735</v>
      </c>
      <c r="L3288" s="25">
        <f>IFERROR(__xludf.DUMMYFUNCTION("""COMPUTED_VALUE"""),1740.38)</f>
        <v>1740.38</v>
      </c>
      <c r="M3288" s="25">
        <f>IFERROR(__xludf.DUMMYFUNCTION("""COMPUTED_VALUE"""),1173622.0)</f>
        <v>1173622</v>
      </c>
    </row>
    <row r="3289">
      <c r="A3289" s="26">
        <f>IFERROR(__xludf.DUMMYFUNCTION("""COMPUTED_VALUE"""),43227.64583333333)</f>
        <v>43227.64583</v>
      </c>
      <c r="B3289" s="9">
        <f>IFERROR(__xludf.DUMMYFUNCTION("""COMPUTED_VALUE"""),590.63)</f>
        <v>590.63</v>
      </c>
      <c r="C3289" s="9">
        <f>IFERROR(__xludf.DUMMYFUNCTION("""COMPUTED_VALUE"""),595.0)</f>
        <v>595</v>
      </c>
      <c r="D3289" s="9">
        <f>IFERROR(__xludf.DUMMYFUNCTION("""COMPUTED_VALUE"""),587.75)</f>
        <v>587.75</v>
      </c>
      <c r="E3289" s="9">
        <f>IFERROR(__xludf.DUMMYFUNCTION("""COMPUTED_VALUE"""),591.5)</f>
        <v>591.5</v>
      </c>
      <c r="F3289" s="9">
        <f>IFERROR(__xludf.DUMMYFUNCTION("""COMPUTED_VALUE"""),2319480.0)</f>
        <v>2319480</v>
      </c>
      <c r="H3289" s="27">
        <f>IFERROR(__xludf.DUMMYFUNCTION("""COMPUTED_VALUE"""),43227.64583333333)</f>
        <v>43227.64583</v>
      </c>
      <c r="I3289" s="25">
        <f>IFERROR(__xludf.DUMMYFUNCTION("""COMPUTED_VALUE"""),1745.0)</f>
        <v>1745</v>
      </c>
      <c r="J3289" s="25">
        <f>IFERROR(__xludf.DUMMYFUNCTION("""COMPUTED_VALUE"""),1745.0)</f>
        <v>1745</v>
      </c>
      <c r="K3289" s="25">
        <f>IFERROR(__xludf.DUMMYFUNCTION("""COMPUTED_VALUE"""),1705.45)</f>
        <v>1705.45</v>
      </c>
      <c r="L3289" s="25">
        <f>IFERROR(__xludf.DUMMYFUNCTION("""COMPUTED_VALUE"""),1710.48)</f>
        <v>1710.48</v>
      </c>
      <c r="M3289" s="25">
        <f>IFERROR(__xludf.DUMMYFUNCTION("""COMPUTED_VALUE"""),1742213.0)</f>
        <v>1742213</v>
      </c>
    </row>
    <row r="3290">
      <c r="A3290" s="26">
        <f>IFERROR(__xludf.DUMMYFUNCTION("""COMPUTED_VALUE"""),43228.64583333333)</f>
        <v>43228.64583</v>
      </c>
      <c r="B3290" s="9">
        <f>IFERROR(__xludf.DUMMYFUNCTION("""COMPUTED_VALUE"""),588.95)</f>
        <v>588.95</v>
      </c>
      <c r="C3290" s="9">
        <f>IFERROR(__xludf.DUMMYFUNCTION("""COMPUTED_VALUE"""),588.95)</f>
        <v>588.95</v>
      </c>
      <c r="D3290" s="9">
        <f>IFERROR(__xludf.DUMMYFUNCTION("""COMPUTED_VALUE"""),580.53)</f>
        <v>580.53</v>
      </c>
      <c r="E3290" s="9">
        <f>IFERROR(__xludf.DUMMYFUNCTION("""COMPUTED_VALUE"""),582.78)</f>
        <v>582.78</v>
      </c>
      <c r="F3290" s="9">
        <f>IFERROR(__xludf.DUMMYFUNCTION("""COMPUTED_VALUE"""),2859278.0)</f>
        <v>2859278</v>
      </c>
      <c r="H3290" s="27">
        <f>IFERROR(__xludf.DUMMYFUNCTION("""COMPUTED_VALUE"""),43228.64583333333)</f>
        <v>43228.64583</v>
      </c>
      <c r="I3290" s="25">
        <f>IFERROR(__xludf.DUMMYFUNCTION("""COMPUTED_VALUE"""),1717.35)</f>
        <v>1717.35</v>
      </c>
      <c r="J3290" s="25">
        <f>IFERROR(__xludf.DUMMYFUNCTION("""COMPUTED_VALUE"""),1743.25)</f>
        <v>1743.25</v>
      </c>
      <c r="K3290" s="25">
        <f>IFERROR(__xludf.DUMMYFUNCTION("""COMPUTED_VALUE"""),1698.35)</f>
        <v>1698.35</v>
      </c>
      <c r="L3290" s="25">
        <f>IFERROR(__xludf.DUMMYFUNCTION("""COMPUTED_VALUE"""),1720.6)</f>
        <v>1720.6</v>
      </c>
      <c r="M3290" s="25">
        <f>IFERROR(__xludf.DUMMYFUNCTION("""COMPUTED_VALUE"""),1496410.0)</f>
        <v>1496410</v>
      </c>
    </row>
    <row r="3291">
      <c r="A3291" s="26">
        <f>IFERROR(__xludf.DUMMYFUNCTION("""COMPUTED_VALUE"""),43229.64583333333)</f>
        <v>43229.64583</v>
      </c>
      <c r="B3291" s="9">
        <f>IFERROR(__xludf.DUMMYFUNCTION("""COMPUTED_VALUE"""),583.75)</f>
        <v>583.75</v>
      </c>
      <c r="C3291" s="9">
        <f>IFERROR(__xludf.DUMMYFUNCTION("""COMPUTED_VALUE"""),588.45)</f>
        <v>588.45</v>
      </c>
      <c r="D3291" s="9">
        <f>IFERROR(__xludf.DUMMYFUNCTION("""COMPUTED_VALUE"""),581.5)</f>
        <v>581.5</v>
      </c>
      <c r="E3291" s="9">
        <f>IFERROR(__xludf.DUMMYFUNCTION("""COMPUTED_VALUE"""),585.35)</f>
        <v>585.35</v>
      </c>
      <c r="F3291" s="9">
        <f>IFERROR(__xludf.DUMMYFUNCTION("""COMPUTED_VALUE"""),1891752.0)</f>
        <v>1891752</v>
      </c>
      <c r="H3291" s="27">
        <f>IFERROR(__xludf.DUMMYFUNCTION("""COMPUTED_VALUE"""),43229.64583333333)</f>
        <v>43229.64583</v>
      </c>
      <c r="I3291" s="25">
        <f>IFERROR(__xludf.DUMMYFUNCTION("""COMPUTED_VALUE"""),1720.1)</f>
        <v>1720.1</v>
      </c>
      <c r="J3291" s="25">
        <f>IFERROR(__xludf.DUMMYFUNCTION("""COMPUTED_VALUE"""),1747.38)</f>
        <v>1747.38</v>
      </c>
      <c r="K3291" s="25">
        <f>IFERROR(__xludf.DUMMYFUNCTION("""COMPUTED_VALUE"""),1720.1)</f>
        <v>1720.1</v>
      </c>
      <c r="L3291" s="25">
        <f>IFERROR(__xludf.DUMMYFUNCTION("""COMPUTED_VALUE"""),1744.65)</f>
        <v>1744.65</v>
      </c>
      <c r="M3291" s="25">
        <f>IFERROR(__xludf.DUMMYFUNCTION("""COMPUTED_VALUE"""),1307525.0)</f>
        <v>1307525</v>
      </c>
    </row>
    <row r="3292">
      <c r="A3292" s="26">
        <f>IFERROR(__xludf.DUMMYFUNCTION("""COMPUTED_VALUE"""),43230.64583333333)</f>
        <v>43230.64583</v>
      </c>
      <c r="B3292" s="9">
        <f>IFERROR(__xludf.DUMMYFUNCTION("""COMPUTED_VALUE"""),588.0)</f>
        <v>588</v>
      </c>
      <c r="C3292" s="9">
        <f>IFERROR(__xludf.DUMMYFUNCTION("""COMPUTED_VALUE"""),591.5)</f>
        <v>591.5</v>
      </c>
      <c r="D3292" s="9">
        <f>IFERROR(__xludf.DUMMYFUNCTION("""COMPUTED_VALUE"""),581.42)</f>
        <v>581.42</v>
      </c>
      <c r="E3292" s="9">
        <f>IFERROR(__xludf.DUMMYFUNCTION("""COMPUTED_VALUE"""),584.0)</f>
        <v>584</v>
      </c>
      <c r="F3292" s="9">
        <f>IFERROR(__xludf.DUMMYFUNCTION("""COMPUTED_VALUE"""),1591431.0)</f>
        <v>1591431</v>
      </c>
      <c r="H3292" s="27">
        <f>IFERROR(__xludf.DUMMYFUNCTION("""COMPUTED_VALUE"""),43230.64583333333)</f>
        <v>43230.64583</v>
      </c>
      <c r="I3292" s="25">
        <f>IFERROR(__xludf.DUMMYFUNCTION("""COMPUTED_VALUE"""),1751.48)</f>
        <v>1751.48</v>
      </c>
      <c r="J3292" s="25">
        <f>IFERROR(__xludf.DUMMYFUNCTION("""COMPUTED_VALUE"""),1755.58)</f>
        <v>1755.58</v>
      </c>
      <c r="K3292" s="25">
        <f>IFERROR(__xludf.DUMMYFUNCTION("""COMPUTED_VALUE"""),1720.1)</f>
        <v>1720.1</v>
      </c>
      <c r="L3292" s="25">
        <f>IFERROR(__xludf.DUMMYFUNCTION("""COMPUTED_VALUE"""),1725.63)</f>
        <v>1725.63</v>
      </c>
      <c r="M3292" s="25">
        <f>IFERROR(__xludf.DUMMYFUNCTION("""COMPUTED_VALUE"""),1929339.0)</f>
        <v>1929339</v>
      </c>
    </row>
    <row r="3293">
      <c r="A3293" s="26">
        <f>IFERROR(__xludf.DUMMYFUNCTION("""COMPUTED_VALUE"""),43231.64583333333)</f>
        <v>43231.64583</v>
      </c>
      <c r="B3293" s="9">
        <f>IFERROR(__xludf.DUMMYFUNCTION("""COMPUTED_VALUE"""),586.15)</f>
        <v>586.15</v>
      </c>
      <c r="C3293" s="9">
        <f>IFERROR(__xludf.DUMMYFUNCTION("""COMPUTED_VALUE"""),591.6)</f>
        <v>591.6</v>
      </c>
      <c r="D3293" s="9">
        <f>IFERROR(__xludf.DUMMYFUNCTION("""COMPUTED_VALUE"""),583.03)</f>
        <v>583.03</v>
      </c>
      <c r="E3293" s="9">
        <f>IFERROR(__xludf.DUMMYFUNCTION("""COMPUTED_VALUE"""),590.38)</f>
        <v>590.38</v>
      </c>
      <c r="F3293" s="9">
        <f>IFERROR(__xludf.DUMMYFUNCTION("""COMPUTED_VALUE"""),1655853.0)</f>
        <v>1655853</v>
      </c>
      <c r="H3293" s="27">
        <f>IFERROR(__xludf.DUMMYFUNCTION("""COMPUTED_VALUE"""),43231.64583333333)</f>
        <v>43231.64583</v>
      </c>
      <c r="I3293" s="25">
        <f>IFERROR(__xludf.DUMMYFUNCTION("""COMPUTED_VALUE"""),1727.1)</f>
        <v>1727.1</v>
      </c>
      <c r="J3293" s="25">
        <f>IFERROR(__xludf.DUMMYFUNCTION("""COMPUTED_VALUE"""),1742.5)</f>
        <v>1742.5</v>
      </c>
      <c r="K3293" s="25">
        <f>IFERROR(__xludf.DUMMYFUNCTION("""COMPUTED_VALUE"""),1721.25)</f>
        <v>1721.25</v>
      </c>
      <c r="L3293" s="25">
        <f>IFERROR(__xludf.DUMMYFUNCTION("""COMPUTED_VALUE"""),1728.48)</f>
        <v>1728.48</v>
      </c>
      <c r="M3293" s="25">
        <f>IFERROR(__xludf.DUMMYFUNCTION("""COMPUTED_VALUE"""),1313938.0)</f>
        <v>1313938</v>
      </c>
    </row>
    <row r="3294">
      <c r="A3294" s="26">
        <f>IFERROR(__xludf.DUMMYFUNCTION("""COMPUTED_VALUE"""),43234.64583333333)</f>
        <v>43234.64583</v>
      </c>
      <c r="B3294" s="9">
        <f>IFERROR(__xludf.DUMMYFUNCTION("""COMPUTED_VALUE"""),592.17)</f>
        <v>592.17</v>
      </c>
      <c r="C3294" s="9">
        <f>IFERROR(__xludf.DUMMYFUNCTION("""COMPUTED_VALUE"""),595.75)</f>
        <v>595.75</v>
      </c>
      <c r="D3294" s="9">
        <f>IFERROR(__xludf.DUMMYFUNCTION("""COMPUTED_VALUE"""),585.0)</f>
        <v>585</v>
      </c>
      <c r="E3294" s="9">
        <f>IFERROR(__xludf.DUMMYFUNCTION("""COMPUTED_VALUE"""),594.65)</f>
        <v>594.65</v>
      </c>
      <c r="F3294" s="9">
        <f>IFERROR(__xludf.DUMMYFUNCTION("""COMPUTED_VALUE"""),2216047.0)</f>
        <v>2216047</v>
      </c>
      <c r="H3294" s="27">
        <f>IFERROR(__xludf.DUMMYFUNCTION("""COMPUTED_VALUE"""),43234.64583333333)</f>
        <v>43234.64583</v>
      </c>
      <c r="I3294" s="25">
        <f>IFERROR(__xludf.DUMMYFUNCTION("""COMPUTED_VALUE"""),1728.5)</f>
        <v>1728.5</v>
      </c>
      <c r="J3294" s="25">
        <f>IFERROR(__xludf.DUMMYFUNCTION("""COMPUTED_VALUE"""),1735.5)</f>
        <v>1735.5</v>
      </c>
      <c r="K3294" s="25">
        <f>IFERROR(__xludf.DUMMYFUNCTION("""COMPUTED_VALUE"""),1705.4)</f>
        <v>1705.4</v>
      </c>
      <c r="L3294" s="25">
        <f>IFERROR(__xludf.DUMMYFUNCTION("""COMPUTED_VALUE"""),1716.78)</f>
        <v>1716.78</v>
      </c>
      <c r="M3294" s="25">
        <f>IFERROR(__xludf.DUMMYFUNCTION("""COMPUTED_VALUE"""),1216947.0)</f>
        <v>1216947</v>
      </c>
    </row>
    <row r="3295">
      <c r="A3295" s="26">
        <f>IFERROR(__xludf.DUMMYFUNCTION("""COMPUTED_VALUE"""),43235.64583333333)</f>
        <v>43235.64583</v>
      </c>
      <c r="B3295" s="9">
        <f>IFERROR(__xludf.DUMMYFUNCTION("""COMPUTED_VALUE"""),594.05)</f>
        <v>594.05</v>
      </c>
      <c r="C3295" s="9">
        <f>IFERROR(__xludf.DUMMYFUNCTION("""COMPUTED_VALUE"""),604.0)</f>
        <v>604</v>
      </c>
      <c r="D3295" s="9">
        <f>IFERROR(__xludf.DUMMYFUNCTION("""COMPUTED_VALUE"""),594.05)</f>
        <v>594.05</v>
      </c>
      <c r="E3295" s="9">
        <f>IFERROR(__xludf.DUMMYFUNCTION("""COMPUTED_VALUE"""),597.28)</f>
        <v>597.28</v>
      </c>
      <c r="F3295" s="9">
        <f>IFERROR(__xludf.DUMMYFUNCTION("""COMPUTED_VALUE"""),2805987.0)</f>
        <v>2805987</v>
      </c>
      <c r="H3295" s="27">
        <f>IFERROR(__xludf.DUMMYFUNCTION("""COMPUTED_VALUE"""),43235.64583333333)</f>
        <v>43235.64583</v>
      </c>
      <c r="I3295" s="25">
        <f>IFERROR(__xludf.DUMMYFUNCTION("""COMPUTED_VALUE"""),1725.0)</f>
        <v>1725</v>
      </c>
      <c r="J3295" s="25">
        <f>IFERROR(__xludf.DUMMYFUNCTION("""COMPUTED_VALUE"""),1747.9)</f>
        <v>1747.9</v>
      </c>
      <c r="K3295" s="25">
        <f>IFERROR(__xludf.DUMMYFUNCTION("""COMPUTED_VALUE"""),1716.85)</f>
        <v>1716.85</v>
      </c>
      <c r="L3295" s="25">
        <f>IFERROR(__xludf.DUMMYFUNCTION("""COMPUTED_VALUE"""),1741.2)</f>
        <v>1741.2</v>
      </c>
      <c r="M3295" s="25">
        <f>IFERROR(__xludf.DUMMYFUNCTION("""COMPUTED_VALUE"""),976445.0)</f>
        <v>976445</v>
      </c>
    </row>
    <row r="3296">
      <c r="A3296" s="26">
        <f>IFERROR(__xludf.DUMMYFUNCTION("""COMPUTED_VALUE"""),43236.64583333333)</f>
        <v>43236.64583</v>
      </c>
      <c r="B3296" s="9">
        <f>IFERROR(__xludf.DUMMYFUNCTION("""COMPUTED_VALUE"""),593.63)</f>
        <v>593.63</v>
      </c>
      <c r="C3296" s="9">
        <f>IFERROR(__xludf.DUMMYFUNCTION("""COMPUTED_VALUE"""),599.0)</f>
        <v>599</v>
      </c>
      <c r="D3296" s="9">
        <f>IFERROR(__xludf.DUMMYFUNCTION("""COMPUTED_VALUE"""),592.25)</f>
        <v>592.25</v>
      </c>
      <c r="E3296" s="9">
        <f>IFERROR(__xludf.DUMMYFUNCTION("""COMPUTED_VALUE"""),594.98)</f>
        <v>594.98</v>
      </c>
      <c r="F3296" s="9">
        <f>IFERROR(__xludf.DUMMYFUNCTION("""COMPUTED_VALUE"""),3102502.0)</f>
        <v>3102502</v>
      </c>
      <c r="H3296" s="27">
        <f>IFERROR(__xludf.DUMMYFUNCTION("""COMPUTED_VALUE"""),43236.64583333333)</f>
        <v>43236.64583</v>
      </c>
      <c r="I3296" s="25">
        <f>IFERROR(__xludf.DUMMYFUNCTION("""COMPUTED_VALUE"""),1739.98)</f>
        <v>1739.98</v>
      </c>
      <c r="J3296" s="25">
        <f>IFERROR(__xludf.DUMMYFUNCTION("""COMPUTED_VALUE"""),1754.5)</f>
        <v>1754.5</v>
      </c>
      <c r="K3296" s="25">
        <f>IFERROR(__xludf.DUMMYFUNCTION("""COMPUTED_VALUE"""),1737.63)</f>
        <v>1737.63</v>
      </c>
      <c r="L3296" s="25">
        <f>IFERROR(__xludf.DUMMYFUNCTION("""COMPUTED_VALUE"""),1746.95)</f>
        <v>1746.95</v>
      </c>
      <c r="M3296" s="25">
        <f>IFERROR(__xludf.DUMMYFUNCTION("""COMPUTED_VALUE"""),824225.0)</f>
        <v>824225</v>
      </c>
    </row>
    <row r="3297">
      <c r="A3297" s="26">
        <f>IFERROR(__xludf.DUMMYFUNCTION("""COMPUTED_VALUE"""),43237.64583333333)</f>
        <v>43237.64583</v>
      </c>
      <c r="B3297" s="9">
        <f>IFERROR(__xludf.DUMMYFUNCTION("""COMPUTED_VALUE"""),598.0)</f>
        <v>598</v>
      </c>
      <c r="C3297" s="9">
        <f>IFERROR(__xludf.DUMMYFUNCTION("""COMPUTED_VALUE"""),598.73)</f>
        <v>598.73</v>
      </c>
      <c r="D3297" s="9">
        <f>IFERROR(__xludf.DUMMYFUNCTION("""COMPUTED_VALUE"""),586.78)</f>
        <v>586.78</v>
      </c>
      <c r="E3297" s="9">
        <f>IFERROR(__xludf.DUMMYFUNCTION("""COMPUTED_VALUE"""),591.45)</f>
        <v>591.45</v>
      </c>
      <c r="F3297" s="9">
        <f>IFERROR(__xludf.DUMMYFUNCTION("""COMPUTED_VALUE"""),4759799.0)</f>
        <v>4759799</v>
      </c>
      <c r="H3297" s="27">
        <f>IFERROR(__xludf.DUMMYFUNCTION("""COMPUTED_VALUE"""),43237.64583333333)</f>
        <v>43237.64583</v>
      </c>
      <c r="I3297" s="25">
        <f>IFERROR(__xludf.DUMMYFUNCTION("""COMPUTED_VALUE"""),1756.48)</f>
        <v>1756.48</v>
      </c>
      <c r="J3297" s="25">
        <f>IFERROR(__xludf.DUMMYFUNCTION("""COMPUTED_VALUE"""),1766.58)</f>
        <v>1766.58</v>
      </c>
      <c r="K3297" s="25">
        <f>IFERROR(__xludf.DUMMYFUNCTION("""COMPUTED_VALUE"""),1738.0)</f>
        <v>1738</v>
      </c>
      <c r="L3297" s="25">
        <f>IFERROR(__xludf.DUMMYFUNCTION("""COMPUTED_VALUE"""),1745.9)</f>
        <v>1745.9</v>
      </c>
      <c r="M3297" s="25">
        <f>IFERROR(__xludf.DUMMYFUNCTION("""COMPUTED_VALUE"""),1484024.0)</f>
        <v>1484024</v>
      </c>
    </row>
    <row r="3298">
      <c r="A3298" s="26">
        <f>IFERROR(__xludf.DUMMYFUNCTION("""COMPUTED_VALUE"""),43238.64583333333)</f>
        <v>43238.64583</v>
      </c>
      <c r="B3298" s="9">
        <f>IFERROR(__xludf.DUMMYFUNCTION("""COMPUTED_VALUE"""),591.5)</f>
        <v>591.5</v>
      </c>
      <c r="C3298" s="9">
        <f>IFERROR(__xludf.DUMMYFUNCTION("""COMPUTED_VALUE"""),593.28)</f>
        <v>593.28</v>
      </c>
      <c r="D3298" s="9">
        <f>IFERROR(__xludf.DUMMYFUNCTION("""COMPUTED_VALUE"""),586.5)</f>
        <v>586.5</v>
      </c>
      <c r="E3298" s="9">
        <f>IFERROR(__xludf.DUMMYFUNCTION("""COMPUTED_VALUE"""),591.6)</f>
        <v>591.6</v>
      </c>
      <c r="F3298" s="9">
        <f>IFERROR(__xludf.DUMMYFUNCTION("""COMPUTED_VALUE"""),3569830.0)</f>
        <v>3569830</v>
      </c>
      <c r="H3298" s="27">
        <f>IFERROR(__xludf.DUMMYFUNCTION("""COMPUTED_VALUE"""),43238.64583333333)</f>
        <v>43238.64583</v>
      </c>
      <c r="I3298" s="25">
        <f>IFERROR(__xludf.DUMMYFUNCTION("""COMPUTED_VALUE"""),1740.4)</f>
        <v>1740.4</v>
      </c>
      <c r="J3298" s="25">
        <f>IFERROR(__xludf.DUMMYFUNCTION("""COMPUTED_VALUE"""),1758.85)</f>
        <v>1758.85</v>
      </c>
      <c r="K3298" s="25">
        <f>IFERROR(__xludf.DUMMYFUNCTION("""COMPUTED_VALUE"""),1729.0)</f>
        <v>1729</v>
      </c>
      <c r="L3298" s="25">
        <f>IFERROR(__xludf.DUMMYFUNCTION("""COMPUTED_VALUE"""),1751.03)</f>
        <v>1751.03</v>
      </c>
      <c r="M3298" s="25">
        <f>IFERROR(__xludf.DUMMYFUNCTION("""COMPUTED_VALUE"""),937498.0)</f>
        <v>937498</v>
      </c>
    </row>
    <row r="3299">
      <c r="A3299" s="26">
        <f>IFERROR(__xludf.DUMMYFUNCTION("""COMPUTED_VALUE"""),43241.64583333333)</f>
        <v>43241.64583</v>
      </c>
      <c r="B3299" s="9">
        <f>IFERROR(__xludf.DUMMYFUNCTION("""COMPUTED_VALUE"""),589.78)</f>
        <v>589.78</v>
      </c>
      <c r="C3299" s="9">
        <f>IFERROR(__xludf.DUMMYFUNCTION("""COMPUTED_VALUE"""),594.2)</f>
        <v>594.2</v>
      </c>
      <c r="D3299" s="9">
        <f>IFERROR(__xludf.DUMMYFUNCTION("""COMPUTED_VALUE"""),585.0)</f>
        <v>585</v>
      </c>
      <c r="E3299" s="9">
        <f>IFERROR(__xludf.DUMMYFUNCTION("""COMPUTED_VALUE"""),589.75)</f>
        <v>589.75</v>
      </c>
      <c r="F3299" s="9">
        <f>IFERROR(__xludf.DUMMYFUNCTION("""COMPUTED_VALUE"""),4237660.0)</f>
        <v>4237660</v>
      </c>
      <c r="H3299" s="27">
        <f>IFERROR(__xludf.DUMMYFUNCTION("""COMPUTED_VALUE"""),43241.64583333333)</f>
        <v>43241.64583</v>
      </c>
      <c r="I3299" s="25">
        <f>IFERROR(__xludf.DUMMYFUNCTION("""COMPUTED_VALUE"""),1764.35)</f>
        <v>1764.35</v>
      </c>
      <c r="J3299" s="25">
        <f>IFERROR(__xludf.DUMMYFUNCTION("""COMPUTED_VALUE"""),1796.0)</f>
        <v>1796</v>
      </c>
      <c r="K3299" s="25">
        <f>IFERROR(__xludf.DUMMYFUNCTION("""COMPUTED_VALUE"""),1759.03)</f>
        <v>1759.03</v>
      </c>
      <c r="L3299" s="25">
        <f>IFERROR(__xludf.DUMMYFUNCTION("""COMPUTED_VALUE"""),1778.38)</f>
        <v>1778.38</v>
      </c>
      <c r="M3299" s="25">
        <f>IFERROR(__xludf.DUMMYFUNCTION("""COMPUTED_VALUE"""),1723089.0)</f>
        <v>1723089</v>
      </c>
    </row>
    <row r="3300">
      <c r="A3300" s="26">
        <f>IFERROR(__xludf.DUMMYFUNCTION("""COMPUTED_VALUE"""),43242.64583333333)</f>
        <v>43242.64583</v>
      </c>
      <c r="B3300" s="9">
        <f>IFERROR(__xludf.DUMMYFUNCTION("""COMPUTED_VALUE"""),587.5)</f>
        <v>587.5</v>
      </c>
      <c r="C3300" s="9">
        <f>IFERROR(__xludf.DUMMYFUNCTION("""COMPUTED_VALUE"""),599.0)</f>
        <v>599</v>
      </c>
      <c r="D3300" s="9">
        <f>IFERROR(__xludf.DUMMYFUNCTION("""COMPUTED_VALUE"""),586.95)</f>
        <v>586.95</v>
      </c>
      <c r="E3300" s="9">
        <f>IFERROR(__xludf.DUMMYFUNCTION("""COMPUTED_VALUE"""),596.92)</f>
        <v>596.92</v>
      </c>
      <c r="F3300" s="9">
        <f>IFERROR(__xludf.DUMMYFUNCTION("""COMPUTED_VALUE"""),2818402.0)</f>
        <v>2818402</v>
      </c>
      <c r="H3300" s="27">
        <f>IFERROR(__xludf.DUMMYFUNCTION("""COMPUTED_VALUE"""),43242.64583333333)</f>
        <v>43242.64583</v>
      </c>
      <c r="I3300" s="25">
        <f>IFERROR(__xludf.DUMMYFUNCTION("""COMPUTED_VALUE"""),1779.0)</f>
        <v>1779</v>
      </c>
      <c r="J3300" s="25">
        <f>IFERROR(__xludf.DUMMYFUNCTION("""COMPUTED_VALUE"""),1787.48)</f>
        <v>1787.48</v>
      </c>
      <c r="K3300" s="25">
        <f>IFERROR(__xludf.DUMMYFUNCTION("""COMPUTED_VALUE"""),1746.85)</f>
        <v>1746.85</v>
      </c>
      <c r="L3300" s="25">
        <f>IFERROR(__xludf.DUMMYFUNCTION("""COMPUTED_VALUE"""),1754.45)</f>
        <v>1754.45</v>
      </c>
      <c r="M3300" s="25">
        <f>IFERROR(__xludf.DUMMYFUNCTION("""COMPUTED_VALUE"""),928708.0)</f>
        <v>928708</v>
      </c>
    </row>
    <row r="3301">
      <c r="A3301" s="26">
        <f>IFERROR(__xludf.DUMMYFUNCTION("""COMPUTED_VALUE"""),43243.64583333333)</f>
        <v>43243.64583</v>
      </c>
      <c r="B3301" s="9">
        <f>IFERROR(__xludf.DUMMYFUNCTION("""COMPUTED_VALUE"""),597.5)</f>
        <v>597.5</v>
      </c>
      <c r="C3301" s="9">
        <f>IFERROR(__xludf.DUMMYFUNCTION("""COMPUTED_VALUE"""),603.83)</f>
        <v>603.83</v>
      </c>
      <c r="D3301" s="9">
        <f>IFERROR(__xludf.DUMMYFUNCTION("""COMPUTED_VALUE"""),590.75)</f>
        <v>590.75</v>
      </c>
      <c r="E3301" s="9">
        <f>IFERROR(__xludf.DUMMYFUNCTION("""COMPUTED_VALUE"""),592.45)</f>
        <v>592.45</v>
      </c>
      <c r="F3301" s="9">
        <f>IFERROR(__xludf.DUMMYFUNCTION("""COMPUTED_VALUE"""),4769221.0)</f>
        <v>4769221</v>
      </c>
      <c r="H3301" s="27">
        <f>IFERROR(__xludf.DUMMYFUNCTION("""COMPUTED_VALUE"""),43243.64583333333)</f>
        <v>43243.64583</v>
      </c>
      <c r="I3301" s="25">
        <f>IFERROR(__xludf.DUMMYFUNCTION("""COMPUTED_VALUE"""),1762.5)</f>
        <v>1762.5</v>
      </c>
      <c r="J3301" s="25">
        <f>IFERROR(__xludf.DUMMYFUNCTION("""COMPUTED_VALUE"""),1772.5)</f>
        <v>1772.5</v>
      </c>
      <c r="K3301" s="25">
        <f>IFERROR(__xludf.DUMMYFUNCTION("""COMPUTED_VALUE"""),1740.5)</f>
        <v>1740.5</v>
      </c>
      <c r="L3301" s="25">
        <f>IFERROR(__xludf.DUMMYFUNCTION("""COMPUTED_VALUE"""),1747.55)</f>
        <v>1747.55</v>
      </c>
      <c r="M3301" s="25">
        <f>IFERROR(__xludf.DUMMYFUNCTION("""COMPUTED_VALUE"""),753649.0)</f>
        <v>753649</v>
      </c>
    </row>
    <row r="3302">
      <c r="A3302" s="26">
        <f>IFERROR(__xludf.DUMMYFUNCTION("""COMPUTED_VALUE"""),43244.64583333333)</f>
        <v>43244.64583</v>
      </c>
      <c r="B3302" s="9">
        <f>IFERROR(__xludf.DUMMYFUNCTION("""COMPUTED_VALUE"""),599.0)</f>
        <v>599</v>
      </c>
      <c r="C3302" s="9">
        <f>IFERROR(__xludf.DUMMYFUNCTION("""COMPUTED_VALUE"""),613.78)</f>
        <v>613.78</v>
      </c>
      <c r="D3302" s="9">
        <f>IFERROR(__xludf.DUMMYFUNCTION("""COMPUTED_VALUE"""),599.0)</f>
        <v>599</v>
      </c>
      <c r="E3302" s="9">
        <f>IFERROR(__xludf.DUMMYFUNCTION("""COMPUTED_VALUE"""),610.5)</f>
        <v>610.5</v>
      </c>
      <c r="F3302" s="9">
        <f>IFERROR(__xludf.DUMMYFUNCTION("""COMPUTED_VALUE"""),4870285.0)</f>
        <v>4870285</v>
      </c>
      <c r="H3302" s="27">
        <f>IFERROR(__xludf.DUMMYFUNCTION("""COMPUTED_VALUE"""),43244.64583333333)</f>
        <v>43244.64583</v>
      </c>
      <c r="I3302" s="25">
        <f>IFERROR(__xludf.DUMMYFUNCTION("""COMPUTED_VALUE"""),1755.0)</f>
        <v>1755</v>
      </c>
      <c r="J3302" s="25">
        <f>IFERROR(__xludf.DUMMYFUNCTION("""COMPUTED_VALUE"""),1807.5)</f>
        <v>1807.5</v>
      </c>
      <c r="K3302" s="25">
        <f>IFERROR(__xludf.DUMMYFUNCTION("""COMPUTED_VALUE"""),1751.18)</f>
        <v>1751.18</v>
      </c>
      <c r="L3302" s="25">
        <f>IFERROR(__xludf.DUMMYFUNCTION("""COMPUTED_VALUE"""),1801.85)</f>
        <v>1801.85</v>
      </c>
      <c r="M3302" s="25">
        <f>IFERROR(__xludf.DUMMYFUNCTION("""COMPUTED_VALUE"""),1481158.0)</f>
        <v>1481158</v>
      </c>
    </row>
    <row r="3303">
      <c r="A3303" s="26">
        <f>IFERROR(__xludf.DUMMYFUNCTION("""COMPUTED_VALUE"""),43245.64583333333)</f>
        <v>43245.64583</v>
      </c>
      <c r="B3303" s="9">
        <f>IFERROR(__xludf.DUMMYFUNCTION("""COMPUTED_VALUE"""),615.05)</f>
        <v>615.05</v>
      </c>
      <c r="C3303" s="9">
        <f>IFERROR(__xludf.DUMMYFUNCTION("""COMPUTED_VALUE"""),624.33)</f>
        <v>624.33</v>
      </c>
      <c r="D3303" s="9">
        <f>IFERROR(__xludf.DUMMYFUNCTION("""COMPUTED_VALUE"""),610.4)</f>
        <v>610.4</v>
      </c>
      <c r="E3303" s="9">
        <f>IFERROR(__xludf.DUMMYFUNCTION("""COMPUTED_VALUE"""),614.15)</f>
        <v>614.15</v>
      </c>
      <c r="F3303" s="9">
        <f>IFERROR(__xludf.DUMMYFUNCTION("""COMPUTED_VALUE"""),4450719.0)</f>
        <v>4450719</v>
      </c>
      <c r="H3303" s="27">
        <f>IFERROR(__xludf.DUMMYFUNCTION("""COMPUTED_VALUE"""),43245.64583333333)</f>
        <v>43245.64583</v>
      </c>
      <c r="I3303" s="25">
        <f>IFERROR(__xludf.DUMMYFUNCTION("""COMPUTED_VALUE"""),1812.5)</f>
        <v>1812.5</v>
      </c>
      <c r="J3303" s="25">
        <f>IFERROR(__xludf.DUMMYFUNCTION("""COMPUTED_VALUE"""),1837.4)</f>
        <v>1837.4</v>
      </c>
      <c r="K3303" s="25">
        <f>IFERROR(__xludf.DUMMYFUNCTION("""COMPUTED_VALUE"""),1786.28)</f>
        <v>1786.28</v>
      </c>
      <c r="L3303" s="25">
        <f>IFERROR(__xludf.DUMMYFUNCTION("""COMPUTED_VALUE"""),1792.9)</f>
        <v>1792.9</v>
      </c>
      <c r="M3303" s="25">
        <f>IFERROR(__xludf.DUMMYFUNCTION("""COMPUTED_VALUE"""),1884886.0)</f>
        <v>1884886</v>
      </c>
    </row>
    <row r="3304">
      <c r="A3304" s="26">
        <f>IFERROR(__xludf.DUMMYFUNCTION("""COMPUTED_VALUE"""),43248.64583333333)</f>
        <v>43248.64583</v>
      </c>
      <c r="B3304" s="9">
        <f>IFERROR(__xludf.DUMMYFUNCTION("""COMPUTED_VALUE"""),615.5)</f>
        <v>615.5</v>
      </c>
      <c r="C3304" s="9">
        <f>IFERROR(__xludf.DUMMYFUNCTION("""COMPUTED_VALUE"""),616.3)</f>
        <v>616.3</v>
      </c>
      <c r="D3304" s="9">
        <f>IFERROR(__xludf.DUMMYFUNCTION("""COMPUTED_VALUE"""),603.0)</f>
        <v>603</v>
      </c>
      <c r="E3304" s="9">
        <f>IFERROR(__xludf.DUMMYFUNCTION("""COMPUTED_VALUE"""),607.2)</f>
        <v>607.2</v>
      </c>
      <c r="F3304" s="9">
        <f>IFERROR(__xludf.DUMMYFUNCTION("""COMPUTED_VALUE"""),2869897.0)</f>
        <v>2869897</v>
      </c>
      <c r="H3304" s="27">
        <f>IFERROR(__xludf.DUMMYFUNCTION("""COMPUTED_VALUE"""),43248.64583333333)</f>
        <v>43248.64583</v>
      </c>
      <c r="I3304" s="25">
        <f>IFERROR(__xludf.DUMMYFUNCTION("""COMPUTED_VALUE"""),1808.25)</f>
        <v>1808.25</v>
      </c>
      <c r="J3304" s="25">
        <f>IFERROR(__xludf.DUMMYFUNCTION("""COMPUTED_VALUE"""),1808.25)</f>
        <v>1808.25</v>
      </c>
      <c r="K3304" s="25">
        <f>IFERROR(__xludf.DUMMYFUNCTION("""COMPUTED_VALUE"""),1743.0)</f>
        <v>1743</v>
      </c>
      <c r="L3304" s="25">
        <f>IFERROR(__xludf.DUMMYFUNCTION("""COMPUTED_VALUE"""),1751.03)</f>
        <v>1751.03</v>
      </c>
      <c r="M3304" s="25">
        <f>IFERROR(__xludf.DUMMYFUNCTION("""COMPUTED_VALUE"""),1858399.0)</f>
        <v>1858399</v>
      </c>
    </row>
    <row r="3305">
      <c r="A3305" s="26">
        <f>IFERROR(__xludf.DUMMYFUNCTION("""COMPUTED_VALUE"""),43249.64583333333)</f>
        <v>43249.64583</v>
      </c>
      <c r="B3305" s="9">
        <f>IFERROR(__xludf.DUMMYFUNCTION("""COMPUTED_VALUE"""),607.03)</f>
        <v>607.03</v>
      </c>
      <c r="C3305" s="9">
        <f>IFERROR(__xludf.DUMMYFUNCTION("""COMPUTED_VALUE"""),613.28)</f>
        <v>613.28</v>
      </c>
      <c r="D3305" s="9">
        <f>IFERROR(__xludf.DUMMYFUNCTION("""COMPUTED_VALUE"""),603.1)</f>
        <v>603.1</v>
      </c>
      <c r="E3305" s="9">
        <f>IFERROR(__xludf.DUMMYFUNCTION("""COMPUTED_VALUE"""),608.35)</f>
        <v>608.35</v>
      </c>
      <c r="F3305" s="9">
        <f>IFERROR(__xludf.DUMMYFUNCTION("""COMPUTED_VALUE"""),1694467.0)</f>
        <v>1694467</v>
      </c>
      <c r="H3305" s="27">
        <f>IFERROR(__xludf.DUMMYFUNCTION("""COMPUTED_VALUE"""),43249.64583333333)</f>
        <v>43249.64583</v>
      </c>
      <c r="I3305" s="25">
        <f>IFERROR(__xludf.DUMMYFUNCTION("""COMPUTED_VALUE"""),1764.95)</f>
        <v>1764.95</v>
      </c>
      <c r="J3305" s="25">
        <f>IFERROR(__xludf.DUMMYFUNCTION("""COMPUTED_VALUE"""),1772.0)</f>
        <v>1772</v>
      </c>
      <c r="K3305" s="25">
        <f>IFERROR(__xludf.DUMMYFUNCTION("""COMPUTED_VALUE"""),1744.0)</f>
        <v>1744</v>
      </c>
      <c r="L3305" s="25">
        <f>IFERROR(__xludf.DUMMYFUNCTION("""COMPUTED_VALUE"""),1761.75)</f>
        <v>1761.75</v>
      </c>
      <c r="M3305" s="25">
        <f>IFERROR(__xludf.DUMMYFUNCTION("""COMPUTED_VALUE"""),1762656.0)</f>
        <v>1762656</v>
      </c>
    </row>
    <row r="3306">
      <c r="A3306" s="26">
        <f>IFERROR(__xludf.DUMMYFUNCTION("""COMPUTED_VALUE"""),43250.64583333333)</f>
        <v>43250.64583</v>
      </c>
      <c r="B3306" s="9">
        <f>IFERROR(__xludf.DUMMYFUNCTION("""COMPUTED_VALUE"""),608.5)</f>
        <v>608.5</v>
      </c>
      <c r="C3306" s="9">
        <f>IFERROR(__xludf.DUMMYFUNCTION("""COMPUTED_VALUE"""),614.38)</f>
        <v>614.38</v>
      </c>
      <c r="D3306" s="9">
        <f>IFERROR(__xludf.DUMMYFUNCTION("""COMPUTED_VALUE"""),602.8)</f>
        <v>602.8</v>
      </c>
      <c r="E3306" s="9">
        <f>IFERROR(__xludf.DUMMYFUNCTION("""COMPUTED_VALUE"""),605.85)</f>
        <v>605.85</v>
      </c>
      <c r="F3306" s="9">
        <f>IFERROR(__xludf.DUMMYFUNCTION("""COMPUTED_VALUE"""),3161533.0)</f>
        <v>3161533</v>
      </c>
      <c r="H3306" s="27">
        <f>IFERROR(__xludf.DUMMYFUNCTION("""COMPUTED_VALUE"""),43250.64583333333)</f>
        <v>43250.64583</v>
      </c>
      <c r="I3306" s="25">
        <f>IFERROR(__xludf.DUMMYFUNCTION("""COMPUTED_VALUE"""),1754.53)</f>
        <v>1754.53</v>
      </c>
      <c r="J3306" s="25">
        <f>IFERROR(__xludf.DUMMYFUNCTION("""COMPUTED_VALUE"""),1766.5)</f>
        <v>1766.5</v>
      </c>
      <c r="K3306" s="25">
        <f>IFERROR(__xludf.DUMMYFUNCTION("""COMPUTED_VALUE"""),1741.25)</f>
        <v>1741.25</v>
      </c>
      <c r="L3306" s="25">
        <f>IFERROR(__xludf.DUMMYFUNCTION("""COMPUTED_VALUE"""),1757.05)</f>
        <v>1757.05</v>
      </c>
      <c r="M3306" s="25">
        <f>IFERROR(__xludf.DUMMYFUNCTION("""COMPUTED_VALUE"""),1889553.0)</f>
        <v>1889553</v>
      </c>
    </row>
    <row r="3307">
      <c r="A3307" s="26">
        <f>IFERROR(__xludf.DUMMYFUNCTION("""COMPUTED_VALUE"""),43251.64583333333)</f>
        <v>43251.64583</v>
      </c>
      <c r="B3307" s="9">
        <f>IFERROR(__xludf.DUMMYFUNCTION("""COMPUTED_VALUE"""),605.85)</f>
        <v>605.85</v>
      </c>
      <c r="C3307" s="9">
        <f>IFERROR(__xludf.DUMMYFUNCTION("""COMPUTED_VALUE"""),621.0)</f>
        <v>621</v>
      </c>
      <c r="D3307" s="9">
        <f>IFERROR(__xludf.DUMMYFUNCTION("""COMPUTED_VALUE"""),605.13)</f>
        <v>605.13</v>
      </c>
      <c r="E3307" s="9">
        <f>IFERROR(__xludf.DUMMYFUNCTION("""COMPUTED_VALUE"""),615.9)</f>
        <v>615.9</v>
      </c>
      <c r="F3307" s="9">
        <f>IFERROR(__xludf.DUMMYFUNCTION("""COMPUTED_VALUE"""),9860170.0)</f>
        <v>9860170</v>
      </c>
      <c r="H3307" s="27">
        <f>IFERROR(__xludf.DUMMYFUNCTION("""COMPUTED_VALUE"""),43251.64583333333)</f>
        <v>43251.64583</v>
      </c>
      <c r="I3307" s="25">
        <f>IFERROR(__xludf.DUMMYFUNCTION("""COMPUTED_VALUE"""),1734.0)</f>
        <v>1734</v>
      </c>
      <c r="J3307" s="25">
        <f>IFERROR(__xludf.DUMMYFUNCTION("""COMPUTED_VALUE"""),1759.05)</f>
        <v>1759.05</v>
      </c>
      <c r="K3307" s="25">
        <f>IFERROR(__xludf.DUMMYFUNCTION("""COMPUTED_VALUE"""),1726.1)</f>
        <v>1726.1</v>
      </c>
      <c r="L3307" s="25">
        <f>IFERROR(__xludf.DUMMYFUNCTION("""COMPUTED_VALUE"""),1741.05)</f>
        <v>1741.05</v>
      </c>
      <c r="M3307" s="25">
        <f>IFERROR(__xludf.DUMMYFUNCTION("""COMPUTED_VALUE"""),5049371.0)</f>
        <v>5049371</v>
      </c>
    </row>
    <row r="3308">
      <c r="A3308" s="26">
        <f>IFERROR(__xludf.DUMMYFUNCTION("""COMPUTED_VALUE"""),43252.64583333333)</f>
        <v>43252.64583</v>
      </c>
      <c r="B3308" s="9">
        <f>IFERROR(__xludf.DUMMYFUNCTION("""COMPUTED_VALUE"""),615.2)</f>
        <v>615.2</v>
      </c>
      <c r="C3308" s="9">
        <f>IFERROR(__xludf.DUMMYFUNCTION("""COMPUTED_VALUE"""),623.13)</f>
        <v>623.13</v>
      </c>
      <c r="D3308" s="9">
        <f>IFERROR(__xludf.DUMMYFUNCTION("""COMPUTED_VALUE"""),608.6)</f>
        <v>608.6</v>
      </c>
      <c r="E3308" s="9">
        <f>IFERROR(__xludf.DUMMYFUNCTION("""COMPUTED_VALUE"""),610.4)</f>
        <v>610.4</v>
      </c>
      <c r="F3308" s="9">
        <f>IFERROR(__xludf.DUMMYFUNCTION("""COMPUTED_VALUE"""),2499178.0)</f>
        <v>2499178</v>
      </c>
      <c r="H3308" s="27">
        <f>IFERROR(__xludf.DUMMYFUNCTION("""COMPUTED_VALUE"""),43252.64583333333)</f>
        <v>43252.64583</v>
      </c>
      <c r="I3308" s="25">
        <f>IFERROR(__xludf.DUMMYFUNCTION("""COMPUTED_VALUE"""),1754.0)</f>
        <v>1754</v>
      </c>
      <c r="J3308" s="25">
        <f>IFERROR(__xludf.DUMMYFUNCTION("""COMPUTED_VALUE"""),1758.0)</f>
        <v>1758</v>
      </c>
      <c r="K3308" s="25">
        <f>IFERROR(__xludf.DUMMYFUNCTION("""COMPUTED_VALUE"""),1716.0)</f>
        <v>1716</v>
      </c>
      <c r="L3308" s="25">
        <f>IFERROR(__xludf.DUMMYFUNCTION("""COMPUTED_VALUE"""),1732.0)</f>
        <v>1732</v>
      </c>
      <c r="M3308" s="25">
        <f>IFERROR(__xludf.DUMMYFUNCTION("""COMPUTED_VALUE"""),1603856.0)</f>
        <v>1603856</v>
      </c>
    </row>
    <row r="3309">
      <c r="A3309" s="26">
        <f>IFERROR(__xludf.DUMMYFUNCTION("""COMPUTED_VALUE"""),43255.64583333333)</f>
        <v>43255.64583</v>
      </c>
      <c r="B3309" s="9">
        <f>IFERROR(__xludf.DUMMYFUNCTION("""COMPUTED_VALUE"""),610.55)</f>
        <v>610.55</v>
      </c>
      <c r="C3309" s="9">
        <f>IFERROR(__xludf.DUMMYFUNCTION("""COMPUTED_VALUE"""),621.5)</f>
        <v>621.5</v>
      </c>
      <c r="D3309" s="9">
        <f>IFERROR(__xludf.DUMMYFUNCTION("""COMPUTED_VALUE"""),606.0)</f>
        <v>606</v>
      </c>
      <c r="E3309" s="9">
        <f>IFERROR(__xludf.DUMMYFUNCTION("""COMPUTED_VALUE"""),619.7)</f>
        <v>619.7</v>
      </c>
      <c r="F3309" s="9">
        <f>IFERROR(__xludf.DUMMYFUNCTION("""COMPUTED_VALUE"""),2135078.0)</f>
        <v>2135078</v>
      </c>
      <c r="H3309" s="27">
        <f>IFERROR(__xludf.DUMMYFUNCTION("""COMPUTED_VALUE"""),43255.64583333333)</f>
        <v>43255.64583</v>
      </c>
      <c r="I3309" s="25">
        <f>IFERROR(__xludf.DUMMYFUNCTION("""COMPUTED_VALUE"""),1745.0)</f>
        <v>1745</v>
      </c>
      <c r="J3309" s="25">
        <f>IFERROR(__xludf.DUMMYFUNCTION("""COMPUTED_VALUE"""),1749.0)</f>
        <v>1749</v>
      </c>
      <c r="K3309" s="25">
        <f>IFERROR(__xludf.DUMMYFUNCTION("""COMPUTED_VALUE"""),1712.6)</f>
        <v>1712.6</v>
      </c>
      <c r="L3309" s="25">
        <f>IFERROR(__xludf.DUMMYFUNCTION("""COMPUTED_VALUE"""),1744.25)</f>
        <v>1744.25</v>
      </c>
      <c r="M3309" s="25">
        <f>IFERROR(__xludf.DUMMYFUNCTION("""COMPUTED_VALUE"""),1681483.0)</f>
        <v>1681483</v>
      </c>
    </row>
    <row r="3310">
      <c r="A3310" s="26">
        <f>IFERROR(__xludf.DUMMYFUNCTION("""COMPUTED_VALUE"""),43256.64583333333)</f>
        <v>43256.64583</v>
      </c>
      <c r="B3310" s="9">
        <f>IFERROR(__xludf.DUMMYFUNCTION("""COMPUTED_VALUE"""),621.0)</f>
        <v>621</v>
      </c>
      <c r="C3310" s="9">
        <f>IFERROR(__xludf.DUMMYFUNCTION("""COMPUTED_VALUE"""),621.0)</f>
        <v>621</v>
      </c>
      <c r="D3310" s="9">
        <f>IFERROR(__xludf.DUMMYFUNCTION("""COMPUTED_VALUE"""),608.5)</f>
        <v>608.5</v>
      </c>
      <c r="E3310" s="9">
        <f>IFERROR(__xludf.DUMMYFUNCTION("""COMPUTED_VALUE"""),610.42)</f>
        <v>610.42</v>
      </c>
      <c r="F3310" s="9">
        <f>IFERROR(__xludf.DUMMYFUNCTION("""COMPUTED_VALUE"""),2355431.0)</f>
        <v>2355431</v>
      </c>
      <c r="H3310" s="27">
        <f>IFERROR(__xludf.DUMMYFUNCTION("""COMPUTED_VALUE"""),43256.64583333333)</f>
        <v>43256.64583</v>
      </c>
      <c r="I3310" s="25">
        <f>IFERROR(__xludf.DUMMYFUNCTION("""COMPUTED_VALUE"""),1744.0)</f>
        <v>1744</v>
      </c>
      <c r="J3310" s="25">
        <f>IFERROR(__xludf.DUMMYFUNCTION("""COMPUTED_VALUE"""),1751.9)</f>
        <v>1751.9</v>
      </c>
      <c r="K3310" s="25">
        <f>IFERROR(__xludf.DUMMYFUNCTION("""COMPUTED_VALUE"""),1711.15)</f>
        <v>1711.15</v>
      </c>
      <c r="L3310" s="25">
        <f>IFERROR(__xludf.DUMMYFUNCTION("""COMPUTED_VALUE"""),1721.6)</f>
        <v>1721.6</v>
      </c>
      <c r="M3310" s="25">
        <f>IFERROR(__xludf.DUMMYFUNCTION("""COMPUTED_VALUE"""),2449568.0)</f>
        <v>2449568</v>
      </c>
    </row>
    <row r="3311">
      <c r="A3311" s="26">
        <f>IFERROR(__xludf.DUMMYFUNCTION("""COMPUTED_VALUE"""),43257.64583333333)</f>
        <v>43257.64583</v>
      </c>
      <c r="B3311" s="9">
        <f>IFERROR(__xludf.DUMMYFUNCTION("""COMPUTED_VALUE"""),612.6)</f>
        <v>612.6</v>
      </c>
      <c r="C3311" s="9">
        <f>IFERROR(__xludf.DUMMYFUNCTION("""COMPUTED_VALUE"""),620.78)</f>
        <v>620.78</v>
      </c>
      <c r="D3311" s="9">
        <f>IFERROR(__xludf.DUMMYFUNCTION("""COMPUTED_VALUE"""),610.03)</f>
        <v>610.03</v>
      </c>
      <c r="E3311" s="9">
        <f>IFERROR(__xludf.DUMMYFUNCTION("""COMPUTED_VALUE"""),618.73)</f>
        <v>618.73</v>
      </c>
      <c r="F3311" s="9">
        <f>IFERROR(__xludf.DUMMYFUNCTION("""COMPUTED_VALUE"""),2019092.0)</f>
        <v>2019092</v>
      </c>
      <c r="H3311" s="27">
        <f>IFERROR(__xludf.DUMMYFUNCTION("""COMPUTED_VALUE"""),43257.64583333333)</f>
        <v>43257.64583</v>
      </c>
      <c r="I3311" s="25">
        <f>IFERROR(__xludf.DUMMYFUNCTION("""COMPUTED_VALUE"""),1723.0)</f>
        <v>1723</v>
      </c>
      <c r="J3311" s="25">
        <f>IFERROR(__xludf.DUMMYFUNCTION("""COMPUTED_VALUE"""),1734.9)</f>
        <v>1734.9</v>
      </c>
      <c r="K3311" s="25">
        <f>IFERROR(__xludf.DUMMYFUNCTION("""COMPUTED_VALUE"""),1715.2)</f>
        <v>1715.2</v>
      </c>
      <c r="L3311" s="25">
        <f>IFERROR(__xludf.DUMMYFUNCTION("""COMPUTED_VALUE"""),1725.75)</f>
        <v>1725.75</v>
      </c>
      <c r="M3311" s="25">
        <f>IFERROR(__xludf.DUMMYFUNCTION("""COMPUTED_VALUE"""),2236512.0)</f>
        <v>2236512</v>
      </c>
    </row>
    <row r="3312">
      <c r="A3312" s="26">
        <f>IFERROR(__xludf.DUMMYFUNCTION("""COMPUTED_VALUE"""),43258.64583333333)</f>
        <v>43258.64583</v>
      </c>
      <c r="B3312" s="9">
        <f>IFERROR(__xludf.DUMMYFUNCTION("""COMPUTED_VALUE"""),619.0)</f>
        <v>619</v>
      </c>
      <c r="C3312" s="9">
        <f>IFERROR(__xludf.DUMMYFUNCTION("""COMPUTED_VALUE"""),629.0)</f>
        <v>629</v>
      </c>
      <c r="D3312" s="9">
        <f>IFERROR(__xludf.DUMMYFUNCTION("""COMPUTED_VALUE"""),619.0)</f>
        <v>619</v>
      </c>
      <c r="E3312" s="9">
        <f>IFERROR(__xludf.DUMMYFUNCTION("""COMPUTED_VALUE"""),626.23)</f>
        <v>626.23</v>
      </c>
      <c r="F3312" s="9">
        <f>IFERROR(__xludf.DUMMYFUNCTION("""COMPUTED_VALUE"""),3338113.0)</f>
        <v>3338113</v>
      </c>
      <c r="H3312" s="27">
        <f>IFERROR(__xludf.DUMMYFUNCTION("""COMPUTED_VALUE"""),43258.64583333333)</f>
        <v>43258.64583</v>
      </c>
      <c r="I3312" s="25">
        <f>IFERROR(__xludf.DUMMYFUNCTION("""COMPUTED_VALUE"""),1725.0)</f>
        <v>1725</v>
      </c>
      <c r="J3312" s="25">
        <f>IFERROR(__xludf.DUMMYFUNCTION("""COMPUTED_VALUE"""),1749.0)</f>
        <v>1749</v>
      </c>
      <c r="K3312" s="25">
        <f>IFERROR(__xludf.DUMMYFUNCTION("""COMPUTED_VALUE"""),1723.8)</f>
        <v>1723.8</v>
      </c>
      <c r="L3312" s="25">
        <f>IFERROR(__xludf.DUMMYFUNCTION("""COMPUTED_VALUE"""),1735.55)</f>
        <v>1735.55</v>
      </c>
      <c r="M3312" s="25">
        <f>IFERROR(__xludf.DUMMYFUNCTION("""COMPUTED_VALUE"""),2414762.0)</f>
        <v>2414762</v>
      </c>
    </row>
    <row r="3313">
      <c r="A3313" s="26">
        <f>IFERROR(__xludf.DUMMYFUNCTION("""COMPUTED_VALUE"""),43259.64583333333)</f>
        <v>43259.64583</v>
      </c>
      <c r="B3313" s="9">
        <f>IFERROR(__xludf.DUMMYFUNCTION("""COMPUTED_VALUE"""),624.0)</f>
        <v>624</v>
      </c>
      <c r="C3313" s="9">
        <f>IFERROR(__xludf.DUMMYFUNCTION("""COMPUTED_VALUE"""),631.0)</f>
        <v>631</v>
      </c>
      <c r="D3313" s="9">
        <f>IFERROR(__xludf.DUMMYFUNCTION("""COMPUTED_VALUE"""),623.03)</f>
        <v>623.03</v>
      </c>
      <c r="E3313" s="9">
        <f>IFERROR(__xludf.DUMMYFUNCTION("""COMPUTED_VALUE"""),630.03)</f>
        <v>630.03</v>
      </c>
      <c r="F3313" s="9">
        <f>IFERROR(__xludf.DUMMYFUNCTION("""COMPUTED_VALUE"""),3229939.0)</f>
        <v>3229939</v>
      </c>
      <c r="H3313" s="27">
        <f>IFERROR(__xludf.DUMMYFUNCTION("""COMPUTED_VALUE"""),43259.64583333333)</f>
        <v>43259.64583</v>
      </c>
      <c r="I3313" s="25">
        <f>IFERROR(__xludf.DUMMYFUNCTION("""COMPUTED_VALUE"""),1735.0)</f>
        <v>1735</v>
      </c>
      <c r="J3313" s="25">
        <f>IFERROR(__xludf.DUMMYFUNCTION("""COMPUTED_VALUE"""),1757.3)</f>
        <v>1757.3</v>
      </c>
      <c r="K3313" s="25">
        <f>IFERROR(__xludf.DUMMYFUNCTION("""COMPUTED_VALUE"""),1735.0)</f>
        <v>1735</v>
      </c>
      <c r="L3313" s="25">
        <f>IFERROR(__xludf.DUMMYFUNCTION("""COMPUTED_VALUE"""),1747.1)</f>
        <v>1747.1</v>
      </c>
      <c r="M3313" s="25">
        <f>IFERROR(__xludf.DUMMYFUNCTION("""COMPUTED_VALUE"""),2582138.0)</f>
        <v>2582138</v>
      </c>
    </row>
    <row r="3314">
      <c r="A3314" s="26">
        <f>IFERROR(__xludf.DUMMYFUNCTION("""COMPUTED_VALUE"""),43262.64583333333)</f>
        <v>43262.64583</v>
      </c>
      <c r="B3314" s="9">
        <f>IFERROR(__xludf.DUMMYFUNCTION("""COMPUTED_VALUE"""),632.78)</f>
        <v>632.78</v>
      </c>
      <c r="C3314" s="9">
        <f>IFERROR(__xludf.DUMMYFUNCTION("""COMPUTED_VALUE"""),635.0)</f>
        <v>635</v>
      </c>
      <c r="D3314" s="9">
        <f>IFERROR(__xludf.DUMMYFUNCTION("""COMPUTED_VALUE"""),627.53)</f>
        <v>627.53</v>
      </c>
      <c r="E3314" s="9">
        <f>IFERROR(__xludf.DUMMYFUNCTION("""COMPUTED_VALUE"""),631.2)</f>
        <v>631.2</v>
      </c>
      <c r="F3314" s="9">
        <f>IFERROR(__xludf.DUMMYFUNCTION("""COMPUTED_VALUE"""),2585645.0)</f>
        <v>2585645</v>
      </c>
      <c r="H3314" s="27">
        <f>IFERROR(__xludf.DUMMYFUNCTION("""COMPUTED_VALUE"""),43262.64583333333)</f>
        <v>43262.64583</v>
      </c>
      <c r="I3314" s="25">
        <f>IFERROR(__xludf.DUMMYFUNCTION("""COMPUTED_VALUE"""),1747.1)</f>
        <v>1747.1</v>
      </c>
      <c r="J3314" s="25">
        <f>IFERROR(__xludf.DUMMYFUNCTION("""COMPUTED_VALUE"""),1763.0)</f>
        <v>1763</v>
      </c>
      <c r="K3314" s="25">
        <f>IFERROR(__xludf.DUMMYFUNCTION("""COMPUTED_VALUE"""),1743.0)</f>
        <v>1743</v>
      </c>
      <c r="L3314" s="25">
        <f>IFERROR(__xludf.DUMMYFUNCTION("""COMPUTED_VALUE"""),1749.7)</f>
        <v>1749.7</v>
      </c>
      <c r="M3314" s="25">
        <f>IFERROR(__xludf.DUMMYFUNCTION("""COMPUTED_VALUE"""),2179378.0)</f>
        <v>2179378</v>
      </c>
    </row>
    <row r="3315">
      <c r="A3315" s="26">
        <f>IFERROR(__xludf.DUMMYFUNCTION("""COMPUTED_VALUE"""),43263.64583333333)</f>
        <v>43263.64583</v>
      </c>
      <c r="B3315" s="9">
        <f>IFERROR(__xludf.DUMMYFUNCTION("""COMPUTED_VALUE"""),632.88)</f>
        <v>632.88</v>
      </c>
      <c r="C3315" s="9">
        <f>IFERROR(__xludf.DUMMYFUNCTION("""COMPUTED_VALUE"""),635.63)</f>
        <v>635.63</v>
      </c>
      <c r="D3315" s="9">
        <f>IFERROR(__xludf.DUMMYFUNCTION("""COMPUTED_VALUE"""),625.23)</f>
        <v>625.23</v>
      </c>
      <c r="E3315" s="9">
        <f>IFERROR(__xludf.DUMMYFUNCTION("""COMPUTED_VALUE"""),629.25)</f>
        <v>629.25</v>
      </c>
      <c r="F3315" s="9">
        <f>IFERROR(__xludf.DUMMYFUNCTION("""COMPUTED_VALUE"""),3919910.0)</f>
        <v>3919910</v>
      </c>
      <c r="H3315" s="27">
        <f>IFERROR(__xludf.DUMMYFUNCTION("""COMPUTED_VALUE"""),43263.64583333333)</f>
        <v>43263.64583</v>
      </c>
      <c r="I3315" s="25">
        <f>IFERROR(__xludf.DUMMYFUNCTION("""COMPUTED_VALUE"""),1757.0)</f>
        <v>1757</v>
      </c>
      <c r="J3315" s="25">
        <f>IFERROR(__xludf.DUMMYFUNCTION("""COMPUTED_VALUE"""),1785.0)</f>
        <v>1785</v>
      </c>
      <c r="K3315" s="25">
        <f>IFERROR(__xludf.DUMMYFUNCTION("""COMPUTED_VALUE"""),1753.0)</f>
        <v>1753</v>
      </c>
      <c r="L3315" s="25">
        <f>IFERROR(__xludf.DUMMYFUNCTION("""COMPUTED_VALUE"""),1781.0)</f>
        <v>1781</v>
      </c>
      <c r="M3315" s="25">
        <f>IFERROR(__xludf.DUMMYFUNCTION("""COMPUTED_VALUE"""),4608875.0)</f>
        <v>4608875</v>
      </c>
    </row>
    <row r="3316">
      <c r="A3316" s="26">
        <f>IFERROR(__xludf.DUMMYFUNCTION("""COMPUTED_VALUE"""),43264.64583333333)</f>
        <v>43264.64583</v>
      </c>
      <c r="B3316" s="9">
        <f>IFERROR(__xludf.DUMMYFUNCTION("""COMPUTED_VALUE"""),633.4)</f>
        <v>633.4</v>
      </c>
      <c r="C3316" s="9">
        <f>IFERROR(__xludf.DUMMYFUNCTION("""COMPUTED_VALUE"""),642.0)</f>
        <v>642</v>
      </c>
      <c r="D3316" s="9">
        <f>IFERROR(__xludf.DUMMYFUNCTION("""COMPUTED_VALUE"""),633.4)</f>
        <v>633.4</v>
      </c>
      <c r="E3316" s="9">
        <f>IFERROR(__xludf.DUMMYFUNCTION("""COMPUTED_VALUE"""),637.4)</f>
        <v>637.4</v>
      </c>
      <c r="F3316" s="9">
        <f>IFERROR(__xludf.DUMMYFUNCTION("""COMPUTED_VALUE"""),2883464.0)</f>
        <v>2883464</v>
      </c>
      <c r="H3316" s="27">
        <f>IFERROR(__xludf.DUMMYFUNCTION("""COMPUTED_VALUE"""),43264.64583333333)</f>
        <v>43264.64583</v>
      </c>
      <c r="I3316" s="25">
        <f>IFERROR(__xludf.DUMMYFUNCTION("""COMPUTED_VALUE"""),1816.0)</f>
        <v>1816</v>
      </c>
      <c r="J3316" s="25">
        <f>IFERROR(__xludf.DUMMYFUNCTION("""COMPUTED_VALUE"""),1831.65)</f>
        <v>1831.65</v>
      </c>
      <c r="K3316" s="25">
        <f>IFERROR(__xludf.DUMMYFUNCTION("""COMPUTED_VALUE"""),1798.0)</f>
        <v>1798</v>
      </c>
      <c r="L3316" s="25">
        <f>IFERROR(__xludf.DUMMYFUNCTION("""COMPUTED_VALUE"""),1824.1)</f>
        <v>1824.1</v>
      </c>
      <c r="M3316" s="25">
        <f>IFERROR(__xludf.DUMMYFUNCTION("""COMPUTED_VALUE"""),5370983.0)</f>
        <v>5370983</v>
      </c>
    </row>
    <row r="3317">
      <c r="A3317" s="26">
        <f>IFERROR(__xludf.DUMMYFUNCTION("""COMPUTED_VALUE"""),43265.64583333333)</f>
        <v>43265.64583</v>
      </c>
      <c r="B3317" s="9">
        <f>IFERROR(__xludf.DUMMYFUNCTION("""COMPUTED_VALUE"""),626.5)</f>
        <v>626.5</v>
      </c>
      <c r="C3317" s="9">
        <f>IFERROR(__xludf.DUMMYFUNCTION("""COMPUTED_VALUE"""),626.5)</f>
        <v>626.5</v>
      </c>
      <c r="D3317" s="9">
        <f>IFERROR(__xludf.DUMMYFUNCTION("""COMPUTED_VALUE"""),617.05)</f>
        <v>617.05</v>
      </c>
      <c r="E3317" s="9">
        <f>IFERROR(__xludf.DUMMYFUNCTION("""COMPUTED_VALUE"""),619.85)</f>
        <v>619.85</v>
      </c>
      <c r="F3317" s="9">
        <f>IFERROR(__xludf.DUMMYFUNCTION("""COMPUTED_VALUE"""),3799424.0)</f>
        <v>3799424</v>
      </c>
      <c r="H3317" s="27">
        <f>IFERROR(__xludf.DUMMYFUNCTION("""COMPUTED_VALUE"""),43265.64583333333)</f>
        <v>43265.64583</v>
      </c>
      <c r="I3317" s="25">
        <f>IFERROR(__xludf.DUMMYFUNCTION("""COMPUTED_VALUE"""),1830.0)</f>
        <v>1830</v>
      </c>
      <c r="J3317" s="25">
        <f>IFERROR(__xludf.DUMMYFUNCTION("""COMPUTED_VALUE"""),1832.3)</f>
        <v>1832.3</v>
      </c>
      <c r="K3317" s="25">
        <f>IFERROR(__xludf.DUMMYFUNCTION("""COMPUTED_VALUE"""),1784.0)</f>
        <v>1784</v>
      </c>
      <c r="L3317" s="25">
        <f>IFERROR(__xludf.DUMMYFUNCTION("""COMPUTED_VALUE"""),1787.55)</f>
        <v>1787.55</v>
      </c>
      <c r="M3317" s="25">
        <f>IFERROR(__xludf.DUMMYFUNCTION("""COMPUTED_VALUE"""),3819998.0)</f>
        <v>3819998</v>
      </c>
    </row>
    <row r="3318">
      <c r="A3318" s="26">
        <f>IFERROR(__xludf.DUMMYFUNCTION("""COMPUTED_VALUE"""),43266.64583333333)</f>
        <v>43266.64583</v>
      </c>
      <c r="B3318" s="9">
        <f>IFERROR(__xludf.DUMMYFUNCTION("""COMPUTED_VALUE"""),618.5)</f>
        <v>618.5</v>
      </c>
      <c r="C3318" s="9">
        <f>IFERROR(__xludf.DUMMYFUNCTION("""COMPUTED_VALUE"""),645.75)</f>
        <v>645.75</v>
      </c>
      <c r="D3318" s="9">
        <f>IFERROR(__xludf.DUMMYFUNCTION("""COMPUTED_VALUE"""),617.5)</f>
        <v>617.5</v>
      </c>
      <c r="E3318" s="9">
        <f>IFERROR(__xludf.DUMMYFUNCTION("""COMPUTED_VALUE"""),640.63)</f>
        <v>640.63</v>
      </c>
      <c r="F3318" s="9">
        <f>IFERROR(__xludf.DUMMYFUNCTION("""COMPUTED_VALUE"""),9978880.0)</f>
        <v>9978880</v>
      </c>
      <c r="H3318" s="27">
        <f>IFERROR(__xludf.DUMMYFUNCTION("""COMPUTED_VALUE"""),43266.64583333333)</f>
        <v>43266.64583</v>
      </c>
      <c r="I3318" s="25">
        <f>IFERROR(__xludf.DUMMYFUNCTION("""COMPUTED_VALUE"""),1800.0)</f>
        <v>1800</v>
      </c>
      <c r="J3318" s="25">
        <f>IFERROR(__xludf.DUMMYFUNCTION("""COMPUTED_VALUE"""),1847.1)</f>
        <v>1847.1</v>
      </c>
      <c r="K3318" s="25">
        <f>IFERROR(__xludf.DUMMYFUNCTION("""COMPUTED_VALUE"""),1788.6)</f>
        <v>1788.6</v>
      </c>
      <c r="L3318" s="25">
        <f>IFERROR(__xludf.DUMMYFUNCTION("""COMPUTED_VALUE"""),1840.05)</f>
        <v>1840.05</v>
      </c>
      <c r="M3318" s="25">
        <f>IFERROR(__xludf.DUMMYFUNCTION("""COMPUTED_VALUE"""),9183574.0)</f>
        <v>9183574</v>
      </c>
    </row>
    <row r="3319">
      <c r="A3319" s="26">
        <f>IFERROR(__xludf.DUMMYFUNCTION("""COMPUTED_VALUE"""),43269.64583333333)</f>
        <v>43269.64583</v>
      </c>
      <c r="B3319" s="9">
        <f>IFERROR(__xludf.DUMMYFUNCTION("""COMPUTED_VALUE"""),642.0)</f>
        <v>642</v>
      </c>
      <c r="C3319" s="9">
        <f>IFERROR(__xludf.DUMMYFUNCTION("""COMPUTED_VALUE"""),645.63)</f>
        <v>645.63</v>
      </c>
      <c r="D3319" s="9">
        <f>IFERROR(__xludf.DUMMYFUNCTION("""COMPUTED_VALUE"""),631.17)</f>
        <v>631.17</v>
      </c>
      <c r="E3319" s="9">
        <f>IFERROR(__xludf.DUMMYFUNCTION("""COMPUTED_VALUE"""),633.7)</f>
        <v>633.7</v>
      </c>
      <c r="F3319" s="9">
        <f>IFERROR(__xludf.DUMMYFUNCTION("""COMPUTED_VALUE"""),4107423.0)</f>
        <v>4107423</v>
      </c>
      <c r="H3319" s="27">
        <f>IFERROR(__xludf.DUMMYFUNCTION("""COMPUTED_VALUE"""),43269.64583333333)</f>
        <v>43269.64583</v>
      </c>
      <c r="I3319" s="25">
        <f>IFERROR(__xludf.DUMMYFUNCTION("""COMPUTED_VALUE"""),1867.95)</f>
        <v>1867.95</v>
      </c>
      <c r="J3319" s="25">
        <f>IFERROR(__xludf.DUMMYFUNCTION("""COMPUTED_VALUE"""),1867.95)</f>
        <v>1867.95</v>
      </c>
      <c r="K3319" s="25">
        <f>IFERROR(__xludf.DUMMYFUNCTION("""COMPUTED_VALUE"""),1822.15)</f>
        <v>1822.15</v>
      </c>
      <c r="L3319" s="25">
        <f>IFERROR(__xludf.DUMMYFUNCTION("""COMPUTED_VALUE"""),1829.0)</f>
        <v>1829</v>
      </c>
      <c r="M3319" s="25">
        <f>IFERROR(__xludf.DUMMYFUNCTION("""COMPUTED_VALUE"""),4674987.0)</f>
        <v>4674987</v>
      </c>
    </row>
    <row r="3320">
      <c r="A3320" s="26">
        <f>IFERROR(__xludf.DUMMYFUNCTION("""COMPUTED_VALUE"""),43270.64583333333)</f>
        <v>43270.64583</v>
      </c>
      <c r="B3320" s="9">
        <f>IFERROR(__xludf.DUMMYFUNCTION("""COMPUTED_VALUE"""),631.5)</f>
        <v>631.5</v>
      </c>
      <c r="C3320" s="9">
        <f>IFERROR(__xludf.DUMMYFUNCTION("""COMPUTED_VALUE"""),631.7)</f>
        <v>631.7</v>
      </c>
      <c r="D3320" s="9">
        <f>IFERROR(__xludf.DUMMYFUNCTION("""COMPUTED_VALUE"""),619.03)</f>
        <v>619.03</v>
      </c>
      <c r="E3320" s="9">
        <f>IFERROR(__xludf.DUMMYFUNCTION("""COMPUTED_VALUE"""),620.8)</f>
        <v>620.8</v>
      </c>
      <c r="F3320" s="9">
        <f>IFERROR(__xludf.DUMMYFUNCTION("""COMPUTED_VALUE"""),3772850.0)</f>
        <v>3772850</v>
      </c>
      <c r="H3320" s="27">
        <f>IFERROR(__xludf.DUMMYFUNCTION("""COMPUTED_VALUE"""),43270.64583333333)</f>
        <v>43270.64583</v>
      </c>
      <c r="I3320" s="25">
        <f>IFERROR(__xludf.DUMMYFUNCTION("""COMPUTED_VALUE"""),1822.15)</f>
        <v>1822.15</v>
      </c>
      <c r="J3320" s="25">
        <f>IFERROR(__xludf.DUMMYFUNCTION("""COMPUTED_VALUE"""),1839.0)</f>
        <v>1839</v>
      </c>
      <c r="K3320" s="25">
        <f>IFERROR(__xludf.DUMMYFUNCTION("""COMPUTED_VALUE"""),1821.0)</f>
        <v>1821</v>
      </c>
      <c r="L3320" s="25">
        <f>IFERROR(__xludf.DUMMYFUNCTION("""COMPUTED_VALUE"""),1824.5)</f>
        <v>1824.5</v>
      </c>
      <c r="M3320" s="25">
        <f>IFERROR(__xludf.DUMMYFUNCTION("""COMPUTED_VALUE"""),3245034.0)</f>
        <v>3245034</v>
      </c>
    </row>
    <row r="3321">
      <c r="A3321" s="26">
        <f>IFERROR(__xludf.DUMMYFUNCTION("""COMPUTED_VALUE"""),43271.64583333333)</f>
        <v>43271.64583</v>
      </c>
      <c r="B3321" s="9">
        <f>IFERROR(__xludf.DUMMYFUNCTION("""COMPUTED_VALUE"""),624.25)</f>
        <v>624.25</v>
      </c>
      <c r="C3321" s="9">
        <f>IFERROR(__xludf.DUMMYFUNCTION("""COMPUTED_VALUE"""),626.17)</f>
        <v>626.17</v>
      </c>
      <c r="D3321" s="9">
        <f>IFERROR(__xludf.DUMMYFUNCTION("""COMPUTED_VALUE"""),619.0)</f>
        <v>619</v>
      </c>
      <c r="E3321" s="9">
        <f>IFERROR(__xludf.DUMMYFUNCTION("""COMPUTED_VALUE"""),621.58)</f>
        <v>621.58</v>
      </c>
      <c r="F3321" s="9">
        <f>IFERROR(__xludf.DUMMYFUNCTION("""COMPUTED_VALUE"""),2685901.0)</f>
        <v>2685901</v>
      </c>
      <c r="H3321" s="27">
        <f>IFERROR(__xludf.DUMMYFUNCTION("""COMPUTED_VALUE"""),43271.64583333333)</f>
        <v>43271.64583</v>
      </c>
      <c r="I3321" s="25">
        <f>IFERROR(__xludf.DUMMYFUNCTION("""COMPUTED_VALUE"""),1832.0)</f>
        <v>1832</v>
      </c>
      <c r="J3321" s="25">
        <f>IFERROR(__xludf.DUMMYFUNCTION("""COMPUTED_VALUE"""),1836.3)</f>
        <v>1836.3</v>
      </c>
      <c r="K3321" s="25">
        <f>IFERROR(__xludf.DUMMYFUNCTION("""COMPUTED_VALUE"""),1818.6)</f>
        <v>1818.6</v>
      </c>
      <c r="L3321" s="25">
        <f>IFERROR(__xludf.DUMMYFUNCTION("""COMPUTED_VALUE"""),1822.45)</f>
        <v>1822.45</v>
      </c>
      <c r="M3321" s="25">
        <f>IFERROR(__xludf.DUMMYFUNCTION("""COMPUTED_VALUE"""),3107695.0)</f>
        <v>3107695</v>
      </c>
    </row>
    <row r="3322">
      <c r="A3322" s="26">
        <f>IFERROR(__xludf.DUMMYFUNCTION("""COMPUTED_VALUE"""),43272.64583333333)</f>
        <v>43272.64583</v>
      </c>
      <c r="B3322" s="9">
        <f>IFERROR(__xludf.DUMMYFUNCTION("""COMPUTED_VALUE"""),622.98)</f>
        <v>622.98</v>
      </c>
      <c r="C3322" s="9">
        <f>IFERROR(__xludf.DUMMYFUNCTION("""COMPUTED_VALUE"""),628.25)</f>
        <v>628.25</v>
      </c>
      <c r="D3322" s="9">
        <f>IFERROR(__xludf.DUMMYFUNCTION("""COMPUTED_VALUE"""),618.0)</f>
        <v>618</v>
      </c>
      <c r="E3322" s="9">
        <f>IFERROR(__xludf.DUMMYFUNCTION("""COMPUTED_VALUE"""),623.28)</f>
        <v>623.28</v>
      </c>
      <c r="F3322" s="9">
        <f>IFERROR(__xludf.DUMMYFUNCTION("""COMPUTED_VALUE"""),2899395.0)</f>
        <v>2899395</v>
      </c>
      <c r="H3322" s="27">
        <f>IFERROR(__xludf.DUMMYFUNCTION("""COMPUTED_VALUE"""),43272.64583333333)</f>
        <v>43272.64583</v>
      </c>
      <c r="I3322" s="25">
        <f>IFERROR(__xludf.DUMMYFUNCTION("""COMPUTED_VALUE"""),1832.0)</f>
        <v>1832</v>
      </c>
      <c r="J3322" s="25">
        <f>IFERROR(__xludf.DUMMYFUNCTION("""COMPUTED_VALUE"""),1832.0)</f>
        <v>1832</v>
      </c>
      <c r="K3322" s="25">
        <f>IFERROR(__xludf.DUMMYFUNCTION("""COMPUTED_VALUE"""),1817.6)</f>
        <v>1817.6</v>
      </c>
      <c r="L3322" s="25">
        <f>IFERROR(__xludf.DUMMYFUNCTION("""COMPUTED_VALUE"""),1819.35)</f>
        <v>1819.35</v>
      </c>
      <c r="M3322" s="25">
        <f>IFERROR(__xludf.DUMMYFUNCTION("""COMPUTED_VALUE"""),2910659.0)</f>
        <v>2910659</v>
      </c>
    </row>
    <row r="3323">
      <c r="A3323" s="26">
        <f>IFERROR(__xludf.DUMMYFUNCTION("""COMPUTED_VALUE"""),43273.64583333333)</f>
        <v>43273.64583</v>
      </c>
      <c r="B3323" s="9">
        <f>IFERROR(__xludf.DUMMYFUNCTION("""COMPUTED_VALUE"""),621.5)</f>
        <v>621.5</v>
      </c>
      <c r="C3323" s="9">
        <f>IFERROR(__xludf.DUMMYFUNCTION("""COMPUTED_VALUE"""),627.75)</f>
        <v>627.75</v>
      </c>
      <c r="D3323" s="9">
        <f>IFERROR(__xludf.DUMMYFUNCTION("""COMPUTED_VALUE"""),620.6)</f>
        <v>620.6</v>
      </c>
      <c r="E3323" s="9">
        <f>IFERROR(__xludf.DUMMYFUNCTION("""COMPUTED_VALUE"""),623.92)</f>
        <v>623.92</v>
      </c>
      <c r="F3323" s="9">
        <f>IFERROR(__xludf.DUMMYFUNCTION("""COMPUTED_VALUE"""),2171559.0)</f>
        <v>2171559</v>
      </c>
      <c r="H3323" s="27">
        <f>IFERROR(__xludf.DUMMYFUNCTION("""COMPUTED_VALUE"""),43273.64583333333)</f>
        <v>43273.64583</v>
      </c>
      <c r="I3323" s="25">
        <f>IFERROR(__xludf.DUMMYFUNCTION("""COMPUTED_VALUE"""),1827.0)</f>
        <v>1827</v>
      </c>
      <c r="J3323" s="25">
        <f>IFERROR(__xludf.DUMMYFUNCTION("""COMPUTED_VALUE"""),1827.0)</f>
        <v>1827</v>
      </c>
      <c r="K3323" s="25">
        <f>IFERROR(__xludf.DUMMYFUNCTION("""COMPUTED_VALUE"""),1799.55)</f>
        <v>1799.55</v>
      </c>
      <c r="L3323" s="25">
        <f>IFERROR(__xludf.DUMMYFUNCTION("""COMPUTED_VALUE"""),1809.8)</f>
        <v>1809.8</v>
      </c>
      <c r="M3323" s="25">
        <f>IFERROR(__xludf.DUMMYFUNCTION("""COMPUTED_VALUE"""),2949458.0)</f>
        <v>2949458</v>
      </c>
    </row>
    <row r="3324">
      <c r="A3324" s="26">
        <f>IFERROR(__xludf.DUMMYFUNCTION("""COMPUTED_VALUE"""),43276.64583333333)</f>
        <v>43276.64583</v>
      </c>
      <c r="B3324" s="9">
        <f>IFERROR(__xludf.DUMMYFUNCTION("""COMPUTED_VALUE"""),628.58)</f>
        <v>628.58</v>
      </c>
      <c r="C3324" s="9">
        <f>IFERROR(__xludf.DUMMYFUNCTION("""COMPUTED_VALUE"""),639.4)</f>
        <v>639.4</v>
      </c>
      <c r="D3324" s="9">
        <f>IFERROR(__xludf.DUMMYFUNCTION("""COMPUTED_VALUE"""),627.0)</f>
        <v>627</v>
      </c>
      <c r="E3324" s="9">
        <f>IFERROR(__xludf.DUMMYFUNCTION("""COMPUTED_VALUE"""),636.23)</f>
        <v>636.23</v>
      </c>
      <c r="F3324" s="9">
        <f>IFERROR(__xludf.DUMMYFUNCTION("""COMPUTED_VALUE"""),3865589.0)</f>
        <v>3865589</v>
      </c>
      <c r="H3324" s="27">
        <f>IFERROR(__xludf.DUMMYFUNCTION("""COMPUTED_VALUE"""),43276.64583333333)</f>
        <v>43276.64583</v>
      </c>
      <c r="I3324" s="25">
        <f>IFERROR(__xludf.DUMMYFUNCTION("""COMPUTED_VALUE"""),1811.9)</f>
        <v>1811.9</v>
      </c>
      <c r="J3324" s="25">
        <f>IFERROR(__xludf.DUMMYFUNCTION("""COMPUTED_VALUE"""),1822.35)</f>
        <v>1822.35</v>
      </c>
      <c r="K3324" s="25">
        <f>IFERROR(__xludf.DUMMYFUNCTION("""COMPUTED_VALUE"""),1806.0)</f>
        <v>1806</v>
      </c>
      <c r="L3324" s="25">
        <f>IFERROR(__xludf.DUMMYFUNCTION("""COMPUTED_VALUE"""),1819.25)</f>
        <v>1819.25</v>
      </c>
      <c r="M3324" s="25">
        <f>IFERROR(__xludf.DUMMYFUNCTION("""COMPUTED_VALUE"""),2083217.0)</f>
        <v>2083217</v>
      </c>
    </row>
    <row r="3325">
      <c r="A3325" s="26">
        <f>IFERROR(__xludf.DUMMYFUNCTION("""COMPUTED_VALUE"""),43277.64583333333)</f>
        <v>43277.64583</v>
      </c>
      <c r="B3325" s="9">
        <f>IFERROR(__xludf.DUMMYFUNCTION("""COMPUTED_VALUE"""),634.5)</f>
        <v>634.5</v>
      </c>
      <c r="C3325" s="9">
        <f>IFERROR(__xludf.DUMMYFUNCTION("""COMPUTED_VALUE"""),641.95)</f>
        <v>641.95</v>
      </c>
      <c r="D3325" s="9">
        <f>IFERROR(__xludf.DUMMYFUNCTION("""COMPUTED_VALUE"""),633.13)</f>
        <v>633.13</v>
      </c>
      <c r="E3325" s="9">
        <f>IFERROR(__xludf.DUMMYFUNCTION("""COMPUTED_VALUE"""),638.92)</f>
        <v>638.92</v>
      </c>
      <c r="F3325" s="9">
        <f>IFERROR(__xludf.DUMMYFUNCTION("""COMPUTED_VALUE"""),2241752.0)</f>
        <v>2241752</v>
      </c>
      <c r="H3325" s="27">
        <f>IFERROR(__xludf.DUMMYFUNCTION("""COMPUTED_VALUE"""),43277.64583333333)</f>
        <v>43277.64583</v>
      </c>
      <c r="I3325" s="25">
        <f>IFERROR(__xludf.DUMMYFUNCTION("""COMPUTED_VALUE"""),1823.0)</f>
        <v>1823</v>
      </c>
      <c r="J3325" s="25">
        <f>IFERROR(__xludf.DUMMYFUNCTION("""COMPUTED_VALUE"""),1861.0)</f>
        <v>1861</v>
      </c>
      <c r="K3325" s="25">
        <f>IFERROR(__xludf.DUMMYFUNCTION("""COMPUTED_VALUE"""),1821.0)</f>
        <v>1821</v>
      </c>
      <c r="L3325" s="25">
        <f>IFERROR(__xludf.DUMMYFUNCTION("""COMPUTED_VALUE"""),1852.0)</f>
        <v>1852</v>
      </c>
      <c r="M3325" s="25">
        <f>IFERROR(__xludf.DUMMYFUNCTION("""COMPUTED_VALUE"""),4679712.0)</f>
        <v>4679712</v>
      </c>
    </row>
    <row r="3326">
      <c r="A3326" s="26">
        <f>IFERROR(__xludf.DUMMYFUNCTION("""COMPUTED_VALUE"""),43278.64583333333)</f>
        <v>43278.64583</v>
      </c>
      <c r="B3326" s="9">
        <f>IFERROR(__xludf.DUMMYFUNCTION("""COMPUTED_VALUE"""),641.98)</f>
        <v>641.98</v>
      </c>
      <c r="C3326" s="9">
        <f>IFERROR(__xludf.DUMMYFUNCTION("""COMPUTED_VALUE"""),646.73)</f>
        <v>646.73</v>
      </c>
      <c r="D3326" s="9">
        <f>IFERROR(__xludf.DUMMYFUNCTION("""COMPUTED_VALUE"""),632.8)</f>
        <v>632.8</v>
      </c>
      <c r="E3326" s="9">
        <f>IFERROR(__xludf.DUMMYFUNCTION("""COMPUTED_VALUE"""),635.0)</f>
        <v>635</v>
      </c>
      <c r="F3326" s="9">
        <f>IFERROR(__xludf.DUMMYFUNCTION("""COMPUTED_VALUE"""),3476071.0)</f>
        <v>3476071</v>
      </c>
      <c r="H3326" s="27">
        <f>IFERROR(__xludf.DUMMYFUNCTION("""COMPUTED_VALUE"""),43278.64583333333)</f>
        <v>43278.64583</v>
      </c>
      <c r="I3326" s="25">
        <f>IFERROR(__xludf.DUMMYFUNCTION("""COMPUTED_VALUE"""),1860.0)</f>
        <v>1860</v>
      </c>
      <c r="J3326" s="25">
        <f>IFERROR(__xludf.DUMMYFUNCTION("""COMPUTED_VALUE"""),1885.15)</f>
        <v>1885.15</v>
      </c>
      <c r="K3326" s="25">
        <f>IFERROR(__xludf.DUMMYFUNCTION("""COMPUTED_VALUE"""),1851.25)</f>
        <v>1851.25</v>
      </c>
      <c r="L3326" s="25">
        <f>IFERROR(__xludf.DUMMYFUNCTION("""COMPUTED_VALUE"""),1858.0)</f>
        <v>1858</v>
      </c>
      <c r="M3326" s="25">
        <f>IFERROR(__xludf.DUMMYFUNCTION("""COMPUTED_VALUE"""),4081208.0)</f>
        <v>4081208</v>
      </c>
    </row>
    <row r="3327">
      <c r="A3327" s="26">
        <f>IFERROR(__xludf.DUMMYFUNCTION("""COMPUTED_VALUE"""),43279.64583333333)</f>
        <v>43279.64583</v>
      </c>
      <c r="B3327" s="9">
        <f>IFERROR(__xludf.DUMMYFUNCTION("""COMPUTED_VALUE"""),638.15)</f>
        <v>638.15</v>
      </c>
      <c r="C3327" s="9">
        <f>IFERROR(__xludf.DUMMYFUNCTION("""COMPUTED_VALUE"""),649.0)</f>
        <v>649</v>
      </c>
      <c r="D3327" s="9">
        <f>IFERROR(__xludf.DUMMYFUNCTION("""COMPUTED_VALUE"""),638.13)</f>
        <v>638.13</v>
      </c>
      <c r="E3327" s="9">
        <f>IFERROR(__xludf.DUMMYFUNCTION("""COMPUTED_VALUE"""),644.8)</f>
        <v>644.8</v>
      </c>
      <c r="F3327" s="9">
        <f>IFERROR(__xludf.DUMMYFUNCTION("""COMPUTED_VALUE"""),5498409.0)</f>
        <v>5498409</v>
      </c>
      <c r="H3327" s="27">
        <f>IFERROR(__xludf.DUMMYFUNCTION("""COMPUTED_VALUE"""),43279.64583333333)</f>
        <v>43279.64583</v>
      </c>
      <c r="I3327" s="25">
        <f>IFERROR(__xludf.DUMMYFUNCTION("""COMPUTED_VALUE"""),1865.0)</f>
        <v>1865</v>
      </c>
      <c r="J3327" s="25">
        <f>IFERROR(__xludf.DUMMYFUNCTION("""COMPUTED_VALUE"""),1871.0)</f>
        <v>1871</v>
      </c>
      <c r="K3327" s="25">
        <f>IFERROR(__xludf.DUMMYFUNCTION("""COMPUTED_VALUE"""),1826.3)</f>
        <v>1826.3</v>
      </c>
      <c r="L3327" s="25">
        <f>IFERROR(__xludf.DUMMYFUNCTION("""COMPUTED_VALUE"""),1842.7)</f>
        <v>1842.7</v>
      </c>
      <c r="M3327" s="25">
        <f>IFERROR(__xludf.DUMMYFUNCTION("""COMPUTED_VALUE"""),4888125.0)</f>
        <v>4888125</v>
      </c>
    </row>
    <row r="3328">
      <c r="A3328" s="26">
        <f>IFERROR(__xludf.DUMMYFUNCTION("""COMPUTED_VALUE"""),43280.64583333333)</f>
        <v>43280.64583</v>
      </c>
      <c r="B3328" s="9">
        <f>IFERROR(__xludf.DUMMYFUNCTION("""COMPUTED_VALUE"""),649.03)</f>
        <v>649.03</v>
      </c>
      <c r="C3328" s="9">
        <f>IFERROR(__xludf.DUMMYFUNCTION("""COMPUTED_VALUE"""),657.5)</f>
        <v>657.5</v>
      </c>
      <c r="D3328" s="9">
        <f>IFERROR(__xludf.DUMMYFUNCTION("""COMPUTED_VALUE"""),641.63)</f>
        <v>641.63</v>
      </c>
      <c r="E3328" s="9">
        <f>IFERROR(__xludf.DUMMYFUNCTION("""COMPUTED_VALUE"""),653.6)</f>
        <v>653.6</v>
      </c>
      <c r="F3328" s="9">
        <f>IFERROR(__xludf.DUMMYFUNCTION("""COMPUTED_VALUE"""),4983300.0)</f>
        <v>4983300</v>
      </c>
      <c r="H3328" s="27">
        <f>IFERROR(__xludf.DUMMYFUNCTION("""COMPUTED_VALUE"""),43280.64583333333)</f>
        <v>43280.64583</v>
      </c>
      <c r="I3328" s="25">
        <f>IFERROR(__xludf.DUMMYFUNCTION("""COMPUTED_VALUE"""),1844.9)</f>
        <v>1844.9</v>
      </c>
      <c r="J3328" s="25">
        <f>IFERROR(__xludf.DUMMYFUNCTION("""COMPUTED_VALUE"""),1867.4)</f>
        <v>1867.4</v>
      </c>
      <c r="K3328" s="25">
        <f>IFERROR(__xludf.DUMMYFUNCTION("""COMPUTED_VALUE"""),1842.3)</f>
        <v>1842.3</v>
      </c>
      <c r="L3328" s="25">
        <f>IFERROR(__xludf.DUMMYFUNCTION("""COMPUTED_VALUE"""),1847.75)</f>
        <v>1847.75</v>
      </c>
      <c r="M3328" s="25">
        <f>IFERROR(__xludf.DUMMYFUNCTION("""COMPUTED_VALUE"""),3506276.0)</f>
        <v>3506276</v>
      </c>
    </row>
    <row r="3329">
      <c r="A3329" s="26">
        <f>IFERROR(__xludf.DUMMYFUNCTION("""COMPUTED_VALUE"""),43283.64583333333)</f>
        <v>43283.64583</v>
      </c>
      <c r="B3329" s="9">
        <f>IFERROR(__xludf.DUMMYFUNCTION("""COMPUTED_VALUE"""),657.0)</f>
        <v>657</v>
      </c>
      <c r="C3329" s="9">
        <f>IFERROR(__xludf.DUMMYFUNCTION("""COMPUTED_VALUE"""),670.0)</f>
        <v>670</v>
      </c>
      <c r="D3329" s="9">
        <f>IFERROR(__xludf.DUMMYFUNCTION("""COMPUTED_VALUE"""),657.0)</f>
        <v>657</v>
      </c>
      <c r="E3329" s="9">
        <f>IFERROR(__xludf.DUMMYFUNCTION("""COMPUTED_VALUE"""),667.35)</f>
        <v>667.35</v>
      </c>
      <c r="F3329" s="9">
        <f>IFERROR(__xludf.DUMMYFUNCTION("""COMPUTED_VALUE"""),2415072.0)</f>
        <v>2415072</v>
      </c>
      <c r="H3329" s="27">
        <f>IFERROR(__xludf.DUMMYFUNCTION("""COMPUTED_VALUE"""),43283.64583333333)</f>
        <v>43283.64583</v>
      </c>
      <c r="I3329" s="25">
        <f>IFERROR(__xludf.DUMMYFUNCTION("""COMPUTED_VALUE"""),1852.0)</f>
        <v>1852</v>
      </c>
      <c r="J3329" s="25">
        <f>IFERROR(__xludf.DUMMYFUNCTION("""COMPUTED_VALUE"""),1857.8)</f>
        <v>1857.8</v>
      </c>
      <c r="K3329" s="25">
        <f>IFERROR(__xludf.DUMMYFUNCTION("""COMPUTED_VALUE"""),1841.1)</f>
        <v>1841.1</v>
      </c>
      <c r="L3329" s="25">
        <f>IFERROR(__xludf.DUMMYFUNCTION("""COMPUTED_VALUE"""),1851.35)</f>
        <v>1851.35</v>
      </c>
      <c r="M3329" s="25">
        <f>IFERROR(__xludf.DUMMYFUNCTION("""COMPUTED_VALUE"""),2650290.0)</f>
        <v>2650290</v>
      </c>
    </row>
    <row r="3330">
      <c r="A3330" s="26">
        <f>IFERROR(__xludf.DUMMYFUNCTION("""COMPUTED_VALUE"""),43284.64583333333)</f>
        <v>43284.64583</v>
      </c>
      <c r="B3330" s="9">
        <f>IFERROR(__xludf.DUMMYFUNCTION("""COMPUTED_VALUE"""),665.95)</f>
        <v>665.95</v>
      </c>
      <c r="C3330" s="9">
        <f>IFERROR(__xludf.DUMMYFUNCTION("""COMPUTED_VALUE"""),678.95)</f>
        <v>678.95</v>
      </c>
      <c r="D3330" s="9">
        <f>IFERROR(__xludf.DUMMYFUNCTION("""COMPUTED_VALUE"""),665.88)</f>
        <v>665.88</v>
      </c>
      <c r="E3330" s="9">
        <f>IFERROR(__xludf.DUMMYFUNCTION("""COMPUTED_VALUE"""),676.88)</f>
        <v>676.88</v>
      </c>
      <c r="F3330" s="9">
        <f>IFERROR(__xludf.DUMMYFUNCTION("""COMPUTED_VALUE"""),4063726.0)</f>
        <v>4063726</v>
      </c>
      <c r="H3330" s="27">
        <f>IFERROR(__xludf.DUMMYFUNCTION("""COMPUTED_VALUE"""),43284.64583333333)</f>
        <v>43284.64583</v>
      </c>
      <c r="I3330" s="25">
        <f>IFERROR(__xludf.DUMMYFUNCTION("""COMPUTED_VALUE"""),1859.95)</f>
        <v>1859.95</v>
      </c>
      <c r="J3330" s="25">
        <f>IFERROR(__xludf.DUMMYFUNCTION("""COMPUTED_VALUE"""),1879.9)</f>
        <v>1879.9</v>
      </c>
      <c r="K3330" s="25">
        <f>IFERROR(__xludf.DUMMYFUNCTION("""COMPUTED_VALUE"""),1857.05)</f>
        <v>1857.05</v>
      </c>
      <c r="L3330" s="25">
        <f>IFERROR(__xludf.DUMMYFUNCTION("""COMPUTED_VALUE"""),1874.05)</f>
        <v>1874.05</v>
      </c>
      <c r="M3330" s="25">
        <f>IFERROR(__xludf.DUMMYFUNCTION("""COMPUTED_VALUE"""),3242233.0)</f>
        <v>3242233</v>
      </c>
    </row>
    <row r="3331">
      <c r="A3331" s="26">
        <f>IFERROR(__xludf.DUMMYFUNCTION("""COMPUTED_VALUE"""),43285.64583333333)</f>
        <v>43285.64583</v>
      </c>
      <c r="B3331" s="9">
        <f>IFERROR(__xludf.DUMMYFUNCTION("""COMPUTED_VALUE"""),676.03)</f>
        <v>676.03</v>
      </c>
      <c r="C3331" s="9">
        <f>IFERROR(__xludf.DUMMYFUNCTION("""COMPUTED_VALUE"""),676.33)</f>
        <v>676.33</v>
      </c>
      <c r="D3331" s="9">
        <f>IFERROR(__xludf.DUMMYFUNCTION("""COMPUTED_VALUE"""),669.43)</f>
        <v>669.43</v>
      </c>
      <c r="E3331" s="9">
        <f>IFERROR(__xludf.DUMMYFUNCTION("""COMPUTED_VALUE"""),672.6)</f>
        <v>672.6</v>
      </c>
      <c r="F3331" s="9">
        <f>IFERROR(__xludf.DUMMYFUNCTION("""COMPUTED_VALUE"""),2512861.0)</f>
        <v>2512861</v>
      </c>
      <c r="H3331" s="27">
        <f>IFERROR(__xludf.DUMMYFUNCTION("""COMPUTED_VALUE"""),43285.64583333333)</f>
        <v>43285.64583</v>
      </c>
      <c r="I3331" s="25">
        <f>IFERROR(__xludf.DUMMYFUNCTION("""COMPUTED_VALUE"""),1879.9)</f>
        <v>1879.9</v>
      </c>
      <c r="J3331" s="25">
        <f>IFERROR(__xludf.DUMMYFUNCTION("""COMPUTED_VALUE"""),1879.9)</f>
        <v>1879.9</v>
      </c>
      <c r="K3331" s="25">
        <f>IFERROR(__xludf.DUMMYFUNCTION("""COMPUTED_VALUE"""),1857.15)</f>
        <v>1857.15</v>
      </c>
      <c r="L3331" s="25">
        <f>IFERROR(__xludf.DUMMYFUNCTION("""COMPUTED_VALUE"""),1866.15)</f>
        <v>1866.15</v>
      </c>
      <c r="M3331" s="25">
        <f>IFERROR(__xludf.DUMMYFUNCTION("""COMPUTED_VALUE"""),2700614.0)</f>
        <v>2700614</v>
      </c>
    </row>
    <row r="3332">
      <c r="A3332" s="26">
        <f>IFERROR(__xludf.DUMMYFUNCTION("""COMPUTED_VALUE"""),43286.64583333333)</f>
        <v>43286.64583</v>
      </c>
      <c r="B3332" s="9">
        <f>IFERROR(__xludf.DUMMYFUNCTION("""COMPUTED_VALUE"""),673.55)</f>
        <v>673.55</v>
      </c>
      <c r="C3332" s="9">
        <f>IFERROR(__xludf.DUMMYFUNCTION("""COMPUTED_VALUE"""),673.63)</f>
        <v>673.63</v>
      </c>
      <c r="D3332" s="9">
        <f>IFERROR(__xludf.DUMMYFUNCTION("""COMPUTED_VALUE"""),634.05)</f>
        <v>634.05</v>
      </c>
      <c r="E3332" s="9">
        <f>IFERROR(__xludf.DUMMYFUNCTION("""COMPUTED_VALUE"""),642.0)</f>
        <v>642</v>
      </c>
      <c r="F3332" s="9">
        <f>IFERROR(__xludf.DUMMYFUNCTION("""COMPUTED_VALUE"""),8509951.0)</f>
        <v>8509951</v>
      </c>
      <c r="H3332" s="27">
        <f>IFERROR(__xludf.DUMMYFUNCTION("""COMPUTED_VALUE"""),43286.64583333333)</f>
        <v>43286.64583</v>
      </c>
      <c r="I3332" s="25">
        <f>IFERROR(__xludf.DUMMYFUNCTION("""COMPUTED_VALUE"""),1873.0)</f>
        <v>1873</v>
      </c>
      <c r="J3332" s="25">
        <f>IFERROR(__xludf.DUMMYFUNCTION("""COMPUTED_VALUE"""),1887.5)</f>
        <v>1887.5</v>
      </c>
      <c r="K3332" s="25">
        <f>IFERROR(__xludf.DUMMYFUNCTION("""COMPUTED_VALUE"""),1862.1)</f>
        <v>1862.1</v>
      </c>
      <c r="L3332" s="25">
        <f>IFERROR(__xludf.DUMMYFUNCTION("""COMPUTED_VALUE"""),1880.3)</f>
        <v>1880.3</v>
      </c>
      <c r="M3332" s="25">
        <f>IFERROR(__xludf.DUMMYFUNCTION("""COMPUTED_VALUE"""),2472571.0)</f>
        <v>2472571</v>
      </c>
    </row>
    <row r="3333">
      <c r="A3333" s="26">
        <f>IFERROR(__xludf.DUMMYFUNCTION("""COMPUTED_VALUE"""),43287.64583333333)</f>
        <v>43287.64583</v>
      </c>
      <c r="B3333" s="9">
        <f>IFERROR(__xludf.DUMMYFUNCTION("""COMPUTED_VALUE"""),645.13)</f>
        <v>645.13</v>
      </c>
      <c r="C3333" s="9">
        <f>IFERROR(__xludf.DUMMYFUNCTION("""COMPUTED_VALUE"""),650.92)</f>
        <v>650.92</v>
      </c>
      <c r="D3333" s="9">
        <f>IFERROR(__xludf.DUMMYFUNCTION("""COMPUTED_VALUE"""),634.5)</f>
        <v>634.5</v>
      </c>
      <c r="E3333" s="9">
        <f>IFERROR(__xludf.DUMMYFUNCTION("""COMPUTED_VALUE"""),642.13)</f>
        <v>642.13</v>
      </c>
      <c r="F3333" s="9">
        <f>IFERROR(__xludf.DUMMYFUNCTION("""COMPUTED_VALUE"""),5607678.0)</f>
        <v>5607678</v>
      </c>
      <c r="H3333" s="27">
        <f>IFERROR(__xludf.DUMMYFUNCTION("""COMPUTED_VALUE"""),43287.64583333333)</f>
        <v>43287.64583</v>
      </c>
      <c r="I3333" s="25">
        <f>IFERROR(__xludf.DUMMYFUNCTION("""COMPUTED_VALUE"""),1882.85)</f>
        <v>1882.85</v>
      </c>
      <c r="J3333" s="25">
        <f>IFERROR(__xludf.DUMMYFUNCTION("""COMPUTED_VALUE"""),1921.0)</f>
        <v>1921</v>
      </c>
      <c r="K3333" s="25">
        <f>IFERROR(__xludf.DUMMYFUNCTION("""COMPUTED_VALUE"""),1881.65)</f>
        <v>1881.65</v>
      </c>
      <c r="L3333" s="25">
        <f>IFERROR(__xludf.DUMMYFUNCTION("""COMPUTED_VALUE"""),1912.95)</f>
        <v>1912.95</v>
      </c>
      <c r="M3333" s="25">
        <f>IFERROR(__xludf.DUMMYFUNCTION("""COMPUTED_VALUE"""),3713781.0)</f>
        <v>3713781</v>
      </c>
    </row>
    <row r="3334">
      <c r="A3334" s="26">
        <f>IFERROR(__xludf.DUMMYFUNCTION("""COMPUTED_VALUE"""),43290.64583333333)</f>
        <v>43290.64583</v>
      </c>
      <c r="B3334" s="9">
        <f>IFERROR(__xludf.DUMMYFUNCTION("""COMPUTED_VALUE"""),648.5)</f>
        <v>648.5</v>
      </c>
      <c r="C3334" s="9">
        <f>IFERROR(__xludf.DUMMYFUNCTION("""COMPUTED_VALUE"""),651.5)</f>
        <v>651.5</v>
      </c>
      <c r="D3334" s="9">
        <f>IFERROR(__xludf.DUMMYFUNCTION("""COMPUTED_VALUE"""),639.53)</f>
        <v>639.53</v>
      </c>
      <c r="E3334" s="9">
        <f>IFERROR(__xludf.DUMMYFUNCTION("""COMPUTED_VALUE"""),649.42)</f>
        <v>649.42</v>
      </c>
      <c r="F3334" s="9">
        <f>IFERROR(__xludf.DUMMYFUNCTION("""COMPUTED_VALUE"""),3322499.0)</f>
        <v>3322499</v>
      </c>
      <c r="H3334" s="27">
        <f>IFERROR(__xludf.DUMMYFUNCTION("""COMPUTED_VALUE"""),43290.64583333333)</f>
        <v>43290.64583</v>
      </c>
      <c r="I3334" s="25">
        <f>IFERROR(__xludf.DUMMYFUNCTION("""COMPUTED_VALUE"""),1924.0)</f>
        <v>1924</v>
      </c>
      <c r="J3334" s="25">
        <f>IFERROR(__xludf.DUMMYFUNCTION("""COMPUTED_VALUE"""),1924.4)</f>
        <v>1924.4</v>
      </c>
      <c r="K3334" s="25">
        <f>IFERROR(__xludf.DUMMYFUNCTION("""COMPUTED_VALUE"""),1876.5)</f>
        <v>1876.5</v>
      </c>
      <c r="L3334" s="25">
        <f>IFERROR(__xludf.DUMMYFUNCTION("""COMPUTED_VALUE"""),1883.0)</f>
        <v>1883</v>
      </c>
      <c r="M3334" s="25">
        <f>IFERROR(__xludf.DUMMYFUNCTION("""COMPUTED_VALUE"""),6151747.0)</f>
        <v>6151747</v>
      </c>
    </row>
    <row r="3335">
      <c r="A3335" s="26">
        <f>IFERROR(__xludf.DUMMYFUNCTION("""COMPUTED_VALUE"""),43291.64583333333)</f>
        <v>43291.64583</v>
      </c>
      <c r="B3335" s="9">
        <f>IFERROR(__xludf.DUMMYFUNCTION("""COMPUTED_VALUE"""),654.25)</f>
        <v>654.25</v>
      </c>
      <c r="C3335" s="9">
        <f>IFERROR(__xludf.DUMMYFUNCTION("""COMPUTED_VALUE"""),657.73)</f>
        <v>657.73</v>
      </c>
      <c r="D3335" s="9">
        <f>IFERROR(__xludf.DUMMYFUNCTION("""COMPUTED_VALUE"""),647.15)</f>
        <v>647.15</v>
      </c>
      <c r="E3335" s="9">
        <f>IFERROR(__xludf.DUMMYFUNCTION("""COMPUTED_VALUE"""),650.7)</f>
        <v>650.7</v>
      </c>
      <c r="F3335" s="9">
        <f>IFERROR(__xludf.DUMMYFUNCTION("""COMPUTED_VALUE"""),2987244.0)</f>
        <v>2987244</v>
      </c>
      <c r="H3335" s="27">
        <f>IFERROR(__xludf.DUMMYFUNCTION("""COMPUTED_VALUE"""),43291.64583333333)</f>
        <v>43291.64583</v>
      </c>
      <c r="I3335" s="25">
        <f>IFERROR(__xludf.DUMMYFUNCTION("""COMPUTED_VALUE"""),1898.0)</f>
        <v>1898</v>
      </c>
      <c r="J3335" s="25">
        <f>IFERROR(__xludf.DUMMYFUNCTION("""COMPUTED_VALUE"""),1898.9)</f>
        <v>1898.9</v>
      </c>
      <c r="K3335" s="25">
        <f>IFERROR(__xludf.DUMMYFUNCTION("""COMPUTED_VALUE"""),1870.75)</f>
        <v>1870.75</v>
      </c>
      <c r="L3335" s="25">
        <f>IFERROR(__xludf.DUMMYFUNCTION("""COMPUTED_VALUE"""),1875.1)</f>
        <v>1875.1</v>
      </c>
      <c r="M3335" s="25">
        <f>IFERROR(__xludf.DUMMYFUNCTION("""COMPUTED_VALUE"""),5303302.0)</f>
        <v>5303302</v>
      </c>
    </row>
    <row r="3336">
      <c r="A3336" s="26">
        <f>IFERROR(__xludf.DUMMYFUNCTION("""COMPUTED_VALUE"""),43292.64583333333)</f>
        <v>43292.64583</v>
      </c>
      <c r="B3336" s="9">
        <f>IFERROR(__xludf.DUMMYFUNCTION("""COMPUTED_VALUE"""),658.78)</f>
        <v>658.78</v>
      </c>
      <c r="C3336" s="9">
        <f>IFERROR(__xludf.DUMMYFUNCTION("""COMPUTED_VALUE"""),671.05)</f>
        <v>671.05</v>
      </c>
      <c r="D3336" s="9">
        <f>IFERROR(__xludf.DUMMYFUNCTION("""COMPUTED_VALUE"""),645.67)</f>
        <v>645.67</v>
      </c>
      <c r="E3336" s="9">
        <f>IFERROR(__xludf.DUMMYFUNCTION("""COMPUTED_VALUE"""),660.23)</f>
        <v>660.23</v>
      </c>
      <c r="F3336" s="9">
        <f>IFERROR(__xludf.DUMMYFUNCTION("""COMPUTED_VALUE"""),5949916.0)</f>
        <v>5949916</v>
      </c>
      <c r="H3336" s="27">
        <f>IFERROR(__xludf.DUMMYFUNCTION("""COMPUTED_VALUE"""),43292.64583333333)</f>
        <v>43292.64583</v>
      </c>
      <c r="I3336" s="25">
        <f>IFERROR(__xludf.DUMMYFUNCTION("""COMPUTED_VALUE"""),1900.0)</f>
        <v>1900</v>
      </c>
      <c r="J3336" s="25">
        <f>IFERROR(__xludf.DUMMYFUNCTION("""COMPUTED_VALUE"""),1998.0)</f>
        <v>1998</v>
      </c>
      <c r="K3336" s="25">
        <f>IFERROR(__xludf.DUMMYFUNCTION("""COMPUTED_VALUE"""),1894.15)</f>
        <v>1894.15</v>
      </c>
      <c r="L3336" s="25">
        <f>IFERROR(__xludf.DUMMYFUNCTION("""COMPUTED_VALUE"""),1979.9)</f>
        <v>1979.9</v>
      </c>
      <c r="M3336" s="25">
        <f>IFERROR(__xludf.DUMMYFUNCTION("""COMPUTED_VALUE"""),2.2903802E7)</f>
        <v>22903802</v>
      </c>
    </row>
    <row r="3337">
      <c r="A3337" s="26">
        <f>IFERROR(__xludf.DUMMYFUNCTION("""COMPUTED_VALUE"""),43293.64583333333)</f>
        <v>43293.64583</v>
      </c>
      <c r="B3337" s="9">
        <f>IFERROR(__xludf.DUMMYFUNCTION("""COMPUTED_VALUE"""),663.05)</f>
        <v>663.05</v>
      </c>
      <c r="C3337" s="9">
        <f>IFERROR(__xludf.DUMMYFUNCTION("""COMPUTED_VALUE"""),663.55)</f>
        <v>663.55</v>
      </c>
      <c r="D3337" s="9">
        <f>IFERROR(__xludf.DUMMYFUNCTION("""COMPUTED_VALUE"""),642.23)</f>
        <v>642.23</v>
      </c>
      <c r="E3337" s="9">
        <f>IFERROR(__xludf.DUMMYFUNCTION("""COMPUTED_VALUE"""),647.17)</f>
        <v>647.17</v>
      </c>
      <c r="F3337" s="9">
        <f>IFERROR(__xludf.DUMMYFUNCTION("""COMPUTED_VALUE"""),6636120.0)</f>
        <v>6636120</v>
      </c>
      <c r="H3337" s="27">
        <f>IFERROR(__xludf.DUMMYFUNCTION("""COMPUTED_VALUE"""),43293.64583333333)</f>
        <v>43293.64583</v>
      </c>
      <c r="I3337" s="25">
        <f>IFERROR(__xludf.DUMMYFUNCTION("""COMPUTED_VALUE"""),1984.0)</f>
        <v>1984</v>
      </c>
      <c r="J3337" s="25">
        <f>IFERROR(__xludf.DUMMYFUNCTION("""COMPUTED_VALUE"""),1990.9)</f>
        <v>1990.9</v>
      </c>
      <c r="K3337" s="25">
        <f>IFERROR(__xludf.DUMMYFUNCTION("""COMPUTED_VALUE"""),1960.5)</f>
        <v>1960.5</v>
      </c>
      <c r="L3337" s="25">
        <f>IFERROR(__xludf.DUMMYFUNCTION("""COMPUTED_VALUE"""),1971.35)</f>
        <v>1971.35</v>
      </c>
      <c r="M3337" s="25">
        <f>IFERROR(__xludf.DUMMYFUNCTION("""COMPUTED_VALUE"""),6921701.0)</f>
        <v>6921701</v>
      </c>
    </row>
    <row r="3338">
      <c r="A3338" s="26">
        <f>IFERROR(__xludf.DUMMYFUNCTION("""COMPUTED_VALUE"""),43294.64583333333)</f>
        <v>43294.64583</v>
      </c>
      <c r="B3338" s="9">
        <f>IFERROR(__xludf.DUMMYFUNCTION("""COMPUTED_VALUE"""),657.5)</f>
        <v>657.5</v>
      </c>
      <c r="C3338" s="9">
        <f>IFERROR(__xludf.DUMMYFUNCTION("""COMPUTED_VALUE"""),665.8)</f>
        <v>665.8</v>
      </c>
      <c r="D3338" s="9">
        <f>IFERROR(__xludf.DUMMYFUNCTION("""COMPUTED_VALUE"""),649.17)</f>
        <v>649.17</v>
      </c>
      <c r="E3338" s="9">
        <f>IFERROR(__xludf.DUMMYFUNCTION("""COMPUTED_VALUE"""),658.7)</f>
        <v>658.7</v>
      </c>
      <c r="F3338" s="9">
        <f>IFERROR(__xludf.DUMMYFUNCTION("""COMPUTED_VALUE"""),9748079.0)</f>
        <v>9748079</v>
      </c>
      <c r="H3338" s="27">
        <f>IFERROR(__xludf.DUMMYFUNCTION("""COMPUTED_VALUE"""),43294.64583333333)</f>
        <v>43294.64583</v>
      </c>
      <c r="I3338" s="25">
        <f>IFERROR(__xludf.DUMMYFUNCTION("""COMPUTED_VALUE"""),1975.0)</f>
        <v>1975</v>
      </c>
      <c r="J3338" s="25">
        <f>IFERROR(__xludf.DUMMYFUNCTION("""COMPUTED_VALUE"""),1997.9)</f>
        <v>1997.9</v>
      </c>
      <c r="K3338" s="25">
        <f>IFERROR(__xludf.DUMMYFUNCTION("""COMPUTED_VALUE"""),1974.0)</f>
        <v>1974</v>
      </c>
      <c r="L3338" s="25">
        <f>IFERROR(__xludf.DUMMYFUNCTION("""COMPUTED_VALUE"""),1981.1)</f>
        <v>1981.1</v>
      </c>
      <c r="M3338" s="25">
        <f>IFERROR(__xludf.DUMMYFUNCTION("""COMPUTED_VALUE"""),4148185.0)</f>
        <v>4148185</v>
      </c>
    </row>
    <row r="3339">
      <c r="A3339" s="26">
        <f>IFERROR(__xludf.DUMMYFUNCTION("""COMPUTED_VALUE"""),43297.64583333333)</f>
        <v>43297.64583</v>
      </c>
      <c r="B3339" s="9">
        <f>IFERROR(__xludf.DUMMYFUNCTION("""COMPUTED_VALUE"""),658.7)</f>
        <v>658.7</v>
      </c>
      <c r="C3339" s="9">
        <f>IFERROR(__xludf.DUMMYFUNCTION("""COMPUTED_VALUE"""),692.2)</f>
        <v>692.2</v>
      </c>
      <c r="D3339" s="9">
        <f>IFERROR(__xludf.DUMMYFUNCTION("""COMPUTED_VALUE"""),643.85)</f>
        <v>643.85</v>
      </c>
      <c r="E3339" s="9">
        <f>IFERROR(__xludf.DUMMYFUNCTION("""COMPUTED_VALUE"""),666.43)</f>
        <v>666.43</v>
      </c>
      <c r="F3339" s="9">
        <f>IFERROR(__xludf.DUMMYFUNCTION("""COMPUTED_VALUE"""),1.767234E7)</f>
        <v>17672340</v>
      </c>
      <c r="H3339" s="27">
        <f>IFERROR(__xludf.DUMMYFUNCTION("""COMPUTED_VALUE"""),43297.64583333333)</f>
        <v>43297.64583</v>
      </c>
      <c r="I3339" s="25">
        <f>IFERROR(__xludf.DUMMYFUNCTION("""COMPUTED_VALUE"""),1990.0)</f>
        <v>1990</v>
      </c>
      <c r="J3339" s="25">
        <f>IFERROR(__xludf.DUMMYFUNCTION("""COMPUTED_VALUE"""),1996.0)</f>
        <v>1996</v>
      </c>
      <c r="K3339" s="25">
        <f>IFERROR(__xludf.DUMMYFUNCTION("""COMPUTED_VALUE"""),1977.45)</f>
        <v>1977.45</v>
      </c>
      <c r="L3339" s="25">
        <f>IFERROR(__xludf.DUMMYFUNCTION("""COMPUTED_VALUE"""),1989.2)</f>
        <v>1989.2</v>
      </c>
      <c r="M3339" s="25">
        <f>IFERROR(__xludf.DUMMYFUNCTION("""COMPUTED_VALUE"""),2582159.0)</f>
        <v>2582159</v>
      </c>
    </row>
    <row r="3340">
      <c r="A3340" s="26">
        <f>IFERROR(__xludf.DUMMYFUNCTION("""COMPUTED_VALUE"""),43298.64583333333)</f>
        <v>43298.64583</v>
      </c>
      <c r="B3340" s="9">
        <f>IFERROR(__xludf.DUMMYFUNCTION("""COMPUTED_VALUE"""),664.85)</f>
        <v>664.85</v>
      </c>
      <c r="C3340" s="9">
        <f>IFERROR(__xludf.DUMMYFUNCTION("""COMPUTED_VALUE"""),674.75)</f>
        <v>674.75</v>
      </c>
      <c r="D3340" s="9">
        <f>IFERROR(__xludf.DUMMYFUNCTION("""COMPUTED_VALUE"""),656.35)</f>
        <v>656.35</v>
      </c>
      <c r="E3340" s="9">
        <f>IFERROR(__xludf.DUMMYFUNCTION("""COMPUTED_VALUE"""),663.95)</f>
        <v>663.95</v>
      </c>
      <c r="F3340" s="9">
        <f>IFERROR(__xludf.DUMMYFUNCTION("""COMPUTED_VALUE"""),5580845.0)</f>
        <v>5580845</v>
      </c>
      <c r="H3340" s="27">
        <f>IFERROR(__xludf.DUMMYFUNCTION("""COMPUTED_VALUE"""),43298.64583333333)</f>
        <v>43298.64583</v>
      </c>
      <c r="I3340" s="25">
        <f>IFERROR(__xludf.DUMMYFUNCTION("""COMPUTED_VALUE"""),1989.0)</f>
        <v>1989</v>
      </c>
      <c r="J3340" s="25">
        <f>IFERROR(__xludf.DUMMYFUNCTION("""COMPUTED_VALUE"""),2009.0)</f>
        <v>2009</v>
      </c>
      <c r="K3340" s="25">
        <f>IFERROR(__xludf.DUMMYFUNCTION("""COMPUTED_VALUE"""),1981.0)</f>
        <v>1981</v>
      </c>
      <c r="L3340" s="25">
        <f>IFERROR(__xludf.DUMMYFUNCTION("""COMPUTED_VALUE"""),2002.15)</f>
        <v>2002.15</v>
      </c>
      <c r="M3340" s="25">
        <f>IFERROR(__xludf.DUMMYFUNCTION("""COMPUTED_VALUE"""),3315492.0)</f>
        <v>3315492</v>
      </c>
    </row>
    <row r="3341">
      <c r="A3341" s="26">
        <f>IFERROR(__xludf.DUMMYFUNCTION("""COMPUTED_VALUE"""),43299.64583333333)</f>
        <v>43299.64583</v>
      </c>
      <c r="B3341" s="9">
        <f>IFERROR(__xludf.DUMMYFUNCTION("""COMPUTED_VALUE"""),669.9)</f>
        <v>669.9</v>
      </c>
      <c r="C3341" s="9">
        <f>IFERROR(__xludf.DUMMYFUNCTION("""COMPUTED_VALUE"""),671.7)</f>
        <v>671.7</v>
      </c>
      <c r="D3341" s="9">
        <f>IFERROR(__xludf.DUMMYFUNCTION("""COMPUTED_VALUE"""),657.0)</f>
        <v>657</v>
      </c>
      <c r="E3341" s="9">
        <f>IFERROR(__xludf.DUMMYFUNCTION("""COMPUTED_VALUE"""),661.28)</f>
        <v>661.28</v>
      </c>
      <c r="F3341" s="9">
        <f>IFERROR(__xludf.DUMMYFUNCTION("""COMPUTED_VALUE"""),3459508.0)</f>
        <v>3459508</v>
      </c>
      <c r="H3341" s="27">
        <f>IFERROR(__xludf.DUMMYFUNCTION("""COMPUTED_VALUE"""),43299.64583333333)</f>
        <v>43299.64583</v>
      </c>
      <c r="I3341" s="25">
        <f>IFERROR(__xludf.DUMMYFUNCTION("""COMPUTED_VALUE"""),2005.0)</f>
        <v>2005</v>
      </c>
      <c r="J3341" s="25">
        <f>IFERROR(__xludf.DUMMYFUNCTION("""COMPUTED_VALUE"""),2011.7)</f>
        <v>2011.7</v>
      </c>
      <c r="K3341" s="25">
        <f>IFERROR(__xludf.DUMMYFUNCTION("""COMPUTED_VALUE"""),1993.05)</f>
        <v>1993.05</v>
      </c>
      <c r="L3341" s="25">
        <f>IFERROR(__xludf.DUMMYFUNCTION("""COMPUTED_VALUE"""),2000.25)</f>
        <v>2000.25</v>
      </c>
      <c r="M3341" s="25">
        <f>IFERROR(__xludf.DUMMYFUNCTION("""COMPUTED_VALUE"""),2013869.0)</f>
        <v>2013869</v>
      </c>
    </row>
    <row r="3342">
      <c r="A3342" s="26">
        <f>IFERROR(__xludf.DUMMYFUNCTION("""COMPUTED_VALUE"""),43300.64583333333)</f>
        <v>43300.64583</v>
      </c>
      <c r="B3342" s="9">
        <f>IFERROR(__xludf.DUMMYFUNCTION("""COMPUTED_VALUE"""),661.5)</f>
        <v>661.5</v>
      </c>
      <c r="C3342" s="9">
        <f>IFERROR(__xludf.DUMMYFUNCTION("""COMPUTED_VALUE"""),665.95)</f>
        <v>665.95</v>
      </c>
      <c r="D3342" s="9">
        <f>IFERROR(__xludf.DUMMYFUNCTION("""COMPUTED_VALUE"""),654.55)</f>
        <v>654.55</v>
      </c>
      <c r="E3342" s="9">
        <f>IFERROR(__xludf.DUMMYFUNCTION("""COMPUTED_VALUE"""),658.35)</f>
        <v>658.35</v>
      </c>
      <c r="F3342" s="9">
        <f>IFERROR(__xludf.DUMMYFUNCTION("""COMPUTED_VALUE"""),2559432.0)</f>
        <v>2559432</v>
      </c>
      <c r="H3342" s="27">
        <f>IFERROR(__xludf.DUMMYFUNCTION("""COMPUTED_VALUE"""),43300.64583333333)</f>
        <v>43300.64583</v>
      </c>
      <c r="I3342" s="25">
        <f>IFERROR(__xludf.DUMMYFUNCTION("""COMPUTED_VALUE"""),2002.1)</f>
        <v>2002.1</v>
      </c>
      <c r="J3342" s="25">
        <f>IFERROR(__xludf.DUMMYFUNCTION("""COMPUTED_VALUE"""),2010.45)</f>
        <v>2010.45</v>
      </c>
      <c r="K3342" s="25">
        <f>IFERROR(__xludf.DUMMYFUNCTION("""COMPUTED_VALUE"""),1970.0)</f>
        <v>1970</v>
      </c>
      <c r="L3342" s="25">
        <f>IFERROR(__xludf.DUMMYFUNCTION("""COMPUTED_VALUE"""),1981.4)</f>
        <v>1981.4</v>
      </c>
      <c r="M3342" s="25">
        <f>IFERROR(__xludf.DUMMYFUNCTION("""COMPUTED_VALUE"""),1746318.0)</f>
        <v>1746318</v>
      </c>
    </row>
    <row r="3343">
      <c r="A3343" s="26">
        <f>IFERROR(__xludf.DUMMYFUNCTION("""COMPUTED_VALUE"""),43301.64583333333)</f>
        <v>43301.64583</v>
      </c>
      <c r="B3343" s="9">
        <f>IFERROR(__xludf.DUMMYFUNCTION("""COMPUTED_VALUE"""),663.0)</f>
        <v>663</v>
      </c>
      <c r="C3343" s="9">
        <f>IFERROR(__xludf.DUMMYFUNCTION("""COMPUTED_VALUE"""),683.58)</f>
        <v>683.58</v>
      </c>
      <c r="D3343" s="9">
        <f>IFERROR(__xludf.DUMMYFUNCTION("""COMPUTED_VALUE"""),660.65)</f>
        <v>660.65</v>
      </c>
      <c r="E3343" s="9">
        <f>IFERROR(__xludf.DUMMYFUNCTION("""COMPUTED_VALUE"""),674.05)</f>
        <v>674.05</v>
      </c>
      <c r="F3343" s="9">
        <f>IFERROR(__xludf.DUMMYFUNCTION("""COMPUTED_VALUE"""),5852869.0)</f>
        <v>5852869</v>
      </c>
      <c r="H3343" s="27">
        <f>IFERROR(__xludf.DUMMYFUNCTION("""COMPUTED_VALUE"""),43301.64583333333)</f>
        <v>43301.64583</v>
      </c>
      <c r="I3343" s="25">
        <f>IFERROR(__xludf.DUMMYFUNCTION("""COMPUTED_VALUE"""),1984.9)</f>
        <v>1984.9</v>
      </c>
      <c r="J3343" s="25">
        <f>IFERROR(__xludf.DUMMYFUNCTION("""COMPUTED_VALUE"""),2000.0)</f>
        <v>2000</v>
      </c>
      <c r="K3343" s="25">
        <f>IFERROR(__xludf.DUMMYFUNCTION("""COMPUTED_VALUE"""),1984.0)</f>
        <v>1984</v>
      </c>
      <c r="L3343" s="25">
        <f>IFERROR(__xludf.DUMMYFUNCTION("""COMPUTED_VALUE"""),1996.6)</f>
        <v>1996.6</v>
      </c>
      <c r="M3343" s="25">
        <f>IFERROR(__xludf.DUMMYFUNCTION("""COMPUTED_VALUE"""),1934995.0)</f>
        <v>1934995</v>
      </c>
    </row>
    <row r="3344">
      <c r="A3344" s="26">
        <f>IFERROR(__xludf.DUMMYFUNCTION("""COMPUTED_VALUE"""),43304.64583333333)</f>
        <v>43304.64583</v>
      </c>
      <c r="B3344" s="9">
        <f>IFERROR(__xludf.DUMMYFUNCTION("""COMPUTED_VALUE"""),676.08)</f>
        <v>676.08</v>
      </c>
      <c r="C3344" s="9">
        <f>IFERROR(__xludf.DUMMYFUNCTION("""COMPUTED_VALUE"""),684.0)</f>
        <v>684</v>
      </c>
      <c r="D3344" s="9">
        <f>IFERROR(__xludf.DUMMYFUNCTION("""COMPUTED_VALUE"""),668.13)</f>
        <v>668.13</v>
      </c>
      <c r="E3344" s="9">
        <f>IFERROR(__xludf.DUMMYFUNCTION("""COMPUTED_VALUE"""),677.98)</f>
        <v>677.98</v>
      </c>
      <c r="F3344" s="9">
        <f>IFERROR(__xludf.DUMMYFUNCTION("""COMPUTED_VALUE"""),3837851.0)</f>
        <v>3837851</v>
      </c>
      <c r="H3344" s="27">
        <f>IFERROR(__xludf.DUMMYFUNCTION("""COMPUTED_VALUE"""),43304.64583333333)</f>
        <v>43304.64583</v>
      </c>
      <c r="I3344" s="25">
        <f>IFERROR(__xludf.DUMMYFUNCTION("""COMPUTED_VALUE"""),2001.0)</f>
        <v>2001</v>
      </c>
      <c r="J3344" s="25">
        <f>IFERROR(__xludf.DUMMYFUNCTION("""COMPUTED_VALUE"""),2009.95)</f>
        <v>2009.95</v>
      </c>
      <c r="K3344" s="25">
        <f>IFERROR(__xludf.DUMMYFUNCTION("""COMPUTED_VALUE"""),1986.0)</f>
        <v>1986</v>
      </c>
      <c r="L3344" s="25">
        <f>IFERROR(__xludf.DUMMYFUNCTION("""COMPUTED_VALUE"""),2005.65)</f>
        <v>2005.65</v>
      </c>
      <c r="M3344" s="25">
        <f>IFERROR(__xludf.DUMMYFUNCTION("""COMPUTED_VALUE"""),2086201.0)</f>
        <v>2086201</v>
      </c>
    </row>
    <row r="3345">
      <c r="A3345" s="26">
        <f>IFERROR(__xludf.DUMMYFUNCTION("""COMPUTED_VALUE"""),43305.64583333333)</f>
        <v>43305.64583</v>
      </c>
      <c r="B3345" s="9">
        <f>IFERROR(__xludf.DUMMYFUNCTION("""COMPUTED_VALUE"""),687.2)</f>
        <v>687.2</v>
      </c>
      <c r="C3345" s="9">
        <f>IFERROR(__xludf.DUMMYFUNCTION("""COMPUTED_VALUE"""),691.2)</f>
        <v>691.2</v>
      </c>
      <c r="D3345" s="9">
        <f>IFERROR(__xludf.DUMMYFUNCTION("""COMPUTED_VALUE"""),678.0)</f>
        <v>678</v>
      </c>
      <c r="E3345" s="9">
        <f>IFERROR(__xludf.DUMMYFUNCTION("""COMPUTED_VALUE"""),688.58)</f>
        <v>688.58</v>
      </c>
      <c r="F3345" s="9">
        <f>IFERROR(__xludf.DUMMYFUNCTION("""COMPUTED_VALUE"""),3086123.0)</f>
        <v>3086123</v>
      </c>
      <c r="H3345" s="27">
        <f>IFERROR(__xludf.DUMMYFUNCTION("""COMPUTED_VALUE"""),43305.64583333333)</f>
        <v>43305.64583</v>
      </c>
      <c r="I3345" s="25">
        <f>IFERROR(__xludf.DUMMYFUNCTION("""COMPUTED_VALUE"""),2015.0)</f>
        <v>2015</v>
      </c>
      <c r="J3345" s="25">
        <f>IFERROR(__xludf.DUMMYFUNCTION("""COMPUTED_VALUE"""),2015.0)</f>
        <v>2015</v>
      </c>
      <c r="K3345" s="25">
        <f>IFERROR(__xludf.DUMMYFUNCTION("""COMPUTED_VALUE"""),1984.15)</f>
        <v>1984.15</v>
      </c>
      <c r="L3345" s="25">
        <f>IFERROR(__xludf.DUMMYFUNCTION("""COMPUTED_VALUE"""),1999.0)</f>
        <v>1999</v>
      </c>
      <c r="M3345" s="25">
        <f>IFERROR(__xludf.DUMMYFUNCTION("""COMPUTED_VALUE"""),2038423.0)</f>
        <v>2038423</v>
      </c>
    </row>
    <row r="3346">
      <c r="A3346" s="26">
        <f>IFERROR(__xludf.DUMMYFUNCTION("""COMPUTED_VALUE"""),43306.64583333333)</f>
        <v>43306.64583</v>
      </c>
      <c r="B3346" s="9">
        <f>IFERROR(__xludf.DUMMYFUNCTION("""COMPUTED_VALUE"""),689.5)</f>
        <v>689.5</v>
      </c>
      <c r="C3346" s="9">
        <f>IFERROR(__xludf.DUMMYFUNCTION("""COMPUTED_VALUE"""),696.9)</f>
        <v>696.9</v>
      </c>
      <c r="D3346" s="9">
        <f>IFERROR(__xludf.DUMMYFUNCTION("""COMPUTED_VALUE"""),682.73)</f>
        <v>682.73</v>
      </c>
      <c r="E3346" s="9">
        <f>IFERROR(__xludf.DUMMYFUNCTION("""COMPUTED_VALUE"""),691.88)</f>
        <v>691.88</v>
      </c>
      <c r="F3346" s="9">
        <f>IFERROR(__xludf.DUMMYFUNCTION("""COMPUTED_VALUE"""),3468461.0)</f>
        <v>3468461</v>
      </c>
      <c r="H3346" s="27">
        <f>IFERROR(__xludf.DUMMYFUNCTION("""COMPUTED_VALUE"""),43306.64583333333)</f>
        <v>43306.64583</v>
      </c>
      <c r="I3346" s="25">
        <f>IFERROR(__xludf.DUMMYFUNCTION("""COMPUTED_VALUE"""),2001.9)</f>
        <v>2001.9</v>
      </c>
      <c r="J3346" s="25">
        <f>IFERROR(__xludf.DUMMYFUNCTION("""COMPUTED_VALUE"""),2002.0)</f>
        <v>2002</v>
      </c>
      <c r="K3346" s="25">
        <f>IFERROR(__xludf.DUMMYFUNCTION("""COMPUTED_VALUE"""),1968.4)</f>
        <v>1968.4</v>
      </c>
      <c r="L3346" s="25">
        <f>IFERROR(__xludf.DUMMYFUNCTION("""COMPUTED_VALUE"""),1981.5)</f>
        <v>1981.5</v>
      </c>
      <c r="M3346" s="25">
        <f>IFERROR(__xludf.DUMMYFUNCTION("""COMPUTED_VALUE"""),1535492.0)</f>
        <v>1535492</v>
      </c>
    </row>
    <row r="3347">
      <c r="A3347" s="26">
        <f>IFERROR(__xludf.DUMMYFUNCTION("""COMPUTED_VALUE"""),43307.64583333333)</f>
        <v>43307.64583</v>
      </c>
      <c r="B3347" s="9">
        <f>IFERROR(__xludf.DUMMYFUNCTION("""COMPUTED_VALUE"""),689.28)</f>
        <v>689.28</v>
      </c>
      <c r="C3347" s="9">
        <f>IFERROR(__xludf.DUMMYFUNCTION("""COMPUTED_VALUE"""),695.2)</f>
        <v>695.2</v>
      </c>
      <c r="D3347" s="9">
        <f>IFERROR(__xludf.DUMMYFUNCTION("""COMPUTED_VALUE"""),684.6)</f>
        <v>684.6</v>
      </c>
      <c r="E3347" s="9">
        <f>IFERROR(__xludf.DUMMYFUNCTION("""COMPUTED_VALUE"""),686.63)</f>
        <v>686.63</v>
      </c>
      <c r="F3347" s="9">
        <f>IFERROR(__xludf.DUMMYFUNCTION("""COMPUTED_VALUE"""),3681109.0)</f>
        <v>3681109</v>
      </c>
      <c r="H3347" s="27">
        <f>IFERROR(__xludf.DUMMYFUNCTION("""COMPUTED_VALUE"""),43307.64583333333)</f>
        <v>43307.64583</v>
      </c>
      <c r="I3347" s="25">
        <f>IFERROR(__xludf.DUMMYFUNCTION("""COMPUTED_VALUE"""),1974.95)</f>
        <v>1974.95</v>
      </c>
      <c r="J3347" s="25">
        <f>IFERROR(__xludf.DUMMYFUNCTION("""COMPUTED_VALUE"""),1985.0)</f>
        <v>1985</v>
      </c>
      <c r="K3347" s="25">
        <f>IFERROR(__xludf.DUMMYFUNCTION("""COMPUTED_VALUE"""),1955.1)</f>
        <v>1955.1</v>
      </c>
      <c r="L3347" s="25">
        <f>IFERROR(__xludf.DUMMYFUNCTION("""COMPUTED_VALUE"""),1964.7)</f>
        <v>1964.7</v>
      </c>
      <c r="M3347" s="25">
        <f>IFERROR(__xludf.DUMMYFUNCTION("""COMPUTED_VALUE"""),3503036.0)</f>
        <v>3503036</v>
      </c>
    </row>
    <row r="3348">
      <c r="A3348" s="26">
        <f>IFERROR(__xludf.DUMMYFUNCTION("""COMPUTED_VALUE"""),43308.64583333333)</f>
        <v>43308.64583</v>
      </c>
      <c r="B3348" s="9">
        <f>IFERROR(__xludf.DUMMYFUNCTION("""COMPUTED_VALUE"""),686.6)</f>
        <v>686.6</v>
      </c>
      <c r="C3348" s="9">
        <f>IFERROR(__xludf.DUMMYFUNCTION("""COMPUTED_VALUE"""),694.5)</f>
        <v>694.5</v>
      </c>
      <c r="D3348" s="9">
        <f>IFERROR(__xludf.DUMMYFUNCTION("""COMPUTED_VALUE"""),684.15)</f>
        <v>684.15</v>
      </c>
      <c r="E3348" s="9">
        <f>IFERROR(__xludf.DUMMYFUNCTION("""COMPUTED_VALUE"""),686.73)</f>
        <v>686.73</v>
      </c>
      <c r="F3348" s="9">
        <f>IFERROR(__xludf.DUMMYFUNCTION("""COMPUTED_VALUE"""),3246616.0)</f>
        <v>3246616</v>
      </c>
      <c r="H3348" s="27">
        <f>IFERROR(__xludf.DUMMYFUNCTION("""COMPUTED_VALUE"""),43308.64583333333)</f>
        <v>43308.64583</v>
      </c>
      <c r="I3348" s="25">
        <f>IFERROR(__xludf.DUMMYFUNCTION("""COMPUTED_VALUE"""),1960.85)</f>
        <v>1960.85</v>
      </c>
      <c r="J3348" s="25">
        <f>IFERROR(__xludf.DUMMYFUNCTION("""COMPUTED_VALUE"""),1964.65)</f>
        <v>1964.65</v>
      </c>
      <c r="K3348" s="25">
        <f>IFERROR(__xludf.DUMMYFUNCTION("""COMPUTED_VALUE"""),1940.3)</f>
        <v>1940.3</v>
      </c>
      <c r="L3348" s="25">
        <f>IFERROR(__xludf.DUMMYFUNCTION("""COMPUTED_VALUE"""),1943.75)</f>
        <v>1943.75</v>
      </c>
      <c r="M3348" s="25">
        <f>IFERROR(__xludf.DUMMYFUNCTION("""COMPUTED_VALUE"""),2033977.0)</f>
        <v>2033977</v>
      </c>
    </row>
    <row r="3349">
      <c r="A3349" s="26">
        <f>IFERROR(__xludf.DUMMYFUNCTION("""COMPUTED_VALUE"""),43311.64583333333)</f>
        <v>43311.64583</v>
      </c>
      <c r="B3349" s="9">
        <f>IFERROR(__xludf.DUMMYFUNCTION("""COMPUTED_VALUE"""),685.0)</f>
        <v>685</v>
      </c>
      <c r="C3349" s="9">
        <f>IFERROR(__xludf.DUMMYFUNCTION("""COMPUTED_VALUE"""),686.5)</f>
        <v>686.5</v>
      </c>
      <c r="D3349" s="9">
        <f>IFERROR(__xludf.DUMMYFUNCTION("""COMPUTED_VALUE"""),674.0)</f>
        <v>674</v>
      </c>
      <c r="E3349" s="9">
        <f>IFERROR(__xludf.DUMMYFUNCTION("""COMPUTED_VALUE"""),675.5)</f>
        <v>675.5</v>
      </c>
      <c r="F3349" s="9">
        <f>IFERROR(__xludf.DUMMYFUNCTION("""COMPUTED_VALUE"""),3204985.0)</f>
        <v>3204985</v>
      </c>
      <c r="H3349" s="27">
        <f>IFERROR(__xludf.DUMMYFUNCTION("""COMPUTED_VALUE"""),43311.64583333333)</f>
        <v>43311.64583</v>
      </c>
      <c r="I3349" s="25">
        <f>IFERROR(__xludf.DUMMYFUNCTION("""COMPUTED_VALUE"""),1943.0)</f>
        <v>1943</v>
      </c>
      <c r="J3349" s="25">
        <f>IFERROR(__xludf.DUMMYFUNCTION("""COMPUTED_VALUE"""),1954.7)</f>
        <v>1954.7</v>
      </c>
      <c r="K3349" s="25">
        <f>IFERROR(__xludf.DUMMYFUNCTION("""COMPUTED_VALUE"""),1931.55)</f>
        <v>1931.55</v>
      </c>
      <c r="L3349" s="25">
        <f>IFERROR(__xludf.DUMMYFUNCTION("""COMPUTED_VALUE"""),1944.6)</f>
        <v>1944.6</v>
      </c>
      <c r="M3349" s="25">
        <f>IFERROR(__xludf.DUMMYFUNCTION("""COMPUTED_VALUE"""),1579251.0)</f>
        <v>1579251</v>
      </c>
    </row>
    <row r="3350">
      <c r="A3350" s="26">
        <f>IFERROR(__xludf.DUMMYFUNCTION("""COMPUTED_VALUE"""),43312.64583333333)</f>
        <v>43312.64583</v>
      </c>
      <c r="B3350" s="9">
        <f>IFERROR(__xludf.DUMMYFUNCTION("""COMPUTED_VALUE"""),674.28)</f>
        <v>674.28</v>
      </c>
      <c r="C3350" s="9">
        <f>IFERROR(__xludf.DUMMYFUNCTION("""COMPUTED_VALUE"""),685.0)</f>
        <v>685</v>
      </c>
      <c r="D3350" s="9">
        <f>IFERROR(__xludf.DUMMYFUNCTION("""COMPUTED_VALUE"""),667.78)</f>
        <v>667.78</v>
      </c>
      <c r="E3350" s="9">
        <f>IFERROR(__xludf.DUMMYFUNCTION("""COMPUTED_VALUE"""),682.55)</f>
        <v>682.55</v>
      </c>
      <c r="F3350" s="9">
        <f>IFERROR(__xludf.DUMMYFUNCTION("""COMPUTED_VALUE"""),3971998.0)</f>
        <v>3971998</v>
      </c>
      <c r="H3350" s="27">
        <f>IFERROR(__xludf.DUMMYFUNCTION("""COMPUTED_VALUE"""),43312.64583333333)</f>
        <v>43312.64583</v>
      </c>
      <c r="I3350" s="25">
        <f>IFERROR(__xludf.DUMMYFUNCTION("""COMPUTED_VALUE"""),1942.0)</f>
        <v>1942</v>
      </c>
      <c r="J3350" s="25">
        <f>IFERROR(__xludf.DUMMYFUNCTION("""COMPUTED_VALUE"""),1947.0)</f>
        <v>1947</v>
      </c>
      <c r="K3350" s="25">
        <f>IFERROR(__xludf.DUMMYFUNCTION("""COMPUTED_VALUE"""),1928.0)</f>
        <v>1928</v>
      </c>
      <c r="L3350" s="25">
        <f>IFERROR(__xludf.DUMMYFUNCTION("""COMPUTED_VALUE"""),1940.2)</f>
        <v>1940.2</v>
      </c>
      <c r="M3350" s="25">
        <f>IFERROR(__xludf.DUMMYFUNCTION("""COMPUTED_VALUE"""),2204803.0)</f>
        <v>2204803</v>
      </c>
    </row>
    <row r="3351">
      <c r="A3351" s="26">
        <f>IFERROR(__xludf.DUMMYFUNCTION("""COMPUTED_VALUE"""),43313.64583333333)</f>
        <v>43313.64583</v>
      </c>
      <c r="B3351" s="9">
        <f>IFERROR(__xludf.DUMMYFUNCTION("""COMPUTED_VALUE"""),681.9)</f>
        <v>681.9</v>
      </c>
      <c r="C3351" s="9">
        <f>IFERROR(__xludf.DUMMYFUNCTION("""COMPUTED_VALUE"""),684.23)</f>
        <v>684.23</v>
      </c>
      <c r="D3351" s="9">
        <f>IFERROR(__xludf.DUMMYFUNCTION("""COMPUTED_VALUE"""),675.5)</f>
        <v>675.5</v>
      </c>
      <c r="E3351" s="9">
        <f>IFERROR(__xludf.DUMMYFUNCTION("""COMPUTED_VALUE"""),677.03)</f>
        <v>677.03</v>
      </c>
      <c r="F3351" s="9">
        <f>IFERROR(__xludf.DUMMYFUNCTION("""COMPUTED_VALUE"""),2337853.0)</f>
        <v>2337853</v>
      </c>
      <c r="H3351" s="27">
        <f>IFERROR(__xludf.DUMMYFUNCTION("""COMPUTED_VALUE"""),43313.64583333333)</f>
        <v>43313.64583</v>
      </c>
      <c r="I3351" s="25">
        <f>IFERROR(__xludf.DUMMYFUNCTION("""COMPUTED_VALUE"""),1949.95)</f>
        <v>1949.95</v>
      </c>
      <c r="J3351" s="25">
        <f>IFERROR(__xludf.DUMMYFUNCTION("""COMPUTED_VALUE"""),1981.55)</f>
        <v>1981.55</v>
      </c>
      <c r="K3351" s="25">
        <f>IFERROR(__xludf.DUMMYFUNCTION("""COMPUTED_VALUE"""),1949.8)</f>
        <v>1949.8</v>
      </c>
      <c r="L3351" s="25">
        <f>IFERROR(__xludf.DUMMYFUNCTION("""COMPUTED_VALUE"""),1976.5)</f>
        <v>1976.5</v>
      </c>
      <c r="M3351" s="25">
        <f>IFERROR(__xludf.DUMMYFUNCTION("""COMPUTED_VALUE"""),2425180.0)</f>
        <v>2425180</v>
      </c>
    </row>
    <row r="3352">
      <c r="A3352" s="26">
        <f>IFERROR(__xludf.DUMMYFUNCTION("""COMPUTED_VALUE"""),43314.64583333333)</f>
        <v>43314.64583</v>
      </c>
      <c r="B3352" s="9">
        <f>IFERROR(__xludf.DUMMYFUNCTION("""COMPUTED_VALUE"""),679.8)</f>
        <v>679.8</v>
      </c>
      <c r="C3352" s="9">
        <f>IFERROR(__xludf.DUMMYFUNCTION("""COMPUTED_VALUE"""),683.38)</f>
        <v>683.38</v>
      </c>
      <c r="D3352" s="9">
        <f>IFERROR(__xludf.DUMMYFUNCTION("""COMPUTED_VALUE"""),675.08)</f>
        <v>675.08</v>
      </c>
      <c r="E3352" s="9">
        <f>IFERROR(__xludf.DUMMYFUNCTION("""COMPUTED_VALUE"""),676.83)</f>
        <v>676.83</v>
      </c>
      <c r="F3352" s="9">
        <f>IFERROR(__xludf.DUMMYFUNCTION("""COMPUTED_VALUE"""),2970371.0)</f>
        <v>2970371</v>
      </c>
      <c r="H3352" s="27">
        <f>IFERROR(__xludf.DUMMYFUNCTION("""COMPUTED_VALUE"""),43314.64583333333)</f>
        <v>43314.64583</v>
      </c>
      <c r="I3352" s="25">
        <f>IFERROR(__xludf.DUMMYFUNCTION("""COMPUTED_VALUE"""),1980.0)</f>
        <v>1980</v>
      </c>
      <c r="J3352" s="25">
        <f>IFERROR(__xludf.DUMMYFUNCTION("""COMPUTED_VALUE"""),1985.0)</f>
        <v>1985</v>
      </c>
      <c r="K3352" s="25">
        <f>IFERROR(__xludf.DUMMYFUNCTION("""COMPUTED_VALUE"""),1945.0)</f>
        <v>1945</v>
      </c>
      <c r="L3352" s="25">
        <f>IFERROR(__xludf.DUMMYFUNCTION("""COMPUTED_VALUE"""),1948.4)</f>
        <v>1948.4</v>
      </c>
      <c r="M3352" s="25">
        <f>IFERROR(__xludf.DUMMYFUNCTION("""COMPUTED_VALUE"""),1509287.0)</f>
        <v>1509287</v>
      </c>
    </row>
    <row r="3353">
      <c r="A3353" s="26">
        <f>IFERROR(__xludf.DUMMYFUNCTION("""COMPUTED_VALUE"""),43315.64583333333)</f>
        <v>43315.64583</v>
      </c>
      <c r="B3353" s="9">
        <f>IFERROR(__xludf.DUMMYFUNCTION("""COMPUTED_VALUE"""),683.1)</f>
        <v>683.1</v>
      </c>
      <c r="C3353" s="9">
        <f>IFERROR(__xludf.DUMMYFUNCTION("""COMPUTED_VALUE"""),683.1)</f>
        <v>683.1</v>
      </c>
      <c r="D3353" s="9">
        <f>IFERROR(__xludf.DUMMYFUNCTION("""COMPUTED_VALUE"""),678.0)</f>
        <v>678</v>
      </c>
      <c r="E3353" s="9">
        <f>IFERROR(__xludf.DUMMYFUNCTION("""COMPUTED_VALUE"""),682.05)</f>
        <v>682.05</v>
      </c>
      <c r="F3353" s="9">
        <f>IFERROR(__xludf.DUMMYFUNCTION("""COMPUTED_VALUE"""),1985195.0)</f>
        <v>1985195</v>
      </c>
      <c r="H3353" s="27">
        <f>IFERROR(__xludf.DUMMYFUNCTION("""COMPUTED_VALUE"""),43315.64583333333)</f>
        <v>43315.64583</v>
      </c>
      <c r="I3353" s="25">
        <f>IFERROR(__xludf.DUMMYFUNCTION("""COMPUTED_VALUE"""),1956.5)</f>
        <v>1956.5</v>
      </c>
      <c r="J3353" s="25">
        <f>IFERROR(__xludf.DUMMYFUNCTION("""COMPUTED_VALUE"""),1982.05)</f>
        <v>1982.05</v>
      </c>
      <c r="K3353" s="25">
        <f>IFERROR(__xludf.DUMMYFUNCTION("""COMPUTED_VALUE"""),1956.5)</f>
        <v>1956.5</v>
      </c>
      <c r="L3353" s="25">
        <f>IFERROR(__xludf.DUMMYFUNCTION("""COMPUTED_VALUE"""),1979.45)</f>
        <v>1979.45</v>
      </c>
      <c r="M3353" s="25">
        <f>IFERROR(__xludf.DUMMYFUNCTION("""COMPUTED_VALUE"""),1505131.0)</f>
        <v>1505131</v>
      </c>
    </row>
    <row r="3354">
      <c r="A3354" s="26">
        <f>IFERROR(__xludf.DUMMYFUNCTION("""COMPUTED_VALUE"""),43318.64583333333)</f>
        <v>43318.64583</v>
      </c>
      <c r="B3354" s="9">
        <f>IFERROR(__xludf.DUMMYFUNCTION("""COMPUTED_VALUE"""),683.03)</f>
        <v>683.03</v>
      </c>
      <c r="C3354" s="9">
        <f>IFERROR(__xludf.DUMMYFUNCTION("""COMPUTED_VALUE"""),687.5)</f>
        <v>687.5</v>
      </c>
      <c r="D3354" s="9">
        <f>IFERROR(__xludf.DUMMYFUNCTION("""COMPUTED_VALUE"""),673.75)</f>
        <v>673.75</v>
      </c>
      <c r="E3354" s="9">
        <f>IFERROR(__xludf.DUMMYFUNCTION("""COMPUTED_VALUE"""),680.33)</f>
        <v>680.33</v>
      </c>
      <c r="F3354" s="9">
        <f>IFERROR(__xludf.DUMMYFUNCTION("""COMPUTED_VALUE"""),3089465.0)</f>
        <v>3089465</v>
      </c>
      <c r="H3354" s="27">
        <f>IFERROR(__xludf.DUMMYFUNCTION("""COMPUTED_VALUE"""),43318.64583333333)</f>
        <v>43318.64583</v>
      </c>
      <c r="I3354" s="25">
        <f>IFERROR(__xludf.DUMMYFUNCTION("""COMPUTED_VALUE"""),1997.0)</f>
        <v>1997</v>
      </c>
      <c r="J3354" s="25">
        <f>IFERROR(__xludf.DUMMYFUNCTION("""COMPUTED_VALUE"""),1998.95)</f>
        <v>1998.95</v>
      </c>
      <c r="K3354" s="25">
        <f>IFERROR(__xludf.DUMMYFUNCTION("""COMPUTED_VALUE"""),1972.25)</f>
        <v>1972.25</v>
      </c>
      <c r="L3354" s="25">
        <f>IFERROR(__xludf.DUMMYFUNCTION("""COMPUTED_VALUE"""),1975.55)</f>
        <v>1975.55</v>
      </c>
      <c r="M3354" s="25">
        <f>IFERROR(__xludf.DUMMYFUNCTION("""COMPUTED_VALUE"""),1532249.0)</f>
        <v>1532249</v>
      </c>
    </row>
    <row r="3355">
      <c r="A3355" s="26">
        <f>IFERROR(__xludf.DUMMYFUNCTION("""COMPUTED_VALUE"""),43319.64583333333)</f>
        <v>43319.64583</v>
      </c>
      <c r="B3355" s="9">
        <f>IFERROR(__xludf.DUMMYFUNCTION("""COMPUTED_VALUE"""),687.0)</f>
        <v>687</v>
      </c>
      <c r="C3355" s="9">
        <f>IFERROR(__xludf.DUMMYFUNCTION("""COMPUTED_VALUE"""),689.98)</f>
        <v>689.98</v>
      </c>
      <c r="D3355" s="9">
        <f>IFERROR(__xludf.DUMMYFUNCTION("""COMPUTED_VALUE"""),680.33)</f>
        <v>680.33</v>
      </c>
      <c r="E3355" s="9">
        <f>IFERROR(__xludf.DUMMYFUNCTION("""COMPUTED_VALUE"""),683.98)</f>
        <v>683.98</v>
      </c>
      <c r="F3355" s="9">
        <f>IFERROR(__xludf.DUMMYFUNCTION("""COMPUTED_VALUE"""),3675764.0)</f>
        <v>3675764</v>
      </c>
      <c r="H3355" s="27">
        <f>IFERROR(__xludf.DUMMYFUNCTION("""COMPUTED_VALUE"""),43319.64583333333)</f>
        <v>43319.64583</v>
      </c>
      <c r="I3355" s="25">
        <f>IFERROR(__xludf.DUMMYFUNCTION("""COMPUTED_VALUE"""),1978.2)</f>
        <v>1978.2</v>
      </c>
      <c r="J3355" s="25">
        <f>IFERROR(__xludf.DUMMYFUNCTION("""COMPUTED_VALUE"""),1979.15)</f>
        <v>1979.15</v>
      </c>
      <c r="K3355" s="25">
        <f>IFERROR(__xludf.DUMMYFUNCTION("""COMPUTED_VALUE"""),1960.5)</f>
        <v>1960.5</v>
      </c>
      <c r="L3355" s="25">
        <f>IFERROR(__xludf.DUMMYFUNCTION("""COMPUTED_VALUE"""),1967.35)</f>
        <v>1967.35</v>
      </c>
      <c r="M3355" s="25">
        <f>IFERROR(__xludf.DUMMYFUNCTION("""COMPUTED_VALUE"""),1353560.0)</f>
        <v>1353560</v>
      </c>
    </row>
    <row r="3356">
      <c r="A3356" s="26">
        <f>IFERROR(__xludf.DUMMYFUNCTION("""COMPUTED_VALUE"""),43320.64583333333)</f>
        <v>43320.64583</v>
      </c>
      <c r="B3356" s="9">
        <f>IFERROR(__xludf.DUMMYFUNCTION("""COMPUTED_VALUE"""),685.9)</f>
        <v>685.9</v>
      </c>
      <c r="C3356" s="9">
        <f>IFERROR(__xludf.DUMMYFUNCTION("""COMPUTED_VALUE"""),686.25)</f>
        <v>686.25</v>
      </c>
      <c r="D3356" s="9">
        <f>IFERROR(__xludf.DUMMYFUNCTION("""COMPUTED_VALUE"""),676.65)</f>
        <v>676.65</v>
      </c>
      <c r="E3356" s="9">
        <f>IFERROR(__xludf.DUMMYFUNCTION("""COMPUTED_VALUE"""),681.38)</f>
        <v>681.38</v>
      </c>
      <c r="F3356" s="9">
        <f>IFERROR(__xludf.DUMMYFUNCTION("""COMPUTED_VALUE"""),1996179.0)</f>
        <v>1996179</v>
      </c>
      <c r="H3356" s="27">
        <f>IFERROR(__xludf.DUMMYFUNCTION("""COMPUTED_VALUE"""),43320.64583333333)</f>
        <v>43320.64583</v>
      </c>
      <c r="I3356" s="25">
        <f>IFERROR(__xludf.DUMMYFUNCTION("""COMPUTED_VALUE"""),1972.0)</f>
        <v>1972</v>
      </c>
      <c r="J3356" s="25">
        <f>IFERROR(__xludf.DUMMYFUNCTION("""COMPUTED_VALUE"""),1978.3)</f>
        <v>1978.3</v>
      </c>
      <c r="K3356" s="25">
        <f>IFERROR(__xludf.DUMMYFUNCTION("""COMPUTED_VALUE"""),1962.0)</f>
        <v>1962</v>
      </c>
      <c r="L3356" s="25">
        <f>IFERROR(__xludf.DUMMYFUNCTION("""COMPUTED_VALUE"""),1974.0)</f>
        <v>1974</v>
      </c>
      <c r="M3356" s="25">
        <f>IFERROR(__xludf.DUMMYFUNCTION("""COMPUTED_VALUE"""),1315062.0)</f>
        <v>1315062</v>
      </c>
    </row>
    <row r="3357">
      <c r="A3357" s="26">
        <f>IFERROR(__xludf.DUMMYFUNCTION("""COMPUTED_VALUE"""),43321.64583333333)</f>
        <v>43321.64583</v>
      </c>
      <c r="B3357" s="9">
        <f>IFERROR(__xludf.DUMMYFUNCTION("""COMPUTED_VALUE"""),686.83)</f>
        <v>686.83</v>
      </c>
      <c r="C3357" s="9">
        <f>IFERROR(__xludf.DUMMYFUNCTION("""COMPUTED_VALUE"""),694.73)</f>
        <v>694.73</v>
      </c>
      <c r="D3357" s="9">
        <f>IFERROR(__xludf.DUMMYFUNCTION("""COMPUTED_VALUE"""),686.83)</f>
        <v>686.83</v>
      </c>
      <c r="E3357" s="9">
        <f>IFERROR(__xludf.DUMMYFUNCTION("""COMPUTED_VALUE"""),689.98)</f>
        <v>689.98</v>
      </c>
      <c r="F3357" s="9">
        <f>IFERROR(__xludf.DUMMYFUNCTION("""COMPUTED_VALUE"""),3204762.0)</f>
        <v>3204762</v>
      </c>
      <c r="H3357" s="27">
        <f>IFERROR(__xludf.DUMMYFUNCTION("""COMPUTED_VALUE"""),43321.64583333333)</f>
        <v>43321.64583</v>
      </c>
      <c r="I3357" s="25">
        <f>IFERROR(__xludf.DUMMYFUNCTION("""COMPUTED_VALUE"""),1980.0)</f>
        <v>1980</v>
      </c>
      <c r="J3357" s="25">
        <f>IFERROR(__xludf.DUMMYFUNCTION("""COMPUTED_VALUE"""),1980.8)</f>
        <v>1980.8</v>
      </c>
      <c r="K3357" s="25">
        <f>IFERROR(__xludf.DUMMYFUNCTION("""COMPUTED_VALUE"""),1966.0)</f>
        <v>1966</v>
      </c>
      <c r="L3357" s="25">
        <f>IFERROR(__xludf.DUMMYFUNCTION("""COMPUTED_VALUE"""),1974.35)</f>
        <v>1974.35</v>
      </c>
      <c r="M3357" s="25">
        <f>IFERROR(__xludf.DUMMYFUNCTION("""COMPUTED_VALUE"""),2060297.0)</f>
        <v>2060297</v>
      </c>
    </row>
    <row r="3358">
      <c r="A3358" s="26">
        <f>IFERROR(__xludf.DUMMYFUNCTION("""COMPUTED_VALUE"""),43322.64583333333)</f>
        <v>43322.64583</v>
      </c>
      <c r="B3358" s="9">
        <f>IFERROR(__xludf.DUMMYFUNCTION("""COMPUTED_VALUE"""),692.9)</f>
        <v>692.9</v>
      </c>
      <c r="C3358" s="9">
        <f>IFERROR(__xludf.DUMMYFUNCTION("""COMPUTED_VALUE"""),694.5)</f>
        <v>694.5</v>
      </c>
      <c r="D3358" s="9">
        <f>IFERROR(__xludf.DUMMYFUNCTION("""COMPUTED_VALUE"""),686.53)</f>
        <v>686.53</v>
      </c>
      <c r="E3358" s="9">
        <f>IFERROR(__xludf.DUMMYFUNCTION("""COMPUTED_VALUE"""),692.73)</f>
        <v>692.73</v>
      </c>
      <c r="F3358" s="9">
        <f>IFERROR(__xludf.DUMMYFUNCTION("""COMPUTED_VALUE"""),2389760.0)</f>
        <v>2389760</v>
      </c>
      <c r="H3358" s="27">
        <f>IFERROR(__xludf.DUMMYFUNCTION("""COMPUTED_VALUE"""),43322.64583333333)</f>
        <v>43322.64583</v>
      </c>
      <c r="I3358" s="25">
        <f>IFERROR(__xludf.DUMMYFUNCTION("""COMPUTED_VALUE"""),1980.95)</f>
        <v>1980.95</v>
      </c>
      <c r="J3358" s="25">
        <f>IFERROR(__xludf.DUMMYFUNCTION("""COMPUTED_VALUE"""),1996.5)</f>
        <v>1996.5</v>
      </c>
      <c r="K3358" s="25">
        <f>IFERROR(__xludf.DUMMYFUNCTION("""COMPUTED_VALUE"""),1972.05)</f>
        <v>1972.05</v>
      </c>
      <c r="L3358" s="25">
        <f>IFERROR(__xludf.DUMMYFUNCTION("""COMPUTED_VALUE"""),1993.1)</f>
        <v>1993.1</v>
      </c>
      <c r="M3358" s="25">
        <f>IFERROR(__xludf.DUMMYFUNCTION("""COMPUTED_VALUE"""),2784105.0)</f>
        <v>2784105</v>
      </c>
    </row>
    <row r="3359">
      <c r="A3359" s="26">
        <f>IFERROR(__xludf.DUMMYFUNCTION("""COMPUTED_VALUE"""),43325.64583333333)</f>
        <v>43325.64583</v>
      </c>
      <c r="B3359" s="9">
        <f>IFERROR(__xludf.DUMMYFUNCTION("""COMPUTED_VALUE"""),695.0)</f>
        <v>695</v>
      </c>
      <c r="C3359" s="9">
        <f>IFERROR(__xludf.DUMMYFUNCTION("""COMPUTED_VALUE"""),704.93)</f>
        <v>704.93</v>
      </c>
      <c r="D3359" s="9">
        <f>IFERROR(__xludf.DUMMYFUNCTION("""COMPUTED_VALUE"""),689.35)</f>
        <v>689.35</v>
      </c>
      <c r="E3359" s="9">
        <f>IFERROR(__xludf.DUMMYFUNCTION("""COMPUTED_VALUE"""),704.38)</f>
        <v>704.38</v>
      </c>
      <c r="F3359" s="9">
        <f>IFERROR(__xludf.DUMMYFUNCTION("""COMPUTED_VALUE"""),4989873.0)</f>
        <v>4989873</v>
      </c>
      <c r="H3359" s="27">
        <f>IFERROR(__xludf.DUMMYFUNCTION("""COMPUTED_VALUE"""),43325.64583333333)</f>
        <v>43325.64583</v>
      </c>
      <c r="I3359" s="25">
        <f>IFERROR(__xludf.DUMMYFUNCTION("""COMPUTED_VALUE"""),1997.8)</f>
        <v>1997.8</v>
      </c>
      <c r="J3359" s="25">
        <f>IFERROR(__xludf.DUMMYFUNCTION("""COMPUTED_VALUE"""),2004.25)</f>
        <v>2004.25</v>
      </c>
      <c r="K3359" s="25">
        <f>IFERROR(__xludf.DUMMYFUNCTION("""COMPUTED_VALUE"""),1990.0)</f>
        <v>1990</v>
      </c>
      <c r="L3359" s="25">
        <f>IFERROR(__xludf.DUMMYFUNCTION("""COMPUTED_VALUE"""),2000.15)</f>
        <v>2000.15</v>
      </c>
      <c r="M3359" s="25">
        <f>IFERROR(__xludf.DUMMYFUNCTION("""COMPUTED_VALUE"""),3559575.0)</f>
        <v>3559575</v>
      </c>
    </row>
    <row r="3360">
      <c r="A3360" s="26">
        <f>IFERROR(__xludf.DUMMYFUNCTION("""COMPUTED_VALUE"""),43326.64583333333)</f>
        <v>43326.64583</v>
      </c>
      <c r="B3360" s="9">
        <f>IFERROR(__xludf.DUMMYFUNCTION("""COMPUTED_VALUE"""),706.98)</f>
        <v>706.98</v>
      </c>
      <c r="C3360" s="9">
        <f>IFERROR(__xludf.DUMMYFUNCTION("""COMPUTED_VALUE"""),712.28)</f>
        <v>712.28</v>
      </c>
      <c r="D3360" s="9">
        <f>IFERROR(__xludf.DUMMYFUNCTION("""COMPUTED_VALUE"""),702.0)</f>
        <v>702</v>
      </c>
      <c r="E3360" s="9">
        <f>IFERROR(__xludf.DUMMYFUNCTION("""COMPUTED_VALUE"""),704.15)</f>
        <v>704.15</v>
      </c>
      <c r="F3360" s="9">
        <f>IFERROR(__xludf.DUMMYFUNCTION("""COMPUTED_VALUE"""),3075660.0)</f>
        <v>3075660</v>
      </c>
      <c r="H3360" s="27">
        <f>IFERROR(__xludf.DUMMYFUNCTION("""COMPUTED_VALUE"""),43326.64583333333)</f>
        <v>43326.64583</v>
      </c>
      <c r="I3360" s="25">
        <f>IFERROR(__xludf.DUMMYFUNCTION("""COMPUTED_VALUE"""),1992.0)</f>
        <v>1992</v>
      </c>
      <c r="J3360" s="25">
        <f>IFERROR(__xludf.DUMMYFUNCTION("""COMPUTED_VALUE"""),2024.6)</f>
        <v>2024.6</v>
      </c>
      <c r="K3360" s="25">
        <f>IFERROR(__xludf.DUMMYFUNCTION("""COMPUTED_VALUE"""),1982.4)</f>
        <v>1982.4</v>
      </c>
      <c r="L3360" s="25">
        <f>IFERROR(__xludf.DUMMYFUNCTION("""COMPUTED_VALUE"""),2003.55)</f>
        <v>2003.55</v>
      </c>
      <c r="M3360" s="25">
        <f>IFERROR(__xludf.DUMMYFUNCTION("""COMPUTED_VALUE"""),3311765.0)</f>
        <v>3311765</v>
      </c>
    </row>
    <row r="3361">
      <c r="A3361" s="26">
        <f>IFERROR(__xludf.DUMMYFUNCTION("""COMPUTED_VALUE"""),43328.64583333333)</f>
        <v>43328.64583</v>
      </c>
      <c r="B3361" s="9">
        <f>IFERROR(__xludf.DUMMYFUNCTION("""COMPUTED_VALUE"""),707.48)</f>
        <v>707.48</v>
      </c>
      <c r="C3361" s="9">
        <f>IFERROR(__xludf.DUMMYFUNCTION("""COMPUTED_VALUE"""),717.45)</f>
        <v>717.45</v>
      </c>
      <c r="D3361" s="9">
        <f>IFERROR(__xludf.DUMMYFUNCTION("""COMPUTED_VALUE"""),705.63)</f>
        <v>705.63</v>
      </c>
      <c r="E3361" s="9">
        <f>IFERROR(__xludf.DUMMYFUNCTION("""COMPUTED_VALUE"""),714.78)</f>
        <v>714.78</v>
      </c>
      <c r="F3361" s="9">
        <f>IFERROR(__xludf.DUMMYFUNCTION("""COMPUTED_VALUE"""),3313387.0)</f>
        <v>3313387</v>
      </c>
      <c r="H3361" s="27">
        <f>IFERROR(__xludf.DUMMYFUNCTION("""COMPUTED_VALUE"""),43328.64583333333)</f>
        <v>43328.64583</v>
      </c>
      <c r="I3361" s="25">
        <f>IFERROR(__xludf.DUMMYFUNCTION("""COMPUTED_VALUE"""),2000.3)</f>
        <v>2000.3</v>
      </c>
      <c r="J3361" s="25">
        <f>IFERROR(__xludf.DUMMYFUNCTION("""COMPUTED_VALUE"""),2020.05)</f>
        <v>2020.05</v>
      </c>
      <c r="K3361" s="25">
        <f>IFERROR(__xludf.DUMMYFUNCTION("""COMPUTED_VALUE"""),1995.0)</f>
        <v>1995</v>
      </c>
      <c r="L3361" s="25">
        <f>IFERROR(__xludf.DUMMYFUNCTION("""COMPUTED_VALUE"""),2008.5)</f>
        <v>2008.5</v>
      </c>
      <c r="M3361" s="25">
        <f>IFERROR(__xludf.DUMMYFUNCTION("""COMPUTED_VALUE"""),2152065.0)</f>
        <v>2152065</v>
      </c>
    </row>
    <row r="3362">
      <c r="A3362" s="26">
        <f>IFERROR(__xludf.DUMMYFUNCTION("""COMPUTED_VALUE"""),43329.64583333333)</f>
        <v>43329.64583</v>
      </c>
      <c r="B3362" s="9">
        <f>IFERROR(__xludf.DUMMYFUNCTION("""COMPUTED_VALUE"""),715.45)</f>
        <v>715.45</v>
      </c>
      <c r="C3362" s="9">
        <f>IFERROR(__xludf.DUMMYFUNCTION("""COMPUTED_VALUE"""),718.83)</f>
        <v>718.83</v>
      </c>
      <c r="D3362" s="9">
        <f>IFERROR(__xludf.DUMMYFUNCTION("""COMPUTED_VALUE"""),711.5)</f>
        <v>711.5</v>
      </c>
      <c r="E3362" s="9">
        <f>IFERROR(__xludf.DUMMYFUNCTION("""COMPUTED_VALUE"""),715.18)</f>
        <v>715.18</v>
      </c>
      <c r="F3362" s="9">
        <f>IFERROR(__xludf.DUMMYFUNCTION("""COMPUTED_VALUE"""),3195204.0)</f>
        <v>3195204</v>
      </c>
      <c r="H3362" s="27">
        <f>IFERROR(__xludf.DUMMYFUNCTION("""COMPUTED_VALUE"""),43329.64583333333)</f>
        <v>43329.64583</v>
      </c>
      <c r="I3362" s="25">
        <f>IFERROR(__xludf.DUMMYFUNCTION("""COMPUTED_VALUE"""),2013.85)</f>
        <v>2013.85</v>
      </c>
      <c r="J3362" s="25">
        <f>IFERROR(__xludf.DUMMYFUNCTION("""COMPUTED_VALUE"""),2021.9)</f>
        <v>2021.9</v>
      </c>
      <c r="K3362" s="25">
        <f>IFERROR(__xludf.DUMMYFUNCTION("""COMPUTED_VALUE"""),2004.0)</f>
        <v>2004</v>
      </c>
      <c r="L3362" s="25">
        <f>IFERROR(__xludf.DUMMYFUNCTION("""COMPUTED_VALUE"""),2012.75)</f>
        <v>2012.75</v>
      </c>
      <c r="M3362" s="25">
        <f>IFERROR(__xludf.DUMMYFUNCTION("""COMPUTED_VALUE"""),1213731.0)</f>
        <v>1213731</v>
      </c>
    </row>
    <row r="3363">
      <c r="A3363" s="26">
        <f>IFERROR(__xludf.DUMMYFUNCTION("""COMPUTED_VALUE"""),43332.64583333333)</f>
        <v>43332.64583</v>
      </c>
      <c r="B3363" s="9">
        <f>IFERROR(__xludf.DUMMYFUNCTION("""COMPUTED_VALUE"""),694.0)</f>
        <v>694</v>
      </c>
      <c r="C3363" s="9">
        <f>IFERROR(__xludf.DUMMYFUNCTION("""COMPUTED_VALUE"""),703.98)</f>
        <v>703.98</v>
      </c>
      <c r="D3363" s="9">
        <f>IFERROR(__xludf.DUMMYFUNCTION("""COMPUTED_VALUE"""),686.75)</f>
        <v>686.75</v>
      </c>
      <c r="E3363" s="9">
        <f>IFERROR(__xludf.DUMMYFUNCTION("""COMPUTED_VALUE"""),692.13)</f>
        <v>692.13</v>
      </c>
      <c r="F3363" s="9">
        <f>IFERROR(__xludf.DUMMYFUNCTION("""COMPUTED_VALUE"""),8050938.0)</f>
        <v>8050938</v>
      </c>
      <c r="H3363" s="27">
        <f>IFERROR(__xludf.DUMMYFUNCTION("""COMPUTED_VALUE"""),43332.64583333333)</f>
        <v>43332.64583</v>
      </c>
      <c r="I3363" s="25">
        <f>IFERROR(__xludf.DUMMYFUNCTION("""COMPUTED_VALUE"""),2024.0)</f>
        <v>2024</v>
      </c>
      <c r="J3363" s="25">
        <f>IFERROR(__xludf.DUMMYFUNCTION("""COMPUTED_VALUE"""),2024.0)</f>
        <v>2024</v>
      </c>
      <c r="K3363" s="25">
        <f>IFERROR(__xludf.DUMMYFUNCTION("""COMPUTED_VALUE"""),2003.7)</f>
        <v>2003.7</v>
      </c>
      <c r="L3363" s="25">
        <f>IFERROR(__xludf.DUMMYFUNCTION("""COMPUTED_VALUE"""),2009.95)</f>
        <v>2009.95</v>
      </c>
      <c r="M3363" s="25">
        <f>IFERROR(__xludf.DUMMYFUNCTION("""COMPUTED_VALUE"""),1587032.0)</f>
        <v>1587032</v>
      </c>
    </row>
    <row r="3364">
      <c r="A3364" s="26">
        <f>IFERROR(__xludf.DUMMYFUNCTION("""COMPUTED_VALUE"""),43333.64583333333)</f>
        <v>43333.64583</v>
      </c>
      <c r="B3364" s="9">
        <f>IFERROR(__xludf.DUMMYFUNCTION("""COMPUTED_VALUE"""),695.0)</f>
        <v>695</v>
      </c>
      <c r="C3364" s="9">
        <f>IFERROR(__xludf.DUMMYFUNCTION("""COMPUTED_VALUE"""),698.0)</f>
        <v>698</v>
      </c>
      <c r="D3364" s="9">
        <f>IFERROR(__xludf.DUMMYFUNCTION("""COMPUTED_VALUE"""),686.88)</f>
        <v>686.88</v>
      </c>
      <c r="E3364" s="9">
        <f>IFERROR(__xludf.DUMMYFUNCTION("""COMPUTED_VALUE"""),691.98)</f>
        <v>691.98</v>
      </c>
      <c r="F3364" s="9">
        <f>IFERROR(__xludf.DUMMYFUNCTION("""COMPUTED_VALUE"""),4180741.0)</f>
        <v>4180741</v>
      </c>
      <c r="H3364" s="27">
        <f>IFERROR(__xludf.DUMMYFUNCTION("""COMPUTED_VALUE"""),43333.64583333333)</f>
        <v>43333.64583</v>
      </c>
      <c r="I3364" s="25">
        <f>IFERROR(__xludf.DUMMYFUNCTION("""COMPUTED_VALUE"""),2010.15)</f>
        <v>2010.15</v>
      </c>
      <c r="J3364" s="25">
        <f>IFERROR(__xludf.DUMMYFUNCTION("""COMPUTED_VALUE"""),2024.0)</f>
        <v>2024</v>
      </c>
      <c r="K3364" s="25">
        <f>IFERROR(__xludf.DUMMYFUNCTION("""COMPUTED_VALUE"""),2004.0)</f>
        <v>2004</v>
      </c>
      <c r="L3364" s="25">
        <f>IFERROR(__xludf.DUMMYFUNCTION("""COMPUTED_VALUE"""),2017.65)</f>
        <v>2017.65</v>
      </c>
      <c r="M3364" s="25">
        <f>IFERROR(__xludf.DUMMYFUNCTION("""COMPUTED_VALUE"""),1376866.0)</f>
        <v>1376866</v>
      </c>
    </row>
    <row r="3365">
      <c r="A3365" s="26">
        <f>IFERROR(__xludf.DUMMYFUNCTION("""COMPUTED_VALUE"""),43335.64583333333)</f>
        <v>43335.64583</v>
      </c>
      <c r="B3365" s="9">
        <f>IFERROR(__xludf.DUMMYFUNCTION("""COMPUTED_VALUE"""),696.5)</f>
        <v>696.5</v>
      </c>
      <c r="C3365" s="9">
        <f>IFERROR(__xludf.DUMMYFUNCTION("""COMPUTED_VALUE"""),700.75)</f>
        <v>700.75</v>
      </c>
      <c r="D3365" s="9">
        <f>IFERROR(__xludf.DUMMYFUNCTION("""COMPUTED_VALUE"""),692.68)</f>
        <v>692.68</v>
      </c>
      <c r="E3365" s="9">
        <f>IFERROR(__xludf.DUMMYFUNCTION("""COMPUTED_VALUE"""),698.7)</f>
        <v>698.7</v>
      </c>
      <c r="F3365" s="9">
        <f>IFERROR(__xludf.DUMMYFUNCTION("""COMPUTED_VALUE"""),3858591.0)</f>
        <v>3858591</v>
      </c>
      <c r="H3365" s="27">
        <f>IFERROR(__xludf.DUMMYFUNCTION("""COMPUTED_VALUE"""),43335.64583333333)</f>
        <v>43335.64583</v>
      </c>
      <c r="I3365" s="25">
        <f>IFERROR(__xludf.DUMMYFUNCTION("""COMPUTED_VALUE"""),2022.8)</f>
        <v>2022.8</v>
      </c>
      <c r="J3365" s="25">
        <f>IFERROR(__xludf.DUMMYFUNCTION("""COMPUTED_VALUE"""),2038.0)</f>
        <v>2038</v>
      </c>
      <c r="K3365" s="25">
        <f>IFERROR(__xludf.DUMMYFUNCTION("""COMPUTED_VALUE"""),2020.3)</f>
        <v>2020.3</v>
      </c>
      <c r="L3365" s="25">
        <f>IFERROR(__xludf.DUMMYFUNCTION("""COMPUTED_VALUE"""),2035.1)</f>
        <v>2035.1</v>
      </c>
      <c r="M3365" s="25">
        <f>IFERROR(__xludf.DUMMYFUNCTION("""COMPUTED_VALUE"""),3046791.0)</f>
        <v>3046791</v>
      </c>
    </row>
    <row r="3366">
      <c r="A3366" s="26">
        <f>IFERROR(__xludf.DUMMYFUNCTION("""COMPUTED_VALUE"""),43336.64583333333)</f>
        <v>43336.64583</v>
      </c>
      <c r="B3366" s="9">
        <f>IFERROR(__xludf.DUMMYFUNCTION("""COMPUTED_VALUE"""),698.25)</f>
        <v>698.25</v>
      </c>
      <c r="C3366" s="9">
        <f>IFERROR(__xludf.DUMMYFUNCTION("""COMPUTED_VALUE"""),700.95)</f>
        <v>700.95</v>
      </c>
      <c r="D3366" s="9">
        <f>IFERROR(__xludf.DUMMYFUNCTION("""COMPUTED_VALUE"""),688.05)</f>
        <v>688.05</v>
      </c>
      <c r="E3366" s="9">
        <f>IFERROR(__xludf.DUMMYFUNCTION("""COMPUTED_VALUE"""),689.15)</f>
        <v>689.15</v>
      </c>
      <c r="F3366" s="9">
        <f>IFERROR(__xludf.DUMMYFUNCTION("""COMPUTED_VALUE"""),3526500.0)</f>
        <v>3526500</v>
      </c>
      <c r="H3366" s="27">
        <f>IFERROR(__xludf.DUMMYFUNCTION("""COMPUTED_VALUE"""),43336.64583333333)</f>
        <v>43336.64583</v>
      </c>
      <c r="I3366" s="25">
        <f>IFERROR(__xludf.DUMMYFUNCTION("""COMPUTED_VALUE"""),2035.1)</f>
        <v>2035.1</v>
      </c>
      <c r="J3366" s="25">
        <f>IFERROR(__xludf.DUMMYFUNCTION("""COMPUTED_VALUE"""),2046.0)</f>
        <v>2046</v>
      </c>
      <c r="K3366" s="25">
        <f>IFERROR(__xludf.DUMMYFUNCTION("""COMPUTED_VALUE"""),2031.0)</f>
        <v>2031</v>
      </c>
      <c r="L3366" s="25">
        <f>IFERROR(__xludf.DUMMYFUNCTION("""COMPUTED_VALUE"""),2043.0)</f>
        <v>2043</v>
      </c>
      <c r="M3366" s="25">
        <f>IFERROR(__xludf.DUMMYFUNCTION("""COMPUTED_VALUE"""),1570533.0)</f>
        <v>1570533</v>
      </c>
    </row>
    <row r="3367">
      <c r="A3367" s="26">
        <f>IFERROR(__xludf.DUMMYFUNCTION("""COMPUTED_VALUE"""),43339.64583333333)</f>
        <v>43339.64583</v>
      </c>
      <c r="B3367" s="9">
        <f>IFERROR(__xludf.DUMMYFUNCTION("""COMPUTED_VALUE"""),691.5)</f>
        <v>691.5</v>
      </c>
      <c r="C3367" s="9">
        <f>IFERROR(__xludf.DUMMYFUNCTION("""COMPUTED_VALUE"""),709.98)</f>
        <v>709.98</v>
      </c>
      <c r="D3367" s="9">
        <f>IFERROR(__xludf.DUMMYFUNCTION("""COMPUTED_VALUE"""),690.7)</f>
        <v>690.7</v>
      </c>
      <c r="E3367" s="9">
        <f>IFERROR(__xludf.DUMMYFUNCTION("""COMPUTED_VALUE"""),707.7)</f>
        <v>707.7</v>
      </c>
      <c r="F3367" s="9">
        <f>IFERROR(__xludf.DUMMYFUNCTION("""COMPUTED_VALUE"""),3506475.0)</f>
        <v>3506475</v>
      </c>
      <c r="H3367" s="27">
        <f>IFERROR(__xludf.DUMMYFUNCTION("""COMPUTED_VALUE"""),43339.64583333333)</f>
        <v>43339.64583</v>
      </c>
      <c r="I3367" s="25">
        <f>IFERROR(__xludf.DUMMYFUNCTION("""COMPUTED_VALUE"""),2043.0)</f>
        <v>2043</v>
      </c>
      <c r="J3367" s="25">
        <f>IFERROR(__xludf.DUMMYFUNCTION("""COMPUTED_VALUE"""),2059.0)</f>
        <v>2059</v>
      </c>
      <c r="K3367" s="25">
        <f>IFERROR(__xludf.DUMMYFUNCTION("""COMPUTED_VALUE"""),2035.0)</f>
        <v>2035</v>
      </c>
      <c r="L3367" s="25">
        <f>IFERROR(__xludf.DUMMYFUNCTION("""COMPUTED_VALUE"""),2050.9)</f>
        <v>2050.9</v>
      </c>
      <c r="M3367" s="25">
        <f>IFERROR(__xludf.DUMMYFUNCTION("""COMPUTED_VALUE"""),1532702.0)</f>
        <v>1532702</v>
      </c>
    </row>
    <row r="3368">
      <c r="A3368" s="26">
        <f>IFERROR(__xludf.DUMMYFUNCTION("""COMPUTED_VALUE"""),43340.64583333333)</f>
        <v>43340.64583</v>
      </c>
      <c r="B3368" s="9">
        <f>IFERROR(__xludf.DUMMYFUNCTION("""COMPUTED_VALUE"""),708.6)</f>
        <v>708.6</v>
      </c>
      <c r="C3368" s="9">
        <f>IFERROR(__xludf.DUMMYFUNCTION("""COMPUTED_VALUE"""),719.2)</f>
        <v>719.2</v>
      </c>
      <c r="D3368" s="9">
        <f>IFERROR(__xludf.DUMMYFUNCTION("""COMPUTED_VALUE"""),705.75)</f>
        <v>705.75</v>
      </c>
      <c r="E3368" s="9">
        <f>IFERROR(__xludf.DUMMYFUNCTION("""COMPUTED_VALUE"""),712.35)</f>
        <v>712.35</v>
      </c>
      <c r="F3368" s="9">
        <f>IFERROR(__xludf.DUMMYFUNCTION("""COMPUTED_VALUE"""),3248445.0)</f>
        <v>3248445</v>
      </c>
      <c r="H3368" s="27">
        <f>IFERROR(__xludf.DUMMYFUNCTION("""COMPUTED_VALUE"""),43340.64583333333)</f>
        <v>43340.64583</v>
      </c>
      <c r="I3368" s="25">
        <f>IFERROR(__xludf.DUMMYFUNCTION("""COMPUTED_VALUE"""),2055.0)</f>
        <v>2055</v>
      </c>
      <c r="J3368" s="25">
        <f>IFERROR(__xludf.DUMMYFUNCTION("""COMPUTED_VALUE"""),2072.0)</f>
        <v>2072</v>
      </c>
      <c r="K3368" s="25">
        <f>IFERROR(__xludf.DUMMYFUNCTION("""COMPUTED_VALUE"""),2052.0)</f>
        <v>2052</v>
      </c>
      <c r="L3368" s="25">
        <f>IFERROR(__xludf.DUMMYFUNCTION("""COMPUTED_VALUE"""),2069.2)</f>
        <v>2069.2</v>
      </c>
      <c r="M3368" s="25">
        <f>IFERROR(__xludf.DUMMYFUNCTION("""COMPUTED_VALUE"""),1987983.0)</f>
        <v>1987983</v>
      </c>
    </row>
    <row r="3369">
      <c r="A3369" s="26">
        <f>IFERROR(__xludf.DUMMYFUNCTION("""COMPUTED_VALUE"""),43341.64583333333)</f>
        <v>43341.64583</v>
      </c>
      <c r="B3369" s="9">
        <f>IFERROR(__xludf.DUMMYFUNCTION("""COMPUTED_VALUE"""),716.8)</f>
        <v>716.8</v>
      </c>
      <c r="C3369" s="9">
        <f>IFERROR(__xludf.DUMMYFUNCTION("""COMPUTED_VALUE"""),716.8)</f>
        <v>716.8</v>
      </c>
      <c r="D3369" s="9">
        <f>IFERROR(__xludf.DUMMYFUNCTION("""COMPUTED_VALUE"""),702.58)</f>
        <v>702.58</v>
      </c>
      <c r="E3369" s="9">
        <f>IFERROR(__xludf.DUMMYFUNCTION("""COMPUTED_VALUE"""),705.05)</f>
        <v>705.05</v>
      </c>
      <c r="F3369" s="9">
        <f>IFERROR(__xludf.DUMMYFUNCTION("""COMPUTED_VALUE"""),2823248.0)</f>
        <v>2823248</v>
      </c>
      <c r="H3369" s="27">
        <f>IFERROR(__xludf.DUMMYFUNCTION("""COMPUTED_VALUE"""),43341.64583333333)</f>
        <v>43341.64583</v>
      </c>
      <c r="I3369" s="25">
        <f>IFERROR(__xludf.DUMMYFUNCTION("""COMPUTED_VALUE"""),2072.5)</f>
        <v>2072.5</v>
      </c>
      <c r="J3369" s="25">
        <f>IFERROR(__xludf.DUMMYFUNCTION("""COMPUTED_VALUE"""),2076.6)</f>
        <v>2076.6</v>
      </c>
      <c r="K3369" s="25">
        <f>IFERROR(__xludf.DUMMYFUNCTION("""COMPUTED_VALUE"""),2045.6)</f>
        <v>2045.6</v>
      </c>
      <c r="L3369" s="25">
        <f>IFERROR(__xludf.DUMMYFUNCTION("""COMPUTED_VALUE"""),2072.0)</f>
        <v>2072</v>
      </c>
      <c r="M3369" s="25">
        <f>IFERROR(__xludf.DUMMYFUNCTION("""COMPUTED_VALUE"""),1525867.0)</f>
        <v>1525867</v>
      </c>
    </row>
    <row r="3370">
      <c r="A3370" s="26">
        <f>IFERROR(__xludf.DUMMYFUNCTION("""COMPUTED_VALUE"""),43342.64583333333)</f>
        <v>43342.64583</v>
      </c>
      <c r="B3370" s="9">
        <f>IFERROR(__xludf.DUMMYFUNCTION("""COMPUTED_VALUE"""),706.4)</f>
        <v>706.4</v>
      </c>
      <c r="C3370" s="9">
        <f>IFERROR(__xludf.DUMMYFUNCTION("""COMPUTED_VALUE"""),710.78)</f>
        <v>710.78</v>
      </c>
      <c r="D3370" s="9">
        <f>IFERROR(__xludf.DUMMYFUNCTION("""COMPUTED_VALUE"""),698.08)</f>
        <v>698.08</v>
      </c>
      <c r="E3370" s="9">
        <f>IFERROR(__xludf.DUMMYFUNCTION("""COMPUTED_VALUE"""),708.1)</f>
        <v>708.1</v>
      </c>
      <c r="F3370" s="9">
        <f>IFERROR(__xludf.DUMMYFUNCTION("""COMPUTED_VALUE"""),5753981.0)</f>
        <v>5753981</v>
      </c>
      <c r="H3370" s="27">
        <f>IFERROR(__xludf.DUMMYFUNCTION("""COMPUTED_VALUE"""),43342.64583333333)</f>
        <v>43342.64583</v>
      </c>
      <c r="I3370" s="25">
        <f>IFERROR(__xludf.DUMMYFUNCTION("""COMPUTED_VALUE"""),2068.0)</f>
        <v>2068</v>
      </c>
      <c r="J3370" s="25">
        <f>IFERROR(__xludf.DUMMYFUNCTION("""COMPUTED_VALUE"""),2085.0)</f>
        <v>2085</v>
      </c>
      <c r="K3370" s="25">
        <f>IFERROR(__xludf.DUMMYFUNCTION("""COMPUTED_VALUE"""),2065.5)</f>
        <v>2065.5</v>
      </c>
      <c r="L3370" s="25">
        <f>IFERROR(__xludf.DUMMYFUNCTION("""COMPUTED_VALUE"""),2082.4)</f>
        <v>2082.4</v>
      </c>
      <c r="M3370" s="25">
        <f>IFERROR(__xludf.DUMMYFUNCTION("""COMPUTED_VALUE"""),2408020.0)</f>
        <v>2408020</v>
      </c>
    </row>
    <row r="3371">
      <c r="A3371" s="26">
        <f>IFERROR(__xludf.DUMMYFUNCTION("""COMPUTED_VALUE"""),43343.64583333333)</f>
        <v>43343.64583</v>
      </c>
      <c r="B3371" s="9">
        <f>IFERROR(__xludf.DUMMYFUNCTION("""COMPUTED_VALUE"""),712.55)</f>
        <v>712.55</v>
      </c>
      <c r="C3371" s="9">
        <f>IFERROR(__xludf.DUMMYFUNCTION("""COMPUTED_VALUE"""),727.15)</f>
        <v>727.15</v>
      </c>
      <c r="D3371" s="9">
        <f>IFERROR(__xludf.DUMMYFUNCTION("""COMPUTED_VALUE"""),710.55)</f>
        <v>710.55</v>
      </c>
      <c r="E3371" s="9">
        <f>IFERROR(__xludf.DUMMYFUNCTION("""COMPUTED_VALUE"""),720.55)</f>
        <v>720.55</v>
      </c>
      <c r="F3371" s="9">
        <f>IFERROR(__xludf.DUMMYFUNCTION("""COMPUTED_VALUE"""),5437932.0)</f>
        <v>5437932</v>
      </c>
      <c r="H3371" s="27">
        <f>IFERROR(__xludf.DUMMYFUNCTION("""COMPUTED_VALUE"""),43343.64583333333)</f>
        <v>43343.64583</v>
      </c>
      <c r="I3371" s="25">
        <f>IFERROR(__xludf.DUMMYFUNCTION("""COMPUTED_VALUE"""),2082.3)</f>
        <v>2082.3</v>
      </c>
      <c r="J3371" s="25">
        <f>IFERROR(__xludf.DUMMYFUNCTION("""COMPUTED_VALUE"""),2092.0)</f>
        <v>2092</v>
      </c>
      <c r="K3371" s="25">
        <f>IFERROR(__xludf.DUMMYFUNCTION("""COMPUTED_VALUE"""),2074.0)</f>
        <v>2074</v>
      </c>
      <c r="L3371" s="25">
        <f>IFERROR(__xludf.DUMMYFUNCTION("""COMPUTED_VALUE"""),2078.4)</f>
        <v>2078.4</v>
      </c>
      <c r="M3371" s="25">
        <f>IFERROR(__xludf.DUMMYFUNCTION("""COMPUTED_VALUE"""),2504554.0)</f>
        <v>2504554</v>
      </c>
    </row>
    <row r="3372">
      <c r="A3372" s="26">
        <f>IFERROR(__xludf.DUMMYFUNCTION("""COMPUTED_VALUE"""),43346.64583333333)</f>
        <v>43346.64583</v>
      </c>
      <c r="B3372" s="9">
        <f>IFERROR(__xludf.DUMMYFUNCTION("""COMPUTED_VALUE"""),724.5)</f>
        <v>724.5</v>
      </c>
      <c r="C3372" s="9">
        <f>IFERROR(__xludf.DUMMYFUNCTION("""COMPUTED_VALUE"""),733.95)</f>
        <v>733.95</v>
      </c>
      <c r="D3372" s="9">
        <f>IFERROR(__xludf.DUMMYFUNCTION("""COMPUTED_VALUE"""),715.0)</f>
        <v>715</v>
      </c>
      <c r="E3372" s="9">
        <f>IFERROR(__xludf.DUMMYFUNCTION("""COMPUTED_VALUE"""),717.13)</f>
        <v>717.13</v>
      </c>
      <c r="F3372" s="9">
        <f>IFERROR(__xludf.DUMMYFUNCTION("""COMPUTED_VALUE"""),5488164.0)</f>
        <v>5488164</v>
      </c>
      <c r="H3372" s="27">
        <f>IFERROR(__xludf.DUMMYFUNCTION("""COMPUTED_VALUE"""),43346.64583333333)</f>
        <v>43346.64583</v>
      </c>
      <c r="I3372" s="25">
        <f>IFERROR(__xludf.DUMMYFUNCTION("""COMPUTED_VALUE"""),2084.8)</f>
        <v>2084.8</v>
      </c>
      <c r="J3372" s="25">
        <f>IFERROR(__xludf.DUMMYFUNCTION("""COMPUTED_VALUE"""),2090.0)</f>
        <v>2090</v>
      </c>
      <c r="K3372" s="25">
        <f>IFERROR(__xludf.DUMMYFUNCTION("""COMPUTED_VALUE"""),2048.4)</f>
        <v>2048.4</v>
      </c>
      <c r="L3372" s="25">
        <f>IFERROR(__xludf.DUMMYFUNCTION("""COMPUTED_VALUE"""),2052.9)</f>
        <v>2052.9</v>
      </c>
      <c r="M3372" s="25">
        <f>IFERROR(__xludf.DUMMYFUNCTION("""COMPUTED_VALUE"""),1439711.0)</f>
        <v>1439711</v>
      </c>
    </row>
    <row r="3373">
      <c r="A3373" s="26">
        <f>IFERROR(__xludf.DUMMYFUNCTION("""COMPUTED_VALUE"""),43347.64583333333)</f>
        <v>43347.64583</v>
      </c>
      <c r="B3373" s="9">
        <f>IFERROR(__xludf.DUMMYFUNCTION("""COMPUTED_VALUE"""),722.0)</f>
        <v>722</v>
      </c>
      <c r="C3373" s="9">
        <f>IFERROR(__xludf.DUMMYFUNCTION("""COMPUTED_VALUE"""),748.5)</f>
        <v>748.5</v>
      </c>
      <c r="D3373" s="9">
        <f>IFERROR(__xludf.DUMMYFUNCTION("""COMPUTED_VALUE"""),716.0)</f>
        <v>716</v>
      </c>
      <c r="E3373" s="9">
        <f>IFERROR(__xludf.DUMMYFUNCTION("""COMPUTED_VALUE"""),737.15)</f>
        <v>737.15</v>
      </c>
      <c r="F3373" s="9">
        <f>IFERROR(__xludf.DUMMYFUNCTION("""COMPUTED_VALUE"""),1.5370124E7)</f>
        <v>15370124</v>
      </c>
      <c r="H3373" s="27">
        <f>IFERROR(__xludf.DUMMYFUNCTION("""COMPUTED_VALUE"""),43347.64583333333)</f>
        <v>43347.64583</v>
      </c>
      <c r="I3373" s="25">
        <f>IFERROR(__xludf.DUMMYFUNCTION("""COMPUTED_VALUE"""),2059.8)</f>
        <v>2059.8</v>
      </c>
      <c r="J3373" s="25">
        <f>IFERROR(__xludf.DUMMYFUNCTION("""COMPUTED_VALUE"""),2104.75)</f>
        <v>2104.75</v>
      </c>
      <c r="K3373" s="25">
        <f>IFERROR(__xludf.DUMMYFUNCTION("""COMPUTED_VALUE"""),2056.95)</f>
        <v>2056.95</v>
      </c>
      <c r="L3373" s="25">
        <f>IFERROR(__xludf.DUMMYFUNCTION("""COMPUTED_VALUE"""),2098.9)</f>
        <v>2098.9</v>
      </c>
      <c r="M3373" s="25">
        <f>IFERROR(__xludf.DUMMYFUNCTION("""COMPUTED_VALUE"""),4420803.0)</f>
        <v>4420803</v>
      </c>
    </row>
    <row r="3374">
      <c r="A3374" s="26">
        <f>IFERROR(__xludf.DUMMYFUNCTION("""COMPUTED_VALUE"""),43348.64583333333)</f>
        <v>43348.64583</v>
      </c>
      <c r="B3374" s="9">
        <f>IFERROR(__xludf.DUMMYFUNCTION("""COMPUTED_VALUE"""),741.95)</f>
        <v>741.95</v>
      </c>
      <c r="C3374" s="9">
        <f>IFERROR(__xludf.DUMMYFUNCTION("""COMPUTED_VALUE"""),744.05)</f>
        <v>744.05</v>
      </c>
      <c r="D3374" s="9">
        <f>IFERROR(__xludf.DUMMYFUNCTION("""COMPUTED_VALUE"""),725.4)</f>
        <v>725.4</v>
      </c>
      <c r="E3374" s="9">
        <f>IFERROR(__xludf.DUMMYFUNCTION("""COMPUTED_VALUE"""),729.9)</f>
        <v>729.9</v>
      </c>
      <c r="F3374" s="9">
        <f>IFERROR(__xludf.DUMMYFUNCTION("""COMPUTED_VALUE"""),8658978.0)</f>
        <v>8658978</v>
      </c>
      <c r="H3374" s="27">
        <f>IFERROR(__xludf.DUMMYFUNCTION("""COMPUTED_VALUE"""),43348.64583333333)</f>
        <v>43348.64583</v>
      </c>
      <c r="I3374" s="25">
        <f>IFERROR(__xludf.DUMMYFUNCTION("""COMPUTED_VALUE"""),2100.0)</f>
        <v>2100</v>
      </c>
      <c r="J3374" s="25">
        <f>IFERROR(__xludf.DUMMYFUNCTION("""COMPUTED_VALUE"""),2107.25)</f>
        <v>2107.25</v>
      </c>
      <c r="K3374" s="25">
        <f>IFERROR(__xludf.DUMMYFUNCTION("""COMPUTED_VALUE"""),2075.05)</f>
        <v>2075.05</v>
      </c>
      <c r="L3374" s="25">
        <f>IFERROR(__xludf.DUMMYFUNCTION("""COMPUTED_VALUE"""),2079.25)</f>
        <v>2079.25</v>
      </c>
      <c r="M3374" s="25">
        <f>IFERROR(__xludf.DUMMYFUNCTION("""COMPUTED_VALUE"""),1681106.0)</f>
        <v>1681106</v>
      </c>
    </row>
    <row r="3375">
      <c r="A3375" s="26">
        <f>IFERROR(__xludf.DUMMYFUNCTION("""COMPUTED_VALUE"""),43349.64583333333)</f>
        <v>43349.64583</v>
      </c>
      <c r="B3375" s="9">
        <f>IFERROR(__xludf.DUMMYFUNCTION("""COMPUTED_VALUE"""),732.55)</f>
        <v>732.55</v>
      </c>
      <c r="C3375" s="9">
        <f>IFERROR(__xludf.DUMMYFUNCTION("""COMPUTED_VALUE"""),735.5)</f>
        <v>735.5</v>
      </c>
      <c r="D3375" s="9">
        <f>IFERROR(__xludf.DUMMYFUNCTION("""COMPUTED_VALUE"""),724.1)</f>
        <v>724.1</v>
      </c>
      <c r="E3375" s="9">
        <f>IFERROR(__xludf.DUMMYFUNCTION("""COMPUTED_VALUE"""),727.15)</f>
        <v>727.15</v>
      </c>
      <c r="F3375" s="9">
        <f>IFERROR(__xludf.DUMMYFUNCTION("""COMPUTED_VALUE"""),5598659.0)</f>
        <v>5598659</v>
      </c>
      <c r="H3375" s="27">
        <f>IFERROR(__xludf.DUMMYFUNCTION("""COMPUTED_VALUE"""),43349.64583333333)</f>
        <v>43349.64583</v>
      </c>
      <c r="I3375" s="25">
        <f>IFERROR(__xludf.DUMMYFUNCTION("""COMPUTED_VALUE"""),2075.0)</f>
        <v>2075</v>
      </c>
      <c r="J3375" s="25">
        <f>IFERROR(__xludf.DUMMYFUNCTION("""COMPUTED_VALUE"""),2081.5)</f>
        <v>2081.5</v>
      </c>
      <c r="K3375" s="25">
        <f>IFERROR(__xludf.DUMMYFUNCTION("""COMPUTED_VALUE"""),2060.3)</f>
        <v>2060.3</v>
      </c>
      <c r="L3375" s="25">
        <f>IFERROR(__xludf.DUMMYFUNCTION("""COMPUTED_VALUE"""),2075.3)</f>
        <v>2075.3</v>
      </c>
      <c r="M3375" s="25">
        <f>IFERROR(__xludf.DUMMYFUNCTION("""COMPUTED_VALUE"""),2238097.0)</f>
        <v>2238097</v>
      </c>
    </row>
    <row r="3376">
      <c r="A3376" s="26">
        <f>IFERROR(__xludf.DUMMYFUNCTION("""COMPUTED_VALUE"""),43350.64583333333)</f>
        <v>43350.64583</v>
      </c>
      <c r="B3376" s="9">
        <f>IFERROR(__xludf.DUMMYFUNCTION("""COMPUTED_VALUE"""),734.35)</f>
        <v>734.35</v>
      </c>
      <c r="C3376" s="9">
        <f>IFERROR(__xludf.DUMMYFUNCTION("""COMPUTED_VALUE"""),735.15)</f>
        <v>735.15</v>
      </c>
      <c r="D3376" s="9">
        <f>IFERROR(__xludf.DUMMYFUNCTION("""COMPUTED_VALUE"""),723.8)</f>
        <v>723.8</v>
      </c>
      <c r="E3376" s="9">
        <f>IFERROR(__xludf.DUMMYFUNCTION("""COMPUTED_VALUE"""),732.8)</f>
        <v>732.8</v>
      </c>
      <c r="F3376" s="9">
        <f>IFERROR(__xludf.DUMMYFUNCTION("""COMPUTED_VALUE"""),6510605.0)</f>
        <v>6510605</v>
      </c>
      <c r="H3376" s="27">
        <f>IFERROR(__xludf.DUMMYFUNCTION("""COMPUTED_VALUE"""),43350.64583333333)</f>
        <v>43350.64583</v>
      </c>
      <c r="I3376" s="25">
        <f>IFERROR(__xludf.DUMMYFUNCTION("""COMPUTED_VALUE"""),2079.3)</f>
        <v>2079.3</v>
      </c>
      <c r="J3376" s="25">
        <f>IFERROR(__xludf.DUMMYFUNCTION("""COMPUTED_VALUE"""),2084.0)</f>
        <v>2084</v>
      </c>
      <c r="K3376" s="25">
        <f>IFERROR(__xludf.DUMMYFUNCTION("""COMPUTED_VALUE"""),2065.4)</f>
        <v>2065.4</v>
      </c>
      <c r="L3376" s="25">
        <f>IFERROR(__xludf.DUMMYFUNCTION("""COMPUTED_VALUE"""),2079.85)</f>
        <v>2079.85</v>
      </c>
      <c r="M3376" s="25">
        <f>IFERROR(__xludf.DUMMYFUNCTION("""COMPUTED_VALUE"""),1312182.0)</f>
        <v>1312182</v>
      </c>
    </row>
    <row r="3377">
      <c r="A3377" s="26">
        <f>IFERROR(__xludf.DUMMYFUNCTION("""COMPUTED_VALUE"""),43353.64583333333)</f>
        <v>43353.64583</v>
      </c>
      <c r="B3377" s="9">
        <f>IFERROR(__xludf.DUMMYFUNCTION("""COMPUTED_VALUE"""),737.75)</f>
        <v>737.75</v>
      </c>
      <c r="C3377" s="9">
        <f>IFERROR(__xludf.DUMMYFUNCTION("""COMPUTED_VALUE"""),747.0)</f>
        <v>747</v>
      </c>
      <c r="D3377" s="9">
        <f>IFERROR(__xludf.DUMMYFUNCTION("""COMPUTED_VALUE"""),729.4)</f>
        <v>729.4</v>
      </c>
      <c r="E3377" s="9">
        <f>IFERROR(__xludf.DUMMYFUNCTION("""COMPUTED_VALUE"""),730.85)</f>
        <v>730.85</v>
      </c>
      <c r="F3377" s="9">
        <f>IFERROR(__xludf.DUMMYFUNCTION("""COMPUTED_VALUE"""),5629871.0)</f>
        <v>5629871</v>
      </c>
      <c r="H3377" s="27">
        <f>IFERROR(__xludf.DUMMYFUNCTION("""COMPUTED_VALUE"""),43353.64583333333)</f>
        <v>43353.64583</v>
      </c>
      <c r="I3377" s="25">
        <f>IFERROR(__xludf.DUMMYFUNCTION("""COMPUTED_VALUE"""),2084.4)</f>
        <v>2084.4</v>
      </c>
      <c r="J3377" s="25">
        <f>IFERROR(__xludf.DUMMYFUNCTION("""COMPUTED_VALUE"""),2093.4)</f>
        <v>2093.4</v>
      </c>
      <c r="K3377" s="25">
        <f>IFERROR(__xludf.DUMMYFUNCTION("""COMPUTED_VALUE"""),2074.25)</f>
        <v>2074.25</v>
      </c>
      <c r="L3377" s="25">
        <f>IFERROR(__xludf.DUMMYFUNCTION("""COMPUTED_VALUE"""),2080.75)</f>
        <v>2080.75</v>
      </c>
      <c r="M3377" s="25">
        <f>IFERROR(__xludf.DUMMYFUNCTION("""COMPUTED_VALUE"""),1530539.0)</f>
        <v>1530539</v>
      </c>
    </row>
    <row r="3378">
      <c r="A3378" s="26">
        <f>IFERROR(__xludf.DUMMYFUNCTION("""COMPUTED_VALUE"""),43354.64583333333)</f>
        <v>43354.64583</v>
      </c>
      <c r="B3378" s="9">
        <f>IFERROR(__xludf.DUMMYFUNCTION("""COMPUTED_VALUE"""),735.9)</f>
        <v>735.9</v>
      </c>
      <c r="C3378" s="9">
        <f>IFERROR(__xludf.DUMMYFUNCTION("""COMPUTED_VALUE"""),744.75)</f>
        <v>744.75</v>
      </c>
      <c r="D3378" s="9">
        <f>IFERROR(__xludf.DUMMYFUNCTION("""COMPUTED_VALUE"""),732.0)</f>
        <v>732</v>
      </c>
      <c r="E3378" s="9">
        <f>IFERROR(__xludf.DUMMYFUNCTION("""COMPUTED_VALUE"""),734.3)</f>
        <v>734.3</v>
      </c>
      <c r="F3378" s="9">
        <f>IFERROR(__xludf.DUMMYFUNCTION("""COMPUTED_VALUE"""),6963561.0)</f>
        <v>6963561</v>
      </c>
      <c r="H3378" s="27">
        <f>IFERROR(__xludf.DUMMYFUNCTION("""COMPUTED_VALUE"""),43354.64583333333)</f>
        <v>43354.64583</v>
      </c>
      <c r="I3378" s="25">
        <f>IFERROR(__xludf.DUMMYFUNCTION("""COMPUTED_VALUE"""),2089.0)</f>
        <v>2089</v>
      </c>
      <c r="J3378" s="25">
        <f>IFERROR(__xludf.DUMMYFUNCTION("""COMPUTED_VALUE"""),2089.0)</f>
        <v>2089</v>
      </c>
      <c r="K3378" s="25">
        <f>IFERROR(__xludf.DUMMYFUNCTION("""COMPUTED_VALUE"""),2042.2)</f>
        <v>2042.2</v>
      </c>
      <c r="L3378" s="25">
        <f>IFERROR(__xludf.DUMMYFUNCTION("""COMPUTED_VALUE"""),2046.25)</f>
        <v>2046.25</v>
      </c>
      <c r="M3378" s="25">
        <f>IFERROR(__xludf.DUMMYFUNCTION("""COMPUTED_VALUE"""),3679745.0)</f>
        <v>3679745</v>
      </c>
    </row>
    <row r="3379">
      <c r="A3379" s="26">
        <f>IFERROR(__xludf.DUMMYFUNCTION("""COMPUTED_VALUE"""),43355.64583333333)</f>
        <v>43355.64583</v>
      </c>
      <c r="B3379" s="9">
        <f>IFERROR(__xludf.DUMMYFUNCTION("""COMPUTED_VALUE"""),744.4)</f>
        <v>744.4</v>
      </c>
      <c r="C3379" s="9">
        <f>IFERROR(__xludf.DUMMYFUNCTION("""COMPUTED_VALUE"""),746.5)</f>
        <v>746.5</v>
      </c>
      <c r="D3379" s="9">
        <f>IFERROR(__xludf.DUMMYFUNCTION("""COMPUTED_VALUE"""),736.25)</f>
        <v>736.25</v>
      </c>
      <c r="E3379" s="9">
        <f>IFERROR(__xludf.DUMMYFUNCTION("""COMPUTED_VALUE"""),742.9)</f>
        <v>742.9</v>
      </c>
      <c r="F3379" s="9">
        <f>IFERROR(__xludf.DUMMYFUNCTION("""COMPUTED_VALUE"""),4636617.0)</f>
        <v>4636617</v>
      </c>
      <c r="H3379" s="27">
        <f>IFERROR(__xludf.DUMMYFUNCTION("""COMPUTED_VALUE"""),43355.64583333333)</f>
        <v>43355.64583</v>
      </c>
      <c r="I3379" s="25">
        <f>IFERROR(__xludf.DUMMYFUNCTION("""COMPUTED_VALUE"""),2052.35)</f>
        <v>2052.35</v>
      </c>
      <c r="J3379" s="25">
        <f>IFERROR(__xludf.DUMMYFUNCTION("""COMPUTED_VALUE"""),2068.9)</f>
        <v>2068.9</v>
      </c>
      <c r="K3379" s="25">
        <f>IFERROR(__xludf.DUMMYFUNCTION("""COMPUTED_VALUE"""),2040.0)</f>
        <v>2040</v>
      </c>
      <c r="L3379" s="25">
        <f>IFERROR(__xludf.DUMMYFUNCTION("""COMPUTED_VALUE"""),2043.95)</f>
        <v>2043.95</v>
      </c>
      <c r="M3379" s="25">
        <f>IFERROR(__xludf.DUMMYFUNCTION("""COMPUTED_VALUE"""),2307661.0)</f>
        <v>2307661</v>
      </c>
    </row>
    <row r="3380">
      <c r="A3380" s="26">
        <f>IFERROR(__xludf.DUMMYFUNCTION("""COMPUTED_VALUE"""),43357.64583333333)</f>
        <v>43357.64583</v>
      </c>
      <c r="B3380" s="9">
        <f>IFERROR(__xludf.DUMMYFUNCTION("""COMPUTED_VALUE"""),741.9)</f>
        <v>741.9</v>
      </c>
      <c r="C3380" s="9">
        <f>IFERROR(__xludf.DUMMYFUNCTION("""COMPUTED_VALUE"""),745.0)</f>
        <v>745</v>
      </c>
      <c r="D3380" s="9">
        <f>IFERROR(__xludf.DUMMYFUNCTION("""COMPUTED_VALUE"""),729.05)</f>
        <v>729.05</v>
      </c>
      <c r="E3380" s="9">
        <f>IFERROR(__xludf.DUMMYFUNCTION("""COMPUTED_VALUE"""),733.7)</f>
        <v>733.7</v>
      </c>
      <c r="F3380" s="9">
        <f>IFERROR(__xludf.DUMMYFUNCTION("""COMPUTED_VALUE"""),7896514.0)</f>
        <v>7896514</v>
      </c>
      <c r="H3380" s="27">
        <f>IFERROR(__xludf.DUMMYFUNCTION("""COMPUTED_VALUE"""),43357.64583333333)</f>
        <v>43357.64583</v>
      </c>
      <c r="I3380" s="25">
        <f>IFERROR(__xludf.DUMMYFUNCTION("""COMPUTED_VALUE"""),2044.0)</f>
        <v>2044</v>
      </c>
      <c r="J3380" s="25">
        <f>IFERROR(__xludf.DUMMYFUNCTION("""COMPUTED_VALUE"""),2071.55)</f>
        <v>2071.55</v>
      </c>
      <c r="K3380" s="25">
        <f>IFERROR(__xludf.DUMMYFUNCTION("""COMPUTED_VALUE"""),2018.15)</f>
        <v>2018.15</v>
      </c>
      <c r="L3380" s="25">
        <f>IFERROR(__xludf.DUMMYFUNCTION("""COMPUTED_VALUE"""),2065.4)</f>
        <v>2065.4</v>
      </c>
      <c r="M3380" s="25">
        <f>IFERROR(__xludf.DUMMYFUNCTION("""COMPUTED_VALUE"""),3642038.0)</f>
        <v>3642038</v>
      </c>
    </row>
    <row r="3381">
      <c r="A3381" s="26">
        <f>IFERROR(__xludf.DUMMYFUNCTION("""COMPUTED_VALUE"""),43360.64583333333)</f>
        <v>43360.64583</v>
      </c>
      <c r="B3381" s="9">
        <f>IFERROR(__xludf.DUMMYFUNCTION("""COMPUTED_VALUE"""),735.0)</f>
        <v>735</v>
      </c>
      <c r="C3381" s="9">
        <f>IFERROR(__xludf.DUMMYFUNCTION("""COMPUTED_VALUE"""),740.0)</f>
        <v>740</v>
      </c>
      <c r="D3381" s="9">
        <f>IFERROR(__xludf.DUMMYFUNCTION("""COMPUTED_VALUE"""),724.6)</f>
        <v>724.6</v>
      </c>
      <c r="E3381" s="9">
        <f>IFERROR(__xludf.DUMMYFUNCTION("""COMPUTED_VALUE"""),725.95)</f>
        <v>725.95</v>
      </c>
      <c r="F3381" s="9">
        <f>IFERROR(__xludf.DUMMYFUNCTION("""COMPUTED_VALUE"""),5427054.0)</f>
        <v>5427054</v>
      </c>
      <c r="H3381" s="27">
        <f>IFERROR(__xludf.DUMMYFUNCTION("""COMPUTED_VALUE"""),43360.64583333333)</f>
        <v>43360.64583</v>
      </c>
      <c r="I3381" s="25">
        <f>IFERROR(__xludf.DUMMYFUNCTION("""COMPUTED_VALUE"""),2070.0)</f>
        <v>2070</v>
      </c>
      <c r="J3381" s="25">
        <f>IFERROR(__xludf.DUMMYFUNCTION("""COMPUTED_VALUE"""),2077.8)</f>
        <v>2077.8</v>
      </c>
      <c r="K3381" s="25">
        <f>IFERROR(__xludf.DUMMYFUNCTION("""COMPUTED_VALUE"""),2054.55)</f>
        <v>2054.55</v>
      </c>
      <c r="L3381" s="25">
        <f>IFERROR(__xludf.DUMMYFUNCTION("""COMPUTED_VALUE"""),2074.15)</f>
        <v>2074.15</v>
      </c>
      <c r="M3381" s="25">
        <f>IFERROR(__xludf.DUMMYFUNCTION("""COMPUTED_VALUE"""),1033857.0)</f>
        <v>1033857</v>
      </c>
    </row>
    <row r="3382">
      <c r="A3382" s="26">
        <f>IFERROR(__xludf.DUMMYFUNCTION("""COMPUTED_VALUE"""),43361.64583333333)</f>
        <v>43361.64583</v>
      </c>
      <c r="B3382" s="9">
        <f>IFERROR(__xludf.DUMMYFUNCTION("""COMPUTED_VALUE"""),730.0)</f>
        <v>730</v>
      </c>
      <c r="C3382" s="9">
        <f>IFERROR(__xludf.DUMMYFUNCTION("""COMPUTED_VALUE"""),730.0)</f>
        <v>730</v>
      </c>
      <c r="D3382" s="9">
        <f>IFERROR(__xludf.DUMMYFUNCTION("""COMPUTED_VALUE"""),717.0)</f>
        <v>717</v>
      </c>
      <c r="E3382" s="9">
        <f>IFERROR(__xludf.DUMMYFUNCTION("""COMPUTED_VALUE"""),719.1)</f>
        <v>719.1</v>
      </c>
      <c r="F3382" s="9">
        <f>IFERROR(__xludf.DUMMYFUNCTION("""COMPUTED_VALUE"""),7729732.0)</f>
        <v>7729732</v>
      </c>
      <c r="H3382" s="27">
        <f>IFERROR(__xludf.DUMMYFUNCTION("""COMPUTED_VALUE"""),43361.64583333333)</f>
        <v>43361.64583</v>
      </c>
      <c r="I3382" s="25">
        <f>IFERROR(__xludf.DUMMYFUNCTION("""COMPUTED_VALUE"""),2073.0)</f>
        <v>2073</v>
      </c>
      <c r="J3382" s="25">
        <f>IFERROR(__xludf.DUMMYFUNCTION("""COMPUTED_VALUE"""),2078.8)</f>
        <v>2078.8</v>
      </c>
      <c r="K3382" s="25">
        <f>IFERROR(__xludf.DUMMYFUNCTION("""COMPUTED_VALUE"""),2057.6)</f>
        <v>2057.6</v>
      </c>
      <c r="L3382" s="25">
        <f>IFERROR(__xludf.DUMMYFUNCTION("""COMPUTED_VALUE"""),2070.75)</f>
        <v>2070.75</v>
      </c>
      <c r="M3382" s="25">
        <f>IFERROR(__xludf.DUMMYFUNCTION("""COMPUTED_VALUE"""),1456507.0)</f>
        <v>1456507</v>
      </c>
    </row>
    <row r="3383">
      <c r="A3383" s="26">
        <f>IFERROR(__xludf.DUMMYFUNCTION("""COMPUTED_VALUE"""),43362.64583333333)</f>
        <v>43362.64583</v>
      </c>
      <c r="B3383" s="9">
        <f>IFERROR(__xludf.DUMMYFUNCTION("""COMPUTED_VALUE"""),727.0)</f>
        <v>727</v>
      </c>
      <c r="C3383" s="9">
        <f>IFERROR(__xludf.DUMMYFUNCTION("""COMPUTED_VALUE"""),727.0)</f>
        <v>727</v>
      </c>
      <c r="D3383" s="9">
        <f>IFERROR(__xludf.DUMMYFUNCTION("""COMPUTED_VALUE"""),713.2)</f>
        <v>713.2</v>
      </c>
      <c r="E3383" s="9">
        <f>IFERROR(__xludf.DUMMYFUNCTION("""COMPUTED_VALUE"""),719.75)</f>
        <v>719.75</v>
      </c>
      <c r="F3383" s="9">
        <f>IFERROR(__xludf.DUMMYFUNCTION("""COMPUTED_VALUE"""),4849498.0)</f>
        <v>4849498</v>
      </c>
      <c r="H3383" s="27">
        <f>IFERROR(__xludf.DUMMYFUNCTION("""COMPUTED_VALUE"""),43362.64583333333)</f>
        <v>43362.64583</v>
      </c>
      <c r="I3383" s="25">
        <f>IFERROR(__xludf.DUMMYFUNCTION("""COMPUTED_VALUE"""),2071.9)</f>
        <v>2071.9</v>
      </c>
      <c r="J3383" s="25">
        <f>IFERROR(__xludf.DUMMYFUNCTION("""COMPUTED_VALUE"""),2089.0)</f>
        <v>2089</v>
      </c>
      <c r="K3383" s="25">
        <f>IFERROR(__xludf.DUMMYFUNCTION("""COMPUTED_VALUE"""),2066.85)</f>
        <v>2066.85</v>
      </c>
      <c r="L3383" s="25">
        <f>IFERROR(__xludf.DUMMYFUNCTION("""COMPUTED_VALUE"""),2077.9)</f>
        <v>2077.9</v>
      </c>
      <c r="M3383" s="25">
        <f>IFERROR(__xludf.DUMMYFUNCTION("""COMPUTED_VALUE"""),1301268.0)</f>
        <v>1301268</v>
      </c>
    </row>
    <row r="3384">
      <c r="A3384" s="26">
        <f>IFERROR(__xludf.DUMMYFUNCTION("""COMPUTED_VALUE"""),43364.64583333333)</f>
        <v>43364.64583</v>
      </c>
      <c r="B3384" s="9">
        <f>IFERROR(__xludf.DUMMYFUNCTION("""COMPUTED_VALUE"""),713.85)</f>
        <v>713.85</v>
      </c>
      <c r="C3384" s="9">
        <f>IFERROR(__xludf.DUMMYFUNCTION("""COMPUTED_VALUE"""),717.4)</f>
        <v>717.4</v>
      </c>
      <c r="D3384" s="9">
        <f>IFERROR(__xludf.DUMMYFUNCTION("""COMPUTED_VALUE"""),692.0)</f>
        <v>692</v>
      </c>
      <c r="E3384" s="9">
        <f>IFERROR(__xludf.DUMMYFUNCTION("""COMPUTED_VALUE"""),705.3)</f>
        <v>705.3</v>
      </c>
      <c r="F3384" s="9">
        <f>IFERROR(__xludf.DUMMYFUNCTION("""COMPUTED_VALUE"""),1.4350769E7)</f>
        <v>14350769</v>
      </c>
      <c r="H3384" s="27">
        <f>IFERROR(__xludf.DUMMYFUNCTION("""COMPUTED_VALUE"""),43364.64583333333)</f>
        <v>43364.64583</v>
      </c>
      <c r="I3384" s="25">
        <f>IFERROR(__xludf.DUMMYFUNCTION("""COMPUTED_VALUE"""),2077.0)</f>
        <v>2077</v>
      </c>
      <c r="J3384" s="25">
        <f>IFERROR(__xludf.DUMMYFUNCTION("""COMPUTED_VALUE"""),2121.0)</f>
        <v>2121</v>
      </c>
      <c r="K3384" s="25">
        <f>IFERROR(__xludf.DUMMYFUNCTION("""COMPUTED_VALUE"""),2050.15)</f>
        <v>2050.15</v>
      </c>
      <c r="L3384" s="25">
        <f>IFERROR(__xludf.DUMMYFUNCTION("""COMPUTED_VALUE"""),2103.15)</f>
        <v>2103.15</v>
      </c>
      <c r="M3384" s="25">
        <f>IFERROR(__xludf.DUMMYFUNCTION("""COMPUTED_VALUE"""),4508530.0)</f>
        <v>4508530</v>
      </c>
    </row>
    <row r="3385">
      <c r="A3385" s="26">
        <f>IFERROR(__xludf.DUMMYFUNCTION("""COMPUTED_VALUE"""),43367.64583333333)</f>
        <v>43367.64583</v>
      </c>
      <c r="B3385" s="9">
        <f>IFERROR(__xludf.DUMMYFUNCTION("""COMPUTED_VALUE"""),706.5)</f>
        <v>706.5</v>
      </c>
      <c r="C3385" s="9">
        <f>IFERROR(__xludf.DUMMYFUNCTION("""COMPUTED_VALUE"""),729.95)</f>
        <v>729.95</v>
      </c>
      <c r="D3385" s="9">
        <f>IFERROR(__xludf.DUMMYFUNCTION("""COMPUTED_VALUE"""),706.5)</f>
        <v>706.5</v>
      </c>
      <c r="E3385" s="9">
        <f>IFERROR(__xludf.DUMMYFUNCTION("""COMPUTED_VALUE"""),718.25)</f>
        <v>718.25</v>
      </c>
      <c r="F3385" s="9">
        <f>IFERROR(__xludf.DUMMYFUNCTION("""COMPUTED_VALUE"""),8637881.0)</f>
        <v>8637881</v>
      </c>
      <c r="H3385" s="27">
        <f>IFERROR(__xludf.DUMMYFUNCTION("""COMPUTED_VALUE"""),43367.64583333333)</f>
        <v>43367.64583</v>
      </c>
      <c r="I3385" s="25">
        <f>IFERROR(__xludf.DUMMYFUNCTION("""COMPUTED_VALUE"""),2115.0)</f>
        <v>2115</v>
      </c>
      <c r="J3385" s="25">
        <f>IFERROR(__xludf.DUMMYFUNCTION("""COMPUTED_VALUE"""),2210.5)</f>
        <v>2210.5</v>
      </c>
      <c r="K3385" s="25">
        <f>IFERROR(__xludf.DUMMYFUNCTION("""COMPUTED_VALUE"""),2098.15)</f>
        <v>2098.15</v>
      </c>
      <c r="L3385" s="25">
        <f>IFERROR(__xludf.DUMMYFUNCTION("""COMPUTED_VALUE"""),2198.45)</f>
        <v>2198.45</v>
      </c>
      <c r="M3385" s="25">
        <f>IFERROR(__xludf.DUMMYFUNCTION("""COMPUTED_VALUE"""),3032226.0)</f>
        <v>3032226</v>
      </c>
    </row>
    <row r="3386">
      <c r="A3386" s="26">
        <f>IFERROR(__xludf.DUMMYFUNCTION("""COMPUTED_VALUE"""),43368.64583333333)</f>
        <v>43368.64583</v>
      </c>
      <c r="B3386" s="9">
        <f>IFERROR(__xludf.DUMMYFUNCTION("""COMPUTED_VALUE"""),718.25)</f>
        <v>718.25</v>
      </c>
      <c r="C3386" s="9">
        <f>IFERROR(__xludf.DUMMYFUNCTION("""COMPUTED_VALUE"""),736.0)</f>
        <v>736</v>
      </c>
      <c r="D3386" s="9">
        <f>IFERROR(__xludf.DUMMYFUNCTION("""COMPUTED_VALUE"""),717.0)</f>
        <v>717</v>
      </c>
      <c r="E3386" s="9">
        <f>IFERROR(__xludf.DUMMYFUNCTION("""COMPUTED_VALUE"""),726.2)</f>
        <v>726.2</v>
      </c>
      <c r="F3386" s="9">
        <f>IFERROR(__xludf.DUMMYFUNCTION("""COMPUTED_VALUE"""),9602273.0)</f>
        <v>9602273</v>
      </c>
      <c r="H3386" s="27">
        <f>IFERROR(__xludf.DUMMYFUNCTION("""COMPUTED_VALUE"""),43368.64583333333)</f>
        <v>43368.64583</v>
      </c>
      <c r="I3386" s="25">
        <f>IFERROR(__xludf.DUMMYFUNCTION("""COMPUTED_VALUE"""),2204.9)</f>
        <v>2204.9</v>
      </c>
      <c r="J3386" s="25">
        <f>IFERROR(__xludf.DUMMYFUNCTION("""COMPUTED_VALUE"""),2211.9)</f>
        <v>2211.9</v>
      </c>
      <c r="K3386" s="25">
        <f>IFERROR(__xludf.DUMMYFUNCTION("""COMPUTED_VALUE"""),2153.8)</f>
        <v>2153.8</v>
      </c>
      <c r="L3386" s="25">
        <f>IFERROR(__xludf.DUMMYFUNCTION("""COMPUTED_VALUE"""),2183.2)</f>
        <v>2183.2</v>
      </c>
      <c r="M3386" s="25">
        <f>IFERROR(__xludf.DUMMYFUNCTION("""COMPUTED_VALUE"""),2868778.0)</f>
        <v>2868778</v>
      </c>
    </row>
    <row r="3387">
      <c r="A3387" s="26">
        <f>IFERROR(__xludf.DUMMYFUNCTION("""COMPUTED_VALUE"""),43369.64583333333)</f>
        <v>43369.64583</v>
      </c>
      <c r="B3387" s="9">
        <f>IFERROR(__xludf.DUMMYFUNCTION("""COMPUTED_VALUE"""),731.2)</f>
        <v>731.2</v>
      </c>
      <c r="C3387" s="9">
        <f>IFERROR(__xludf.DUMMYFUNCTION("""COMPUTED_VALUE"""),731.85)</f>
        <v>731.85</v>
      </c>
      <c r="D3387" s="9">
        <f>IFERROR(__xludf.DUMMYFUNCTION("""COMPUTED_VALUE"""),712.0)</f>
        <v>712</v>
      </c>
      <c r="E3387" s="9">
        <f>IFERROR(__xludf.DUMMYFUNCTION("""COMPUTED_VALUE"""),717.85)</f>
        <v>717.85</v>
      </c>
      <c r="F3387" s="9">
        <f>IFERROR(__xludf.DUMMYFUNCTION("""COMPUTED_VALUE"""),6599606.0)</f>
        <v>6599606</v>
      </c>
      <c r="H3387" s="27">
        <f>IFERROR(__xludf.DUMMYFUNCTION("""COMPUTED_VALUE"""),43369.64583333333)</f>
        <v>43369.64583</v>
      </c>
      <c r="I3387" s="25">
        <f>IFERROR(__xludf.DUMMYFUNCTION("""COMPUTED_VALUE"""),2187.0)</f>
        <v>2187</v>
      </c>
      <c r="J3387" s="25">
        <f>IFERROR(__xludf.DUMMYFUNCTION("""COMPUTED_VALUE"""),2199.0)</f>
        <v>2199</v>
      </c>
      <c r="K3387" s="25">
        <f>IFERROR(__xludf.DUMMYFUNCTION("""COMPUTED_VALUE"""),2135.1)</f>
        <v>2135.1</v>
      </c>
      <c r="L3387" s="25">
        <f>IFERROR(__xludf.DUMMYFUNCTION("""COMPUTED_VALUE"""),2142.15)</f>
        <v>2142.15</v>
      </c>
      <c r="M3387" s="25">
        <f>IFERROR(__xludf.DUMMYFUNCTION("""COMPUTED_VALUE"""),1970951.0)</f>
        <v>1970951</v>
      </c>
    </row>
    <row r="3388">
      <c r="A3388" s="26">
        <f>IFERROR(__xludf.DUMMYFUNCTION("""COMPUTED_VALUE"""),43370.64583333333)</f>
        <v>43370.64583</v>
      </c>
      <c r="B3388" s="9">
        <f>IFERROR(__xludf.DUMMYFUNCTION("""COMPUTED_VALUE"""),722.0)</f>
        <v>722</v>
      </c>
      <c r="C3388" s="9">
        <f>IFERROR(__xludf.DUMMYFUNCTION("""COMPUTED_VALUE"""),730.8)</f>
        <v>730.8</v>
      </c>
      <c r="D3388" s="9">
        <f>IFERROR(__xludf.DUMMYFUNCTION("""COMPUTED_VALUE"""),717.45)</f>
        <v>717.45</v>
      </c>
      <c r="E3388" s="9">
        <f>IFERROR(__xludf.DUMMYFUNCTION("""COMPUTED_VALUE"""),724.8)</f>
        <v>724.8</v>
      </c>
      <c r="F3388" s="9">
        <f>IFERROR(__xludf.DUMMYFUNCTION("""COMPUTED_VALUE"""),1.4592616E7)</f>
        <v>14592616</v>
      </c>
      <c r="H3388" s="27">
        <f>IFERROR(__xludf.DUMMYFUNCTION("""COMPUTED_VALUE"""),43370.64583333333)</f>
        <v>43370.64583</v>
      </c>
      <c r="I3388" s="25">
        <f>IFERROR(__xludf.DUMMYFUNCTION("""COMPUTED_VALUE"""),2141.9)</f>
        <v>2141.9</v>
      </c>
      <c r="J3388" s="25">
        <f>IFERROR(__xludf.DUMMYFUNCTION("""COMPUTED_VALUE"""),2209.7)</f>
        <v>2209.7</v>
      </c>
      <c r="K3388" s="25">
        <f>IFERROR(__xludf.DUMMYFUNCTION("""COMPUTED_VALUE"""),2135.8)</f>
        <v>2135.8</v>
      </c>
      <c r="L3388" s="25">
        <f>IFERROR(__xludf.DUMMYFUNCTION("""COMPUTED_VALUE"""),2188.85)</f>
        <v>2188.85</v>
      </c>
      <c r="M3388" s="25">
        <f>IFERROR(__xludf.DUMMYFUNCTION("""COMPUTED_VALUE"""),3311802.0)</f>
        <v>3311802</v>
      </c>
    </row>
    <row r="3389">
      <c r="A3389" s="26">
        <f>IFERROR(__xludf.DUMMYFUNCTION("""COMPUTED_VALUE"""),43371.64583333333)</f>
        <v>43371.64583</v>
      </c>
      <c r="B3389" s="9">
        <f>IFERROR(__xludf.DUMMYFUNCTION("""COMPUTED_VALUE"""),721.0)</f>
        <v>721</v>
      </c>
      <c r="C3389" s="9">
        <f>IFERROR(__xludf.DUMMYFUNCTION("""COMPUTED_VALUE"""),734.55)</f>
        <v>734.55</v>
      </c>
      <c r="D3389" s="9">
        <f>IFERROR(__xludf.DUMMYFUNCTION("""COMPUTED_VALUE"""),715.2)</f>
        <v>715.2</v>
      </c>
      <c r="E3389" s="9">
        <f>IFERROR(__xludf.DUMMYFUNCTION("""COMPUTED_VALUE"""),730.05)</f>
        <v>730.05</v>
      </c>
      <c r="F3389" s="9">
        <f>IFERROR(__xludf.DUMMYFUNCTION("""COMPUTED_VALUE"""),7490031.0)</f>
        <v>7490031</v>
      </c>
      <c r="H3389" s="27">
        <f>IFERROR(__xludf.DUMMYFUNCTION("""COMPUTED_VALUE"""),43371.64583333333)</f>
        <v>43371.64583</v>
      </c>
      <c r="I3389" s="25">
        <f>IFERROR(__xludf.DUMMYFUNCTION("""COMPUTED_VALUE"""),2178.0)</f>
        <v>2178</v>
      </c>
      <c r="J3389" s="25">
        <f>IFERROR(__xludf.DUMMYFUNCTION("""COMPUTED_VALUE"""),2190.0)</f>
        <v>2190</v>
      </c>
      <c r="K3389" s="25">
        <f>IFERROR(__xludf.DUMMYFUNCTION("""COMPUTED_VALUE"""),2158.85)</f>
        <v>2158.85</v>
      </c>
      <c r="L3389" s="25">
        <f>IFERROR(__xludf.DUMMYFUNCTION("""COMPUTED_VALUE"""),2183.7)</f>
        <v>2183.7</v>
      </c>
      <c r="M3389" s="25">
        <f>IFERROR(__xludf.DUMMYFUNCTION("""COMPUTED_VALUE"""),2904371.0)</f>
        <v>2904371</v>
      </c>
    </row>
    <row r="3390">
      <c r="A3390" s="26">
        <f>IFERROR(__xludf.DUMMYFUNCTION("""COMPUTED_VALUE"""),43374.64583333333)</f>
        <v>43374.64583</v>
      </c>
      <c r="B3390" s="9">
        <f>IFERROR(__xludf.DUMMYFUNCTION("""COMPUTED_VALUE"""),737.5)</f>
        <v>737.5</v>
      </c>
      <c r="C3390" s="9">
        <f>IFERROR(__xludf.DUMMYFUNCTION("""COMPUTED_VALUE"""),754.9)</f>
        <v>754.9</v>
      </c>
      <c r="D3390" s="9">
        <f>IFERROR(__xludf.DUMMYFUNCTION("""COMPUTED_VALUE"""),733.0)</f>
        <v>733</v>
      </c>
      <c r="E3390" s="9">
        <f>IFERROR(__xludf.DUMMYFUNCTION("""COMPUTED_VALUE"""),746.65)</f>
        <v>746.65</v>
      </c>
      <c r="F3390" s="9">
        <f>IFERROR(__xludf.DUMMYFUNCTION("""COMPUTED_VALUE"""),8252398.0)</f>
        <v>8252398</v>
      </c>
      <c r="H3390" s="27">
        <f>IFERROR(__xludf.DUMMYFUNCTION("""COMPUTED_VALUE"""),43374.64583333333)</f>
        <v>43374.64583</v>
      </c>
      <c r="I3390" s="25">
        <f>IFERROR(__xludf.DUMMYFUNCTION("""COMPUTED_VALUE"""),2190.9)</f>
        <v>2190.9</v>
      </c>
      <c r="J3390" s="25">
        <f>IFERROR(__xludf.DUMMYFUNCTION("""COMPUTED_VALUE"""),2275.95)</f>
        <v>2275.95</v>
      </c>
      <c r="K3390" s="25">
        <f>IFERROR(__xludf.DUMMYFUNCTION("""COMPUTED_VALUE"""),2190.35)</f>
        <v>2190.35</v>
      </c>
      <c r="L3390" s="25">
        <f>IFERROR(__xludf.DUMMYFUNCTION("""COMPUTED_VALUE"""),2255.55)</f>
        <v>2255.55</v>
      </c>
      <c r="M3390" s="25">
        <f>IFERROR(__xludf.DUMMYFUNCTION("""COMPUTED_VALUE"""),3772208.0)</f>
        <v>3772208</v>
      </c>
    </row>
    <row r="3391">
      <c r="A3391" s="26">
        <f>IFERROR(__xludf.DUMMYFUNCTION("""COMPUTED_VALUE"""),43376.64583333333)</f>
        <v>43376.64583</v>
      </c>
      <c r="B3391" s="9">
        <f>IFERROR(__xludf.DUMMYFUNCTION("""COMPUTED_VALUE"""),743.8)</f>
        <v>743.8</v>
      </c>
      <c r="C3391" s="9">
        <f>IFERROR(__xludf.DUMMYFUNCTION("""COMPUTED_VALUE"""),751.95)</f>
        <v>751.95</v>
      </c>
      <c r="D3391" s="9">
        <f>IFERROR(__xludf.DUMMYFUNCTION("""COMPUTED_VALUE"""),726.3)</f>
        <v>726.3</v>
      </c>
      <c r="E3391" s="9">
        <f>IFERROR(__xludf.DUMMYFUNCTION("""COMPUTED_VALUE"""),728.5)</f>
        <v>728.5</v>
      </c>
      <c r="F3391" s="9">
        <f>IFERROR(__xludf.DUMMYFUNCTION("""COMPUTED_VALUE"""),7792464.0)</f>
        <v>7792464</v>
      </c>
      <c r="H3391" s="27">
        <f>IFERROR(__xludf.DUMMYFUNCTION("""COMPUTED_VALUE"""),43376.64583333333)</f>
        <v>43376.64583</v>
      </c>
      <c r="I3391" s="25">
        <f>IFERROR(__xludf.DUMMYFUNCTION("""COMPUTED_VALUE"""),2250.3)</f>
        <v>2250.3</v>
      </c>
      <c r="J3391" s="25">
        <f>IFERROR(__xludf.DUMMYFUNCTION("""COMPUTED_VALUE"""),2255.0)</f>
        <v>2255</v>
      </c>
      <c r="K3391" s="25">
        <f>IFERROR(__xludf.DUMMYFUNCTION("""COMPUTED_VALUE"""),2155.6)</f>
        <v>2155.6</v>
      </c>
      <c r="L3391" s="25">
        <f>IFERROR(__xludf.DUMMYFUNCTION("""COMPUTED_VALUE"""),2162.85)</f>
        <v>2162.85</v>
      </c>
      <c r="M3391" s="25">
        <f>IFERROR(__xludf.DUMMYFUNCTION("""COMPUTED_VALUE"""),3902322.0)</f>
        <v>3902322</v>
      </c>
    </row>
    <row r="3392">
      <c r="A3392" s="26">
        <f>IFERROR(__xludf.DUMMYFUNCTION("""COMPUTED_VALUE"""),43377.64583333333)</f>
        <v>43377.64583</v>
      </c>
      <c r="B3392" s="9">
        <f>IFERROR(__xludf.DUMMYFUNCTION("""COMPUTED_VALUE"""),728.5)</f>
        <v>728.5</v>
      </c>
      <c r="C3392" s="9">
        <f>IFERROR(__xludf.DUMMYFUNCTION("""COMPUTED_VALUE"""),729.75)</f>
        <v>729.75</v>
      </c>
      <c r="D3392" s="9">
        <f>IFERROR(__xludf.DUMMYFUNCTION("""COMPUTED_VALUE"""),702.5)</f>
        <v>702.5</v>
      </c>
      <c r="E3392" s="9">
        <f>IFERROR(__xludf.DUMMYFUNCTION("""COMPUTED_VALUE"""),707.2)</f>
        <v>707.2</v>
      </c>
      <c r="F3392" s="9">
        <f>IFERROR(__xludf.DUMMYFUNCTION("""COMPUTED_VALUE"""),6173037.0)</f>
        <v>6173037</v>
      </c>
      <c r="H3392" s="27">
        <f>IFERROR(__xludf.DUMMYFUNCTION("""COMPUTED_VALUE"""),43377.64583333333)</f>
        <v>43377.64583</v>
      </c>
      <c r="I3392" s="25">
        <f>IFERROR(__xludf.DUMMYFUNCTION("""COMPUTED_VALUE"""),2156.6)</f>
        <v>2156.6</v>
      </c>
      <c r="J3392" s="25">
        <f>IFERROR(__xludf.DUMMYFUNCTION("""COMPUTED_VALUE"""),2156.65)</f>
        <v>2156.65</v>
      </c>
      <c r="K3392" s="25">
        <f>IFERROR(__xludf.DUMMYFUNCTION("""COMPUTED_VALUE"""),2056.35)</f>
        <v>2056.35</v>
      </c>
      <c r="L3392" s="25">
        <f>IFERROR(__xludf.DUMMYFUNCTION("""COMPUTED_VALUE"""),2064.8)</f>
        <v>2064.8</v>
      </c>
      <c r="M3392" s="25">
        <f>IFERROR(__xludf.DUMMYFUNCTION("""COMPUTED_VALUE"""),4762419.0)</f>
        <v>4762419</v>
      </c>
    </row>
    <row r="3393">
      <c r="A3393" s="26">
        <f>IFERROR(__xludf.DUMMYFUNCTION("""COMPUTED_VALUE"""),43378.64583333333)</f>
        <v>43378.64583</v>
      </c>
      <c r="B3393" s="9">
        <f>IFERROR(__xludf.DUMMYFUNCTION("""COMPUTED_VALUE"""),713.0)</f>
        <v>713</v>
      </c>
      <c r="C3393" s="9">
        <f>IFERROR(__xludf.DUMMYFUNCTION("""COMPUTED_VALUE"""),731.5)</f>
        <v>731.5</v>
      </c>
      <c r="D3393" s="9">
        <f>IFERROR(__xludf.DUMMYFUNCTION("""COMPUTED_VALUE"""),709.3)</f>
        <v>709.3</v>
      </c>
      <c r="E3393" s="9">
        <f>IFERROR(__xludf.DUMMYFUNCTION("""COMPUTED_VALUE"""),724.6)</f>
        <v>724.6</v>
      </c>
      <c r="F3393" s="9">
        <f>IFERROR(__xludf.DUMMYFUNCTION("""COMPUTED_VALUE"""),8543578.0)</f>
        <v>8543578</v>
      </c>
      <c r="H3393" s="27">
        <f>IFERROR(__xludf.DUMMYFUNCTION("""COMPUTED_VALUE"""),43378.64583333333)</f>
        <v>43378.64583</v>
      </c>
      <c r="I3393" s="25">
        <f>IFERROR(__xludf.DUMMYFUNCTION("""COMPUTED_VALUE"""),2050.0)</f>
        <v>2050</v>
      </c>
      <c r="J3393" s="25">
        <f>IFERROR(__xludf.DUMMYFUNCTION("""COMPUTED_VALUE"""),2120.0)</f>
        <v>2120</v>
      </c>
      <c r="K3393" s="25">
        <f>IFERROR(__xludf.DUMMYFUNCTION("""COMPUTED_VALUE"""),2020.9)</f>
        <v>2020.9</v>
      </c>
      <c r="L3393" s="25">
        <f>IFERROR(__xludf.DUMMYFUNCTION("""COMPUTED_VALUE"""),2102.65)</f>
        <v>2102.65</v>
      </c>
      <c r="M3393" s="25">
        <f>IFERROR(__xludf.DUMMYFUNCTION("""COMPUTED_VALUE"""),3417624.0)</f>
        <v>3417624</v>
      </c>
    </row>
    <row r="3394">
      <c r="A3394" s="26">
        <f>IFERROR(__xludf.DUMMYFUNCTION("""COMPUTED_VALUE"""),43381.64583333333)</f>
        <v>43381.64583</v>
      </c>
      <c r="B3394" s="9">
        <f>IFERROR(__xludf.DUMMYFUNCTION("""COMPUTED_VALUE"""),725.05)</f>
        <v>725.05</v>
      </c>
      <c r="C3394" s="9">
        <f>IFERROR(__xludf.DUMMYFUNCTION("""COMPUTED_VALUE"""),728.7)</f>
        <v>728.7</v>
      </c>
      <c r="D3394" s="9">
        <f>IFERROR(__xludf.DUMMYFUNCTION("""COMPUTED_VALUE"""),709.25)</f>
        <v>709.25</v>
      </c>
      <c r="E3394" s="9">
        <f>IFERROR(__xludf.DUMMYFUNCTION("""COMPUTED_VALUE"""),714.45)</f>
        <v>714.45</v>
      </c>
      <c r="F3394" s="9">
        <f>IFERROR(__xludf.DUMMYFUNCTION("""COMPUTED_VALUE"""),7259306.0)</f>
        <v>7259306</v>
      </c>
      <c r="H3394" s="27">
        <f>IFERROR(__xludf.DUMMYFUNCTION("""COMPUTED_VALUE"""),43381.64583333333)</f>
        <v>43381.64583</v>
      </c>
      <c r="I3394" s="25">
        <f>IFERROR(__xludf.DUMMYFUNCTION("""COMPUTED_VALUE"""),2102.65)</f>
        <v>2102.65</v>
      </c>
      <c r="J3394" s="25">
        <f>IFERROR(__xludf.DUMMYFUNCTION("""COMPUTED_VALUE"""),2122.2)</f>
        <v>2122.2</v>
      </c>
      <c r="K3394" s="25">
        <f>IFERROR(__xludf.DUMMYFUNCTION("""COMPUTED_VALUE"""),2048.15)</f>
        <v>2048.15</v>
      </c>
      <c r="L3394" s="25">
        <f>IFERROR(__xludf.DUMMYFUNCTION("""COMPUTED_VALUE"""),2077.55)</f>
        <v>2077.55</v>
      </c>
      <c r="M3394" s="25">
        <f>IFERROR(__xludf.DUMMYFUNCTION("""COMPUTED_VALUE"""),2010154.0)</f>
        <v>2010154</v>
      </c>
    </row>
    <row r="3395">
      <c r="A3395" s="26">
        <f>IFERROR(__xludf.DUMMYFUNCTION("""COMPUTED_VALUE"""),43382.64583333333)</f>
        <v>43382.64583</v>
      </c>
      <c r="B3395" s="9">
        <f>IFERROR(__xludf.DUMMYFUNCTION("""COMPUTED_VALUE"""),717.1)</f>
        <v>717.1</v>
      </c>
      <c r="C3395" s="9">
        <f>IFERROR(__xludf.DUMMYFUNCTION("""COMPUTED_VALUE"""),722.4)</f>
        <v>722.4</v>
      </c>
      <c r="D3395" s="9">
        <f>IFERROR(__xludf.DUMMYFUNCTION("""COMPUTED_VALUE"""),702.65)</f>
        <v>702.65</v>
      </c>
      <c r="E3395" s="9">
        <f>IFERROR(__xludf.DUMMYFUNCTION("""COMPUTED_VALUE"""),717.75)</f>
        <v>717.75</v>
      </c>
      <c r="F3395" s="9">
        <f>IFERROR(__xludf.DUMMYFUNCTION("""COMPUTED_VALUE"""),6777212.0)</f>
        <v>6777212</v>
      </c>
      <c r="H3395" s="27">
        <f>IFERROR(__xludf.DUMMYFUNCTION("""COMPUTED_VALUE"""),43382.64583333333)</f>
        <v>43382.64583</v>
      </c>
      <c r="I3395" s="25">
        <f>IFERROR(__xludf.DUMMYFUNCTION("""COMPUTED_VALUE"""),2080.35)</f>
        <v>2080.35</v>
      </c>
      <c r="J3395" s="25">
        <f>IFERROR(__xludf.DUMMYFUNCTION("""COMPUTED_VALUE"""),2107.65)</f>
        <v>2107.65</v>
      </c>
      <c r="K3395" s="25">
        <f>IFERROR(__xludf.DUMMYFUNCTION("""COMPUTED_VALUE"""),2053.2)</f>
        <v>2053.2</v>
      </c>
      <c r="L3395" s="25">
        <f>IFERROR(__xludf.DUMMYFUNCTION("""COMPUTED_VALUE"""),2091.8)</f>
        <v>2091.8</v>
      </c>
      <c r="M3395" s="25">
        <f>IFERROR(__xludf.DUMMYFUNCTION("""COMPUTED_VALUE"""),1867130.0)</f>
        <v>1867130</v>
      </c>
    </row>
    <row r="3396">
      <c r="A3396" s="26">
        <f>IFERROR(__xludf.DUMMYFUNCTION("""COMPUTED_VALUE"""),43383.64583333333)</f>
        <v>43383.64583</v>
      </c>
      <c r="B3396" s="9">
        <f>IFERROR(__xludf.DUMMYFUNCTION("""COMPUTED_VALUE"""),719.9)</f>
        <v>719.9</v>
      </c>
      <c r="C3396" s="9">
        <f>IFERROR(__xludf.DUMMYFUNCTION("""COMPUTED_VALUE"""),719.9)</f>
        <v>719.9</v>
      </c>
      <c r="D3396" s="9">
        <f>IFERROR(__xludf.DUMMYFUNCTION("""COMPUTED_VALUE"""),695.4)</f>
        <v>695.4</v>
      </c>
      <c r="E3396" s="9">
        <f>IFERROR(__xludf.DUMMYFUNCTION("""COMPUTED_VALUE"""),700.45)</f>
        <v>700.45</v>
      </c>
      <c r="F3396" s="9">
        <f>IFERROR(__xludf.DUMMYFUNCTION("""COMPUTED_VALUE"""),8866251.0)</f>
        <v>8866251</v>
      </c>
      <c r="H3396" s="27">
        <f>IFERROR(__xludf.DUMMYFUNCTION("""COMPUTED_VALUE"""),43383.64583333333)</f>
        <v>43383.64583</v>
      </c>
      <c r="I3396" s="25">
        <f>IFERROR(__xludf.DUMMYFUNCTION("""COMPUTED_VALUE"""),2100.0)</f>
        <v>2100</v>
      </c>
      <c r="J3396" s="25">
        <f>IFERROR(__xludf.DUMMYFUNCTION("""COMPUTED_VALUE"""),2105.95)</f>
        <v>2105.95</v>
      </c>
      <c r="K3396" s="25">
        <f>IFERROR(__xludf.DUMMYFUNCTION("""COMPUTED_VALUE"""),2029.0)</f>
        <v>2029</v>
      </c>
      <c r="L3396" s="25">
        <f>IFERROR(__xludf.DUMMYFUNCTION("""COMPUTED_VALUE"""),2043.6)</f>
        <v>2043.6</v>
      </c>
      <c r="M3396" s="25">
        <f>IFERROR(__xludf.DUMMYFUNCTION("""COMPUTED_VALUE"""),2749573.0)</f>
        <v>2749573</v>
      </c>
    </row>
    <row r="3397">
      <c r="A3397" s="26">
        <f>IFERROR(__xludf.DUMMYFUNCTION("""COMPUTED_VALUE"""),43384.64583333333)</f>
        <v>43384.64583</v>
      </c>
      <c r="B3397" s="9">
        <f>IFERROR(__xludf.DUMMYFUNCTION("""COMPUTED_VALUE"""),685.0)</f>
        <v>685</v>
      </c>
      <c r="C3397" s="9">
        <f>IFERROR(__xludf.DUMMYFUNCTION("""COMPUTED_VALUE"""),692.9)</f>
        <v>692.9</v>
      </c>
      <c r="D3397" s="9">
        <f>IFERROR(__xludf.DUMMYFUNCTION("""COMPUTED_VALUE"""),663.3)</f>
        <v>663.3</v>
      </c>
      <c r="E3397" s="9">
        <f>IFERROR(__xludf.DUMMYFUNCTION("""COMPUTED_VALUE"""),673.35)</f>
        <v>673.35</v>
      </c>
      <c r="F3397" s="9">
        <f>IFERROR(__xludf.DUMMYFUNCTION("""COMPUTED_VALUE"""),1.0985897E7)</f>
        <v>10985897</v>
      </c>
      <c r="H3397" s="27">
        <f>IFERROR(__xludf.DUMMYFUNCTION("""COMPUTED_VALUE"""),43384.64583333333)</f>
        <v>43384.64583</v>
      </c>
      <c r="I3397" s="25">
        <f>IFERROR(__xludf.DUMMYFUNCTION("""COMPUTED_VALUE"""),1985.0)</f>
        <v>1985</v>
      </c>
      <c r="J3397" s="25">
        <f>IFERROR(__xludf.DUMMYFUNCTION("""COMPUTED_VALUE"""),2013.0)</f>
        <v>2013</v>
      </c>
      <c r="K3397" s="25">
        <f>IFERROR(__xludf.DUMMYFUNCTION("""COMPUTED_VALUE"""),1941.0)</f>
        <v>1941</v>
      </c>
      <c r="L3397" s="25">
        <f>IFERROR(__xludf.DUMMYFUNCTION("""COMPUTED_VALUE"""),1979.95)</f>
        <v>1979.95</v>
      </c>
      <c r="M3397" s="25">
        <f>IFERROR(__xludf.DUMMYFUNCTION("""COMPUTED_VALUE"""),4700256.0)</f>
        <v>4700256</v>
      </c>
    </row>
    <row r="3398">
      <c r="A3398" s="26">
        <f>IFERROR(__xludf.DUMMYFUNCTION("""COMPUTED_VALUE"""),43385.64583333333)</f>
        <v>43385.64583</v>
      </c>
      <c r="B3398" s="9">
        <f>IFERROR(__xludf.DUMMYFUNCTION("""COMPUTED_VALUE"""),676.4)</f>
        <v>676.4</v>
      </c>
      <c r="C3398" s="9">
        <f>IFERROR(__xludf.DUMMYFUNCTION("""COMPUTED_VALUE"""),684.05)</f>
        <v>684.05</v>
      </c>
      <c r="D3398" s="9">
        <f>IFERROR(__xludf.DUMMYFUNCTION("""COMPUTED_VALUE"""),661.5)</f>
        <v>661.5</v>
      </c>
      <c r="E3398" s="9">
        <f>IFERROR(__xludf.DUMMYFUNCTION("""COMPUTED_VALUE"""),678.8)</f>
        <v>678.8</v>
      </c>
      <c r="F3398" s="9">
        <f>IFERROR(__xludf.DUMMYFUNCTION("""COMPUTED_VALUE"""),8909221.0)</f>
        <v>8909221</v>
      </c>
      <c r="H3398" s="27">
        <f>IFERROR(__xludf.DUMMYFUNCTION("""COMPUTED_VALUE"""),43385.64583333333)</f>
        <v>43385.64583</v>
      </c>
      <c r="I3398" s="25">
        <f>IFERROR(__xludf.DUMMYFUNCTION("""COMPUTED_VALUE"""),1978.0)</f>
        <v>1978</v>
      </c>
      <c r="J3398" s="25">
        <f>IFERROR(__xludf.DUMMYFUNCTION("""COMPUTED_VALUE"""),1978.0)</f>
        <v>1978</v>
      </c>
      <c r="K3398" s="25">
        <f>IFERROR(__xludf.DUMMYFUNCTION("""COMPUTED_VALUE"""),1903.0)</f>
        <v>1903</v>
      </c>
      <c r="L3398" s="25">
        <f>IFERROR(__xludf.DUMMYFUNCTION("""COMPUTED_VALUE"""),1918.3)</f>
        <v>1918.3</v>
      </c>
      <c r="M3398" s="25">
        <f>IFERROR(__xludf.DUMMYFUNCTION("""COMPUTED_VALUE"""),9373289.0)</f>
        <v>9373289</v>
      </c>
    </row>
    <row r="3399">
      <c r="A3399" s="26">
        <f>IFERROR(__xludf.DUMMYFUNCTION("""COMPUTED_VALUE"""),43388.64583333333)</f>
        <v>43388.64583</v>
      </c>
      <c r="B3399" s="9">
        <f>IFERROR(__xludf.DUMMYFUNCTION("""COMPUTED_VALUE"""),688.6)</f>
        <v>688.6</v>
      </c>
      <c r="C3399" s="9">
        <f>IFERROR(__xludf.DUMMYFUNCTION("""COMPUTED_VALUE"""),705.0)</f>
        <v>705</v>
      </c>
      <c r="D3399" s="9">
        <f>IFERROR(__xludf.DUMMYFUNCTION("""COMPUTED_VALUE"""),681.5)</f>
        <v>681.5</v>
      </c>
      <c r="E3399" s="9">
        <f>IFERROR(__xludf.DUMMYFUNCTION("""COMPUTED_VALUE"""),698.8)</f>
        <v>698.8</v>
      </c>
      <c r="F3399" s="9">
        <f>IFERROR(__xludf.DUMMYFUNCTION("""COMPUTED_VALUE"""),6222176.0)</f>
        <v>6222176</v>
      </c>
      <c r="H3399" s="27">
        <f>IFERROR(__xludf.DUMMYFUNCTION("""COMPUTED_VALUE"""),43388.64583333333)</f>
        <v>43388.64583</v>
      </c>
      <c r="I3399" s="25">
        <f>IFERROR(__xludf.DUMMYFUNCTION("""COMPUTED_VALUE"""),1940.0)</f>
        <v>1940</v>
      </c>
      <c r="J3399" s="25">
        <f>IFERROR(__xludf.DUMMYFUNCTION("""COMPUTED_VALUE"""),1955.55)</f>
        <v>1955.55</v>
      </c>
      <c r="K3399" s="25">
        <f>IFERROR(__xludf.DUMMYFUNCTION("""COMPUTED_VALUE"""),1920.0)</f>
        <v>1920</v>
      </c>
      <c r="L3399" s="25">
        <f>IFERROR(__xludf.DUMMYFUNCTION("""COMPUTED_VALUE"""),1949.5)</f>
        <v>1949.5</v>
      </c>
      <c r="M3399" s="25">
        <f>IFERROR(__xludf.DUMMYFUNCTION("""COMPUTED_VALUE"""),2638151.0)</f>
        <v>2638151</v>
      </c>
    </row>
    <row r="3400">
      <c r="A3400" s="26">
        <f>IFERROR(__xludf.DUMMYFUNCTION("""COMPUTED_VALUE"""),43389.64583333333)</f>
        <v>43389.64583</v>
      </c>
      <c r="B3400" s="9">
        <f>IFERROR(__xludf.DUMMYFUNCTION("""COMPUTED_VALUE"""),710.0)</f>
        <v>710</v>
      </c>
      <c r="C3400" s="9">
        <f>IFERROR(__xludf.DUMMYFUNCTION("""COMPUTED_VALUE"""),713.9)</f>
        <v>713.9</v>
      </c>
      <c r="D3400" s="9">
        <f>IFERROR(__xludf.DUMMYFUNCTION("""COMPUTED_VALUE"""),689.4)</f>
        <v>689.4</v>
      </c>
      <c r="E3400" s="9">
        <f>IFERROR(__xludf.DUMMYFUNCTION("""COMPUTED_VALUE"""),695.25)</f>
        <v>695.25</v>
      </c>
      <c r="F3400" s="9">
        <f>IFERROR(__xludf.DUMMYFUNCTION("""COMPUTED_VALUE"""),1.1588963E7)</f>
        <v>11588963</v>
      </c>
      <c r="H3400" s="27">
        <f>IFERROR(__xludf.DUMMYFUNCTION("""COMPUTED_VALUE"""),43389.64583333333)</f>
        <v>43389.64583</v>
      </c>
      <c r="I3400" s="25">
        <f>IFERROR(__xludf.DUMMYFUNCTION("""COMPUTED_VALUE"""),1958.0)</f>
        <v>1958</v>
      </c>
      <c r="J3400" s="25">
        <f>IFERROR(__xludf.DUMMYFUNCTION("""COMPUTED_VALUE"""),1971.9)</f>
        <v>1971.9</v>
      </c>
      <c r="K3400" s="25">
        <f>IFERROR(__xludf.DUMMYFUNCTION("""COMPUTED_VALUE"""),1935.0)</f>
        <v>1935</v>
      </c>
      <c r="L3400" s="25">
        <f>IFERROR(__xludf.DUMMYFUNCTION("""COMPUTED_VALUE"""),1962.3)</f>
        <v>1962.3</v>
      </c>
      <c r="M3400" s="25">
        <f>IFERROR(__xludf.DUMMYFUNCTION("""COMPUTED_VALUE"""),2815425.0)</f>
        <v>2815425</v>
      </c>
    </row>
    <row r="3401">
      <c r="A3401" s="26">
        <f>IFERROR(__xludf.DUMMYFUNCTION("""COMPUTED_VALUE"""),43390.64583333333)</f>
        <v>43390.64583</v>
      </c>
      <c r="B3401" s="9">
        <f>IFERROR(__xludf.DUMMYFUNCTION("""COMPUTED_VALUE"""),710.0)</f>
        <v>710</v>
      </c>
      <c r="C3401" s="9">
        <f>IFERROR(__xludf.DUMMYFUNCTION("""COMPUTED_VALUE"""),721.8)</f>
        <v>721.8</v>
      </c>
      <c r="D3401" s="9">
        <f>IFERROR(__xludf.DUMMYFUNCTION("""COMPUTED_VALUE"""),701.35)</f>
        <v>701.35</v>
      </c>
      <c r="E3401" s="9">
        <f>IFERROR(__xludf.DUMMYFUNCTION("""COMPUTED_VALUE"""),705.35)</f>
        <v>705.35</v>
      </c>
      <c r="F3401" s="9">
        <f>IFERROR(__xludf.DUMMYFUNCTION("""COMPUTED_VALUE"""),2.0360697E7)</f>
        <v>20360697</v>
      </c>
      <c r="H3401" s="27">
        <f>IFERROR(__xludf.DUMMYFUNCTION("""COMPUTED_VALUE"""),43390.64583333333)</f>
        <v>43390.64583</v>
      </c>
      <c r="I3401" s="25">
        <f>IFERROR(__xludf.DUMMYFUNCTION("""COMPUTED_VALUE"""),1970.0)</f>
        <v>1970</v>
      </c>
      <c r="J3401" s="25">
        <f>IFERROR(__xludf.DUMMYFUNCTION("""COMPUTED_VALUE"""),1989.0)</f>
        <v>1989</v>
      </c>
      <c r="K3401" s="25">
        <f>IFERROR(__xludf.DUMMYFUNCTION("""COMPUTED_VALUE"""),1920.0)</f>
        <v>1920</v>
      </c>
      <c r="L3401" s="25">
        <f>IFERROR(__xludf.DUMMYFUNCTION("""COMPUTED_VALUE"""),1929.4)</f>
        <v>1929.4</v>
      </c>
      <c r="M3401" s="25">
        <f>IFERROR(__xludf.DUMMYFUNCTION("""COMPUTED_VALUE"""),2779207.0)</f>
        <v>2779207</v>
      </c>
    </row>
    <row r="3402">
      <c r="A3402" s="26">
        <f>IFERROR(__xludf.DUMMYFUNCTION("""COMPUTED_VALUE"""),43392.64583333333)</f>
        <v>43392.64583</v>
      </c>
      <c r="B3402" s="9">
        <f>IFERROR(__xludf.DUMMYFUNCTION("""COMPUTED_VALUE"""),687.0)</f>
        <v>687</v>
      </c>
      <c r="C3402" s="9">
        <f>IFERROR(__xludf.DUMMYFUNCTION("""COMPUTED_VALUE"""),687.7)</f>
        <v>687.7</v>
      </c>
      <c r="D3402" s="9">
        <f>IFERROR(__xludf.DUMMYFUNCTION("""COMPUTED_VALUE"""),678.0)</f>
        <v>678</v>
      </c>
      <c r="E3402" s="9">
        <f>IFERROR(__xludf.DUMMYFUNCTION("""COMPUTED_VALUE"""),683.55)</f>
        <v>683.55</v>
      </c>
      <c r="F3402" s="9">
        <f>IFERROR(__xludf.DUMMYFUNCTION("""COMPUTED_VALUE"""),1.0421001E7)</f>
        <v>10421001</v>
      </c>
      <c r="H3402" s="27">
        <f>IFERROR(__xludf.DUMMYFUNCTION("""COMPUTED_VALUE"""),43392.64583333333)</f>
        <v>43392.64583</v>
      </c>
      <c r="I3402" s="25">
        <f>IFERROR(__xludf.DUMMYFUNCTION("""COMPUTED_VALUE"""),1929.0)</f>
        <v>1929</v>
      </c>
      <c r="J3402" s="25">
        <f>IFERROR(__xludf.DUMMYFUNCTION("""COMPUTED_VALUE"""),1929.0)</f>
        <v>1929</v>
      </c>
      <c r="K3402" s="25">
        <f>IFERROR(__xludf.DUMMYFUNCTION("""COMPUTED_VALUE"""),1870.05)</f>
        <v>1870.05</v>
      </c>
      <c r="L3402" s="25">
        <f>IFERROR(__xludf.DUMMYFUNCTION("""COMPUTED_VALUE"""),1913.2)</f>
        <v>1913.2</v>
      </c>
      <c r="M3402" s="25">
        <f>IFERROR(__xludf.DUMMYFUNCTION("""COMPUTED_VALUE"""),3428776.0)</f>
        <v>3428776</v>
      </c>
    </row>
    <row r="3403">
      <c r="A3403" s="26">
        <f>IFERROR(__xludf.DUMMYFUNCTION("""COMPUTED_VALUE"""),43395.64583333333)</f>
        <v>43395.64583</v>
      </c>
      <c r="B3403" s="9">
        <f>IFERROR(__xludf.DUMMYFUNCTION("""COMPUTED_VALUE"""),688.7)</f>
        <v>688.7</v>
      </c>
      <c r="C3403" s="9">
        <f>IFERROR(__xludf.DUMMYFUNCTION("""COMPUTED_VALUE"""),695.05)</f>
        <v>695.05</v>
      </c>
      <c r="D3403" s="9">
        <f>IFERROR(__xludf.DUMMYFUNCTION("""COMPUTED_VALUE"""),673.8)</f>
        <v>673.8</v>
      </c>
      <c r="E3403" s="9">
        <f>IFERROR(__xludf.DUMMYFUNCTION("""COMPUTED_VALUE"""),679.95)</f>
        <v>679.95</v>
      </c>
      <c r="F3403" s="9">
        <f>IFERROR(__xludf.DUMMYFUNCTION("""COMPUTED_VALUE"""),6672840.0)</f>
        <v>6672840</v>
      </c>
      <c r="H3403" s="27">
        <f>IFERROR(__xludf.DUMMYFUNCTION("""COMPUTED_VALUE"""),43395.64583333333)</f>
        <v>43395.64583</v>
      </c>
      <c r="I3403" s="25">
        <f>IFERROR(__xludf.DUMMYFUNCTION("""COMPUTED_VALUE"""),1914.0)</f>
        <v>1914</v>
      </c>
      <c r="J3403" s="25">
        <f>IFERROR(__xludf.DUMMYFUNCTION("""COMPUTED_VALUE"""),1916.0)</f>
        <v>1916</v>
      </c>
      <c r="K3403" s="25">
        <f>IFERROR(__xludf.DUMMYFUNCTION("""COMPUTED_VALUE"""),1886.95)</f>
        <v>1886.95</v>
      </c>
      <c r="L3403" s="25">
        <f>IFERROR(__xludf.DUMMYFUNCTION("""COMPUTED_VALUE"""),1903.0)</f>
        <v>1903</v>
      </c>
      <c r="M3403" s="25">
        <f>IFERROR(__xludf.DUMMYFUNCTION("""COMPUTED_VALUE"""),1778496.0)</f>
        <v>1778496</v>
      </c>
    </row>
    <row r="3404">
      <c r="A3404" s="26">
        <f>IFERROR(__xludf.DUMMYFUNCTION("""COMPUTED_VALUE"""),43396.64583333333)</f>
        <v>43396.64583</v>
      </c>
      <c r="B3404" s="9">
        <f>IFERROR(__xludf.DUMMYFUNCTION("""COMPUTED_VALUE"""),675.95)</f>
        <v>675.95</v>
      </c>
      <c r="C3404" s="9">
        <f>IFERROR(__xludf.DUMMYFUNCTION("""COMPUTED_VALUE"""),682.0)</f>
        <v>682</v>
      </c>
      <c r="D3404" s="9">
        <f>IFERROR(__xludf.DUMMYFUNCTION("""COMPUTED_VALUE"""),653.3)</f>
        <v>653.3</v>
      </c>
      <c r="E3404" s="9">
        <f>IFERROR(__xludf.DUMMYFUNCTION("""COMPUTED_VALUE"""),657.6)</f>
        <v>657.6</v>
      </c>
      <c r="F3404" s="9">
        <f>IFERROR(__xludf.DUMMYFUNCTION("""COMPUTED_VALUE"""),9041701.0)</f>
        <v>9041701</v>
      </c>
      <c r="H3404" s="27">
        <f>IFERROR(__xludf.DUMMYFUNCTION("""COMPUTED_VALUE"""),43396.64583333333)</f>
        <v>43396.64583</v>
      </c>
      <c r="I3404" s="25">
        <f>IFERROR(__xludf.DUMMYFUNCTION("""COMPUTED_VALUE"""),1888.0)</f>
        <v>1888</v>
      </c>
      <c r="J3404" s="25">
        <f>IFERROR(__xludf.DUMMYFUNCTION("""COMPUTED_VALUE"""),1898.0)</f>
        <v>1898</v>
      </c>
      <c r="K3404" s="25">
        <f>IFERROR(__xludf.DUMMYFUNCTION("""COMPUTED_VALUE"""),1837.0)</f>
        <v>1837</v>
      </c>
      <c r="L3404" s="25">
        <f>IFERROR(__xludf.DUMMYFUNCTION("""COMPUTED_VALUE"""),1843.65)</f>
        <v>1843.65</v>
      </c>
      <c r="M3404" s="25">
        <f>IFERROR(__xludf.DUMMYFUNCTION("""COMPUTED_VALUE"""),2752811.0)</f>
        <v>2752811</v>
      </c>
    </row>
    <row r="3405">
      <c r="A3405" s="26">
        <f>IFERROR(__xludf.DUMMYFUNCTION("""COMPUTED_VALUE"""),43397.64583333333)</f>
        <v>43397.64583</v>
      </c>
      <c r="B3405" s="9">
        <f>IFERROR(__xludf.DUMMYFUNCTION("""COMPUTED_VALUE"""),663.0)</f>
        <v>663</v>
      </c>
      <c r="C3405" s="9">
        <f>IFERROR(__xludf.DUMMYFUNCTION("""COMPUTED_VALUE"""),666.5)</f>
        <v>666.5</v>
      </c>
      <c r="D3405" s="9">
        <f>IFERROR(__xludf.DUMMYFUNCTION("""COMPUTED_VALUE"""),647.15)</f>
        <v>647.15</v>
      </c>
      <c r="E3405" s="9">
        <f>IFERROR(__xludf.DUMMYFUNCTION("""COMPUTED_VALUE"""),649.8)</f>
        <v>649.8</v>
      </c>
      <c r="F3405" s="9">
        <f>IFERROR(__xludf.DUMMYFUNCTION("""COMPUTED_VALUE"""),7058164.0)</f>
        <v>7058164</v>
      </c>
      <c r="H3405" s="27">
        <f>IFERROR(__xludf.DUMMYFUNCTION("""COMPUTED_VALUE"""),43397.64583333333)</f>
        <v>43397.64583</v>
      </c>
      <c r="I3405" s="25">
        <f>IFERROR(__xludf.DUMMYFUNCTION("""COMPUTED_VALUE"""),1852.05)</f>
        <v>1852.05</v>
      </c>
      <c r="J3405" s="25">
        <f>IFERROR(__xludf.DUMMYFUNCTION("""COMPUTED_VALUE"""),1874.0)</f>
        <v>1874</v>
      </c>
      <c r="K3405" s="25">
        <f>IFERROR(__xludf.DUMMYFUNCTION("""COMPUTED_VALUE"""),1811.1)</f>
        <v>1811.1</v>
      </c>
      <c r="L3405" s="25">
        <f>IFERROR(__xludf.DUMMYFUNCTION("""COMPUTED_VALUE"""),1848.5)</f>
        <v>1848.5</v>
      </c>
      <c r="M3405" s="25">
        <f>IFERROR(__xludf.DUMMYFUNCTION("""COMPUTED_VALUE"""),2735913.0)</f>
        <v>2735913</v>
      </c>
    </row>
    <row r="3406">
      <c r="A3406" s="26">
        <f>IFERROR(__xludf.DUMMYFUNCTION("""COMPUTED_VALUE"""),43398.64583333333)</f>
        <v>43398.64583</v>
      </c>
      <c r="B3406" s="9">
        <f>IFERROR(__xludf.DUMMYFUNCTION("""COMPUTED_VALUE"""),643.0)</f>
        <v>643</v>
      </c>
      <c r="C3406" s="9">
        <f>IFERROR(__xludf.DUMMYFUNCTION("""COMPUTED_VALUE"""),656.35)</f>
        <v>656.35</v>
      </c>
      <c r="D3406" s="9">
        <f>IFERROR(__xludf.DUMMYFUNCTION("""COMPUTED_VALUE"""),636.25)</f>
        <v>636.25</v>
      </c>
      <c r="E3406" s="9">
        <f>IFERROR(__xludf.DUMMYFUNCTION("""COMPUTED_VALUE"""),648.75)</f>
        <v>648.75</v>
      </c>
      <c r="F3406" s="9">
        <f>IFERROR(__xludf.DUMMYFUNCTION("""COMPUTED_VALUE"""),8270469.0)</f>
        <v>8270469</v>
      </c>
      <c r="H3406" s="27">
        <f>IFERROR(__xludf.DUMMYFUNCTION("""COMPUTED_VALUE"""),43398.64583333333)</f>
        <v>43398.64583</v>
      </c>
      <c r="I3406" s="25">
        <f>IFERROR(__xludf.DUMMYFUNCTION("""COMPUTED_VALUE"""),1844.0)</f>
        <v>1844</v>
      </c>
      <c r="J3406" s="25">
        <f>IFERROR(__xludf.DUMMYFUNCTION("""COMPUTED_VALUE"""),1876.9)</f>
        <v>1876.9</v>
      </c>
      <c r="K3406" s="25">
        <f>IFERROR(__xludf.DUMMYFUNCTION("""COMPUTED_VALUE"""),1825.05)</f>
        <v>1825.05</v>
      </c>
      <c r="L3406" s="25">
        <f>IFERROR(__xludf.DUMMYFUNCTION("""COMPUTED_VALUE"""),1853.0)</f>
        <v>1853</v>
      </c>
      <c r="M3406" s="25">
        <f>IFERROR(__xludf.DUMMYFUNCTION("""COMPUTED_VALUE"""),2507233.0)</f>
        <v>2507233</v>
      </c>
    </row>
    <row r="3407">
      <c r="A3407" s="26">
        <f>IFERROR(__xludf.DUMMYFUNCTION("""COMPUTED_VALUE"""),43399.64583333333)</f>
        <v>43399.64583</v>
      </c>
      <c r="B3407" s="9">
        <f>IFERROR(__xludf.DUMMYFUNCTION("""COMPUTED_VALUE"""),645.3)</f>
        <v>645.3</v>
      </c>
      <c r="C3407" s="9">
        <f>IFERROR(__xludf.DUMMYFUNCTION("""COMPUTED_VALUE"""),648.7)</f>
        <v>648.7</v>
      </c>
      <c r="D3407" s="9">
        <f>IFERROR(__xludf.DUMMYFUNCTION("""COMPUTED_VALUE"""),629.9)</f>
        <v>629.9</v>
      </c>
      <c r="E3407" s="9">
        <f>IFERROR(__xludf.DUMMYFUNCTION("""COMPUTED_VALUE"""),633.6)</f>
        <v>633.6</v>
      </c>
      <c r="F3407" s="9">
        <f>IFERROR(__xludf.DUMMYFUNCTION("""COMPUTED_VALUE"""),5464141.0)</f>
        <v>5464141</v>
      </c>
      <c r="H3407" s="27">
        <f>IFERROR(__xludf.DUMMYFUNCTION("""COMPUTED_VALUE"""),43399.64583333333)</f>
        <v>43399.64583</v>
      </c>
      <c r="I3407" s="25">
        <f>IFERROR(__xludf.DUMMYFUNCTION("""COMPUTED_VALUE"""),1853.9)</f>
        <v>1853.9</v>
      </c>
      <c r="J3407" s="25">
        <f>IFERROR(__xludf.DUMMYFUNCTION("""COMPUTED_VALUE"""),1853.9)</f>
        <v>1853.9</v>
      </c>
      <c r="K3407" s="25">
        <f>IFERROR(__xludf.DUMMYFUNCTION("""COMPUTED_VALUE"""),1791.1)</f>
        <v>1791.1</v>
      </c>
      <c r="L3407" s="25">
        <f>IFERROR(__xludf.DUMMYFUNCTION("""COMPUTED_VALUE"""),1799.1)</f>
        <v>1799.1</v>
      </c>
      <c r="M3407" s="25">
        <f>IFERROR(__xludf.DUMMYFUNCTION("""COMPUTED_VALUE"""),2285970.0)</f>
        <v>2285970</v>
      </c>
    </row>
    <row r="3408">
      <c r="A3408" s="26">
        <f>IFERROR(__xludf.DUMMYFUNCTION("""COMPUTED_VALUE"""),43402.64583333333)</f>
        <v>43402.64583</v>
      </c>
      <c r="B3408" s="9">
        <f>IFERROR(__xludf.DUMMYFUNCTION("""COMPUTED_VALUE"""),633.7)</f>
        <v>633.7</v>
      </c>
      <c r="C3408" s="9">
        <f>IFERROR(__xludf.DUMMYFUNCTION("""COMPUTED_VALUE"""),650.55)</f>
        <v>650.55</v>
      </c>
      <c r="D3408" s="9">
        <f>IFERROR(__xludf.DUMMYFUNCTION("""COMPUTED_VALUE"""),631.5)</f>
        <v>631.5</v>
      </c>
      <c r="E3408" s="9">
        <f>IFERROR(__xludf.DUMMYFUNCTION("""COMPUTED_VALUE"""),644.75)</f>
        <v>644.75</v>
      </c>
      <c r="F3408" s="9">
        <f>IFERROR(__xludf.DUMMYFUNCTION("""COMPUTED_VALUE"""),7137446.0)</f>
        <v>7137446</v>
      </c>
      <c r="H3408" s="27">
        <f>IFERROR(__xludf.DUMMYFUNCTION("""COMPUTED_VALUE"""),43402.64583333333)</f>
        <v>43402.64583</v>
      </c>
      <c r="I3408" s="25">
        <f>IFERROR(__xludf.DUMMYFUNCTION("""COMPUTED_VALUE"""),1808.7)</f>
        <v>1808.7</v>
      </c>
      <c r="J3408" s="25">
        <f>IFERROR(__xludf.DUMMYFUNCTION("""COMPUTED_VALUE"""),1877.95)</f>
        <v>1877.95</v>
      </c>
      <c r="K3408" s="25">
        <f>IFERROR(__xludf.DUMMYFUNCTION("""COMPUTED_VALUE"""),1784.35)</f>
        <v>1784.35</v>
      </c>
      <c r="L3408" s="25">
        <f>IFERROR(__xludf.DUMMYFUNCTION("""COMPUTED_VALUE"""),1871.0)</f>
        <v>1871</v>
      </c>
      <c r="M3408" s="25">
        <f>IFERROR(__xludf.DUMMYFUNCTION("""COMPUTED_VALUE"""),2609483.0)</f>
        <v>2609483</v>
      </c>
    </row>
    <row r="3409">
      <c r="A3409" s="26">
        <f>IFERROR(__xludf.DUMMYFUNCTION("""COMPUTED_VALUE"""),43403.64583333333)</f>
        <v>43403.64583</v>
      </c>
      <c r="B3409" s="9">
        <f>IFERROR(__xludf.DUMMYFUNCTION("""COMPUTED_VALUE"""),641.1)</f>
        <v>641.1</v>
      </c>
      <c r="C3409" s="9">
        <f>IFERROR(__xludf.DUMMYFUNCTION("""COMPUTED_VALUE"""),663.8)</f>
        <v>663.8</v>
      </c>
      <c r="D3409" s="9">
        <f>IFERROR(__xludf.DUMMYFUNCTION("""COMPUTED_VALUE"""),637.45)</f>
        <v>637.45</v>
      </c>
      <c r="E3409" s="9">
        <f>IFERROR(__xludf.DUMMYFUNCTION("""COMPUTED_VALUE"""),659.6)</f>
        <v>659.6</v>
      </c>
      <c r="F3409" s="9">
        <f>IFERROR(__xludf.DUMMYFUNCTION("""COMPUTED_VALUE"""),8793411.0)</f>
        <v>8793411</v>
      </c>
      <c r="H3409" s="27">
        <f>IFERROR(__xludf.DUMMYFUNCTION("""COMPUTED_VALUE"""),43403.64583333333)</f>
        <v>43403.64583</v>
      </c>
      <c r="I3409" s="25">
        <f>IFERROR(__xludf.DUMMYFUNCTION("""COMPUTED_VALUE"""),1867.0)</f>
        <v>1867</v>
      </c>
      <c r="J3409" s="25">
        <f>IFERROR(__xludf.DUMMYFUNCTION("""COMPUTED_VALUE"""),1909.4)</f>
        <v>1909.4</v>
      </c>
      <c r="K3409" s="25">
        <f>IFERROR(__xludf.DUMMYFUNCTION("""COMPUTED_VALUE"""),1845.0)</f>
        <v>1845</v>
      </c>
      <c r="L3409" s="25">
        <f>IFERROR(__xludf.DUMMYFUNCTION("""COMPUTED_VALUE"""),1894.8)</f>
        <v>1894.8</v>
      </c>
      <c r="M3409" s="25">
        <f>IFERROR(__xludf.DUMMYFUNCTION("""COMPUTED_VALUE"""),2404883.0)</f>
        <v>2404883</v>
      </c>
    </row>
    <row r="3410">
      <c r="A3410" s="26">
        <f>IFERROR(__xludf.DUMMYFUNCTION("""COMPUTED_VALUE"""),43404.64583333333)</f>
        <v>43404.64583</v>
      </c>
      <c r="B3410" s="9">
        <f>IFERROR(__xludf.DUMMYFUNCTION("""COMPUTED_VALUE"""),663.9)</f>
        <v>663.9</v>
      </c>
      <c r="C3410" s="9">
        <f>IFERROR(__xludf.DUMMYFUNCTION("""COMPUTED_VALUE"""),692.95)</f>
        <v>692.95</v>
      </c>
      <c r="D3410" s="9">
        <f>IFERROR(__xludf.DUMMYFUNCTION("""COMPUTED_VALUE"""),663.05)</f>
        <v>663.05</v>
      </c>
      <c r="E3410" s="9">
        <f>IFERROR(__xludf.DUMMYFUNCTION("""COMPUTED_VALUE"""),686.4)</f>
        <v>686.4</v>
      </c>
      <c r="F3410" s="9">
        <f>IFERROR(__xludf.DUMMYFUNCTION("""COMPUTED_VALUE"""),1.1947995E7)</f>
        <v>11947995</v>
      </c>
      <c r="H3410" s="27">
        <f>IFERROR(__xludf.DUMMYFUNCTION("""COMPUTED_VALUE"""),43404.64583333333)</f>
        <v>43404.64583</v>
      </c>
      <c r="I3410" s="25">
        <f>IFERROR(__xludf.DUMMYFUNCTION("""COMPUTED_VALUE"""),1900.0)</f>
        <v>1900</v>
      </c>
      <c r="J3410" s="25">
        <f>IFERROR(__xludf.DUMMYFUNCTION("""COMPUTED_VALUE"""),1943.9)</f>
        <v>1943.9</v>
      </c>
      <c r="K3410" s="25">
        <f>IFERROR(__xludf.DUMMYFUNCTION("""COMPUTED_VALUE"""),1875.45)</f>
        <v>1875.45</v>
      </c>
      <c r="L3410" s="25">
        <f>IFERROR(__xludf.DUMMYFUNCTION("""COMPUTED_VALUE"""),1938.15)</f>
        <v>1938.15</v>
      </c>
      <c r="M3410" s="25">
        <f>IFERROR(__xludf.DUMMYFUNCTION("""COMPUTED_VALUE"""),2769190.0)</f>
        <v>2769190</v>
      </c>
    </row>
    <row r="3411">
      <c r="A3411" s="26">
        <f>IFERROR(__xludf.DUMMYFUNCTION("""COMPUTED_VALUE"""),43405.64583333333)</f>
        <v>43405.64583</v>
      </c>
      <c r="B3411" s="9">
        <f>IFERROR(__xludf.DUMMYFUNCTION("""COMPUTED_VALUE"""),689.7)</f>
        <v>689.7</v>
      </c>
      <c r="C3411" s="9">
        <f>IFERROR(__xludf.DUMMYFUNCTION("""COMPUTED_VALUE"""),689.7)</f>
        <v>689.7</v>
      </c>
      <c r="D3411" s="9">
        <f>IFERROR(__xludf.DUMMYFUNCTION("""COMPUTED_VALUE"""),659.6)</f>
        <v>659.6</v>
      </c>
      <c r="E3411" s="9">
        <f>IFERROR(__xludf.DUMMYFUNCTION("""COMPUTED_VALUE"""),666.7)</f>
        <v>666.7</v>
      </c>
      <c r="F3411" s="9">
        <f>IFERROR(__xludf.DUMMYFUNCTION("""COMPUTED_VALUE"""),5860244.0)</f>
        <v>5860244</v>
      </c>
      <c r="H3411" s="27">
        <f>IFERROR(__xludf.DUMMYFUNCTION("""COMPUTED_VALUE"""),43405.64583333333)</f>
        <v>43405.64583</v>
      </c>
      <c r="I3411" s="25">
        <f>IFERROR(__xludf.DUMMYFUNCTION("""COMPUTED_VALUE"""),1943.65)</f>
        <v>1943.65</v>
      </c>
      <c r="J3411" s="25">
        <f>IFERROR(__xludf.DUMMYFUNCTION("""COMPUTED_VALUE"""),1944.35)</f>
        <v>1944.35</v>
      </c>
      <c r="K3411" s="25">
        <f>IFERROR(__xludf.DUMMYFUNCTION("""COMPUTED_VALUE"""),1901.3)</f>
        <v>1901.3</v>
      </c>
      <c r="L3411" s="25">
        <f>IFERROR(__xludf.DUMMYFUNCTION("""COMPUTED_VALUE"""),1935.75)</f>
        <v>1935.75</v>
      </c>
      <c r="M3411" s="25">
        <f>IFERROR(__xludf.DUMMYFUNCTION("""COMPUTED_VALUE"""),2769759.0)</f>
        <v>2769759</v>
      </c>
    </row>
    <row r="3412">
      <c r="A3412" s="26">
        <f>IFERROR(__xludf.DUMMYFUNCTION("""COMPUTED_VALUE"""),43406.64583333333)</f>
        <v>43406.64583</v>
      </c>
      <c r="B3412" s="9">
        <f>IFERROR(__xludf.DUMMYFUNCTION("""COMPUTED_VALUE"""),665.95)</f>
        <v>665.95</v>
      </c>
      <c r="C3412" s="9">
        <f>IFERROR(__xludf.DUMMYFUNCTION("""COMPUTED_VALUE"""),675.8)</f>
        <v>675.8</v>
      </c>
      <c r="D3412" s="9">
        <f>IFERROR(__xludf.DUMMYFUNCTION("""COMPUTED_VALUE"""),660.1)</f>
        <v>660.1</v>
      </c>
      <c r="E3412" s="9">
        <f>IFERROR(__xludf.DUMMYFUNCTION("""COMPUTED_VALUE"""),662.25)</f>
        <v>662.25</v>
      </c>
      <c r="F3412" s="9">
        <f>IFERROR(__xludf.DUMMYFUNCTION("""COMPUTED_VALUE"""),6654067.0)</f>
        <v>6654067</v>
      </c>
      <c r="H3412" s="27">
        <f>IFERROR(__xludf.DUMMYFUNCTION("""COMPUTED_VALUE"""),43406.64583333333)</f>
        <v>43406.64583</v>
      </c>
      <c r="I3412" s="25">
        <f>IFERROR(__xludf.DUMMYFUNCTION("""COMPUTED_VALUE"""),1934.2)</f>
        <v>1934.2</v>
      </c>
      <c r="J3412" s="25">
        <f>IFERROR(__xludf.DUMMYFUNCTION("""COMPUTED_VALUE"""),1954.6)</f>
        <v>1954.6</v>
      </c>
      <c r="K3412" s="25">
        <f>IFERROR(__xludf.DUMMYFUNCTION("""COMPUTED_VALUE"""),1905.0)</f>
        <v>1905</v>
      </c>
      <c r="L3412" s="25">
        <f>IFERROR(__xludf.DUMMYFUNCTION("""COMPUTED_VALUE"""),1913.45)</f>
        <v>1913.45</v>
      </c>
      <c r="M3412" s="25">
        <f>IFERROR(__xludf.DUMMYFUNCTION("""COMPUTED_VALUE"""),1818635.0)</f>
        <v>1818635</v>
      </c>
    </row>
    <row r="3413">
      <c r="A3413" s="26">
        <f>IFERROR(__xludf.DUMMYFUNCTION("""COMPUTED_VALUE"""),43409.79166666667)</f>
        <v>43409.79167</v>
      </c>
      <c r="B3413" s="9">
        <f>IFERROR(__xludf.DUMMYFUNCTION("""COMPUTED_VALUE"""),663.5)</f>
        <v>663.5</v>
      </c>
      <c r="C3413" s="9">
        <f>IFERROR(__xludf.DUMMYFUNCTION("""COMPUTED_VALUE"""),668.6)</f>
        <v>668.6</v>
      </c>
      <c r="D3413" s="9">
        <f>IFERROR(__xludf.DUMMYFUNCTION("""COMPUTED_VALUE"""),657.0)</f>
        <v>657</v>
      </c>
      <c r="E3413" s="9">
        <f>IFERROR(__xludf.DUMMYFUNCTION("""COMPUTED_VALUE"""),663.7)</f>
        <v>663.7</v>
      </c>
      <c r="F3413" s="9">
        <f>IFERROR(__xludf.DUMMYFUNCTION("""COMPUTED_VALUE"""),5799426.0)</f>
        <v>5799426</v>
      </c>
      <c r="H3413" s="27">
        <f>IFERROR(__xludf.DUMMYFUNCTION("""COMPUTED_VALUE"""),43409.79166666667)</f>
        <v>43409.79167</v>
      </c>
      <c r="I3413" s="25">
        <f>IFERROR(__xludf.DUMMYFUNCTION("""COMPUTED_VALUE"""),1910.0)</f>
        <v>1910</v>
      </c>
      <c r="J3413" s="25">
        <f>IFERROR(__xludf.DUMMYFUNCTION("""COMPUTED_VALUE"""),1927.35)</f>
        <v>1927.35</v>
      </c>
      <c r="K3413" s="25">
        <f>IFERROR(__xludf.DUMMYFUNCTION("""COMPUTED_VALUE"""),1884.75)</f>
        <v>1884.75</v>
      </c>
      <c r="L3413" s="25">
        <f>IFERROR(__xludf.DUMMYFUNCTION("""COMPUTED_VALUE"""),1894.0)</f>
        <v>1894</v>
      </c>
      <c r="M3413" s="25">
        <f>IFERROR(__xludf.DUMMYFUNCTION("""COMPUTED_VALUE"""),1713366.0)</f>
        <v>1713366</v>
      </c>
    </row>
    <row r="3414">
      <c r="A3414" s="26">
        <f>IFERROR(__xludf.DUMMYFUNCTION("""COMPUTED_VALUE"""),43410.64583333333)</f>
        <v>43410.64583</v>
      </c>
      <c r="B3414" s="9">
        <f>IFERROR(__xludf.DUMMYFUNCTION("""COMPUTED_VALUE"""),667.9)</f>
        <v>667.9</v>
      </c>
      <c r="C3414" s="9">
        <f>IFERROR(__xludf.DUMMYFUNCTION("""COMPUTED_VALUE"""),675.0)</f>
        <v>675</v>
      </c>
      <c r="D3414" s="9">
        <f>IFERROR(__xludf.DUMMYFUNCTION("""COMPUTED_VALUE"""),660.65)</f>
        <v>660.65</v>
      </c>
      <c r="E3414" s="9">
        <f>IFERROR(__xludf.DUMMYFUNCTION("""COMPUTED_VALUE"""),666.45)</f>
        <v>666.45</v>
      </c>
      <c r="F3414" s="9">
        <f>IFERROR(__xludf.DUMMYFUNCTION("""COMPUTED_VALUE"""),6975525.0)</f>
        <v>6975525</v>
      </c>
      <c r="H3414" s="27">
        <f>IFERROR(__xludf.DUMMYFUNCTION("""COMPUTED_VALUE"""),43410.64583333333)</f>
        <v>43410.64583</v>
      </c>
      <c r="I3414" s="25">
        <f>IFERROR(__xludf.DUMMYFUNCTION("""COMPUTED_VALUE"""),1894.0)</f>
        <v>1894</v>
      </c>
      <c r="J3414" s="25">
        <f>IFERROR(__xludf.DUMMYFUNCTION("""COMPUTED_VALUE"""),1937.5)</f>
        <v>1937.5</v>
      </c>
      <c r="K3414" s="25">
        <f>IFERROR(__xludf.DUMMYFUNCTION("""COMPUTED_VALUE"""),1891.0)</f>
        <v>1891</v>
      </c>
      <c r="L3414" s="25">
        <f>IFERROR(__xludf.DUMMYFUNCTION("""COMPUTED_VALUE"""),1932.7)</f>
        <v>1932.7</v>
      </c>
      <c r="M3414" s="25">
        <f>IFERROR(__xludf.DUMMYFUNCTION("""COMPUTED_VALUE"""),1398710.0)</f>
        <v>1398710</v>
      </c>
    </row>
    <row r="3415">
      <c r="A3415" s="26">
        <f>IFERROR(__xludf.DUMMYFUNCTION("""COMPUTED_VALUE"""),43413.64583333333)</f>
        <v>43413.64583</v>
      </c>
      <c r="B3415" s="9">
        <f>IFERROR(__xludf.DUMMYFUNCTION("""COMPUTED_VALUE"""),679.0)</f>
        <v>679</v>
      </c>
      <c r="C3415" s="9">
        <f>IFERROR(__xludf.DUMMYFUNCTION("""COMPUTED_VALUE"""),679.0)</f>
        <v>679</v>
      </c>
      <c r="D3415" s="9">
        <f>IFERROR(__xludf.DUMMYFUNCTION("""COMPUTED_VALUE"""),655.5)</f>
        <v>655.5</v>
      </c>
      <c r="E3415" s="9">
        <f>IFERROR(__xludf.DUMMYFUNCTION("""COMPUTED_VALUE"""),659.5)</f>
        <v>659.5</v>
      </c>
      <c r="F3415" s="9">
        <f>IFERROR(__xludf.DUMMYFUNCTION("""COMPUTED_VALUE"""),9694143.0)</f>
        <v>9694143</v>
      </c>
      <c r="H3415" s="27">
        <f>IFERROR(__xludf.DUMMYFUNCTION("""COMPUTED_VALUE"""),43413.64583333333)</f>
        <v>43413.64583</v>
      </c>
      <c r="I3415" s="25">
        <f>IFERROR(__xludf.DUMMYFUNCTION("""COMPUTED_VALUE"""),1961.0)</f>
        <v>1961</v>
      </c>
      <c r="J3415" s="25">
        <f>IFERROR(__xludf.DUMMYFUNCTION("""COMPUTED_VALUE"""),1961.95)</f>
        <v>1961.95</v>
      </c>
      <c r="K3415" s="25">
        <f>IFERROR(__xludf.DUMMYFUNCTION("""COMPUTED_VALUE"""),1905.0)</f>
        <v>1905</v>
      </c>
      <c r="L3415" s="25">
        <f>IFERROR(__xludf.DUMMYFUNCTION("""COMPUTED_VALUE"""),1909.2)</f>
        <v>1909.2</v>
      </c>
      <c r="M3415" s="25">
        <f>IFERROR(__xludf.DUMMYFUNCTION("""COMPUTED_VALUE"""),2570479.0)</f>
        <v>2570479</v>
      </c>
    </row>
    <row r="3416">
      <c r="A3416" s="26">
        <f>IFERROR(__xludf.DUMMYFUNCTION("""COMPUTED_VALUE"""),43416.64583333333)</f>
        <v>43416.64583</v>
      </c>
      <c r="B3416" s="9">
        <f>IFERROR(__xludf.DUMMYFUNCTION("""COMPUTED_VALUE"""),666.0)</f>
        <v>666</v>
      </c>
      <c r="C3416" s="9">
        <f>IFERROR(__xludf.DUMMYFUNCTION("""COMPUTED_VALUE"""),676.4)</f>
        <v>676.4</v>
      </c>
      <c r="D3416" s="9">
        <f>IFERROR(__xludf.DUMMYFUNCTION("""COMPUTED_VALUE"""),662.3)</f>
        <v>662.3</v>
      </c>
      <c r="E3416" s="9">
        <f>IFERROR(__xludf.DUMMYFUNCTION("""COMPUTED_VALUE"""),664.2)</f>
        <v>664.2</v>
      </c>
      <c r="F3416" s="9">
        <f>IFERROR(__xludf.DUMMYFUNCTION("""COMPUTED_VALUE"""),7118080.0)</f>
        <v>7118080</v>
      </c>
      <c r="H3416" s="27">
        <f>IFERROR(__xludf.DUMMYFUNCTION("""COMPUTED_VALUE"""),43416.64583333333)</f>
        <v>43416.64583</v>
      </c>
      <c r="I3416" s="25">
        <f>IFERROR(__xludf.DUMMYFUNCTION("""COMPUTED_VALUE"""),1908.5)</f>
        <v>1908.5</v>
      </c>
      <c r="J3416" s="25">
        <f>IFERROR(__xludf.DUMMYFUNCTION("""COMPUTED_VALUE"""),1946.1)</f>
        <v>1946.1</v>
      </c>
      <c r="K3416" s="25">
        <f>IFERROR(__xludf.DUMMYFUNCTION("""COMPUTED_VALUE"""),1908.5)</f>
        <v>1908.5</v>
      </c>
      <c r="L3416" s="25">
        <f>IFERROR(__xludf.DUMMYFUNCTION("""COMPUTED_VALUE"""),1914.85)</f>
        <v>1914.85</v>
      </c>
      <c r="M3416" s="25">
        <f>IFERROR(__xludf.DUMMYFUNCTION("""COMPUTED_VALUE"""),2552008.0)</f>
        <v>2552008</v>
      </c>
    </row>
    <row r="3417">
      <c r="A3417" s="26">
        <f>IFERROR(__xludf.DUMMYFUNCTION("""COMPUTED_VALUE"""),43417.64583333333)</f>
        <v>43417.64583</v>
      </c>
      <c r="B3417" s="9">
        <f>IFERROR(__xludf.DUMMYFUNCTION("""COMPUTED_VALUE"""),663.5)</f>
        <v>663.5</v>
      </c>
      <c r="C3417" s="9">
        <f>IFERROR(__xludf.DUMMYFUNCTION("""COMPUTED_VALUE"""),667.75)</f>
        <v>667.75</v>
      </c>
      <c r="D3417" s="9">
        <f>IFERROR(__xludf.DUMMYFUNCTION("""COMPUTED_VALUE"""),656.3)</f>
        <v>656.3</v>
      </c>
      <c r="E3417" s="9">
        <f>IFERROR(__xludf.DUMMYFUNCTION("""COMPUTED_VALUE"""),665.7)</f>
        <v>665.7</v>
      </c>
      <c r="F3417" s="9">
        <f>IFERROR(__xludf.DUMMYFUNCTION("""COMPUTED_VALUE"""),4137808.0)</f>
        <v>4137808</v>
      </c>
      <c r="H3417" s="27">
        <f>IFERROR(__xludf.DUMMYFUNCTION("""COMPUTED_VALUE"""),43417.64583333333)</f>
        <v>43417.64583</v>
      </c>
      <c r="I3417" s="25">
        <f>IFERROR(__xludf.DUMMYFUNCTION("""COMPUTED_VALUE"""),1915.0)</f>
        <v>1915</v>
      </c>
      <c r="J3417" s="25">
        <f>IFERROR(__xludf.DUMMYFUNCTION("""COMPUTED_VALUE"""),1939.0)</f>
        <v>1939</v>
      </c>
      <c r="K3417" s="25">
        <f>IFERROR(__xludf.DUMMYFUNCTION("""COMPUTED_VALUE"""),1903.0)</f>
        <v>1903</v>
      </c>
      <c r="L3417" s="25">
        <f>IFERROR(__xludf.DUMMYFUNCTION("""COMPUTED_VALUE"""),1934.95)</f>
        <v>1934.95</v>
      </c>
      <c r="M3417" s="25">
        <f>IFERROR(__xludf.DUMMYFUNCTION("""COMPUTED_VALUE"""),1418432.0)</f>
        <v>1418432</v>
      </c>
    </row>
    <row r="3418">
      <c r="A3418" s="26">
        <f>IFERROR(__xludf.DUMMYFUNCTION("""COMPUTED_VALUE"""),43418.64583333333)</f>
        <v>43418.64583</v>
      </c>
      <c r="B3418" s="9">
        <f>IFERROR(__xludf.DUMMYFUNCTION("""COMPUTED_VALUE"""),665.7)</f>
        <v>665.7</v>
      </c>
      <c r="C3418" s="9">
        <f>IFERROR(__xludf.DUMMYFUNCTION("""COMPUTED_VALUE"""),665.7)</f>
        <v>665.7</v>
      </c>
      <c r="D3418" s="9">
        <f>IFERROR(__xludf.DUMMYFUNCTION("""COMPUTED_VALUE"""),640.5)</f>
        <v>640.5</v>
      </c>
      <c r="E3418" s="9">
        <f>IFERROR(__xludf.DUMMYFUNCTION("""COMPUTED_VALUE"""),653.2)</f>
        <v>653.2</v>
      </c>
      <c r="F3418" s="9">
        <f>IFERROR(__xludf.DUMMYFUNCTION("""COMPUTED_VALUE"""),7323026.0)</f>
        <v>7323026</v>
      </c>
      <c r="H3418" s="27">
        <f>IFERROR(__xludf.DUMMYFUNCTION("""COMPUTED_VALUE"""),43418.64583333333)</f>
        <v>43418.64583</v>
      </c>
      <c r="I3418" s="25">
        <f>IFERROR(__xludf.DUMMYFUNCTION("""COMPUTED_VALUE"""),1925.0)</f>
        <v>1925</v>
      </c>
      <c r="J3418" s="25">
        <f>IFERROR(__xludf.DUMMYFUNCTION("""COMPUTED_VALUE"""),1929.9)</f>
        <v>1929.9</v>
      </c>
      <c r="K3418" s="25">
        <f>IFERROR(__xludf.DUMMYFUNCTION("""COMPUTED_VALUE"""),1870.0)</f>
        <v>1870</v>
      </c>
      <c r="L3418" s="25">
        <f>IFERROR(__xludf.DUMMYFUNCTION("""COMPUTED_VALUE"""),1880.65)</f>
        <v>1880.65</v>
      </c>
      <c r="M3418" s="25">
        <f>IFERROR(__xludf.DUMMYFUNCTION("""COMPUTED_VALUE"""),2422318.0)</f>
        <v>2422318</v>
      </c>
    </row>
    <row r="3419">
      <c r="A3419" s="26">
        <f>IFERROR(__xludf.DUMMYFUNCTION("""COMPUTED_VALUE"""),43419.64583333333)</f>
        <v>43419.64583</v>
      </c>
      <c r="B3419" s="9">
        <f>IFERROR(__xludf.DUMMYFUNCTION("""COMPUTED_VALUE"""),654.0)</f>
        <v>654</v>
      </c>
      <c r="C3419" s="9">
        <f>IFERROR(__xludf.DUMMYFUNCTION("""COMPUTED_VALUE"""),666.0)</f>
        <v>666</v>
      </c>
      <c r="D3419" s="9">
        <f>IFERROR(__xludf.DUMMYFUNCTION("""COMPUTED_VALUE"""),646.7)</f>
        <v>646.7</v>
      </c>
      <c r="E3419" s="9">
        <f>IFERROR(__xludf.DUMMYFUNCTION("""COMPUTED_VALUE"""),656.4)</f>
        <v>656.4</v>
      </c>
      <c r="F3419" s="9">
        <f>IFERROR(__xludf.DUMMYFUNCTION("""COMPUTED_VALUE"""),5513390.0)</f>
        <v>5513390</v>
      </c>
      <c r="H3419" s="27">
        <f>IFERROR(__xludf.DUMMYFUNCTION("""COMPUTED_VALUE"""),43419.64583333333)</f>
        <v>43419.64583</v>
      </c>
      <c r="I3419" s="25">
        <f>IFERROR(__xludf.DUMMYFUNCTION("""COMPUTED_VALUE"""),1864.0)</f>
        <v>1864</v>
      </c>
      <c r="J3419" s="25">
        <f>IFERROR(__xludf.DUMMYFUNCTION("""COMPUTED_VALUE"""),1899.0)</f>
        <v>1899</v>
      </c>
      <c r="K3419" s="25">
        <f>IFERROR(__xludf.DUMMYFUNCTION("""COMPUTED_VALUE"""),1857.6)</f>
        <v>1857.6</v>
      </c>
      <c r="L3419" s="25">
        <f>IFERROR(__xludf.DUMMYFUNCTION("""COMPUTED_VALUE"""),1872.85)</f>
        <v>1872.85</v>
      </c>
      <c r="M3419" s="25">
        <f>IFERROR(__xludf.DUMMYFUNCTION("""COMPUTED_VALUE"""),1829123.0)</f>
        <v>1829123</v>
      </c>
    </row>
    <row r="3420">
      <c r="A3420" s="26">
        <f>IFERROR(__xludf.DUMMYFUNCTION("""COMPUTED_VALUE"""),43420.64583333333)</f>
        <v>43420.64583</v>
      </c>
      <c r="B3420" s="9">
        <f>IFERROR(__xludf.DUMMYFUNCTION("""COMPUTED_VALUE"""),659.9)</f>
        <v>659.9</v>
      </c>
      <c r="C3420" s="9">
        <f>IFERROR(__xludf.DUMMYFUNCTION("""COMPUTED_VALUE"""),662.5)</f>
        <v>662.5</v>
      </c>
      <c r="D3420" s="9">
        <f>IFERROR(__xludf.DUMMYFUNCTION("""COMPUTED_VALUE"""),644.2)</f>
        <v>644.2</v>
      </c>
      <c r="E3420" s="9">
        <f>IFERROR(__xludf.DUMMYFUNCTION("""COMPUTED_VALUE"""),650.85)</f>
        <v>650.85</v>
      </c>
      <c r="F3420" s="9">
        <f>IFERROR(__xludf.DUMMYFUNCTION("""COMPUTED_VALUE"""),8583785.0)</f>
        <v>8583785</v>
      </c>
      <c r="H3420" s="27">
        <f>IFERROR(__xludf.DUMMYFUNCTION("""COMPUTED_VALUE"""),43420.64583333333)</f>
        <v>43420.64583</v>
      </c>
      <c r="I3420" s="25">
        <f>IFERROR(__xludf.DUMMYFUNCTION("""COMPUTED_VALUE"""),1889.0)</f>
        <v>1889</v>
      </c>
      <c r="J3420" s="25">
        <f>IFERROR(__xludf.DUMMYFUNCTION("""COMPUTED_VALUE"""),1899.8)</f>
        <v>1899.8</v>
      </c>
      <c r="K3420" s="25">
        <f>IFERROR(__xludf.DUMMYFUNCTION("""COMPUTED_VALUE"""),1870.25)</f>
        <v>1870.25</v>
      </c>
      <c r="L3420" s="25">
        <f>IFERROR(__xludf.DUMMYFUNCTION("""COMPUTED_VALUE"""),1886.6)</f>
        <v>1886.6</v>
      </c>
      <c r="M3420" s="25">
        <f>IFERROR(__xludf.DUMMYFUNCTION("""COMPUTED_VALUE"""),1829729.0)</f>
        <v>1829729</v>
      </c>
    </row>
    <row r="3421">
      <c r="A3421" s="26">
        <f>IFERROR(__xludf.DUMMYFUNCTION("""COMPUTED_VALUE"""),43423.64583333333)</f>
        <v>43423.64583</v>
      </c>
      <c r="B3421" s="9">
        <f>IFERROR(__xludf.DUMMYFUNCTION("""COMPUTED_VALUE"""),659.0)</f>
        <v>659</v>
      </c>
      <c r="C3421" s="9">
        <f>IFERROR(__xludf.DUMMYFUNCTION("""COMPUTED_VALUE"""),662.0)</f>
        <v>662</v>
      </c>
      <c r="D3421" s="9">
        <f>IFERROR(__xludf.DUMMYFUNCTION("""COMPUTED_VALUE"""),649.25)</f>
        <v>649.25</v>
      </c>
      <c r="E3421" s="9">
        <f>IFERROR(__xludf.DUMMYFUNCTION("""COMPUTED_VALUE"""),651.7)</f>
        <v>651.7</v>
      </c>
      <c r="F3421" s="9">
        <f>IFERROR(__xludf.DUMMYFUNCTION("""COMPUTED_VALUE"""),6018930.0)</f>
        <v>6018930</v>
      </c>
      <c r="H3421" s="27">
        <f>IFERROR(__xludf.DUMMYFUNCTION("""COMPUTED_VALUE"""),43423.64583333333)</f>
        <v>43423.64583</v>
      </c>
      <c r="I3421" s="25">
        <f>IFERROR(__xludf.DUMMYFUNCTION("""COMPUTED_VALUE"""),1899.0)</f>
        <v>1899</v>
      </c>
      <c r="J3421" s="25">
        <f>IFERROR(__xludf.DUMMYFUNCTION("""COMPUTED_VALUE"""),1907.35)</f>
        <v>1907.35</v>
      </c>
      <c r="K3421" s="25">
        <f>IFERROR(__xludf.DUMMYFUNCTION("""COMPUTED_VALUE"""),1864.3)</f>
        <v>1864.3</v>
      </c>
      <c r="L3421" s="25">
        <f>IFERROR(__xludf.DUMMYFUNCTION("""COMPUTED_VALUE"""),1902.45)</f>
        <v>1902.45</v>
      </c>
      <c r="M3421" s="25">
        <f>IFERROR(__xludf.DUMMYFUNCTION("""COMPUTED_VALUE"""),1740628.0)</f>
        <v>1740628</v>
      </c>
    </row>
    <row r="3422">
      <c r="A3422" s="26">
        <f>IFERROR(__xludf.DUMMYFUNCTION("""COMPUTED_VALUE"""),43424.64583333333)</f>
        <v>43424.64583</v>
      </c>
      <c r="B3422" s="9">
        <f>IFERROR(__xludf.DUMMYFUNCTION("""COMPUTED_VALUE"""),651.7)</f>
        <v>651.7</v>
      </c>
      <c r="C3422" s="9">
        <f>IFERROR(__xludf.DUMMYFUNCTION("""COMPUTED_VALUE"""),656.0)</f>
        <v>656</v>
      </c>
      <c r="D3422" s="9">
        <f>IFERROR(__xludf.DUMMYFUNCTION("""COMPUTED_VALUE"""),640.1)</f>
        <v>640.1</v>
      </c>
      <c r="E3422" s="9">
        <f>IFERROR(__xludf.DUMMYFUNCTION("""COMPUTED_VALUE"""),641.4)</f>
        <v>641.4</v>
      </c>
      <c r="F3422" s="9">
        <f>IFERROR(__xludf.DUMMYFUNCTION("""COMPUTED_VALUE"""),5384830.0)</f>
        <v>5384830</v>
      </c>
      <c r="H3422" s="27">
        <f>IFERROR(__xludf.DUMMYFUNCTION("""COMPUTED_VALUE"""),43424.64583333333)</f>
        <v>43424.64583</v>
      </c>
      <c r="I3422" s="25">
        <f>IFERROR(__xludf.DUMMYFUNCTION("""COMPUTED_VALUE"""),1902.0)</f>
        <v>1902</v>
      </c>
      <c r="J3422" s="25">
        <f>IFERROR(__xludf.DUMMYFUNCTION("""COMPUTED_VALUE"""),1902.0)</f>
        <v>1902</v>
      </c>
      <c r="K3422" s="25">
        <f>IFERROR(__xludf.DUMMYFUNCTION("""COMPUTED_VALUE"""),1874.2)</f>
        <v>1874.2</v>
      </c>
      <c r="L3422" s="25">
        <f>IFERROR(__xludf.DUMMYFUNCTION("""COMPUTED_VALUE"""),1878.25)</f>
        <v>1878.25</v>
      </c>
      <c r="M3422" s="25">
        <f>IFERROR(__xludf.DUMMYFUNCTION("""COMPUTED_VALUE"""),1190182.0)</f>
        <v>1190182</v>
      </c>
    </row>
    <row r="3423">
      <c r="A3423" s="26">
        <f>IFERROR(__xludf.DUMMYFUNCTION("""COMPUTED_VALUE"""),43425.64583333333)</f>
        <v>43425.64583</v>
      </c>
      <c r="B3423" s="9">
        <f>IFERROR(__xludf.DUMMYFUNCTION("""COMPUTED_VALUE"""),640.0)</f>
        <v>640</v>
      </c>
      <c r="C3423" s="9">
        <f>IFERROR(__xludf.DUMMYFUNCTION("""COMPUTED_VALUE"""),640.05)</f>
        <v>640.05</v>
      </c>
      <c r="D3423" s="9">
        <f>IFERROR(__xludf.DUMMYFUNCTION("""COMPUTED_VALUE"""),612.1)</f>
        <v>612.1</v>
      </c>
      <c r="E3423" s="9">
        <f>IFERROR(__xludf.DUMMYFUNCTION("""COMPUTED_VALUE"""),619.1)</f>
        <v>619.1</v>
      </c>
      <c r="F3423" s="9">
        <f>IFERROR(__xludf.DUMMYFUNCTION("""COMPUTED_VALUE"""),1.4359086E7)</f>
        <v>14359086</v>
      </c>
      <c r="H3423" s="27">
        <f>IFERROR(__xludf.DUMMYFUNCTION("""COMPUTED_VALUE"""),43425.64583333333)</f>
        <v>43425.64583</v>
      </c>
      <c r="I3423" s="25">
        <f>IFERROR(__xludf.DUMMYFUNCTION("""COMPUTED_VALUE"""),1871.0)</f>
        <v>1871</v>
      </c>
      <c r="J3423" s="25">
        <f>IFERROR(__xludf.DUMMYFUNCTION("""COMPUTED_VALUE"""),1871.05)</f>
        <v>1871.05</v>
      </c>
      <c r="K3423" s="25">
        <f>IFERROR(__xludf.DUMMYFUNCTION("""COMPUTED_VALUE"""),1798.55)</f>
        <v>1798.55</v>
      </c>
      <c r="L3423" s="25">
        <f>IFERROR(__xludf.DUMMYFUNCTION("""COMPUTED_VALUE"""),1812.0)</f>
        <v>1812</v>
      </c>
      <c r="M3423" s="25">
        <f>IFERROR(__xludf.DUMMYFUNCTION("""COMPUTED_VALUE"""),3840461.0)</f>
        <v>3840461</v>
      </c>
    </row>
    <row r="3424">
      <c r="A3424" s="26">
        <f>IFERROR(__xludf.DUMMYFUNCTION("""COMPUTED_VALUE"""),43426.64583333333)</f>
        <v>43426.64583</v>
      </c>
      <c r="B3424" s="9">
        <f>IFERROR(__xludf.DUMMYFUNCTION("""COMPUTED_VALUE"""),622.25)</f>
        <v>622.25</v>
      </c>
      <c r="C3424" s="9">
        <f>IFERROR(__xludf.DUMMYFUNCTION("""COMPUTED_VALUE"""),628.15)</f>
        <v>628.15</v>
      </c>
      <c r="D3424" s="9">
        <f>IFERROR(__xludf.DUMMYFUNCTION("""COMPUTED_VALUE"""),616.75)</f>
        <v>616.75</v>
      </c>
      <c r="E3424" s="9">
        <f>IFERROR(__xludf.DUMMYFUNCTION("""COMPUTED_VALUE"""),620.75)</f>
        <v>620.75</v>
      </c>
      <c r="F3424" s="9">
        <f>IFERROR(__xludf.DUMMYFUNCTION("""COMPUTED_VALUE"""),6632975.0)</f>
        <v>6632975</v>
      </c>
      <c r="H3424" s="27">
        <f>IFERROR(__xludf.DUMMYFUNCTION("""COMPUTED_VALUE"""),43426.64583333333)</f>
        <v>43426.64583</v>
      </c>
      <c r="I3424" s="25">
        <f>IFERROR(__xludf.DUMMYFUNCTION("""COMPUTED_VALUE"""),1820.0)</f>
        <v>1820</v>
      </c>
      <c r="J3424" s="25">
        <f>IFERROR(__xludf.DUMMYFUNCTION("""COMPUTED_VALUE"""),1847.6)</f>
        <v>1847.6</v>
      </c>
      <c r="K3424" s="25">
        <f>IFERROR(__xludf.DUMMYFUNCTION("""COMPUTED_VALUE"""),1809.95)</f>
        <v>1809.95</v>
      </c>
      <c r="L3424" s="25">
        <f>IFERROR(__xludf.DUMMYFUNCTION("""COMPUTED_VALUE"""),1812.55)</f>
        <v>1812.55</v>
      </c>
      <c r="M3424" s="25">
        <f>IFERROR(__xludf.DUMMYFUNCTION("""COMPUTED_VALUE"""),3194219.0)</f>
        <v>3194219</v>
      </c>
    </row>
    <row r="3425">
      <c r="A3425" s="26">
        <f>IFERROR(__xludf.DUMMYFUNCTION("""COMPUTED_VALUE"""),43430.64583333333)</f>
        <v>43430.64583</v>
      </c>
      <c r="B3425" s="9">
        <f>IFERROR(__xludf.DUMMYFUNCTION("""COMPUTED_VALUE"""),621.0)</f>
        <v>621</v>
      </c>
      <c r="C3425" s="9">
        <f>IFERROR(__xludf.DUMMYFUNCTION("""COMPUTED_VALUE"""),628.0)</f>
        <v>628</v>
      </c>
      <c r="D3425" s="9">
        <f>IFERROR(__xludf.DUMMYFUNCTION("""COMPUTED_VALUE"""),599.85)</f>
        <v>599.85</v>
      </c>
      <c r="E3425" s="9">
        <f>IFERROR(__xludf.DUMMYFUNCTION("""COMPUTED_VALUE"""),621.45)</f>
        <v>621.45</v>
      </c>
      <c r="F3425" s="9">
        <f>IFERROR(__xludf.DUMMYFUNCTION("""COMPUTED_VALUE"""),1.5075209E7)</f>
        <v>15075209</v>
      </c>
      <c r="H3425" s="27">
        <f>IFERROR(__xludf.DUMMYFUNCTION("""COMPUTED_VALUE"""),43430.64583333333)</f>
        <v>43430.64583</v>
      </c>
      <c r="I3425" s="25">
        <f>IFERROR(__xludf.DUMMYFUNCTION("""COMPUTED_VALUE"""),1819.0)</f>
        <v>1819</v>
      </c>
      <c r="J3425" s="25">
        <f>IFERROR(__xludf.DUMMYFUNCTION("""COMPUTED_VALUE"""),1860.0)</f>
        <v>1860</v>
      </c>
      <c r="K3425" s="25">
        <f>IFERROR(__xludf.DUMMYFUNCTION("""COMPUTED_VALUE"""),1784.5)</f>
        <v>1784.5</v>
      </c>
      <c r="L3425" s="25">
        <f>IFERROR(__xludf.DUMMYFUNCTION("""COMPUTED_VALUE"""),1846.1)</f>
        <v>1846.1</v>
      </c>
      <c r="M3425" s="25">
        <f>IFERROR(__xludf.DUMMYFUNCTION("""COMPUTED_VALUE"""),4333177.0)</f>
        <v>4333177</v>
      </c>
    </row>
    <row r="3426">
      <c r="A3426" s="26">
        <f>IFERROR(__xludf.DUMMYFUNCTION("""COMPUTED_VALUE"""),43431.64583333333)</f>
        <v>43431.64583</v>
      </c>
      <c r="B3426" s="9">
        <f>IFERROR(__xludf.DUMMYFUNCTION("""COMPUTED_VALUE"""),625.5)</f>
        <v>625.5</v>
      </c>
      <c r="C3426" s="9">
        <f>IFERROR(__xludf.DUMMYFUNCTION("""COMPUTED_VALUE"""),641.0)</f>
        <v>641</v>
      </c>
      <c r="D3426" s="9">
        <f>IFERROR(__xludf.DUMMYFUNCTION("""COMPUTED_VALUE"""),625.3)</f>
        <v>625.3</v>
      </c>
      <c r="E3426" s="9">
        <f>IFERROR(__xludf.DUMMYFUNCTION("""COMPUTED_VALUE"""),638.9)</f>
        <v>638.9</v>
      </c>
      <c r="F3426" s="9">
        <f>IFERROR(__xludf.DUMMYFUNCTION("""COMPUTED_VALUE"""),1.2285851E7)</f>
        <v>12285851</v>
      </c>
      <c r="H3426" s="27">
        <f>IFERROR(__xludf.DUMMYFUNCTION("""COMPUTED_VALUE"""),43431.64583333333)</f>
        <v>43431.64583</v>
      </c>
      <c r="I3426" s="25">
        <f>IFERROR(__xludf.DUMMYFUNCTION("""COMPUTED_VALUE"""),1854.0)</f>
        <v>1854</v>
      </c>
      <c r="J3426" s="25">
        <f>IFERROR(__xludf.DUMMYFUNCTION("""COMPUTED_VALUE"""),1897.9)</f>
        <v>1897.9</v>
      </c>
      <c r="K3426" s="25">
        <f>IFERROR(__xludf.DUMMYFUNCTION("""COMPUTED_VALUE"""),1835.35)</f>
        <v>1835.35</v>
      </c>
      <c r="L3426" s="25">
        <f>IFERROR(__xludf.DUMMYFUNCTION("""COMPUTED_VALUE"""),1890.25)</f>
        <v>1890.25</v>
      </c>
      <c r="M3426" s="25">
        <f>IFERROR(__xludf.DUMMYFUNCTION("""COMPUTED_VALUE"""),3344839.0)</f>
        <v>3344839</v>
      </c>
    </row>
    <row r="3427">
      <c r="A3427" s="26">
        <f>IFERROR(__xludf.DUMMYFUNCTION("""COMPUTED_VALUE"""),43432.64583333333)</f>
        <v>43432.64583</v>
      </c>
      <c r="B3427" s="9">
        <f>IFERROR(__xludf.DUMMYFUNCTION("""COMPUTED_VALUE"""),640.95)</f>
        <v>640.95</v>
      </c>
      <c r="C3427" s="9">
        <f>IFERROR(__xludf.DUMMYFUNCTION("""COMPUTED_VALUE"""),668.7)</f>
        <v>668.7</v>
      </c>
      <c r="D3427" s="9">
        <f>IFERROR(__xludf.DUMMYFUNCTION("""COMPUTED_VALUE"""),640.0)</f>
        <v>640</v>
      </c>
      <c r="E3427" s="9">
        <f>IFERROR(__xludf.DUMMYFUNCTION("""COMPUTED_VALUE"""),666.4)</f>
        <v>666.4</v>
      </c>
      <c r="F3427" s="9">
        <f>IFERROR(__xludf.DUMMYFUNCTION("""COMPUTED_VALUE"""),1.771989E7)</f>
        <v>17719890</v>
      </c>
      <c r="H3427" s="27">
        <f>IFERROR(__xludf.DUMMYFUNCTION("""COMPUTED_VALUE"""),43432.64583333333)</f>
        <v>43432.64583</v>
      </c>
      <c r="I3427" s="25">
        <f>IFERROR(__xludf.DUMMYFUNCTION("""COMPUTED_VALUE"""),1889.0)</f>
        <v>1889</v>
      </c>
      <c r="J3427" s="25">
        <f>IFERROR(__xludf.DUMMYFUNCTION("""COMPUTED_VALUE"""),1989.0)</f>
        <v>1989</v>
      </c>
      <c r="K3427" s="25">
        <f>IFERROR(__xludf.DUMMYFUNCTION("""COMPUTED_VALUE"""),1882.5)</f>
        <v>1882.5</v>
      </c>
      <c r="L3427" s="25">
        <f>IFERROR(__xludf.DUMMYFUNCTION("""COMPUTED_VALUE"""),1983.9)</f>
        <v>1983.9</v>
      </c>
      <c r="M3427" s="25">
        <f>IFERROR(__xludf.DUMMYFUNCTION("""COMPUTED_VALUE"""),5313249.0)</f>
        <v>5313249</v>
      </c>
    </row>
    <row r="3428">
      <c r="A3428" s="26">
        <f>IFERROR(__xludf.DUMMYFUNCTION("""COMPUTED_VALUE"""),43433.64583333333)</f>
        <v>43433.64583</v>
      </c>
      <c r="B3428" s="9">
        <f>IFERROR(__xludf.DUMMYFUNCTION("""COMPUTED_VALUE"""),671.0)</f>
        <v>671</v>
      </c>
      <c r="C3428" s="9">
        <f>IFERROR(__xludf.DUMMYFUNCTION("""COMPUTED_VALUE"""),674.9)</f>
        <v>674.9</v>
      </c>
      <c r="D3428" s="9">
        <f>IFERROR(__xludf.DUMMYFUNCTION("""COMPUTED_VALUE"""),658.8)</f>
        <v>658.8</v>
      </c>
      <c r="E3428" s="9">
        <f>IFERROR(__xludf.DUMMYFUNCTION("""COMPUTED_VALUE"""),661.05)</f>
        <v>661.05</v>
      </c>
      <c r="F3428" s="9">
        <f>IFERROR(__xludf.DUMMYFUNCTION("""COMPUTED_VALUE"""),1.339907E7)</f>
        <v>13399070</v>
      </c>
      <c r="H3428" s="27">
        <f>IFERROR(__xludf.DUMMYFUNCTION("""COMPUTED_VALUE"""),43433.64583333333)</f>
        <v>43433.64583</v>
      </c>
      <c r="I3428" s="25">
        <f>IFERROR(__xludf.DUMMYFUNCTION("""COMPUTED_VALUE"""),1997.0)</f>
        <v>1997</v>
      </c>
      <c r="J3428" s="25">
        <f>IFERROR(__xludf.DUMMYFUNCTION("""COMPUTED_VALUE"""),1997.0)</f>
        <v>1997</v>
      </c>
      <c r="K3428" s="25">
        <f>IFERROR(__xludf.DUMMYFUNCTION("""COMPUTED_VALUE"""),1942.55)</f>
        <v>1942.55</v>
      </c>
      <c r="L3428" s="25">
        <f>IFERROR(__xludf.DUMMYFUNCTION("""COMPUTED_VALUE"""),1960.55)</f>
        <v>1960.55</v>
      </c>
      <c r="M3428" s="25">
        <f>IFERROR(__xludf.DUMMYFUNCTION("""COMPUTED_VALUE"""),4035441.0)</f>
        <v>4035441</v>
      </c>
    </row>
    <row r="3429">
      <c r="A3429" s="26">
        <f>IFERROR(__xludf.DUMMYFUNCTION("""COMPUTED_VALUE"""),43434.64583333333)</f>
        <v>43434.64583</v>
      </c>
      <c r="B3429" s="9">
        <f>IFERROR(__xludf.DUMMYFUNCTION("""COMPUTED_VALUE"""),661.0)</f>
        <v>661</v>
      </c>
      <c r="C3429" s="9">
        <f>IFERROR(__xludf.DUMMYFUNCTION("""COMPUTED_VALUE"""),672.0)</f>
        <v>672</v>
      </c>
      <c r="D3429" s="9">
        <f>IFERROR(__xludf.DUMMYFUNCTION("""COMPUTED_VALUE"""),660.95)</f>
        <v>660.95</v>
      </c>
      <c r="E3429" s="9">
        <f>IFERROR(__xludf.DUMMYFUNCTION("""COMPUTED_VALUE"""),667.45)</f>
        <v>667.45</v>
      </c>
      <c r="F3429" s="9">
        <f>IFERROR(__xludf.DUMMYFUNCTION("""COMPUTED_VALUE"""),1.0445773E7)</f>
        <v>10445773</v>
      </c>
      <c r="H3429" s="27">
        <f>IFERROR(__xludf.DUMMYFUNCTION("""COMPUTED_VALUE"""),43434.64583333333)</f>
        <v>43434.64583</v>
      </c>
      <c r="I3429" s="25">
        <f>IFERROR(__xludf.DUMMYFUNCTION("""COMPUTED_VALUE"""),1966.0)</f>
        <v>1966</v>
      </c>
      <c r="J3429" s="25">
        <f>IFERROR(__xludf.DUMMYFUNCTION("""COMPUTED_VALUE"""),1991.0)</f>
        <v>1991</v>
      </c>
      <c r="K3429" s="25">
        <f>IFERROR(__xludf.DUMMYFUNCTION("""COMPUTED_VALUE"""),1959.85)</f>
        <v>1959.85</v>
      </c>
      <c r="L3429" s="25">
        <f>IFERROR(__xludf.DUMMYFUNCTION("""COMPUTED_VALUE"""),1968.25)</f>
        <v>1968.25</v>
      </c>
      <c r="M3429" s="25">
        <f>IFERROR(__xludf.DUMMYFUNCTION("""COMPUTED_VALUE"""),5268901.0)</f>
        <v>5268901</v>
      </c>
    </row>
    <row r="3430">
      <c r="A3430" s="26">
        <f>IFERROR(__xludf.DUMMYFUNCTION("""COMPUTED_VALUE"""),43437.64583333333)</f>
        <v>43437.64583</v>
      </c>
      <c r="B3430" s="9">
        <f>IFERROR(__xludf.DUMMYFUNCTION("""COMPUTED_VALUE"""),673.15)</f>
        <v>673.15</v>
      </c>
      <c r="C3430" s="9">
        <f>IFERROR(__xludf.DUMMYFUNCTION("""COMPUTED_VALUE"""),679.0)</f>
        <v>679</v>
      </c>
      <c r="D3430" s="9">
        <f>IFERROR(__xludf.DUMMYFUNCTION("""COMPUTED_VALUE"""),665.95)</f>
        <v>665.95</v>
      </c>
      <c r="E3430" s="9">
        <f>IFERROR(__xludf.DUMMYFUNCTION("""COMPUTED_VALUE"""),670.35)</f>
        <v>670.35</v>
      </c>
      <c r="F3430" s="9">
        <f>IFERROR(__xludf.DUMMYFUNCTION("""COMPUTED_VALUE"""),8260890.0)</f>
        <v>8260890</v>
      </c>
      <c r="H3430" s="27">
        <f>IFERROR(__xludf.DUMMYFUNCTION("""COMPUTED_VALUE"""),43437.64583333333)</f>
        <v>43437.64583</v>
      </c>
      <c r="I3430" s="25">
        <f>IFERROR(__xludf.DUMMYFUNCTION("""COMPUTED_VALUE"""),1984.0)</f>
        <v>1984</v>
      </c>
      <c r="J3430" s="25">
        <f>IFERROR(__xludf.DUMMYFUNCTION("""COMPUTED_VALUE"""),1990.0)</f>
        <v>1990</v>
      </c>
      <c r="K3430" s="25">
        <f>IFERROR(__xludf.DUMMYFUNCTION("""COMPUTED_VALUE"""),1968.3)</f>
        <v>1968.3</v>
      </c>
      <c r="L3430" s="25">
        <f>IFERROR(__xludf.DUMMYFUNCTION("""COMPUTED_VALUE"""),1982.4)</f>
        <v>1982.4</v>
      </c>
      <c r="M3430" s="25">
        <f>IFERROR(__xludf.DUMMYFUNCTION("""COMPUTED_VALUE"""),1610576.0)</f>
        <v>1610576</v>
      </c>
    </row>
    <row r="3431">
      <c r="A3431" s="26">
        <f>IFERROR(__xludf.DUMMYFUNCTION("""COMPUTED_VALUE"""),43438.64583333333)</f>
        <v>43438.64583</v>
      </c>
      <c r="B3431" s="9">
        <f>IFERROR(__xludf.DUMMYFUNCTION("""COMPUTED_VALUE"""),672.55)</f>
        <v>672.55</v>
      </c>
      <c r="C3431" s="9">
        <f>IFERROR(__xludf.DUMMYFUNCTION("""COMPUTED_VALUE"""),688.25)</f>
        <v>688.25</v>
      </c>
      <c r="D3431" s="9">
        <f>IFERROR(__xludf.DUMMYFUNCTION("""COMPUTED_VALUE"""),671.3)</f>
        <v>671.3</v>
      </c>
      <c r="E3431" s="9">
        <f>IFERROR(__xludf.DUMMYFUNCTION("""COMPUTED_VALUE"""),685.25)</f>
        <v>685.25</v>
      </c>
      <c r="F3431" s="9">
        <f>IFERROR(__xludf.DUMMYFUNCTION("""COMPUTED_VALUE"""),7827923.0)</f>
        <v>7827923</v>
      </c>
      <c r="H3431" s="27">
        <f>IFERROR(__xludf.DUMMYFUNCTION("""COMPUTED_VALUE"""),43438.64583333333)</f>
        <v>43438.64583</v>
      </c>
      <c r="I3431" s="25">
        <f>IFERROR(__xludf.DUMMYFUNCTION("""COMPUTED_VALUE"""),1983.0)</f>
        <v>1983</v>
      </c>
      <c r="J3431" s="25">
        <f>IFERROR(__xludf.DUMMYFUNCTION("""COMPUTED_VALUE"""),2019.4)</f>
        <v>2019.4</v>
      </c>
      <c r="K3431" s="25">
        <f>IFERROR(__xludf.DUMMYFUNCTION("""COMPUTED_VALUE"""),1971.0)</f>
        <v>1971</v>
      </c>
      <c r="L3431" s="25">
        <f>IFERROR(__xludf.DUMMYFUNCTION("""COMPUTED_VALUE"""),2010.85)</f>
        <v>2010.85</v>
      </c>
      <c r="M3431" s="25">
        <f>IFERROR(__xludf.DUMMYFUNCTION("""COMPUTED_VALUE"""),3270615.0)</f>
        <v>3270615</v>
      </c>
    </row>
    <row r="3432">
      <c r="A3432" s="26">
        <f>IFERROR(__xludf.DUMMYFUNCTION("""COMPUTED_VALUE"""),43439.64583333333)</f>
        <v>43439.64583</v>
      </c>
      <c r="B3432" s="9">
        <f>IFERROR(__xludf.DUMMYFUNCTION("""COMPUTED_VALUE"""),683.0)</f>
        <v>683</v>
      </c>
      <c r="C3432" s="9">
        <f>IFERROR(__xludf.DUMMYFUNCTION("""COMPUTED_VALUE"""),683.65)</f>
        <v>683.65</v>
      </c>
      <c r="D3432" s="9">
        <f>IFERROR(__xludf.DUMMYFUNCTION("""COMPUTED_VALUE"""),672.5)</f>
        <v>672.5</v>
      </c>
      <c r="E3432" s="9">
        <f>IFERROR(__xludf.DUMMYFUNCTION("""COMPUTED_VALUE"""),681.4)</f>
        <v>681.4</v>
      </c>
      <c r="F3432" s="9">
        <f>IFERROR(__xludf.DUMMYFUNCTION("""COMPUTED_VALUE"""),5177288.0)</f>
        <v>5177288</v>
      </c>
      <c r="H3432" s="27">
        <f>IFERROR(__xludf.DUMMYFUNCTION("""COMPUTED_VALUE"""),43439.64583333333)</f>
        <v>43439.64583</v>
      </c>
      <c r="I3432" s="25">
        <f>IFERROR(__xludf.DUMMYFUNCTION("""COMPUTED_VALUE"""),2006.0)</f>
        <v>2006</v>
      </c>
      <c r="J3432" s="25">
        <f>IFERROR(__xludf.DUMMYFUNCTION("""COMPUTED_VALUE"""),2018.0)</f>
        <v>2018</v>
      </c>
      <c r="K3432" s="25">
        <f>IFERROR(__xludf.DUMMYFUNCTION("""COMPUTED_VALUE"""),1985.0)</f>
        <v>1985</v>
      </c>
      <c r="L3432" s="25">
        <f>IFERROR(__xludf.DUMMYFUNCTION("""COMPUTED_VALUE"""),2006.75)</f>
        <v>2006.75</v>
      </c>
      <c r="M3432" s="25">
        <f>IFERROR(__xludf.DUMMYFUNCTION("""COMPUTED_VALUE"""),2501539.0)</f>
        <v>2501539</v>
      </c>
    </row>
    <row r="3433">
      <c r="A3433" s="26">
        <f>IFERROR(__xludf.DUMMYFUNCTION("""COMPUTED_VALUE"""),43440.64583333333)</f>
        <v>43440.64583</v>
      </c>
      <c r="B3433" s="9">
        <f>IFERROR(__xludf.DUMMYFUNCTION("""COMPUTED_VALUE"""),676.1)</f>
        <v>676.1</v>
      </c>
      <c r="C3433" s="9">
        <f>IFERROR(__xludf.DUMMYFUNCTION("""COMPUTED_VALUE"""),685.45)</f>
        <v>685.45</v>
      </c>
      <c r="D3433" s="9">
        <f>IFERROR(__xludf.DUMMYFUNCTION("""COMPUTED_VALUE"""),664.55)</f>
        <v>664.55</v>
      </c>
      <c r="E3433" s="9">
        <f>IFERROR(__xludf.DUMMYFUNCTION("""COMPUTED_VALUE"""),668.5)</f>
        <v>668.5</v>
      </c>
      <c r="F3433" s="9">
        <f>IFERROR(__xludf.DUMMYFUNCTION("""COMPUTED_VALUE"""),8039771.0)</f>
        <v>8039771</v>
      </c>
      <c r="H3433" s="27">
        <f>IFERROR(__xludf.DUMMYFUNCTION("""COMPUTED_VALUE"""),43440.64583333333)</f>
        <v>43440.64583</v>
      </c>
      <c r="I3433" s="25">
        <f>IFERROR(__xludf.DUMMYFUNCTION("""COMPUTED_VALUE"""),1998.0)</f>
        <v>1998</v>
      </c>
      <c r="J3433" s="25">
        <f>IFERROR(__xludf.DUMMYFUNCTION("""COMPUTED_VALUE"""),2017.0)</f>
        <v>2017</v>
      </c>
      <c r="K3433" s="25">
        <f>IFERROR(__xludf.DUMMYFUNCTION("""COMPUTED_VALUE"""),1979.6)</f>
        <v>1979.6</v>
      </c>
      <c r="L3433" s="25">
        <f>IFERROR(__xludf.DUMMYFUNCTION("""COMPUTED_VALUE"""),1992.7)</f>
        <v>1992.7</v>
      </c>
      <c r="M3433" s="25">
        <f>IFERROR(__xludf.DUMMYFUNCTION("""COMPUTED_VALUE"""),2321216.0)</f>
        <v>2321216</v>
      </c>
    </row>
    <row r="3434">
      <c r="A3434" s="26">
        <f>IFERROR(__xludf.DUMMYFUNCTION("""COMPUTED_VALUE"""),43441.64583333333)</f>
        <v>43441.64583</v>
      </c>
      <c r="B3434" s="9">
        <f>IFERROR(__xludf.DUMMYFUNCTION("""COMPUTED_VALUE"""),672.0)</f>
        <v>672</v>
      </c>
      <c r="C3434" s="9">
        <f>IFERROR(__xludf.DUMMYFUNCTION("""COMPUTED_VALUE"""),685.75)</f>
        <v>685.75</v>
      </c>
      <c r="D3434" s="9">
        <f>IFERROR(__xludf.DUMMYFUNCTION("""COMPUTED_VALUE"""),665.6)</f>
        <v>665.6</v>
      </c>
      <c r="E3434" s="9">
        <f>IFERROR(__xludf.DUMMYFUNCTION("""COMPUTED_VALUE"""),682.8)</f>
        <v>682.8</v>
      </c>
      <c r="F3434" s="9">
        <f>IFERROR(__xludf.DUMMYFUNCTION("""COMPUTED_VALUE"""),5553948.0)</f>
        <v>5553948</v>
      </c>
      <c r="H3434" s="27">
        <f>IFERROR(__xludf.DUMMYFUNCTION("""COMPUTED_VALUE"""),43441.64583333333)</f>
        <v>43441.64583</v>
      </c>
      <c r="I3434" s="25">
        <f>IFERROR(__xludf.DUMMYFUNCTION("""COMPUTED_VALUE"""),1985.05)</f>
        <v>1985.05</v>
      </c>
      <c r="J3434" s="25">
        <f>IFERROR(__xludf.DUMMYFUNCTION("""COMPUTED_VALUE"""),2003.9)</f>
        <v>2003.9</v>
      </c>
      <c r="K3434" s="25">
        <f>IFERROR(__xludf.DUMMYFUNCTION("""COMPUTED_VALUE"""),1973.0)</f>
        <v>1973</v>
      </c>
      <c r="L3434" s="25">
        <f>IFERROR(__xludf.DUMMYFUNCTION("""COMPUTED_VALUE"""),1995.2)</f>
        <v>1995.2</v>
      </c>
      <c r="M3434" s="25">
        <f>IFERROR(__xludf.DUMMYFUNCTION("""COMPUTED_VALUE"""),1680420.0)</f>
        <v>1680420</v>
      </c>
    </row>
    <row r="3435">
      <c r="A3435" s="26">
        <f>IFERROR(__xludf.DUMMYFUNCTION("""COMPUTED_VALUE"""),43444.64583333333)</f>
        <v>43444.64583</v>
      </c>
      <c r="B3435" s="9">
        <f>IFERROR(__xludf.DUMMYFUNCTION("""COMPUTED_VALUE"""),669.9)</f>
        <v>669.9</v>
      </c>
      <c r="C3435" s="9">
        <f>IFERROR(__xludf.DUMMYFUNCTION("""COMPUTED_VALUE"""),683.8)</f>
        <v>683.8</v>
      </c>
      <c r="D3435" s="9">
        <f>IFERROR(__xludf.DUMMYFUNCTION("""COMPUTED_VALUE"""),665.2)</f>
        <v>665.2</v>
      </c>
      <c r="E3435" s="9">
        <f>IFERROR(__xludf.DUMMYFUNCTION("""COMPUTED_VALUE"""),669.2)</f>
        <v>669.2</v>
      </c>
      <c r="F3435" s="9">
        <f>IFERROR(__xludf.DUMMYFUNCTION("""COMPUTED_VALUE"""),5121196.0)</f>
        <v>5121196</v>
      </c>
      <c r="H3435" s="27">
        <f>IFERROR(__xludf.DUMMYFUNCTION("""COMPUTED_VALUE"""),43444.64583333333)</f>
        <v>43444.64583</v>
      </c>
      <c r="I3435" s="25">
        <f>IFERROR(__xludf.DUMMYFUNCTION("""COMPUTED_VALUE"""),1975.0)</f>
        <v>1975</v>
      </c>
      <c r="J3435" s="25">
        <f>IFERROR(__xludf.DUMMYFUNCTION("""COMPUTED_VALUE"""),2011.0)</f>
        <v>2011</v>
      </c>
      <c r="K3435" s="25">
        <f>IFERROR(__xludf.DUMMYFUNCTION("""COMPUTED_VALUE"""),1960.0)</f>
        <v>1960</v>
      </c>
      <c r="L3435" s="25">
        <f>IFERROR(__xludf.DUMMYFUNCTION("""COMPUTED_VALUE"""),1975.8)</f>
        <v>1975.8</v>
      </c>
      <c r="M3435" s="25">
        <f>IFERROR(__xludf.DUMMYFUNCTION("""COMPUTED_VALUE"""),2010786.0)</f>
        <v>2010786</v>
      </c>
    </row>
    <row r="3436">
      <c r="A3436" s="26">
        <f>IFERROR(__xludf.DUMMYFUNCTION("""COMPUTED_VALUE"""),43445.64583333333)</f>
        <v>43445.64583</v>
      </c>
      <c r="B3436" s="9">
        <f>IFERROR(__xludf.DUMMYFUNCTION("""COMPUTED_VALUE"""),669.2)</f>
        <v>669.2</v>
      </c>
      <c r="C3436" s="9">
        <f>IFERROR(__xludf.DUMMYFUNCTION("""COMPUTED_VALUE"""),681.9)</f>
        <v>681.9</v>
      </c>
      <c r="D3436" s="9">
        <f>IFERROR(__xludf.DUMMYFUNCTION("""COMPUTED_VALUE"""),660.6)</f>
        <v>660.6</v>
      </c>
      <c r="E3436" s="9">
        <f>IFERROR(__xludf.DUMMYFUNCTION("""COMPUTED_VALUE"""),674.5)</f>
        <v>674.5</v>
      </c>
      <c r="F3436" s="9">
        <f>IFERROR(__xludf.DUMMYFUNCTION("""COMPUTED_VALUE"""),7120933.0)</f>
        <v>7120933</v>
      </c>
      <c r="H3436" s="27">
        <f>IFERROR(__xludf.DUMMYFUNCTION("""COMPUTED_VALUE"""),43445.64583333333)</f>
        <v>43445.64583</v>
      </c>
      <c r="I3436" s="25">
        <f>IFERROR(__xludf.DUMMYFUNCTION("""COMPUTED_VALUE"""),1970.0)</f>
        <v>1970</v>
      </c>
      <c r="J3436" s="25">
        <f>IFERROR(__xludf.DUMMYFUNCTION("""COMPUTED_VALUE"""),2010.0)</f>
        <v>2010</v>
      </c>
      <c r="K3436" s="25">
        <f>IFERROR(__xludf.DUMMYFUNCTION("""COMPUTED_VALUE"""),1961.0)</f>
        <v>1961</v>
      </c>
      <c r="L3436" s="25">
        <f>IFERROR(__xludf.DUMMYFUNCTION("""COMPUTED_VALUE"""),2000.0)</f>
        <v>2000</v>
      </c>
      <c r="M3436" s="25">
        <f>IFERROR(__xludf.DUMMYFUNCTION("""COMPUTED_VALUE"""),2942014.0)</f>
        <v>2942014</v>
      </c>
    </row>
    <row r="3437">
      <c r="A3437" s="26">
        <f>IFERROR(__xludf.DUMMYFUNCTION("""COMPUTED_VALUE"""),43446.64583333333)</f>
        <v>43446.64583</v>
      </c>
      <c r="B3437" s="9">
        <f>IFERROR(__xludf.DUMMYFUNCTION("""COMPUTED_VALUE"""),677.1)</f>
        <v>677.1</v>
      </c>
      <c r="C3437" s="9">
        <f>IFERROR(__xludf.DUMMYFUNCTION("""COMPUTED_VALUE"""),680.65)</f>
        <v>680.65</v>
      </c>
      <c r="D3437" s="9">
        <f>IFERROR(__xludf.DUMMYFUNCTION("""COMPUTED_VALUE"""),670.6)</f>
        <v>670.6</v>
      </c>
      <c r="E3437" s="9">
        <f>IFERROR(__xludf.DUMMYFUNCTION("""COMPUTED_VALUE"""),678.5)</f>
        <v>678.5</v>
      </c>
      <c r="F3437" s="9">
        <f>IFERROR(__xludf.DUMMYFUNCTION("""COMPUTED_VALUE"""),6926183.0)</f>
        <v>6926183</v>
      </c>
      <c r="H3437" s="27">
        <f>IFERROR(__xludf.DUMMYFUNCTION("""COMPUTED_VALUE"""),43446.64583333333)</f>
        <v>43446.64583</v>
      </c>
      <c r="I3437" s="25">
        <f>IFERROR(__xludf.DUMMYFUNCTION("""COMPUTED_VALUE"""),2001.1)</f>
        <v>2001.1</v>
      </c>
      <c r="J3437" s="25">
        <f>IFERROR(__xludf.DUMMYFUNCTION("""COMPUTED_VALUE"""),2022.0)</f>
        <v>2022</v>
      </c>
      <c r="K3437" s="25">
        <f>IFERROR(__xludf.DUMMYFUNCTION("""COMPUTED_VALUE"""),1984.95)</f>
        <v>1984.95</v>
      </c>
      <c r="L3437" s="25">
        <f>IFERROR(__xludf.DUMMYFUNCTION("""COMPUTED_VALUE"""),2016.8)</f>
        <v>2016.8</v>
      </c>
      <c r="M3437" s="25">
        <f>IFERROR(__xludf.DUMMYFUNCTION("""COMPUTED_VALUE"""),2219993.0)</f>
        <v>2219993</v>
      </c>
    </row>
    <row r="3438">
      <c r="A3438" s="26">
        <f>IFERROR(__xludf.DUMMYFUNCTION("""COMPUTED_VALUE"""),43447.64583333333)</f>
        <v>43447.64583</v>
      </c>
      <c r="B3438" s="9">
        <f>IFERROR(__xludf.DUMMYFUNCTION("""COMPUTED_VALUE"""),682.0)</f>
        <v>682</v>
      </c>
      <c r="C3438" s="9">
        <f>IFERROR(__xludf.DUMMYFUNCTION("""COMPUTED_VALUE"""),700.0)</f>
        <v>700</v>
      </c>
      <c r="D3438" s="9">
        <f>IFERROR(__xludf.DUMMYFUNCTION("""COMPUTED_VALUE"""),680.0)</f>
        <v>680</v>
      </c>
      <c r="E3438" s="9">
        <f>IFERROR(__xludf.DUMMYFUNCTION("""COMPUTED_VALUE"""),697.75)</f>
        <v>697.75</v>
      </c>
      <c r="F3438" s="9">
        <f>IFERROR(__xludf.DUMMYFUNCTION("""COMPUTED_VALUE"""),7521474.0)</f>
        <v>7521474</v>
      </c>
      <c r="H3438" s="27">
        <f>IFERROR(__xludf.DUMMYFUNCTION("""COMPUTED_VALUE"""),43447.64583333333)</f>
        <v>43447.64583</v>
      </c>
      <c r="I3438" s="25">
        <f>IFERROR(__xludf.DUMMYFUNCTION("""COMPUTED_VALUE"""),2024.0)</f>
        <v>2024</v>
      </c>
      <c r="J3438" s="25">
        <f>IFERROR(__xludf.DUMMYFUNCTION("""COMPUTED_VALUE"""),2029.7)</f>
        <v>2029.7</v>
      </c>
      <c r="K3438" s="25">
        <f>IFERROR(__xludf.DUMMYFUNCTION("""COMPUTED_VALUE"""),1974.5)</f>
        <v>1974.5</v>
      </c>
      <c r="L3438" s="25">
        <f>IFERROR(__xludf.DUMMYFUNCTION("""COMPUTED_VALUE"""),1982.6)</f>
        <v>1982.6</v>
      </c>
      <c r="M3438" s="25">
        <f>IFERROR(__xludf.DUMMYFUNCTION("""COMPUTED_VALUE"""),3748429.0)</f>
        <v>3748429</v>
      </c>
    </row>
    <row r="3439">
      <c r="A3439" s="26">
        <f>IFERROR(__xludf.DUMMYFUNCTION("""COMPUTED_VALUE"""),43448.64583333333)</f>
        <v>43448.64583</v>
      </c>
      <c r="B3439" s="9">
        <f>IFERROR(__xludf.DUMMYFUNCTION("""COMPUTED_VALUE"""),697.45)</f>
        <v>697.45</v>
      </c>
      <c r="C3439" s="9">
        <f>IFERROR(__xludf.DUMMYFUNCTION("""COMPUTED_VALUE"""),713.7)</f>
        <v>713.7</v>
      </c>
      <c r="D3439" s="9">
        <f>IFERROR(__xludf.DUMMYFUNCTION("""COMPUTED_VALUE"""),694.4)</f>
        <v>694.4</v>
      </c>
      <c r="E3439" s="9">
        <f>IFERROR(__xludf.DUMMYFUNCTION("""COMPUTED_VALUE"""),706.05)</f>
        <v>706.05</v>
      </c>
      <c r="F3439" s="9">
        <f>IFERROR(__xludf.DUMMYFUNCTION("""COMPUTED_VALUE"""),9560576.0)</f>
        <v>9560576</v>
      </c>
      <c r="H3439" s="27">
        <f>IFERROR(__xludf.DUMMYFUNCTION("""COMPUTED_VALUE"""),43448.64583333333)</f>
        <v>43448.64583</v>
      </c>
      <c r="I3439" s="25">
        <f>IFERROR(__xludf.DUMMYFUNCTION("""COMPUTED_VALUE"""),1983.0)</f>
        <v>1983</v>
      </c>
      <c r="J3439" s="25">
        <f>IFERROR(__xludf.DUMMYFUNCTION("""COMPUTED_VALUE"""),1998.95)</f>
        <v>1998.95</v>
      </c>
      <c r="K3439" s="25">
        <f>IFERROR(__xludf.DUMMYFUNCTION("""COMPUTED_VALUE"""),1975.25)</f>
        <v>1975.25</v>
      </c>
      <c r="L3439" s="25">
        <f>IFERROR(__xludf.DUMMYFUNCTION("""COMPUTED_VALUE"""),1989.75)</f>
        <v>1989.75</v>
      </c>
      <c r="M3439" s="25">
        <f>IFERROR(__xludf.DUMMYFUNCTION("""COMPUTED_VALUE"""),2473761.0)</f>
        <v>2473761</v>
      </c>
    </row>
    <row r="3440">
      <c r="A3440" s="26">
        <f>IFERROR(__xludf.DUMMYFUNCTION("""COMPUTED_VALUE"""),43451.64583333333)</f>
        <v>43451.64583</v>
      </c>
      <c r="B3440" s="9">
        <f>IFERROR(__xludf.DUMMYFUNCTION("""COMPUTED_VALUE"""),711.85)</f>
        <v>711.85</v>
      </c>
      <c r="C3440" s="9">
        <f>IFERROR(__xludf.DUMMYFUNCTION("""COMPUTED_VALUE"""),711.85)</f>
        <v>711.85</v>
      </c>
      <c r="D3440" s="9">
        <f>IFERROR(__xludf.DUMMYFUNCTION("""COMPUTED_VALUE"""),692.75)</f>
        <v>692.75</v>
      </c>
      <c r="E3440" s="9">
        <f>IFERROR(__xludf.DUMMYFUNCTION("""COMPUTED_VALUE"""),694.4)</f>
        <v>694.4</v>
      </c>
      <c r="F3440" s="9">
        <f>IFERROR(__xludf.DUMMYFUNCTION("""COMPUTED_VALUE"""),4778465.0)</f>
        <v>4778465</v>
      </c>
      <c r="H3440" s="27">
        <f>IFERROR(__xludf.DUMMYFUNCTION("""COMPUTED_VALUE"""),43451.64583333333)</f>
        <v>43451.64583</v>
      </c>
      <c r="I3440" s="25">
        <f>IFERROR(__xludf.DUMMYFUNCTION("""COMPUTED_VALUE"""),1999.0)</f>
        <v>1999</v>
      </c>
      <c r="J3440" s="25">
        <f>IFERROR(__xludf.DUMMYFUNCTION("""COMPUTED_VALUE"""),2004.9)</f>
        <v>2004.9</v>
      </c>
      <c r="K3440" s="25">
        <f>IFERROR(__xludf.DUMMYFUNCTION("""COMPUTED_VALUE"""),1985.0)</f>
        <v>1985</v>
      </c>
      <c r="L3440" s="25">
        <f>IFERROR(__xludf.DUMMYFUNCTION("""COMPUTED_VALUE"""),1994.3)</f>
        <v>1994.3</v>
      </c>
      <c r="M3440" s="25">
        <f>IFERROR(__xludf.DUMMYFUNCTION("""COMPUTED_VALUE"""),1227921.0)</f>
        <v>1227921</v>
      </c>
    </row>
    <row r="3441">
      <c r="A3441" s="26">
        <f>IFERROR(__xludf.DUMMYFUNCTION("""COMPUTED_VALUE"""),43452.64583333333)</f>
        <v>43452.64583</v>
      </c>
      <c r="B3441" s="9">
        <f>IFERROR(__xludf.DUMMYFUNCTION("""COMPUTED_VALUE"""),686.5)</f>
        <v>686.5</v>
      </c>
      <c r="C3441" s="9">
        <f>IFERROR(__xludf.DUMMYFUNCTION("""COMPUTED_VALUE"""),686.5)</f>
        <v>686.5</v>
      </c>
      <c r="D3441" s="9">
        <f>IFERROR(__xludf.DUMMYFUNCTION("""COMPUTED_VALUE"""),674.55)</f>
        <v>674.55</v>
      </c>
      <c r="E3441" s="9">
        <f>IFERROR(__xludf.DUMMYFUNCTION("""COMPUTED_VALUE"""),676.6)</f>
        <v>676.6</v>
      </c>
      <c r="F3441" s="9">
        <f>IFERROR(__xludf.DUMMYFUNCTION("""COMPUTED_VALUE"""),8021298.0)</f>
        <v>8021298</v>
      </c>
      <c r="H3441" s="27">
        <f>IFERROR(__xludf.DUMMYFUNCTION("""COMPUTED_VALUE"""),43452.64583333333)</f>
        <v>43452.64583</v>
      </c>
      <c r="I3441" s="25">
        <f>IFERROR(__xludf.DUMMYFUNCTION("""COMPUTED_VALUE"""),1991.9)</f>
        <v>1991.9</v>
      </c>
      <c r="J3441" s="25">
        <f>IFERROR(__xludf.DUMMYFUNCTION("""COMPUTED_VALUE"""),2002.0)</f>
        <v>2002</v>
      </c>
      <c r="K3441" s="25">
        <f>IFERROR(__xludf.DUMMYFUNCTION("""COMPUTED_VALUE"""),1976.4)</f>
        <v>1976.4</v>
      </c>
      <c r="L3441" s="25">
        <f>IFERROR(__xludf.DUMMYFUNCTION("""COMPUTED_VALUE"""),1987.85)</f>
        <v>1987.85</v>
      </c>
      <c r="M3441" s="25">
        <f>IFERROR(__xludf.DUMMYFUNCTION("""COMPUTED_VALUE"""),1768742.0)</f>
        <v>1768742</v>
      </c>
    </row>
    <row r="3442">
      <c r="A3442" s="26">
        <f>IFERROR(__xludf.DUMMYFUNCTION("""COMPUTED_VALUE"""),43453.64583333333)</f>
        <v>43453.64583</v>
      </c>
      <c r="B3442" s="9">
        <f>IFERROR(__xludf.DUMMYFUNCTION("""COMPUTED_VALUE"""),671.55)</f>
        <v>671.55</v>
      </c>
      <c r="C3442" s="9">
        <f>IFERROR(__xludf.DUMMYFUNCTION("""COMPUTED_VALUE"""),671.55)</f>
        <v>671.55</v>
      </c>
      <c r="D3442" s="9">
        <f>IFERROR(__xludf.DUMMYFUNCTION("""COMPUTED_VALUE"""),661.1)</f>
        <v>661.1</v>
      </c>
      <c r="E3442" s="9">
        <f>IFERROR(__xludf.DUMMYFUNCTION("""COMPUTED_VALUE"""),664.85)</f>
        <v>664.85</v>
      </c>
      <c r="F3442" s="9">
        <f>IFERROR(__xludf.DUMMYFUNCTION("""COMPUTED_VALUE"""),8295459.0)</f>
        <v>8295459</v>
      </c>
      <c r="H3442" s="27">
        <f>IFERROR(__xludf.DUMMYFUNCTION("""COMPUTED_VALUE"""),43453.64583333333)</f>
        <v>43453.64583</v>
      </c>
      <c r="I3442" s="25">
        <f>IFERROR(__xludf.DUMMYFUNCTION("""COMPUTED_VALUE"""),1984.8)</f>
        <v>1984.8</v>
      </c>
      <c r="J3442" s="25">
        <f>IFERROR(__xludf.DUMMYFUNCTION("""COMPUTED_VALUE"""),1984.8)</f>
        <v>1984.8</v>
      </c>
      <c r="K3442" s="25">
        <f>IFERROR(__xludf.DUMMYFUNCTION("""COMPUTED_VALUE"""),1960.05)</f>
        <v>1960.05</v>
      </c>
      <c r="L3442" s="25">
        <f>IFERROR(__xludf.DUMMYFUNCTION("""COMPUTED_VALUE"""),1968.45)</f>
        <v>1968.45</v>
      </c>
      <c r="M3442" s="25">
        <f>IFERROR(__xludf.DUMMYFUNCTION("""COMPUTED_VALUE"""),2498833.0)</f>
        <v>2498833</v>
      </c>
    </row>
    <row r="3443">
      <c r="A3443" s="26">
        <f>IFERROR(__xludf.DUMMYFUNCTION("""COMPUTED_VALUE"""),43454.64583333333)</f>
        <v>43454.64583</v>
      </c>
      <c r="B3443" s="9">
        <f>IFERROR(__xludf.DUMMYFUNCTION("""COMPUTED_VALUE"""),660.0)</f>
        <v>660</v>
      </c>
      <c r="C3443" s="9">
        <f>IFERROR(__xludf.DUMMYFUNCTION("""COMPUTED_VALUE"""),671.55)</f>
        <v>671.55</v>
      </c>
      <c r="D3443" s="9">
        <f>IFERROR(__xludf.DUMMYFUNCTION("""COMPUTED_VALUE"""),656.4)</f>
        <v>656.4</v>
      </c>
      <c r="E3443" s="9">
        <f>IFERROR(__xludf.DUMMYFUNCTION("""COMPUTED_VALUE"""),667.05)</f>
        <v>667.05</v>
      </c>
      <c r="F3443" s="9">
        <f>IFERROR(__xludf.DUMMYFUNCTION("""COMPUTED_VALUE"""),1.170526E7)</f>
        <v>11705260</v>
      </c>
      <c r="H3443" s="27">
        <f>IFERROR(__xludf.DUMMYFUNCTION("""COMPUTED_VALUE"""),43454.64583333333)</f>
        <v>43454.64583</v>
      </c>
      <c r="I3443" s="25">
        <f>IFERROR(__xludf.DUMMYFUNCTION("""COMPUTED_VALUE"""),1953.8)</f>
        <v>1953.8</v>
      </c>
      <c r="J3443" s="25">
        <f>IFERROR(__xludf.DUMMYFUNCTION("""COMPUTED_VALUE"""),1974.9)</f>
        <v>1974.9</v>
      </c>
      <c r="K3443" s="25">
        <f>IFERROR(__xludf.DUMMYFUNCTION("""COMPUTED_VALUE"""),1946.0)</f>
        <v>1946</v>
      </c>
      <c r="L3443" s="25">
        <f>IFERROR(__xludf.DUMMYFUNCTION("""COMPUTED_VALUE"""),1954.05)</f>
        <v>1954.05</v>
      </c>
      <c r="M3443" s="25">
        <f>IFERROR(__xludf.DUMMYFUNCTION("""COMPUTED_VALUE"""),1940277.0)</f>
        <v>1940277</v>
      </c>
    </row>
    <row r="3444">
      <c r="A3444" s="26">
        <f>IFERROR(__xludf.DUMMYFUNCTION("""COMPUTED_VALUE"""),43455.64583333333)</f>
        <v>43455.64583</v>
      </c>
      <c r="B3444" s="9">
        <f>IFERROR(__xludf.DUMMYFUNCTION("""COMPUTED_VALUE"""),659.5)</f>
        <v>659.5</v>
      </c>
      <c r="C3444" s="9">
        <f>IFERROR(__xludf.DUMMYFUNCTION("""COMPUTED_VALUE"""),659.5)</f>
        <v>659.5</v>
      </c>
      <c r="D3444" s="9">
        <f>IFERROR(__xludf.DUMMYFUNCTION("""COMPUTED_VALUE"""),643.45)</f>
        <v>643.45</v>
      </c>
      <c r="E3444" s="9">
        <f>IFERROR(__xludf.DUMMYFUNCTION("""COMPUTED_VALUE"""),646.2)</f>
        <v>646.2</v>
      </c>
      <c r="F3444" s="9">
        <f>IFERROR(__xludf.DUMMYFUNCTION("""COMPUTED_VALUE"""),1.2802132E7)</f>
        <v>12802132</v>
      </c>
      <c r="H3444" s="27">
        <f>IFERROR(__xludf.DUMMYFUNCTION("""COMPUTED_VALUE"""),43455.64583333333)</f>
        <v>43455.64583</v>
      </c>
      <c r="I3444" s="25">
        <f>IFERROR(__xludf.DUMMYFUNCTION("""COMPUTED_VALUE"""),1948.0)</f>
        <v>1948</v>
      </c>
      <c r="J3444" s="25">
        <f>IFERROR(__xludf.DUMMYFUNCTION("""COMPUTED_VALUE"""),1950.0)</f>
        <v>1950</v>
      </c>
      <c r="K3444" s="25">
        <f>IFERROR(__xludf.DUMMYFUNCTION("""COMPUTED_VALUE"""),1886.55)</f>
        <v>1886.55</v>
      </c>
      <c r="L3444" s="25">
        <f>IFERROR(__xludf.DUMMYFUNCTION("""COMPUTED_VALUE"""),1895.8)</f>
        <v>1895.8</v>
      </c>
      <c r="M3444" s="25">
        <f>IFERROR(__xludf.DUMMYFUNCTION("""COMPUTED_VALUE"""),3729956.0)</f>
        <v>3729956</v>
      </c>
    </row>
    <row r="3445">
      <c r="A3445" s="26">
        <f>IFERROR(__xludf.DUMMYFUNCTION("""COMPUTED_VALUE"""),43458.64583333333)</f>
        <v>43458.64583</v>
      </c>
      <c r="B3445" s="9">
        <f>IFERROR(__xludf.DUMMYFUNCTION("""COMPUTED_VALUE"""),657.0)</f>
        <v>657</v>
      </c>
      <c r="C3445" s="9">
        <f>IFERROR(__xludf.DUMMYFUNCTION("""COMPUTED_VALUE"""),658.8)</f>
        <v>658.8</v>
      </c>
      <c r="D3445" s="9">
        <f>IFERROR(__xludf.DUMMYFUNCTION("""COMPUTED_VALUE"""),647.6)</f>
        <v>647.6</v>
      </c>
      <c r="E3445" s="9">
        <f>IFERROR(__xludf.DUMMYFUNCTION("""COMPUTED_VALUE"""),649.0)</f>
        <v>649</v>
      </c>
      <c r="F3445" s="9">
        <f>IFERROR(__xludf.DUMMYFUNCTION("""COMPUTED_VALUE"""),8379825.0)</f>
        <v>8379825</v>
      </c>
      <c r="H3445" s="27">
        <f>IFERROR(__xludf.DUMMYFUNCTION("""COMPUTED_VALUE"""),43458.64583333333)</f>
        <v>43458.64583</v>
      </c>
      <c r="I3445" s="25">
        <f>IFERROR(__xludf.DUMMYFUNCTION("""COMPUTED_VALUE"""),1905.8)</f>
        <v>1905.8</v>
      </c>
      <c r="J3445" s="25">
        <f>IFERROR(__xludf.DUMMYFUNCTION("""COMPUTED_VALUE"""),1938.9)</f>
        <v>1938.9</v>
      </c>
      <c r="K3445" s="25">
        <f>IFERROR(__xludf.DUMMYFUNCTION("""COMPUTED_VALUE"""),1905.0)</f>
        <v>1905</v>
      </c>
      <c r="L3445" s="25">
        <f>IFERROR(__xludf.DUMMYFUNCTION("""COMPUTED_VALUE"""),1918.5)</f>
        <v>1918.5</v>
      </c>
      <c r="M3445" s="25">
        <f>IFERROR(__xludf.DUMMYFUNCTION("""COMPUTED_VALUE"""),1864116.0)</f>
        <v>1864116</v>
      </c>
    </row>
    <row r="3446">
      <c r="A3446" s="26">
        <f>IFERROR(__xludf.DUMMYFUNCTION("""COMPUTED_VALUE"""),43460.64583333333)</f>
        <v>43460.64583</v>
      </c>
      <c r="B3446" s="9">
        <f>IFERROR(__xludf.DUMMYFUNCTION("""COMPUTED_VALUE"""),647.0)</f>
        <v>647</v>
      </c>
      <c r="C3446" s="9">
        <f>IFERROR(__xludf.DUMMYFUNCTION("""COMPUTED_VALUE"""),647.0)</f>
        <v>647</v>
      </c>
      <c r="D3446" s="9">
        <f>IFERROR(__xludf.DUMMYFUNCTION("""COMPUTED_VALUE"""),637.35)</f>
        <v>637.35</v>
      </c>
      <c r="E3446" s="9">
        <f>IFERROR(__xludf.DUMMYFUNCTION("""COMPUTED_VALUE"""),644.05)</f>
        <v>644.05</v>
      </c>
      <c r="F3446" s="9">
        <f>IFERROR(__xludf.DUMMYFUNCTION("""COMPUTED_VALUE"""),6178552.0)</f>
        <v>6178552</v>
      </c>
      <c r="H3446" s="27">
        <f>IFERROR(__xludf.DUMMYFUNCTION("""COMPUTED_VALUE"""),43460.64583333333)</f>
        <v>43460.64583</v>
      </c>
      <c r="I3446" s="25">
        <f>IFERROR(__xludf.DUMMYFUNCTION("""COMPUTED_VALUE"""),1921.8)</f>
        <v>1921.8</v>
      </c>
      <c r="J3446" s="25">
        <f>IFERROR(__xludf.DUMMYFUNCTION("""COMPUTED_VALUE"""),1921.8)</f>
        <v>1921.8</v>
      </c>
      <c r="K3446" s="25">
        <f>IFERROR(__xludf.DUMMYFUNCTION("""COMPUTED_VALUE"""),1870.25)</f>
        <v>1870.25</v>
      </c>
      <c r="L3446" s="25">
        <f>IFERROR(__xludf.DUMMYFUNCTION("""COMPUTED_VALUE"""),1889.2)</f>
        <v>1889.2</v>
      </c>
      <c r="M3446" s="25">
        <f>IFERROR(__xludf.DUMMYFUNCTION("""COMPUTED_VALUE"""),2446614.0)</f>
        <v>2446614</v>
      </c>
    </row>
    <row r="3447">
      <c r="A3447" s="26">
        <f>IFERROR(__xludf.DUMMYFUNCTION("""COMPUTED_VALUE"""),43461.64583333333)</f>
        <v>43461.64583</v>
      </c>
      <c r="B3447" s="9">
        <f>IFERROR(__xludf.DUMMYFUNCTION("""COMPUTED_VALUE"""),652.75)</f>
        <v>652.75</v>
      </c>
      <c r="C3447" s="9">
        <f>IFERROR(__xludf.DUMMYFUNCTION("""COMPUTED_VALUE"""),663.25)</f>
        <v>663.25</v>
      </c>
      <c r="D3447" s="9">
        <f>IFERROR(__xludf.DUMMYFUNCTION("""COMPUTED_VALUE"""),649.0)</f>
        <v>649</v>
      </c>
      <c r="E3447" s="9">
        <f>IFERROR(__xludf.DUMMYFUNCTION("""COMPUTED_VALUE"""),656.8)</f>
        <v>656.8</v>
      </c>
      <c r="F3447" s="9">
        <f>IFERROR(__xludf.DUMMYFUNCTION("""COMPUTED_VALUE"""),1.5333902E7)</f>
        <v>15333902</v>
      </c>
      <c r="H3447" s="27">
        <f>IFERROR(__xludf.DUMMYFUNCTION("""COMPUTED_VALUE"""),43461.64583333333)</f>
        <v>43461.64583</v>
      </c>
      <c r="I3447" s="25">
        <f>IFERROR(__xludf.DUMMYFUNCTION("""COMPUTED_VALUE"""),1909.0)</f>
        <v>1909</v>
      </c>
      <c r="J3447" s="25">
        <f>IFERROR(__xludf.DUMMYFUNCTION("""COMPUTED_VALUE"""),1941.7)</f>
        <v>1941.7</v>
      </c>
      <c r="K3447" s="25">
        <f>IFERROR(__xludf.DUMMYFUNCTION("""COMPUTED_VALUE"""),1872.1)</f>
        <v>1872.1</v>
      </c>
      <c r="L3447" s="25">
        <f>IFERROR(__xludf.DUMMYFUNCTION("""COMPUTED_VALUE"""),1908.95)</f>
        <v>1908.95</v>
      </c>
      <c r="M3447" s="25">
        <f>IFERROR(__xludf.DUMMYFUNCTION("""COMPUTED_VALUE"""),4968201.0)</f>
        <v>4968201</v>
      </c>
    </row>
    <row r="3448">
      <c r="A3448" s="26">
        <f>IFERROR(__xludf.DUMMYFUNCTION("""COMPUTED_VALUE"""),43462.64583333333)</f>
        <v>43462.64583</v>
      </c>
      <c r="B3448" s="9">
        <f>IFERROR(__xludf.DUMMYFUNCTION("""COMPUTED_VALUE"""),663.35)</f>
        <v>663.35</v>
      </c>
      <c r="C3448" s="9">
        <f>IFERROR(__xludf.DUMMYFUNCTION("""COMPUTED_VALUE"""),663.5)</f>
        <v>663.5</v>
      </c>
      <c r="D3448" s="9">
        <f>IFERROR(__xludf.DUMMYFUNCTION("""COMPUTED_VALUE"""),653.3)</f>
        <v>653.3</v>
      </c>
      <c r="E3448" s="9">
        <f>IFERROR(__xludf.DUMMYFUNCTION("""COMPUTED_VALUE"""),656.95)</f>
        <v>656.95</v>
      </c>
      <c r="F3448" s="9">
        <f>IFERROR(__xludf.DUMMYFUNCTION("""COMPUTED_VALUE"""),4736598.0)</f>
        <v>4736598</v>
      </c>
      <c r="H3448" s="27">
        <f>IFERROR(__xludf.DUMMYFUNCTION("""COMPUTED_VALUE"""),43462.64583333333)</f>
        <v>43462.64583</v>
      </c>
      <c r="I3448" s="25">
        <f>IFERROR(__xludf.DUMMYFUNCTION("""COMPUTED_VALUE"""),1915.0)</f>
        <v>1915</v>
      </c>
      <c r="J3448" s="25">
        <f>IFERROR(__xludf.DUMMYFUNCTION("""COMPUTED_VALUE"""),1920.0)</f>
        <v>1920</v>
      </c>
      <c r="K3448" s="25">
        <f>IFERROR(__xludf.DUMMYFUNCTION("""COMPUTED_VALUE"""),1893.0)</f>
        <v>1893</v>
      </c>
      <c r="L3448" s="25">
        <f>IFERROR(__xludf.DUMMYFUNCTION("""COMPUTED_VALUE"""),1896.05)</f>
        <v>1896.05</v>
      </c>
      <c r="M3448" s="25">
        <f>IFERROR(__xludf.DUMMYFUNCTION("""COMPUTED_VALUE"""),2239130.0)</f>
        <v>2239130</v>
      </c>
    </row>
    <row r="3449">
      <c r="A3449" s="26">
        <f>IFERROR(__xludf.DUMMYFUNCTION("""COMPUTED_VALUE"""),43465.64583333333)</f>
        <v>43465.64583</v>
      </c>
      <c r="B3449" s="9">
        <f>IFERROR(__xludf.DUMMYFUNCTION("""COMPUTED_VALUE"""),660.0)</f>
        <v>660</v>
      </c>
      <c r="C3449" s="9">
        <f>IFERROR(__xludf.DUMMYFUNCTION("""COMPUTED_VALUE"""),662.0)</f>
        <v>662</v>
      </c>
      <c r="D3449" s="9">
        <f>IFERROR(__xludf.DUMMYFUNCTION("""COMPUTED_VALUE"""),655.8)</f>
        <v>655.8</v>
      </c>
      <c r="E3449" s="9">
        <f>IFERROR(__xludf.DUMMYFUNCTION("""COMPUTED_VALUE"""),658.95)</f>
        <v>658.95</v>
      </c>
      <c r="F3449" s="9">
        <f>IFERROR(__xludf.DUMMYFUNCTION("""COMPUTED_VALUE"""),3373319.0)</f>
        <v>3373319</v>
      </c>
      <c r="H3449" s="27">
        <f>IFERROR(__xludf.DUMMYFUNCTION("""COMPUTED_VALUE"""),43465.64583333333)</f>
        <v>43465.64583</v>
      </c>
      <c r="I3449" s="25">
        <f>IFERROR(__xludf.DUMMYFUNCTION("""COMPUTED_VALUE"""),1908.0)</f>
        <v>1908</v>
      </c>
      <c r="J3449" s="25">
        <f>IFERROR(__xludf.DUMMYFUNCTION("""COMPUTED_VALUE"""),1909.0)</f>
        <v>1909</v>
      </c>
      <c r="K3449" s="25">
        <f>IFERROR(__xludf.DUMMYFUNCTION("""COMPUTED_VALUE"""),1886.15)</f>
        <v>1886.15</v>
      </c>
      <c r="L3449" s="25">
        <f>IFERROR(__xludf.DUMMYFUNCTION("""COMPUTED_VALUE"""),1893.05)</f>
        <v>1893.05</v>
      </c>
      <c r="M3449" s="25">
        <f>IFERROR(__xludf.DUMMYFUNCTION("""COMPUTED_VALUE"""),1879740.0)</f>
        <v>1879740</v>
      </c>
    </row>
    <row r="3450">
      <c r="A3450" s="26">
        <f>IFERROR(__xludf.DUMMYFUNCTION("""COMPUTED_VALUE"""),43466.64583333333)</f>
        <v>43466.64583</v>
      </c>
      <c r="B3450" s="9">
        <f>IFERROR(__xludf.DUMMYFUNCTION("""COMPUTED_VALUE"""),660.95)</f>
        <v>660.95</v>
      </c>
      <c r="C3450" s="9">
        <f>IFERROR(__xludf.DUMMYFUNCTION("""COMPUTED_VALUE"""),666.3)</f>
        <v>666.3</v>
      </c>
      <c r="D3450" s="9">
        <f>IFERROR(__xludf.DUMMYFUNCTION("""COMPUTED_VALUE"""),654.15)</f>
        <v>654.15</v>
      </c>
      <c r="E3450" s="9">
        <f>IFERROR(__xludf.DUMMYFUNCTION("""COMPUTED_VALUE"""),665.05)</f>
        <v>665.05</v>
      </c>
      <c r="F3450" s="9">
        <f>IFERROR(__xludf.DUMMYFUNCTION("""COMPUTED_VALUE"""),2943390.0)</f>
        <v>2943390</v>
      </c>
      <c r="H3450" s="27">
        <f>IFERROR(__xludf.DUMMYFUNCTION("""COMPUTED_VALUE"""),43466.64583333333)</f>
        <v>43466.64583</v>
      </c>
      <c r="I3450" s="25">
        <f>IFERROR(__xludf.DUMMYFUNCTION("""COMPUTED_VALUE"""),1896.0)</f>
        <v>1896</v>
      </c>
      <c r="J3450" s="25">
        <f>IFERROR(__xludf.DUMMYFUNCTION("""COMPUTED_VALUE"""),1910.0)</f>
        <v>1910</v>
      </c>
      <c r="K3450" s="25">
        <f>IFERROR(__xludf.DUMMYFUNCTION("""COMPUTED_VALUE"""),1885.0)</f>
        <v>1885</v>
      </c>
      <c r="L3450" s="25">
        <f>IFERROR(__xludf.DUMMYFUNCTION("""COMPUTED_VALUE"""),1902.8)</f>
        <v>1902.8</v>
      </c>
      <c r="M3450" s="25">
        <f>IFERROR(__xludf.DUMMYFUNCTION("""COMPUTED_VALUE"""),1094883.0)</f>
        <v>1094883</v>
      </c>
    </row>
    <row r="3451">
      <c r="A3451" s="26">
        <f>IFERROR(__xludf.DUMMYFUNCTION("""COMPUTED_VALUE"""),43467.64583333333)</f>
        <v>43467.64583</v>
      </c>
      <c r="B3451" s="9">
        <f>IFERROR(__xludf.DUMMYFUNCTION("""COMPUTED_VALUE"""),666.0)</f>
        <v>666</v>
      </c>
      <c r="C3451" s="9">
        <f>IFERROR(__xludf.DUMMYFUNCTION("""COMPUTED_VALUE"""),674.0)</f>
        <v>674</v>
      </c>
      <c r="D3451" s="9">
        <f>IFERROR(__xludf.DUMMYFUNCTION("""COMPUTED_VALUE"""),662.05)</f>
        <v>662.05</v>
      </c>
      <c r="E3451" s="9">
        <f>IFERROR(__xludf.DUMMYFUNCTION("""COMPUTED_VALUE"""),669.05)</f>
        <v>669.05</v>
      </c>
      <c r="F3451" s="9">
        <f>IFERROR(__xludf.DUMMYFUNCTION("""COMPUTED_VALUE"""),7416655.0)</f>
        <v>7416655</v>
      </c>
      <c r="H3451" s="27">
        <f>IFERROR(__xludf.DUMMYFUNCTION("""COMPUTED_VALUE"""),43467.64583333333)</f>
        <v>43467.64583</v>
      </c>
      <c r="I3451" s="25">
        <f>IFERROR(__xludf.DUMMYFUNCTION("""COMPUTED_VALUE"""),1905.0)</f>
        <v>1905</v>
      </c>
      <c r="J3451" s="25">
        <f>IFERROR(__xludf.DUMMYFUNCTION("""COMPUTED_VALUE"""),1934.45)</f>
        <v>1934.45</v>
      </c>
      <c r="K3451" s="25">
        <f>IFERROR(__xludf.DUMMYFUNCTION("""COMPUTED_VALUE"""),1900.0)</f>
        <v>1900</v>
      </c>
      <c r="L3451" s="25">
        <f>IFERROR(__xludf.DUMMYFUNCTION("""COMPUTED_VALUE"""),1923.3)</f>
        <v>1923.3</v>
      </c>
      <c r="M3451" s="25">
        <f>IFERROR(__xludf.DUMMYFUNCTION("""COMPUTED_VALUE"""),2100463.0)</f>
        <v>2100463</v>
      </c>
    </row>
    <row r="3452">
      <c r="A3452" s="26">
        <f>IFERROR(__xludf.DUMMYFUNCTION("""COMPUTED_VALUE"""),43468.64583333333)</f>
        <v>43468.64583</v>
      </c>
      <c r="B3452" s="9">
        <f>IFERROR(__xludf.DUMMYFUNCTION("""COMPUTED_VALUE"""),672.0)</f>
        <v>672</v>
      </c>
      <c r="C3452" s="9">
        <f>IFERROR(__xludf.DUMMYFUNCTION("""COMPUTED_VALUE"""),677.0)</f>
        <v>677</v>
      </c>
      <c r="D3452" s="9">
        <f>IFERROR(__xludf.DUMMYFUNCTION("""COMPUTED_VALUE"""),663.1)</f>
        <v>663.1</v>
      </c>
      <c r="E3452" s="9">
        <f>IFERROR(__xludf.DUMMYFUNCTION("""COMPUTED_VALUE"""),669.15)</f>
        <v>669.15</v>
      </c>
      <c r="F3452" s="9">
        <f>IFERROR(__xludf.DUMMYFUNCTION("""COMPUTED_VALUE"""),6827249.0)</f>
        <v>6827249</v>
      </c>
      <c r="H3452" s="27">
        <f>IFERROR(__xludf.DUMMYFUNCTION("""COMPUTED_VALUE"""),43468.64583333333)</f>
        <v>43468.64583</v>
      </c>
      <c r="I3452" s="25">
        <f>IFERROR(__xludf.DUMMYFUNCTION("""COMPUTED_VALUE"""),1919.0)</f>
        <v>1919</v>
      </c>
      <c r="J3452" s="25">
        <f>IFERROR(__xludf.DUMMYFUNCTION("""COMPUTED_VALUE"""),1944.95)</f>
        <v>1944.95</v>
      </c>
      <c r="K3452" s="25">
        <f>IFERROR(__xludf.DUMMYFUNCTION("""COMPUTED_VALUE"""),1893.1)</f>
        <v>1893.1</v>
      </c>
      <c r="L3452" s="25">
        <f>IFERROR(__xludf.DUMMYFUNCTION("""COMPUTED_VALUE"""),1899.95)</f>
        <v>1899.95</v>
      </c>
      <c r="M3452" s="25">
        <f>IFERROR(__xludf.DUMMYFUNCTION("""COMPUTED_VALUE"""),2611668.0)</f>
        <v>2611668</v>
      </c>
    </row>
    <row r="3453">
      <c r="A3453" s="26">
        <f>IFERROR(__xludf.DUMMYFUNCTION("""COMPUTED_VALUE"""),43469.64583333333)</f>
        <v>43469.64583</v>
      </c>
      <c r="B3453" s="9">
        <f>IFERROR(__xludf.DUMMYFUNCTION("""COMPUTED_VALUE"""),671.75)</f>
        <v>671.75</v>
      </c>
      <c r="C3453" s="9">
        <f>IFERROR(__xludf.DUMMYFUNCTION("""COMPUTED_VALUE"""),673.9)</f>
        <v>673.9</v>
      </c>
      <c r="D3453" s="9">
        <f>IFERROR(__xludf.DUMMYFUNCTION("""COMPUTED_VALUE"""),651.0)</f>
        <v>651</v>
      </c>
      <c r="E3453" s="9">
        <f>IFERROR(__xludf.DUMMYFUNCTION("""COMPUTED_VALUE"""),661.05)</f>
        <v>661.05</v>
      </c>
      <c r="F3453" s="9">
        <f>IFERROR(__xludf.DUMMYFUNCTION("""COMPUTED_VALUE"""),7889310.0)</f>
        <v>7889310</v>
      </c>
      <c r="H3453" s="27">
        <f>IFERROR(__xludf.DUMMYFUNCTION("""COMPUTED_VALUE"""),43469.64583333333)</f>
        <v>43469.64583</v>
      </c>
      <c r="I3453" s="25">
        <f>IFERROR(__xludf.DUMMYFUNCTION("""COMPUTED_VALUE"""),1900.0)</f>
        <v>1900</v>
      </c>
      <c r="J3453" s="25">
        <f>IFERROR(__xludf.DUMMYFUNCTION("""COMPUTED_VALUE"""),1901.2)</f>
        <v>1901.2</v>
      </c>
      <c r="K3453" s="25">
        <f>IFERROR(__xludf.DUMMYFUNCTION("""COMPUTED_VALUE"""),1841.0)</f>
        <v>1841</v>
      </c>
      <c r="L3453" s="25">
        <f>IFERROR(__xludf.DUMMYFUNCTION("""COMPUTED_VALUE"""),1876.85)</f>
        <v>1876.85</v>
      </c>
      <c r="M3453" s="25">
        <f>IFERROR(__xludf.DUMMYFUNCTION("""COMPUTED_VALUE"""),4280862.0)</f>
        <v>4280862</v>
      </c>
    </row>
    <row r="3454">
      <c r="A3454" s="26">
        <f>IFERROR(__xludf.DUMMYFUNCTION("""COMPUTED_VALUE"""),43472.64583333333)</f>
        <v>43472.64583</v>
      </c>
      <c r="B3454" s="9">
        <f>IFERROR(__xludf.DUMMYFUNCTION("""COMPUTED_VALUE"""),665.0)</f>
        <v>665</v>
      </c>
      <c r="C3454" s="9">
        <f>IFERROR(__xludf.DUMMYFUNCTION("""COMPUTED_VALUE"""),673.6)</f>
        <v>673.6</v>
      </c>
      <c r="D3454" s="9">
        <f>IFERROR(__xludf.DUMMYFUNCTION("""COMPUTED_VALUE"""),661.5)</f>
        <v>661.5</v>
      </c>
      <c r="E3454" s="9">
        <f>IFERROR(__xludf.DUMMYFUNCTION("""COMPUTED_VALUE"""),671.7)</f>
        <v>671.7</v>
      </c>
      <c r="F3454" s="9">
        <f>IFERROR(__xludf.DUMMYFUNCTION("""COMPUTED_VALUE"""),8046340.0)</f>
        <v>8046340</v>
      </c>
      <c r="H3454" s="27">
        <f>IFERROR(__xludf.DUMMYFUNCTION("""COMPUTED_VALUE"""),43472.64583333333)</f>
        <v>43472.64583</v>
      </c>
      <c r="I3454" s="25">
        <f>IFERROR(__xludf.DUMMYFUNCTION("""COMPUTED_VALUE"""),1891.8)</f>
        <v>1891.8</v>
      </c>
      <c r="J3454" s="25">
        <f>IFERROR(__xludf.DUMMYFUNCTION("""COMPUTED_VALUE"""),1908.8)</f>
        <v>1908.8</v>
      </c>
      <c r="K3454" s="25">
        <f>IFERROR(__xludf.DUMMYFUNCTION("""COMPUTED_VALUE"""),1881.0)</f>
        <v>1881</v>
      </c>
      <c r="L3454" s="25">
        <f>IFERROR(__xludf.DUMMYFUNCTION("""COMPUTED_VALUE"""),1897.9)</f>
        <v>1897.9</v>
      </c>
      <c r="M3454" s="25">
        <f>IFERROR(__xludf.DUMMYFUNCTION("""COMPUTED_VALUE"""),1856423.0)</f>
        <v>1856423</v>
      </c>
    </row>
    <row r="3455">
      <c r="A3455" s="26">
        <f>IFERROR(__xludf.DUMMYFUNCTION("""COMPUTED_VALUE"""),43473.64583333333)</f>
        <v>43473.64583</v>
      </c>
      <c r="B3455" s="9">
        <f>IFERROR(__xludf.DUMMYFUNCTION("""COMPUTED_VALUE"""),674.95)</f>
        <v>674.95</v>
      </c>
      <c r="C3455" s="9">
        <f>IFERROR(__xludf.DUMMYFUNCTION("""COMPUTED_VALUE"""),677.45)</f>
        <v>677.45</v>
      </c>
      <c r="D3455" s="9">
        <f>IFERROR(__xludf.DUMMYFUNCTION("""COMPUTED_VALUE"""),668.55)</f>
        <v>668.55</v>
      </c>
      <c r="E3455" s="9">
        <f>IFERROR(__xludf.DUMMYFUNCTION("""COMPUTED_VALUE"""),670.05)</f>
        <v>670.05</v>
      </c>
      <c r="F3455" s="9">
        <f>IFERROR(__xludf.DUMMYFUNCTION("""COMPUTED_VALUE"""),8621545.0)</f>
        <v>8621545</v>
      </c>
      <c r="H3455" s="27">
        <f>IFERROR(__xludf.DUMMYFUNCTION("""COMPUTED_VALUE"""),43473.64583333333)</f>
        <v>43473.64583</v>
      </c>
      <c r="I3455" s="25">
        <f>IFERROR(__xludf.DUMMYFUNCTION("""COMPUTED_VALUE"""),1905.4)</f>
        <v>1905.4</v>
      </c>
      <c r="J3455" s="25">
        <f>IFERROR(__xludf.DUMMYFUNCTION("""COMPUTED_VALUE"""),1906.4)</f>
        <v>1906.4</v>
      </c>
      <c r="K3455" s="25">
        <f>IFERROR(__xludf.DUMMYFUNCTION("""COMPUTED_VALUE"""),1883.3)</f>
        <v>1883.3</v>
      </c>
      <c r="L3455" s="25">
        <f>IFERROR(__xludf.DUMMYFUNCTION("""COMPUTED_VALUE"""),1893.55)</f>
        <v>1893.55</v>
      </c>
      <c r="M3455" s="25">
        <f>IFERROR(__xludf.DUMMYFUNCTION("""COMPUTED_VALUE"""),1691756.0)</f>
        <v>1691756</v>
      </c>
    </row>
    <row r="3456">
      <c r="A3456" s="26">
        <f>IFERROR(__xludf.DUMMYFUNCTION("""COMPUTED_VALUE"""),43474.64583333333)</f>
        <v>43474.64583</v>
      </c>
      <c r="B3456" s="9">
        <f>IFERROR(__xludf.DUMMYFUNCTION("""COMPUTED_VALUE"""),686.2)</f>
        <v>686.2</v>
      </c>
      <c r="C3456" s="9">
        <f>IFERROR(__xludf.DUMMYFUNCTION("""COMPUTED_VALUE"""),689.8)</f>
        <v>689.8</v>
      </c>
      <c r="D3456" s="9">
        <f>IFERROR(__xludf.DUMMYFUNCTION("""COMPUTED_VALUE"""),664.0)</f>
        <v>664</v>
      </c>
      <c r="E3456" s="9">
        <f>IFERROR(__xludf.DUMMYFUNCTION("""COMPUTED_VALUE"""),676.1)</f>
        <v>676.1</v>
      </c>
      <c r="F3456" s="9">
        <f>IFERROR(__xludf.DUMMYFUNCTION("""COMPUTED_VALUE"""),1.8130292E7)</f>
        <v>18130292</v>
      </c>
      <c r="H3456" s="27">
        <f>IFERROR(__xludf.DUMMYFUNCTION("""COMPUTED_VALUE"""),43474.64583333333)</f>
        <v>43474.64583</v>
      </c>
      <c r="I3456" s="25">
        <f>IFERROR(__xludf.DUMMYFUNCTION("""COMPUTED_VALUE"""),1907.4)</f>
        <v>1907.4</v>
      </c>
      <c r="J3456" s="25">
        <f>IFERROR(__xludf.DUMMYFUNCTION("""COMPUTED_VALUE"""),1919.0)</f>
        <v>1919</v>
      </c>
      <c r="K3456" s="25">
        <f>IFERROR(__xludf.DUMMYFUNCTION("""COMPUTED_VALUE"""),1866.7)</f>
        <v>1866.7</v>
      </c>
      <c r="L3456" s="25">
        <f>IFERROR(__xludf.DUMMYFUNCTION("""COMPUTED_VALUE"""),1886.95)</f>
        <v>1886.95</v>
      </c>
      <c r="M3456" s="25">
        <f>IFERROR(__xludf.DUMMYFUNCTION("""COMPUTED_VALUE"""),2414376.0)</f>
        <v>2414376</v>
      </c>
    </row>
    <row r="3457">
      <c r="A3457" s="26">
        <f>IFERROR(__xludf.DUMMYFUNCTION("""COMPUTED_VALUE"""),43475.64583333333)</f>
        <v>43475.64583</v>
      </c>
      <c r="B3457" s="9">
        <f>IFERROR(__xludf.DUMMYFUNCTION("""COMPUTED_VALUE"""),681.6)</f>
        <v>681.6</v>
      </c>
      <c r="C3457" s="9">
        <f>IFERROR(__xludf.DUMMYFUNCTION("""COMPUTED_VALUE"""),682.0)</f>
        <v>682</v>
      </c>
      <c r="D3457" s="9">
        <f>IFERROR(__xludf.DUMMYFUNCTION("""COMPUTED_VALUE"""),672.55)</f>
        <v>672.55</v>
      </c>
      <c r="E3457" s="9">
        <f>IFERROR(__xludf.DUMMYFUNCTION("""COMPUTED_VALUE"""),679.7)</f>
        <v>679.7</v>
      </c>
      <c r="F3457" s="9">
        <f>IFERROR(__xludf.DUMMYFUNCTION("""COMPUTED_VALUE"""),9572493.0)</f>
        <v>9572493</v>
      </c>
      <c r="H3457" s="27">
        <f>IFERROR(__xludf.DUMMYFUNCTION("""COMPUTED_VALUE"""),43475.64583333333)</f>
        <v>43475.64583</v>
      </c>
      <c r="I3457" s="25">
        <f>IFERROR(__xludf.DUMMYFUNCTION("""COMPUTED_VALUE"""),1890.0)</f>
        <v>1890</v>
      </c>
      <c r="J3457" s="25">
        <f>IFERROR(__xludf.DUMMYFUNCTION("""COMPUTED_VALUE"""),1905.0)</f>
        <v>1905</v>
      </c>
      <c r="K3457" s="25">
        <f>IFERROR(__xludf.DUMMYFUNCTION("""COMPUTED_VALUE"""),1872.1)</f>
        <v>1872.1</v>
      </c>
      <c r="L3457" s="25">
        <f>IFERROR(__xludf.DUMMYFUNCTION("""COMPUTED_VALUE"""),1888.55)</f>
        <v>1888.55</v>
      </c>
      <c r="M3457" s="25">
        <f>IFERROR(__xludf.DUMMYFUNCTION("""COMPUTED_VALUE"""),3053461.0)</f>
        <v>3053461</v>
      </c>
    </row>
    <row r="3458">
      <c r="A3458" s="26">
        <f>IFERROR(__xludf.DUMMYFUNCTION("""COMPUTED_VALUE"""),43476.64583333333)</f>
        <v>43476.64583</v>
      </c>
      <c r="B3458" s="9">
        <f>IFERROR(__xludf.DUMMYFUNCTION("""COMPUTED_VALUE"""),680.2)</f>
        <v>680.2</v>
      </c>
      <c r="C3458" s="9">
        <f>IFERROR(__xludf.DUMMYFUNCTION("""COMPUTED_VALUE"""),685.5)</f>
        <v>685.5</v>
      </c>
      <c r="D3458" s="9">
        <f>IFERROR(__xludf.DUMMYFUNCTION("""COMPUTED_VALUE"""),672.5)</f>
        <v>672.5</v>
      </c>
      <c r="E3458" s="9">
        <f>IFERROR(__xludf.DUMMYFUNCTION("""COMPUTED_VALUE"""),683.5)</f>
        <v>683.5</v>
      </c>
      <c r="F3458" s="9">
        <f>IFERROR(__xludf.DUMMYFUNCTION("""COMPUTED_VALUE"""),1.2281903E7)</f>
        <v>12281903</v>
      </c>
      <c r="H3458" s="27">
        <f>IFERROR(__xludf.DUMMYFUNCTION("""COMPUTED_VALUE"""),43476.64583333333)</f>
        <v>43476.64583</v>
      </c>
      <c r="I3458" s="25">
        <f>IFERROR(__xludf.DUMMYFUNCTION("""COMPUTED_VALUE"""),1870.0)</f>
        <v>1870</v>
      </c>
      <c r="J3458" s="25">
        <f>IFERROR(__xludf.DUMMYFUNCTION("""COMPUTED_VALUE"""),1875.0)</f>
        <v>1875</v>
      </c>
      <c r="K3458" s="25">
        <f>IFERROR(__xludf.DUMMYFUNCTION("""COMPUTED_VALUE"""),1835.0)</f>
        <v>1835</v>
      </c>
      <c r="L3458" s="25">
        <f>IFERROR(__xludf.DUMMYFUNCTION("""COMPUTED_VALUE"""),1842.55)</f>
        <v>1842.55</v>
      </c>
      <c r="M3458" s="25">
        <f>IFERROR(__xludf.DUMMYFUNCTION("""COMPUTED_VALUE"""),9209862.0)</f>
        <v>9209862</v>
      </c>
    </row>
    <row r="3459">
      <c r="A3459" s="26">
        <f>IFERROR(__xludf.DUMMYFUNCTION("""COMPUTED_VALUE"""),43479.64583333333)</f>
        <v>43479.64583</v>
      </c>
      <c r="B3459" s="9">
        <f>IFERROR(__xludf.DUMMYFUNCTION("""COMPUTED_VALUE"""),707.0)</f>
        <v>707</v>
      </c>
      <c r="C3459" s="9">
        <f>IFERROR(__xludf.DUMMYFUNCTION("""COMPUTED_VALUE"""),710.2)</f>
        <v>710.2</v>
      </c>
      <c r="D3459" s="9">
        <f>IFERROR(__xludf.DUMMYFUNCTION("""COMPUTED_VALUE"""),695.95)</f>
        <v>695.95</v>
      </c>
      <c r="E3459" s="9">
        <f>IFERROR(__xludf.DUMMYFUNCTION("""COMPUTED_VALUE"""),701.9)</f>
        <v>701.9</v>
      </c>
      <c r="F3459" s="9">
        <f>IFERROR(__xludf.DUMMYFUNCTION("""COMPUTED_VALUE"""),1.9312937E7)</f>
        <v>19312937</v>
      </c>
      <c r="H3459" s="27">
        <f>IFERROR(__xludf.DUMMYFUNCTION("""COMPUTED_VALUE"""),43479.64583333333)</f>
        <v>43479.64583</v>
      </c>
      <c r="I3459" s="25">
        <f>IFERROR(__xludf.DUMMYFUNCTION("""COMPUTED_VALUE"""),1850.0)</f>
        <v>1850</v>
      </c>
      <c r="J3459" s="25">
        <f>IFERROR(__xludf.DUMMYFUNCTION("""COMPUTED_VALUE"""),1851.0)</f>
        <v>1851</v>
      </c>
      <c r="K3459" s="25">
        <f>IFERROR(__xludf.DUMMYFUNCTION("""COMPUTED_VALUE"""),1810.0)</f>
        <v>1810</v>
      </c>
      <c r="L3459" s="25">
        <f>IFERROR(__xludf.DUMMYFUNCTION("""COMPUTED_VALUE"""),1813.25)</f>
        <v>1813.25</v>
      </c>
      <c r="M3459" s="25">
        <f>IFERROR(__xludf.DUMMYFUNCTION("""COMPUTED_VALUE"""),3615370.0)</f>
        <v>3615370</v>
      </c>
    </row>
    <row r="3460">
      <c r="A3460" s="26">
        <f>IFERROR(__xludf.DUMMYFUNCTION("""COMPUTED_VALUE"""),43480.64583333333)</f>
        <v>43480.64583</v>
      </c>
      <c r="B3460" s="9">
        <f>IFERROR(__xludf.DUMMYFUNCTION("""COMPUTED_VALUE"""),707.2)</f>
        <v>707.2</v>
      </c>
      <c r="C3460" s="9">
        <f>IFERROR(__xludf.DUMMYFUNCTION("""COMPUTED_VALUE"""),730.0)</f>
        <v>730</v>
      </c>
      <c r="D3460" s="9">
        <f>IFERROR(__xludf.DUMMYFUNCTION("""COMPUTED_VALUE"""),707.2)</f>
        <v>707.2</v>
      </c>
      <c r="E3460" s="9">
        <f>IFERROR(__xludf.DUMMYFUNCTION("""COMPUTED_VALUE"""),726.6)</f>
        <v>726.6</v>
      </c>
      <c r="F3460" s="9">
        <f>IFERROR(__xludf.DUMMYFUNCTION("""COMPUTED_VALUE"""),1.9671304E7)</f>
        <v>19671304</v>
      </c>
      <c r="H3460" s="27">
        <f>IFERROR(__xludf.DUMMYFUNCTION("""COMPUTED_VALUE"""),43480.64583333333)</f>
        <v>43480.64583</v>
      </c>
      <c r="I3460" s="25">
        <f>IFERROR(__xludf.DUMMYFUNCTION("""COMPUTED_VALUE"""),1810.0)</f>
        <v>1810</v>
      </c>
      <c r="J3460" s="25">
        <f>IFERROR(__xludf.DUMMYFUNCTION("""COMPUTED_VALUE"""),1869.35)</f>
        <v>1869.35</v>
      </c>
      <c r="K3460" s="25">
        <f>IFERROR(__xludf.DUMMYFUNCTION("""COMPUTED_VALUE"""),1808.0)</f>
        <v>1808</v>
      </c>
      <c r="L3460" s="25">
        <f>IFERROR(__xludf.DUMMYFUNCTION("""COMPUTED_VALUE"""),1867.8)</f>
        <v>1867.8</v>
      </c>
      <c r="M3460" s="25">
        <f>IFERROR(__xludf.DUMMYFUNCTION("""COMPUTED_VALUE"""),7711653.0)</f>
        <v>7711653</v>
      </c>
    </row>
    <row r="3461">
      <c r="A3461" s="26">
        <f>IFERROR(__xludf.DUMMYFUNCTION("""COMPUTED_VALUE"""),43481.64583333333)</f>
        <v>43481.64583</v>
      </c>
      <c r="B3461" s="9">
        <f>IFERROR(__xludf.DUMMYFUNCTION("""COMPUTED_VALUE"""),729.9)</f>
        <v>729.9</v>
      </c>
      <c r="C3461" s="9">
        <f>IFERROR(__xludf.DUMMYFUNCTION("""COMPUTED_VALUE"""),737.8)</f>
        <v>737.8</v>
      </c>
      <c r="D3461" s="9">
        <f>IFERROR(__xludf.DUMMYFUNCTION("""COMPUTED_VALUE"""),728.5)</f>
        <v>728.5</v>
      </c>
      <c r="E3461" s="9">
        <f>IFERROR(__xludf.DUMMYFUNCTION("""COMPUTED_VALUE"""),736.8)</f>
        <v>736.8</v>
      </c>
      <c r="F3461" s="9">
        <f>IFERROR(__xludf.DUMMYFUNCTION("""COMPUTED_VALUE"""),9658944.0)</f>
        <v>9658944</v>
      </c>
      <c r="H3461" s="27">
        <f>IFERROR(__xludf.DUMMYFUNCTION("""COMPUTED_VALUE"""),43481.64583333333)</f>
        <v>43481.64583</v>
      </c>
      <c r="I3461" s="25">
        <f>IFERROR(__xludf.DUMMYFUNCTION("""COMPUTED_VALUE"""),1870.0)</f>
        <v>1870</v>
      </c>
      <c r="J3461" s="25">
        <f>IFERROR(__xludf.DUMMYFUNCTION("""COMPUTED_VALUE"""),1875.0)</f>
        <v>1875</v>
      </c>
      <c r="K3461" s="25">
        <f>IFERROR(__xludf.DUMMYFUNCTION("""COMPUTED_VALUE"""),1847.0)</f>
        <v>1847</v>
      </c>
      <c r="L3461" s="25">
        <f>IFERROR(__xludf.DUMMYFUNCTION("""COMPUTED_VALUE"""),1870.15)</f>
        <v>1870.15</v>
      </c>
      <c r="M3461" s="25">
        <f>IFERROR(__xludf.DUMMYFUNCTION("""COMPUTED_VALUE"""),2359280.0)</f>
        <v>2359280</v>
      </c>
    </row>
    <row r="3462">
      <c r="A3462" s="26">
        <f>IFERROR(__xludf.DUMMYFUNCTION("""COMPUTED_VALUE"""),43482.64583333333)</f>
        <v>43482.64583</v>
      </c>
      <c r="B3462" s="9">
        <f>IFERROR(__xludf.DUMMYFUNCTION("""COMPUTED_VALUE"""),735.8)</f>
        <v>735.8</v>
      </c>
      <c r="C3462" s="9">
        <f>IFERROR(__xludf.DUMMYFUNCTION("""COMPUTED_VALUE"""),739.0)</f>
        <v>739</v>
      </c>
      <c r="D3462" s="9">
        <f>IFERROR(__xludf.DUMMYFUNCTION("""COMPUTED_VALUE"""),729.1)</f>
        <v>729.1</v>
      </c>
      <c r="E3462" s="9">
        <f>IFERROR(__xludf.DUMMYFUNCTION("""COMPUTED_VALUE"""),733.35)</f>
        <v>733.35</v>
      </c>
      <c r="F3462" s="9">
        <f>IFERROR(__xludf.DUMMYFUNCTION("""COMPUTED_VALUE"""),6903771.0)</f>
        <v>6903771</v>
      </c>
      <c r="H3462" s="27">
        <f>IFERROR(__xludf.DUMMYFUNCTION("""COMPUTED_VALUE"""),43482.64583333333)</f>
        <v>43482.64583</v>
      </c>
      <c r="I3462" s="25">
        <f>IFERROR(__xludf.DUMMYFUNCTION("""COMPUTED_VALUE"""),1878.0)</f>
        <v>1878</v>
      </c>
      <c r="J3462" s="25">
        <f>IFERROR(__xludf.DUMMYFUNCTION("""COMPUTED_VALUE"""),1898.0)</f>
        <v>1898</v>
      </c>
      <c r="K3462" s="25">
        <f>IFERROR(__xludf.DUMMYFUNCTION("""COMPUTED_VALUE"""),1871.3)</f>
        <v>1871.3</v>
      </c>
      <c r="L3462" s="25">
        <f>IFERROR(__xludf.DUMMYFUNCTION("""COMPUTED_VALUE"""),1894.3)</f>
        <v>1894.3</v>
      </c>
      <c r="M3462" s="25">
        <f>IFERROR(__xludf.DUMMYFUNCTION("""COMPUTED_VALUE"""),2625816.0)</f>
        <v>2625816</v>
      </c>
    </row>
    <row r="3463">
      <c r="A3463" s="26">
        <f>IFERROR(__xludf.DUMMYFUNCTION("""COMPUTED_VALUE"""),43483.64583333333)</f>
        <v>43483.64583</v>
      </c>
      <c r="B3463" s="9">
        <f>IFERROR(__xludf.DUMMYFUNCTION("""COMPUTED_VALUE"""),730.0)</f>
        <v>730</v>
      </c>
      <c r="C3463" s="9">
        <f>IFERROR(__xludf.DUMMYFUNCTION("""COMPUTED_VALUE"""),736.2)</f>
        <v>736.2</v>
      </c>
      <c r="D3463" s="9">
        <f>IFERROR(__xludf.DUMMYFUNCTION("""COMPUTED_VALUE"""),726.3)</f>
        <v>726.3</v>
      </c>
      <c r="E3463" s="9">
        <f>IFERROR(__xludf.DUMMYFUNCTION("""COMPUTED_VALUE"""),730.95)</f>
        <v>730.95</v>
      </c>
      <c r="F3463" s="9">
        <f>IFERROR(__xludf.DUMMYFUNCTION("""COMPUTED_VALUE"""),5902151.0)</f>
        <v>5902151</v>
      </c>
      <c r="H3463" s="27">
        <f>IFERROR(__xludf.DUMMYFUNCTION("""COMPUTED_VALUE"""),43483.64583333333)</f>
        <v>43483.64583</v>
      </c>
      <c r="I3463" s="25">
        <f>IFERROR(__xludf.DUMMYFUNCTION("""COMPUTED_VALUE"""),1881.0)</f>
        <v>1881</v>
      </c>
      <c r="J3463" s="25">
        <f>IFERROR(__xludf.DUMMYFUNCTION("""COMPUTED_VALUE"""),1904.2)</f>
        <v>1904.2</v>
      </c>
      <c r="K3463" s="25">
        <f>IFERROR(__xludf.DUMMYFUNCTION("""COMPUTED_VALUE"""),1876.0)</f>
        <v>1876</v>
      </c>
      <c r="L3463" s="25">
        <f>IFERROR(__xludf.DUMMYFUNCTION("""COMPUTED_VALUE"""),1900.65)</f>
        <v>1900.65</v>
      </c>
      <c r="M3463" s="25">
        <f>IFERROR(__xludf.DUMMYFUNCTION("""COMPUTED_VALUE"""),1683728.0)</f>
        <v>1683728</v>
      </c>
    </row>
    <row r="3464">
      <c r="A3464" s="26">
        <f>IFERROR(__xludf.DUMMYFUNCTION("""COMPUTED_VALUE"""),43486.64583333333)</f>
        <v>43486.64583</v>
      </c>
      <c r="B3464" s="9">
        <f>IFERROR(__xludf.DUMMYFUNCTION("""COMPUTED_VALUE"""),738.2)</f>
        <v>738.2</v>
      </c>
      <c r="C3464" s="9">
        <f>IFERROR(__xludf.DUMMYFUNCTION("""COMPUTED_VALUE"""),751.0)</f>
        <v>751</v>
      </c>
      <c r="D3464" s="9">
        <f>IFERROR(__xludf.DUMMYFUNCTION("""COMPUTED_VALUE"""),734.0)</f>
        <v>734</v>
      </c>
      <c r="E3464" s="9">
        <f>IFERROR(__xludf.DUMMYFUNCTION("""COMPUTED_VALUE"""),745.0)</f>
        <v>745</v>
      </c>
      <c r="F3464" s="9">
        <f>IFERROR(__xludf.DUMMYFUNCTION("""COMPUTED_VALUE"""),8129422.0)</f>
        <v>8129422</v>
      </c>
      <c r="H3464" s="27">
        <f>IFERROR(__xludf.DUMMYFUNCTION("""COMPUTED_VALUE"""),43486.64583333333)</f>
        <v>43486.64583</v>
      </c>
      <c r="I3464" s="25">
        <f>IFERROR(__xludf.DUMMYFUNCTION("""COMPUTED_VALUE"""),1902.0)</f>
        <v>1902</v>
      </c>
      <c r="J3464" s="25">
        <f>IFERROR(__xludf.DUMMYFUNCTION("""COMPUTED_VALUE"""),1932.0)</f>
        <v>1932</v>
      </c>
      <c r="K3464" s="25">
        <f>IFERROR(__xludf.DUMMYFUNCTION("""COMPUTED_VALUE"""),1895.45)</f>
        <v>1895.45</v>
      </c>
      <c r="L3464" s="25">
        <f>IFERROR(__xludf.DUMMYFUNCTION("""COMPUTED_VALUE"""),1908.7)</f>
        <v>1908.7</v>
      </c>
      <c r="M3464" s="25">
        <f>IFERROR(__xludf.DUMMYFUNCTION("""COMPUTED_VALUE"""),2409803.0)</f>
        <v>2409803</v>
      </c>
    </row>
    <row r="3465">
      <c r="A3465" s="26">
        <f>IFERROR(__xludf.DUMMYFUNCTION("""COMPUTED_VALUE"""),43487.64583333333)</f>
        <v>43487.64583</v>
      </c>
      <c r="B3465" s="9">
        <f>IFERROR(__xludf.DUMMYFUNCTION("""COMPUTED_VALUE"""),741.25)</f>
        <v>741.25</v>
      </c>
      <c r="C3465" s="9">
        <f>IFERROR(__xludf.DUMMYFUNCTION("""COMPUTED_VALUE"""),749.0)</f>
        <v>749</v>
      </c>
      <c r="D3465" s="9">
        <f>IFERROR(__xludf.DUMMYFUNCTION("""COMPUTED_VALUE"""),734.0)</f>
        <v>734</v>
      </c>
      <c r="E3465" s="9">
        <f>IFERROR(__xludf.DUMMYFUNCTION("""COMPUTED_VALUE"""),745.35)</f>
        <v>745.35</v>
      </c>
      <c r="F3465" s="9">
        <f>IFERROR(__xludf.DUMMYFUNCTION("""COMPUTED_VALUE"""),6723375.0)</f>
        <v>6723375</v>
      </c>
      <c r="H3465" s="27">
        <f>IFERROR(__xludf.DUMMYFUNCTION("""COMPUTED_VALUE"""),43487.64583333333)</f>
        <v>43487.64583</v>
      </c>
      <c r="I3465" s="25">
        <f>IFERROR(__xludf.DUMMYFUNCTION("""COMPUTED_VALUE"""),1907.1)</f>
        <v>1907.1</v>
      </c>
      <c r="J3465" s="25">
        <f>IFERROR(__xludf.DUMMYFUNCTION("""COMPUTED_VALUE"""),1918.25)</f>
        <v>1918.25</v>
      </c>
      <c r="K3465" s="25">
        <f>IFERROR(__xludf.DUMMYFUNCTION("""COMPUTED_VALUE"""),1890.0)</f>
        <v>1890</v>
      </c>
      <c r="L3465" s="25">
        <f>IFERROR(__xludf.DUMMYFUNCTION("""COMPUTED_VALUE"""),1901.9)</f>
        <v>1901.9</v>
      </c>
      <c r="M3465" s="25">
        <f>IFERROR(__xludf.DUMMYFUNCTION("""COMPUTED_VALUE"""),2457093.0)</f>
        <v>2457093</v>
      </c>
    </row>
    <row r="3466">
      <c r="A3466" s="26">
        <f>IFERROR(__xludf.DUMMYFUNCTION("""COMPUTED_VALUE"""),43488.64583333333)</f>
        <v>43488.64583</v>
      </c>
      <c r="B3466" s="9">
        <f>IFERROR(__xludf.DUMMYFUNCTION("""COMPUTED_VALUE"""),742.35)</f>
        <v>742.35</v>
      </c>
      <c r="C3466" s="9">
        <f>IFERROR(__xludf.DUMMYFUNCTION("""COMPUTED_VALUE"""),742.6)</f>
        <v>742.6</v>
      </c>
      <c r="D3466" s="9">
        <f>IFERROR(__xludf.DUMMYFUNCTION("""COMPUTED_VALUE"""),729.2)</f>
        <v>729.2</v>
      </c>
      <c r="E3466" s="9">
        <f>IFERROR(__xludf.DUMMYFUNCTION("""COMPUTED_VALUE"""),731.65)</f>
        <v>731.65</v>
      </c>
      <c r="F3466" s="9">
        <f>IFERROR(__xludf.DUMMYFUNCTION("""COMPUTED_VALUE"""),7212099.0)</f>
        <v>7212099</v>
      </c>
      <c r="H3466" s="27">
        <f>IFERROR(__xludf.DUMMYFUNCTION("""COMPUTED_VALUE"""),43488.64583333333)</f>
        <v>43488.64583</v>
      </c>
      <c r="I3466" s="25">
        <f>IFERROR(__xludf.DUMMYFUNCTION("""COMPUTED_VALUE"""),1901.0)</f>
        <v>1901</v>
      </c>
      <c r="J3466" s="25">
        <f>IFERROR(__xludf.DUMMYFUNCTION("""COMPUTED_VALUE"""),1906.1)</f>
        <v>1906.1</v>
      </c>
      <c r="K3466" s="25">
        <f>IFERROR(__xludf.DUMMYFUNCTION("""COMPUTED_VALUE"""),1870.0)</f>
        <v>1870</v>
      </c>
      <c r="L3466" s="25">
        <f>IFERROR(__xludf.DUMMYFUNCTION("""COMPUTED_VALUE"""),1875.6)</f>
        <v>1875.6</v>
      </c>
      <c r="M3466" s="25">
        <f>IFERROR(__xludf.DUMMYFUNCTION("""COMPUTED_VALUE"""),2578169.0)</f>
        <v>2578169</v>
      </c>
    </row>
    <row r="3467">
      <c r="A3467" s="26">
        <f>IFERROR(__xludf.DUMMYFUNCTION("""COMPUTED_VALUE"""),43489.64583333333)</f>
        <v>43489.64583</v>
      </c>
      <c r="B3467" s="9">
        <f>IFERROR(__xludf.DUMMYFUNCTION("""COMPUTED_VALUE"""),728.1)</f>
        <v>728.1</v>
      </c>
      <c r="C3467" s="9">
        <f>IFERROR(__xludf.DUMMYFUNCTION("""COMPUTED_VALUE"""),736.1)</f>
        <v>736.1</v>
      </c>
      <c r="D3467" s="9">
        <f>IFERROR(__xludf.DUMMYFUNCTION("""COMPUTED_VALUE"""),721.0)</f>
        <v>721</v>
      </c>
      <c r="E3467" s="9">
        <f>IFERROR(__xludf.DUMMYFUNCTION("""COMPUTED_VALUE"""),732.0)</f>
        <v>732</v>
      </c>
      <c r="F3467" s="9">
        <f>IFERROR(__xludf.DUMMYFUNCTION("""COMPUTED_VALUE"""),7429783.0)</f>
        <v>7429783</v>
      </c>
      <c r="H3467" s="27">
        <f>IFERROR(__xludf.DUMMYFUNCTION("""COMPUTED_VALUE"""),43489.64583333333)</f>
        <v>43489.64583</v>
      </c>
      <c r="I3467" s="25">
        <f>IFERROR(__xludf.DUMMYFUNCTION("""COMPUTED_VALUE"""),1884.8)</f>
        <v>1884.8</v>
      </c>
      <c r="J3467" s="25">
        <f>IFERROR(__xludf.DUMMYFUNCTION("""COMPUTED_VALUE"""),1905.25)</f>
        <v>1905.25</v>
      </c>
      <c r="K3467" s="25">
        <f>IFERROR(__xludf.DUMMYFUNCTION("""COMPUTED_VALUE"""),1875.0)</f>
        <v>1875</v>
      </c>
      <c r="L3467" s="25">
        <f>IFERROR(__xludf.DUMMYFUNCTION("""COMPUTED_VALUE"""),1901.55)</f>
        <v>1901.55</v>
      </c>
      <c r="M3467" s="25">
        <f>IFERROR(__xludf.DUMMYFUNCTION("""COMPUTED_VALUE"""),1962927.0)</f>
        <v>1962927</v>
      </c>
    </row>
    <row r="3468">
      <c r="A3468" s="26">
        <f>IFERROR(__xludf.DUMMYFUNCTION("""COMPUTED_VALUE"""),43490.64583333333)</f>
        <v>43490.64583</v>
      </c>
      <c r="B3468" s="9">
        <f>IFERROR(__xludf.DUMMYFUNCTION("""COMPUTED_VALUE"""),728.0)</f>
        <v>728</v>
      </c>
      <c r="C3468" s="9">
        <f>IFERROR(__xludf.DUMMYFUNCTION("""COMPUTED_VALUE"""),737.9)</f>
        <v>737.9</v>
      </c>
      <c r="D3468" s="9">
        <f>IFERROR(__xludf.DUMMYFUNCTION("""COMPUTED_VALUE"""),724.25)</f>
        <v>724.25</v>
      </c>
      <c r="E3468" s="9">
        <f>IFERROR(__xludf.DUMMYFUNCTION("""COMPUTED_VALUE"""),730.35)</f>
        <v>730.35</v>
      </c>
      <c r="F3468" s="9">
        <f>IFERROR(__xludf.DUMMYFUNCTION("""COMPUTED_VALUE"""),5543112.0)</f>
        <v>5543112</v>
      </c>
      <c r="H3468" s="27">
        <f>IFERROR(__xludf.DUMMYFUNCTION("""COMPUTED_VALUE"""),43490.64583333333)</f>
        <v>43490.64583</v>
      </c>
      <c r="I3468" s="25">
        <f>IFERROR(__xludf.DUMMYFUNCTION("""COMPUTED_VALUE"""),1902.0)</f>
        <v>1902</v>
      </c>
      <c r="J3468" s="25">
        <f>IFERROR(__xludf.DUMMYFUNCTION("""COMPUTED_VALUE"""),1935.0)</f>
        <v>1935</v>
      </c>
      <c r="K3468" s="25">
        <f>IFERROR(__xludf.DUMMYFUNCTION("""COMPUTED_VALUE"""),1901.0)</f>
        <v>1901</v>
      </c>
      <c r="L3468" s="25">
        <f>IFERROR(__xludf.DUMMYFUNCTION("""COMPUTED_VALUE"""),1920.8)</f>
        <v>1920.8</v>
      </c>
      <c r="M3468" s="25">
        <f>IFERROR(__xludf.DUMMYFUNCTION("""COMPUTED_VALUE"""),2327080.0)</f>
        <v>2327080</v>
      </c>
    </row>
    <row r="3469">
      <c r="A3469" s="26">
        <f>IFERROR(__xludf.DUMMYFUNCTION("""COMPUTED_VALUE"""),43493.64583333333)</f>
        <v>43493.64583</v>
      </c>
      <c r="B3469" s="9">
        <f>IFERROR(__xludf.DUMMYFUNCTION("""COMPUTED_VALUE"""),731.0)</f>
        <v>731</v>
      </c>
      <c r="C3469" s="9">
        <f>IFERROR(__xludf.DUMMYFUNCTION("""COMPUTED_VALUE"""),732.6)</f>
        <v>732.6</v>
      </c>
      <c r="D3469" s="9">
        <f>IFERROR(__xludf.DUMMYFUNCTION("""COMPUTED_VALUE"""),719.0)</f>
        <v>719</v>
      </c>
      <c r="E3469" s="9">
        <f>IFERROR(__xludf.DUMMYFUNCTION("""COMPUTED_VALUE"""),727.95)</f>
        <v>727.95</v>
      </c>
      <c r="F3469" s="9">
        <f>IFERROR(__xludf.DUMMYFUNCTION("""COMPUTED_VALUE"""),7944693.0)</f>
        <v>7944693</v>
      </c>
      <c r="H3469" s="27">
        <f>IFERROR(__xludf.DUMMYFUNCTION("""COMPUTED_VALUE"""),43493.64583333333)</f>
        <v>43493.64583</v>
      </c>
      <c r="I3469" s="25">
        <f>IFERROR(__xludf.DUMMYFUNCTION("""COMPUTED_VALUE"""),1933.0)</f>
        <v>1933</v>
      </c>
      <c r="J3469" s="25">
        <f>IFERROR(__xludf.DUMMYFUNCTION("""COMPUTED_VALUE"""),1962.0)</f>
        <v>1962</v>
      </c>
      <c r="K3469" s="25">
        <f>IFERROR(__xludf.DUMMYFUNCTION("""COMPUTED_VALUE"""),1925.5)</f>
        <v>1925.5</v>
      </c>
      <c r="L3469" s="25">
        <f>IFERROR(__xludf.DUMMYFUNCTION("""COMPUTED_VALUE"""),1955.0)</f>
        <v>1955</v>
      </c>
      <c r="M3469" s="25">
        <f>IFERROR(__xludf.DUMMYFUNCTION("""COMPUTED_VALUE"""),2769033.0)</f>
        <v>2769033</v>
      </c>
    </row>
    <row r="3470">
      <c r="A3470" s="26">
        <f>IFERROR(__xludf.DUMMYFUNCTION("""COMPUTED_VALUE"""),43494.64583333333)</f>
        <v>43494.64583</v>
      </c>
      <c r="B3470" s="9">
        <f>IFERROR(__xludf.DUMMYFUNCTION("""COMPUTED_VALUE"""),725.5)</f>
        <v>725.5</v>
      </c>
      <c r="C3470" s="9">
        <f>IFERROR(__xludf.DUMMYFUNCTION("""COMPUTED_VALUE"""),732.85)</f>
        <v>732.85</v>
      </c>
      <c r="D3470" s="9">
        <f>IFERROR(__xludf.DUMMYFUNCTION("""COMPUTED_VALUE"""),716.5)</f>
        <v>716.5</v>
      </c>
      <c r="E3470" s="9">
        <f>IFERROR(__xludf.DUMMYFUNCTION("""COMPUTED_VALUE"""),727.9)</f>
        <v>727.9</v>
      </c>
      <c r="F3470" s="9">
        <f>IFERROR(__xludf.DUMMYFUNCTION("""COMPUTED_VALUE"""),6760819.0)</f>
        <v>6760819</v>
      </c>
      <c r="H3470" s="27">
        <f>IFERROR(__xludf.DUMMYFUNCTION("""COMPUTED_VALUE"""),43494.64583333333)</f>
        <v>43494.64583</v>
      </c>
      <c r="I3470" s="25">
        <f>IFERROR(__xludf.DUMMYFUNCTION("""COMPUTED_VALUE"""),1962.0)</f>
        <v>1962</v>
      </c>
      <c r="J3470" s="25">
        <f>IFERROR(__xludf.DUMMYFUNCTION("""COMPUTED_VALUE"""),1989.05)</f>
        <v>1989.05</v>
      </c>
      <c r="K3470" s="25">
        <f>IFERROR(__xludf.DUMMYFUNCTION("""COMPUTED_VALUE"""),1936.65)</f>
        <v>1936.65</v>
      </c>
      <c r="L3470" s="25">
        <f>IFERROR(__xludf.DUMMYFUNCTION("""COMPUTED_VALUE"""),1982.75)</f>
        <v>1982.75</v>
      </c>
      <c r="M3470" s="25">
        <f>IFERROR(__xludf.DUMMYFUNCTION("""COMPUTED_VALUE"""),2557626.0)</f>
        <v>2557626</v>
      </c>
    </row>
    <row r="3471">
      <c r="A3471" s="26">
        <f>IFERROR(__xludf.DUMMYFUNCTION("""COMPUTED_VALUE"""),43495.64583333333)</f>
        <v>43495.64583</v>
      </c>
      <c r="B3471" s="9">
        <f>IFERROR(__xludf.DUMMYFUNCTION("""COMPUTED_VALUE"""),727.9)</f>
        <v>727.9</v>
      </c>
      <c r="C3471" s="9">
        <f>IFERROR(__xludf.DUMMYFUNCTION("""COMPUTED_VALUE"""),734.8)</f>
        <v>734.8</v>
      </c>
      <c r="D3471" s="9">
        <f>IFERROR(__xludf.DUMMYFUNCTION("""COMPUTED_VALUE"""),721.1)</f>
        <v>721.1</v>
      </c>
      <c r="E3471" s="9">
        <f>IFERROR(__xludf.DUMMYFUNCTION("""COMPUTED_VALUE"""),725.9)</f>
        <v>725.9</v>
      </c>
      <c r="F3471" s="9">
        <f>IFERROR(__xludf.DUMMYFUNCTION("""COMPUTED_VALUE"""),5763026.0)</f>
        <v>5763026</v>
      </c>
      <c r="H3471" s="27">
        <f>IFERROR(__xludf.DUMMYFUNCTION("""COMPUTED_VALUE"""),43495.64583333333)</f>
        <v>43495.64583</v>
      </c>
      <c r="I3471" s="25">
        <f>IFERROR(__xludf.DUMMYFUNCTION("""COMPUTED_VALUE"""),1979.6)</f>
        <v>1979.6</v>
      </c>
      <c r="J3471" s="25">
        <f>IFERROR(__xludf.DUMMYFUNCTION("""COMPUTED_VALUE"""),1989.5)</f>
        <v>1989.5</v>
      </c>
      <c r="K3471" s="25">
        <f>IFERROR(__xludf.DUMMYFUNCTION("""COMPUTED_VALUE"""),1954.65)</f>
        <v>1954.65</v>
      </c>
      <c r="L3471" s="25">
        <f>IFERROR(__xludf.DUMMYFUNCTION("""COMPUTED_VALUE"""),1981.4)</f>
        <v>1981.4</v>
      </c>
      <c r="M3471" s="25">
        <f>IFERROR(__xludf.DUMMYFUNCTION("""COMPUTED_VALUE"""),2429575.0)</f>
        <v>2429575</v>
      </c>
    </row>
    <row r="3472">
      <c r="A3472" s="26">
        <f>IFERROR(__xludf.DUMMYFUNCTION("""COMPUTED_VALUE"""),43496.64583333333)</f>
        <v>43496.64583</v>
      </c>
      <c r="B3472" s="9">
        <f>IFERROR(__xludf.DUMMYFUNCTION("""COMPUTED_VALUE"""),726.0)</f>
        <v>726</v>
      </c>
      <c r="C3472" s="9">
        <f>IFERROR(__xludf.DUMMYFUNCTION("""COMPUTED_VALUE"""),751.3)</f>
        <v>751.3</v>
      </c>
      <c r="D3472" s="9">
        <f>IFERROR(__xludf.DUMMYFUNCTION("""COMPUTED_VALUE"""),726.0)</f>
        <v>726</v>
      </c>
      <c r="E3472" s="9">
        <f>IFERROR(__xludf.DUMMYFUNCTION("""COMPUTED_VALUE"""),749.55)</f>
        <v>749.55</v>
      </c>
      <c r="F3472" s="9">
        <f>IFERROR(__xludf.DUMMYFUNCTION("""COMPUTED_VALUE"""),1.3825233E7)</f>
        <v>13825233</v>
      </c>
      <c r="H3472" s="27">
        <f>IFERROR(__xludf.DUMMYFUNCTION("""COMPUTED_VALUE"""),43496.64583333333)</f>
        <v>43496.64583</v>
      </c>
      <c r="I3472" s="25">
        <f>IFERROR(__xludf.DUMMYFUNCTION("""COMPUTED_VALUE"""),1987.0)</f>
        <v>1987</v>
      </c>
      <c r="J3472" s="25">
        <f>IFERROR(__xludf.DUMMYFUNCTION("""COMPUTED_VALUE"""),2019.75)</f>
        <v>2019.75</v>
      </c>
      <c r="K3472" s="25">
        <f>IFERROR(__xludf.DUMMYFUNCTION("""COMPUTED_VALUE"""),1985.0)</f>
        <v>1985</v>
      </c>
      <c r="L3472" s="25">
        <f>IFERROR(__xludf.DUMMYFUNCTION("""COMPUTED_VALUE"""),2014.1)</f>
        <v>2014.1</v>
      </c>
      <c r="M3472" s="25">
        <f>IFERROR(__xludf.DUMMYFUNCTION("""COMPUTED_VALUE"""),4094319.0)</f>
        <v>4094319</v>
      </c>
    </row>
    <row r="3473">
      <c r="A3473" s="26">
        <f>IFERROR(__xludf.DUMMYFUNCTION("""COMPUTED_VALUE"""),43497.64583333333)</f>
        <v>43497.64583</v>
      </c>
      <c r="B3473" s="9">
        <f>IFERROR(__xludf.DUMMYFUNCTION("""COMPUTED_VALUE"""),751.35)</f>
        <v>751.35</v>
      </c>
      <c r="C3473" s="9">
        <f>IFERROR(__xludf.DUMMYFUNCTION("""COMPUTED_VALUE"""),762.5)</f>
        <v>762.5</v>
      </c>
      <c r="D3473" s="9">
        <f>IFERROR(__xludf.DUMMYFUNCTION("""COMPUTED_VALUE"""),744.5)</f>
        <v>744.5</v>
      </c>
      <c r="E3473" s="9">
        <f>IFERROR(__xludf.DUMMYFUNCTION("""COMPUTED_VALUE"""),757.05)</f>
        <v>757.05</v>
      </c>
      <c r="F3473" s="9">
        <f>IFERROR(__xludf.DUMMYFUNCTION("""COMPUTED_VALUE"""),6276585.0)</f>
        <v>6276585</v>
      </c>
      <c r="H3473" s="27">
        <f>IFERROR(__xludf.DUMMYFUNCTION("""COMPUTED_VALUE"""),43497.64583333333)</f>
        <v>43497.64583</v>
      </c>
      <c r="I3473" s="25">
        <f>IFERROR(__xludf.DUMMYFUNCTION("""COMPUTED_VALUE"""),2009.5)</f>
        <v>2009.5</v>
      </c>
      <c r="J3473" s="25">
        <f>IFERROR(__xludf.DUMMYFUNCTION("""COMPUTED_VALUE"""),2034.75)</f>
        <v>2034.75</v>
      </c>
      <c r="K3473" s="25">
        <f>IFERROR(__xludf.DUMMYFUNCTION("""COMPUTED_VALUE"""),1998.1)</f>
        <v>1998.1</v>
      </c>
      <c r="L3473" s="25">
        <f>IFERROR(__xludf.DUMMYFUNCTION("""COMPUTED_VALUE"""),2029.95)</f>
        <v>2029.95</v>
      </c>
      <c r="M3473" s="25">
        <f>IFERROR(__xludf.DUMMYFUNCTION("""COMPUTED_VALUE"""),3064163.0)</f>
        <v>3064163</v>
      </c>
    </row>
    <row r="3474">
      <c r="A3474" s="26">
        <f>IFERROR(__xludf.DUMMYFUNCTION("""COMPUTED_VALUE"""),43500.64583333333)</f>
        <v>43500.64583</v>
      </c>
      <c r="B3474" s="9">
        <f>IFERROR(__xludf.DUMMYFUNCTION("""COMPUTED_VALUE"""),757.0)</f>
        <v>757</v>
      </c>
      <c r="C3474" s="9">
        <f>IFERROR(__xludf.DUMMYFUNCTION("""COMPUTED_VALUE"""),762.5)</f>
        <v>762.5</v>
      </c>
      <c r="D3474" s="9">
        <f>IFERROR(__xludf.DUMMYFUNCTION("""COMPUTED_VALUE"""),749.2)</f>
        <v>749.2</v>
      </c>
      <c r="E3474" s="9">
        <f>IFERROR(__xludf.DUMMYFUNCTION("""COMPUTED_VALUE"""),755.9)</f>
        <v>755.9</v>
      </c>
      <c r="F3474" s="9">
        <f>IFERROR(__xludf.DUMMYFUNCTION("""COMPUTED_VALUE"""),3945391.0)</f>
        <v>3945391</v>
      </c>
      <c r="H3474" s="27">
        <f>IFERROR(__xludf.DUMMYFUNCTION("""COMPUTED_VALUE"""),43500.64583333333)</f>
        <v>43500.64583</v>
      </c>
      <c r="I3474" s="25">
        <f>IFERROR(__xludf.DUMMYFUNCTION("""COMPUTED_VALUE"""),2029.95)</f>
        <v>2029.95</v>
      </c>
      <c r="J3474" s="25">
        <f>IFERROR(__xludf.DUMMYFUNCTION("""COMPUTED_VALUE"""),2055.45)</f>
        <v>2055.45</v>
      </c>
      <c r="K3474" s="25">
        <f>IFERROR(__xludf.DUMMYFUNCTION("""COMPUTED_VALUE"""),2023.0)</f>
        <v>2023</v>
      </c>
      <c r="L3474" s="25">
        <f>IFERROR(__xludf.DUMMYFUNCTION("""COMPUTED_VALUE"""),2050.25)</f>
        <v>2050.25</v>
      </c>
      <c r="M3474" s="25">
        <f>IFERROR(__xludf.DUMMYFUNCTION("""COMPUTED_VALUE"""),1590764.0)</f>
        <v>1590764</v>
      </c>
    </row>
    <row r="3475">
      <c r="A3475" s="26">
        <f>IFERROR(__xludf.DUMMYFUNCTION("""COMPUTED_VALUE"""),43501.64583333333)</f>
        <v>43501.64583</v>
      </c>
      <c r="B3475" s="9">
        <f>IFERROR(__xludf.DUMMYFUNCTION("""COMPUTED_VALUE"""),747.0)</f>
        <v>747</v>
      </c>
      <c r="C3475" s="9">
        <f>IFERROR(__xludf.DUMMYFUNCTION("""COMPUTED_VALUE"""),759.95)</f>
        <v>759.95</v>
      </c>
      <c r="D3475" s="9">
        <f>IFERROR(__xludf.DUMMYFUNCTION("""COMPUTED_VALUE"""),747.0)</f>
        <v>747</v>
      </c>
      <c r="E3475" s="9">
        <f>IFERROR(__xludf.DUMMYFUNCTION("""COMPUTED_VALUE"""),754.85)</f>
        <v>754.85</v>
      </c>
      <c r="F3475" s="9">
        <f>IFERROR(__xludf.DUMMYFUNCTION("""COMPUTED_VALUE"""),4694366.0)</f>
        <v>4694366</v>
      </c>
      <c r="H3475" s="27">
        <f>IFERROR(__xludf.DUMMYFUNCTION("""COMPUTED_VALUE"""),43501.64583333333)</f>
        <v>43501.64583</v>
      </c>
      <c r="I3475" s="25">
        <f>IFERROR(__xludf.DUMMYFUNCTION("""COMPUTED_VALUE"""),2050.0)</f>
        <v>2050</v>
      </c>
      <c r="J3475" s="25">
        <f>IFERROR(__xludf.DUMMYFUNCTION("""COMPUTED_VALUE"""),2055.0)</f>
        <v>2055</v>
      </c>
      <c r="K3475" s="25">
        <f>IFERROR(__xludf.DUMMYFUNCTION("""COMPUTED_VALUE"""),2028.0)</f>
        <v>2028</v>
      </c>
      <c r="L3475" s="25">
        <f>IFERROR(__xludf.DUMMYFUNCTION("""COMPUTED_VALUE"""),2044.55)</f>
        <v>2044.55</v>
      </c>
      <c r="M3475" s="25">
        <f>IFERROR(__xludf.DUMMYFUNCTION("""COMPUTED_VALUE"""),1111404.0)</f>
        <v>1111404</v>
      </c>
    </row>
    <row r="3476">
      <c r="A3476" s="26">
        <f>IFERROR(__xludf.DUMMYFUNCTION("""COMPUTED_VALUE"""),43502.64583333333)</f>
        <v>43502.64583</v>
      </c>
      <c r="B3476" s="9">
        <f>IFERROR(__xludf.DUMMYFUNCTION("""COMPUTED_VALUE"""),755.55)</f>
        <v>755.55</v>
      </c>
      <c r="C3476" s="9">
        <f>IFERROR(__xludf.DUMMYFUNCTION("""COMPUTED_VALUE"""),766.95)</f>
        <v>766.95</v>
      </c>
      <c r="D3476" s="9">
        <f>IFERROR(__xludf.DUMMYFUNCTION("""COMPUTED_VALUE"""),754.35)</f>
        <v>754.35</v>
      </c>
      <c r="E3476" s="9">
        <f>IFERROR(__xludf.DUMMYFUNCTION("""COMPUTED_VALUE"""),763.3)</f>
        <v>763.3</v>
      </c>
      <c r="F3476" s="9">
        <f>IFERROR(__xludf.DUMMYFUNCTION("""COMPUTED_VALUE"""),5880482.0)</f>
        <v>5880482</v>
      </c>
      <c r="H3476" s="27">
        <f>IFERROR(__xludf.DUMMYFUNCTION("""COMPUTED_VALUE"""),43502.64583333333)</f>
        <v>43502.64583</v>
      </c>
      <c r="I3476" s="25">
        <f>IFERROR(__xludf.DUMMYFUNCTION("""COMPUTED_VALUE"""),2049.9)</f>
        <v>2049.9</v>
      </c>
      <c r="J3476" s="25">
        <f>IFERROR(__xludf.DUMMYFUNCTION("""COMPUTED_VALUE"""),2086.85)</f>
        <v>2086.85</v>
      </c>
      <c r="K3476" s="25">
        <f>IFERROR(__xludf.DUMMYFUNCTION("""COMPUTED_VALUE"""),2041.05)</f>
        <v>2041.05</v>
      </c>
      <c r="L3476" s="25">
        <f>IFERROR(__xludf.DUMMYFUNCTION("""COMPUTED_VALUE"""),2074.8)</f>
        <v>2074.8</v>
      </c>
      <c r="M3476" s="25">
        <f>IFERROR(__xludf.DUMMYFUNCTION("""COMPUTED_VALUE"""),1789812.0)</f>
        <v>1789812</v>
      </c>
    </row>
    <row r="3477">
      <c r="A3477" s="26">
        <f>IFERROR(__xludf.DUMMYFUNCTION("""COMPUTED_VALUE"""),43503.64583333333)</f>
        <v>43503.64583</v>
      </c>
      <c r="B3477" s="9">
        <f>IFERROR(__xludf.DUMMYFUNCTION("""COMPUTED_VALUE"""),763.05)</f>
        <v>763.05</v>
      </c>
      <c r="C3477" s="9">
        <f>IFERROR(__xludf.DUMMYFUNCTION("""COMPUTED_VALUE"""),769.45)</f>
        <v>769.45</v>
      </c>
      <c r="D3477" s="9">
        <f>IFERROR(__xludf.DUMMYFUNCTION("""COMPUTED_VALUE"""),761.0)</f>
        <v>761</v>
      </c>
      <c r="E3477" s="9">
        <f>IFERROR(__xludf.DUMMYFUNCTION("""COMPUTED_VALUE"""),764.0)</f>
        <v>764</v>
      </c>
      <c r="F3477" s="9">
        <f>IFERROR(__xludf.DUMMYFUNCTION("""COMPUTED_VALUE"""),3961797.0)</f>
        <v>3961797</v>
      </c>
      <c r="H3477" s="27">
        <f>IFERROR(__xludf.DUMMYFUNCTION("""COMPUTED_VALUE"""),43503.64583333333)</f>
        <v>43503.64583</v>
      </c>
      <c r="I3477" s="25">
        <f>IFERROR(__xludf.DUMMYFUNCTION("""COMPUTED_VALUE"""),2074.75)</f>
        <v>2074.75</v>
      </c>
      <c r="J3477" s="25">
        <f>IFERROR(__xludf.DUMMYFUNCTION("""COMPUTED_VALUE"""),2097.95)</f>
        <v>2097.95</v>
      </c>
      <c r="K3477" s="25">
        <f>IFERROR(__xludf.DUMMYFUNCTION("""COMPUTED_VALUE"""),2067.0)</f>
        <v>2067</v>
      </c>
      <c r="L3477" s="25">
        <f>IFERROR(__xludf.DUMMYFUNCTION("""COMPUTED_VALUE"""),2082.9)</f>
        <v>2082.9</v>
      </c>
      <c r="M3477" s="25">
        <f>IFERROR(__xludf.DUMMYFUNCTION("""COMPUTED_VALUE"""),1339945.0)</f>
        <v>1339945</v>
      </c>
    </row>
    <row r="3478">
      <c r="A3478" s="26">
        <f>IFERROR(__xludf.DUMMYFUNCTION("""COMPUTED_VALUE"""),43504.64583333333)</f>
        <v>43504.64583</v>
      </c>
      <c r="B3478" s="9">
        <f>IFERROR(__xludf.DUMMYFUNCTION("""COMPUTED_VALUE"""),760.0)</f>
        <v>760</v>
      </c>
      <c r="C3478" s="9">
        <f>IFERROR(__xludf.DUMMYFUNCTION("""COMPUTED_VALUE"""),772.25)</f>
        <v>772.25</v>
      </c>
      <c r="D3478" s="9">
        <f>IFERROR(__xludf.DUMMYFUNCTION("""COMPUTED_VALUE"""),754.9)</f>
        <v>754.9</v>
      </c>
      <c r="E3478" s="9">
        <f>IFERROR(__xludf.DUMMYFUNCTION("""COMPUTED_VALUE"""),760.9)</f>
        <v>760.9</v>
      </c>
      <c r="F3478" s="9">
        <f>IFERROR(__xludf.DUMMYFUNCTION("""COMPUTED_VALUE"""),5915169.0)</f>
        <v>5915169</v>
      </c>
      <c r="H3478" s="27">
        <f>IFERROR(__xludf.DUMMYFUNCTION("""COMPUTED_VALUE"""),43504.64583333333)</f>
        <v>43504.64583</v>
      </c>
      <c r="I3478" s="25">
        <f>IFERROR(__xludf.DUMMYFUNCTION("""COMPUTED_VALUE"""),2075.0)</f>
        <v>2075</v>
      </c>
      <c r="J3478" s="25">
        <f>IFERROR(__xludf.DUMMYFUNCTION("""COMPUTED_VALUE"""),2089.5)</f>
        <v>2089.5</v>
      </c>
      <c r="K3478" s="25">
        <f>IFERROR(__xludf.DUMMYFUNCTION("""COMPUTED_VALUE"""),2051.0)</f>
        <v>2051</v>
      </c>
      <c r="L3478" s="25">
        <f>IFERROR(__xludf.DUMMYFUNCTION("""COMPUTED_VALUE"""),2061.4)</f>
        <v>2061.4</v>
      </c>
      <c r="M3478" s="25">
        <f>IFERROR(__xludf.DUMMYFUNCTION("""COMPUTED_VALUE"""),1684474.0)</f>
        <v>1684474</v>
      </c>
    </row>
    <row r="3479">
      <c r="A3479" s="26">
        <f>IFERROR(__xludf.DUMMYFUNCTION("""COMPUTED_VALUE"""),43507.64583333333)</f>
        <v>43507.64583</v>
      </c>
      <c r="B3479" s="9">
        <f>IFERROR(__xludf.DUMMYFUNCTION("""COMPUTED_VALUE"""),766.9)</f>
        <v>766.9</v>
      </c>
      <c r="C3479" s="9">
        <f>IFERROR(__xludf.DUMMYFUNCTION("""COMPUTED_VALUE"""),768.75)</f>
        <v>768.75</v>
      </c>
      <c r="D3479" s="9">
        <f>IFERROR(__xludf.DUMMYFUNCTION("""COMPUTED_VALUE"""),759.0)</f>
        <v>759</v>
      </c>
      <c r="E3479" s="9">
        <f>IFERROR(__xludf.DUMMYFUNCTION("""COMPUTED_VALUE"""),762.8)</f>
        <v>762.8</v>
      </c>
      <c r="F3479" s="9">
        <f>IFERROR(__xludf.DUMMYFUNCTION("""COMPUTED_VALUE"""),5500216.0)</f>
        <v>5500216</v>
      </c>
      <c r="H3479" s="27">
        <f>IFERROR(__xludf.DUMMYFUNCTION("""COMPUTED_VALUE"""),43507.64583333333)</f>
        <v>43507.64583</v>
      </c>
      <c r="I3479" s="25">
        <f>IFERROR(__xludf.DUMMYFUNCTION("""COMPUTED_VALUE"""),2060.0)</f>
        <v>2060</v>
      </c>
      <c r="J3479" s="25">
        <f>IFERROR(__xludf.DUMMYFUNCTION("""COMPUTED_VALUE"""),2096.0)</f>
        <v>2096</v>
      </c>
      <c r="K3479" s="25">
        <f>IFERROR(__xludf.DUMMYFUNCTION("""COMPUTED_VALUE"""),2048.9)</f>
        <v>2048.9</v>
      </c>
      <c r="L3479" s="25">
        <f>IFERROR(__xludf.DUMMYFUNCTION("""COMPUTED_VALUE"""),2065.9)</f>
        <v>2065.9</v>
      </c>
      <c r="M3479" s="25">
        <f>IFERROR(__xludf.DUMMYFUNCTION("""COMPUTED_VALUE"""),1778730.0)</f>
        <v>1778730</v>
      </c>
    </row>
    <row r="3480">
      <c r="A3480" s="26">
        <f>IFERROR(__xludf.DUMMYFUNCTION("""COMPUTED_VALUE"""),43508.64583333333)</f>
        <v>43508.64583</v>
      </c>
      <c r="B3480" s="9">
        <f>IFERROR(__xludf.DUMMYFUNCTION("""COMPUTED_VALUE"""),760.35)</f>
        <v>760.35</v>
      </c>
      <c r="C3480" s="9">
        <f>IFERROR(__xludf.DUMMYFUNCTION("""COMPUTED_VALUE"""),760.35)</f>
        <v>760.35</v>
      </c>
      <c r="D3480" s="9">
        <f>IFERROR(__xludf.DUMMYFUNCTION("""COMPUTED_VALUE"""),741.0)</f>
        <v>741</v>
      </c>
      <c r="E3480" s="9">
        <f>IFERROR(__xludf.DUMMYFUNCTION("""COMPUTED_VALUE"""),750.45)</f>
        <v>750.45</v>
      </c>
      <c r="F3480" s="9">
        <f>IFERROR(__xludf.DUMMYFUNCTION("""COMPUTED_VALUE"""),7310690.0)</f>
        <v>7310690</v>
      </c>
      <c r="H3480" s="27">
        <f>IFERROR(__xludf.DUMMYFUNCTION("""COMPUTED_VALUE"""),43508.64583333333)</f>
        <v>43508.64583</v>
      </c>
      <c r="I3480" s="25">
        <f>IFERROR(__xludf.DUMMYFUNCTION("""COMPUTED_VALUE"""),2070.0)</f>
        <v>2070</v>
      </c>
      <c r="J3480" s="25">
        <f>IFERROR(__xludf.DUMMYFUNCTION("""COMPUTED_VALUE"""),2070.0)</f>
        <v>2070</v>
      </c>
      <c r="K3480" s="25">
        <f>IFERROR(__xludf.DUMMYFUNCTION("""COMPUTED_VALUE"""),2018.0)</f>
        <v>2018</v>
      </c>
      <c r="L3480" s="25">
        <f>IFERROR(__xludf.DUMMYFUNCTION("""COMPUTED_VALUE"""),2051.6)</f>
        <v>2051.6</v>
      </c>
      <c r="M3480" s="25">
        <f>IFERROR(__xludf.DUMMYFUNCTION("""COMPUTED_VALUE"""),2422903.0)</f>
        <v>2422903</v>
      </c>
    </row>
    <row r="3481">
      <c r="A3481" s="26">
        <f>IFERROR(__xludf.DUMMYFUNCTION("""COMPUTED_VALUE"""),43509.64583333333)</f>
        <v>43509.64583</v>
      </c>
      <c r="B3481" s="9">
        <f>IFERROR(__xludf.DUMMYFUNCTION("""COMPUTED_VALUE"""),750.1)</f>
        <v>750.1</v>
      </c>
      <c r="C3481" s="9">
        <f>IFERROR(__xludf.DUMMYFUNCTION("""COMPUTED_VALUE"""),759.7)</f>
        <v>759.7</v>
      </c>
      <c r="D3481" s="9">
        <f>IFERROR(__xludf.DUMMYFUNCTION("""COMPUTED_VALUE"""),743.65)</f>
        <v>743.65</v>
      </c>
      <c r="E3481" s="9">
        <f>IFERROR(__xludf.DUMMYFUNCTION("""COMPUTED_VALUE"""),754.9)</f>
        <v>754.9</v>
      </c>
      <c r="F3481" s="9">
        <f>IFERROR(__xludf.DUMMYFUNCTION("""COMPUTED_VALUE"""),5050182.0)</f>
        <v>5050182</v>
      </c>
      <c r="H3481" s="27">
        <f>IFERROR(__xludf.DUMMYFUNCTION("""COMPUTED_VALUE"""),43509.64583333333)</f>
        <v>43509.64583</v>
      </c>
      <c r="I3481" s="25">
        <f>IFERROR(__xludf.DUMMYFUNCTION("""COMPUTED_VALUE"""),2062.0)</f>
        <v>2062</v>
      </c>
      <c r="J3481" s="25">
        <f>IFERROR(__xludf.DUMMYFUNCTION("""COMPUTED_VALUE"""),2083.0)</f>
        <v>2083</v>
      </c>
      <c r="K3481" s="25">
        <f>IFERROR(__xludf.DUMMYFUNCTION("""COMPUTED_VALUE"""),2050.5)</f>
        <v>2050.5</v>
      </c>
      <c r="L3481" s="25">
        <f>IFERROR(__xludf.DUMMYFUNCTION("""COMPUTED_VALUE"""),2065.4)</f>
        <v>2065.4</v>
      </c>
      <c r="M3481" s="25">
        <f>IFERROR(__xludf.DUMMYFUNCTION("""COMPUTED_VALUE"""),2808581.0)</f>
        <v>2808581</v>
      </c>
    </row>
    <row r="3482">
      <c r="A3482" s="26">
        <f>IFERROR(__xludf.DUMMYFUNCTION("""COMPUTED_VALUE"""),43510.64583333333)</f>
        <v>43510.64583</v>
      </c>
      <c r="B3482" s="9">
        <f>IFERROR(__xludf.DUMMYFUNCTION("""COMPUTED_VALUE"""),751.0)</f>
        <v>751</v>
      </c>
      <c r="C3482" s="9">
        <f>IFERROR(__xludf.DUMMYFUNCTION("""COMPUTED_VALUE"""),753.0)</f>
        <v>753</v>
      </c>
      <c r="D3482" s="9">
        <f>IFERROR(__xludf.DUMMYFUNCTION("""COMPUTED_VALUE"""),737.25)</f>
        <v>737.25</v>
      </c>
      <c r="E3482" s="9">
        <f>IFERROR(__xludf.DUMMYFUNCTION("""COMPUTED_VALUE"""),740.05)</f>
        <v>740.05</v>
      </c>
      <c r="F3482" s="9">
        <f>IFERROR(__xludf.DUMMYFUNCTION("""COMPUTED_VALUE"""),4610535.0)</f>
        <v>4610535</v>
      </c>
      <c r="H3482" s="27">
        <f>IFERROR(__xludf.DUMMYFUNCTION("""COMPUTED_VALUE"""),43510.64583333333)</f>
        <v>43510.64583</v>
      </c>
      <c r="I3482" s="25">
        <f>IFERROR(__xludf.DUMMYFUNCTION("""COMPUTED_VALUE"""),2060.05)</f>
        <v>2060.05</v>
      </c>
      <c r="J3482" s="25">
        <f>IFERROR(__xludf.DUMMYFUNCTION("""COMPUTED_VALUE"""),2075.0)</f>
        <v>2075</v>
      </c>
      <c r="K3482" s="25">
        <f>IFERROR(__xludf.DUMMYFUNCTION("""COMPUTED_VALUE"""),2033.05)</f>
        <v>2033.05</v>
      </c>
      <c r="L3482" s="25">
        <f>IFERROR(__xludf.DUMMYFUNCTION("""COMPUTED_VALUE"""),2044.6)</f>
        <v>2044.6</v>
      </c>
      <c r="M3482" s="25">
        <f>IFERROR(__xludf.DUMMYFUNCTION("""COMPUTED_VALUE"""),1724085.0)</f>
        <v>1724085</v>
      </c>
    </row>
    <row r="3483">
      <c r="A3483" s="26">
        <f>IFERROR(__xludf.DUMMYFUNCTION("""COMPUTED_VALUE"""),43511.64583333333)</f>
        <v>43511.64583</v>
      </c>
      <c r="B3483" s="9">
        <f>IFERROR(__xludf.DUMMYFUNCTION("""COMPUTED_VALUE"""),742.3)</f>
        <v>742.3</v>
      </c>
      <c r="C3483" s="9">
        <f>IFERROR(__xludf.DUMMYFUNCTION("""COMPUTED_VALUE"""),746.5)</f>
        <v>746.5</v>
      </c>
      <c r="D3483" s="9">
        <f>IFERROR(__xludf.DUMMYFUNCTION("""COMPUTED_VALUE"""),732.6)</f>
        <v>732.6</v>
      </c>
      <c r="E3483" s="9">
        <f>IFERROR(__xludf.DUMMYFUNCTION("""COMPUTED_VALUE"""),741.95)</f>
        <v>741.95</v>
      </c>
      <c r="F3483" s="9">
        <f>IFERROR(__xludf.DUMMYFUNCTION("""COMPUTED_VALUE"""),5586389.0)</f>
        <v>5586389</v>
      </c>
      <c r="H3483" s="27">
        <f>IFERROR(__xludf.DUMMYFUNCTION("""COMPUTED_VALUE"""),43511.64583333333)</f>
        <v>43511.64583</v>
      </c>
      <c r="I3483" s="25">
        <f>IFERROR(__xludf.DUMMYFUNCTION("""COMPUTED_VALUE"""),2049.0)</f>
        <v>2049</v>
      </c>
      <c r="J3483" s="25">
        <f>IFERROR(__xludf.DUMMYFUNCTION("""COMPUTED_VALUE"""),2052.0)</f>
        <v>2052</v>
      </c>
      <c r="K3483" s="25">
        <f>IFERROR(__xludf.DUMMYFUNCTION("""COMPUTED_VALUE"""),2010.95)</f>
        <v>2010.95</v>
      </c>
      <c r="L3483" s="25">
        <f>IFERROR(__xludf.DUMMYFUNCTION("""COMPUTED_VALUE"""),2029.7)</f>
        <v>2029.7</v>
      </c>
      <c r="M3483" s="25">
        <f>IFERROR(__xludf.DUMMYFUNCTION("""COMPUTED_VALUE"""),1930065.0)</f>
        <v>1930065</v>
      </c>
    </row>
    <row r="3484">
      <c r="A3484" s="26">
        <f>IFERROR(__xludf.DUMMYFUNCTION("""COMPUTED_VALUE"""),43514.64583333333)</f>
        <v>43514.64583</v>
      </c>
      <c r="B3484" s="9">
        <f>IFERROR(__xludf.DUMMYFUNCTION("""COMPUTED_VALUE"""),742.35)</f>
        <v>742.35</v>
      </c>
      <c r="C3484" s="9">
        <f>IFERROR(__xludf.DUMMYFUNCTION("""COMPUTED_VALUE"""),747.65)</f>
        <v>747.65</v>
      </c>
      <c r="D3484" s="9">
        <f>IFERROR(__xludf.DUMMYFUNCTION("""COMPUTED_VALUE"""),736.0)</f>
        <v>736</v>
      </c>
      <c r="E3484" s="9">
        <f>IFERROR(__xludf.DUMMYFUNCTION("""COMPUTED_VALUE"""),741.05)</f>
        <v>741.05</v>
      </c>
      <c r="F3484" s="9">
        <f>IFERROR(__xludf.DUMMYFUNCTION("""COMPUTED_VALUE"""),5346825.0)</f>
        <v>5346825</v>
      </c>
      <c r="H3484" s="27">
        <f>IFERROR(__xludf.DUMMYFUNCTION("""COMPUTED_VALUE"""),43514.64583333333)</f>
        <v>43514.64583</v>
      </c>
      <c r="I3484" s="25">
        <f>IFERROR(__xludf.DUMMYFUNCTION("""COMPUTED_VALUE"""),2037.6)</f>
        <v>2037.6</v>
      </c>
      <c r="J3484" s="25">
        <f>IFERROR(__xludf.DUMMYFUNCTION("""COMPUTED_VALUE"""),2041.95)</f>
        <v>2041.95</v>
      </c>
      <c r="K3484" s="25">
        <f>IFERROR(__xludf.DUMMYFUNCTION("""COMPUTED_VALUE"""),1962.65)</f>
        <v>1962.65</v>
      </c>
      <c r="L3484" s="25">
        <f>IFERROR(__xludf.DUMMYFUNCTION("""COMPUTED_VALUE"""),1970.3)</f>
        <v>1970.3</v>
      </c>
      <c r="M3484" s="25">
        <f>IFERROR(__xludf.DUMMYFUNCTION("""COMPUTED_VALUE"""),2942184.0)</f>
        <v>2942184</v>
      </c>
    </row>
    <row r="3485">
      <c r="A3485" s="26">
        <f>IFERROR(__xludf.DUMMYFUNCTION("""COMPUTED_VALUE"""),43515.64583333333)</f>
        <v>43515.64583</v>
      </c>
      <c r="B3485" s="9">
        <f>IFERROR(__xludf.DUMMYFUNCTION("""COMPUTED_VALUE"""),739.1)</f>
        <v>739.1</v>
      </c>
      <c r="C3485" s="9">
        <f>IFERROR(__xludf.DUMMYFUNCTION("""COMPUTED_VALUE"""),740.55)</f>
        <v>740.55</v>
      </c>
      <c r="D3485" s="9">
        <f>IFERROR(__xludf.DUMMYFUNCTION("""COMPUTED_VALUE"""),721.3)</f>
        <v>721.3</v>
      </c>
      <c r="E3485" s="9">
        <f>IFERROR(__xludf.DUMMYFUNCTION("""COMPUTED_VALUE"""),724.3)</f>
        <v>724.3</v>
      </c>
      <c r="F3485" s="9">
        <f>IFERROR(__xludf.DUMMYFUNCTION("""COMPUTED_VALUE"""),9401334.0)</f>
        <v>9401334</v>
      </c>
      <c r="H3485" s="27">
        <f>IFERROR(__xludf.DUMMYFUNCTION("""COMPUTED_VALUE"""),43515.64583333333)</f>
        <v>43515.64583</v>
      </c>
      <c r="I3485" s="25">
        <f>IFERROR(__xludf.DUMMYFUNCTION("""COMPUTED_VALUE"""),1970.0)</f>
        <v>1970</v>
      </c>
      <c r="J3485" s="25">
        <f>IFERROR(__xludf.DUMMYFUNCTION("""COMPUTED_VALUE"""),1971.0)</f>
        <v>1971</v>
      </c>
      <c r="K3485" s="25">
        <f>IFERROR(__xludf.DUMMYFUNCTION("""COMPUTED_VALUE"""),1892.0)</f>
        <v>1892</v>
      </c>
      <c r="L3485" s="25">
        <f>IFERROR(__xludf.DUMMYFUNCTION("""COMPUTED_VALUE"""),1904.8)</f>
        <v>1904.8</v>
      </c>
      <c r="M3485" s="25">
        <f>IFERROR(__xludf.DUMMYFUNCTION("""COMPUTED_VALUE"""),4408554.0)</f>
        <v>4408554</v>
      </c>
    </row>
    <row r="3486">
      <c r="A3486" s="26">
        <f>IFERROR(__xludf.DUMMYFUNCTION("""COMPUTED_VALUE"""),43516.64583333333)</f>
        <v>43516.64583</v>
      </c>
      <c r="B3486" s="9">
        <f>IFERROR(__xludf.DUMMYFUNCTION("""COMPUTED_VALUE"""),727.0)</f>
        <v>727</v>
      </c>
      <c r="C3486" s="9">
        <f>IFERROR(__xludf.DUMMYFUNCTION("""COMPUTED_VALUE"""),743.0)</f>
        <v>743</v>
      </c>
      <c r="D3486" s="9">
        <f>IFERROR(__xludf.DUMMYFUNCTION("""COMPUTED_VALUE"""),726.05)</f>
        <v>726.05</v>
      </c>
      <c r="E3486" s="9">
        <f>IFERROR(__xludf.DUMMYFUNCTION("""COMPUTED_VALUE"""),740.7)</f>
        <v>740.7</v>
      </c>
      <c r="F3486" s="9">
        <f>IFERROR(__xludf.DUMMYFUNCTION("""COMPUTED_VALUE"""),5210675.0)</f>
        <v>5210675</v>
      </c>
      <c r="H3486" s="27">
        <f>IFERROR(__xludf.DUMMYFUNCTION("""COMPUTED_VALUE"""),43516.64583333333)</f>
        <v>43516.64583</v>
      </c>
      <c r="I3486" s="25">
        <f>IFERROR(__xludf.DUMMYFUNCTION("""COMPUTED_VALUE"""),1915.0)</f>
        <v>1915</v>
      </c>
      <c r="J3486" s="25">
        <f>IFERROR(__xludf.DUMMYFUNCTION("""COMPUTED_VALUE"""),1933.8)</f>
        <v>1933.8</v>
      </c>
      <c r="K3486" s="25">
        <f>IFERROR(__xludf.DUMMYFUNCTION("""COMPUTED_VALUE"""),1881.3)</f>
        <v>1881.3</v>
      </c>
      <c r="L3486" s="25">
        <f>IFERROR(__xludf.DUMMYFUNCTION("""COMPUTED_VALUE"""),1914.75)</f>
        <v>1914.75</v>
      </c>
      <c r="M3486" s="25">
        <f>IFERROR(__xludf.DUMMYFUNCTION("""COMPUTED_VALUE"""),4645778.0)</f>
        <v>4645778</v>
      </c>
    </row>
    <row r="3487">
      <c r="A3487" s="26">
        <f>IFERROR(__xludf.DUMMYFUNCTION("""COMPUTED_VALUE"""),43517.64583333333)</f>
        <v>43517.64583</v>
      </c>
      <c r="B3487" s="9">
        <f>IFERROR(__xludf.DUMMYFUNCTION("""COMPUTED_VALUE"""),738.0)</f>
        <v>738</v>
      </c>
      <c r="C3487" s="9">
        <f>IFERROR(__xludf.DUMMYFUNCTION("""COMPUTED_VALUE"""),738.0)</f>
        <v>738</v>
      </c>
      <c r="D3487" s="9">
        <f>IFERROR(__xludf.DUMMYFUNCTION("""COMPUTED_VALUE"""),727.1)</f>
        <v>727.1</v>
      </c>
      <c r="E3487" s="9">
        <f>IFERROR(__xludf.DUMMYFUNCTION("""COMPUTED_VALUE"""),733.45)</f>
        <v>733.45</v>
      </c>
      <c r="F3487" s="9">
        <f>IFERROR(__xludf.DUMMYFUNCTION("""COMPUTED_VALUE"""),7202786.0)</f>
        <v>7202786</v>
      </c>
      <c r="H3487" s="27">
        <f>IFERROR(__xludf.DUMMYFUNCTION("""COMPUTED_VALUE"""),43517.64583333333)</f>
        <v>43517.64583</v>
      </c>
      <c r="I3487" s="25">
        <f>IFERROR(__xludf.DUMMYFUNCTION("""COMPUTED_VALUE"""),1914.75)</f>
        <v>1914.75</v>
      </c>
      <c r="J3487" s="25">
        <f>IFERROR(__xludf.DUMMYFUNCTION("""COMPUTED_VALUE"""),1940.0)</f>
        <v>1940</v>
      </c>
      <c r="K3487" s="25">
        <f>IFERROR(__xludf.DUMMYFUNCTION("""COMPUTED_VALUE"""),1897.05)</f>
        <v>1897.05</v>
      </c>
      <c r="L3487" s="25">
        <f>IFERROR(__xludf.DUMMYFUNCTION("""COMPUTED_VALUE"""),1914.2)</f>
        <v>1914.2</v>
      </c>
      <c r="M3487" s="25">
        <f>IFERROR(__xludf.DUMMYFUNCTION("""COMPUTED_VALUE"""),4683919.0)</f>
        <v>4683919</v>
      </c>
    </row>
    <row r="3488">
      <c r="A3488" s="26">
        <f>IFERROR(__xludf.DUMMYFUNCTION("""COMPUTED_VALUE"""),43518.64583333333)</f>
        <v>43518.64583</v>
      </c>
      <c r="B3488" s="9">
        <f>IFERROR(__xludf.DUMMYFUNCTION("""COMPUTED_VALUE"""),732.5)</f>
        <v>732.5</v>
      </c>
      <c r="C3488" s="9">
        <f>IFERROR(__xludf.DUMMYFUNCTION("""COMPUTED_VALUE"""),738.2)</f>
        <v>738.2</v>
      </c>
      <c r="D3488" s="9">
        <f>IFERROR(__xludf.DUMMYFUNCTION("""COMPUTED_VALUE"""),728.0)</f>
        <v>728</v>
      </c>
      <c r="E3488" s="9">
        <f>IFERROR(__xludf.DUMMYFUNCTION("""COMPUTED_VALUE"""),734.95)</f>
        <v>734.95</v>
      </c>
      <c r="F3488" s="9">
        <f>IFERROR(__xludf.DUMMYFUNCTION("""COMPUTED_VALUE"""),3750833.0)</f>
        <v>3750833</v>
      </c>
      <c r="H3488" s="27">
        <f>IFERROR(__xludf.DUMMYFUNCTION("""COMPUTED_VALUE"""),43518.64583333333)</f>
        <v>43518.64583</v>
      </c>
      <c r="I3488" s="25">
        <f>IFERROR(__xludf.DUMMYFUNCTION("""COMPUTED_VALUE"""),1917.2)</f>
        <v>1917.2</v>
      </c>
      <c r="J3488" s="25">
        <f>IFERROR(__xludf.DUMMYFUNCTION("""COMPUTED_VALUE"""),1930.0)</f>
        <v>1930</v>
      </c>
      <c r="K3488" s="25">
        <f>IFERROR(__xludf.DUMMYFUNCTION("""COMPUTED_VALUE"""),1905.1)</f>
        <v>1905.1</v>
      </c>
      <c r="L3488" s="25">
        <f>IFERROR(__xludf.DUMMYFUNCTION("""COMPUTED_VALUE"""),1925.65)</f>
        <v>1925.65</v>
      </c>
      <c r="M3488" s="25">
        <f>IFERROR(__xludf.DUMMYFUNCTION("""COMPUTED_VALUE"""),2271955.0)</f>
        <v>2271955</v>
      </c>
    </row>
    <row r="3489">
      <c r="A3489" s="26">
        <f>IFERROR(__xludf.DUMMYFUNCTION("""COMPUTED_VALUE"""),43521.64583333333)</f>
        <v>43521.64583</v>
      </c>
      <c r="B3489" s="9">
        <f>IFERROR(__xludf.DUMMYFUNCTION("""COMPUTED_VALUE"""),735.55)</f>
        <v>735.55</v>
      </c>
      <c r="C3489" s="9">
        <f>IFERROR(__xludf.DUMMYFUNCTION("""COMPUTED_VALUE"""),758.0)</f>
        <v>758</v>
      </c>
      <c r="D3489" s="9">
        <f>IFERROR(__xludf.DUMMYFUNCTION("""COMPUTED_VALUE"""),735.55)</f>
        <v>735.55</v>
      </c>
      <c r="E3489" s="9">
        <f>IFERROR(__xludf.DUMMYFUNCTION("""COMPUTED_VALUE"""),754.9)</f>
        <v>754.9</v>
      </c>
      <c r="F3489" s="9">
        <f>IFERROR(__xludf.DUMMYFUNCTION("""COMPUTED_VALUE"""),6547552.0)</f>
        <v>6547552</v>
      </c>
      <c r="H3489" s="27">
        <f>IFERROR(__xludf.DUMMYFUNCTION("""COMPUTED_VALUE"""),43521.64583333333)</f>
        <v>43521.64583</v>
      </c>
      <c r="I3489" s="25">
        <f>IFERROR(__xludf.DUMMYFUNCTION("""COMPUTED_VALUE"""),1932.5)</f>
        <v>1932.5</v>
      </c>
      <c r="J3489" s="25">
        <f>IFERROR(__xludf.DUMMYFUNCTION("""COMPUTED_VALUE"""),1990.0)</f>
        <v>1990</v>
      </c>
      <c r="K3489" s="25">
        <f>IFERROR(__xludf.DUMMYFUNCTION("""COMPUTED_VALUE"""),1930.5)</f>
        <v>1930.5</v>
      </c>
      <c r="L3489" s="25">
        <f>IFERROR(__xludf.DUMMYFUNCTION("""COMPUTED_VALUE"""),1985.15)</f>
        <v>1985.15</v>
      </c>
      <c r="M3489" s="25">
        <f>IFERROR(__xludf.DUMMYFUNCTION("""COMPUTED_VALUE"""),2934880.0)</f>
        <v>2934880</v>
      </c>
    </row>
    <row r="3490">
      <c r="A3490" s="26">
        <f>IFERROR(__xludf.DUMMYFUNCTION("""COMPUTED_VALUE"""),43522.64583333333)</f>
        <v>43522.64583</v>
      </c>
      <c r="B3490" s="9">
        <f>IFERROR(__xludf.DUMMYFUNCTION("""COMPUTED_VALUE"""),748.6)</f>
        <v>748.6</v>
      </c>
      <c r="C3490" s="9">
        <f>IFERROR(__xludf.DUMMYFUNCTION("""COMPUTED_VALUE"""),752.6)</f>
        <v>752.6</v>
      </c>
      <c r="D3490" s="9">
        <f>IFERROR(__xludf.DUMMYFUNCTION("""COMPUTED_VALUE"""),740.15)</f>
        <v>740.15</v>
      </c>
      <c r="E3490" s="9">
        <f>IFERROR(__xludf.DUMMYFUNCTION("""COMPUTED_VALUE"""),742.5)</f>
        <v>742.5</v>
      </c>
      <c r="F3490" s="9">
        <f>IFERROR(__xludf.DUMMYFUNCTION("""COMPUTED_VALUE"""),8319610.0)</f>
        <v>8319610</v>
      </c>
      <c r="H3490" s="27">
        <f>IFERROR(__xludf.DUMMYFUNCTION("""COMPUTED_VALUE"""),43522.64583333333)</f>
        <v>43522.64583</v>
      </c>
      <c r="I3490" s="25">
        <f>IFERROR(__xludf.DUMMYFUNCTION("""COMPUTED_VALUE"""),1984.0)</f>
        <v>1984</v>
      </c>
      <c r="J3490" s="25">
        <f>IFERROR(__xludf.DUMMYFUNCTION("""COMPUTED_VALUE"""),2045.15)</f>
        <v>2045.15</v>
      </c>
      <c r="K3490" s="25">
        <f>IFERROR(__xludf.DUMMYFUNCTION("""COMPUTED_VALUE"""),1972.25)</f>
        <v>1972.25</v>
      </c>
      <c r="L3490" s="25">
        <f>IFERROR(__xludf.DUMMYFUNCTION("""COMPUTED_VALUE"""),2038.7)</f>
        <v>2038.7</v>
      </c>
      <c r="M3490" s="25">
        <f>IFERROR(__xludf.DUMMYFUNCTION("""COMPUTED_VALUE"""),6453309.0)</f>
        <v>6453309</v>
      </c>
    </row>
    <row r="3491">
      <c r="A3491" s="26">
        <f>IFERROR(__xludf.DUMMYFUNCTION("""COMPUTED_VALUE"""),43523.64583333333)</f>
        <v>43523.64583</v>
      </c>
      <c r="B3491" s="9">
        <f>IFERROR(__xludf.DUMMYFUNCTION("""COMPUTED_VALUE"""),745.0)</f>
        <v>745</v>
      </c>
      <c r="C3491" s="9">
        <f>IFERROR(__xludf.DUMMYFUNCTION("""COMPUTED_VALUE"""),746.4)</f>
        <v>746.4</v>
      </c>
      <c r="D3491" s="9">
        <f>IFERROR(__xludf.DUMMYFUNCTION("""COMPUTED_VALUE"""),732.75)</f>
        <v>732.75</v>
      </c>
      <c r="E3491" s="9">
        <f>IFERROR(__xludf.DUMMYFUNCTION("""COMPUTED_VALUE"""),735.25)</f>
        <v>735.25</v>
      </c>
      <c r="F3491" s="9">
        <f>IFERROR(__xludf.DUMMYFUNCTION("""COMPUTED_VALUE"""),5936354.0)</f>
        <v>5936354</v>
      </c>
      <c r="H3491" s="27">
        <f>IFERROR(__xludf.DUMMYFUNCTION("""COMPUTED_VALUE"""),43523.64583333333)</f>
        <v>43523.64583</v>
      </c>
      <c r="I3491" s="25">
        <f>IFERROR(__xludf.DUMMYFUNCTION("""COMPUTED_VALUE"""),2040.0)</f>
        <v>2040</v>
      </c>
      <c r="J3491" s="25">
        <f>IFERROR(__xludf.DUMMYFUNCTION("""COMPUTED_VALUE"""),2074.95)</f>
        <v>2074.95</v>
      </c>
      <c r="K3491" s="25">
        <f>IFERROR(__xludf.DUMMYFUNCTION("""COMPUTED_VALUE"""),2022.0)</f>
        <v>2022</v>
      </c>
      <c r="L3491" s="25">
        <f>IFERROR(__xludf.DUMMYFUNCTION("""COMPUTED_VALUE"""),2058.1)</f>
        <v>2058.1</v>
      </c>
      <c r="M3491" s="25">
        <f>IFERROR(__xludf.DUMMYFUNCTION("""COMPUTED_VALUE"""),4732082.0)</f>
        <v>4732082</v>
      </c>
    </row>
    <row r="3492">
      <c r="A3492" s="26">
        <f>IFERROR(__xludf.DUMMYFUNCTION("""COMPUTED_VALUE"""),43524.64583333333)</f>
        <v>43524.64583</v>
      </c>
      <c r="B3492" s="9">
        <f>IFERROR(__xludf.DUMMYFUNCTION("""COMPUTED_VALUE"""),738.7)</f>
        <v>738.7</v>
      </c>
      <c r="C3492" s="9">
        <f>IFERROR(__xludf.DUMMYFUNCTION("""COMPUTED_VALUE"""),742.4)</f>
        <v>742.4</v>
      </c>
      <c r="D3492" s="9">
        <f>IFERROR(__xludf.DUMMYFUNCTION("""COMPUTED_VALUE"""),732.3)</f>
        <v>732.3</v>
      </c>
      <c r="E3492" s="9">
        <f>IFERROR(__xludf.DUMMYFUNCTION("""COMPUTED_VALUE"""),734.3)</f>
        <v>734.3</v>
      </c>
      <c r="F3492" s="9">
        <f>IFERROR(__xludf.DUMMYFUNCTION("""COMPUTED_VALUE"""),8559921.0)</f>
        <v>8559921</v>
      </c>
      <c r="H3492" s="27">
        <f>IFERROR(__xludf.DUMMYFUNCTION("""COMPUTED_VALUE"""),43524.64583333333)</f>
        <v>43524.64583</v>
      </c>
      <c r="I3492" s="25">
        <f>IFERROR(__xludf.DUMMYFUNCTION("""COMPUTED_VALUE"""),2060.0)</f>
        <v>2060</v>
      </c>
      <c r="J3492" s="25">
        <f>IFERROR(__xludf.DUMMYFUNCTION("""COMPUTED_VALUE"""),2071.35)</f>
        <v>2071.35</v>
      </c>
      <c r="K3492" s="25">
        <f>IFERROR(__xludf.DUMMYFUNCTION("""COMPUTED_VALUE"""),1977.6)</f>
        <v>1977.6</v>
      </c>
      <c r="L3492" s="25">
        <f>IFERROR(__xludf.DUMMYFUNCTION("""COMPUTED_VALUE"""),1983.45)</f>
        <v>1983.45</v>
      </c>
      <c r="M3492" s="25">
        <f>IFERROR(__xludf.DUMMYFUNCTION("""COMPUTED_VALUE"""),8454295.0)</f>
        <v>8454295</v>
      </c>
    </row>
    <row r="3493">
      <c r="A3493" s="26">
        <f>IFERROR(__xludf.DUMMYFUNCTION("""COMPUTED_VALUE"""),43525.64583333333)</f>
        <v>43525.64583</v>
      </c>
      <c r="B3493" s="9">
        <f>IFERROR(__xludf.DUMMYFUNCTION("""COMPUTED_VALUE"""),735.5)</f>
        <v>735.5</v>
      </c>
      <c r="C3493" s="9">
        <f>IFERROR(__xludf.DUMMYFUNCTION("""COMPUTED_VALUE"""),743.4)</f>
        <v>743.4</v>
      </c>
      <c r="D3493" s="9">
        <f>IFERROR(__xludf.DUMMYFUNCTION("""COMPUTED_VALUE"""),735.5)</f>
        <v>735.5</v>
      </c>
      <c r="E3493" s="9">
        <f>IFERROR(__xludf.DUMMYFUNCTION("""COMPUTED_VALUE"""),741.9)</f>
        <v>741.9</v>
      </c>
      <c r="F3493" s="9">
        <f>IFERROR(__xludf.DUMMYFUNCTION("""COMPUTED_VALUE"""),3998826.0)</f>
        <v>3998826</v>
      </c>
      <c r="H3493" s="27">
        <f>IFERROR(__xludf.DUMMYFUNCTION("""COMPUTED_VALUE"""),43525.64583333333)</f>
        <v>43525.64583</v>
      </c>
      <c r="I3493" s="25">
        <f>IFERROR(__xludf.DUMMYFUNCTION("""COMPUTED_VALUE"""),1995.05)</f>
        <v>1995.05</v>
      </c>
      <c r="J3493" s="25">
        <f>IFERROR(__xludf.DUMMYFUNCTION("""COMPUTED_VALUE"""),2005.0)</f>
        <v>2005</v>
      </c>
      <c r="K3493" s="25">
        <f>IFERROR(__xludf.DUMMYFUNCTION("""COMPUTED_VALUE"""),1980.35)</f>
        <v>1980.35</v>
      </c>
      <c r="L3493" s="25">
        <f>IFERROR(__xludf.DUMMYFUNCTION("""COMPUTED_VALUE"""),1995.4)</f>
        <v>1995.4</v>
      </c>
      <c r="M3493" s="25">
        <f>IFERROR(__xludf.DUMMYFUNCTION("""COMPUTED_VALUE"""),4148548.0)</f>
        <v>4148548</v>
      </c>
    </row>
    <row r="3494">
      <c r="A3494" s="26">
        <f>IFERROR(__xludf.DUMMYFUNCTION("""COMPUTED_VALUE"""),43529.64583333333)</f>
        <v>43529.64583</v>
      </c>
      <c r="B3494" s="9">
        <f>IFERROR(__xludf.DUMMYFUNCTION("""COMPUTED_VALUE"""),740.5)</f>
        <v>740.5</v>
      </c>
      <c r="C3494" s="9">
        <f>IFERROR(__xludf.DUMMYFUNCTION("""COMPUTED_VALUE"""),742.5)</f>
        <v>742.5</v>
      </c>
      <c r="D3494" s="9">
        <f>IFERROR(__xludf.DUMMYFUNCTION("""COMPUTED_VALUE"""),730.25)</f>
        <v>730.25</v>
      </c>
      <c r="E3494" s="9">
        <f>IFERROR(__xludf.DUMMYFUNCTION("""COMPUTED_VALUE"""),732.5)</f>
        <v>732.5</v>
      </c>
      <c r="F3494" s="9">
        <f>IFERROR(__xludf.DUMMYFUNCTION("""COMPUTED_VALUE"""),4826505.0)</f>
        <v>4826505</v>
      </c>
      <c r="H3494" s="27">
        <f>IFERROR(__xludf.DUMMYFUNCTION("""COMPUTED_VALUE"""),43529.64583333333)</f>
        <v>43529.64583</v>
      </c>
      <c r="I3494" s="25">
        <f>IFERROR(__xludf.DUMMYFUNCTION("""COMPUTED_VALUE"""),2005.0)</f>
        <v>2005</v>
      </c>
      <c r="J3494" s="25">
        <f>IFERROR(__xludf.DUMMYFUNCTION("""COMPUTED_VALUE"""),2007.0)</f>
        <v>2007</v>
      </c>
      <c r="K3494" s="25">
        <f>IFERROR(__xludf.DUMMYFUNCTION("""COMPUTED_VALUE"""),1976.6)</f>
        <v>1976.6</v>
      </c>
      <c r="L3494" s="25">
        <f>IFERROR(__xludf.DUMMYFUNCTION("""COMPUTED_VALUE"""),1988.1)</f>
        <v>1988.1</v>
      </c>
      <c r="M3494" s="25">
        <f>IFERROR(__xludf.DUMMYFUNCTION("""COMPUTED_VALUE"""),2449622.0)</f>
        <v>2449622</v>
      </c>
    </row>
    <row r="3495">
      <c r="A3495" s="26">
        <f>IFERROR(__xludf.DUMMYFUNCTION("""COMPUTED_VALUE"""),43530.64583333333)</f>
        <v>43530.64583</v>
      </c>
      <c r="B3495" s="9">
        <f>IFERROR(__xludf.DUMMYFUNCTION("""COMPUTED_VALUE"""),736.1)</f>
        <v>736.1</v>
      </c>
      <c r="C3495" s="9">
        <f>IFERROR(__xludf.DUMMYFUNCTION("""COMPUTED_VALUE"""),736.1)</f>
        <v>736.1</v>
      </c>
      <c r="D3495" s="9">
        <f>IFERROR(__xludf.DUMMYFUNCTION("""COMPUTED_VALUE"""),727.0)</f>
        <v>727</v>
      </c>
      <c r="E3495" s="9">
        <f>IFERROR(__xludf.DUMMYFUNCTION("""COMPUTED_VALUE"""),732.5)</f>
        <v>732.5</v>
      </c>
      <c r="F3495" s="9">
        <f>IFERROR(__xludf.DUMMYFUNCTION("""COMPUTED_VALUE"""),6076668.0)</f>
        <v>6076668</v>
      </c>
      <c r="H3495" s="27">
        <f>IFERROR(__xludf.DUMMYFUNCTION("""COMPUTED_VALUE"""),43530.64583333333)</f>
        <v>43530.64583</v>
      </c>
      <c r="I3495" s="25">
        <f>IFERROR(__xludf.DUMMYFUNCTION("""COMPUTED_VALUE"""),1989.3)</f>
        <v>1989.3</v>
      </c>
      <c r="J3495" s="25">
        <f>IFERROR(__xludf.DUMMYFUNCTION("""COMPUTED_VALUE"""),2015.0)</f>
        <v>2015</v>
      </c>
      <c r="K3495" s="25">
        <f>IFERROR(__xludf.DUMMYFUNCTION("""COMPUTED_VALUE"""),1985.05)</f>
        <v>1985.05</v>
      </c>
      <c r="L3495" s="25">
        <f>IFERROR(__xludf.DUMMYFUNCTION("""COMPUTED_VALUE"""),1999.6)</f>
        <v>1999.6</v>
      </c>
      <c r="M3495" s="25">
        <f>IFERROR(__xludf.DUMMYFUNCTION("""COMPUTED_VALUE"""),2635047.0)</f>
        <v>2635047</v>
      </c>
    </row>
    <row r="3496">
      <c r="A3496" s="26">
        <f>IFERROR(__xludf.DUMMYFUNCTION("""COMPUTED_VALUE"""),43531.64583333333)</f>
        <v>43531.64583</v>
      </c>
      <c r="B3496" s="9">
        <f>IFERROR(__xludf.DUMMYFUNCTION("""COMPUTED_VALUE"""),734.0)</f>
        <v>734</v>
      </c>
      <c r="C3496" s="9">
        <f>IFERROR(__xludf.DUMMYFUNCTION("""COMPUTED_VALUE"""),734.5)</f>
        <v>734.5</v>
      </c>
      <c r="D3496" s="9">
        <f>IFERROR(__xludf.DUMMYFUNCTION("""COMPUTED_VALUE"""),720.55)</f>
        <v>720.55</v>
      </c>
      <c r="E3496" s="9">
        <f>IFERROR(__xludf.DUMMYFUNCTION("""COMPUTED_VALUE"""),722.95)</f>
        <v>722.95</v>
      </c>
      <c r="F3496" s="9">
        <f>IFERROR(__xludf.DUMMYFUNCTION("""COMPUTED_VALUE"""),5951551.0)</f>
        <v>5951551</v>
      </c>
      <c r="H3496" s="27">
        <f>IFERROR(__xludf.DUMMYFUNCTION("""COMPUTED_VALUE"""),43531.64583333333)</f>
        <v>43531.64583</v>
      </c>
      <c r="I3496" s="25">
        <f>IFERROR(__xludf.DUMMYFUNCTION("""COMPUTED_VALUE"""),2005.0)</f>
        <v>2005</v>
      </c>
      <c r="J3496" s="25">
        <f>IFERROR(__xludf.DUMMYFUNCTION("""COMPUTED_VALUE"""),2024.05)</f>
        <v>2024.05</v>
      </c>
      <c r="K3496" s="25">
        <f>IFERROR(__xludf.DUMMYFUNCTION("""COMPUTED_VALUE"""),2000.2)</f>
        <v>2000.2</v>
      </c>
      <c r="L3496" s="25">
        <f>IFERROR(__xludf.DUMMYFUNCTION("""COMPUTED_VALUE"""),2013.3)</f>
        <v>2013.3</v>
      </c>
      <c r="M3496" s="25">
        <f>IFERROR(__xludf.DUMMYFUNCTION("""COMPUTED_VALUE"""),2539884.0)</f>
        <v>2539884</v>
      </c>
    </row>
    <row r="3497">
      <c r="A3497" s="26">
        <f>IFERROR(__xludf.DUMMYFUNCTION("""COMPUTED_VALUE"""),43532.64583333333)</f>
        <v>43532.64583</v>
      </c>
      <c r="B3497" s="9">
        <f>IFERROR(__xludf.DUMMYFUNCTION("""COMPUTED_VALUE"""),722.95)</f>
        <v>722.95</v>
      </c>
      <c r="C3497" s="9">
        <f>IFERROR(__xludf.DUMMYFUNCTION("""COMPUTED_VALUE"""),722.95)</f>
        <v>722.95</v>
      </c>
      <c r="D3497" s="9">
        <f>IFERROR(__xludf.DUMMYFUNCTION("""COMPUTED_VALUE"""),710.65)</f>
        <v>710.65</v>
      </c>
      <c r="E3497" s="9">
        <f>IFERROR(__xludf.DUMMYFUNCTION("""COMPUTED_VALUE"""),712.35)</f>
        <v>712.35</v>
      </c>
      <c r="F3497" s="9">
        <f>IFERROR(__xludf.DUMMYFUNCTION("""COMPUTED_VALUE"""),7193994.0)</f>
        <v>7193994</v>
      </c>
      <c r="H3497" s="27">
        <f>IFERROR(__xludf.DUMMYFUNCTION("""COMPUTED_VALUE"""),43532.64583333333)</f>
        <v>43532.64583</v>
      </c>
      <c r="I3497" s="25">
        <f>IFERROR(__xludf.DUMMYFUNCTION("""COMPUTED_VALUE"""),2025.0)</f>
        <v>2025</v>
      </c>
      <c r="J3497" s="25">
        <f>IFERROR(__xludf.DUMMYFUNCTION("""COMPUTED_VALUE"""),2033.0)</f>
        <v>2033</v>
      </c>
      <c r="K3497" s="25">
        <f>IFERROR(__xludf.DUMMYFUNCTION("""COMPUTED_VALUE"""),2010.05)</f>
        <v>2010.05</v>
      </c>
      <c r="L3497" s="25">
        <f>IFERROR(__xludf.DUMMYFUNCTION("""COMPUTED_VALUE"""),2022.7)</f>
        <v>2022.7</v>
      </c>
      <c r="M3497" s="25">
        <f>IFERROR(__xludf.DUMMYFUNCTION("""COMPUTED_VALUE"""),2031071.0)</f>
        <v>2031071</v>
      </c>
    </row>
    <row r="3498">
      <c r="A3498" s="26">
        <f>IFERROR(__xludf.DUMMYFUNCTION("""COMPUTED_VALUE"""),43535.64583333333)</f>
        <v>43535.64583</v>
      </c>
      <c r="B3498" s="9">
        <f>IFERROR(__xludf.DUMMYFUNCTION("""COMPUTED_VALUE"""),713.3)</f>
        <v>713.3</v>
      </c>
      <c r="C3498" s="9">
        <f>IFERROR(__xludf.DUMMYFUNCTION("""COMPUTED_VALUE"""),718.5)</f>
        <v>718.5</v>
      </c>
      <c r="D3498" s="9">
        <f>IFERROR(__xludf.DUMMYFUNCTION("""COMPUTED_VALUE"""),709.4)</f>
        <v>709.4</v>
      </c>
      <c r="E3498" s="9">
        <f>IFERROR(__xludf.DUMMYFUNCTION("""COMPUTED_VALUE"""),711.25)</f>
        <v>711.25</v>
      </c>
      <c r="F3498" s="9">
        <f>IFERROR(__xludf.DUMMYFUNCTION("""COMPUTED_VALUE"""),9932198.0)</f>
        <v>9932198</v>
      </c>
      <c r="H3498" s="27">
        <f>IFERROR(__xludf.DUMMYFUNCTION("""COMPUTED_VALUE"""),43535.64583333333)</f>
        <v>43535.64583</v>
      </c>
      <c r="I3498" s="25">
        <f>IFERROR(__xludf.DUMMYFUNCTION("""COMPUTED_VALUE"""),2028.9)</f>
        <v>2028.9</v>
      </c>
      <c r="J3498" s="25">
        <f>IFERROR(__xludf.DUMMYFUNCTION("""COMPUTED_VALUE"""),2033.0)</f>
        <v>2033</v>
      </c>
      <c r="K3498" s="25">
        <f>IFERROR(__xludf.DUMMYFUNCTION("""COMPUTED_VALUE"""),2003.65)</f>
        <v>2003.65</v>
      </c>
      <c r="L3498" s="25">
        <f>IFERROR(__xludf.DUMMYFUNCTION("""COMPUTED_VALUE"""),2014.8)</f>
        <v>2014.8</v>
      </c>
      <c r="M3498" s="25">
        <f>IFERROR(__xludf.DUMMYFUNCTION("""COMPUTED_VALUE"""),3111689.0)</f>
        <v>3111689</v>
      </c>
    </row>
    <row r="3499">
      <c r="A3499" s="26">
        <f>IFERROR(__xludf.DUMMYFUNCTION("""COMPUTED_VALUE"""),43536.64583333333)</f>
        <v>43536.64583</v>
      </c>
      <c r="B3499" s="9">
        <f>IFERROR(__xludf.DUMMYFUNCTION("""COMPUTED_VALUE"""),709.0)</f>
        <v>709</v>
      </c>
      <c r="C3499" s="9">
        <f>IFERROR(__xludf.DUMMYFUNCTION("""COMPUTED_VALUE"""),714.95)</f>
        <v>714.95</v>
      </c>
      <c r="D3499" s="9">
        <f>IFERROR(__xludf.DUMMYFUNCTION("""COMPUTED_VALUE"""),705.6)</f>
        <v>705.6</v>
      </c>
      <c r="E3499" s="9">
        <f>IFERROR(__xludf.DUMMYFUNCTION("""COMPUTED_VALUE"""),706.95)</f>
        <v>706.95</v>
      </c>
      <c r="F3499" s="9">
        <f>IFERROR(__xludf.DUMMYFUNCTION("""COMPUTED_VALUE"""),1.1997387E7)</f>
        <v>11997387</v>
      </c>
      <c r="H3499" s="27">
        <f>IFERROR(__xludf.DUMMYFUNCTION("""COMPUTED_VALUE"""),43536.64583333333)</f>
        <v>43536.64583</v>
      </c>
      <c r="I3499" s="25">
        <f>IFERROR(__xludf.DUMMYFUNCTION("""COMPUTED_VALUE"""),2014.05)</f>
        <v>2014.05</v>
      </c>
      <c r="J3499" s="25">
        <f>IFERROR(__xludf.DUMMYFUNCTION("""COMPUTED_VALUE"""),2024.8)</f>
        <v>2024.8</v>
      </c>
      <c r="K3499" s="25">
        <f>IFERROR(__xludf.DUMMYFUNCTION("""COMPUTED_VALUE"""),2003.0)</f>
        <v>2003</v>
      </c>
      <c r="L3499" s="25">
        <f>IFERROR(__xludf.DUMMYFUNCTION("""COMPUTED_VALUE"""),2012.45)</f>
        <v>2012.45</v>
      </c>
      <c r="M3499" s="25">
        <f>IFERROR(__xludf.DUMMYFUNCTION("""COMPUTED_VALUE"""),2658550.0)</f>
        <v>2658550</v>
      </c>
    </row>
    <row r="3500">
      <c r="A3500" s="26">
        <f>IFERROR(__xludf.DUMMYFUNCTION("""COMPUTED_VALUE"""),43537.64583333333)</f>
        <v>43537.64583</v>
      </c>
      <c r="B3500" s="9">
        <f>IFERROR(__xludf.DUMMYFUNCTION("""COMPUTED_VALUE"""),710.0)</f>
        <v>710</v>
      </c>
      <c r="C3500" s="9">
        <f>IFERROR(__xludf.DUMMYFUNCTION("""COMPUTED_VALUE"""),718.6)</f>
        <v>718.6</v>
      </c>
      <c r="D3500" s="9">
        <f>IFERROR(__xludf.DUMMYFUNCTION("""COMPUTED_VALUE"""),706.3)</f>
        <v>706.3</v>
      </c>
      <c r="E3500" s="9">
        <f>IFERROR(__xludf.DUMMYFUNCTION("""COMPUTED_VALUE"""),708.45)</f>
        <v>708.45</v>
      </c>
      <c r="F3500" s="9">
        <f>IFERROR(__xludf.DUMMYFUNCTION("""COMPUTED_VALUE"""),1.1348867E7)</f>
        <v>11348867</v>
      </c>
      <c r="H3500" s="27">
        <f>IFERROR(__xludf.DUMMYFUNCTION("""COMPUTED_VALUE"""),43537.64583333333)</f>
        <v>43537.64583</v>
      </c>
      <c r="I3500" s="25">
        <f>IFERROR(__xludf.DUMMYFUNCTION("""COMPUTED_VALUE"""),2013.0)</f>
        <v>2013</v>
      </c>
      <c r="J3500" s="25">
        <f>IFERROR(__xludf.DUMMYFUNCTION("""COMPUTED_VALUE"""),2015.9)</f>
        <v>2015.9</v>
      </c>
      <c r="K3500" s="25">
        <f>IFERROR(__xludf.DUMMYFUNCTION("""COMPUTED_VALUE"""),1978.6)</f>
        <v>1978.6</v>
      </c>
      <c r="L3500" s="25">
        <f>IFERROR(__xludf.DUMMYFUNCTION("""COMPUTED_VALUE"""),2000.5)</f>
        <v>2000.5</v>
      </c>
      <c r="M3500" s="25">
        <f>IFERROR(__xludf.DUMMYFUNCTION("""COMPUTED_VALUE"""),1833163.0)</f>
        <v>1833163</v>
      </c>
    </row>
    <row r="3501">
      <c r="A3501" s="26">
        <f>IFERROR(__xludf.DUMMYFUNCTION("""COMPUTED_VALUE"""),43538.64583333333)</f>
        <v>43538.64583</v>
      </c>
      <c r="B3501" s="9">
        <f>IFERROR(__xludf.DUMMYFUNCTION("""COMPUTED_VALUE"""),714.0)</f>
        <v>714</v>
      </c>
      <c r="C3501" s="9">
        <f>IFERROR(__xludf.DUMMYFUNCTION("""COMPUTED_VALUE"""),714.9)</f>
        <v>714.9</v>
      </c>
      <c r="D3501" s="9">
        <f>IFERROR(__xludf.DUMMYFUNCTION("""COMPUTED_VALUE"""),706.2)</f>
        <v>706.2</v>
      </c>
      <c r="E3501" s="9">
        <f>IFERROR(__xludf.DUMMYFUNCTION("""COMPUTED_VALUE"""),708.35)</f>
        <v>708.35</v>
      </c>
      <c r="F3501" s="9">
        <f>IFERROR(__xludf.DUMMYFUNCTION("""COMPUTED_VALUE"""),6415187.0)</f>
        <v>6415187</v>
      </c>
      <c r="H3501" s="27">
        <f>IFERROR(__xludf.DUMMYFUNCTION("""COMPUTED_VALUE"""),43538.64583333333)</f>
        <v>43538.64583</v>
      </c>
      <c r="I3501" s="25">
        <f>IFERROR(__xludf.DUMMYFUNCTION("""COMPUTED_VALUE"""),2004.95)</f>
        <v>2004.95</v>
      </c>
      <c r="J3501" s="25">
        <f>IFERROR(__xludf.DUMMYFUNCTION("""COMPUTED_VALUE"""),2007.8)</f>
        <v>2007.8</v>
      </c>
      <c r="K3501" s="25">
        <f>IFERROR(__xludf.DUMMYFUNCTION("""COMPUTED_VALUE"""),1981.0)</f>
        <v>1981</v>
      </c>
      <c r="L3501" s="25">
        <f>IFERROR(__xludf.DUMMYFUNCTION("""COMPUTED_VALUE"""),1987.4)</f>
        <v>1987.4</v>
      </c>
      <c r="M3501" s="25">
        <f>IFERROR(__xludf.DUMMYFUNCTION("""COMPUTED_VALUE"""),1905495.0)</f>
        <v>1905495</v>
      </c>
    </row>
    <row r="3502">
      <c r="A3502" s="26">
        <f>IFERROR(__xludf.DUMMYFUNCTION("""COMPUTED_VALUE"""),43539.64583333333)</f>
        <v>43539.64583</v>
      </c>
      <c r="B3502" s="9">
        <f>IFERROR(__xludf.DUMMYFUNCTION("""COMPUTED_VALUE"""),712.0)</f>
        <v>712</v>
      </c>
      <c r="C3502" s="9">
        <f>IFERROR(__xludf.DUMMYFUNCTION("""COMPUTED_VALUE"""),723.75)</f>
        <v>723.75</v>
      </c>
      <c r="D3502" s="9">
        <f>IFERROR(__xludf.DUMMYFUNCTION("""COMPUTED_VALUE"""),709.6)</f>
        <v>709.6</v>
      </c>
      <c r="E3502" s="9">
        <f>IFERROR(__xludf.DUMMYFUNCTION("""COMPUTED_VALUE"""),718.55)</f>
        <v>718.55</v>
      </c>
      <c r="F3502" s="9">
        <f>IFERROR(__xludf.DUMMYFUNCTION("""COMPUTED_VALUE"""),1.4638664E7)</f>
        <v>14638664</v>
      </c>
      <c r="H3502" s="27">
        <f>IFERROR(__xludf.DUMMYFUNCTION("""COMPUTED_VALUE"""),43539.64583333333)</f>
        <v>43539.64583</v>
      </c>
      <c r="I3502" s="25">
        <f>IFERROR(__xludf.DUMMYFUNCTION("""COMPUTED_VALUE"""),1998.9)</f>
        <v>1998.9</v>
      </c>
      <c r="J3502" s="25">
        <f>IFERROR(__xludf.DUMMYFUNCTION("""COMPUTED_VALUE"""),2068.95)</f>
        <v>2068.95</v>
      </c>
      <c r="K3502" s="25">
        <f>IFERROR(__xludf.DUMMYFUNCTION("""COMPUTED_VALUE"""),1991.0)</f>
        <v>1991</v>
      </c>
      <c r="L3502" s="25">
        <f>IFERROR(__xludf.DUMMYFUNCTION("""COMPUTED_VALUE"""),2039.95)</f>
        <v>2039.95</v>
      </c>
      <c r="M3502" s="25">
        <f>IFERROR(__xludf.DUMMYFUNCTION("""COMPUTED_VALUE"""),5184318.0)</f>
        <v>5184318</v>
      </c>
    </row>
    <row r="3503">
      <c r="A3503" s="26">
        <f>IFERROR(__xludf.DUMMYFUNCTION("""COMPUTED_VALUE"""),43542.64583333333)</f>
        <v>43542.64583</v>
      </c>
      <c r="B3503" s="9">
        <f>IFERROR(__xludf.DUMMYFUNCTION("""COMPUTED_VALUE"""),721.55)</f>
        <v>721.55</v>
      </c>
      <c r="C3503" s="9">
        <f>IFERROR(__xludf.DUMMYFUNCTION("""COMPUTED_VALUE"""),723.7)</f>
        <v>723.7</v>
      </c>
      <c r="D3503" s="9">
        <f>IFERROR(__xludf.DUMMYFUNCTION("""COMPUTED_VALUE"""),705.35)</f>
        <v>705.35</v>
      </c>
      <c r="E3503" s="9">
        <f>IFERROR(__xludf.DUMMYFUNCTION("""COMPUTED_VALUE"""),710.2)</f>
        <v>710.2</v>
      </c>
      <c r="F3503" s="9">
        <f>IFERROR(__xludf.DUMMYFUNCTION("""COMPUTED_VALUE"""),8065544.0)</f>
        <v>8065544</v>
      </c>
      <c r="H3503" s="27">
        <f>IFERROR(__xludf.DUMMYFUNCTION("""COMPUTED_VALUE"""),43542.64583333333)</f>
        <v>43542.64583</v>
      </c>
      <c r="I3503" s="25">
        <f>IFERROR(__xludf.DUMMYFUNCTION("""COMPUTED_VALUE"""),2043.0)</f>
        <v>2043</v>
      </c>
      <c r="J3503" s="25">
        <f>IFERROR(__xludf.DUMMYFUNCTION("""COMPUTED_VALUE"""),2064.6)</f>
        <v>2064.6</v>
      </c>
      <c r="K3503" s="25">
        <f>IFERROR(__xludf.DUMMYFUNCTION("""COMPUTED_VALUE"""),2011.0)</f>
        <v>2011</v>
      </c>
      <c r="L3503" s="25">
        <f>IFERROR(__xludf.DUMMYFUNCTION("""COMPUTED_VALUE"""),2022.8)</f>
        <v>2022.8</v>
      </c>
      <c r="M3503" s="25">
        <f>IFERROR(__xludf.DUMMYFUNCTION("""COMPUTED_VALUE"""),2349915.0)</f>
        <v>2349915</v>
      </c>
    </row>
    <row r="3504">
      <c r="A3504" s="26">
        <f>IFERROR(__xludf.DUMMYFUNCTION("""COMPUTED_VALUE"""),43543.64583333333)</f>
        <v>43543.64583</v>
      </c>
      <c r="B3504" s="9">
        <f>IFERROR(__xludf.DUMMYFUNCTION("""COMPUTED_VALUE"""),712.8)</f>
        <v>712.8</v>
      </c>
      <c r="C3504" s="9">
        <f>IFERROR(__xludf.DUMMYFUNCTION("""COMPUTED_VALUE"""),726.5)</f>
        <v>726.5</v>
      </c>
      <c r="D3504" s="9">
        <f>IFERROR(__xludf.DUMMYFUNCTION("""COMPUTED_VALUE"""),707.4)</f>
        <v>707.4</v>
      </c>
      <c r="E3504" s="9">
        <f>IFERROR(__xludf.DUMMYFUNCTION("""COMPUTED_VALUE"""),722.25)</f>
        <v>722.25</v>
      </c>
      <c r="F3504" s="9">
        <f>IFERROR(__xludf.DUMMYFUNCTION("""COMPUTED_VALUE"""),8917337.0)</f>
        <v>8917337</v>
      </c>
      <c r="H3504" s="27">
        <f>IFERROR(__xludf.DUMMYFUNCTION("""COMPUTED_VALUE"""),43543.64583333333)</f>
        <v>43543.64583</v>
      </c>
      <c r="I3504" s="25">
        <f>IFERROR(__xludf.DUMMYFUNCTION("""COMPUTED_VALUE"""),2030.0)</f>
        <v>2030</v>
      </c>
      <c r="J3504" s="25">
        <f>IFERROR(__xludf.DUMMYFUNCTION("""COMPUTED_VALUE"""),2030.0)</f>
        <v>2030</v>
      </c>
      <c r="K3504" s="25">
        <f>IFERROR(__xludf.DUMMYFUNCTION("""COMPUTED_VALUE"""),1995.1)</f>
        <v>1995.1</v>
      </c>
      <c r="L3504" s="25">
        <f>IFERROR(__xludf.DUMMYFUNCTION("""COMPUTED_VALUE"""),2022.8)</f>
        <v>2022.8</v>
      </c>
      <c r="M3504" s="25">
        <f>IFERROR(__xludf.DUMMYFUNCTION("""COMPUTED_VALUE"""),2373993.0)</f>
        <v>2373993</v>
      </c>
    </row>
    <row r="3505">
      <c r="A3505" s="26">
        <f>IFERROR(__xludf.DUMMYFUNCTION("""COMPUTED_VALUE"""),43544.64583333333)</f>
        <v>43544.64583</v>
      </c>
      <c r="B3505" s="9">
        <f>IFERROR(__xludf.DUMMYFUNCTION("""COMPUTED_VALUE"""),727.25)</f>
        <v>727.25</v>
      </c>
      <c r="C3505" s="9">
        <f>IFERROR(__xludf.DUMMYFUNCTION("""COMPUTED_VALUE"""),742.3)</f>
        <v>742.3</v>
      </c>
      <c r="D3505" s="9">
        <f>IFERROR(__xludf.DUMMYFUNCTION("""COMPUTED_VALUE"""),727.15)</f>
        <v>727.15</v>
      </c>
      <c r="E3505" s="9">
        <f>IFERROR(__xludf.DUMMYFUNCTION("""COMPUTED_VALUE"""),738.95)</f>
        <v>738.95</v>
      </c>
      <c r="F3505" s="9">
        <f>IFERROR(__xludf.DUMMYFUNCTION("""COMPUTED_VALUE"""),1.3471173E7)</f>
        <v>13471173</v>
      </c>
      <c r="H3505" s="27">
        <f>IFERROR(__xludf.DUMMYFUNCTION("""COMPUTED_VALUE"""),43544.64583333333)</f>
        <v>43544.64583</v>
      </c>
      <c r="I3505" s="25">
        <f>IFERROR(__xludf.DUMMYFUNCTION("""COMPUTED_VALUE"""),2028.0)</f>
        <v>2028</v>
      </c>
      <c r="J3505" s="25">
        <f>IFERROR(__xludf.DUMMYFUNCTION("""COMPUTED_VALUE"""),2044.8)</f>
        <v>2044.8</v>
      </c>
      <c r="K3505" s="25">
        <f>IFERROR(__xludf.DUMMYFUNCTION("""COMPUTED_VALUE"""),2000.0)</f>
        <v>2000</v>
      </c>
      <c r="L3505" s="25">
        <f>IFERROR(__xludf.DUMMYFUNCTION("""COMPUTED_VALUE"""),2015.05)</f>
        <v>2015.05</v>
      </c>
      <c r="M3505" s="25">
        <f>IFERROR(__xludf.DUMMYFUNCTION("""COMPUTED_VALUE"""),3091165.0)</f>
        <v>3091165</v>
      </c>
    </row>
    <row r="3506">
      <c r="A3506" s="26">
        <f>IFERROR(__xludf.DUMMYFUNCTION("""COMPUTED_VALUE"""),43546.64583333333)</f>
        <v>43546.64583</v>
      </c>
      <c r="B3506" s="9">
        <f>IFERROR(__xludf.DUMMYFUNCTION("""COMPUTED_VALUE"""),745.0)</f>
        <v>745</v>
      </c>
      <c r="C3506" s="9">
        <f>IFERROR(__xludf.DUMMYFUNCTION("""COMPUTED_VALUE"""),746.35)</f>
        <v>746.35</v>
      </c>
      <c r="D3506" s="9">
        <f>IFERROR(__xludf.DUMMYFUNCTION("""COMPUTED_VALUE"""),732.3)</f>
        <v>732.3</v>
      </c>
      <c r="E3506" s="9">
        <f>IFERROR(__xludf.DUMMYFUNCTION("""COMPUTED_VALUE"""),743.1)</f>
        <v>743.1</v>
      </c>
      <c r="F3506" s="9">
        <f>IFERROR(__xludf.DUMMYFUNCTION("""COMPUTED_VALUE"""),8883260.0)</f>
        <v>8883260</v>
      </c>
      <c r="H3506" s="27">
        <f>IFERROR(__xludf.DUMMYFUNCTION("""COMPUTED_VALUE"""),43546.64583333333)</f>
        <v>43546.64583</v>
      </c>
      <c r="I3506" s="25">
        <f>IFERROR(__xludf.DUMMYFUNCTION("""COMPUTED_VALUE"""),2015.0)</f>
        <v>2015</v>
      </c>
      <c r="J3506" s="25">
        <f>IFERROR(__xludf.DUMMYFUNCTION("""COMPUTED_VALUE"""),2016.0)</f>
        <v>2016</v>
      </c>
      <c r="K3506" s="25">
        <f>IFERROR(__xludf.DUMMYFUNCTION("""COMPUTED_VALUE"""),1983.3)</f>
        <v>1983.3</v>
      </c>
      <c r="L3506" s="25">
        <f>IFERROR(__xludf.DUMMYFUNCTION("""COMPUTED_VALUE"""),2005.65)</f>
        <v>2005.65</v>
      </c>
      <c r="M3506" s="25">
        <f>IFERROR(__xludf.DUMMYFUNCTION("""COMPUTED_VALUE"""),3148149.0)</f>
        <v>3148149</v>
      </c>
    </row>
    <row r="3507">
      <c r="A3507" s="26">
        <f>IFERROR(__xludf.DUMMYFUNCTION("""COMPUTED_VALUE"""),43549.64583333333)</f>
        <v>43549.64583</v>
      </c>
      <c r="B3507" s="9">
        <f>IFERROR(__xludf.DUMMYFUNCTION("""COMPUTED_VALUE"""),742.4)</f>
        <v>742.4</v>
      </c>
      <c r="C3507" s="9">
        <f>IFERROR(__xludf.DUMMYFUNCTION("""COMPUTED_VALUE"""),742.4)</f>
        <v>742.4</v>
      </c>
      <c r="D3507" s="9">
        <f>IFERROR(__xludf.DUMMYFUNCTION("""COMPUTED_VALUE"""),730.55)</f>
        <v>730.55</v>
      </c>
      <c r="E3507" s="9">
        <f>IFERROR(__xludf.DUMMYFUNCTION("""COMPUTED_VALUE"""),735.25)</f>
        <v>735.25</v>
      </c>
      <c r="F3507" s="9">
        <f>IFERROR(__xludf.DUMMYFUNCTION("""COMPUTED_VALUE"""),7644966.0)</f>
        <v>7644966</v>
      </c>
      <c r="H3507" s="27">
        <f>IFERROR(__xludf.DUMMYFUNCTION("""COMPUTED_VALUE"""),43549.64583333333)</f>
        <v>43549.64583</v>
      </c>
      <c r="I3507" s="25">
        <f>IFERROR(__xludf.DUMMYFUNCTION("""COMPUTED_VALUE"""),2007.8)</f>
        <v>2007.8</v>
      </c>
      <c r="J3507" s="25">
        <f>IFERROR(__xludf.DUMMYFUNCTION("""COMPUTED_VALUE"""),2007.8)</f>
        <v>2007.8</v>
      </c>
      <c r="K3507" s="25">
        <f>IFERROR(__xludf.DUMMYFUNCTION("""COMPUTED_VALUE"""),1977.2)</f>
        <v>1977.2</v>
      </c>
      <c r="L3507" s="25">
        <f>IFERROR(__xludf.DUMMYFUNCTION("""COMPUTED_VALUE"""),1984.25)</f>
        <v>1984.25</v>
      </c>
      <c r="M3507" s="25">
        <f>IFERROR(__xludf.DUMMYFUNCTION("""COMPUTED_VALUE"""),2429205.0)</f>
        <v>2429205</v>
      </c>
    </row>
    <row r="3508">
      <c r="A3508" s="26">
        <f>IFERROR(__xludf.DUMMYFUNCTION("""COMPUTED_VALUE"""),43550.64583333333)</f>
        <v>43550.64583</v>
      </c>
      <c r="B3508" s="9">
        <f>IFERROR(__xludf.DUMMYFUNCTION("""COMPUTED_VALUE"""),735.25)</f>
        <v>735.25</v>
      </c>
      <c r="C3508" s="9">
        <f>IFERROR(__xludf.DUMMYFUNCTION("""COMPUTED_VALUE"""),735.25)</f>
        <v>735.25</v>
      </c>
      <c r="D3508" s="9">
        <f>IFERROR(__xludf.DUMMYFUNCTION("""COMPUTED_VALUE"""),719.1)</f>
        <v>719.1</v>
      </c>
      <c r="E3508" s="9">
        <f>IFERROR(__xludf.DUMMYFUNCTION("""COMPUTED_VALUE"""),727.75)</f>
        <v>727.75</v>
      </c>
      <c r="F3508" s="9">
        <f>IFERROR(__xludf.DUMMYFUNCTION("""COMPUTED_VALUE"""),9406261.0)</f>
        <v>9406261</v>
      </c>
      <c r="H3508" s="27">
        <f>IFERROR(__xludf.DUMMYFUNCTION("""COMPUTED_VALUE"""),43550.64583333333)</f>
        <v>43550.64583</v>
      </c>
      <c r="I3508" s="25">
        <f>IFERROR(__xludf.DUMMYFUNCTION("""COMPUTED_VALUE"""),1984.0)</f>
        <v>1984</v>
      </c>
      <c r="J3508" s="25">
        <f>IFERROR(__xludf.DUMMYFUNCTION("""COMPUTED_VALUE"""),1994.95)</f>
        <v>1994.95</v>
      </c>
      <c r="K3508" s="25">
        <f>IFERROR(__xludf.DUMMYFUNCTION("""COMPUTED_VALUE"""),1958.05)</f>
        <v>1958.05</v>
      </c>
      <c r="L3508" s="25">
        <f>IFERROR(__xludf.DUMMYFUNCTION("""COMPUTED_VALUE"""),1982.65)</f>
        <v>1982.65</v>
      </c>
      <c r="M3508" s="25">
        <f>IFERROR(__xludf.DUMMYFUNCTION("""COMPUTED_VALUE"""),2316539.0)</f>
        <v>2316539</v>
      </c>
    </row>
    <row r="3509">
      <c r="A3509" s="26">
        <f>IFERROR(__xludf.DUMMYFUNCTION("""COMPUTED_VALUE"""),43551.64583333333)</f>
        <v>43551.64583</v>
      </c>
      <c r="B3509" s="9">
        <f>IFERROR(__xludf.DUMMYFUNCTION("""COMPUTED_VALUE"""),730.0)</f>
        <v>730</v>
      </c>
      <c r="C3509" s="9">
        <f>IFERROR(__xludf.DUMMYFUNCTION("""COMPUTED_VALUE"""),732.3)</f>
        <v>732.3</v>
      </c>
      <c r="D3509" s="9">
        <f>IFERROR(__xludf.DUMMYFUNCTION("""COMPUTED_VALUE"""),727.15)</f>
        <v>727.15</v>
      </c>
      <c r="E3509" s="9">
        <f>IFERROR(__xludf.DUMMYFUNCTION("""COMPUTED_VALUE"""),729.7)</f>
        <v>729.7</v>
      </c>
      <c r="F3509" s="9">
        <f>IFERROR(__xludf.DUMMYFUNCTION("""COMPUTED_VALUE"""),7387487.0)</f>
        <v>7387487</v>
      </c>
      <c r="H3509" s="27">
        <f>IFERROR(__xludf.DUMMYFUNCTION("""COMPUTED_VALUE"""),43551.64583333333)</f>
        <v>43551.64583</v>
      </c>
      <c r="I3509" s="25">
        <f>IFERROR(__xludf.DUMMYFUNCTION("""COMPUTED_VALUE"""),1994.0)</f>
        <v>1994</v>
      </c>
      <c r="J3509" s="25">
        <f>IFERROR(__xludf.DUMMYFUNCTION("""COMPUTED_VALUE"""),1998.0)</f>
        <v>1998</v>
      </c>
      <c r="K3509" s="25">
        <f>IFERROR(__xludf.DUMMYFUNCTION("""COMPUTED_VALUE"""),1961.0)</f>
        <v>1961</v>
      </c>
      <c r="L3509" s="25">
        <f>IFERROR(__xludf.DUMMYFUNCTION("""COMPUTED_VALUE"""),1967.9)</f>
        <v>1967.9</v>
      </c>
      <c r="M3509" s="25">
        <f>IFERROR(__xludf.DUMMYFUNCTION("""COMPUTED_VALUE"""),2266166.0)</f>
        <v>2266166</v>
      </c>
    </row>
    <row r="3510">
      <c r="A3510" s="26">
        <f>IFERROR(__xludf.DUMMYFUNCTION("""COMPUTED_VALUE"""),43552.64583333333)</f>
        <v>43552.64583</v>
      </c>
      <c r="B3510" s="9">
        <f>IFERROR(__xludf.DUMMYFUNCTION("""COMPUTED_VALUE"""),730.0)</f>
        <v>730</v>
      </c>
      <c r="C3510" s="9">
        <f>IFERROR(__xludf.DUMMYFUNCTION("""COMPUTED_VALUE"""),745.0)</f>
        <v>745</v>
      </c>
      <c r="D3510" s="9">
        <f>IFERROR(__xludf.DUMMYFUNCTION("""COMPUTED_VALUE"""),730.0)</f>
        <v>730</v>
      </c>
      <c r="E3510" s="9">
        <f>IFERROR(__xludf.DUMMYFUNCTION("""COMPUTED_VALUE"""),737.8)</f>
        <v>737.8</v>
      </c>
      <c r="F3510" s="9">
        <f>IFERROR(__xludf.DUMMYFUNCTION("""COMPUTED_VALUE"""),9277241.0)</f>
        <v>9277241</v>
      </c>
      <c r="H3510" s="27">
        <f>IFERROR(__xludf.DUMMYFUNCTION("""COMPUTED_VALUE"""),43552.64583333333)</f>
        <v>43552.64583</v>
      </c>
      <c r="I3510" s="25">
        <f>IFERROR(__xludf.DUMMYFUNCTION("""COMPUTED_VALUE"""),1980.0)</f>
        <v>1980</v>
      </c>
      <c r="J3510" s="25">
        <f>IFERROR(__xludf.DUMMYFUNCTION("""COMPUTED_VALUE"""),2014.6)</f>
        <v>2014.6</v>
      </c>
      <c r="K3510" s="25">
        <f>IFERROR(__xludf.DUMMYFUNCTION("""COMPUTED_VALUE"""),1972.8)</f>
        <v>1972.8</v>
      </c>
      <c r="L3510" s="25">
        <f>IFERROR(__xludf.DUMMYFUNCTION("""COMPUTED_VALUE"""),2000.3)</f>
        <v>2000.3</v>
      </c>
      <c r="M3510" s="25">
        <f>IFERROR(__xludf.DUMMYFUNCTION("""COMPUTED_VALUE"""),4054489.0)</f>
        <v>4054489</v>
      </c>
    </row>
    <row r="3511">
      <c r="A3511" s="26">
        <f>IFERROR(__xludf.DUMMYFUNCTION("""COMPUTED_VALUE"""),43553.64583333333)</f>
        <v>43553.64583</v>
      </c>
      <c r="B3511" s="9">
        <f>IFERROR(__xludf.DUMMYFUNCTION("""COMPUTED_VALUE"""),743.9)</f>
        <v>743.9</v>
      </c>
      <c r="C3511" s="9">
        <f>IFERROR(__xludf.DUMMYFUNCTION("""COMPUTED_VALUE"""),747.95)</f>
        <v>747.95</v>
      </c>
      <c r="D3511" s="9">
        <f>IFERROR(__xludf.DUMMYFUNCTION("""COMPUTED_VALUE"""),740.0)</f>
        <v>740</v>
      </c>
      <c r="E3511" s="9">
        <f>IFERROR(__xludf.DUMMYFUNCTION("""COMPUTED_VALUE"""),743.85)</f>
        <v>743.85</v>
      </c>
      <c r="F3511" s="9">
        <f>IFERROR(__xludf.DUMMYFUNCTION("""COMPUTED_VALUE"""),6924061.0)</f>
        <v>6924061</v>
      </c>
      <c r="H3511" s="27">
        <f>IFERROR(__xludf.DUMMYFUNCTION("""COMPUTED_VALUE"""),43553.64583333333)</f>
        <v>43553.64583</v>
      </c>
      <c r="I3511" s="25">
        <f>IFERROR(__xludf.DUMMYFUNCTION("""COMPUTED_VALUE"""),2019.0)</f>
        <v>2019</v>
      </c>
      <c r="J3511" s="25">
        <f>IFERROR(__xludf.DUMMYFUNCTION("""COMPUTED_VALUE"""),2024.9)</f>
        <v>2024.9</v>
      </c>
      <c r="K3511" s="25">
        <f>IFERROR(__xludf.DUMMYFUNCTION("""COMPUTED_VALUE"""),1983.55)</f>
        <v>1983.55</v>
      </c>
      <c r="L3511" s="25">
        <f>IFERROR(__xludf.DUMMYFUNCTION("""COMPUTED_VALUE"""),2001.65)</f>
        <v>2001.65</v>
      </c>
      <c r="M3511" s="25">
        <f>IFERROR(__xludf.DUMMYFUNCTION("""COMPUTED_VALUE"""),2948955.0)</f>
        <v>2948955</v>
      </c>
    </row>
    <row r="3512">
      <c r="A3512" s="26">
        <f>IFERROR(__xludf.DUMMYFUNCTION("""COMPUTED_VALUE"""),43556.64583333333)</f>
        <v>43556.64583</v>
      </c>
      <c r="B3512" s="9">
        <f>IFERROR(__xludf.DUMMYFUNCTION("""COMPUTED_VALUE"""),742.0)</f>
        <v>742</v>
      </c>
      <c r="C3512" s="9">
        <f>IFERROR(__xludf.DUMMYFUNCTION("""COMPUTED_VALUE"""),760.0)</f>
        <v>760</v>
      </c>
      <c r="D3512" s="9">
        <f>IFERROR(__xludf.DUMMYFUNCTION("""COMPUTED_VALUE"""),742.0)</f>
        <v>742</v>
      </c>
      <c r="E3512" s="9">
        <f>IFERROR(__xludf.DUMMYFUNCTION("""COMPUTED_VALUE"""),755.1)</f>
        <v>755.1</v>
      </c>
      <c r="F3512" s="9">
        <f>IFERROR(__xludf.DUMMYFUNCTION("""COMPUTED_VALUE"""),6584982.0)</f>
        <v>6584982</v>
      </c>
      <c r="H3512" s="27">
        <f>IFERROR(__xludf.DUMMYFUNCTION("""COMPUTED_VALUE"""),43556.64583333333)</f>
        <v>43556.64583</v>
      </c>
      <c r="I3512" s="25">
        <f>IFERROR(__xludf.DUMMYFUNCTION("""COMPUTED_VALUE"""),2010.0)</f>
        <v>2010</v>
      </c>
      <c r="J3512" s="25">
        <f>IFERROR(__xludf.DUMMYFUNCTION("""COMPUTED_VALUE"""),2039.95)</f>
        <v>2039.95</v>
      </c>
      <c r="K3512" s="25">
        <f>IFERROR(__xludf.DUMMYFUNCTION("""COMPUTED_VALUE"""),2008.25)</f>
        <v>2008.25</v>
      </c>
      <c r="L3512" s="25">
        <f>IFERROR(__xludf.DUMMYFUNCTION("""COMPUTED_VALUE"""),2031.65)</f>
        <v>2031.65</v>
      </c>
      <c r="M3512" s="25">
        <f>IFERROR(__xludf.DUMMYFUNCTION("""COMPUTED_VALUE"""),2095740.0)</f>
        <v>2095740</v>
      </c>
    </row>
    <row r="3513">
      <c r="A3513" s="26">
        <f>IFERROR(__xludf.DUMMYFUNCTION("""COMPUTED_VALUE"""),43557.64583333333)</f>
        <v>43557.64583</v>
      </c>
      <c r="B3513" s="9">
        <f>IFERROR(__xludf.DUMMYFUNCTION("""COMPUTED_VALUE"""),759.0)</f>
        <v>759</v>
      </c>
      <c r="C3513" s="9">
        <f>IFERROR(__xludf.DUMMYFUNCTION("""COMPUTED_VALUE"""),765.8)</f>
        <v>765.8</v>
      </c>
      <c r="D3513" s="9">
        <f>IFERROR(__xludf.DUMMYFUNCTION("""COMPUTED_VALUE"""),754.6)</f>
        <v>754.6</v>
      </c>
      <c r="E3513" s="9">
        <f>IFERROR(__xludf.DUMMYFUNCTION("""COMPUTED_VALUE"""),759.4)</f>
        <v>759.4</v>
      </c>
      <c r="F3513" s="9">
        <f>IFERROR(__xludf.DUMMYFUNCTION("""COMPUTED_VALUE"""),7283600.0)</f>
        <v>7283600</v>
      </c>
      <c r="H3513" s="27">
        <f>IFERROR(__xludf.DUMMYFUNCTION("""COMPUTED_VALUE"""),43557.64583333333)</f>
        <v>43557.64583</v>
      </c>
      <c r="I3513" s="25">
        <f>IFERROR(__xludf.DUMMYFUNCTION("""COMPUTED_VALUE"""),2037.1)</f>
        <v>2037.1</v>
      </c>
      <c r="J3513" s="25">
        <f>IFERROR(__xludf.DUMMYFUNCTION("""COMPUTED_VALUE"""),2086.0)</f>
        <v>2086</v>
      </c>
      <c r="K3513" s="25">
        <f>IFERROR(__xludf.DUMMYFUNCTION("""COMPUTED_VALUE"""),2037.0)</f>
        <v>2037</v>
      </c>
      <c r="L3513" s="25">
        <f>IFERROR(__xludf.DUMMYFUNCTION("""COMPUTED_VALUE"""),2079.3)</f>
        <v>2079.3</v>
      </c>
      <c r="M3513" s="25">
        <f>IFERROR(__xludf.DUMMYFUNCTION("""COMPUTED_VALUE"""),3719663.0)</f>
        <v>3719663</v>
      </c>
    </row>
    <row r="3514">
      <c r="A3514" s="26">
        <f>IFERROR(__xludf.DUMMYFUNCTION("""COMPUTED_VALUE"""),43558.64583333333)</f>
        <v>43558.64583</v>
      </c>
      <c r="B3514" s="9">
        <f>IFERROR(__xludf.DUMMYFUNCTION("""COMPUTED_VALUE"""),756.0)</f>
        <v>756</v>
      </c>
      <c r="C3514" s="9">
        <f>IFERROR(__xludf.DUMMYFUNCTION("""COMPUTED_VALUE"""),758.5)</f>
        <v>758.5</v>
      </c>
      <c r="D3514" s="9">
        <f>IFERROR(__xludf.DUMMYFUNCTION("""COMPUTED_VALUE"""),746.8)</f>
        <v>746.8</v>
      </c>
      <c r="E3514" s="9">
        <f>IFERROR(__xludf.DUMMYFUNCTION("""COMPUTED_VALUE"""),753.3)</f>
        <v>753.3</v>
      </c>
      <c r="F3514" s="9">
        <f>IFERROR(__xludf.DUMMYFUNCTION("""COMPUTED_VALUE"""),6897127.0)</f>
        <v>6897127</v>
      </c>
      <c r="H3514" s="27">
        <f>IFERROR(__xludf.DUMMYFUNCTION("""COMPUTED_VALUE"""),43558.64583333333)</f>
        <v>43558.64583</v>
      </c>
      <c r="I3514" s="25">
        <f>IFERROR(__xludf.DUMMYFUNCTION("""COMPUTED_VALUE"""),2085.0)</f>
        <v>2085</v>
      </c>
      <c r="J3514" s="25">
        <f>IFERROR(__xludf.DUMMYFUNCTION("""COMPUTED_VALUE"""),2089.6)</f>
        <v>2089.6</v>
      </c>
      <c r="K3514" s="25">
        <f>IFERROR(__xludf.DUMMYFUNCTION("""COMPUTED_VALUE"""),2058.1)</f>
        <v>2058.1</v>
      </c>
      <c r="L3514" s="25">
        <f>IFERROR(__xludf.DUMMYFUNCTION("""COMPUTED_VALUE"""),2079.3)</f>
        <v>2079.3</v>
      </c>
      <c r="M3514" s="25">
        <f>IFERROR(__xludf.DUMMYFUNCTION("""COMPUTED_VALUE"""),2939886.0)</f>
        <v>2939886</v>
      </c>
    </row>
    <row r="3515">
      <c r="A3515" s="26">
        <f>IFERROR(__xludf.DUMMYFUNCTION("""COMPUTED_VALUE"""),43559.64583333333)</f>
        <v>43559.64583</v>
      </c>
      <c r="B3515" s="9">
        <f>IFERROR(__xludf.DUMMYFUNCTION("""COMPUTED_VALUE"""),751.4)</f>
        <v>751.4</v>
      </c>
      <c r="C3515" s="9">
        <f>IFERROR(__xludf.DUMMYFUNCTION("""COMPUTED_VALUE"""),753.8)</f>
        <v>753.8</v>
      </c>
      <c r="D3515" s="9">
        <f>IFERROR(__xludf.DUMMYFUNCTION("""COMPUTED_VALUE"""),745.1)</f>
        <v>745.1</v>
      </c>
      <c r="E3515" s="9">
        <f>IFERROR(__xludf.DUMMYFUNCTION("""COMPUTED_VALUE"""),747.9)</f>
        <v>747.9</v>
      </c>
      <c r="F3515" s="9">
        <f>IFERROR(__xludf.DUMMYFUNCTION("""COMPUTED_VALUE"""),7688525.0)</f>
        <v>7688525</v>
      </c>
      <c r="H3515" s="27">
        <f>IFERROR(__xludf.DUMMYFUNCTION("""COMPUTED_VALUE"""),43559.64583333333)</f>
        <v>43559.64583</v>
      </c>
      <c r="I3515" s="25">
        <f>IFERROR(__xludf.DUMMYFUNCTION("""COMPUTED_VALUE"""),2078.15)</f>
        <v>2078.15</v>
      </c>
      <c r="J3515" s="25">
        <f>IFERROR(__xludf.DUMMYFUNCTION("""COMPUTED_VALUE"""),2079.7)</f>
        <v>2079.7</v>
      </c>
      <c r="K3515" s="25">
        <f>IFERROR(__xludf.DUMMYFUNCTION("""COMPUTED_VALUE"""),2007.4)</f>
        <v>2007.4</v>
      </c>
      <c r="L3515" s="25">
        <f>IFERROR(__xludf.DUMMYFUNCTION("""COMPUTED_VALUE"""),2014.5)</f>
        <v>2014.5</v>
      </c>
      <c r="M3515" s="25">
        <f>IFERROR(__xludf.DUMMYFUNCTION("""COMPUTED_VALUE"""),4397518.0)</f>
        <v>4397518</v>
      </c>
    </row>
    <row r="3516">
      <c r="A3516" s="26">
        <f>IFERROR(__xludf.DUMMYFUNCTION("""COMPUTED_VALUE"""),43560.64583333333)</f>
        <v>43560.64583</v>
      </c>
      <c r="B3516" s="9">
        <f>IFERROR(__xludf.DUMMYFUNCTION("""COMPUTED_VALUE"""),750.9)</f>
        <v>750.9</v>
      </c>
      <c r="C3516" s="9">
        <f>IFERROR(__xludf.DUMMYFUNCTION("""COMPUTED_VALUE"""),760.95)</f>
        <v>760.95</v>
      </c>
      <c r="D3516" s="9">
        <f>IFERROR(__xludf.DUMMYFUNCTION("""COMPUTED_VALUE"""),748.0)</f>
        <v>748</v>
      </c>
      <c r="E3516" s="9">
        <f>IFERROR(__xludf.DUMMYFUNCTION("""COMPUTED_VALUE"""),759.3)</f>
        <v>759.3</v>
      </c>
      <c r="F3516" s="9">
        <f>IFERROR(__xludf.DUMMYFUNCTION("""COMPUTED_VALUE"""),6276040.0)</f>
        <v>6276040</v>
      </c>
      <c r="H3516" s="27">
        <f>IFERROR(__xludf.DUMMYFUNCTION("""COMPUTED_VALUE"""),43560.64583333333)</f>
        <v>43560.64583</v>
      </c>
      <c r="I3516" s="25">
        <f>IFERROR(__xludf.DUMMYFUNCTION("""COMPUTED_VALUE"""),2028.65)</f>
        <v>2028.65</v>
      </c>
      <c r="J3516" s="25">
        <f>IFERROR(__xludf.DUMMYFUNCTION("""COMPUTED_VALUE"""),2054.4)</f>
        <v>2054.4</v>
      </c>
      <c r="K3516" s="25">
        <f>IFERROR(__xludf.DUMMYFUNCTION("""COMPUTED_VALUE"""),2018.8)</f>
        <v>2018.8</v>
      </c>
      <c r="L3516" s="25">
        <f>IFERROR(__xludf.DUMMYFUNCTION("""COMPUTED_VALUE"""),2048.3)</f>
        <v>2048.3</v>
      </c>
      <c r="M3516" s="25">
        <f>IFERROR(__xludf.DUMMYFUNCTION("""COMPUTED_VALUE"""),3152103.0)</f>
        <v>3152103</v>
      </c>
    </row>
    <row r="3517">
      <c r="A3517" s="26">
        <f>IFERROR(__xludf.DUMMYFUNCTION("""COMPUTED_VALUE"""),43563.64583333333)</f>
        <v>43563.64583</v>
      </c>
      <c r="B3517" s="9">
        <f>IFERROR(__xludf.DUMMYFUNCTION("""COMPUTED_VALUE"""),763.05)</f>
        <v>763.05</v>
      </c>
      <c r="C3517" s="9">
        <f>IFERROR(__xludf.DUMMYFUNCTION("""COMPUTED_VALUE"""),770.0)</f>
        <v>770</v>
      </c>
      <c r="D3517" s="9">
        <f>IFERROR(__xludf.DUMMYFUNCTION("""COMPUTED_VALUE"""),755.4)</f>
        <v>755.4</v>
      </c>
      <c r="E3517" s="9">
        <f>IFERROR(__xludf.DUMMYFUNCTION("""COMPUTED_VALUE"""),767.25)</f>
        <v>767.25</v>
      </c>
      <c r="F3517" s="9">
        <f>IFERROR(__xludf.DUMMYFUNCTION("""COMPUTED_VALUE"""),4919911.0)</f>
        <v>4919911</v>
      </c>
      <c r="H3517" s="27">
        <f>IFERROR(__xludf.DUMMYFUNCTION("""COMPUTED_VALUE"""),43563.64583333333)</f>
        <v>43563.64583</v>
      </c>
      <c r="I3517" s="25">
        <f>IFERROR(__xludf.DUMMYFUNCTION("""COMPUTED_VALUE"""),2059.0)</f>
        <v>2059</v>
      </c>
      <c r="J3517" s="25">
        <f>IFERROR(__xludf.DUMMYFUNCTION("""COMPUTED_VALUE"""),2075.0)</f>
        <v>2075</v>
      </c>
      <c r="K3517" s="25">
        <f>IFERROR(__xludf.DUMMYFUNCTION("""COMPUTED_VALUE"""),2032.7)</f>
        <v>2032.7</v>
      </c>
      <c r="L3517" s="25">
        <f>IFERROR(__xludf.DUMMYFUNCTION("""COMPUTED_VALUE"""),2070.75)</f>
        <v>2070.75</v>
      </c>
      <c r="M3517" s="25">
        <f>IFERROR(__xludf.DUMMYFUNCTION("""COMPUTED_VALUE"""),2194294.0)</f>
        <v>2194294</v>
      </c>
    </row>
    <row r="3518">
      <c r="A3518" s="26">
        <f>IFERROR(__xludf.DUMMYFUNCTION("""COMPUTED_VALUE"""),43564.64583333333)</f>
        <v>43564.64583</v>
      </c>
      <c r="B3518" s="9">
        <f>IFERROR(__xludf.DUMMYFUNCTION("""COMPUTED_VALUE"""),770.0)</f>
        <v>770</v>
      </c>
      <c r="C3518" s="9">
        <f>IFERROR(__xludf.DUMMYFUNCTION("""COMPUTED_VALUE"""),773.0)</f>
        <v>773</v>
      </c>
      <c r="D3518" s="9">
        <f>IFERROR(__xludf.DUMMYFUNCTION("""COMPUTED_VALUE"""),758.2)</f>
        <v>758.2</v>
      </c>
      <c r="E3518" s="9">
        <f>IFERROR(__xludf.DUMMYFUNCTION("""COMPUTED_VALUE"""),760.6)</f>
        <v>760.6</v>
      </c>
      <c r="F3518" s="9">
        <f>IFERROR(__xludf.DUMMYFUNCTION("""COMPUTED_VALUE"""),6730692.0)</f>
        <v>6730692</v>
      </c>
      <c r="H3518" s="27">
        <f>IFERROR(__xludf.DUMMYFUNCTION("""COMPUTED_VALUE"""),43564.64583333333)</f>
        <v>43564.64583</v>
      </c>
      <c r="I3518" s="25">
        <f>IFERROR(__xludf.DUMMYFUNCTION("""COMPUTED_VALUE"""),2070.0)</f>
        <v>2070</v>
      </c>
      <c r="J3518" s="25">
        <f>IFERROR(__xludf.DUMMYFUNCTION("""COMPUTED_VALUE"""),2098.0)</f>
        <v>2098</v>
      </c>
      <c r="K3518" s="25">
        <f>IFERROR(__xludf.DUMMYFUNCTION("""COMPUTED_VALUE"""),2057.65)</f>
        <v>2057.65</v>
      </c>
      <c r="L3518" s="25">
        <f>IFERROR(__xludf.DUMMYFUNCTION("""COMPUTED_VALUE"""),2091.5)</f>
        <v>2091.5</v>
      </c>
      <c r="M3518" s="25">
        <f>IFERROR(__xludf.DUMMYFUNCTION("""COMPUTED_VALUE"""),2690970.0)</f>
        <v>2690970</v>
      </c>
    </row>
    <row r="3519">
      <c r="A3519" s="26">
        <f>IFERROR(__xludf.DUMMYFUNCTION("""COMPUTED_VALUE"""),43565.64583333333)</f>
        <v>43565.64583</v>
      </c>
      <c r="B3519" s="9">
        <f>IFERROR(__xludf.DUMMYFUNCTION("""COMPUTED_VALUE"""),764.0)</f>
        <v>764</v>
      </c>
      <c r="C3519" s="9">
        <f>IFERROR(__xludf.DUMMYFUNCTION("""COMPUTED_VALUE"""),766.7)</f>
        <v>766.7</v>
      </c>
      <c r="D3519" s="9">
        <f>IFERROR(__xludf.DUMMYFUNCTION("""COMPUTED_VALUE"""),751.3)</f>
        <v>751.3</v>
      </c>
      <c r="E3519" s="9">
        <f>IFERROR(__xludf.DUMMYFUNCTION("""COMPUTED_VALUE"""),752.7)</f>
        <v>752.7</v>
      </c>
      <c r="F3519" s="9">
        <f>IFERROR(__xludf.DUMMYFUNCTION("""COMPUTED_VALUE"""),7031088.0)</f>
        <v>7031088</v>
      </c>
      <c r="H3519" s="27">
        <f>IFERROR(__xludf.DUMMYFUNCTION("""COMPUTED_VALUE"""),43565.64583333333)</f>
        <v>43565.64583</v>
      </c>
      <c r="I3519" s="25">
        <f>IFERROR(__xludf.DUMMYFUNCTION("""COMPUTED_VALUE"""),2083.0)</f>
        <v>2083</v>
      </c>
      <c r="J3519" s="25">
        <f>IFERROR(__xludf.DUMMYFUNCTION("""COMPUTED_VALUE"""),2085.5)</f>
        <v>2085.5</v>
      </c>
      <c r="K3519" s="25">
        <f>IFERROR(__xludf.DUMMYFUNCTION("""COMPUTED_VALUE"""),2036.0)</f>
        <v>2036</v>
      </c>
      <c r="L3519" s="25">
        <f>IFERROR(__xludf.DUMMYFUNCTION("""COMPUTED_VALUE"""),2040.25)</f>
        <v>2040.25</v>
      </c>
      <c r="M3519" s="25">
        <f>IFERROR(__xludf.DUMMYFUNCTION("""COMPUTED_VALUE"""),3313062.0)</f>
        <v>3313062</v>
      </c>
    </row>
    <row r="3520">
      <c r="A3520" s="26">
        <f>IFERROR(__xludf.DUMMYFUNCTION("""COMPUTED_VALUE"""),43566.64583333333)</f>
        <v>43566.64583</v>
      </c>
      <c r="B3520" s="9">
        <f>IFERROR(__xludf.DUMMYFUNCTION("""COMPUTED_VALUE"""),751.75)</f>
        <v>751.75</v>
      </c>
      <c r="C3520" s="9">
        <f>IFERROR(__xludf.DUMMYFUNCTION("""COMPUTED_VALUE"""),751.75)</f>
        <v>751.75</v>
      </c>
      <c r="D3520" s="9">
        <f>IFERROR(__xludf.DUMMYFUNCTION("""COMPUTED_VALUE"""),740.05)</f>
        <v>740.05</v>
      </c>
      <c r="E3520" s="9">
        <f>IFERROR(__xludf.DUMMYFUNCTION("""COMPUTED_VALUE"""),742.7)</f>
        <v>742.7</v>
      </c>
      <c r="F3520" s="9">
        <f>IFERROR(__xludf.DUMMYFUNCTION("""COMPUTED_VALUE"""),8200995.0)</f>
        <v>8200995</v>
      </c>
      <c r="H3520" s="27">
        <f>IFERROR(__xludf.DUMMYFUNCTION("""COMPUTED_VALUE"""),43566.64583333333)</f>
        <v>43566.64583</v>
      </c>
      <c r="I3520" s="25">
        <f>IFERROR(__xludf.DUMMYFUNCTION("""COMPUTED_VALUE"""),2045.0)</f>
        <v>2045</v>
      </c>
      <c r="J3520" s="25">
        <f>IFERROR(__xludf.DUMMYFUNCTION("""COMPUTED_VALUE"""),2055.0)</f>
        <v>2055</v>
      </c>
      <c r="K3520" s="25">
        <f>IFERROR(__xludf.DUMMYFUNCTION("""COMPUTED_VALUE"""),2013.65)</f>
        <v>2013.65</v>
      </c>
      <c r="L3520" s="25">
        <f>IFERROR(__xludf.DUMMYFUNCTION("""COMPUTED_VALUE"""),2019.5)</f>
        <v>2019.5</v>
      </c>
      <c r="M3520" s="25">
        <f>IFERROR(__xludf.DUMMYFUNCTION("""COMPUTED_VALUE"""),3422442.0)</f>
        <v>3422442</v>
      </c>
    </row>
    <row r="3521">
      <c r="A3521" s="26">
        <f>IFERROR(__xludf.DUMMYFUNCTION("""COMPUTED_VALUE"""),43567.64583333333)</f>
        <v>43567.64583</v>
      </c>
      <c r="B3521" s="9">
        <f>IFERROR(__xludf.DUMMYFUNCTION("""COMPUTED_VALUE"""),743.1)</f>
        <v>743.1</v>
      </c>
      <c r="C3521" s="9">
        <f>IFERROR(__xludf.DUMMYFUNCTION("""COMPUTED_VALUE"""),751.55)</f>
        <v>751.55</v>
      </c>
      <c r="D3521" s="9">
        <f>IFERROR(__xludf.DUMMYFUNCTION("""COMPUTED_VALUE"""),740.6)</f>
        <v>740.6</v>
      </c>
      <c r="E3521" s="9">
        <f>IFERROR(__xludf.DUMMYFUNCTION("""COMPUTED_VALUE"""),747.75)</f>
        <v>747.75</v>
      </c>
      <c r="F3521" s="9">
        <f>IFERROR(__xludf.DUMMYFUNCTION("""COMPUTED_VALUE"""),7043212.0)</f>
        <v>7043212</v>
      </c>
      <c r="H3521" s="27">
        <f>IFERROR(__xludf.DUMMYFUNCTION("""COMPUTED_VALUE"""),43567.64583333333)</f>
        <v>43567.64583</v>
      </c>
      <c r="I3521" s="25">
        <f>IFERROR(__xludf.DUMMYFUNCTION("""COMPUTED_VALUE"""),2038.0)</f>
        <v>2038</v>
      </c>
      <c r="J3521" s="25">
        <f>IFERROR(__xludf.DUMMYFUNCTION("""COMPUTED_VALUE"""),2039.0)</f>
        <v>2039</v>
      </c>
      <c r="K3521" s="25">
        <f>IFERROR(__xludf.DUMMYFUNCTION("""COMPUTED_VALUE"""),2007.0)</f>
        <v>2007</v>
      </c>
      <c r="L3521" s="25">
        <f>IFERROR(__xludf.DUMMYFUNCTION("""COMPUTED_VALUE"""),2014.5)</f>
        <v>2014.5</v>
      </c>
      <c r="M3521" s="25">
        <f>IFERROR(__xludf.DUMMYFUNCTION("""COMPUTED_VALUE"""),3198471.0)</f>
        <v>3198471</v>
      </c>
    </row>
    <row r="3522">
      <c r="A3522" s="26">
        <f>IFERROR(__xludf.DUMMYFUNCTION("""COMPUTED_VALUE"""),43570.64583333333)</f>
        <v>43570.64583</v>
      </c>
      <c r="B3522" s="9">
        <f>IFERROR(__xludf.DUMMYFUNCTION("""COMPUTED_VALUE"""),724.7)</f>
        <v>724.7</v>
      </c>
      <c r="C3522" s="9">
        <f>IFERROR(__xludf.DUMMYFUNCTION("""COMPUTED_VALUE"""),731.35)</f>
        <v>731.35</v>
      </c>
      <c r="D3522" s="9">
        <f>IFERROR(__xludf.DUMMYFUNCTION("""COMPUTED_VALUE"""),712.6)</f>
        <v>712.6</v>
      </c>
      <c r="E3522" s="9">
        <f>IFERROR(__xludf.DUMMYFUNCTION("""COMPUTED_VALUE"""),727.5)</f>
        <v>727.5</v>
      </c>
      <c r="F3522" s="9">
        <f>IFERROR(__xludf.DUMMYFUNCTION("""COMPUTED_VALUE"""),3.1574803E7)</f>
        <v>31574803</v>
      </c>
      <c r="H3522" s="27">
        <f>IFERROR(__xludf.DUMMYFUNCTION("""COMPUTED_VALUE"""),43570.64583333333)</f>
        <v>43570.64583</v>
      </c>
      <c r="I3522" s="25">
        <f>IFERROR(__xludf.DUMMYFUNCTION("""COMPUTED_VALUE"""),2070.0)</f>
        <v>2070</v>
      </c>
      <c r="J3522" s="25">
        <f>IFERROR(__xludf.DUMMYFUNCTION("""COMPUTED_VALUE"""),2119.8)</f>
        <v>2119.8</v>
      </c>
      <c r="K3522" s="25">
        <f>IFERROR(__xludf.DUMMYFUNCTION("""COMPUTED_VALUE"""),2041.0)</f>
        <v>2041</v>
      </c>
      <c r="L3522" s="25">
        <f>IFERROR(__xludf.DUMMYFUNCTION("""COMPUTED_VALUE"""),2113.3)</f>
        <v>2113.3</v>
      </c>
      <c r="M3522" s="25">
        <f>IFERROR(__xludf.DUMMYFUNCTION("""COMPUTED_VALUE"""),9189201.0)</f>
        <v>9189201</v>
      </c>
    </row>
    <row r="3523">
      <c r="A3523" s="26">
        <f>IFERROR(__xludf.DUMMYFUNCTION("""COMPUTED_VALUE"""),43571.64583333333)</f>
        <v>43571.64583</v>
      </c>
      <c r="B3523" s="9">
        <f>IFERROR(__xludf.DUMMYFUNCTION("""COMPUTED_VALUE"""),727.9)</f>
        <v>727.9</v>
      </c>
      <c r="C3523" s="9">
        <f>IFERROR(__xludf.DUMMYFUNCTION("""COMPUTED_VALUE"""),727.9)</f>
        <v>727.9</v>
      </c>
      <c r="D3523" s="9">
        <f>IFERROR(__xludf.DUMMYFUNCTION("""COMPUTED_VALUE"""),714.1)</f>
        <v>714.1</v>
      </c>
      <c r="E3523" s="9">
        <f>IFERROR(__xludf.DUMMYFUNCTION("""COMPUTED_VALUE"""),724.1)</f>
        <v>724.1</v>
      </c>
      <c r="F3523" s="9">
        <f>IFERROR(__xludf.DUMMYFUNCTION("""COMPUTED_VALUE"""),1.2524411E7)</f>
        <v>12524411</v>
      </c>
      <c r="H3523" s="27">
        <f>IFERROR(__xludf.DUMMYFUNCTION("""COMPUTED_VALUE"""),43571.64583333333)</f>
        <v>43571.64583</v>
      </c>
      <c r="I3523" s="25">
        <f>IFERROR(__xludf.DUMMYFUNCTION("""COMPUTED_VALUE"""),2120.0)</f>
        <v>2120</v>
      </c>
      <c r="J3523" s="25">
        <f>IFERROR(__xludf.DUMMYFUNCTION("""COMPUTED_VALUE"""),2155.95)</f>
        <v>2155.95</v>
      </c>
      <c r="K3523" s="25">
        <f>IFERROR(__xludf.DUMMYFUNCTION("""COMPUTED_VALUE"""),2115.55)</f>
        <v>2115.55</v>
      </c>
      <c r="L3523" s="25">
        <f>IFERROR(__xludf.DUMMYFUNCTION("""COMPUTED_VALUE"""),2131.8)</f>
        <v>2131.8</v>
      </c>
      <c r="M3523" s="25">
        <f>IFERROR(__xludf.DUMMYFUNCTION("""COMPUTED_VALUE"""),5771952.0)</f>
        <v>5771952</v>
      </c>
    </row>
    <row r="3524">
      <c r="A3524" s="26">
        <f>IFERROR(__xludf.DUMMYFUNCTION("""COMPUTED_VALUE"""),43573.64583333333)</f>
        <v>43573.64583</v>
      </c>
      <c r="B3524" s="9">
        <f>IFERROR(__xludf.DUMMYFUNCTION("""COMPUTED_VALUE"""),722.5)</f>
        <v>722.5</v>
      </c>
      <c r="C3524" s="9">
        <f>IFERROR(__xludf.DUMMYFUNCTION("""COMPUTED_VALUE"""),722.5)</f>
        <v>722.5</v>
      </c>
      <c r="D3524" s="9">
        <f>IFERROR(__xludf.DUMMYFUNCTION("""COMPUTED_VALUE"""),712.75)</f>
        <v>712.75</v>
      </c>
      <c r="E3524" s="9">
        <f>IFERROR(__xludf.DUMMYFUNCTION("""COMPUTED_VALUE"""),717.05)</f>
        <v>717.05</v>
      </c>
      <c r="F3524" s="9">
        <f>IFERROR(__xludf.DUMMYFUNCTION("""COMPUTED_VALUE"""),1.3801105E7)</f>
        <v>13801105</v>
      </c>
      <c r="H3524" s="27">
        <f>IFERROR(__xludf.DUMMYFUNCTION("""COMPUTED_VALUE"""),43573.64583333333)</f>
        <v>43573.64583</v>
      </c>
      <c r="I3524" s="25">
        <f>IFERROR(__xludf.DUMMYFUNCTION("""COMPUTED_VALUE"""),2149.9)</f>
        <v>2149.9</v>
      </c>
      <c r="J3524" s="25">
        <f>IFERROR(__xludf.DUMMYFUNCTION("""COMPUTED_VALUE"""),2155.0)</f>
        <v>2155</v>
      </c>
      <c r="K3524" s="25">
        <f>IFERROR(__xludf.DUMMYFUNCTION("""COMPUTED_VALUE"""),2114.2)</f>
        <v>2114.2</v>
      </c>
      <c r="L3524" s="25">
        <f>IFERROR(__xludf.DUMMYFUNCTION("""COMPUTED_VALUE"""),2150.05)</f>
        <v>2150.05</v>
      </c>
      <c r="M3524" s="25">
        <f>IFERROR(__xludf.DUMMYFUNCTION("""COMPUTED_VALUE"""),3413728.0)</f>
        <v>3413728</v>
      </c>
    </row>
    <row r="3525">
      <c r="A3525" s="26">
        <f>IFERROR(__xludf.DUMMYFUNCTION("""COMPUTED_VALUE"""),43577.64583333333)</f>
        <v>43577.64583</v>
      </c>
      <c r="B3525" s="9">
        <f>IFERROR(__xludf.DUMMYFUNCTION("""COMPUTED_VALUE"""),717.05)</f>
        <v>717.05</v>
      </c>
      <c r="C3525" s="9">
        <f>IFERROR(__xludf.DUMMYFUNCTION("""COMPUTED_VALUE"""),725.75)</f>
        <v>725.75</v>
      </c>
      <c r="D3525" s="9">
        <f>IFERROR(__xludf.DUMMYFUNCTION("""COMPUTED_VALUE"""),715.0)</f>
        <v>715</v>
      </c>
      <c r="E3525" s="9">
        <f>IFERROR(__xludf.DUMMYFUNCTION("""COMPUTED_VALUE"""),721.05)</f>
        <v>721.05</v>
      </c>
      <c r="F3525" s="9">
        <f>IFERROR(__xludf.DUMMYFUNCTION("""COMPUTED_VALUE"""),6455426.0)</f>
        <v>6455426</v>
      </c>
      <c r="H3525" s="27">
        <f>IFERROR(__xludf.DUMMYFUNCTION("""COMPUTED_VALUE"""),43577.64583333333)</f>
        <v>43577.64583</v>
      </c>
      <c r="I3525" s="25">
        <f>IFERROR(__xludf.DUMMYFUNCTION("""COMPUTED_VALUE"""),2148.0)</f>
        <v>2148</v>
      </c>
      <c r="J3525" s="25">
        <f>IFERROR(__xludf.DUMMYFUNCTION("""COMPUTED_VALUE"""),2176.0)</f>
        <v>2176</v>
      </c>
      <c r="K3525" s="25">
        <f>IFERROR(__xludf.DUMMYFUNCTION("""COMPUTED_VALUE"""),2145.6)</f>
        <v>2145.6</v>
      </c>
      <c r="L3525" s="25">
        <f>IFERROR(__xludf.DUMMYFUNCTION("""COMPUTED_VALUE"""),2161.45)</f>
        <v>2161.45</v>
      </c>
      <c r="M3525" s="25">
        <f>IFERROR(__xludf.DUMMYFUNCTION("""COMPUTED_VALUE"""),2007135.0)</f>
        <v>2007135</v>
      </c>
    </row>
    <row r="3526">
      <c r="A3526" s="26">
        <f>IFERROR(__xludf.DUMMYFUNCTION("""COMPUTED_VALUE"""),43578.64583333333)</f>
        <v>43578.64583</v>
      </c>
      <c r="B3526" s="9">
        <f>IFERROR(__xludf.DUMMYFUNCTION("""COMPUTED_VALUE"""),723.9)</f>
        <v>723.9</v>
      </c>
      <c r="C3526" s="9">
        <f>IFERROR(__xludf.DUMMYFUNCTION("""COMPUTED_VALUE"""),730.0)</f>
        <v>730</v>
      </c>
      <c r="D3526" s="9">
        <f>IFERROR(__xludf.DUMMYFUNCTION("""COMPUTED_VALUE"""),718.4)</f>
        <v>718.4</v>
      </c>
      <c r="E3526" s="9">
        <f>IFERROR(__xludf.DUMMYFUNCTION("""COMPUTED_VALUE"""),728.2)</f>
        <v>728.2</v>
      </c>
      <c r="F3526" s="9">
        <f>IFERROR(__xludf.DUMMYFUNCTION("""COMPUTED_VALUE"""),5516668.0)</f>
        <v>5516668</v>
      </c>
      <c r="H3526" s="27">
        <f>IFERROR(__xludf.DUMMYFUNCTION("""COMPUTED_VALUE"""),43578.64583333333)</f>
        <v>43578.64583</v>
      </c>
      <c r="I3526" s="25">
        <f>IFERROR(__xludf.DUMMYFUNCTION("""COMPUTED_VALUE"""),2163.0)</f>
        <v>2163</v>
      </c>
      <c r="J3526" s="25">
        <f>IFERROR(__xludf.DUMMYFUNCTION("""COMPUTED_VALUE"""),2165.5)</f>
        <v>2165.5</v>
      </c>
      <c r="K3526" s="25">
        <f>IFERROR(__xludf.DUMMYFUNCTION("""COMPUTED_VALUE"""),2134.05)</f>
        <v>2134.05</v>
      </c>
      <c r="L3526" s="25">
        <f>IFERROR(__xludf.DUMMYFUNCTION("""COMPUTED_VALUE"""),2155.05)</f>
        <v>2155.05</v>
      </c>
      <c r="M3526" s="25">
        <f>IFERROR(__xludf.DUMMYFUNCTION("""COMPUTED_VALUE"""),2163524.0)</f>
        <v>2163524</v>
      </c>
    </row>
    <row r="3527">
      <c r="A3527" s="26">
        <f>IFERROR(__xludf.DUMMYFUNCTION("""COMPUTED_VALUE"""),43579.64583333333)</f>
        <v>43579.64583</v>
      </c>
      <c r="B3527" s="9">
        <f>IFERROR(__xludf.DUMMYFUNCTION("""COMPUTED_VALUE"""),728.2)</f>
        <v>728.2</v>
      </c>
      <c r="C3527" s="9">
        <f>IFERROR(__xludf.DUMMYFUNCTION("""COMPUTED_VALUE"""),737.9)</f>
        <v>737.9</v>
      </c>
      <c r="D3527" s="9">
        <f>IFERROR(__xludf.DUMMYFUNCTION("""COMPUTED_VALUE"""),724.0)</f>
        <v>724</v>
      </c>
      <c r="E3527" s="9">
        <f>IFERROR(__xludf.DUMMYFUNCTION("""COMPUTED_VALUE"""),736.45)</f>
        <v>736.45</v>
      </c>
      <c r="F3527" s="9">
        <f>IFERROR(__xludf.DUMMYFUNCTION("""COMPUTED_VALUE"""),8285120.0)</f>
        <v>8285120</v>
      </c>
      <c r="H3527" s="27">
        <f>IFERROR(__xludf.DUMMYFUNCTION("""COMPUTED_VALUE"""),43579.64583333333)</f>
        <v>43579.64583</v>
      </c>
      <c r="I3527" s="25">
        <f>IFERROR(__xludf.DUMMYFUNCTION("""COMPUTED_VALUE"""),2158.0)</f>
        <v>2158</v>
      </c>
      <c r="J3527" s="25">
        <f>IFERROR(__xludf.DUMMYFUNCTION("""COMPUTED_VALUE"""),2195.0)</f>
        <v>2195</v>
      </c>
      <c r="K3527" s="25">
        <f>IFERROR(__xludf.DUMMYFUNCTION("""COMPUTED_VALUE"""),2156.1)</f>
        <v>2156.1</v>
      </c>
      <c r="L3527" s="25">
        <f>IFERROR(__xludf.DUMMYFUNCTION("""COMPUTED_VALUE"""),2183.45)</f>
        <v>2183.45</v>
      </c>
      <c r="M3527" s="25">
        <f>IFERROR(__xludf.DUMMYFUNCTION("""COMPUTED_VALUE"""),3003071.0)</f>
        <v>3003071</v>
      </c>
    </row>
    <row r="3528">
      <c r="A3528" s="26">
        <f>IFERROR(__xludf.DUMMYFUNCTION("""COMPUTED_VALUE"""),43580.64583333333)</f>
        <v>43580.64583</v>
      </c>
      <c r="B3528" s="9">
        <f>IFERROR(__xludf.DUMMYFUNCTION("""COMPUTED_VALUE"""),736.45)</f>
        <v>736.45</v>
      </c>
      <c r="C3528" s="9">
        <f>IFERROR(__xludf.DUMMYFUNCTION("""COMPUTED_VALUE"""),737.65)</f>
        <v>737.65</v>
      </c>
      <c r="D3528" s="9">
        <f>IFERROR(__xludf.DUMMYFUNCTION("""COMPUTED_VALUE"""),727.05)</f>
        <v>727.05</v>
      </c>
      <c r="E3528" s="9">
        <f>IFERROR(__xludf.DUMMYFUNCTION("""COMPUTED_VALUE"""),728.55)</f>
        <v>728.55</v>
      </c>
      <c r="F3528" s="9">
        <f>IFERROR(__xludf.DUMMYFUNCTION("""COMPUTED_VALUE"""),8005235.0)</f>
        <v>8005235</v>
      </c>
      <c r="H3528" s="27">
        <f>IFERROR(__xludf.DUMMYFUNCTION("""COMPUTED_VALUE"""),43580.64583333333)</f>
        <v>43580.64583</v>
      </c>
      <c r="I3528" s="25">
        <f>IFERROR(__xludf.DUMMYFUNCTION("""COMPUTED_VALUE"""),2175.0)</f>
        <v>2175</v>
      </c>
      <c r="J3528" s="25">
        <f>IFERROR(__xludf.DUMMYFUNCTION("""COMPUTED_VALUE"""),2205.0)</f>
        <v>2205</v>
      </c>
      <c r="K3528" s="25">
        <f>IFERROR(__xludf.DUMMYFUNCTION("""COMPUTED_VALUE"""),2168.05)</f>
        <v>2168.05</v>
      </c>
      <c r="L3528" s="25">
        <f>IFERROR(__xludf.DUMMYFUNCTION("""COMPUTED_VALUE"""),2195.0)</f>
        <v>2195</v>
      </c>
      <c r="M3528" s="25">
        <f>IFERROR(__xludf.DUMMYFUNCTION("""COMPUTED_VALUE"""),4211526.0)</f>
        <v>4211526</v>
      </c>
    </row>
    <row r="3529">
      <c r="A3529" s="26">
        <f>IFERROR(__xludf.DUMMYFUNCTION("""COMPUTED_VALUE"""),43581.64583333333)</f>
        <v>43581.64583</v>
      </c>
      <c r="B3529" s="9">
        <f>IFERROR(__xludf.DUMMYFUNCTION("""COMPUTED_VALUE"""),731.0)</f>
        <v>731</v>
      </c>
      <c r="C3529" s="9">
        <f>IFERROR(__xludf.DUMMYFUNCTION("""COMPUTED_VALUE"""),739.8)</f>
        <v>739.8</v>
      </c>
      <c r="D3529" s="9">
        <f>IFERROR(__xludf.DUMMYFUNCTION("""COMPUTED_VALUE"""),729.0)</f>
        <v>729</v>
      </c>
      <c r="E3529" s="9">
        <f>IFERROR(__xludf.DUMMYFUNCTION("""COMPUTED_VALUE"""),738.0)</f>
        <v>738</v>
      </c>
      <c r="F3529" s="9">
        <f>IFERROR(__xludf.DUMMYFUNCTION("""COMPUTED_VALUE"""),6895168.0)</f>
        <v>6895168</v>
      </c>
      <c r="H3529" s="27">
        <f>IFERROR(__xludf.DUMMYFUNCTION("""COMPUTED_VALUE"""),43581.64583333333)</f>
        <v>43581.64583</v>
      </c>
      <c r="I3529" s="25">
        <f>IFERROR(__xludf.DUMMYFUNCTION("""COMPUTED_VALUE"""),2203.0)</f>
        <v>2203</v>
      </c>
      <c r="J3529" s="25">
        <f>IFERROR(__xludf.DUMMYFUNCTION("""COMPUTED_VALUE"""),2243.95)</f>
        <v>2243.95</v>
      </c>
      <c r="K3529" s="25">
        <f>IFERROR(__xludf.DUMMYFUNCTION("""COMPUTED_VALUE"""),2193.15)</f>
        <v>2193.15</v>
      </c>
      <c r="L3529" s="25">
        <f>IFERROR(__xludf.DUMMYFUNCTION("""COMPUTED_VALUE"""),2238.55)</f>
        <v>2238.55</v>
      </c>
      <c r="M3529" s="25">
        <f>IFERROR(__xludf.DUMMYFUNCTION("""COMPUTED_VALUE"""),2716958.0)</f>
        <v>2716958</v>
      </c>
    </row>
    <row r="3530">
      <c r="A3530" s="26">
        <f>IFERROR(__xludf.DUMMYFUNCTION("""COMPUTED_VALUE"""),43585.64583333333)</f>
        <v>43585.64583</v>
      </c>
      <c r="B3530" s="9">
        <f>IFERROR(__xludf.DUMMYFUNCTION("""COMPUTED_VALUE"""),738.0)</f>
        <v>738</v>
      </c>
      <c r="C3530" s="9">
        <f>IFERROR(__xludf.DUMMYFUNCTION("""COMPUTED_VALUE"""),753.8)</f>
        <v>753.8</v>
      </c>
      <c r="D3530" s="9">
        <f>IFERROR(__xludf.DUMMYFUNCTION("""COMPUTED_VALUE"""),738.0)</f>
        <v>738</v>
      </c>
      <c r="E3530" s="9">
        <f>IFERROR(__xludf.DUMMYFUNCTION("""COMPUTED_VALUE"""),751.35)</f>
        <v>751.35</v>
      </c>
      <c r="F3530" s="9">
        <f>IFERROR(__xludf.DUMMYFUNCTION("""COMPUTED_VALUE"""),9920046.0)</f>
        <v>9920046</v>
      </c>
      <c r="H3530" s="27">
        <f>IFERROR(__xludf.DUMMYFUNCTION("""COMPUTED_VALUE"""),43585.64583333333)</f>
        <v>43585.64583</v>
      </c>
      <c r="I3530" s="25">
        <f>IFERROR(__xludf.DUMMYFUNCTION("""COMPUTED_VALUE"""),2238.55)</f>
        <v>2238.55</v>
      </c>
      <c r="J3530" s="25">
        <f>IFERROR(__xludf.DUMMYFUNCTION("""COMPUTED_VALUE"""),2266.95)</f>
        <v>2266.95</v>
      </c>
      <c r="K3530" s="25">
        <f>IFERROR(__xludf.DUMMYFUNCTION("""COMPUTED_VALUE"""),2230.1)</f>
        <v>2230.1</v>
      </c>
      <c r="L3530" s="25">
        <f>IFERROR(__xludf.DUMMYFUNCTION("""COMPUTED_VALUE"""),2260.35)</f>
        <v>2260.35</v>
      </c>
      <c r="M3530" s="25">
        <f>IFERROR(__xludf.DUMMYFUNCTION("""COMPUTED_VALUE"""),3488395.0)</f>
        <v>3488395</v>
      </c>
    </row>
    <row r="3531">
      <c r="A3531" s="26">
        <f>IFERROR(__xludf.DUMMYFUNCTION("""COMPUTED_VALUE"""),43587.64583333333)</f>
        <v>43587.64583</v>
      </c>
      <c r="B3531" s="9">
        <f>IFERROR(__xludf.DUMMYFUNCTION("""COMPUTED_VALUE"""),747.0)</f>
        <v>747</v>
      </c>
      <c r="C3531" s="9">
        <f>IFERROR(__xludf.DUMMYFUNCTION("""COMPUTED_VALUE"""),748.4)</f>
        <v>748.4</v>
      </c>
      <c r="D3531" s="9">
        <f>IFERROR(__xludf.DUMMYFUNCTION("""COMPUTED_VALUE"""),729.5)</f>
        <v>729.5</v>
      </c>
      <c r="E3531" s="9">
        <f>IFERROR(__xludf.DUMMYFUNCTION("""COMPUTED_VALUE"""),730.8)</f>
        <v>730.8</v>
      </c>
      <c r="F3531" s="9">
        <f>IFERROR(__xludf.DUMMYFUNCTION("""COMPUTED_VALUE"""),6351352.0)</f>
        <v>6351352</v>
      </c>
      <c r="H3531" s="27">
        <f>IFERROR(__xludf.DUMMYFUNCTION("""COMPUTED_VALUE"""),43587.64583333333)</f>
        <v>43587.64583</v>
      </c>
      <c r="I3531" s="25">
        <f>IFERROR(__xludf.DUMMYFUNCTION("""COMPUTED_VALUE"""),2255.0)</f>
        <v>2255</v>
      </c>
      <c r="J3531" s="25">
        <f>IFERROR(__xludf.DUMMYFUNCTION("""COMPUTED_VALUE"""),2259.4)</f>
        <v>2259.4</v>
      </c>
      <c r="K3531" s="25">
        <f>IFERROR(__xludf.DUMMYFUNCTION("""COMPUTED_VALUE"""),2211.1)</f>
        <v>2211.1</v>
      </c>
      <c r="L3531" s="25">
        <f>IFERROR(__xludf.DUMMYFUNCTION("""COMPUTED_VALUE"""),2215.4)</f>
        <v>2215.4</v>
      </c>
      <c r="M3531" s="25">
        <f>IFERROR(__xludf.DUMMYFUNCTION("""COMPUTED_VALUE"""),2457699.0)</f>
        <v>2457699</v>
      </c>
    </row>
    <row r="3532">
      <c r="A3532" s="26">
        <f>IFERROR(__xludf.DUMMYFUNCTION("""COMPUTED_VALUE"""),43588.64583333333)</f>
        <v>43588.64583</v>
      </c>
      <c r="B3532" s="9">
        <f>IFERROR(__xludf.DUMMYFUNCTION("""COMPUTED_VALUE"""),722.9)</f>
        <v>722.9</v>
      </c>
      <c r="C3532" s="9">
        <f>IFERROR(__xludf.DUMMYFUNCTION("""COMPUTED_VALUE"""),731.0)</f>
        <v>731</v>
      </c>
      <c r="D3532" s="9">
        <f>IFERROR(__xludf.DUMMYFUNCTION("""COMPUTED_VALUE"""),718.2)</f>
        <v>718.2</v>
      </c>
      <c r="E3532" s="9">
        <f>IFERROR(__xludf.DUMMYFUNCTION("""COMPUTED_VALUE"""),723.6)</f>
        <v>723.6</v>
      </c>
      <c r="F3532" s="9">
        <f>IFERROR(__xludf.DUMMYFUNCTION("""COMPUTED_VALUE"""),6348116.0)</f>
        <v>6348116</v>
      </c>
      <c r="H3532" s="27">
        <f>IFERROR(__xludf.DUMMYFUNCTION("""COMPUTED_VALUE"""),43588.64583333333)</f>
        <v>43588.64583</v>
      </c>
      <c r="I3532" s="25">
        <f>IFERROR(__xludf.DUMMYFUNCTION("""COMPUTED_VALUE"""),2185.0)</f>
        <v>2185</v>
      </c>
      <c r="J3532" s="25">
        <f>IFERROR(__xludf.DUMMYFUNCTION("""COMPUTED_VALUE"""),2186.05)</f>
        <v>2186.05</v>
      </c>
      <c r="K3532" s="25">
        <f>IFERROR(__xludf.DUMMYFUNCTION("""COMPUTED_VALUE"""),2125.0)</f>
        <v>2125</v>
      </c>
      <c r="L3532" s="25">
        <f>IFERROR(__xludf.DUMMYFUNCTION("""COMPUTED_VALUE"""),2132.0)</f>
        <v>2132</v>
      </c>
      <c r="M3532" s="25">
        <f>IFERROR(__xludf.DUMMYFUNCTION("""COMPUTED_VALUE"""),3780886.0)</f>
        <v>3780886</v>
      </c>
    </row>
    <row r="3533">
      <c r="A3533" s="26">
        <f>IFERROR(__xludf.DUMMYFUNCTION("""COMPUTED_VALUE"""),43591.64583333333)</f>
        <v>43591.64583</v>
      </c>
      <c r="B3533" s="9">
        <f>IFERROR(__xludf.DUMMYFUNCTION("""COMPUTED_VALUE"""),715.0)</f>
        <v>715</v>
      </c>
      <c r="C3533" s="9">
        <f>IFERROR(__xludf.DUMMYFUNCTION("""COMPUTED_VALUE"""),721.8)</f>
        <v>721.8</v>
      </c>
      <c r="D3533" s="9">
        <f>IFERROR(__xludf.DUMMYFUNCTION("""COMPUTED_VALUE"""),710.65)</f>
        <v>710.65</v>
      </c>
      <c r="E3533" s="9">
        <f>IFERROR(__xludf.DUMMYFUNCTION("""COMPUTED_VALUE"""),718.4)</f>
        <v>718.4</v>
      </c>
      <c r="F3533" s="9">
        <f>IFERROR(__xludf.DUMMYFUNCTION("""COMPUTED_VALUE"""),8858265.0)</f>
        <v>8858265</v>
      </c>
      <c r="H3533" s="27">
        <f>IFERROR(__xludf.DUMMYFUNCTION("""COMPUTED_VALUE"""),43591.64583333333)</f>
        <v>43591.64583</v>
      </c>
      <c r="I3533" s="25">
        <f>IFERROR(__xludf.DUMMYFUNCTION("""COMPUTED_VALUE"""),2110.0)</f>
        <v>2110</v>
      </c>
      <c r="J3533" s="25">
        <f>IFERROR(__xludf.DUMMYFUNCTION("""COMPUTED_VALUE"""),2165.0)</f>
        <v>2165</v>
      </c>
      <c r="K3533" s="25">
        <f>IFERROR(__xludf.DUMMYFUNCTION("""COMPUTED_VALUE"""),2108.5)</f>
        <v>2108.5</v>
      </c>
      <c r="L3533" s="25">
        <f>IFERROR(__xludf.DUMMYFUNCTION("""COMPUTED_VALUE"""),2157.85)</f>
        <v>2157.85</v>
      </c>
      <c r="M3533" s="25">
        <f>IFERROR(__xludf.DUMMYFUNCTION("""COMPUTED_VALUE"""),2891422.0)</f>
        <v>2891422</v>
      </c>
    </row>
    <row r="3534">
      <c r="A3534" s="26">
        <f>IFERROR(__xludf.DUMMYFUNCTION("""COMPUTED_VALUE"""),43592.79166666667)</f>
        <v>43592.79167</v>
      </c>
      <c r="B3534" s="9">
        <f>IFERROR(__xludf.DUMMYFUNCTION("""COMPUTED_VALUE"""),720.4)</f>
        <v>720.4</v>
      </c>
      <c r="C3534" s="9">
        <f>IFERROR(__xludf.DUMMYFUNCTION("""COMPUTED_VALUE"""),727.9)</f>
        <v>727.9</v>
      </c>
      <c r="D3534" s="9">
        <f>IFERROR(__xludf.DUMMYFUNCTION("""COMPUTED_VALUE"""),718.7)</f>
        <v>718.7</v>
      </c>
      <c r="E3534" s="9">
        <f>IFERROR(__xludf.DUMMYFUNCTION("""COMPUTED_VALUE"""),724.55)</f>
        <v>724.55</v>
      </c>
      <c r="F3534" s="9">
        <f>IFERROR(__xludf.DUMMYFUNCTION("""COMPUTED_VALUE"""),5747536.0)</f>
        <v>5747536</v>
      </c>
      <c r="H3534" s="27">
        <f>IFERROR(__xludf.DUMMYFUNCTION("""COMPUTED_VALUE"""),43592.79166666667)</f>
        <v>43592.79167</v>
      </c>
      <c r="I3534" s="25">
        <f>IFERROR(__xludf.DUMMYFUNCTION("""COMPUTED_VALUE"""),2160.05)</f>
        <v>2160.05</v>
      </c>
      <c r="J3534" s="25">
        <f>IFERROR(__xludf.DUMMYFUNCTION("""COMPUTED_VALUE"""),2184.35)</f>
        <v>2184.35</v>
      </c>
      <c r="K3534" s="25">
        <f>IFERROR(__xludf.DUMMYFUNCTION("""COMPUTED_VALUE"""),2138.8)</f>
        <v>2138.8</v>
      </c>
      <c r="L3534" s="25">
        <f>IFERROR(__xludf.DUMMYFUNCTION("""COMPUTED_VALUE"""),2151.95)</f>
        <v>2151.95</v>
      </c>
      <c r="M3534" s="25">
        <f>IFERROR(__xludf.DUMMYFUNCTION("""COMPUTED_VALUE"""),2201698.0)</f>
        <v>2201698</v>
      </c>
    </row>
    <row r="3535">
      <c r="A3535" s="26">
        <f>IFERROR(__xludf.DUMMYFUNCTION("""COMPUTED_VALUE"""),43593.64583333333)</f>
        <v>43593.64583</v>
      </c>
      <c r="B3535" s="9">
        <f>IFERROR(__xludf.DUMMYFUNCTION("""COMPUTED_VALUE"""),721.0)</f>
        <v>721</v>
      </c>
      <c r="C3535" s="9">
        <f>IFERROR(__xludf.DUMMYFUNCTION("""COMPUTED_VALUE"""),726.0)</f>
        <v>726</v>
      </c>
      <c r="D3535" s="9">
        <f>IFERROR(__xludf.DUMMYFUNCTION("""COMPUTED_VALUE"""),716.5)</f>
        <v>716.5</v>
      </c>
      <c r="E3535" s="9">
        <f>IFERROR(__xludf.DUMMYFUNCTION("""COMPUTED_VALUE"""),719.35)</f>
        <v>719.35</v>
      </c>
      <c r="F3535" s="9">
        <f>IFERROR(__xludf.DUMMYFUNCTION("""COMPUTED_VALUE"""),6247642.0)</f>
        <v>6247642</v>
      </c>
      <c r="H3535" s="27">
        <f>IFERROR(__xludf.DUMMYFUNCTION("""COMPUTED_VALUE"""),43593.64583333333)</f>
        <v>43593.64583</v>
      </c>
      <c r="I3535" s="25">
        <f>IFERROR(__xludf.DUMMYFUNCTION("""COMPUTED_VALUE"""),2151.0)</f>
        <v>2151</v>
      </c>
      <c r="J3535" s="25">
        <f>IFERROR(__xludf.DUMMYFUNCTION("""COMPUTED_VALUE"""),2168.0)</f>
        <v>2168</v>
      </c>
      <c r="K3535" s="25">
        <f>IFERROR(__xludf.DUMMYFUNCTION("""COMPUTED_VALUE"""),2130.4)</f>
        <v>2130.4</v>
      </c>
      <c r="L3535" s="25">
        <f>IFERROR(__xludf.DUMMYFUNCTION("""COMPUTED_VALUE"""),2152.85)</f>
        <v>2152.85</v>
      </c>
      <c r="M3535" s="25">
        <f>IFERROR(__xludf.DUMMYFUNCTION("""COMPUTED_VALUE"""),1824895.0)</f>
        <v>1824895</v>
      </c>
    </row>
    <row r="3536">
      <c r="A3536" s="26">
        <f>IFERROR(__xludf.DUMMYFUNCTION("""COMPUTED_VALUE"""),43594.64583333333)</f>
        <v>43594.64583</v>
      </c>
      <c r="B3536" s="9">
        <f>IFERROR(__xludf.DUMMYFUNCTION("""COMPUTED_VALUE"""),719.15)</f>
        <v>719.15</v>
      </c>
      <c r="C3536" s="9">
        <f>IFERROR(__xludf.DUMMYFUNCTION("""COMPUTED_VALUE"""),730.3)</f>
        <v>730.3</v>
      </c>
      <c r="D3536" s="9">
        <f>IFERROR(__xludf.DUMMYFUNCTION("""COMPUTED_VALUE"""),715.8)</f>
        <v>715.8</v>
      </c>
      <c r="E3536" s="9">
        <f>IFERROR(__xludf.DUMMYFUNCTION("""COMPUTED_VALUE"""),721.05)</f>
        <v>721.05</v>
      </c>
      <c r="F3536" s="9">
        <f>IFERROR(__xludf.DUMMYFUNCTION("""COMPUTED_VALUE"""),7396525.0)</f>
        <v>7396525</v>
      </c>
      <c r="H3536" s="27">
        <f>IFERROR(__xludf.DUMMYFUNCTION("""COMPUTED_VALUE"""),43594.64583333333)</f>
        <v>43594.64583</v>
      </c>
      <c r="I3536" s="25">
        <f>IFERROR(__xludf.DUMMYFUNCTION("""COMPUTED_VALUE"""),2145.0)</f>
        <v>2145</v>
      </c>
      <c r="J3536" s="25">
        <f>IFERROR(__xludf.DUMMYFUNCTION("""COMPUTED_VALUE"""),2184.1)</f>
        <v>2184.1</v>
      </c>
      <c r="K3536" s="25">
        <f>IFERROR(__xludf.DUMMYFUNCTION("""COMPUTED_VALUE"""),2136.1)</f>
        <v>2136.1</v>
      </c>
      <c r="L3536" s="25">
        <f>IFERROR(__xludf.DUMMYFUNCTION("""COMPUTED_VALUE"""),2172.55)</f>
        <v>2172.55</v>
      </c>
      <c r="M3536" s="25">
        <f>IFERROR(__xludf.DUMMYFUNCTION("""COMPUTED_VALUE"""),2264162.0)</f>
        <v>2264162</v>
      </c>
    </row>
    <row r="3537">
      <c r="A3537" s="26">
        <f>IFERROR(__xludf.DUMMYFUNCTION("""COMPUTED_VALUE"""),43595.64583333333)</f>
        <v>43595.64583</v>
      </c>
      <c r="B3537" s="9">
        <f>IFERROR(__xludf.DUMMYFUNCTION("""COMPUTED_VALUE"""),720.8)</f>
        <v>720.8</v>
      </c>
      <c r="C3537" s="9">
        <f>IFERROR(__xludf.DUMMYFUNCTION("""COMPUTED_VALUE"""),726.0)</f>
        <v>726</v>
      </c>
      <c r="D3537" s="9">
        <f>IFERROR(__xludf.DUMMYFUNCTION("""COMPUTED_VALUE"""),715.0)</f>
        <v>715</v>
      </c>
      <c r="E3537" s="9">
        <f>IFERROR(__xludf.DUMMYFUNCTION("""COMPUTED_VALUE"""),716.85)</f>
        <v>716.85</v>
      </c>
      <c r="F3537" s="9">
        <f>IFERROR(__xludf.DUMMYFUNCTION("""COMPUTED_VALUE"""),8352335.0)</f>
        <v>8352335</v>
      </c>
      <c r="H3537" s="27">
        <f>IFERROR(__xludf.DUMMYFUNCTION("""COMPUTED_VALUE"""),43595.64583333333)</f>
        <v>43595.64583</v>
      </c>
      <c r="I3537" s="25">
        <f>IFERROR(__xludf.DUMMYFUNCTION("""COMPUTED_VALUE"""),2175.0)</f>
        <v>2175</v>
      </c>
      <c r="J3537" s="25">
        <f>IFERROR(__xludf.DUMMYFUNCTION("""COMPUTED_VALUE"""),2192.0)</f>
        <v>2192</v>
      </c>
      <c r="K3537" s="25">
        <f>IFERROR(__xludf.DUMMYFUNCTION("""COMPUTED_VALUE"""),2125.85)</f>
        <v>2125.85</v>
      </c>
      <c r="L3537" s="25">
        <f>IFERROR(__xludf.DUMMYFUNCTION("""COMPUTED_VALUE"""),2135.8)</f>
        <v>2135.8</v>
      </c>
      <c r="M3537" s="25">
        <f>IFERROR(__xludf.DUMMYFUNCTION("""COMPUTED_VALUE"""),2039633.0)</f>
        <v>2039633</v>
      </c>
    </row>
    <row r="3538">
      <c r="A3538" s="26">
        <f>IFERROR(__xludf.DUMMYFUNCTION("""COMPUTED_VALUE"""),43598.64583333333)</f>
        <v>43598.64583</v>
      </c>
      <c r="B3538" s="9">
        <f>IFERROR(__xludf.DUMMYFUNCTION("""COMPUTED_VALUE"""),716.55)</f>
        <v>716.55</v>
      </c>
      <c r="C3538" s="9">
        <f>IFERROR(__xludf.DUMMYFUNCTION("""COMPUTED_VALUE"""),726.45)</f>
        <v>726.45</v>
      </c>
      <c r="D3538" s="9">
        <f>IFERROR(__xludf.DUMMYFUNCTION("""COMPUTED_VALUE"""),712.1)</f>
        <v>712.1</v>
      </c>
      <c r="E3538" s="9">
        <f>IFERROR(__xludf.DUMMYFUNCTION("""COMPUTED_VALUE"""),719.7)</f>
        <v>719.7</v>
      </c>
      <c r="F3538" s="9">
        <f>IFERROR(__xludf.DUMMYFUNCTION("""COMPUTED_VALUE"""),6808993.0)</f>
        <v>6808993</v>
      </c>
      <c r="H3538" s="27">
        <f>IFERROR(__xludf.DUMMYFUNCTION("""COMPUTED_VALUE"""),43598.64583333333)</f>
        <v>43598.64583</v>
      </c>
      <c r="I3538" s="25">
        <f>IFERROR(__xludf.DUMMYFUNCTION("""COMPUTED_VALUE"""),2133.0)</f>
        <v>2133</v>
      </c>
      <c r="J3538" s="25">
        <f>IFERROR(__xludf.DUMMYFUNCTION("""COMPUTED_VALUE"""),2167.0)</f>
        <v>2167</v>
      </c>
      <c r="K3538" s="25">
        <f>IFERROR(__xludf.DUMMYFUNCTION("""COMPUTED_VALUE"""),2121.65)</f>
        <v>2121.65</v>
      </c>
      <c r="L3538" s="25">
        <f>IFERROR(__xludf.DUMMYFUNCTION("""COMPUTED_VALUE"""),2128.75)</f>
        <v>2128.75</v>
      </c>
      <c r="M3538" s="25">
        <f>IFERROR(__xludf.DUMMYFUNCTION("""COMPUTED_VALUE"""),1701744.0)</f>
        <v>1701744</v>
      </c>
    </row>
    <row r="3539">
      <c r="A3539" s="26">
        <f>IFERROR(__xludf.DUMMYFUNCTION("""COMPUTED_VALUE"""),43599.64583333333)</f>
        <v>43599.64583</v>
      </c>
      <c r="B3539" s="9">
        <f>IFERROR(__xludf.DUMMYFUNCTION("""COMPUTED_VALUE"""),716.5)</f>
        <v>716.5</v>
      </c>
      <c r="C3539" s="9">
        <f>IFERROR(__xludf.DUMMYFUNCTION("""COMPUTED_VALUE"""),717.75)</f>
        <v>717.75</v>
      </c>
      <c r="D3539" s="9">
        <f>IFERROR(__xludf.DUMMYFUNCTION("""COMPUTED_VALUE"""),703.6)</f>
        <v>703.6</v>
      </c>
      <c r="E3539" s="9">
        <f>IFERROR(__xludf.DUMMYFUNCTION("""COMPUTED_VALUE"""),713.85)</f>
        <v>713.85</v>
      </c>
      <c r="F3539" s="9">
        <f>IFERROR(__xludf.DUMMYFUNCTION("""COMPUTED_VALUE"""),1.0513001E7)</f>
        <v>10513001</v>
      </c>
      <c r="H3539" s="27">
        <f>IFERROR(__xludf.DUMMYFUNCTION("""COMPUTED_VALUE"""),43599.64583333333)</f>
        <v>43599.64583</v>
      </c>
      <c r="I3539" s="25">
        <f>IFERROR(__xludf.DUMMYFUNCTION("""COMPUTED_VALUE"""),2135.0)</f>
        <v>2135</v>
      </c>
      <c r="J3539" s="25">
        <f>IFERROR(__xludf.DUMMYFUNCTION("""COMPUTED_VALUE"""),2159.8)</f>
        <v>2159.8</v>
      </c>
      <c r="K3539" s="25">
        <f>IFERROR(__xludf.DUMMYFUNCTION("""COMPUTED_VALUE"""),2072.35)</f>
        <v>2072.35</v>
      </c>
      <c r="L3539" s="25">
        <f>IFERROR(__xludf.DUMMYFUNCTION("""COMPUTED_VALUE"""),2092.35)</f>
        <v>2092.35</v>
      </c>
      <c r="M3539" s="25">
        <f>IFERROR(__xludf.DUMMYFUNCTION("""COMPUTED_VALUE"""),2456110.0)</f>
        <v>2456110</v>
      </c>
    </row>
    <row r="3540">
      <c r="A3540" s="26">
        <f>IFERROR(__xludf.DUMMYFUNCTION("""COMPUTED_VALUE"""),43600.64583333333)</f>
        <v>43600.64583</v>
      </c>
      <c r="B3540" s="9">
        <f>IFERROR(__xludf.DUMMYFUNCTION("""COMPUTED_VALUE"""),714.9)</f>
        <v>714.9</v>
      </c>
      <c r="C3540" s="9">
        <f>IFERROR(__xludf.DUMMYFUNCTION("""COMPUTED_VALUE"""),725.2)</f>
        <v>725.2</v>
      </c>
      <c r="D3540" s="9">
        <f>IFERROR(__xludf.DUMMYFUNCTION("""COMPUTED_VALUE"""),712.6)</f>
        <v>712.6</v>
      </c>
      <c r="E3540" s="9">
        <f>IFERROR(__xludf.DUMMYFUNCTION("""COMPUTED_VALUE"""),716.1)</f>
        <v>716.1</v>
      </c>
      <c r="F3540" s="9">
        <f>IFERROR(__xludf.DUMMYFUNCTION("""COMPUTED_VALUE"""),6668929.0)</f>
        <v>6668929</v>
      </c>
      <c r="H3540" s="27">
        <f>IFERROR(__xludf.DUMMYFUNCTION("""COMPUTED_VALUE"""),43600.64583333333)</f>
        <v>43600.64583</v>
      </c>
      <c r="I3540" s="25">
        <f>IFERROR(__xludf.DUMMYFUNCTION("""COMPUTED_VALUE"""),2097.0)</f>
        <v>2097</v>
      </c>
      <c r="J3540" s="25">
        <f>IFERROR(__xludf.DUMMYFUNCTION("""COMPUTED_VALUE"""),2124.0)</f>
        <v>2124</v>
      </c>
      <c r="K3540" s="25">
        <f>IFERROR(__xludf.DUMMYFUNCTION("""COMPUTED_VALUE"""),2084.5)</f>
        <v>2084.5</v>
      </c>
      <c r="L3540" s="25">
        <f>IFERROR(__xludf.DUMMYFUNCTION("""COMPUTED_VALUE"""),2095.4)</f>
        <v>2095.4</v>
      </c>
      <c r="M3540" s="25">
        <f>IFERROR(__xludf.DUMMYFUNCTION("""COMPUTED_VALUE"""),2346876.0)</f>
        <v>2346876</v>
      </c>
    </row>
    <row r="3541">
      <c r="A3541" s="26">
        <f>IFERROR(__xludf.DUMMYFUNCTION("""COMPUTED_VALUE"""),43601.64583333333)</f>
        <v>43601.64583</v>
      </c>
      <c r="B3541" s="9">
        <f>IFERROR(__xludf.DUMMYFUNCTION("""COMPUTED_VALUE"""),720.0)</f>
        <v>720</v>
      </c>
      <c r="C3541" s="9">
        <f>IFERROR(__xludf.DUMMYFUNCTION("""COMPUTED_VALUE"""),737.0)</f>
        <v>737</v>
      </c>
      <c r="D3541" s="9">
        <f>IFERROR(__xludf.DUMMYFUNCTION("""COMPUTED_VALUE"""),719.1)</f>
        <v>719.1</v>
      </c>
      <c r="E3541" s="9">
        <f>IFERROR(__xludf.DUMMYFUNCTION("""COMPUTED_VALUE"""),733.1)</f>
        <v>733.1</v>
      </c>
      <c r="F3541" s="9">
        <f>IFERROR(__xludf.DUMMYFUNCTION("""COMPUTED_VALUE"""),6468556.0)</f>
        <v>6468556</v>
      </c>
      <c r="H3541" s="27">
        <f>IFERROR(__xludf.DUMMYFUNCTION("""COMPUTED_VALUE"""),43601.64583333333)</f>
        <v>43601.64583</v>
      </c>
      <c r="I3541" s="25">
        <f>IFERROR(__xludf.DUMMYFUNCTION("""COMPUTED_VALUE"""),2096.0)</f>
        <v>2096</v>
      </c>
      <c r="J3541" s="25">
        <f>IFERROR(__xludf.DUMMYFUNCTION("""COMPUTED_VALUE"""),2124.0)</f>
        <v>2124</v>
      </c>
      <c r="K3541" s="25">
        <f>IFERROR(__xludf.DUMMYFUNCTION("""COMPUTED_VALUE"""),2077.05)</f>
        <v>2077.05</v>
      </c>
      <c r="L3541" s="25">
        <f>IFERROR(__xludf.DUMMYFUNCTION("""COMPUTED_VALUE"""),2108.75)</f>
        <v>2108.75</v>
      </c>
      <c r="M3541" s="25">
        <f>IFERROR(__xludf.DUMMYFUNCTION("""COMPUTED_VALUE"""),1946529.0)</f>
        <v>1946529</v>
      </c>
    </row>
    <row r="3542">
      <c r="A3542" s="26">
        <f>IFERROR(__xludf.DUMMYFUNCTION("""COMPUTED_VALUE"""),43602.64583333333)</f>
        <v>43602.64583</v>
      </c>
      <c r="B3542" s="9">
        <f>IFERROR(__xludf.DUMMYFUNCTION("""COMPUTED_VALUE"""),733.15)</f>
        <v>733.15</v>
      </c>
      <c r="C3542" s="9">
        <f>IFERROR(__xludf.DUMMYFUNCTION("""COMPUTED_VALUE"""),735.8)</f>
        <v>735.8</v>
      </c>
      <c r="D3542" s="9">
        <f>IFERROR(__xludf.DUMMYFUNCTION("""COMPUTED_VALUE"""),720.1)</f>
        <v>720.1</v>
      </c>
      <c r="E3542" s="9">
        <f>IFERROR(__xludf.DUMMYFUNCTION("""COMPUTED_VALUE"""),723.9)</f>
        <v>723.9</v>
      </c>
      <c r="F3542" s="9">
        <f>IFERROR(__xludf.DUMMYFUNCTION("""COMPUTED_VALUE"""),8155948.0)</f>
        <v>8155948</v>
      </c>
      <c r="H3542" s="27">
        <f>IFERROR(__xludf.DUMMYFUNCTION("""COMPUTED_VALUE"""),43602.64583333333)</f>
        <v>43602.64583</v>
      </c>
      <c r="I3542" s="25">
        <f>IFERROR(__xludf.DUMMYFUNCTION("""COMPUTED_VALUE"""),2112.6)</f>
        <v>2112.6</v>
      </c>
      <c r="J3542" s="25">
        <f>IFERROR(__xludf.DUMMYFUNCTION("""COMPUTED_VALUE"""),2135.0)</f>
        <v>2135</v>
      </c>
      <c r="K3542" s="25">
        <f>IFERROR(__xludf.DUMMYFUNCTION("""COMPUTED_VALUE"""),2090.0)</f>
        <v>2090</v>
      </c>
      <c r="L3542" s="25">
        <f>IFERROR(__xludf.DUMMYFUNCTION("""COMPUTED_VALUE"""),2095.45)</f>
        <v>2095.45</v>
      </c>
      <c r="M3542" s="25">
        <f>IFERROR(__xludf.DUMMYFUNCTION("""COMPUTED_VALUE"""),1947908.0)</f>
        <v>1947908</v>
      </c>
    </row>
    <row r="3543">
      <c r="A3543" s="26">
        <f>IFERROR(__xludf.DUMMYFUNCTION("""COMPUTED_VALUE"""),43605.64583333333)</f>
        <v>43605.64583</v>
      </c>
      <c r="B3543" s="9">
        <f>IFERROR(__xludf.DUMMYFUNCTION("""COMPUTED_VALUE"""),719.7)</f>
        <v>719.7</v>
      </c>
      <c r="C3543" s="9">
        <f>IFERROR(__xludf.DUMMYFUNCTION("""COMPUTED_VALUE"""),726.4)</f>
        <v>726.4</v>
      </c>
      <c r="D3543" s="9">
        <f>IFERROR(__xludf.DUMMYFUNCTION("""COMPUTED_VALUE"""),706.0)</f>
        <v>706</v>
      </c>
      <c r="E3543" s="9">
        <f>IFERROR(__xludf.DUMMYFUNCTION("""COMPUTED_VALUE"""),722.4)</f>
        <v>722.4</v>
      </c>
      <c r="F3543" s="9">
        <f>IFERROR(__xludf.DUMMYFUNCTION("""COMPUTED_VALUE"""),1.1213708E7)</f>
        <v>11213708</v>
      </c>
      <c r="H3543" s="27">
        <f>IFERROR(__xludf.DUMMYFUNCTION("""COMPUTED_VALUE"""),43605.64583333333)</f>
        <v>43605.64583</v>
      </c>
      <c r="I3543" s="25">
        <f>IFERROR(__xludf.DUMMYFUNCTION("""COMPUTED_VALUE"""),2125.0)</f>
        <v>2125</v>
      </c>
      <c r="J3543" s="25">
        <f>IFERROR(__xludf.DUMMYFUNCTION("""COMPUTED_VALUE"""),2151.4)</f>
        <v>2151.4</v>
      </c>
      <c r="K3543" s="25">
        <f>IFERROR(__xludf.DUMMYFUNCTION("""COMPUTED_VALUE"""),2050.0)</f>
        <v>2050</v>
      </c>
      <c r="L3543" s="25">
        <f>IFERROR(__xludf.DUMMYFUNCTION("""COMPUTED_VALUE"""),2143.95)</f>
        <v>2143.95</v>
      </c>
      <c r="M3543" s="25">
        <f>IFERROR(__xludf.DUMMYFUNCTION("""COMPUTED_VALUE"""),2625116.0)</f>
        <v>2625116</v>
      </c>
    </row>
    <row r="3544">
      <c r="A3544" s="26">
        <f>IFERROR(__xludf.DUMMYFUNCTION("""COMPUTED_VALUE"""),43606.64583333333)</f>
        <v>43606.64583</v>
      </c>
      <c r="B3544" s="9">
        <f>IFERROR(__xludf.DUMMYFUNCTION("""COMPUTED_VALUE"""),722.65)</f>
        <v>722.65</v>
      </c>
      <c r="C3544" s="9">
        <f>IFERROR(__xludf.DUMMYFUNCTION("""COMPUTED_VALUE"""),722.65)</f>
        <v>722.65</v>
      </c>
      <c r="D3544" s="9">
        <f>IFERROR(__xludf.DUMMYFUNCTION("""COMPUTED_VALUE"""),707.7)</f>
        <v>707.7</v>
      </c>
      <c r="E3544" s="9">
        <f>IFERROR(__xludf.DUMMYFUNCTION("""COMPUTED_VALUE"""),709.3)</f>
        <v>709.3</v>
      </c>
      <c r="F3544" s="9">
        <f>IFERROR(__xludf.DUMMYFUNCTION("""COMPUTED_VALUE"""),8645535.0)</f>
        <v>8645535</v>
      </c>
      <c r="H3544" s="27">
        <f>IFERROR(__xludf.DUMMYFUNCTION("""COMPUTED_VALUE"""),43606.64583333333)</f>
        <v>43606.64583</v>
      </c>
      <c r="I3544" s="25">
        <f>IFERROR(__xludf.DUMMYFUNCTION("""COMPUTED_VALUE"""),2148.05)</f>
        <v>2148.05</v>
      </c>
      <c r="J3544" s="25">
        <f>IFERROR(__xludf.DUMMYFUNCTION("""COMPUTED_VALUE"""),2148.7)</f>
        <v>2148.7</v>
      </c>
      <c r="K3544" s="25">
        <f>IFERROR(__xludf.DUMMYFUNCTION("""COMPUTED_VALUE"""),2102.55)</f>
        <v>2102.55</v>
      </c>
      <c r="L3544" s="25">
        <f>IFERROR(__xludf.DUMMYFUNCTION("""COMPUTED_VALUE"""),2109.75)</f>
        <v>2109.75</v>
      </c>
      <c r="M3544" s="25">
        <f>IFERROR(__xludf.DUMMYFUNCTION("""COMPUTED_VALUE"""),1863157.0)</f>
        <v>1863157</v>
      </c>
    </row>
    <row r="3545">
      <c r="A3545" s="26">
        <f>IFERROR(__xludf.DUMMYFUNCTION("""COMPUTED_VALUE"""),43607.64583333333)</f>
        <v>43607.64583</v>
      </c>
      <c r="B3545" s="9">
        <f>IFERROR(__xludf.DUMMYFUNCTION("""COMPUTED_VALUE"""),710.0)</f>
        <v>710</v>
      </c>
      <c r="C3545" s="9">
        <f>IFERROR(__xludf.DUMMYFUNCTION("""COMPUTED_VALUE"""),718.25)</f>
        <v>718.25</v>
      </c>
      <c r="D3545" s="9">
        <f>IFERROR(__xludf.DUMMYFUNCTION("""COMPUTED_VALUE"""),707.0)</f>
        <v>707</v>
      </c>
      <c r="E3545" s="9">
        <f>IFERROR(__xludf.DUMMYFUNCTION("""COMPUTED_VALUE"""),709.75)</f>
        <v>709.75</v>
      </c>
      <c r="F3545" s="9">
        <f>IFERROR(__xludf.DUMMYFUNCTION("""COMPUTED_VALUE"""),5795713.0)</f>
        <v>5795713</v>
      </c>
      <c r="H3545" s="27">
        <f>IFERROR(__xludf.DUMMYFUNCTION("""COMPUTED_VALUE"""),43607.64583333333)</f>
        <v>43607.64583</v>
      </c>
      <c r="I3545" s="25">
        <f>IFERROR(__xludf.DUMMYFUNCTION("""COMPUTED_VALUE"""),2110.0)</f>
        <v>2110</v>
      </c>
      <c r="J3545" s="25">
        <f>IFERROR(__xludf.DUMMYFUNCTION("""COMPUTED_VALUE"""),2121.95)</f>
        <v>2121.95</v>
      </c>
      <c r="K3545" s="25">
        <f>IFERROR(__xludf.DUMMYFUNCTION("""COMPUTED_VALUE"""),2075.0)</f>
        <v>2075</v>
      </c>
      <c r="L3545" s="25">
        <f>IFERROR(__xludf.DUMMYFUNCTION("""COMPUTED_VALUE"""),2081.75)</f>
        <v>2081.75</v>
      </c>
      <c r="M3545" s="25">
        <f>IFERROR(__xludf.DUMMYFUNCTION("""COMPUTED_VALUE"""),2595795.0)</f>
        <v>2595795</v>
      </c>
    </row>
    <row r="3546">
      <c r="A3546" s="26">
        <f>IFERROR(__xludf.DUMMYFUNCTION("""COMPUTED_VALUE"""),43608.64583333333)</f>
        <v>43608.64583</v>
      </c>
      <c r="B3546" s="9">
        <f>IFERROR(__xludf.DUMMYFUNCTION("""COMPUTED_VALUE"""),715.0)</f>
        <v>715</v>
      </c>
      <c r="C3546" s="9">
        <f>IFERROR(__xludf.DUMMYFUNCTION("""COMPUTED_VALUE"""),716.7)</f>
        <v>716.7</v>
      </c>
      <c r="D3546" s="9">
        <f>IFERROR(__xludf.DUMMYFUNCTION("""COMPUTED_VALUE"""),697.45)</f>
        <v>697.45</v>
      </c>
      <c r="E3546" s="9">
        <f>IFERROR(__xludf.DUMMYFUNCTION("""COMPUTED_VALUE"""),701.05)</f>
        <v>701.05</v>
      </c>
      <c r="F3546" s="9">
        <f>IFERROR(__xludf.DUMMYFUNCTION("""COMPUTED_VALUE"""),7233736.0)</f>
        <v>7233736</v>
      </c>
      <c r="H3546" s="27">
        <f>IFERROR(__xludf.DUMMYFUNCTION("""COMPUTED_VALUE"""),43608.64583333333)</f>
        <v>43608.64583</v>
      </c>
      <c r="I3546" s="25">
        <f>IFERROR(__xludf.DUMMYFUNCTION("""COMPUTED_VALUE"""),2098.0)</f>
        <v>2098</v>
      </c>
      <c r="J3546" s="25">
        <f>IFERROR(__xludf.DUMMYFUNCTION("""COMPUTED_VALUE"""),2115.35)</f>
        <v>2115.35</v>
      </c>
      <c r="K3546" s="25">
        <f>IFERROR(__xludf.DUMMYFUNCTION("""COMPUTED_VALUE"""),2050.0)</f>
        <v>2050</v>
      </c>
      <c r="L3546" s="25">
        <f>IFERROR(__xludf.DUMMYFUNCTION("""COMPUTED_VALUE"""),2054.05)</f>
        <v>2054.05</v>
      </c>
      <c r="M3546" s="25">
        <f>IFERROR(__xludf.DUMMYFUNCTION("""COMPUTED_VALUE"""),2541294.0)</f>
        <v>2541294</v>
      </c>
    </row>
    <row r="3547">
      <c r="A3547" s="26">
        <f>IFERROR(__xludf.DUMMYFUNCTION("""COMPUTED_VALUE"""),43609.64583333333)</f>
        <v>43609.64583</v>
      </c>
      <c r="B3547" s="9">
        <f>IFERROR(__xludf.DUMMYFUNCTION("""COMPUTED_VALUE"""),703.8)</f>
        <v>703.8</v>
      </c>
      <c r="C3547" s="9">
        <f>IFERROR(__xludf.DUMMYFUNCTION("""COMPUTED_VALUE"""),711.75)</f>
        <v>711.75</v>
      </c>
      <c r="D3547" s="9">
        <f>IFERROR(__xludf.DUMMYFUNCTION("""COMPUTED_VALUE"""),700.45)</f>
        <v>700.45</v>
      </c>
      <c r="E3547" s="9">
        <f>IFERROR(__xludf.DUMMYFUNCTION("""COMPUTED_VALUE"""),709.2)</f>
        <v>709.2</v>
      </c>
      <c r="F3547" s="9">
        <f>IFERROR(__xludf.DUMMYFUNCTION("""COMPUTED_VALUE"""),7016424.0)</f>
        <v>7016424</v>
      </c>
      <c r="H3547" s="27">
        <f>IFERROR(__xludf.DUMMYFUNCTION("""COMPUTED_VALUE"""),43609.64583333333)</f>
        <v>43609.64583</v>
      </c>
      <c r="I3547" s="25">
        <f>IFERROR(__xludf.DUMMYFUNCTION("""COMPUTED_VALUE"""),2070.0)</f>
        <v>2070</v>
      </c>
      <c r="J3547" s="25">
        <f>IFERROR(__xludf.DUMMYFUNCTION("""COMPUTED_VALUE"""),2070.0)</f>
        <v>2070</v>
      </c>
      <c r="K3547" s="25">
        <f>IFERROR(__xludf.DUMMYFUNCTION("""COMPUTED_VALUE"""),2032.25)</f>
        <v>2032.25</v>
      </c>
      <c r="L3547" s="25">
        <f>IFERROR(__xludf.DUMMYFUNCTION("""COMPUTED_VALUE"""),2048.0)</f>
        <v>2048</v>
      </c>
      <c r="M3547" s="25">
        <f>IFERROR(__xludf.DUMMYFUNCTION("""COMPUTED_VALUE"""),2274208.0)</f>
        <v>2274208</v>
      </c>
    </row>
    <row r="3548">
      <c r="A3548" s="26">
        <f>IFERROR(__xludf.DUMMYFUNCTION("""COMPUTED_VALUE"""),43612.64583333333)</f>
        <v>43612.64583</v>
      </c>
      <c r="B3548" s="9">
        <f>IFERROR(__xludf.DUMMYFUNCTION("""COMPUTED_VALUE"""),707.4)</f>
        <v>707.4</v>
      </c>
      <c r="C3548" s="9">
        <f>IFERROR(__xludf.DUMMYFUNCTION("""COMPUTED_VALUE"""),713.8)</f>
        <v>713.8</v>
      </c>
      <c r="D3548" s="9">
        <f>IFERROR(__xludf.DUMMYFUNCTION("""COMPUTED_VALUE"""),705.5)</f>
        <v>705.5</v>
      </c>
      <c r="E3548" s="9">
        <f>IFERROR(__xludf.DUMMYFUNCTION("""COMPUTED_VALUE"""),708.1)</f>
        <v>708.1</v>
      </c>
      <c r="F3548" s="9">
        <f>IFERROR(__xludf.DUMMYFUNCTION("""COMPUTED_VALUE"""),1.0247544E7)</f>
        <v>10247544</v>
      </c>
      <c r="H3548" s="27">
        <f>IFERROR(__xludf.DUMMYFUNCTION("""COMPUTED_VALUE"""),43612.64583333333)</f>
        <v>43612.64583</v>
      </c>
      <c r="I3548" s="25">
        <f>IFERROR(__xludf.DUMMYFUNCTION("""COMPUTED_VALUE"""),2054.8)</f>
        <v>2054.8</v>
      </c>
      <c r="J3548" s="25">
        <f>IFERROR(__xludf.DUMMYFUNCTION("""COMPUTED_VALUE"""),2068.95)</f>
        <v>2068.95</v>
      </c>
      <c r="K3548" s="25">
        <f>IFERROR(__xludf.DUMMYFUNCTION("""COMPUTED_VALUE"""),2040.1)</f>
        <v>2040.1</v>
      </c>
      <c r="L3548" s="25">
        <f>IFERROR(__xludf.DUMMYFUNCTION("""COMPUTED_VALUE"""),2055.15)</f>
        <v>2055.15</v>
      </c>
      <c r="M3548" s="25">
        <f>IFERROR(__xludf.DUMMYFUNCTION("""COMPUTED_VALUE"""),2329820.0)</f>
        <v>2329820</v>
      </c>
    </row>
    <row r="3549">
      <c r="A3549" s="26">
        <f>IFERROR(__xludf.DUMMYFUNCTION("""COMPUTED_VALUE"""),43613.64583333333)</f>
        <v>43613.64583</v>
      </c>
      <c r="B3549" s="9">
        <f>IFERROR(__xludf.DUMMYFUNCTION("""COMPUTED_VALUE"""),712.0)</f>
        <v>712</v>
      </c>
      <c r="C3549" s="9">
        <f>IFERROR(__xludf.DUMMYFUNCTION("""COMPUTED_VALUE"""),733.45)</f>
        <v>733.45</v>
      </c>
      <c r="D3549" s="9">
        <f>IFERROR(__xludf.DUMMYFUNCTION("""COMPUTED_VALUE"""),709.8)</f>
        <v>709.8</v>
      </c>
      <c r="E3549" s="9">
        <f>IFERROR(__xludf.DUMMYFUNCTION("""COMPUTED_VALUE"""),728.1)</f>
        <v>728.1</v>
      </c>
      <c r="F3549" s="9">
        <f>IFERROR(__xludf.DUMMYFUNCTION("""COMPUTED_VALUE"""),2.386049E7)</f>
        <v>23860490</v>
      </c>
      <c r="H3549" s="27">
        <f>IFERROR(__xludf.DUMMYFUNCTION("""COMPUTED_VALUE"""),43613.64583333333)</f>
        <v>43613.64583</v>
      </c>
      <c r="I3549" s="25">
        <f>IFERROR(__xludf.DUMMYFUNCTION("""COMPUTED_VALUE"""),2060.0)</f>
        <v>2060</v>
      </c>
      <c r="J3549" s="25">
        <f>IFERROR(__xludf.DUMMYFUNCTION("""COMPUTED_VALUE"""),2097.5)</f>
        <v>2097.5</v>
      </c>
      <c r="K3549" s="25">
        <f>IFERROR(__xludf.DUMMYFUNCTION("""COMPUTED_VALUE"""),2045.0)</f>
        <v>2045</v>
      </c>
      <c r="L3549" s="25">
        <f>IFERROR(__xludf.DUMMYFUNCTION("""COMPUTED_VALUE"""),2073.75)</f>
        <v>2073.75</v>
      </c>
      <c r="M3549" s="25">
        <f>IFERROR(__xludf.DUMMYFUNCTION("""COMPUTED_VALUE"""),5872979.0)</f>
        <v>5872979</v>
      </c>
    </row>
    <row r="3550">
      <c r="A3550" s="26">
        <f>IFERROR(__xludf.DUMMYFUNCTION("""COMPUTED_VALUE"""),43614.64583333333)</f>
        <v>43614.64583</v>
      </c>
      <c r="B3550" s="9">
        <f>IFERROR(__xludf.DUMMYFUNCTION("""COMPUTED_VALUE"""),725.5)</f>
        <v>725.5</v>
      </c>
      <c r="C3550" s="9">
        <f>IFERROR(__xludf.DUMMYFUNCTION("""COMPUTED_VALUE"""),733.65)</f>
        <v>733.65</v>
      </c>
      <c r="D3550" s="9">
        <f>IFERROR(__xludf.DUMMYFUNCTION("""COMPUTED_VALUE"""),723.65)</f>
        <v>723.65</v>
      </c>
      <c r="E3550" s="9">
        <f>IFERROR(__xludf.DUMMYFUNCTION("""COMPUTED_VALUE"""),727.8)</f>
        <v>727.8</v>
      </c>
      <c r="F3550" s="9">
        <f>IFERROR(__xludf.DUMMYFUNCTION("""COMPUTED_VALUE"""),1.0293077E7)</f>
        <v>10293077</v>
      </c>
      <c r="H3550" s="27">
        <f>IFERROR(__xludf.DUMMYFUNCTION("""COMPUTED_VALUE"""),43614.64583333333)</f>
        <v>43614.64583</v>
      </c>
      <c r="I3550" s="25">
        <f>IFERROR(__xludf.DUMMYFUNCTION("""COMPUTED_VALUE"""),2080.0)</f>
        <v>2080</v>
      </c>
      <c r="J3550" s="25">
        <f>IFERROR(__xludf.DUMMYFUNCTION("""COMPUTED_VALUE"""),2123.7)</f>
        <v>2123.7</v>
      </c>
      <c r="K3550" s="25">
        <f>IFERROR(__xludf.DUMMYFUNCTION("""COMPUTED_VALUE"""),2077.1)</f>
        <v>2077.1</v>
      </c>
      <c r="L3550" s="25">
        <f>IFERROR(__xludf.DUMMYFUNCTION("""COMPUTED_VALUE"""),2107.55)</f>
        <v>2107.55</v>
      </c>
      <c r="M3550" s="25">
        <f>IFERROR(__xludf.DUMMYFUNCTION("""COMPUTED_VALUE"""),3281320.0)</f>
        <v>3281320</v>
      </c>
    </row>
    <row r="3551">
      <c r="A3551" s="26">
        <f>IFERROR(__xludf.DUMMYFUNCTION("""COMPUTED_VALUE"""),43615.64583333333)</f>
        <v>43615.64583</v>
      </c>
      <c r="B3551" s="9">
        <f>IFERROR(__xludf.DUMMYFUNCTION("""COMPUTED_VALUE"""),727.0)</f>
        <v>727</v>
      </c>
      <c r="C3551" s="9">
        <f>IFERROR(__xludf.DUMMYFUNCTION("""COMPUTED_VALUE"""),737.25)</f>
        <v>737.25</v>
      </c>
      <c r="D3551" s="9">
        <f>IFERROR(__xludf.DUMMYFUNCTION("""COMPUTED_VALUE"""),722.55)</f>
        <v>722.55</v>
      </c>
      <c r="E3551" s="9">
        <f>IFERROR(__xludf.DUMMYFUNCTION("""COMPUTED_VALUE"""),733.55)</f>
        <v>733.55</v>
      </c>
      <c r="F3551" s="9">
        <f>IFERROR(__xludf.DUMMYFUNCTION("""COMPUTED_VALUE"""),1.5089296E7)</f>
        <v>15089296</v>
      </c>
      <c r="H3551" s="27">
        <f>IFERROR(__xludf.DUMMYFUNCTION("""COMPUTED_VALUE"""),43615.64583333333)</f>
        <v>43615.64583</v>
      </c>
      <c r="I3551" s="25">
        <f>IFERROR(__xludf.DUMMYFUNCTION("""COMPUTED_VALUE"""),2123.0)</f>
        <v>2123</v>
      </c>
      <c r="J3551" s="25">
        <f>IFERROR(__xludf.DUMMYFUNCTION("""COMPUTED_VALUE"""),2156.55)</f>
        <v>2156.55</v>
      </c>
      <c r="K3551" s="25">
        <f>IFERROR(__xludf.DUMMYFUNCTION("""COMPUTED_VALUE"""),2114.4)</f>
        <v>2114.4</v>
      </c>
      <c r="L3551" s="25">
        <f>IFERROR(__xludf.DUMMYFUNCTION("""COMPUTED_VALUE"""),2146.3)</f>
        <v>2146.3</v>
      </c>
      <c r="M3551" s="25">
        <f>IFERROR(__xludf.DUMMYFUNCTION("""COMPUTED_VALUE"""),4971725.0)</f>
        <v>4971725</v>
      </c>
    </row>
    <row r="3552">
      <c r="A3552" s="26">
        <f>IFERROR(__xludf.DUMMYFUNCTION("""COMPUTED_VALUE"""),43616.64583333333)</f>
        <v>43616.64583</v>
      </c>
      <c r="B3552" s="9">
        <f>IFERROR(__xludf.DUMMYFUNCTION("""COMPUTED_VALUE"""),736.5)</f>
        <v>736.5</v>
      </c>
      <c r="C3552" s="9">
        <f>IFERROR(__xludf.DUMMYFUNCTION("""COMPUTED_VALUE"""),742.95)</f>
        <v>742.95</v>
      </c>
      <c r="D3552" s="9">
        <f>IFERROR(__xludf.DUMMYFUNCTION("""COMPUTED_VALUE"""),733.2)</f>
        <v>733.2</v>
      </c>
      <c r="E3552" s="9">
        <f>IFERROR(__xludf.DUMMYFUNCTION("""COMPUTED_VALUE"""),737.75)</f>
        <v>737.75</v>
      </c>
      <c r="F3552" s="9">
        <f>IFERROR(__xludf.DUMMYFUNCTION("""COMPUTED_VALUE"""),8290306.0)</f>
        <v>8290306</v>
      </c>
      <c r="H3552" s="27">
        <f>IFERROR(__xludf.DUMMYFUNCTION("""COMPUTED_VALUE"""),43616.64583333333)</f>
        <v>43616.64583</v>
      </c>
      <c r="I3552" s="25">
        <f>IFERROR(__xludf.DUMMYFUNCTION("""COMPUTED_VALUE"""),2160.0)</f>
        <v>2160</v>
      </c>
      <c r="J3552" s="25">
        <f>IFERROR(__xludf.DUMMYFUNCTION("""COMPUTED_VALUE"""),2204.95)</f>
        <v>2204.95</v>
      </c>
      <c r="K3552" s="25">
        <f>IFERROR(__xludf.DUMMYFUNCTION("""COMPUTED_VALUE"""),2152.25)</f>
        <v>2152.25</v>
      </c>
      <c r="L3552" s="25">
        <f>IFERROR(__xludf.DUMMYFUNCTION("""COMPUTED_VALUE"""),2196.55)</f>
        <v>2196.55</v>
      </c>
      <c r="M3552" s="25">
        <f>IFERROR(__xludf.DUMMYFUNCTION("""COMPUTED_VALUE"""),4265370.0)</f>
        <v>4265370</v>
      </c>
    </row>
    <row r="3553">
      <c r="A3553" s="26">
        <f>IFERROR(__xludf.DUMMYFUNCTION("""COMPUTED_VALUE"""),43619.64583333333)</f>
        <v>43619.64583</v>
      </c>
      <c r="B3553" s="9">
        <f>IFERROR(__xludf.DUMMYFUNCTION("""COMPUTED_VALUE"""),729.8)</f>
        <v>729.8</v>
      </c>
      <c r="C3553" s="9">
        <f>IFERROR(__xludf.DUMMYFUNCTION("""COMPUTED_VALUE"""),750.9)</f>
        <v>750.9</v>
      </c>
      <c r="D3553" s="9">
        <f>IFERROR(__xludf.DUMMYFUNCTION("""COMPUTED_VALUE"""),729.0)</f>
        <v>729</v>
      </c>
      <c r="E3553" s="9">
        <f>IFERROR(__xludf.DUMMYFUNCTION("""COMPUTED_VALUE"""),744.65)</f>
        <v>744.65</v>
      </c>
      <c r="F3553" s="9">
        <f>IFERROR(__xludf.DUMMYFUNCTION("""COMPUTED_VALUE"""),7744761.0)</f>
        <v>7744761</v>
      </c>
      <c r="H3553" s="27">
        <f>IFERROR(__xludf.DUMMYFUNCTION("""COMPUTED_VALUE"""),43619.64583333333)</f>
        <v>43619.64583</v>
      </c>
      <c r="I3553" s="25">
        <f>IFERROR(__xludf.DUMMYFUNCTION("""COMPUTED_VALUE"""),2201.0)</f>
        <v>2201</v>
      </c>
      <c r="J3553" s="25">
        <f>IFERROR(__xludf.DUMMYFUNCTION("""COMPUTED_VALUE"""),2247.65)</f>
        <v>2247.65</v>
      </c>
      <c r="K3553" s="25">
        <f>IFERROR(__xludf.DUMMYFUNCTION("""COMPUTED_VALUE"""),2185.65)</f>
        <v>2185.65</v>
      </c>
      <c r="L3553" s="25">
        <f>IFERROR(__xludf.DUMMYFUNCTION("""COMPUTED_VALUE"""),2242.3)</f>
        <v>2242.3</v>
      </c>
      <c r="M3553" s="25">
        <f>IFERROR(__xludf.DUMMYFUNCTION("""COMPUTED_VALUE"""),3682419.0)</f>
        <v>3682419</v>
      </c>
    </row>
    <row r="3554">
      <c r="A3554" s="26">
        <f>IFERROR(__xludf.DUMMYFUNCTION("""COMPUTED_VALUE"""),43620.64583333333)</f>
        <v>43620.64583</v>
      </c>
      <c r="B3554" s="9">
        <f>IFERROR(__xludf.DUMMYFUNCTION("""COMPUTED_VALUE"""),737.25)</f>
        <v>737.25</v>
      </c>
      <c r="C3554" s="9">
        <f>IFERROR(__xludf.DUMMYFUNCTION("""COMPUTED_VALUE"""),739.45)</f>
        <v>739.45</v>
      </c>
      <c r="D3554" s="9">
        <f>IFERROR(__xludf.DUMMYFUNCTION("""COMPUTED_VALUE"""),733.15)</f>
        <v>733.15</v>
      </c>
      <c r="E3554" s="9">
        <f>IFERROR(__xludf.DUMMYFUNCTION("""COMPUTED_VALUE"""),735.3)</f>
        <v>735.3</v>
      </c>
      <c r="F3554" s="9">
        <f>IFERROR(__xludf.DUMMYFUNCTION("""COMPUTED_VALUE"""),1.1733702E7)</f>
        <v>11733702</v>
      </c>
      <c r="H3554" s="27">
        <f>IFERROR(__xludf.DUMMYFUNCTION("""COMPUTED_VALUE"""),43620.64583333333)</f>
        <v>43620.64583</v>
      </c>
      <c r="I3554" s="25">
        <f>IFERROR(__xludf.DUMMYFUNCTION("""COMPUTED_VALUE"""),2224.0)</f>
        <v>2224</v>
      </c>
      <c r="J3554" s="25">
        <f>IFERROR(__xludf.DUMMYFUNCTION("""COMPUTED_VALUE"""),2224.0)</f>
        <v>2224</v>
      </c>
      <c r="K3554" s="25">
        <f>IFERROR(__xludf.DUMMYFUNCTION("""COMPUTED_VALUE"""),2175.0)</f>
        <v>2175</v>
      </c>
      <c r="L3554" s="25">
        <f>IFERROR(__xludf.DUMMYFUNCTION("""COMPUTED_VALUE"""),2183.1)</f>
        <v>2183.1</v>
      </c>
      <c r="M3554" s="25">
        <f>IFERROR(__xludf.DUMMYFUNCTION("""COMPUTED_VALUE"""),2408658.0)</f>
        <v>2408658</v>
      </c>
    </row>
    <row r="3555">
      <c r="A3555" s="26">
        <f>IFERROR(__xludf.DUMMYFUNCTION("""COMPUTED_VALUE"""),43622.64583333333)</f>
        <v>43622.64583</v>
      </c>
      <c r="B3555" s="9">
        <f>IFERROR(__xludf.DUMMYFUNCTION("""COMPUTED_VALUE"""),736.5)</f>
        <v>736.5</v>
      </c>
      <c r="C3555" s="9">
        <f>IFERROR(__xludf.DUMMYFUNCTION("""COMPUTED_VALUE"""),744.65)</f>
        <v>744.65</v>
      </c>
      <c r="D3555" s="9">
        <f>IFERROR(__xludf.DUMMYFUNCTION("""COMPUTED_VALUE"""),733.65)</f>
        <v>733.65</v>
      </c>
      <c r="E3555" s="9">
        <f>IFERROR(__xludf.DUMMYFUNCTION("""COMPUTED_VALUE"""),735.6)</f>
        <v>735.6</v>
      </c>
      <c r="F3555" s="9">
        <f>IFERROR(__xludf.DUMMYFUNCTION("""COMPUTED_VALUE"""),7563925.0)</f>
        <v>7563925</v>
      </c>
      <c r="H3555" s="27">
        <f>IFERROR(__xludf.DUMMYFUNCTION("""COMPUTED_VALUE"""),43622.64583333333)</f>
        <v>43622.64583</v>
      </c>
      <c r="I3555" s="25">
        <f>IFERROR(__xludf.DUMMYFUNCTION("""COMPUTED_VALUE"""),2199.0)</f>
        <v>2199</v>
      </c>
      <c r="J3555" s="25">
        <f>IFERROR(__xludf.DUMMYFUNCTION("""COMPUTED_VALUE"""),2199.0)</f>
        <v>2199</v>
      </c>
      <c r="K3555" s="25">
        <f>IFERROR(__xludf.DUMMYFUNCTION("""COMPUTED_VALUE"""),2152.0)</f>
        <v>2152</v>
      </c>
      <c r="L3555" s="25">
        <f>IFERROR(__xludf.DUMMYFUNCTION("""COMPUTED_VALUE"""),2166.1)</f>
        <v>2166.1</v>
      </c>
      <c r="M3555" s="25">
        <f>IFERROR(__xludf.DUMMYFUNCTION("""COMPUTED_VALUE"""),3735467.0)</f>
        <v>3735467</v>
      </c>
    </row>
    <row r="3556">
      <c r="A3556" s="26">
        <f>IFERROR(__xludf.DUMMYFUNCTION("""COMPUTED_VALUE"""),43623.64583333333)</f>
        <v>43623.64583</v>
      </c>
      <c r="B3556" s="9">
        <f>IFERROR(__xludf.DUMMYFUNCTION("""COMPUTED_VALUE"""),735.85)</f>
        <v>735.85</v>
      </c>
      <c r="C3556" s="9">
        <f>IFERROR(__xludf.DUMMYFUNCTION("""COMPUTED_VALUE"""),743.95)</f>
        <v>743.95</v>
      </c>
      <c r="D3556" s="9">
        <f>IFERROR(__xludf.DUMMYFUNCTION("""COMPUTED_VALUE"""),735.85)</f>
        <v>735.85</v>
      </c>
      <c r="E3556" s="9">
        <f>IFERROR(__xludf.DUMMYFUNCTION("""COMPUTED_VALUE"""),739.1)</f>
        <v>739.1</v>
      </c>
      <c r="F3556" s="9">
        <f>IFERROR(__xludf.DUMMYFUNCTION("""COMPUTED_VALUE"""),3218358.0)</f>
        <v>3218358</v>
      </c>
      <c r="H3556" s="27">
        <f>IFERROR(__xludf.DUMMYFUNCTION("""COMPUTED_VALUE"""),43623.64583333333)</f>
        <v>43623.64583</v>
      </c>
      <c r="I3556" s="25">
        <f>IFERROR(__xludf.DUMMYFUNCTION("""COMPUTED_VALUE"""),2174.0)</f>
        <v>2174</v>
      </c>
      <c r="J3556" s="25">
        <f>IFERROR(__xludf.DUMMYFUNCTION("""COMPUTED_VALUE"""),2189.8)</f>
        <v>2189.8</v>
      </c>
      <c r="K3556" s="25">
        <f>IFERROR(__xludf.DUMMYFUNCTION("""COMPUTED_VALUE"""),2142.1)</f>
        <v>2142.1</v>
      </c>
      <c r="L3556" s="25">
        <f>IFERROR(__xludf.DUMMYFUNCTION("""COMPUTED_VALUE"""),2181.75)</f>
        <v>2181.75</v>
      </c>
      <c r="M3556" s="25">
        <f>IFERROR(__xludf.DUMMYFUNCTION("""COMPUTED_VALUE"""),2659446.0)</f>
        <v>2659446</v>
      </c>
    </row>
    <row r="3557">
      <c r="A3557" s="26">
        <f>IFERROR(__xludf.DUMMYFUNCTION("""COMPUTED_VALUE"""),43626.64583333333)</f>
        <v>43626.64583</v>
      </c>
      <c r="B3557" s="9">
        <f>IFERROR(__xludf.DUMMYFUNCTION("""COMPUTED_VALUE"""),740.1)</f>
        <v>740.1</v>
      </c>
      <c r="C3557" s="9">
        <f>IFERROR(__xludf.DUMMYFUNCTION("""COMPUTED_VALUE"""),754.1)</f>
        <v>754.1</v>
      </c>
      <c r="D3557" s="9">
        <f>IFERROR(__xludf.DUMMYFUNCTION("""COMPUTED_VALUE"""),740.1)</f>
        <v>740.1</v>
      </c>
      <c r="E3557" s="9">
        <f>IFERROR(__xludf.DUMMYFUNCTION("""COMPUTED_VALUE"""),753.5)</f>
        <v>753.5</v>
      </c>
      <c r="F3557" s="9">
        <f>IFERROR(__xludf.DUMMYFUNCTION("""COMPUTED_VALUE"""),4435148.0)</f>
        <v>4435148</v>
      </c>
      <c r="H3557" s="27">
        <f>IFERROR(__xludf.DUMMYFUNCTION("""COMPUTED_VALUE"""),43626.64583333333)</f>
        <v>43626.64583</v>
      </c>
      <c r="I3557" s="25">
        <f>IFERROR(__xludf.DUMMYFUNCTION("""COMPUTED_VALUE"""),2196.7)</f>
        <v>2196.7</v>
      </c>
      <c r="J3557" s="25">
        <f>IFERROR(__xludf.DUMMYFUNCTION("""COMPUTED_VALUE"""),2235.85)</f>
        <v>2235.85</v>
      </c>
      <c r="K3557" s="25">
        <f>IFERROR(__xludf.DUMMYFUNCTION("""COMPUTED_VALUE"""),2185.5)</f>
        <v>2185.5</v>
      </c>
      <c r="L3557" s="25">
        <f>IFERROR(__xludf.DUMMYFUNCTION("""COMPUTED_VALUE"""),2231.5)</f>
        <v>2231.5</v>
      </c>
      <c r="M3557" s="25">
        <f>IFERROR(__xludf.DUMMYFUNCTION("""COMPUTED_VALUE"""),2080593.0)</f>
        <v>2080593</v>
      </c>
    </row>
    <row r="3558">
      <c r="A3558" s="26">
        <f>IFERROR(__xludf.DUMMYFUNCTION("""COMPUTED_VALUE"""),43627.64583333333)</f>
        <v>43627.64583</v>
      </c>
      <c r="B3558" s="9">
        <f>IFERROR(__xludf.DUMMYFUNCTION("""COMPUTED_VALUE"""),755.0)</f>
        <v>755</v>
      </c>
      <c r="C3558" s="9">
        <f>IFERROR(__xludf.DUMMYFUNCTION("""COMPUTED_VALUE"""),759.0)</f>
        <v>759</v>
      </c>
      <c r="D3558" s="9">
        <f>IFERROR(__xludf.DUMMYFUNCTION("""COMPUTED_VALUE"""),750.5)</f>
        <v>750.5</v>
      </c>
      <c r="E3558" s="9">
        <f>IFERROR(__xludf.DUMMYFUNCTION("""COMPUTED_VALUE"""),754.9)</f>
        <v>754.9</v>
      </c>
      <c r="F3558" s="9">
        <f>IFERROR(__xludf.DUMMYFUNCTION("""COMPUTED_VALUE"""),5733127.0)</f>
        <v>5733127</v>
      </c>
      <c r="H3558" s="27">
        <f>IFERROR(__xludf.DUMMYFUNCTION("""COMPUTED_VALUE"""),43627.64583333333)</f>
        <v>43627.64583</v>
      </c>
      <c r="I3558" s="25">
        <f>IFERROR(__xludf.DUMMYFUNCTION("""COMPUTED_VALUE"""),2237.0)</f>
        <v>2237</v>
      </c>
      <c r="J3558" s="25">
        <f>IFERROR(__xludf.DUMMYFUNCTION("""COMPUTED_VALUE"""),2263.95)</f>
        <v>2263.95</v>
      </c>
      <c r="K3558" s="25">
        <f>IFERROR(__xludf.DUMMYFUNCTION("""COMPUTED_VALUE"""),2231.0)</f>
        <v>2231</v>
      </c>
      <c r="L3558" s="25">
        <f>IFERROR(__xludf.DUMMYFUNCTION("""COMPUTED_VALUE"""),2252.8)</f>
        <v>2252.8</v>
      </c>
      <c r="M3558" s="25">
        <f>IFERROR(__xludf.DUMMYFUNCTION("""COMPUTED_VALUE"""),3048937.0)</f>
        <v>3048937</v>
      </c>
    </row>
    <row r="3559">
      <c r="A3559" s="26">
        <f>IFERROR(__xludf.DUMMYFUNCTION("""COMPUTED_VALUE"""),43628.64583333333)</f>
        <v>43628.64583</v>
      </c>
      <c r="B3559" s="9">
        <f>IFERROR(__xludf.DUMMYFUNCTION("""COMPUTED_VALUE"""),756.95)</f>
        <v>756.95</v>
      </c>
      <c r="C3559" s="9">
        <f>IFERROR(__xludf.DUMMYFUNCTION("""COMPUTED_VALUE"""),756.95)</f>
        <v>756.95</v>
      </c>
      <c r="D3559" s="9">
        <f>IFERROR(__xludf.DUMMYFUNCTION("""COMPUTED_VALUE"""),745.0)</f>
        <v>745</v>
      </c>
      <c r="E3559" s="9">
        <f>IFERROR(__xludf.DUMMYFUNCTION("""COMPUTED_VALUE"""),753.8)</f>
        <v>753.8</v>
      </c>
      <c r="F3559" s="9">
        <f>IFERROR(__xludf.DUMMYFUNCTION("""COMPUTED_VALUE"""),8738342.0)</f>
        <v>8738342</v>
      </c>
      <c r="H3559" s="27">
        <f>IFERROR(__xludf.DUMMYFUNCTION("""COMPUTED_VALUE"""),43628.64583333333)</f>
        <v>43628.64583</v>
      </c>
      <c r="I3559" s="25">
        <f>IFERROR(__xludf.DUMMYFUNCTION("""COMPUTED_VALUE"""),2245.0)</f>
        <v>2245</v>
      </c>
      <c r="J3559" s="25">
        <f>IFERROR(__xludf.DUMMYFUNCTION("""COMPUTED_VALUE"""),2266.9)</f>
        <v>2266.9</v>
      </c>
      <c r="K3559" s="25">
        <f>IFERROR(__xludf.DUMMYFUNCTION("""COMPUTED_VALUE"""),2219.0)</f>
        <v>2219</v>
      </c>
      <c r="L3559" s="25">
        <f>IFERROR(__xludf.DUMMYFUNCTION("""COMPUTED_VALUE"""),2260.9)</f>
        <v>2260.9</v>
      </c>
      <c r="M3559" s="25">
        <f>IFERROR(__xludf.DUMMYFUNCTION("""COMPUTED_VALUE"""),2404448.0)</f>
        <v>2404448</v>
      </c>
    </row>
    <row r="3560">
      <c r="A3560" s="26">
        <f>IFERROR(__xludf.DUMMYFUNCTION("""COMPUTED_VALUE"""),43629.64583333333)</f>
        <v>43629.64583</v>
      </c>
      <c r="B3560" s="9">
        <f>IFERROR(__xludf.DUMMYFUNCTION("""COMPUTED_VALUE"""),740.0)</f>
        <v>740</v>
      </c>
      <c r="C3560" s="9">
        <f>IFERROR(__xludf.DUMMYFUNCTION("""COMPUTED_VALUE"""),747.2)</f>
        <v>747.2</v>
      </c>
      <c r="D3560" s="9">
        <f>IFERROR(__xludf.DUMMYFUNCTION("""COMPUTED_VALUE"""),740.0)</f>
        <v>740</v>
      </c>
      <c r="E3560" s="9">
        <f>IFERROR(__xludf.DUMMYFUNCTION("""COMPUTED_VALUE"""),742.65)</f>
        <v>742.65</v>
      </c>
      <c r="F3560" s="9">
        <f>IFERROR(__xludf.DUMMYFUNCTION("""COMPUTED_VALUE"""),4808577.0)</f>
        <v>4808577</v>
      </c>
      <c r="H3560" s="27">
        <f>IFERROR(__xludf.DUMMYFUNCTION("""COMPUTED_VALUE"""),43629.64583333333)</f>
        <v>43629.64583</v>
      </c>
      <c r="I3560" s="25">
        <f>IFERROR(__xludf.DUMMYFUNCTION("""COMPUTED_VALUE"""),2264.0)</f>
        <v>2264</v>
      </c>
      <c r="J3560" s="25">
        <f>IFERROR(__xludf.DUMMYFUNCTION("""COMPUTED_VALUE"""),2285.0)</f>
        <v>2285</v>
      </c>
      <c r="K3560" s="25">
        <f>IFERROR(__xludf.DUMMYFUNCTION("""COMPUTED_VALUE"""),2243.05)</f>
        <v>2243.05</v>
      </c>
      <c r="L3560" s="25">
        <f>IFERROR(__xludf.DUMMYFUNCTION("""COMPUTED_VALUE"""),2254.1)</f>
        <v>2254.1</v>
      </c>
      <c r="M3560" s="25">
        <f>IFERROR(__xludf.DUMMYFUNCTION("""COMPUTED_VALUE"""),3320916.0)</f>
        <v>3320916</v>
      </c>
    </row>
    <row r="3561">
      <c r="A3561" s="26">
        <f>IFERROR(__xludf.DUMMYFUNCTION("""COMPUTED_VALUE"""),43630.64583333333)</f>
        <v>43630.64583</v>
      </c>
      <c r="B3561" s="9">
        <f>IFERROR(__xludf.DUMMYFUNCTION("""COMPUTED_VALUE"""),743.85)</f>
        <v>743.85</v>
      </c>
      <c r="C3561" s="9">
        <f>IFERROR(__xludf.DUMMYFUNCTION("""COMPUTED_VALUE"""),745.5)</f>
        <v>745.5</v>
      </c>
      <c r="D3561" s="9">
        <f>IFERROR(__xludf.DUMMYFUNCTION("""COMPUTED_VALUE"""),738.25)</f>
        <v>738.25</v>
      </c>
      <c r="E3561" s="9">
        <f>IFERROR(__xludf.DUMMYFUNCTION("""COMPUTED_VALUE"""),740.45)</f>
        <v>740.45</v>
      </c>
      <c r="F3561" s="9">
        <f>IFERROR(__xludf.DUMMYFUNCTION("""COMPUTED_VALUE"""),5556353.0)</f>
        <v>5556353</v>
      </c>
      <c r="H3561" s="27">
        <f>IFERROR(__xludf.DUMMYFUNCTION("""COMPUTED_VALUE"""),43630.64583333333)</f>
        <v>43630.64583</v>
      </c>
      <c r="I3561" s="25">
        <f>IFERROR(__xludf.DUMMYFUNCTION("""COMPUTED_VALUE"""),2257.25)</f>
        <v>2257.25</v>
      </c>
      <c r="J3561" s="25">
        <f>IFERROR(__xludf.DUMMYFUNCTION("""COMPUTED_VALUE"""),2263.1)</f>
        <v>2263.1</v>
      </c>
      <c r="K3561" s="25">
        <f>IFERROR(__xludf.DUMMYFUNCTION("""COMPUTED_VALUE"""),2234.0)</f>
        <v>2234</v>
      </c>
      <c r="L3561" s="25">
        <f>IFERROR(__xludf.DUMMYFUNCTION("""COMPUTED_VALUE"""),2254.5)</f>
        <v>2254.5</v>
      </c>
      <c r="M3561" s="25">
        <f>IFERROR(__xludf.DUMMYFUNCTION("""COMPUTED_VALUE"""),2131408.0)</f>
        <v>2131408</v>
      </c>
    </row>
    <row r="3562">
      <c r="A3562" s="26">
        <f>IFERROR(__xludf.DUMMYFUNCTION("""COMPUTED_VALUE"""),43633.64583333333)</f>
        <v>43633.64583</v>
      </c>
      <c r="B3562" s="9">
        <f>IFERROR(__xludf.DUMMYFUNCTION("""COMPUTED_VALUE"""),743.0)</f>
        <v>743</v>
      </c>
      <c r="C3562" s="9">
        <f>IFERROR(__xludf.DUMMYFUNCTION("""COMPUTED_VALUE"""),744.5)</f>
        <v>744.5</v>
      </c>
      <c r="D3562" s="9">
        <f>IFERROR(__xludf.DUMMYFUNCTION("""COMPUTED_VALUE"""),737.8)</f>
        <v>737.8</v>
      </c>
      <c r="E3562" s="9">
        <f>IFERROR(__xludf.DUMMYFUNCTION("""COMPUTED_VALUE"""),740.55)</f>
        <v>740.55</v>
      </c>
      <c r="F3562" s="9">
        <f>IFERROR(__xludf.DUMMYFUNCTION("""COMPUTED_VALUE"""),3085588.0)</f>
        <v>3085588</v>
      </c>
      <c r="H3562" s="27">
        <f>IFERROR(__xludf.DUMMYFUNCTION("""COMPUTED_VALUE"""),43633.64583333333)</f>
        <v>43633.64583</v>
      </c>
      <c r="I3562" s="25">
        <f>IFERROR(__xludf.DUMMYFUNCTION("""COMPUTED_VALUE"""),2256.0)</f>
        <v>2256</v>
      </c>
      <c r="J3562" s="25">
        <f>IFERROR(__xludf.DUMMYFUNCTION("""COMPUTED_VALUE"""),2262.0)</f>
        <v>2262</v>
      </c>
      <c r="K3562" s="25">
        <f>IFERROR(__xludf.DUMMYFUNCTION("""COMPUTED_VALUE"""),2241.45)</f>
        <v>2241.45</v>
      </c>
      <c r="L3562" s="25">
        <f>IFERROR(__xludf.DUMMYFUNCTION("""COMPUTED_VALUE"""),2249.2)</f>
        <v>2249.2</v>
      </c>
      <c r="M3562" s="25">
        <f>IFERROR(__xludf.DUMMYFUNCTION("""COMPUTED_VALUE"""),1489497.0)</f>
        <v>1489497</v>
      </c>
    </row>
    <row r="3563">
      <c r="A3563" s="26">
        <f>IFERROR(__xludf.DUMMYFUNCTION("""COMPUTED_VALUE"""),43634.64583333333)</f>
        <v>43634.64583</v>
      </c>
      <c r="B3563" s="9">
        <f>IFERROR(__xludf.DUMMYFUNCTION("""COMPUTED_VALUE"""),740.2)</f>
        <v>740.2</v>
      </c>
      <c r="C3563" s="9">
        <f>IFERROR(__xludf.DUMMYFUNCTION("""COMPUTED_VALUE"""),752.45)</f>
        <v>752.45</v>
      </c>
      <c r="D3563" s="9">
        <f>IFERROR(__xludf.DUMMYFUNCTION("""COMPUTED_VALUE"""),740.2)</f>
        <v>740.2</v>
      </c>
      <c r="E3563" s="9">
        <f>IFERROR(__xludf.DUMMYFUNCTION("""COMPUTED_VALUE"""),750.15)</f>
        <v>750.15</v>
      </c>
      <c r="F3563" s="9">
        <f>IFERROR(__xludf.DUMMYFUNCTION("""COMPUTED_VALUE"""),6202838.0)</f>
        <v>6202838</v>
      </c>
      <c r="H3563" s="27">
        <f>IFERROR(__xludf.DUMMYFUNCTION("""COMPUTED_VALUE"""),43634.64583333333)</f>
        <v>43634.64583</v>
      </c>
      <c r="I3563" s="25">
        <f>IFERROR(__xludf.DUMMYFUNCTION("""COMPUTED_VALUE"""),2244.0)</f>
        <v>2244</v>
      </c>
      <c r="J3563" s="25">
        <f>IFERROR(__xludf.DUMMYFUNCTION("""COMPUTED_VALUE"""),2260.0)</f>
        <v>2260</v>
      </c>
      <c r="K3563" s="25">
        <f>IFERROR(__xludf.DUMMYFUNCTION("""COMPUTED_VALUE"""),2231.2)</f>
        <v>2231.2</v>
      </c>
      <c r="L3563" s="25">
        <f>IFERROR(__xludf.DUMMYFUNCTION("""COMPUTED_VALUE"""),2250.85)</f>
        <v>2250.85</v>
      </c>
      <c r="M3563" s="25">
        <f>IFERROR(__xludf.DUMMYFUNCTION("""COMPUTED_VALUE"""),1877447.0)</f>
        <v>1877447</v>
      </c>
    </row>
    <row r="3564">
      <c r="A3564" s="26">
        <f>IFERROR(__xludf.DUMMYFUNCTION("""COMPUTED_VALUE"""),43635.64583333333)</f>
        <v>43635.64583</v>
      </c>
      <c r="B3564" s="9">
        <f>IFERROR(__xludf.DUMMYFUNCTION("""COMPUTED_VALUE"""),752.5)</f>
        <v>752.5</v>
      </c>
      <c r="C3564" s="9">
        <f>IFERROR(__xludf.DUMMYFUNCTION("""COMPUTED_VALUE"""),755.4)</f>
        <v>755.4</v>
      </c>
      <c r="D3564" s="9">
        <f>IFERROR(__xludf.DUMMYFUNCTION("""COMPUTED_VALUE"""),748.6)</f>
        <v>748.6</v>
      </c>
      <c r="E3564" s="9">
        <f>IFERROR(__xludf.DUMMYFUNCTION("""COMPUTED_VALUE"""),751.9)</f>
        <v>751.9</v>
      </c>
      <c r="F3564" s="9">
        <f>IFERROR(__xludf.DUMMYFUNCTION("""COMPUTED_VALUE"""),4596253.0)</f>
        <v>4596253</v>
      </c>
      <c r="H3564" s="27">
        <f>IFERROR(__xludf.DUMMYFUNCTION("""COMPUTED_VALUE"""),43635.64583333333)</f>
        <v>43635.64583</v>
      </c>
      <c r="I3564" s="25">
        <f>IFERROR(__xludf.DUMMYFUNCTION("""COMPUTED_VALUE"""),2255.0)</f>
        <v>2255</v>
      </c>
      <c r="J3564" s="25">
        <f>IFERROR(__xludf.DUMMYFUNCTION("""COMPUTED_VALUE"""),2276.0)</f>
        <v>2276</v>
      </c>
      <c r="K3564" s="25">
        <f>IFERROR(__xludf.DUMMYFUNCTION("""COMPUTED_VALUE"""),2243.15)</f>
        <v>2243.15</v>
      </c>
      <c r="L3564" s="25">
        <f>IFERROR(__xludf.DUMMYFUNCTION("""COMPUTED_VALUE"""),2259.9)</f>
        <v>2259.9</v>
      </c>
      <c r="M3564" s="25">
        <f>IFERROR(__xludf.DUMMYFUNCTION("""COMPUTED_VALUE"""),1652817.0)</f>
        <v>1652817</v>
      </c>
    </row>
    <row r="3565">
      <c r="A3565" s="26">
        <f>IFERROR(__xludf.DUMMYFUNCTION("""COMPUTED_VALUE"""),43636.64583333333)</f>
        <v>43636.64583</v>
      </c>
      <c r="B3565" s="9">
        <f>IFERROR(__xludf.DUMMYFUNCTION("""COMPUTED_VALUE"""),737.8)</f>
        <v>737.8</v>
      </c>
      <c r="C3565" s="9">
        <f>IFERROR(__xludf.DUMMYFUNCTION("""COMPUTED_VALUE"""),756.9)</f>
        <v>756.9</v>
      </c>
      <c r="D3565" s="9">
        <f>IFERROR(__xludf.DUMMYFUNCTION("""COMPUTED_VALUE"""),735.9)</f>
        <v>735.9</v>
      </c>
      <c r="E3565" s="9">
        <f>IFERROR(__xludf.DUMMYFUNCTION("""COMPUTED_VALUE"""),754.9)</f>
        <v>754.9</v>
      </c>
      <c r="F3565" s="9">
        <f>IFERROR(__xludf.DUMMYFUNCTION("""COMPUTED_VALUE"""),7148684.0)</f>
        <v>7148684</v>
      </c>
      <c r="H3565" s="27">
        <f>IFERROR(__xludf.DUMMYFUNCTION("""COMPUTED_VALUE"""),43636.64583333333)</f>
        <v>43636.64583</v>
      </c>
      <c r="I3565" s="25">
        <f>IFERROR(__xludf.DUMMYFUNCTION("""COMPUTED_VALUE"""),2230.0)</f>
        <v>2230</v>
      </c>
      <c r="J3565" s="25">
        <f>IFERROR(__xludf.DUMMYFUNCTION("""COMPUTED_VALUE"""),2284.0)</f>
        <v>2284</v>
      </c>
      <c r="K3565" s="25">
        <f>IFERROR(__xludf.DUMMYFUNCTION("""COMPUTED_VALUE"""),2212.0)</f>
        <v>2212</v>
      </c>
      <c r="L3565" s="25">
        <f>IFERROR(__xludf.DUMMYFUNCTION("""COMPUTED_VALUE"""),2277.95)</f>
        <v>2277.95</v>
      </c>
      <c r="M3565" s="25">
        <f>IFERROR(__xludf.DUMMYFUNCTION("""COMPUTED_VALUE"""),2199377.0)</f>
        <v>2199377</v>
      </c>
    </row>
    <row r="3566">
      <c r="A3566" s="26">
        <f>IFERROR(__xludf.DUMMYFUNCTION("""COMPUTED_VALUE"""),43637.64583333333)</f>
        <v>43637.64583</v>
      </c>
      <c r="B3566" s="9">
        <f>IFERROR(__xludf.DUMMYFUNCTION("""COMPUTED_VALUE"""),755.0)</f>
        <v>755</v>
      </c>
      <c r="C3566" s="9">
        <f>IFERROR(__xludf.DUMMYFUNCTION("""COMPUTED_VALUE"""),755.0)</f>
        <v>755</v>
      </c>
      <c r="D3566" s="9">
        <f>IFERROR(__xludf.DUMMYFUNCTION("""COMPUTED_VALUE"""),747.15)</f>
        <v>747.15</v>
      </c>
      <c r="E3566" s="9">
        <f>IFERROR(__xludf.DUMMYFUNCTION("""COMPUTED_VALUE"""),750.2)</f>
        <v>750.2</v>
      </c>
      <c r="F3566" s="9">
        <f>IFERROR(__xludf.DUMMYFUNCTION("""COMPUTED_VALUE"""),1.3200318E7)</f>
        <v>13200318</v>
      </c>
      <c r="H3566" s="27">
        <f>IFERROR(__xludf.DUMMYFUNCTION("""COMPUTED_VALUE"""),43637.64583333333)</f>
        <v>43637.64583</v>
      </c>
      <c r="I3566" s="25">
        <f>IFERROR(__xludf.DUMMYFUNCTION("""COMPUTED_VALUE"""),2285.0)</f>
        <v>2285</v>
      </c>
      <c r="J3566" s="25">
        <f>IFERROR(__xludf.DUMMYFUNCTION("""COMPUTED_VALUE"""),2292.5)</f>
        <v>2292.5</v>
      </c>
      <c r="K3566" s="25">
        <f>IFERROR(__xludf.DUMMYFUNCTION("""COMPUTED_VALUE"""),2242.0)</f>
        <v>2242</v>
      </c>
      <c r="L3566" s="25">
        <f>IFERROR(__xludf.DUMMYFUNCTION("""COMPUTED_VALUE"""),2249.85)</f>
        <v>2249.85</v>
      </c>
      <c r="M3566" s="25">
        <f>IFERROR(__xludf.DUMMYFUNCTION("""COMPUTED_VALUE"""),3871804.0)</f>
        <v>3871804</v>
      </c>
    </row>
    <row r="3567">
      <c r="A3567" s="26">
        <f>IFERROR(__xludf.DUMMYFUNCTION("""COMPUTED_VALUE"""),43640.64583333333)</f>
        <v>43640.64583</v>
      </c>
      <c r="B3567" s="9">
        <f>IFERROR(__xludf.DUMMYFUNCTION("""COMPUTED_VALUE"""),751.9)</f>
        <v>751.9</v>
      </c>
      <c r="C3567" s="9">
        <f>IFERROR(__xludf.DUMMYFUNCTION("""COMPUTED_VALUE"""),751.9)</f>
        <v>751.9</v>
      </c>
      <c r="D3567" s="9">
        <f>IFERROR(__xludf.DUMMYFUNCTION("""COMPUTED_VALUE"""),742.65)</f>
        <v>742.65</v>
      </c>
      <c r="E3567" s="9">
        <f>IFERROR(__xludf.DUMMYFUNCTION("""COMPUTED_VALUE"""),745.5)</f>
        <v>745.5</v>
      </c>
      <c r="F3567" s="9">
        <f>IFERROR(__xludf.DUMMYFUNCTION("""COMPUTED_VALUE"""),4758178.0)</f>
        <v>4758178</v>
      </c>
      <c r="H3567" s="27">
        <f>IFERROR(__xludf.DUMMYFUNCTION("""COMPUTED_VALUE"""),43640.64583333333)</f>
        <v>43640.64583</v>
      </c>
      <c r="I3567" s="25">
        <f>IFERROR(__xludf.DUMMYFUNCTION("""COMPUTED_VALUE"""),2254.15)</f>
        <v>2254.15</v>
      </c>
      <c r="J3567" s="25">
        <f>IFERROR(__xludf.DUMMYFUNCTION("""COMPUTED_VALUE"""),2280.0)</f>
        <v>2280</v>
      </c>
      <c r="K3567" s="25">
        <f>IFERROR(__xludf.DUMMYFUNCTION("""COMPUTED_VALUE"""),2250.8)</f>
        <v>2250.8</v>
      </c>
      <c r="L3567" s="25">
        <f>IFERROR(__xludf.DUMMYFUNCTION("""COMPUTED_VALUE"""),2275.5)</f>
        <v>2275.5</v>
      </c>
      <c r="M3567" s="25">
        <f>IFERROR(__xludf.DUMMYFUNCTION("""COMPUTED_VALUE"""),1382424.0)</f>
        <v>1382424</v>
      </c>
    </row>
    <row r="3568">
      <c r="A3568" s="26">
        <f>IFERROR(__xludf.DUMMYFUNCTION("""COMPUTED_VALUE"""),43641.64583333333)</f>
        <v>43641.64583</v>
      </c>
      <c r="B3568" s="9">
        <f>IFERROR(__xludf.DUMMYFUNCTION("""COMPUTED_VALUE"""),744.0)</f>
        <v>744</v>
      </c>
      <c r="C3568" s="9">
        <f>IFERROR(__xludf.DUMMYFUNCTION("""COMPUTED_VALUE"""),750.9)</f>
        <v>750.9</v>
      </c>
      <c r="D3568" s="9">
        <f>IFERROR(__xludf.DUMMYFUNCTION("""COMPUTED_VALUE"""),737.3)</f>
        <v>737.3</v>
      </c>
      <c r="E3568" s="9">
        <f>IFERROR(__xludf.DUMMYFUNCTION("""COMPUTED_VALUE"""),748.1)</f>
        <v>748.1</v>
      </c>
      <c r="F3568" s="9">
        <f>IFERROR(__xludf.DUMMYFUNCTION("""COMPUTED_VALUE"""),3677911.0)</f>
        <v>3677911</v>
      </c>
      <c r="H3568" s="27">
        <f>IFERROR(__xludf.DUMMYFUNCTION("""COMPUTED_VALUE"""),43641.64583333333)</f>
        <v>43641.64583</v>
      </c>
      <c r="I3568" s="25">
        <f>IFERROR(__xludf.DUMMYFUNCTION("""COMPUTED_VALUE"""),2270.0)</f>
        <v>2270</v>
      </c>
      <c r="J3568" s="25">
        <f>IFERROR(__xludf.DUMMYFUNCTION("""COMPUTED_VALUE"""),2274.45)</f>
        <v>2274.45</v>
      </c>
      <c r="K3568" s="25">
        <f>IFERROR(__xludf.DUMMYFUNCTION("""COMPUTED_VALUE"""),2250.5)</f>
        <v>2250.5</v>
      </c>
      <c r="L3568" s="25">
        <f>IFERROR(__xludf.DUMMYFUNCTION("""COMPUTED_VALUE"""),2267.8)</f>
        <v>2267.8</v>
      </c>
      <c r="M3568" s="25">
        <f>IFERROR(__xludf.DUMMYFUNCTION("""COMPUTED_VALUE"""),1386077.0)</f>
        <v>1386077</v>
      </c>
    </row>
    <row r="3569">
      <c r="A3569" s="26">
        <f>IFERROR(__xludf.DUMMYFUNCTION("""COMPUTED_VALUE"""),43642.64583333333)</f>
        <v>43642.64583</v>
      </c>
      <c r="B3569" s="9">
        <f>IFERROR(__xludf.DUMMYFUNCTION("""COMPUTED_VALUE"""),743.0)</f>
        <v>743</v>
      </c>
      <c r="C3569" s="9">
        <f>IFERROR(__xludf.DUMMYFUNCTION("""COMPUTED_VALUE"""),751.45)</f>
        <v>751.45</v>
      </c>
      <c r="D3569" s="9">
        <f>IFERROR(__xludf.DUMMYFUNCTION("""COMPUTED_VALUE"""),738.0)</f>
        <v>738</v>
      </c>
      <c r="E3569" s="9">
        <f>IFERROR(__xludf.DUMMYFUNCTION("""COMPUTED_VALUE"""),739.2)</f>
        <v>739.2</v>
      </c>
      <c r="F3569" s="9">
        <f>IFERROR(__xludf.DUMMYFUNCTION("""COMPUTED_VALUE"""),5447130.0)</f>
        <v>5447130</v>
      </c>
      <c r="H3569" s="27">
        <f>IFERROR(__xludf.DUMMYFUNCTION("""COMPUTED_VALUE"""),43642.64583333333)</f>
        <v>43642.64583</v>
      </c>
      <c r="I3569" s="25">
        <f>IFERROR(__xludf.DUMMYFUNCTION("""COMPUTED_VALUE"""),2265.0)</f>
        <v>2265</v>
      </c>
      <c r="J3569" s="25">
        <f>IFERROR(__xludf.DUMMYFUNCTION("""COMPUTED_VALUE"""),2266.8)</f>
        <v>2266.8</v>
      </c>
      <c r="K3569" s="25">
        <f>IFERROR(__xludf.DUMMYFUNCTION("""COMPUTED_VALUE"""),2250.0)</f>
        <v>2250</v>
      </c>
      <c r="L3569" s="25">
        <f>IFERROR(__xludf.DUMMYFUNCTION("""COMPUTED_VALUE"""),2254.2)</f>
        <v>2254.2</v>
      </c>
      <c r="M3569" s="25">
        <f>IFERROR(__xludf.DUMMYFUNCTION("""COMPUTED_VALUE"""),1762224.0)</f>
        <v>1762224</v>
      </c>
    </row>
    <row r="3570">
      <c r="A3570" s="26">
        <f>IFERROR(__xludf.DUMMYFUNCTION("""COMPUTED_VALUE"""),43643.64583333333)</f>
        <v>43643.64583</v>
      </c>
      <c r="B3570" s="9">
        <f>IFERROR(__xludf.DUMMYFUNCTION("""COMPUTED_VALUE"""),742.0)</f>
        <v>742</v>
      </c>
      <c r="C3570" s="9">
        <f>IFERROR(__xludf.DUMMYFUNCTION("""COMPUTED_VALUE"""),744.7)</f>
        <v>744.7</v>
      </c>
      <c r="D3570" s="9">
        <f>IFERROR(__xludf.DUMMYFUNCTION("""COMPUTED_VALUE"""),728.15)</f>
        <v>728.15</v>
      </c>
      <c r="E3570" s="9">
        <f>IFERROR(__xludf.DUMMYFUNCTION("""COMPUTED_VALUE"""),730.55)</f>
        <v>730.55</v>
      </c>
      <c r="F3570" s="9">
        <f>IFERROR(__xludf.DUMMYFUNCTION("""COMPUTED_VALUE"""),1.1122346E7)</f>
        <v>11122346</v>
      </c>
      <c r="H3570" s="27">
        <f>IFERROR(__xludf.DUMMYFUNCTION("""COMPUTED_VALUE"""),43643.64583333333)</f>
        <v>43643.64583</v>
      </c>
      <c r="I3570" s="25">
        <f>IFERROR(__xludf.DUMMYFUNCTION("""COMPUTED_VALUE"""),2255.0)</f>
        <v>2255</v>
      </c>
      <c r="J3570" s="25">
        <f>IFERROR(__xludf.DUMMYFUNCTION("""COMPUTED_VALUE"""),2264.0)</f>
        <v>2264</v>
      </c>
      <c r="K3570" s="25">
        <f>IFERROR(__xludf.DUMMYFUNCTION("""COMPUTED_VALUE"""),2241.3)</f>
        <v>2241.3</v>
      </c>
      <c r="L3570" s="25">
        <f>IFERROR(__xludf.DUMMYFUNCTION("""COMPUTED_VALUE"""),2252.55)</f>
        <v>2252.55</v>
      </c>
      <c r="M3570" s="25">
        <f>IFERROR(__xludf.DUMMYFUNCTION("""COMPUTED_VALUE"""),2813464.0)</f>
        <v>2813464</v>
      </c>
    </row>
    <row r="3571">
      <c r="A3571" s="26">
        <f>IFERROR(__xludf.DUMMYFUNCTION("""COMPUTED_VALUE"""),43644.64583333333)</f>
        <v>43644.64583</v>
      </c>
      <c r="B3571" s="9">
        <f>IFERROR(__xludf.DUMMYFUNCTION("""COMPUTED_VALUE"""),735.5)</f>
        <v>735.5</v>
      </c>
      <c r="C3571" s="9">
        <f>IFERROR(__xludf.DUMMYFUNCTION("""COMPUTED_VALUE"""),739.5)</f>
        <v>739.5</v>
      </c>
      <c r="D3571" s="9">
        <f>IFERROR(__xludf.DUMMYFUNCTION("""COMPUTED_VALUE"""),728.5)</f>
        <v>728.5</v>
      </c>
      <c r="E3571" s="9">
        <f>IFERROR(__xludf.DUMMYFUNCTION("""COMPUTED_VALUE"""),732.0)</f>
        <v>732</v>
      </c>
      <c r="F3571" s="9">
        <f>IFERROR(__xludf.DUMMYFUNCTION("""COMPUTED_VALUE"""),5919494.0)</f>
        <v>5919494</v>
      </c>
      <c r="H3571" s="27">
        <f>IFERROR(__xludf.DUMMYFUNCTION("""COMPUTED_VALUE"""),43644.64583333333)</f>
        <v>43644.64583</v>
      </c>
      <c r="I3571" s="25">
        <f>IFERROR(__xludf.DUMMYFUNCTION("""COMPUTED_VALUE"""),2260.0)</f>
        <v>2260</v>
      </c>
      <c r="J3571" s="25">
        <f>IFERROR(__xludf.DUMMYFUNCTION("""COMPUTED_VALUE"""),2261.95)</f>
        <v>2261.95</v>
      </c>
      <c r="K3571" s="25">
        <f>IFERROR(__xludf.DUMMYFUNCTION("""COMPUTED_VALUE"""),2222.5)</f>
        <v>2222.5</v>
      </c>
      <c r="L3571" s="25">
        <f>IFERROR(__xludf.DUMMYFUNCTION("""COMPUTED_VALUE"""),2227.2)</f>
        <v>2227.2</v>
      </c>
      <c r="M3571" s="25">
        <f>IFERROR(__xludf.DUMMYFUNCTION("""COMPUTED_VALUE"""),2372928.0)</f>
        <v>2372928</v>
      </c>
    </row>
    <row r="3572">
      <c r="A3572" s="26">
        <f>IFERROR(__xludf.DUMMYFUNCTION("""COMPUTED_VALUE"""),43647.64583333333)</f>
        <v>43647.64583</v>
      </c>
      <c r="B3572" s="9">
        <f>IFERROR(__xludf.DUMMYFUNCTION("""COMPUTED_VALUE"""),735.0)</f>
        <v>735</v>
      </c>
      <c r="C3572" s="9">
        <f>IFERROR(__xludf.DUMMYFUNCTION("""COMPUTED_VALUE"""),737.5)</f>
        <v>737.5</v>
      </c>
      <c r="D3572" s="9">
        <f>IFERROR(__xludf.DUMMYFUNCTION("""COMPUTED_VALUE"""),729.85)</f>
        <v>729.85</v>
      </c>
      <c r="E3572" s="9">
        <f>IFERROR(__xludf.DUMMYFUNCTION("""COMPUTED_VALUE"""),731.3)</f>
        <v>731.3</v>
      </c>
      <c r="F3572" s="9">
        <f>IFERROR(__xludf.DUMMYFUNCTION("""COMPUTED_VALUE"""),3224968.0)</f>
        <v>3224968</v>
      </c>
      <c r="H3572" s="27">
        <f>IFERROR(__xludf.DUMMYFUNCTION("""COMPUTED_VALUE"""),43647.64583333333)</f>
        <v>43647.64583</v>
      </c>
      <c r="I3572" s="25">
        <f>IFERROR(__xludf.DUMMYFUNCTION("""COMPUTED_VALUE"""),2235.0)</f>
        <v>2235</v>
      </c>
      <c r="J3572" s="25">
        <f>IFERROR(__xludf.DUMMYFUNCTION("""COMPUTED_VALUE"""),2255.0)</f>
        <v>2255</v>
      </c>
      <c r="K3572" s="25">
        <f>IFERROR(__xludf.DUMMYFUNCTION("""COMPUTED_VALUE"""),2206.6)</f>
        <v>2206.6</v>
      </c>
      <c r="L3572" s="25">
        <f>IFERROR(__xludf.DUMMYFUNCTION("""COMPUTED_VALUE"""),2239.55)</f>
        <v>2239.55</v>
      </c>
      <c r="M3572" s="25">
        <f>IFERROR(__xludf.DUMMYFUNCTION("""COMPUTED_VALUE"""),2769940.0)</f>
        <v>2769940</v>
      </c>
    </row>
    <row r="3573">
      <c r="A3573" s="26">
        <f>IFERROR(__xludf.DUMMYFUNCTION("""COMPUTED_VALUE"""),43648.64583333333)</f>
        <v>43648.64583</v>
      </c>
      <c r="B3573" s="9">
        <f>IFERROR(__xludf.DUMMYFUNCTION("""COMPUTED_VALUE"""),734.0)</f>
        <v>734</v>
      </c>
      <c r="C3573" s="9">
        <f>IFERROR(__xludf.DUMMYFUNCTION("""COMPUTED_VALUE"""),741.65)</f>
        <v>741.65</v>
      </c>
      <c r="D3573" s="9">
        <f>IFERROR(__xludf.DUMMYFUNCTION("""COMPUTED_VALUE"""),730.1)</f>
        <v>730.1</v>
      </c>
      <c r="E3573" s="9">
        <f>IFERROR(__xludf.DUMMYFUNCTION("""COMPUTED_VALUE"""),740.0)</f>
        <v>740</v>
      </c>
      <c r="F3573" s="9">
        <f>IFERROR(__xludf.DUMMYFUNCTION("""COMPUTED_VALUE"""),4837606.0)</f>
        <v>4837606</v>
      </c>
      <c r="H3573" s="27">
        <f>IFERROR(__xludf.DUMMYFUNCTION("""COMPUTED_VALUE"""),43648.64583333333)</f>
        <v>43648.64583</v>
      </c>
      <c r="I3573" s="25">
        <f>IFERROR(__xludf.DUMMYFUNCTION("""COMPUTED_VALUE"""),2244.9)</f>
        <v>2244.9</v>
      </c>
      <c r="J3573" s="25">
        <f>IFERROR(__xludf.DUMMYFUNCTION("""COMPUTED_VALUE"""),2257.0)</f>
        <v>2257</v>
      </c>
      <c r="K3573" s="25">
        <f>IFERROR(__xludf.DUMMYFUNCTION("""COMPUTED_VALUE"""),2216.45)</f>
        <v>2216.45</v>
      </c>
      <c r="L3573" s="25">
        <f>IFERROR(__xludf.DUMMYFUNCTION("""COMPUTED_VALUE"""),2252.1)</f>
        <v>2252.1</v>
      </c>
      <c r="M3573" s="25">
        <f>IFERROR(__xludf.DUMMYFUNCTION("""COMPUTED_VALUE"""),1771746.0)</f>
        <v>1771746</v>
      </c>
    </row>
    <row r="3574">
      <c r="A3574" s="26">
        <f>IFERROR(__xludf.DUMMYFUNCTION("""COMPUTED_VALUE"""),43649.64583333333)</f>
        <v>43649.64583</v>
      </c>
      <c r="B3574" s="9">
        <f>IFERROR(__xludf.DUMMYFUNCTION("""COMPUTED_VALUE"""),741.0)</f>
        <v>741</v>
      </c>
      <c r="C3574" s="9">
        <f>IFERROR(__xludf.DUMMYFUNCTION("""COMPUTED_VALUE"""),743.2)</f>
        <v>743.2</v>
      </c>
      <c r="D3574" s="9">
        <f>IFERROR(__xludf.DUMMYFUNCTION("""COMPUTED_VALUE"""),730.0)</f>
        <v>730</v>
      </c>
      <c r="E3574" s="9">
        <f>IFERROR(__xludf.DUMMYFUNCTION("""COMPUTED_VALUE"""),731.3)</f>
        <v>731.3</v>
      </c>
      <c r="F3574" s="9">
        <f>IFERROR(__xludf.DUMMYFUNCTION("""COMPUTED_VALUE"""),5958379.0)</f>
        <v>5958379</v>
      </c>
      <c r="H3574" s="27">
        <f>IFERROR(__xludf.DUMMYFUNCTION("""COMPUTED_VALUE"""),43649.64583333333)</f>
        <v>43649.64583</v>
      </c>
      <c r="I3574" s="25">
        <f>IFERROR(__xludf.DUMMYFUNCTION("""COMPUTED_VALUE"""),2252.2)</f>
        <v>2252.2</v>
      </c>
      <c r="J3574" s="25">
        <f>IFERROR(__xludf.DUMMYFUNCTION("""COMPUTED_VALUE"""),2258.8)</f>
        <v>2258.8</v>
      </c>
      <c r="K3574" s="25">
        <f>IFERROR(__xludf.DUMMYFUNCTION("""COMPUTED_VALUE"""),2232.0)</f>
        <v>2232</v>
      </c>
      <c r="L3574" s="25">
        <f>IFERROR(__xludf.DUMMYFUNCTION("""COMPUTED_VALUE"""),2237.65)</f>
        <v>2237.65</v>
      </c>
      <c r="M3574" s="25">
        <f>IFERROR(__xludf.DUMMYFUNCTION("""COMPUTED_VALUE"""),1656881.0)</f>
        <v>1656881</v>
      </c>
    </row>
    <row r="3575">
      <c r="A3575" s="26">
        <f>IFERROR(__xludf.DUMMYFUNCTION("""COMPUTED_VALUE"""),43650.64583333333)</f>
        <v>43650.64583</v>
      </c>
      <c r="B3575" s="9">
        <f>IFERROR(__xludf.DUMMYFUNCTION("""COMPUTED_VALUE"""),729.0)</f>
        <v>729</v>
      </c>
      <c r="C3575" s="9">
        <f>IFERROR(__xludf.DUMMYFUNCTION("""COMPUTED_VALUE"""),736.4)</f>
        <v>736.4</v>
      </c>
      <c r="D3575" s="9">
        <f>IFERROR(__xludf.DUMMYFUNCTION("""COMPUTED_VALUE"""),728.6)</f>
        <v>728.6</v>
      </c>
      <c r="E3575" s="9">
        <f>IFERROR(__xludf.DUMMYFUNCTION("""COMPUTED_VALUE"""),733.8)</f>
        <v>733.8</v>
      </c>
      <c r="F3575" s="9">
        <f>IFERROR(__xludf.DUMMYFUNCTION("""COMPUTED_VALUE"""),3274064.0)</f>
        <v>3274064</v>
      </c>
      <c r="H3575" s="27">
        <f>IFERROR(__xludf.DUMMYFUNCTION("""COMPUTED_VALUE"""),43650.64583333333)</f>
        <v>43650.64583</v>
      </c>
      <c r="I3575" s="25">
        <f>IFERROR(__xludf.DUMMYFUNCTION("""COMPUTED_VALUE"""),2234.0)</f>
        <v>2234</v>
      </c>
      <c r="J3575" s="25">
        <f>IFERROR(__xludf.DUMMYFUNCTION("""COMPUTED_VALUE"""),2252.0)</f>
        <v>2252</v>
      </c>
      <c r="K3575" s="25">
        <f>IFERROR(__xludf.DUMMYFUNCTION("""COMPUTED_VALUE"""),2230.1)</f>
        <v>2230.1</v>
      </c>
      <c r="L3575" s="25">
        <f>IFERROR(__xludf.DUMMYFUNCTION("""COMPUTED_VALUE"""),2242.65)</f>
        <v>2242.65</v>
      </c>
      <c r="M3575" s="25">
        <f>IFERROR(__xludf.DUMMYFUNCTION("""COMPUTED_VALUE"""),984140.0)</f>
        <v>984140</v>
      </c>
    </row>
    <row r="3576">
      <c r="A3576" s="26">
        <f>IFERROR(__xludf.DUMMYFUNCTION("""COMPUTED_VALUE"""),43651.64583333333)</f>
        <v>43651.64583</v>
      </c>
      <c r="B3576" s="9">
        <f>IFERROR(__xludf.DUMMYFUNCTION("""COMPUTED_VALUE"""),735.0)</f>
        <v>735</v>
      </c>
      <c r="C3576" s="9">
        <f>IFERROR(__xludf.DUMMYFUNCTION("""COMPUTED_VALUE"""),736.4)</f>
        <v>736.4</v>
      </c>
      <c r="D3576" s="9">
        <f>IFERROR(__xludf.DUMMYFUNCTION("""COMPUTED_VALUE"""),713.5)</f>
        <v>713.5</v>
      </c>
      <c r="E3576" s="9">
        <f>IFERROR(__xludf.DUMMYFUNCTION("""COMPUTED_VALUE"""),718.0)</f>
        <v>718</v>
      </c>
      <c r="F3576" s="9">
        <f>IFERROR(__xludf.DUMMYFUNCTION("""COMPUTED_VALUE"""),4926289.0)</f>
        <v>4926289</v>
      </c>
      <c r="H3576" s="27">
        <f>IFERROR(__xludf.DUMMYFUNCTION("""COMPUTED_VALUE"""),43651.64583333333)</f>
        <v>43651.64583</v>
      </c>
      <c r="I3576" s="25">
        <f>IFERROR(__xludf.DUMMYFUNCTION("""COMPUTED_VALUE"""),2247.0)</f>
        <v>2247</v>
      </c>
      <c r="J3576" s="25">
        <f>IFERROR(__xludf.DUMMYFUNCTION("""COMPUTED_VALUE"""),2250.0)</f>
        <v>2250</v>
      </c>
      <c r="K3576" s="25">
        <f>IFERROR(__xludf.DUMMYFUNCTION("""COMPUTED_VALUE"""),2140.0)</f>
        <v>2140</v>
      </c>
      <c r="L3576" s="25">
        <f>IFERROR(__xludf.DUMMYFUNCTION("""COMPUTED_VALUE"""),2163.1)</f>
        <v>2163.1</v>
      </c>
      <c r="M3576" s="25">
        <f>IFERROR(__xludf.DUMMYFUNCTION("""COMPUTED_VALUE"""),4088470.0)</f>
        <v>4088470</v>
      </c>
    </row>
    <row r="3577">
      <c r="A3577" s="26">
        <f>IFERROR(__xludf.DUMMYFUNCTION("""COMPUTED_VALUE"""),43654.64583333333)</f>
        <v>43654.64583</v>
      </c>
      <c r="B3577" s="9">
        <f>IFERROR(__xludf.DUMMYFUNCTION("""COMPUTED_VALUE"""),716.45)</f>
        <v>716.45</v>
      </c>
      <c r="C3577" s="9">
        <f>IFERROR(__xludf.DUMMYFUNCTION("""COMPUTED_VALUE"""),724.95)</f>
        <v>724.95</v>
      </c>
      <c r="D3577" s="9">
        <f>IFERROR(__xludf.DUMMYFUNCTION("""COMPUTED_VALUE"""),712.3)</f>
        <v>712.3</v>
      </c>
      <c r="E3577" s="9">
        <f>IFERROR(__xludf.DUMMYFUNCTION("""COMPUTED_VALUE"""),717.6)</f>
        <v>717.6</v>
      </c>
      <c r="F3577" s="9">
        <f>IFERROR(__xludf.DUMMYFUNCTION("""COMPUTED_VALUE"""),7177092.0)</f>
        <v>7177092</v>
      </c>
      <c r="H3577" s="27">
        <f>IFERROR(__xludf.DUMMYFUNCTION("""COMPUTED_VALUE"""),43654.64583333333)</f>
        <v>43654.64583</v>
      </c>
      <c r="I3577" s="25">
        <f>IFERROR(__xludf.DUMMYFUNCTION("""COMPUTED_VALUE"""),2149.0)</f>
        <v>2149</v>
      </c>
      <c r="J3577" s="25">
        <f>IFERROR(__xludf.DUMMYFUNCTION("""COMPUTED_VALUE"""),2188.8)</f>
        <v>2188.8</v>
      </c>
      <c r="K3577" s="25">
        <f>IFERROR(__xludf.DUMMYFUNCTION("""COMPUTED_VALUE"""),2132.1)</f>
        <v>2132.1</v>
      </c>
      <c r="L3577" s="25">
        <f>IFERROR(__xludf.DUMMYFUNCTION("""COMPUTED_VALUE"""),2175.4)</f>
        <v>2175.4</v>
      </c>
      <c r="M3577" s="25">
        <f>IFERROR(__xludf.DUMMYFUNCTION("""COMPUTED_VALUE"""),2788062.0)</f>
        <v>2788062</v>
      </c>
    </row>
    <row r="3578">
      <c r="A3578" s="26">
        <f>IFERROR(__xludf.DUMMYFUNCTION("""COMPUTED_VALUE"""),43655.64583333333)</f>
        <v>43655.64583</v>
      </c>
      <c r="B3578" s="9">
        <f>IFERROR(__xludf.DUMMYFUNCTION("""COMPUTED_VALUE"""),718.0)</f>
        <v>718</v>
      </c>
      <c r="C3578" s="9">
        <f>IFERROR(__xludf.DUMMYFUNCTION("""COMPUTED_VALUE"""),719.85)</f>
        <v>719.85</v>
      </c>
      <c r="D3578" s="9">
        <f>IFERROR(__xludf.DUMMYFUNCTION("""COMPUTED_VALUE"""),709.05)</f>
        <v>709.05</v>
      </c>
      <c r="E3578" s="9">
        <f>IFERROR(__xludf.DUMMYFUNCTION("""COMPUTED_VALUE"""),715.5)</f>
        <v>715.5</v>
      </c>
      <c r="F3578" s="9">
        <f>IFERROR(__xludf.DUMMYFUNCTION("""COMPUTED_VALUE"""),5022638.0)</f>
        <v>5022638</v>
      </c>
      <c r="H3578" s="27">
        <f>IFERROR(__xludf.DUMMYFUNCTION("""COMPUTED_VALUE"""),43655.64583333333)</f>
        <v>43655.64583</v>
      </c>
      <c r="I3578" s="25">
        <f>IFERROR(__xludf.DUMMYFUNCTION("""COMPUTED_VALUE"""),2174.0)</f>
        <v>2174</v>
      </c>
      <c r="J3578" s="25">
        <f>IFERROR(__xludf.DUMMYFUNCTION("""COMPUTED_VALUE"""),2174.4)</f>
        <v>2174.4</v>
      </c>
      <c r="K3578" s="25">
        <f>IFERROR(__xludf.DUMMYFUNCTION("""COMPUTED_VALUE"""),2104.55)</f>
        <v>2104.55</v>
      </c>
      <c r="L3578" s="25">
        <f>IFERROR(__xludf.DUMMYFUNCTION("""COMPUTED_VALUE"""),2133.35)</f>
        <v>2133.35</v>
      </c>
      <c r="M3578" s="25">
        <f>IFERROR(__xludf.DUMMYFUNCTION("""COMPUTED_VALUE"""),3977224.0)</f>
        <v>3977224</v>
      </c>
    </row>
    <row r="3579">
      <c r="A3579" s="26">
        <f>IFERROR(__xludf.DUMMYFUNCTION("""COMPUTED_VALUE"""),43656.64583333333)</f>
        <v>43656.64583</v>
      </c>
      <c r="B3579" s="9">
        <f>IFERROR(__xludf.DUMMYFUNCTION("""COMPUTED_VALUE"""),709.0)</f>
        <v>709</v>
      </c>
      <c r="C3579" s="9">
        <f>IFERROR(__xludf.DUMMYFUNCTION("""COMPUTED_VALUE"""),722.7)</f>
        <v>722.7</v>
      </c>
      <c r="D3579" s="9">
        <f>IFERROR(__xludf.DUMMYFUNCTION("""COMPUTED_VALUE"""),706.5)</f>
        <v>706.5</v>
      </c>
      <c r="E3579" s="9">
        <f>IFERROR(__xludf.DUMMYFUNCTION("""COMPUTED_VALUE"""),717.25)</f>
        <v>717.25</v>
      </c>
      <c r="F3579" s="9">
        <f>IFERROR(__xludf.DUMMYFUNCTION("""COMPUTED_VALUE"""),7573816.0)</f>
        <v>7573816</v>
      </c>
      <c r="H3579" s="27">
        <f>IFERROR(__xludf.DUMMYFUNCTION("""COMPUTED_VALUE"""),43656.64583333333)</f>
        <v>43656.64583</v>
      </c>
      <c r="I3579" s="25">
        <f>IFERROR(__xludf.DUMMYFUNCTION("""COMPUTED_VALUE"""),2080.0)</f>
        <v>2080</v>
      </c>
      <c r="J3579" s="25">
        <f>IFERROR(__xludf.DUMMYFUNCTION("""COMPUTED_VALUE"""),2127.85)</f>
        <v>2127.85</v>
      </c>
      <c r="K3579" s="25">
        <f>IFERROR(__xludf.DUMMYFUNCTION("""COMPUTED_VALUE"""),2071.3)</f>
        <v>2071.3</v>
      </c>
      <c r="L3579" s="25">
        <f>IFERROR(__xludf.DUMMYFUNCTION("""COMPUTED_VALUE"""),2108.2)</f>
        <v>2108.2</v>
      </c>
      <c r="M3579" s="25">
        <f>IFERROR(__xludf.DUMMYFUNCTION("""COMPUTED_VALUE"""),6343581.0)</f>
        <v>6343581</v>
      </c>
    </row>
    <row r="3580">
      <c r="A3580" s="26">
        <f>IFERROR(__xludf.DUMMYFUNCTION("""COMPUTED_VALUE"""),43657.64583333333)</f>
        <v>43657.64583</v>
      </c>
      <c r="B3580" s="9">
        <f>IFERROR(__xludf.DUMMYFUNCTION("""COMPUTED_VALUE"""),719.45)</f>
        <v>719.45</v>
      </c>
      <c r="C3580" s="9">
        <f>IFERROR(__xludf.DUMMYFUNCTION("""COMPUTED_VALUE"""),723.5)</f>
        <v>723.5</v>
      </c>
      <c r="D3580" s="9">
        <f>IFERROR(__xludf.DUMMYFUNCTION("""COMPUTED_VALUE"""),709.6)</f>
        <v>709.6</v>
      </c>
      <c r="E3580" s="9">
        <f>IFERROR(__xludf.DUMMYFUNCTION("""COMPUTED_VALUE"""),721.5)</f>
        <v>721.5</v>
      </c>
      <c r="F3580" s="9">
        <f>IFERROR(__xludf.DUMMYFUNCTION("""COMPUTED_VALUE"""),6252688.0)</f>
        <v>6252688</v>
      </c>
      <c r="H3580" s="27">
        <f>IFERROR(__xludf.DUMMYFUNCTION("""COMPUTED_VALUE"""),43657.64583333333)</f>
        <v>43657.64583</v>
      </c>
      <c r="I3580" s="25">
        <f>IFERROR(__xludf.DUMMYFUNCTION("""COMPUTED_VALUE"""),2128.0)</f>
        <v>2128</v>
      </c>
      <c r="J3580" s="25">
        <f>IFERROR(__xludf.DUMMYFUNCTION("""COMPUTED_VALUE"""),2129.0)</f>
        <v>2129</v>
      </c>
      <c r="K3580" s="25">
        <f>IFERROR(__xludf.DUMMYFUNCTION("""COMPUTED_VALUE"""),2086.05)</f>
        <v>2086.05</v>
      </c>
      <c r="L3580" s="25">
        <f>IFERROR(__xludf.DUMMYFUNCTION("""COMPUTED_VALUE"""),2102.55)</f>
        <v>2102.55</v>
      </c>
      <c r="M3580" s="25">
        <f>IFERROR(__xludf.DUMMYFUNCTION("""COMPUTED_VALUE"""),2400346.0)</f>
        <v>2400346</v>
      </c>
    </row>
    <row r="3581">
      <c r="A3581" s="26">
        <f>IFERROR(__xludf.DUMMYFUNCTION("""COMPUTED_VALUE"""),43658.64583333333)</f>
        <v>43658.64583</v>
      </c>
      <c r="B3581" s="9">
        <f>IFERROR(__xludf.DUMMYFUNCTION("""COMPUTED_VALUE"""),722.5)</f>
        <v>722.5</v>
      </c>
      <c r="C3581" s="9">
        <f>IFERROR(__xludf.DUMMYFUNCTION("""COMPUTED_VALUE"""),730.6)</f>
        <v>730.6</v>
      </c>
      <c r="D3581" s="9">
        <f>IFERROR(__xludf.DUMMYFUNCTION("""COMPUTED_VALUE"""),719.6)</f>
        <v>719.6</v>
      </c>
      <c r="E3581" s="9">
        <f>IFERROR(__xludf.DUMMYFUNCTION("""COMPUTED_VALUE"""),726.75)</f>
        <v>726.75</v>
      </c>
      <c r="F3581" s="9">
        <f>IFERROR(__xludf.DUMMYFUNCTION("""COMPUTED_VALUE"""),7874441.0)</f>
        <v>7874441</v>
      </c>
      <c r="H3581" s="27">
        <f>IFERROR(__xludf.DUMMYFUNCTION("""COMPUTED_VALUE"""),43658.64583333333)</f>
        <v>43658.64583</v>
      </c>
      <c r="I3581" s="25">
        <f>IFERROR(__xludf.DUMMYFUNCTION("""COMPUTED_VALUE"""),2102.1)</f>
        <v>2102.1</v>
      </c>
      <c r="J3581" s="25">
        <f>IFERROR(__xludf.DUMMYFUNCTION("""COMPUTED_VALUE"""),2119.75)</f>
        <v>2119.75</v>
      </c>
      <c r="K3581" s="25">
        <f>IFERROR(__xludf.DUMMYFUNCTION("""COMPUTED_VALUE"""),2093.1)</f>
        <v>2093.1</v>
      </c>
      <c r="L3581" s="25">
        <f>IFERROR(__xludf.DUMMYFUNCTION("""COMPUTED_VALUE"""),2107.6)</f>
        <v>2107.6</v>
      </c>
      <c r="M3581" s="25">
        <f>IFERROR(__xludf.DUMMYFUNCTION("""COMPUTED_VALUE"""),1560725.0)</f>
        <v>1560725</v>
      </c>
    </row>
    <row r="3582">
      <c r="A3582" s="26">
        <f>IFERROR(__xludf.DUMMYFUNCTION("""COMPUTED_VALUE"""),43661.64583333333)</f>
        <v>43661.64583</v>
      </c>
      <c r="B3582" s="9">
        <f>IFERROR(__xludf.DUMMYFUNCTION("""COMPUTED_VALUE"""),763.0)</f>
        <v>763</v>
      </c>
      <c r="C3582" s="9">
        <f>IFERROR(__xludf.DUMMYFUNCTION("""COMPUTED_VALUE"""),781.65)</f>
        <v>781.65</v>
      </c>
      <c r="D3582" s="9">
        <f>IFERROR(__xludf.DUMMYFUNCTION("""COMPUTED_VALUE"""),754.2)</f>
        <v>754.2</v>
      </c>
      <c r="E3582" s="9">
        <f>IFERROR(__xludf.DUMMYFUNCTION("""COMPUTED_VALUE"""),779.35)</f>
        <v>779.35</v>
      </c>
      <c r="F3582" s="9">
        <f>IFERROR(__xludf.DUMMYFUNCTION("""COMPUTED_VALUE"""),3.1064152E7)</f>
        <v>31064152</v>
      </c>
      <c r="H3582" s="27">
        <f>IFERROR(__xludf.DUMMYFUNCTION("""COMPUTED_VALUE"""),43661.64583333333)</f>
        <v>43661.64583</v>
      </c>
      <c r="I3582" s="25">
        <f>IFERROR(__xludf.DUMMYFUNCTION("""COMPUTED_VALUE"""),2125.0)</f>
        <v>2125</v>
      </c>
      <c r="J3582" s="25">
        <f>IFERROR(__xludf.DUMMYFUNCTION("""COMPUTED_VALUE"""),2153.6)</f>
        <v>2153.6</v>
      </c>
      <c r="K3582" s="25">
        <f>IFERROR(__xludf.DUMMYFUNCTION("""COMPUTED_VALUE"""),2098.0)</f>
        <v>2098</v>
      </c>
      <c r="L3582" s="25">
        <f>IFERROR(__xludf.DUMMYFUNCTION("""COMPUTED_VALUE"""),2145.7)</f>
        <v>2145.7</v>
      </c>
      <c r="M3582" s="25">
        <f>IFERROR(__xludf.DUMMYFUNCTION("""COMPUTED_VALUE"""),2900415.0)</f>
        <v>2900415</v>
      </c>
    </row>
    <row r="3583">
      <c r="A3583" s="26">
        <f>IFERROR(__xludf.DUMMYFUNCTION("""COMPUTED_VALUE"""),43662.64583333333)</f>
        <v>43662.64583</v>
      </c>
      <c r="B3583" s="9">
        <f>IFERROR(__xludf.DUMMYFUNCTION("""COMPUTED_VALUE"""),777.0)</f>
        <v>777</v>
      </c>
      <c r="C3583" s="9">
        <f>IFERROR(__xludf.DUMMYFUNCTION("""COMPUTED_VALUE"""),787.8)</f>
        <v>787.8</v>
      </c>
      <c r="D3583" s="9">
        <f>IFERROR(__xludf.DUMMYFUNCTION("""COMPUTED_VALUE"""),776.0)</f>
        <v>776</v>
      </c>
      <c r="E3583" s="9">
        <f>IFERROR(__xludf.DUMMYFUNCTION("""COMPUTED_VALUE"""),784.85)</f>
        <v>784.85</v>
      </c>
      <c r="F3583" s="9">
        <f>IFERROR(__xludf.DUMMYFUNCTION("""COMPUTED_VALUE"""),9924322.0)</f>
        <v>9924322</v>
      </c>
      <c r="H3583" s="27">
        <f>IFERROR(__xludf.DUMMYFUNCTION("""COMPUTED_VALUE"""),43662.64583333333)</f>
        <v>43662.64583</v>
      </c>
      <c r="I3583" s="25">
        <f>IFERROR(__xludf.DUMMYFUNCTION("""COMPUTED_VALUE"""),2126.0)</f>
        <v>2126</v>
      </c>
      <c r="J3583" s="25">
        <f>IFERROR(__xludf.DUMMYFUNCTION("""COMPUTED_VALUE"""),2132.5)</f>
        <v>2132.5</v>
      </c>
      <c r="K3583" s="25">
        <f>IFERROR(__xludf.DUMMYFUNCTION("""COMPUTED_VALUE"""),2100.0)</f>
        <v>2100</v>
      </c>
      <c r="L3583" s="25">
        <f>IFERROR(__xludf.DUMMYFUNCTION("""COMPUTED_VALUE"""),2106.0)</f>
        <v>2106</v>
      </c>
      <c r="M3583" s="25">
        <f>IFERROR(__xludf.DUMMYFUNCTION("""COMPUTED_VALUE"""),2735399.0)</f>
        <v>2735399</v>
      </c>
    </row>
    <row r="3584">
      <c r="A3584" s="26">
        <f>IFERROR(__xludf.DUMMYFUNCTION("""COMPUTED_VALUE"""),43663.64583333333)</f>
        <v>43663.64583</v>
      </c>
      <c r="B3584" s="9">
        <f>IFERROR(__xludf.DUMMYFUNCTION("""COMPUTED_VALUE"""),783.9)</f>
        <v>783.9</v>
      </c>
      <c r="C3584" s="9">
        <f>IFERROR(__xludf.DUMMYFUNCTION("""COMPUTED_VALUE"""),795.0)</f>
        <v>795</v>
      </c>
      <c r="D3584" s="9">
        <f>IFERROR(__xludf.DUMMYFUNCTION("""COMPUTED_VALUE"""),776.75)</f>
        <v>776.75</v>
      </c>
      <c r="E3584" s="9">
        <f>IFERROR(__xludf.DUMMYFUNCTION("""COMPUTED_VALUE"""),794.15)</f>
        <v>794.15</v>
      </c>
      <c r="F3584" s="9">
        <f>IFERROR(__xludf.DUMMYFUNCTION("""COMPUTED_VALUE"""),6754348.0)</f>
        <v>6754348</v>
      </c>
      <c r="H3584" s="27">
        <f>IFERROR(__xludf.DUMMYFUNCTION("""COMPUTED_VALUE"""),43663.64583333333)</f>
        <v>43663.64583</v>
      </c>
      <c r="I3584" s="25">
        <f>IFERROR(__xludf.DUMMYFUNCTION("""COMPUTED_VALUE"""),2108.0)</f>
        <v>2108</v>
      </c>
      <c r="J3584" s="25">
        <f>IFERROR(__xludf.DUMMYFUNCTION("""COMPUTED_VALUE"""),2125.0)</f>
        <v>2125</v>
      </c>
      <c r="K3584" s="25">
        <f>IFERROR(__xludf.DUMMYFUNCTION("""COMPUTED_VALUE"""),2092.1)</f>
        <v>2092.1</v>
      </c>
      <c r="L3584" s="25">
        <f>IFERROR(__xludf.DUMMYFUNCTION("""COMPUTED_VALUE"""),2117.25)</f>
        <v>2117.25</v>
      </c>
      <c r="M3584" s="25">
        <f>IFERROR(__xludf.DUMMYFUNCTION("""COMPUTED_VALUE"""),1802969.0)</f>
        <v>1802969</v>
      </c>
    </row>
    <row r="3585">
      <c r="A3585" s="26">
        <f>IFERROR(__xludf.DUMMYFUNCTION("""COMPUTED_VALUE"""),43664.64583333333)</f>
        <v>43664.64583</v>
      </c>
      <c r="B3585" s="9">
        <f>IFERROR(__xludf.DUMMYFUNCTION("""COMPUTED_VALUE"""),789.05)</f>
        <v>789.05</v>
      </c>
      <c r="C3585" s="9">
        <f>IFERROR(__xludf.DUMMYFUNCTION("""COMPUTED_VALUE"""),798.5)</f>
        <v>798.5</v>
      </c>
      <c r="D3585" s="9">
        <f>IFERROR(__xludf.DUMMYFUNCTION("""COMPUTED_VALUE"""),786.2)</f>
        <v>786.2</v>
      </c>
      <c r="E3585" s="9">
        <f>IFERROR(__xludf.DUMMYFUNCTION("""COMPUTED_VALUE"""),792.7)</f>
        <v>792.7</v>
      </c>
      <c r="F3585" s="9">
        <f>IFERROR(__xludf.DUMMYFUNCTION("""COMPUTED_VALUE"""),6534471.0)</f>
        <v>6534471</v>
      </c>
      <c r="H3585" s="27">
        <f>IFERROR(__xludf.DUMMYFUNCTION("""COMPUTED_VALUE"""),43664.64583333333)</f>
        <v>43664.64583</v>
      </c>
      <c r="I3585" s="25">
        <f>IFERROR(__xludf.DUMMYFUNCTION("""COMPUTED_VALUE"""),2116.2)</f>
        <v>2116.2</v>
      </c>
      <c r="J3585" s="25">
        <f>IFERROR(__xludf.DUMMYFUNCTION("""COMPUTED_VALUE"""),2116.2)</f>
        <v>2116.2</v>
      </c>
      <c r="K3585" s="25">
        <f>IFERROR(__xludf.DUMMYFUNCTION("""COMPUTED_VALUE"""),2060.0)</f>
        <v>2060</v>
      </c>
      <c r="L3585" s="25">
        <f>IFERROR(__xludf.DUMMYFUNCTION("""COMPUTED_VALUE"""),2065.95)</f>
        <v>2065.95</v>
      </c>
      <c r="M3585" s="25">
        <f>IFERROR(__xludf.DUMMYFUNCTION("""COMPUTED_VALUE"""),3072096.0)</f>
        <v>3072096</v>
      </c>
    </row>
    <row r="3586">
      <c r="A3586" s="26">
        <f>IFERROR(__xludf.DUMMYFUNCTION("""COMPUTED_VALUE"""),43665.64583333333)</f>
        <v>43665.64583</v>
      </c>
      <c r="B3586" s="9">
        <f>IFERROR(__xludf.DUMMYFUNCTION("""COMPUTED_VALUE"""),788.7)</f>
        <v>788.7</v>
      </c>
      <c r="C3586" s="9">
        <f>IFERROR(__xludf.DUMMYFUNCTION("""COMPUTED_VALUE"""),794.5)</f>
        <v>794.5</v>
      </c>
      <c r="D3586" s="9">
        <f>IFERROR(__xludf.DUMMYFUNCTION("""COMPUTED_VALUE"""),781.25)</f>
        <v>781.25</v>
      </c>
      <c r="E3586" s="9">
        <f>IFERROR(__xludf.DUMMYFUNCTION("""COMPUTED_VALUE"""),785.4)</f>
        <v>785.4</v>
      </c>
      <c r="F3586" s="9">
        <f>IFERROR(__xludf.DUMMYFUNCTION("""COMPUTED_VALUE"""),6812754.0)</f>
        <v>6812754</v>
      </c>
      <c r="H3586" s="27">
        <f>IFERROR(__xludf.DUMMYFUNCTION("""COMPUTED_VALUE"""),43665.64583333333)</f>
        <v>43665.64583</v>
      </c>
      <c r="I3586" s="25">
        <f>IFERROR(__xludf.DUMMYFUNCTION("""COMPUTED_VALUE"""),2077.0)</f>
        <v>2077</v>
      </c>
      <c r="J3586" s="25">
        <f>IFERROR(__xludf.DUMMYFUNCTION("""COMPUTED_VALUE"""),2097.0)</f>
        <v>2097</v>
      </c>
      <c r="K3586" s="25">
        <f>IFERROR(__xludf.DUMMYFUNCTION("""COMPUTED_VALUE"""),2062.5)</f>
        <v>2062.5</v>
      </c>
      <c r="L3586" s="25">
        <f>IFERROR(__xludf.DUMMYFUNCTION("""COMPUTED_VALUE"""),2076.95)</f>
        <v>2076.95</v>
      </c>
      <c r="M3586" s="25">
        <f>IFERROR(__xludf.DUMMYFUNCTION("""COMPUTED_VALUE"""),1953177.0)</f>
        <v>1953177</v>
      </c>
    </row>
    <row r="3587">
      <c r="A3587" s="26">
        <f>IFERROR(__xludf.DUMMYFUNCTION("""COMPUTED_VALUE"""),43668.64583333333)</f>
        <v>43668.64583</v>
      </c>
      <c r="B3587" s="9">
        <f>IFERROR(__xludf.DUMMYFUNCTION("""COMPUTED_VALUE"""),785.95)</f>
        <v>785.95</v>
      </c>
      <c r="C3587" s="9">
        <f>IFERROR(__xludf.DUMMYFUNCTION("""COMPUTED_VALUE"""),792.0)</f>
        <v>792</v>
      </c>
      <c r="D3587" s="9">
        <f>IFERROR(__xludf.DUMMYFUNCTION("""COMPUTED_VALUE"""),782.05)</f>
        <v>782.05</v>
      </c>
      <c r="E3587" s="9">
        <f>IFERROR(__xludf.DUMMYFUNCTION("""COMPUTED_VALUE"""),784.4)</f>
        <v>784.4</v>
      </c>
      <c r="F3587" s="9">
        <f>IFERROR(__xludf.DUMMYFUNCTION("""COMPUTED_VALUE"""),7107151.0)</f>
        <v>7107151</v>
      </c>
      <c r="H3587" s="27">
        <f>IFERROR(__xludf.DUMMYFUNCTION("""COMPUTED_VALUE"""),43668.64583333333)</f>
        <v>43668.64583</v>
      </c>
      <c r="I3587" s="25">
        <f>IFERROR(__xludf.DUMMYFUNCTION("""COMPUTED_VALUE"""),2077.0)</f>
        <v>2077</v>
      </c>
      <c r="J3587" s="25">
        <f>IFERROR(__xludf.DUMMYFUNCTION("""COMPUTED_VALUE"""),2117.45)</f>
        <v>2117.45</v>
      </c>
      <c r="K3587" s="25">
        <f>IFERROR(__xludf.DUMMYFUNCTION("""COMPUTED_VALUE"""),2068.8)</f>
        <v>2068.8</v>
      </c>
      <c r="L3587" s="25">
        <f>IFERROR(__xludf.DUMMYFUNCTION("""COMPUTED_VALUE"""),2109.9)</f>
        <v>2109.9</v>
      </c>
      <c r="M3587" s="25">
        <f>IFERROR(__xludf.DUMMYFUNCTION("""COMPUTED_VALUE"""),1920167.0)</f>
        <v>1920167</v>
      </c>
    </row>
    <row r="3588">
      <c r="A3588" s="26">
        <f>IFERROR(__xludf.DUMMYFUNCTION("""COMPUTED_VALUE"""),43669.64583333333)</f>
        <v>43669.64583</v>
      </c>
      <c r="B3588" s="9">
        <f>IFERROR(__xludf.DUMMYFUNCTION("""COMPUTED_VALUE"""),787.0)</f>
        <v>787</v>
      </c>
      <c r="C3588" s="9">
        <f>IFERROR(__xludf.DUMMYFUNCTION("""COMPUTED_VALUE"""),804.0)</f>
        <v>804</v>
      </c>
      <c r="D3588" s="9">
        <f>IFERROR(__xludf.DUMMYFUNCTION("""COMPUTED_VALUE"""),785.55)</f>
        <v>785.55</v>
      </c>
      <c r="E3588" s="9">
        <f>IFERROR(__xludf.DUMMYFUNCTION("""COMPUTED_VALUE"""),790.05)</f>
        <v>790.05</v>
      </c>
      <c r="F3588" s="9">
        <f>IFERROR(__xludf.DUMMYFUNCTION("""COMPUTED_VALUE"""),1.0782564E7)</f>
        <v>10782564</v>
      </c>
      <c r="H3588" s="27">
        <f>IFERROR(__xludf.DUMMYFUNCTION("""COMPUTED_VALUE"""),43669.64583333333)</f>
        <v>43669.64583</v>
      </c>
      <c r="I3588" s="25">
        <f>IFERROR(__xludf.DUMMYFUNCTION("""COMPUTED_VALUE"""),2127.9)</f>
        <v>2127.9</v>
      </c>
      <c r="J3588" s="25">
        <f>IFERROR(__xludf.DUMMYFUNCTION("""COMPUTED_VALUE"""),2130.0)</f>
        <v>2130</v>
      </c>
      <c r="K3588" s="25">
        <f>IFERROR(__xludf.DUMMYFUNCTION("""COMPUTED_VALUE"""),2102.4)</f>
        <v>2102.4</v>
      </c>
      <c r="L3588" s="25">
        <f>IFERROR(__xludf.DUMMYFUNCTION("""COMPUTED_VALUE"""),2112.45)</f>
        <v>2112.45</v>
      </c>
      <c r="M3588" s="25">
        <f>IFERROR(__xludf.DUMMYFUNCTION("""COMPUTED_VALUE"""),3538588.0)</f>
        <v>3538588</v>
      </c>
    </row>
    <row r="3589">
      <c r="A3589" s="26">
        <f>IFERROR(__xludf.DUMMYFUNCTION("""COMPUTED_VALUE"""),43670.64583333333)</f>
        <v>43670.64583</v>
      </c>
      <c r="B3589" s="9">
        <f>IFERROR(__xludf.DUMMYFUNCTION("""COMPUTED_VALUE"""),788.0)</f>
        <v>788</v>
      </c>
      <c r="C3589" s="9">
        <f>IFERROR(__xludf.DUMMYFUNCTION("""COMPUTED_VALUE"""),793.75)</f>
        <v>793.75</v>
      </c>
      <c r="D3589" s="9">
        <f>IFERROR(__xludf.DUMMYFUNCTION("""COMPUTED_VALUE"""),783.6)</f>
        <v>783.6</v>
      </c>
      <c r="E3589" s="9">
        <f>IFERROR(__xludf.DUMMYFUNCTION("""COMPUTED_VALUE"""),786.3)</f>
        <v>786.3</v>
      </c>
      <c r="F3589" s="9">
        <f>IFERROR(__xludf.DUMMYFUNCTION("""COMPUTED_VALUE"""),5745146.0)</f>
        <v>5745146</v>
      </c>
      <c r="H3589" s="27">
        <f>IFERROR(__xludf.DUMMYFUNCTION("""COMPUTED_VALUE"""),43670.64583333333)</f>
        <v>43670.64583</v>
      </c>
      <c r="I3589" s="25">
        <f>IFERROR(__xludf.DUMMYFUNCTION("""COMPUTED_VALUE"""),2110.0)</f>
        <v>2110</v>
      </c>
      <c r="J3589" s="25">
        <f>IFERROR(__xludf.DUMMYFUNCTION("""COMPUTED_VALUE"""),2120.8)</f>
        <v>2120.8</v>
      </c>
      <c r="K3589" s="25">
        <f>IFERROR(__xludf.DUMMYFUNCTION("""COMPUTED_VALUE"""),2076.5)</f>
        <v>2076.5</v>
      </c>
      <c r="L3589" s="25">
        <f>IFERROR(__xludf.DUMMYFUNCTION("""COMPUTED_VALUE"""),2096.8)</f>
        <v>2096.8</v>
      </c>
      <c r="M3589" s="25">
        <f>IFERROR(__xludf.DUMMYFUNCTION("""COMPUTED_VALUE"""),2413196.0)</f>
        <v>2413196</v>
      </c>
    </row>
    <row r="3590">
      <c r="A3590" s="26">
        <f>IFERROR(__xludf.DUMMYFUNCTION("""COMPUTED_VALUE"""),43671.64583333333)</f>
        <v>43671.64583</v>
      </c>
      <c r="B3590" s="9">
        <f>IFERROR(__xludf.DUMMYFUNCTION("""COMPUTED_VALUE"""),788.25)</f>
        <v>788.25</v>
      </c>
      <c r="C3590" s="9">
        <f>IFERROR(__xludf.DUMMYFUNCTION("""COMPUTED_VALUE"""),800.2)</f>
        <v>800.2</v>
      </c>
      <c r="D3590" s="9">
        <f>IFERROR(__xludf.DUMMYFUNCTION("""COMPUTED_VALUE"""),787.65)</f>
        <v>787.65</v>
      </c>
      <c r="E3590" s="9">
        <f>IFERROR(__xludf.DUMMYFUNCTION("""COMPUTED_VALUE"""),794.5)</f>
        <v>794.5</v>
      </c>
      <c r="F3590" s="9">
        <f>IFERROR(__xludf.DUMMYFUNCTION("""COMPUTED_VALUE"""),9773568.0)</f>
        <v>9773568</v>
      </c>
      <c r="H3590" s="27">
        <f>IFERROR(__xludf.DUMMYFUNCTION("""COMPUTED_VALUE"""),43671.64583333333)</f>
        <v>43671.64583</v>
      </c>
      <c r="I3590" s="25">
        <f>IFERROR(__xludf.DUMMYFUNCTION("""COMPUTED_VALUE"""),2108.9)</f>
        <v>2108.9</v>
      </c>
      <c r="J3590" s="25">
        <f>IFERROR(__xludf.DUMMYFUNCTION("""COMPUTED_VALUE"""),2135.0)</f>
        <v>2135</v>
      </c>
      <c r="K3590" s="25">
        <f>IFERROR(__xludf.DUMMYFUNCTION("""COMPUTED_VALUE"""),2092.55)</f>
        <v>2092.55</v>
      </c>
      <c r="L3590" s="25">
        <f>IFERROR(__xludf.DUMMYFUNCTION("""COMPUTED_VALUE"""),2127.9)</f>
        <v>2127.9</v>
      </c>
      <c r="M3590" s="25">
        <f>IFERROR(__xludf.DUMMYFUNCTION("""COMPUTED_VALUE"""),2544464.0)</f>
        <v>2544464</v>
      </c>
    </row>
    <row r="3591">
      <c r="A3591" s="26">
        <f>IFERROR(__xludf.DUMMYFUNCTION("""COMPUTED_VALUE"""),43672.64583333333)</f>
        <v>43672.64583</v>
      </c>
      <c r="B3591" s="9">
        <f>IFERROR(__xludf.DUMMYFUNCTION("""COMPUTED_VALUE"""),792.3)</f>
        <v>792.3</v>
      </c>
      <c r="C3591" s="9">
        <f>IFERROR(__xludf.DUMMYFUNCTION("""COMPUTED_VALUE"""),795.0)</f>
        <v>795</v>
      </c>
      <c r="D3591" s="9">
        <f>IFERROR(__xludf.DUMMYFUNCTION("""COMPUTED_VALUE"""),782.2)</f>
        <v>782.2</v>
      </c>
      <c r="E3591" s="9">
        <f>IFERROR(__xludf.DUMMYFUNCTION("""COMPUTED_VALUE"""),787.0)</f>
        <v>787</v>
      </c>
      <c r="F3591" s="9">
        <f>IFERROR(__xludf.DUMMYFUNCTION("""COMPUTED_VALUE"""),4941763.0)</f>
        <v>4941763</v>
      </c>
      <c r="H3591" s="27">
        <f>IFERROR(__xludf.DUMMYFUNCTION("""COMPUTED_VALUE"""),43672.64583333333)</f>
        <v>43672.64583</v>
      </c>
      <c r="I3591" s="25">
        <f>IFERROR(__xludf.DUMMYFUNCTION("""COMPUTED_VALUE"""),2129.8)</f>
        <v>2129.8</v>
      </c>
      <c r="J3591" s="25">
        <f>IFERROR(__xludf.DUMMYFUNCTION("""COMPUTED_VALUE"""),2129.8)</f>
        <v>2129.8</v>
      </c>
      <c r="K3591" s="25">
        <f>IFERROR(__xludf.DUMMYFUNCTION("""COMPUTED_VALUE"""),2095.0)</f>
        <v>2095</v>
      </c>
      <c r="L3591" s="25">
        <f>IFERROR(__xludf.DUMMYFUNCTION("""COMPUTED_VALUE"""),2109.05)</f>
        <v>2109.05</v>
      </c>
      <c r="M3591" s="25">
        <f>IFERROR(__xludf.DUMMYFUNCTION("""COMPUTED_VALUE"""),1720592.0)</f>
        <v>1720592</v>
      </c>
    </row>
    <row r="3592">
      <c r="A3592" s="26">
        <f>IFERROR(__xludf.DUMMYFUNCTION("""COMPUTED_VALUE"""),43675.64583333333)</f>
        <v>43675.64583</v>
      </c>
      <c r="B3592" s="9">
        <f>IFERROR(__xludf.DUMMYFUNCTION("""COMPUTED_VALUE"""),789.5)</f>
        <v>789.5</v>
      </c>
      <c r="C3592" s="9">
        <f>IFERROR(__xludf.DUMMYFUNCTION("""COMPUTED_VALUE"""),796.95)</f>
        <v>796.95</v>
      </c>
      <c r="D3592" s="9">
        <f>IFERROR(__xludf.DUMMYFUNCTION("""COMPUTED_VALUE"""),786.2)</f>
        <v>786.2</v>
      </c>
      <c r="E3592" s="9">
        <f>IFERROR(__xludf.DUMMYFUNCTION("""COMPUTED_VALUE"""),791.45)</f>
        <v>791.45</v>
      </c>
      <c r="F3592" s="9">
        <f>IFERROR(__xludf.DUMMYFUNCTION("""COMPUTED_VALUE"""),6244316.0)</f>
        <v>6244316</v>
      </c>
      <c r="H3592" s="27">
        <f>IFERROR(__xludf.DUMMYFUNCTION("""COMPUTED_VALUE"""),43675.64583333333)</f>
        <v>43675.64583</v>
      </c>
      <c r="I3592" s="25">
        <f>IFERROR(__xludf.DUMMYFUNCTION("""COMPUTED_VALUE"""),2110.8)</f>
        <v>2110.8</v>
      </c>
      <c r="J3592" s="25">
        <f>IFERROR(__xludf.DUMMYFUNCTION("""COMPUTED_VALUE"""),2142.0)</f>
        <v>2142</v>
      </c>
      <c r="K3592" s="25">
        <f>IFERROR(__xludf.DUMMYFUNCTION("""COMPUTED_VALUE"""),2103.3)</f>
        <v>2103.3</v>
      </c>
      <c r="L3592" s="25">
        <f>IFERROR(__xludf.DUMMYFUNCTION("""COMPUTED_VALUE"""),2130.0)</f>
        <v>2130</v>
      </c>
      <c r="M3592" s="25">
        <f>IFERROR(__xludf.DUMMYFUNCTION("""COMPUTED_VALUE"""),1647090.0)</f>
        <v>1647090</v>
      </c>
    </row>
    <row r="3593">
      <c r="A3593" s="26">
        <f>IFERROR(__xludf.DUMMYFUNCTION("""COMPUTED_VALUE"""),43676.64583333333)</f>
        <v>43676.64583</v>
      </c>
      <c r="B3593" s="9">
        <f>IFERROR(__xludf.DUMMYFUNCTION("""COMPUTED_VALUE"""),791.9)</f>
        <v>791.9</v>
      </c>
      <c r="C3593" s="9">
        <f>IFERROR(__xludf.DUMMYFUNCTION("""COMPUTED_VALUE"""),797.8)</f>
        <v>797.8</v>
      </c>
      <c r="D3593" s="9">
        <f>IFERROR(__xludf.DUMMYFUNCTION("""COMPUTED_VALUE"""),788.55)</f>
        <v>788.55</v>
      </c>
      <c r="E3593" s="9">
        <f>IFERROR(__xludf.DUMMYFUNCTION("""COMPUTED_VALUE"""),792.7)</f>
        <v>792.7</v>
      </c>
      <c r="F3593" s="9">
        <f>IFERROR(__xludf.DUMMYFUNCTION("""COMPUTED_VALUE"""),8673253.0)</f>
        <v>8673253</v>
      </c>
      <c r="H3593" s="27">
        <f>IFERROR(__xludf.DUMMYFUNCTION("""COMPUTED_VALUE"""),43676.64583333333)</f>
        <v>43676.64583</v>
      </c>
      <c r="I3593" s="25">
        <f>IFERROR(__xludf.DUMMYFUNCTION("""COMPUTED_VALUE"""),2130.0)</f>
        <v>2130</v>
      </c>
      <c r="J3593" s="25">
        <f>IFERROR(__xludf.DUMMYFUNCTION("""COMPUTED_VALUE"""),2185.0)</f>
        <v>2185</v>
      </c>
      <c r="K3593" s="25">
        <f>IFERROR(__xludf.DUMMYFUNCTION("""COMPUTED_VALUE"""),2120.45)</f>
        <v>2120.45</v>
      </c>
      <c r="L3593" s="25">
        <f>IFERROR(__xludf.DUMMYFUNCTION("""COMPUTED_VALUE"""),2179.15)</f>
        <v>2179.15</v>
      </c>
      <c r="M3593" s="25">
        <f>IFERROR(__xludf.DUMMYFUNCTION("""COMPUTED_VALUE"""),2851672.0)</f>
        <v>2851672</v>
      </c>
    </row>
    <row r="3594">
      <c r="A3594" s="26">
        <f>IFERROR(__xludf.DUMMYFUNCTION("""COMPUTED_VALUE"""),43677.64583333333)</f>
        <v>43677.64583</v>
      </c>
      <c r="B3594" s="9">
        <f>IFERROR(__xludf.DUMMYFUNCTION("""COMPUTED_VALUE"""),790.85)</f>
        <v>790.85</v>
      </c>
      <c r="C3594" s="9">
        <f>IFERROR(__xludf.DUMMYFUNCTION("""COMPUTED_VALUE"""),799.8)</f>
        <v>799.8</v>
      </c>
      <c r="D3594" s="9">
        <f>IFERROR(__xludf.DUMMYFUNCTION("""COMPUTED_VALUE"""),781.6)</f>
        <v>781.6</v>
      </c>
      <c r="E3594" s="9">
        <f>IFERROR(__xludf.DUMMYFUNCTION("""COMPUTED_VALUE"""),793.65)</f>
        <v>793.65</v>
      </c>
      <c r="F3594" s="9">
        <f>IFERROR(__xludf.DUMMYFUNCTION("""COMPUTED_VALUE"""),7350584.0)</f>
        <v>7350584</v>
      </c>
      <c r="H3594" s="27">
        <f>IFERROR(__xludf.DUMMYFUNCTION("""COMPUTED_VALUE"""),43677.64583333333)</f>
        <v>43677.64583</v>
      </c>
      <c r="I3594" s="25">
        <f>IFERROR(__xludf.DUMMYFUNCTION("""COMPUTED_VALUE"""),2171.75)</f>
        <v>2171.75</v>
      </c>
      <c r="J3594" s="25">
        <f>IFERROR(__xludf.DUMMYFUNCTION("""COMPUTED_VALUE"""),2211.7)</f>
        <v>2211.7</v>
      </c>
      <c r="K3594" s="25">
        <f>IFERROR(__xludf.DUMMYFUNCTION("""COMPUTED_VALUE"""),2147.15)</f>
        <v>2147.15</v>
      </c>
      <c r="L3594" s="25">
        <f>IFERROR(__xludf.DUMMYFUNCTION("""COMPUTED_VALUE"""),2205.7)</f>
        <v>2205.7</v>
      </c>
      <c r="M3594" s="25">
        <f>IFERROR(__xludf.DUMMYFUNCTION("""COMPUTED_VALUE"""),3000677.0)</f>
        <v>3000677</v>
      </c>
    </row>
    <row r="3595">
      <c r="A3595" s="26">
        <f>IFERROR(__xludf.DUMMYFUNCTION("""COMPUTED_VALUE"""),43678.64583333333)</f>
        <v>43678.64583</v>
      </c>
      <c r="B3595" s="9">
        <f>IFERROR(__xludf.DUMMYFUNCTION("""COMPUTED_VALUE"""),786.45)</f>
        <v>786.45</v>
      </c>
      <c r="C3595" s="9">
        <f>IFERROR(__xludf.DUMMYFUNCTION("""COMPUTED_VALUE"""),788.4)</f>
        <v>788.4</v>
      </c>
      <c r="D3595" s="9">
        <f>IFERROR(__xludf.DUMMYFUNCTION("""COMPUTED_VALUE"""),764.4)</f>
        <v>764.4</v>
      </c>
      <c r="E3595" s="9">
        <f>IFERROR(__xludf.DUMMYFUNCTION("""COMPUTED_VALUE"""),768.85)</f>
        <v>768.85</v>
      </c>
      <c r="F3595" s="9">
        <f>IFERROR(__xludf.DUMMYFUNCTION("""COMPUTED_VALUE"""),1.0066407E7)</f>
        <v>10066407</v>
      </c>
      <c r="H3595" s="27">
        <f>IFERROR(__xludf.DUMMYFUNCTION("""COMPUTED_VALUE"""),43678.64583333333)</f>
        <v>43678.64583</v>
      </c>
      <c r="I3595" s="25">
        <f>IFERROR(__xludf.DUMMYFUNCTION("""COMPUTED_VALUE"""),2200.0)</f>
        <v>2200</v>
      </c>
      <c r="J3595" s="25">
        <f>IFERROR(__xludf.DUMMYFUNCTION("""COMPUTED_VALUE"""),2217.5)</f>
        <v>2217.5</v>
      </c>
      <c r="K3595" s="25">
        <f>IFERROR(__xludf.DUMMYFUNCTION("""COMPUTED_VALUE"""),2166.25)</f>
        <v>2166.25</v>
      </c>
      <c r="L3595" s="25">
        <f>IFERROR(__xludf.DUMMYFUNCTION("""COMPUTED_VALUE"""),2180.05)</f>
        <v>2180.05</v>
      </c>
      <c r="M3595" s="25">
        <f>IFERROR(__xludf.DUMMYFUNCTION("""COMPUTED_VALUE"""),2375236.0)</f>
        <v>2375236</v>
      </c>
    </row>
    <row r="3596">
      <c r="A3596" s="26">
        <f>IFERROR(__xludf.DUMMYFUNCTION("""COMPUTED_VALUE"""),43679.64583333333)</f>
        <v>43679.64583</v>
      </c>
      <c r="B3596" s="9">
        <f>IFERROR(__xludf.DUMMYFUNCTION("""COMPUTED_VALUE"""),765.05)</f>
        <v>765.05</v>
      </c>
      <c r="C3596" s="9">
        <f>IFERROR(__xludf.DUMMYFUNCTION("""COMPUTED_VALUE"""),779.9)</f>
        <v>779.9</v>
      </c>
      <c r="D3596" s="9">
        <f>IFERROR(__xludf.DUMMYFUNCTION("""COMPUTED_VALUE"""),762.25)</f>
        <v>762.25</v>
      </c>
      <c r="E3596" s="9">
        <f>IFERROR(__xludf.DUMMYFUNCTION("""COMPUTED_VALUE"""),775.6)</f>
        <v>775.6</v>
      </c>
      <c r="F3596" s="9">
        <f>IFERROR(__xludf.DUMMYFUNCTION("""COMPUTED_VALUE"""),1.0838336E7)</f>
        <v>10838336</v>
      </c>
      <c r="H3596" s="27">
        <f>IFERROR(__xludf.DUMMYFUNCTION("""COMPUTED_VALUE"""),43679.64583333333)</f>
        <v>43679.64583</v>
      </c>
      <c r="I3596" s="25">
        <f>IFERROR(__xludf.DUMMYFUNCTION("""COMPUTED_VALUE"""),2173.0)</f>
        <v>2173</v>
      </c>
      <c r="J3596" s="25">
        <f>IFERROR(__xludf.DUMMYFUNCTION("""COMPUTED_VALUE"""),2210.0)</f>
        <v>2210</v>
      </c>
      <c r="K3596" s="25">
        <f>IFERROR(__xludf.DUMMYFUNCTION("""COMPUTED_VALUE"""),2165.5)</f>
        <v>2165.5</v>
      </c>
      <c r="L3596" s="25">
        <f>IFERROR(__xludf.DUMMYFUNCTION("""COMPUTED_VALUE"""),2205.3)</f>
        <v>2205.3</v>
      </c>
      <c r="M3596" s="25">
        <f>IFERROR(__xludf.DUMMYFUNCTION("""COMPUTED_VALUE"""),2500816.0)</f>
        <v>2500816</v>
      </c>
    </row>
    <row r="3597">
      <c r="A3597" s="26">
        <f>IFERROR(__xludf.DUMMYFUNCTION("""COMPUTED_VALUE"""),43682.64583333333)</f>
        <v>43682.64583</v>
      </c>
      <c r="B3597" s="9">
        <f>IFERROR(__xludf.DUMMYFUNCTION("""COMPUTED_VALUE"""),772.6)</f>
        <v>772.6</v>
      </c>
      <c r="C3597" s="9">
        <f>IFERROR(__xludf.DUMMYFUNCTION("""COMPUTED_VALUE"""),785.9)</f>
        <v>785.9</v>
      </c>
      <c r="D3597" s="9">
        <f>IFERROR(__xludf.DUMMYFUNCTION("""COMPUTED_VALUE"""),768.65)</f>
        <v>768.65</v>
      </c>
      <c r="E3597" s="9">
        <f>IFERROR(__xludf.DUMMYFUNCTION("""COMPUTED_VALUE"""),776.7)</f>
        <v>776.7</v>
      </c>
      <c r="F3597" s="9">
        <f>IFERROR(__xludf.DUMMYFUNCTION("""COMPUTED_VALUE"""),9976238.0)</f>
        <v>9976238</v>
      </c>
      <c r="H3597" s="27">
        <f>IFERROR(__xludf.DUMMYFUNCTION("""COMPUTED_VALUE"""),43682.64583333333)</f>
        <v>43682.64583</v>
      </c>
      <c r="I3597" s="25">
        <f>IFERROR(__xludf.DUMMYFUNCTION("""COMPUTED_VALUE"""),2199.9)</f>
        <v>2199.9</v>
      </c>
      <c r="J3597" s="25">
        <f>IFERROR(__xludf.DUMMYFUNCTION("""COMPUTED_VALUE"""),2252.25)</f>
        <v>2252.25</v>
      </c>
      <c r="K3597" s="25">
        <f>IFERROR(__xludf.DUMMYFUNCTION("""COMPUTED_VALUE"""),2195.6)</f>
        <v>2195.6</v>
      </c>
      <c r="L3597" s="25">
        <f>IFERROR(__xludf.DUMMYFUNCTION("""COMPUTED_VALUE"""),2248.6)</f>
        <v>2248.6</v>
      </c>
      <c r="M3597" s="25">
        <f>IFERROR(__xludf.DUMMYFUNCTION("""COMPUTED_VALUE"""),3039682.0)</f>
        <v>3039682</v>
      </c>
    </row>
    <row r="3598">
      <c r="A3598" s="26">
        <f>IFERROR(__xludf.DUMMYFUNCTION("""COMPUTED_VALUE"""),43683.64583333333)</f>
        <v>43683.64583</v>
      </c>
      <c r="B3598" s="9">
        <f>IFERROR(__xludf.DUMMYFUNCTION("""COMPUTED_VALUE"""),778.8)</f>
        <v>778.8</v>
      </c>
      <c r="C3598" s="9">
        <f>IFERROR(__xludf.DUMMYFUNCTION("""COMPUTED_VALUE"""),783.7)</f>
        <v>783.7</v>
      </c>
      <c r="D3598" s="9">
        <f>IFERROR(__xludf.DUMMYFUNCTION("""COMPUTED_VALUE"""),769.8)</f>
        <v>769.8</v>
      </c>
      <c r="E3598" s="9">
        <f>IFERROR(__xludf.DUMMYFUNCTION("""COMPUTED_VALUE"""),774.45)</f>
        <v>774.45</v>
      </c>
      <c r="F3598" s="9">
        <f>IFERROR(__xludf.DUMMYFUNCTION("""COMPUTED_VALUE"""),9331718.0)</f>
        <v>9331718</v>
      </c>
      <c r="H3598" s="27">
        <f>IFERROR(__xludf.DUMMYFUNCTION("""COMPUTED_VALUE"""),43683.64583333333)</f>
        <v>43683.64583</v>
      </c>
      <c r="I3598" s="25">
        <f>IFERROR(__xludf.DUMMYFUNCTION("""COMPUTED_VALUE"""),2232.8)</f>
        <v>2232.8</v>
      </c>
      <c r="J3598" s="25">
        <f>IFERROR(__xludf.DUMMYFUNCTION("""COMPUTED_VALUE"""),2251.95)</f>
        <v>2251.95</v>
      </c>
      <c r="K3598" s="25">
        <f>IFERROR(__xludf.DUMMYFUNCTION("""COMPUTED_VALUE"""),2211.45)</f>
        <v>2211.45</v>
      </c>
      <c r="L3598" s="25">
        <f>IFERROR(__xludf.DUMMYFUNCTION("""COMPUTED_VALUE"""),2214.9)</f>
        <v>2214.9</v>
      </c>
      <c r="M3598" s="25">
        <f>IFERROR(__xludf.DUMMYFUNCTION("""COMPUTED_VALUE"""),2885467.0)</f>
        <v>2885467</v>
      </c>
    </row>
    <row r="3599">
      <c r="A3599" s="26">
        <f>IFERROR(__xludf.DUMMYFUNCTION("""COMPUTED_VALUE"""),43684.64583333333)</f>
        <v>43684.64583</v>
      </c>
      <c r="B3599" s="9">
        <f>IFERROR(__xludf.DUMMYFUNCTION("""COMPUTED_VALUE"""),778.9)</f>
        <v>778.9</v>
      </c>
      <c r="C3599" s="9">
        <f>IFERROR(__xludf.DUMMYFUNCTION("""COMPUTED_VALUE"""),783.45)</f>
        <v>783.45</v>
      </c>
      <c r="D3599" s="9">
        <f>IFERROR(__xludf.DUMMYFUNCTION("""COMPUTED_VALUE"""),772.35)</f>
        <v>772.35</v>
      </c>
      <c r="E3599" s="9">
        <f>IFERROR(__xludf.DUMMYFUNCTION("""COMPUTED_VALUE"""),776.1)</f>
        <v>776.1</v>
      </c>
      <c r="F3599" s="9">
        <f>IFERROR(__xludf.DUMMYFUNCTION("""COMPUTED_VALUE"""),5130457.0)</f>
        <v>5130457</v>
      </c>
      <c r="H3599" s="27">
        <f>IFERROR(__xludf.DUMMYFUNCTION("""COMPUTED_VALUE"""),43684.64583333333)</f>
        <v>43684.64583</v>
      </c>
      <c r="I3599" s="25">
        <f>IFERROR(__xludf.DUMMYFUNCTION("""COMPUTED_VALUE"""),2230.0)</f>
        <v>2230</v>
      </c>
      <c r="J3599" s="25">
        <f>IFERROR(__xludf.DUMMYFUNCTION("""COMPUTED_VALUE"""),2238.5)</f>
        <v>2238.5</v>
      </c>
      <c r="K3599" s="25">
        <f>IFERROR(__xludf.DUMMYFUNCTION("""COMPUTED_VALUE"""),2207.25)</f>
        <v>2207.25</v>
      </c>
      <c r="L3599" s="25">
        <f>IFERROR(__xludf.DUMMYFUNCTION("""COMPUTED_VALUE"""),2213.45)</f>
        <v>2213.45</v>
      </c>
      <c r="M3599" s="25">
        <f>IFERROR(__xludf.DUMMYFUNCTION("""COMPUTED_VALUE"""),2165362.0)</f>
        <v>2165362</v>
      </c>
    </row>
    <row r="3600">
      <c r="A3600" s="26">
        <f>IFERROR(__xludf.DUMMYFUNCTION("""COMPUTED_VALUE"""),43685.64583333333)</f>
        <v>43685.64583</v>
      </c>
      <c r="B3600" s="9">
        <f>IFERROR(__xludf.DUMMYFUNCTION("""COMPUTED_VALUE"""),782.7)</f>
        <v>782.7</v>
      </c>
      <c r="C3600" s="9">
        <f>IFERROR(__xludf.DUMMYFUNCTION("""COMPUTED_VALUE"""),792.75)</f>
        <v>792.75</v>
      </c>
      <c r="D3600" s="9">
        <f>IFERROR(__xludf.DUMMYFUNCTION("""COMPUTED_VALUE"""),781.25)</f>
        <v>781.25</v>
      </c>
      <c r="E3600" s="9">
        <f>IFERROR(__xludf.DUMMYFUNCTION("""COMPUTED_VALUE"""),788.75)</f>
        <v>788.75</v>
      </c>
      <c r="F3600" s="9">
        <f>IFERROR(__xludf.DUMMYFUNCTION("""COMPUTED_VALUE"""),8009009.0)</f>
        <v>8009009</v>
      </c>
      <c r="H3600" s="27">
        <f>IFERROR(__xludf.DUMMYFUNCTION("""COMPUTED_VALUE"""),43685.64583333333)</f>
        <v>43685.64583</v>
      </c>
      <c r="I3600" s="25">
        <f>IFERROR(__xludf.DUMMYFUNCTION("""COMPUTED_VALUE"""),2228.9)</f>
        <v>2228.9</v>
      </c>
      <c r="J3600" s="25">
        <f>IFERROR(__xludf.DUMMYFUNCTION("""COMPUTED_VALUE"""),2281.0)</f>
        <v>2281</v>
      </c>
      <c r="K3600" s="25">
        <f>IFERROR(__xludf.DUMMYFUNCTION("""COMPUTED_VALUE"""),2218.9)</f>
        <v>2218.9</v>
      </c>
      <c r="L3600" s="25">
        <f>IFERROR(__xludf.DUMMYFUNCTION("""COMPUTED_VALUE"""),2258.1)</f>
        <v>2258.1</v>
      </c>
      <c r="M3600" s="25">
        <f>IFERROR(__xludf.DUMMYFUNCTION("""COMPUTED_VALUE"""),2073298.0)</f>
        <v>2073298</v>
      </c>
    </row>
    <row r="3601">
      <c r="A3601" s="26">
        <f>IFERROR(__xludf.DUMMYFUNCTION("""COMPUTED_VALUE"""),43686.64583333333)</f>
        <v>43686.64583</v>
      </c>
      <c r="B3601" s="9">
        <f>IFERROR(__xludf.DUMMYFUNCTION("""COMPUTED_VALUE"""),792.0)</f>
        <v>792</v>
      </c>
      <c r="C3601" s="9">
        <f>IFERROR(__xludf.DUMMYFUNCTION("""COMPUTED_VALUE"""),796.75)</f>
        <v>796.75</v>
      </c>
      <c r="D3601" s="9">
        <f>IFERROR(__xludf.DUMMYFUNCTION("""COMPUTED_VALUE"""),784.8)</f>
        <v>784.8</v>
      </c>
      <c r="E3601" s="9">
        <f>IFERROR(__xludf.DUMMYFUNCTION("""COMPUTED_VALUE"""),789.85)</f>
        <v>789.85</v>
      </c>
      <c r="F3601" s="9">
        <f>IFERROR(__xludf.DUMMYFUNCTION("""COMPUTED_VALUE"""),4362520.0)</f>
        <v>4362520</v>
      </c>
      <c r="H3601" s="27">
        <f>IFERROR(__xludf.DUMMYFUNCTION("""COMPUTED_VALUE"""),43686.64583333333)</f>
        <v>43686.64583</v>
      </c>
      <c r="I3601" s="25">
        <f>IFERROR(__xludf.DUMMYFUNCTION("""COMPUTED_VALUE"""),2260.0)</f>
        <v>2260</v>
      </c>
      <c r="J3601" s="25">
        <f>IFERROR(__xludf.DUMMYFUNCTION("""COMPUTED_VALUE"""),2267.9)</f>
        <v>2267.9</v>
      </c>
      <c r="K3601" s="25">
        <f>IFERROR(__xludf.DUMMYFUNCTION("""COMPUTED_VALUE"""),2241.35)</f>
        <v>2241.35</v>
      </c>
      <c r="L3601" s="25">
        <f>IFERROR(__xludf.DUMMYFUNCTION("""COMPUTED_VALUE"""),2246.25)</f>
        <v>2246.25</v>
      </c>
      <c r="M3601" s="25">
        <f>IFERROR(__xludf.DUMMYFUNCTION("""COMPUTED_VALUE"""),1744550.0)</f>
        <v>1744550</v>
      </c>
    </row>
    <row r="3602">
      <c r="A3602" s="26">
        <f>IFERROR(__xludf.DUMMYFUNCTION("""COMPUTED_VALUE"""),43690.64583333333)</f>
        <v>43690.64583</v>
      </c>
      <c r="B3602" s="9">
        <f>IFERROR(__xludf.DUMMYFUNCTION("""COMPUTED_VALUE"""),784.15)</f>
        <v>784.15</v>
      </c>
      <c r="C3602" s="9">
        <f>IFERROR(__xludf.DUMMYFUNCTION("""COMPUTED_VALUE"""),786.0)</f>
        <v>786</v>
      </c>
      <c r="D3602" s="9">
        <f>IFERROR(__xludf.DUMMYFUNCTION("""COMPUTED_VALUE"""),760.15)</f>
        <v>760.15</v>
      </c>
      <c r="E3602" s="9">
        <f>IFERROR(__xludf.DUMMYFUNCTION("""COMPUTED_VALUE"""),764.75)</f>
        <v>764.75</v>
      </c>
      <c r="F3602" s="9">
        <f>IFERROR(__xludf.DUMMYFUNCTION("""COMPUTED_VALUE"""),7517099.0)</f>
        <v>7517099</v>
      </c>
      <c r="H3602" s="27">
        <f>IFERROR(__xludf.DUMMYFUNCTION("""COMPUTED_VALUE"""),43690.64583333333)</f>
        <v>43690.64583</v>
      </c>
      <c r="I3602" s="25">
        <f>IFERROR(__xludf.DUMMYFUNCTION("""COMPUTED_VALUE"""),2245.0)</f>
        <v>2245</v>
      </c>
      <c r="J3602" s="25">
        <f>IFERROR(__xludf.DUMMYFUNCTION("""COMPUTED_VALUE"""),2246.25)</f>
        <v>2246.25</v>
      </c>
      <c r="K3602" s="25">
        <f>IFERROR(__xludf.DUMMYFUNCTION("""COMPUTED_VALUE"""),2194.3)</f>
        <v>2194.3</v>
      </c>
      <c r="L3602" s="25">
        <f>IFERROR(__xludf.DUMMYFUNCTION("""COMPUTED_VALUE"""),2199.45)</f>
        <v>2199.45</v>
      </c>
      <c r="M3602" s="25">
        <f>IFERROR(__xludf.DUMMYFUNCTION("""COMPUTED_VALUE"""),1647281.0)</f>
        <v>1647281</v>
      </c>
    </row>
    <row r="3603">
      <c r="A3603" s="26">
        <f>IFERROR(__xludf.DUMMYFUNCTION("""COMPUTED_VALUE"""),43691.64583333333)</f>
        <v>43691.64583</v>
      </c>
      <c r="B3603" s="9">
        <f>IFERROR(__xludf.DUMMYFUNCTION("""COMPUTED_VALUE"""),775.1)</f>
        <v>775.1</v>
      </c>
      <c r="C3603" s="9">
        <f>IFERROR(__xludf.DUMMYFUNCTION("""COMPUTED_VALUE"""),778.25)</f>
        <v>778.25</v>
      </c>
      <c r="D3603" s="9">
        <f>IFERROR(__xludf.DUMMYFUNCTION("""COMPUTED_VALUE"""),768.0)</f>
        <v>768</v>
      </c>
      <c r="E3603" s="9">
        <f>IFERROR(__xludf.DUMMYFUNCTION("""COMPUTED_VALUE"""),774.8)</f>
        <v>774.8</v>
      </c>
      <c r="F3603" s="9">
        <f>IFERROR(__xludf.DUMMYFUNCTION("""COMPUTED_VALUE"""),5940968.0)</f>
        <v>5940968</v>
      </c>
      <c r="H3603" s="27">
        <f>IFERROR(__xludf.DUMMYFUNCTION("""COMPUTED_VALUE"""),43691.64583333333)</f>
        <v>43691.64583</v>
      </c>
      <c r="I3603" s="25">
        <f>IFERROR(__xludf.DUMMYFUNCTION("""COMPUTED_VALUE"""),2181.1)</f>
        <v>2181.1</v>
      </c>
      <c r="J3603" s="25">
        <f>IFERROR(__xludf.DUMMYFUNCTION("""COMPUTED_VALUE"""),2217.85)</f>
        <v>2217.85</v>
      </c>
      <c r="K3603" s="25">
        <f>IFERROR(__xludf.DUMMYFUNCTION("""COMPUTED_VALUE"""),2167.4)</f>
        <v>2167.4</v>
      </c>
      <c r="L3603" s="25">
        <f>IFERROR(__xludf.DUMMYFUNCTION("""COMPUTED_VALUE"""),2204.4)</f>
        <v>2204.4</v>
      </c>
      <c r="M3603" s="25">
        <f>IFERROR(__xludf.DUMMYFUNCTION("""COMPUTED_VALUE"""),1945002.0)</f>
        <v>1945002</v>
      </c>
    </row>
    <row r="3604">
      <c r="A3604" s="26">
        <f>IFERROR(__xludf.DUMMYFUNCTION("""COMPUTED_VALUE"""),43693.64583333333)</f>
        <v>43693.64583</v>
      </c>
      <c r="B3604" s="9">
        <f>IFERROR(__xludf.DUMMYFUNCTION("""COMPUTED_VALUE"""),780.0)</f>
        <v>780</v>
      </c>
      <c r="C3604" s="9">
        <f>IFERROR(__xludf.DUMMYFUNCTION("""COMPUTED_VALUE"""),780.05)</f>
        <v>780.05</v>
      </c>
      <c r="D3604" s="9">
        <f>IFERROR(__xludf.DUMMYFUNCTION("""COMPUTED_VALUE"""),762.5)</f>
        <v>762.5</v>
      </c>
      <c r="E3604" s="9">
        <f>IFERROR(__xludf.DUMMYFUNCTION("""COMPUTED_VALUE"""),774.55)</f>
        <v>774.55</v>
      </c>
      <c r="F3604" s="9">
        <f>IFERROR(__xludf.DUMMYFUNCTION("""COMPUTED_VALUE"""),5128088.0)</f>
        <v>5128088</v>
      </c>
      <c r="H3604" s="27">
        <f>IFERROR(__xludf.DUMMYFUNCTION("""COMPUTED_VALUE"""),43693.64583333333)</f>
        <v>43693.64583</v>
      </c>
      <c r="I3604" s="25">
        <f>IFERROR(__xludf.DUMMYFUNCTION("""COMPUTED_VALUE"""),2241.4)</f>
        <v>2241.4</v>
      </c>
      <c r="J3604" s="25">
        <f>IFERROR(__xludf.DUMMYFUNCTION("""COMPUTED_VALUE"""),2241.4)</f>
        <v>2241.4</v>
      </c>
      <c r="K3604" s="25">
        <f>IFERROR(__xludf.DUMMYFUNCTION("""COMPUTED_VALUE"""),2143.25)</f>
        <v>2143.25</v>
      </c>
      <c r="L3604" s="25">
        <f>IFERROR(__xludf.DUMMYFUNCTION("""COMPUTED_VALUE"""),2165.1)</f>
        <v>2165.1</v>
      </c>
      <c r="M3604" s="25">
        <f>IFERROR(__xludf.DUMMYFUNCTION("""COMPUTED_VALUE"""),3755507.0)</f>
        <v>3755507</v>
      </c>
    </row>
    <row r="3605">
      <c r="A3605" s="26">
        <f>IFERROR(__xludf.DUMMYFUNCTION("""COMPUTED_VALUE"""),43696.64583333333)</f>
        <v>43696.64583</v>
      </c>
      <c r="B3605" s="9">
        <f>IFERROR(__xludf.DUMMYFUNCTION("""COMPUTED_VALUE"""),775.6)</f>
        <v>775.6</v>
      </c>
      <c r="C3605" s="9">
        <f>IFERROR(__xludf.DUMMYFUNCTION("""COMPUTED_VALUE"""),783.0)</f>
        <v>783</v>
      </c>
      <c r="D3605" s="9">
        <f>IFERROR(__xludf.DUMMYFUNCTION("""COMPUTED_VALUE"""),773.35)</f>
        <v>773.35</v>
      </c>
      <c r="E3605" s="9">
        <f>IFERROR(__xludf.DUMMYFUNCTION("""COMPUTED_VALUE"""),777.65)</f>
        <v>777.65</v>
      </c>
      <c r="F3605" s="9">
        <f>IFERROR(__xludf.DUMMYFUNCTION("""COMPUTED_VALUE"""),3881451.0)</f>
        <v>3881451</v>
      </c>
      <c r="H3605" s="27">
        <f>IFERROR(__xludf.DUMMYFUNCTION("""COMPUTED_VALUE"""),43696.64583333333)</f>
        <v>43696.64583</v>
      </c>
      <c r="I3605" s="25">
        <f>IFERROR(__xludf.DUMMYFUNCTION("""COMPUTED_VALUE"""),2180.0)</f>
        <v>2180</v>
      </c>
      <c r="J3605" s="25">
        <f>IFERROR(__xludf.DUMMYFUNCTION("""COMPUTED_VALUE"""),2186.0)</f>
        <v>2186</v>
      </c>
      <c r="K3605" s="25">
        <f>IFERROR(__xludf.DUMMYFUNCTION("""COMPUTED_VALUE"""),2157.7)</f>
        <v>2157.7</v>
      </c>
      <c r="L3605" s="25">
        <f>IFERROR(__xludf.DUMMYFUNCTION("""COMPUTED_VALUE"""),2163.0)</f>
        <v>2163</v>
      </c>
      <c r="M3605" s="25">
        <f>IFERROR(__xludf.DUMMYFUNCTION("""COMPUTED_VALUE"""),974884.0)</f>
        <v>974884</v>
      </c>
    </row>
    <row r="3606">
      <c r="A3606" s="26">
        <f>IFERROR(__xludf.DUMMYFUNCTION("""COMPUTED_VALUE"""),43697.64583333333)</f>
        <v>43697.64583</v>
      </c>
      <c r="B3606" s="9">
        <f>IFERROR(__xludf.DUMMYFUNCTION("""COMPUTED_VALUE"""),785.2)</f>
        <v>785.2</v>
      </c>
      <c r="C3606" s="9">
        <f>IFERROR(__xludf.DUMMYFUNCTION("""COMPUTED_VALUE"""),798.0)</f>
        <v>798</v>
      </c>
      <c r="D3606" s="9">
        <f>IFERROR(__xludf.DUMMYFUNCTION("""COMPUTED_VALUE"""),783.85)</f>
        <v>783.85</v>
      </c>
      <c r="E3606" s="9">
        <f>IFERROR(__xludf.DUMMYFUNCTION("""COMPUTED_VALUE"""),792.75)</f>
        <v>792.75</v>
      </c>
      <c r="F3606" s="9">
        <f>IFERROR(__xludf.DUMMYFUNCTION("""COMPUTED_VALUE"""),8435344.0)</f>
        <v>8435344</v>
      </c>
      <c r="H3606" s="27">
        <f>IFERROR(__xludf.DUMMYFUNCTION("""COMPUTED_VALUE"""),43697.64583333333)</f>
        <v>43697.64583</v>
      </c>
      <c r="I3606" s="25">
        <f>IFERROR(__xludf.DUMMYFUNCTION("""COMPUTED_VALUE"""),2172.0)</f>
        <v>2172</v>
      </c>
      <c r="J3606" s="25">
        <f>IFERROR(__xludf.DUMMYFUNCTION("""COMPUTED_VALUE"""),2205.0)</f>
        <v>2205</v>
      </c>
      <c r="K3606" s="25">
        <f>IFERROR(__xludf.DUMMYFUNCTION("""COMPUTED_VALUE"""),2166.5)</f>
        <v>2166.5</v>
      </c>
      <c r="L3606" s="25">
        <f>IFERROR(__xludf.DUMMYFUNCTION("""COMPUTED_VALUE"""),2186.75)</f>
        <v>2186.75</v>
      </c>
      <c r="M3606" s="25">
        <f>IFERROR(__xludf.DUMMYFUNCTION("""COMPUTED_VALUE"""),1843611.0)</f>
        <v>1843611</v>
      </c>
    </row>
    <row r="3607">
      <c r="A3607" s="26">
        <f>IFERROR(__xludf.DUMMYFUNCTION("""COMPUTED_VALUE"""),43698.64583333333)</f>
        <v>43698.64583</v>
      </c>
      <c r="B3607" s="9">
        <f>IFERROR(__xludf.DUMMYFUNCTION("""COMPUTED_VALUE"""),793.0)</f>
        <v>793</v>
      </c>
      <c r="C3607" s="9">
        <f>IFERROR(__xludf.DUMMYFUNCTION("""COMPUTED_VALUE"""),803.75)</f>
        <v>803.75</v>
      </c>
      <c r="D3607" s="9">
        <f>IFERROR(__xludf.DUMMYFUNCTION("""COMPUTED_VALUE"""),793.0)</f>
        <v>793</v>
      </c>
      <c r="E3607" s="9">
        <f>IFERROR(__xludf.DUMMYFUNCTION("""COMPUTED_VALUE"""),799.45)</f>
        <v>799.45</v>
      </c>
      <c r="F3607" s="9">
        <f>IFERROR(__xludf.DUMMYFUNCTION("""COMPUTED_VALUE"""),5926896.0)</f>
        <v>5926896</v>
      </c>
      <c r="H3607" s="27">
        <f>IFERROR(__xludf.DUMMYFUNCTION("""COMPUTED_VALUE"""),43698.64583333333)</f>
        <v>43698.64583</v>
      </c>
      <c r="I3607" s="25">
        <f>IFERROR(__xludf.DUMMYFUNCTION("""COMPUTED_VALUE"""),2184.95)</f>
        <v>2184.95</v>
      </c>
      <c r="J3607" s="25">
        <f>IFERROR(__xludf.DUMMYFUNCTION("""COMPUTED_VALUE"""),2202.0)</f>
        <v>2202</v>
      </c>
      <c r="K3607" s="25">
        <f>IFERROR(__xludf.DUMMYFUNCTION("""COMPUTED_VALUE"""),2182.25)</f>
        <v>2182.25</v>
      </c>
      <c r="L3607" s="25">
        <f>IFERROR(__xludf.DUMMYFUNCTION("""COMPUTED_VALUE"""),2186.2)</f>
        <v>2186.2</v>
      </c>
      <c r="M3607" s="25">
        <f>IFERROR(__xludf.DUMMYFUNCTION("""COMPUTED_VALUE"""),1214408.0)</f>
        <v>1214408</v>
      </c>
    </row>
    <row r="3608">
      <c r="A3608" s="26">
        <f>IFERROR(__xludf.DUMMYFUNCTION("""COMPUTED_VALUE"""),43699.64583333333)</f>
        <v>43699.64583</v>
      </c>
      <c r="B3608" s="9">
        <f>IFERROR(__xludf.DUMMYFUNCTION("""COMPUTED_VALUE"""),799.9)</f>
        <v>799.9</v>
      </c>
      <c r="C3608" s="9">
        <f>IFERROR(__xludf.DUMMYFUNCTION("""COMPUTED_VALUE"""),801.3)</f>
        <v>801.3</v>
      </c>
      <c r="D3608" s="9">
        <f>IFERROR(__xludf.DUMMYFUNCTION("""COMPUTED_VALUE"""),792.35)</f>
        <v>792.35</v>
      </c>
      <c r="E3608" s="9">
        <f>IFERROR(__xludf.DUMMYFUNCTION("""COMPUTED_VALUE"""),795.7)</f>
        <v>795.7</v>
      </c>
      <c r="F3608" s="9">
        <f>IFERROR(__xludf.DUMMYFUNCTION("""COMPUTED_VALUE"""),5222488.0)</f>
        <v>5222488</v>
      </c>
      <c r="H3608" s="27">
        <f>IFERROR(__xludf.DUMMYFUNCTION("""COMPUTED_VALUE"""),43699.64583333333)</f>
        <v>43699.64583</v>
      </c>
      <c r="I3608" s="25">
        <f>IFERROR(__xludf.DUMMYFUNCTION("""COMPUTED_VALUE"""),2187.0)</f>
        <v>2187</v>
      </c>
      <c r="J3608" s="25">
        <f>IFERROR(__xludf.DUMMYFUNCTION("""COMPUTED_VALUE"""),2235.65)</f>
        <v>2235.65</v>
      </c>
      <c r="K3608" s="25">
        <f>IFERROR(__xludf.DUMMYFUNCTION("""COMPUTED_VALUE"""),2170.0)</f>
        <v>2170</v>
      </c>
      <c r="L3608" s="25">
        <f>IFERROR(__xludf.DUMMYFUNCTION("""COMPUTED_VALUE"""),2216.0)</f>
        <v>2216</v>
      </c>
      <c r="M3608" s="25">
        <f>IFERROR(__xludf.DUMMYFUNCTION("""COMPUTED_VALUE"""),2131601.0)</f>
        <v>2131601</v>
      </c>
    </row>
    <row r="3609">
      <c r="A3609" s="26">
        <f>IFERROR(__xludf.DUMMYFUNCTION("""COMPUTED_VALUE"""),43700.64583333333)</f>
        <v>43700.64583</v>
      </c>
      <c r="B3609" s="9">
        <f>IFERROR(__xludf.DUMMYFUNCTION("""COMPUTED_VALUE"""),796.45)</f>
        <v>796.45</v>
      </c>
      <c r="C3609" s="9">
        <f>IFERROR(__xludf.DUMMYFUNCTION("""COMPUTED_VALUE"""),809.95)</f>
        <v>809.95</v>
      </c>
      <c r="D3609" s="9">
        <f>IFERROR(__xludf.DUMMYFUNCTION("""COMPUTED_VALUE"""),795.8)</f>
        <v>795.8</v>
      </c>
      <c r="E3609" s="9">
        <f>IFERROR(__xludf.DUMMYFUNCTION("""COMPUTED_VALUE"""),802.2)</f>
        <v>802.2</v>
      </c>
      <c r="F3609" s="9">
        <f>IFERROR(__xludf.DUMMYFUNCTION("""COMPUTED_VALUE"""),6895015.0)</f>
        <v>6895015</v>
      </c>
      <c r="H3609" s="27">
        <f>IFERROR(__xludf.DUMMYFUNCTION("""COMPUTED_VALUE"""),43700.64583333333)</f>
        <v>43700.64583</v>
      </c>
      <c r="I3609" s="25">
        <f>IFERROR(__xludf.DUMMYFUNCTION("""COMPUTED_VALUE"""),2214.95)</f>
        <v>2214.95</v>
      </c>
      <c r="J3609" s="25">
        <f>IFERROR(__xludf.DUMMYFUNCTION("""COMPUTED_VALUE"""),2259.9)</f>
        <v>2259.9</v>
      </c>
      <c r="K3609" s="25">
        <f>IFERROR(__xludf.DUMMYFUNCTION("""COMPUTED_VALUE"""),2213.9)</f>
        <v>2213.9</v>
      </c>
      <c r="L3609" s="25">
        <f>IFERROR(__xludf.DUMMYFUNCTION("""COMPUTED_VALUE"""),2247.7)</f>
        <v>2247.7</v>
      </c>
      <c r="M3609" s="25">
        <f>IFERROR(__xludf.DUMMYFUNCTION("""COMPUTED_VALUE"""),2826425.0)</f>
        <v>2826425</v>
      </c>
    </row>
    <row r="3610">
      <c r="A3610" s="26">
        <f>IFERROR(__xludf.DUMMYFUNCTION("""COMPUTED_VALUE"""),43703.64583333333)</f>
        <v>43703.64583</v>
      </c>
      <c r="B3610" s="9">
        <f>IFERROR(__xludf.DUMMYFUNCTION("""COMPUTED_VALUE"""),795.9)</f>
        <v>795.9</v>
      </c>
      <c r="C3610" s="9">
        <f>IFERROR(__xludf.DUMMYFUNCTION("""COMPUTED_VALUE"""),806.8)</f>
        <v>806.8</v>
      </c>
      <c r="D3610" s="9">
        <f>IFERROR(__xludf.DUMMYFUNCTION("""COMPUTED_VALUE"""),786.9)</f>
        <v>786.9</v>
      </c>
      <c r="E3610" s="9">
        <f>IFERROR(__xludf.DUMMYFUNCTION("""COMPUTED_VALUE"""),802.55)</f>
        <v>802.55</v>
      </c>
      <c r="F3610" s="9">
        <f>IFERROR(__xludf.DUMMYFUNCTION("""COMPUTED_VALUE"""),5412074.0)</f>
        <v>5412074</v>
      </c>
      <c r="H3610" s="27">
        <f>IFERROR(__xludf.DUMMYFUNCTION("""COMPUTED_VALUE"""),43703.64583333333)</f>
        <v>43703.64583</v>
      </c>
      <c r="I3610" s="25">
        <f>IFERROR(__xludf.DUMMYFUNCTION("""COMPUTED_VALUE"""),2247.0)</f>
        <v>2247</v>
      </c>
      <c r="J3610" s="25">
        <f>IFERROR(__xludf.DUMMYFUNCTION("""COMPUTED_VALUE"""),2282.0)</f>
        <v>2282</v>
      </c>
      <c r="K3610" s="25">
        <f>IFERROR(__xludf.DUMMYFUNCTION("""COMPUTED_VALUE"""),2225.0)</f>
        <v>2225</v>
      </c>
      <c r="L3610" s="25">
        <f>IFERROR(__xludf.DUMMYFUNCTION("""COMPUTED_VALUE"""),2276.3)</f>
        <v>2276.3</v>
      </c>
      <c r="M3610" s="25">
        <f>IFERROR(__xludf.DUMMYFUNCTION("""COMPUTED_VALUE"""),2345475.0)</f>
        <v>2345475</v>
      </c>
    </row>
    <row r="3611">
      <c r="A3611" s="26">
        <f>IFERROR(__xludf.DUMMYFUNCTION("""COMPUTED_VALUE"""),43704.64583333333)</f>
        <v>43704.64583</v>
      </c>
      <c r="B3611" s="9">
        <f>IFERROR(__xludf.DUMMYFUNCTION("""COMPUTED_VALUE"""),791.0)</f>
        <v>791</v>
      </c>
      <c r="C3611" s="9">
        <f>IFERROR(__xludf.DUMMYFUNCTION("""COMPUTED_VALUE"""),794.95)</f>
        <v>794.95</v>
      </c>
      <c r="D3611" s="9">
        <f>IFERROR(__xludf.DUMMYFUNCTION("""COMPUTED_VALUE"""),781.1)</f>
        <v>781.1</v>
      </c>
      <c r="E3611" s="9">
        <f>IFERROR(__xludf.DUMMYFUNCTION("""COMPUTED_VALUE"""),784.65)</f>
        <v>784.65</v>
      </c>
      <c r="F3611" s="9">
        <f>IFERROR(__xludf.DUMMYFUNCTION("""COMPUTED_VALUE"""),1.6061642E7)</f>
        <v>16061642</v>
      </c>
      <c r="H3611" s="27">
        <f>IFERROR(__xludf.DUMMYFUNCTION("""COMPUTED_VALUE"""),43704.64583333333)</f>
        <v>43704.64583</v>
      </c>
      <c r="I3611" s="25">
        <f>IFERROR(__xludf.DUMMYFUNCTION("""COMPUTED_VALUE"""),2270.0)</f>
        <v>2270</v>
      </c>
      <c r="J3611" s="25">
        <f>IFERROR(__xludf.DUMMYFUNCTION("""COMPUTED_VALUE"""),2274.85)</f>
        <v>2274.85</v>
      </c>
      <c r="K3611" s="25">
        <f>IFERROR(__xludf.DUMMYFUNCTION("""COMPUTED_VALUE"""),2229.0)</f>
        <v>2229</v>
      </c>
      <c r="L3611" s="25">
        <f>IFERROR(__xludf.DUMMYFUNCTION("""COMPUTED_VALUE"""),2236.5)</f>
        <v>2236.5</v>
      </c>
      <c r="M3611" s="25">
        <f>IFERROR(__xludf.DUMMYFUNCTION("""COMPUTED_VALUE"""),3432106.0)</f>
        <v>3432106</v>
      </c>
    </row>
    <row r="3612">
      <c r="A3612" s="26">
        <f>IFERROR(__xludf.DUMMYFUNCTION("""COMPUTED_VALUE"""),43705.64583333333)</f>
        <v>43705.64583</v>
      </c>
      <c r="B3612" s="9">
        <f>IFERROR(__xludf.DUMMYFUNCTION("""COMPUTED_VALUE"""),787.4)</f>
        <v>787.4</v>
      </c>
      <c r="C3612" s="9">
        <f>IFERROR(__xludf.DUMMYFUNCTION("""COMPUTED_VALUE"""),805.0)</f>
        <v>805</v>
      </c>
      <c r="D3612" s="9">
        <f>IFERROR(__xludf.DUMMYFUNCTION("""COMPUTED_VALUE"""),786.3)</f>
        <v>786.3</v>
      </c>
      <c r="E3612" s="9">
        <f>IFERROR(__xludf.DUMMYFUNCTION("""COMPUTED_VALUE"""),802.5)</f>
        <v>802.5</v>
      </c>
      <c r="F3612" s="9">
        <f>IFERROR(__xludf.DUMMYFUNCTION("""COMPUTED_VALUE"""),5881134.0)</f>
        <v>5881134</v>
      </c>
      <c r="H3612" s="27">
        <f>IFERROR(__xludf.DUMMYFUNCTION("""COMPUTED_VALUE"""),43705.64583333333)</f>
        <v>43705.64583</v>
      </c>
      <c r="I3612" s="25">
        <f>IFERROR(__xludf.DUMMYFUNCTION("""COMPUTED_VALUE"""),2240.0)</f>
        <v>2240</v>
      </c>
      <c r="J3612" s="25">
        <f>IFERROR(__xludf.DUMMYFUNCTION("""COMPUTED_VALUE"""),2252.15)</f>
        <v>2252.15</v>
      </c>
      <c r="K3612" s="25">
        <f>IFERROR(__xludf.DUMMYFUNCTION("""COMPUTED_VALUE"""),2216.0)</f>
        <v>2216</v>
      </c>
      <c r="L3612" s="25">
        <f>IFERROR(__xludf.DUMMYFUNCTION("""COMPUTED_VALUE"""),2239.25)</f>
        <v>2239.25</v>
      </c>
      <c r="M3612" s="25">
        <f>IFERROR(__xludf.DUMMYFUNCTION("""COMPUTED_VALUE"""),1294621.0)</f>
        <v>1294621</v>
      </c>
    </row>
    <row r="3613">
      <c r="A3613" s="26">
        <f>IFERROR(__xludf.DUMMYFUNCTION("""COMPUTED_VALUE"""),43706.64583333333)</f>
        <v>43706.64583</v>
      </c>
      <c r="B3613" s="9">
        <f>IFERROR(__xludf.DUMMYFUNCTION("""COMPUTED_VALUE"""),795.5)</f>
        <v>795.5</v>
      </c>
      <c r="C3613" s="9">
        <f>IFERROR(__xludf.DUMMYFUNCTION("""COMPUTED_VALUE"""),809.7)</f>
        <v>809.7</v>
      </c>
      <c r="D3613" s="9">
        <f>IFERROR(__xludf.DUMMYFUNCTION("""COMPUTED_VALUE"""),795.5)</f>
        <v>795.5</v>
      </c>
      <c r="E3613" s="9">
        <f>IFERROR(__xludf.DUMMYFUNCTION("""COMPUTED_VALUE"""),806.95)</f>
        <v>806.95</v>
      </c>
      <c r="F3613" s="9">
        <f>IFERROR(__xludf.DUMMYFUNCTION("""COMPUTED_VALUE"""),7830413.0)</f>
        <v>7830413</v>
      </c>
      <c r="H3613" s="27">
        <f>IFERROR(__xludf.DUMMYFUNCTION("""COMPUTED_VALUE"""),43706.64583333333)</f>
        <v>43706.64583</v>
      </c>
      <c r="I3613" s="25">
        <f>IFERROR(__xludf.DUMMYFUNCTION("""COMPUTED_VALUE"""),2222.2)</f>
        <v>2222.2</v>
      </c>
      <c r="J3613" s="25">
        <f>IFERROR(__xludf.DUMMYFUNCTION("""COMPUTED_VALUE"""),2248.2)</f>
        <v>2248.2</v>
      </c>
      <c r="K3613" s="25">
        <f>IFERROR(__xludf.DUMMYFUNCTION("""COMPUTED_VALUE"""),2222.2)</f>
        <v>2222.2</v>
      </c>
      <c r="L3613" s="25">
        <f>IFERROR(__xludf.DUMMYFUNCTION("""COMPUTED_VALUE"""),2233.45)</f>
        <v>2233.45</v>
      </c>
      <c r="M3613" s="25">
        <f>IFERROR(__xludf.DUMMYFUNCTION("""COMPUTED_VALUE"""),1670652.0)</f>
        <v>1670652</v>
      </c>
    </row>
    <row r="3614">
      <c r="A3614" s="26">
        <f>IFERROR(__xludf.DUMMYFUNCTION("""COMPUTED_VALUE"""),43707.64583333333)</f>
        <v>43707.64583</v>
      </c>
      <c r="B3614" s="9">
        <f>IFERROR(__xludf.DUMMYFUNCTION("""COMPUTED_VALUE"""),810.0)</f>
        <v>810</v>
      </c>
      <c r="C3614" s="9">
        <f>IFERROR(__xludf.DUMMYFUNCTION("""COMPUTED_VALUE"""),817.35)</f>
        <v>817.35</v>
      </c>
      <c r="D3614" s="9">
        <f>IFERROR(__xludf.DUMMYFUNCTION("""COMPUTED_VALUE"""),802.0)</f>
        <v>802</v>
      </c>
      <c r="E3614" s="9">
        <f>IFERROR(__xludf.DUMMYFUNCTION("""COMPUTED_VALUE"""),814.9)</f>
        <v>814.9</v>
      </c>
      <c r="F3614" s="9">
        <f>IFERROR(__xludf.DUMMYFUNCTION("""COMPUTED_VALUE"""),8174186.0)</f>
        <v>8174186</v>
      </c>
      <c r="H3614" s="27">
        <f>IFERROR(__xludf.DUMMYFUNCTION("""COMPUTED_VALUE"""),43707.64583333333)</f>
        <v>43707.64583</v>
      </c>
      <c r="I3614" s="25">
        <f>IFERROR(__xludf.DUMMYFUNCTION("""COMPUTED_VALUE"""),2241.0)</f>
        <v>2241</v>
      </c>
      <c r="J3614" s="25">
        <f>IFERROR(__xludf.DUMMYFUNCTION("""COMPUTED_VALUE"""),2266.0)</f>
        <v>2266</v>
      </c>
      <c r="K3614" s="25">
        <f>IFERROR(__xludf.DUMMYFUNCTION("""COMPUTED_VALUE"""),2218.0)</f>
        <v>2218</v>
      </c>
      <c r="L3614" s="25">
        <f>IFERROR(__xludf.DUMMYFUNCTION("""COMPUTED_VALUE"""),2259.6)</f>
        <v>2259.6</v>
      </c>
      <c r="M3614" s="25">
        <f>IFERROR(__xludf.DUMMYFUNCTION("""COMPUTED_VALUE"""),2583625.0)</f>
        <v>2583625</v>
      </c>
    </row>
    <row r="3615">
      <c r="A3615" s="26">
        <f>IFERROR(__xludf.DUMMYFUNCTION("""COMPUTED_VALUE"""),43711.64583333333)</f>
        <v>43711.64583</v>
      </c>
      <c r="B3615" s="9">
        <f>IFERROR(__xludf.DUMMYFUNCTION("""COMPUTED_VALUE"""),815.0)</f>
        <v>815</v>
      </c>
      <c r="C3615" s="9">
        <f>IFERROR(__xludf.DUMMYFUNCTION("""COMPUTED_VALUE"""),822.4)</f>
        <v>822.4</v>
      </c>
      <c r="D3615" s="9">
        <f>IFERROR(__xludf.DUMMYFUNCTION("""COMPUTED_VALUE"""),812.05)</f>
        <v>812.05</v>
      </c>
      <c r="E3615" s="9">
        <f>IFERROR(__xludf.DUMMYFUNCTION("""COMPUTED_VALUE"""),814.25)</f>
        <v>814.25</v>
      </c>
      <c r="F3615" s="9">
        <f>IFERROR(__xludf.DUMMYFUNCTION("""COMPUTED_VALUE"""),5647088.0)</f>
        <v>5647088</v>
      </c>
      <c r="H3615" s="27">
        <f>IFERROR(__xludf.DUMMYFUNCTION("""COMPUTED_VALUE"""),43711.64583333333)</f>
        <v>43711.64583</v>
      </c>
      <c r="I3615" s="25">
        <f>IFERROR(__xludf.DUMMYFUNCTION("""COMPUTED_VALUE"""),2270.0)</f>
        <v>2270</v>
      </c>
      <c r="J3615" s="25">
        <f>IFERROR(__xludf.DUMMYFUNCTION("""COMPUTED_VALUE"""),2296.2)</f>
        <v>2296.2</v>
      </c>
      <c r="K3615" s="25">
        <f>IFERROR(__xludf.DUMMYFUNCTION("""COMPUTED_VALUE"""),2236.95)</f>
        <v>2236.95</v>
      </c>
      <c r="L3615" s="25">
        <f>IFERROR(__xludf.DUMMYFUNCTION("""COMPUTED_VALUE"""),2251.6)</f>
        <v>2251.6</v>
      </c>
      <c r="M3615" s="25">
        <f>IFERROR(__xludf.DUMMYFUNCTION("""COMPUTED_VALUE"""),2545060.0)</f>
        <v>2545060</v>
      </c>
    </row>
    <row r="3616">
      <c r="A3616" s="26">
        <f>IFERROR(__xludf.DUMMYFUNCTION("""COMPUTED_VALUE"""),43712.64583333333)</f>
        <v>43712.64583</v>
      </c>
      <c r="B3616" s="9">
        <f>IFERROR(__xludf.DUMMYFUNCTION("""COMPUTED_VALUE"""),810.75)</f>
        <v>810.75</v>
      </c>
      <c r="C3616" s="9">
        <f>IFERROR(__xludf.DUMMYFUNCTION("""COMPUTED_VALUE"""),822.45)</f>
        <v>822.45</v>
      </c>
      <c r="D3616" s="9">
        <f>IFERROR(__xludf.DUMMYFUNCTION("""COMPUTED_VALUE"""),810.25)</f>
        <v>810.25</v>
      </c>
      <c r="E3616" s="9">
        <f>IFERROR(__xludf.DUMMYFUNCTION("""COMPUTED_VALUE"""),821.3)</f>
        <v>821.3</v>
      </c>
      <c r="F3616" s="9">
        <f>IFERROR(__xludf.DUMMYFUNCTION("""COMPUTED_VALUE"""),6199015.0)</f>
        <v>6199015</v>
      </c>
      <c r="H3616" s="27">
        <f>IFERROR(__xludf.DUMMYFUNCTION("""COMPUTED_VALUE"""),43712.64583333333)</f>
        <v>43712.64583</v>
      </c>
      <c r="I3616" s="25">
        <f>IFERROR(__xludf.DUMMYFUNCTION("""COMPUTED_VALUE"""),2265.0)</f>
        <v>2265</v>
      </c>
      <c r="J3616" s="25">
        <f>IFERROR(__xludf.DUMMYFUNCTION("""COMPUTED_VALUE"""),2270.0)</f>
        <v>2270</v>
      </c>
      <c r="K3616" s="25">
        <f>IFERROR(__xludf.DUMMYFUNCTION("""COMPUTED_VALUE"""),2233.0)</f>
        <v>2233</v>
      </c>
      <c r="L3616" s="25">
        <f>IFERROR(__xludf.DUMMYFUNCTION("""COMPUTED_VALUE"""),2245.4)</f>
        <v>2245.4</v>
      </c>
      <c r="M3616" s="25">
        <f>IFERROR(__xludf.DUMMYFUNCTION("""COMPUTED_VALUE"""),2228092.0)</f>
        <v>2228092</v>
      </c>
    </row>
    <row r="3617">
      <c r="A3617" s="26">
        <f>IFERROR(__xludf.DUMMYFUNCTION("""COMPUTED_VALUE"""),43713.64583333333)</f>
        <v>43713.64583</v>
      </c>
      <c r="B3617" s="9">
        <f>IFERROR(__xludf.DUMMYFUNCTION("""COMPUTED_VALUE"""),830.1)</f>
        <v>830.1</v>
      </c>
      <c r="C3617" s="9">
        <f>IFERROR(__xludf.DUMMYFUNCTION("""COMPUTED_VALUE"""),837.5)</f>
        <v>837.5</v>
      </c>
      <c r="D3617" s="9">
        <f>IFERROR(__xludf.DUMMYFUNCTION("""COMPUTED_VALUE"""),826.65)</f>
        <v>826.65</v>
      </c>
      <c r="E3617" s="9">
        <f>IFERROR(__xludf.DUMMYFUNCTION("""COMPUTED_VALUE"""),834.05)</f>
        <v>834.05</v>
      </c>
      <c r="F3617" s="9">
        <f>IFERROR(__xludf.DUMMYFUNCTION("""COMPUTED_VALUE"""),7926895.0)</f>
        <v>7926895</v>
      </c>
      <c r="H3617" s="27">
        <f>IFERROR(__xludf.DUMMYFUNCTION("""COMPUTED_VALUE"""),43713.64583333333)</f>
        <v>43713.64583</v>
      </c>
      <c r="I3617" s="25">
        <f>IFERROR(__xludf.DUMMYFUNCTION("""COMPUTED_VALUE"""),2242.2)</f>
        <v>2242.2</v>
      </c>
      <c r="J3617" s="25">
        <f>IFERROR(__xludf.DUMMYFUNCTION("""COMPUTED_VALUE"""),2253.65)</f>
        <v>2253.65</v>
      </c>
      <c r="K3617" s="25">
        <f>IFERROR(__xludf.DUMMYFUNCTION("""COMPUTED_VALUE"""),2207.3)</f>
        <v>2207.3</v>
      </c>
      <c r="L3617" s="25">
        <f>IFERROR(__xludf.DUMMYFUNCTION("""COMPUTED_VALUE"""),2215.3)</f>
        <v>2215.3</v>
      </c>
      <c r="M3617" s="25">
        <f>IFERROR(__xludf.DUMMYFUNCTION("""COMPUTED_VALUE"""),2055943.0)</f>
        <v>2055943</v>
      </c>
    </row>
    <row r="3618">
      <c r="A3618" s="26">
        <f>IFERROR(__xludf.DUMMYFUNCTION("""COMPUTED_VALUE"""),43714.64583333333)</f>
        <v>43714.64583</v>
      </c>
      <c r="B3618" s="9">
        <f>IFERROR(__xludf.DUMMYFUNCTION("""COMPUTED_VALUE"""),843.3)</f>
        <v>843.3</v>
      </c>
      <c r="C3618" s="9">
        <f>IFERROR(__xludf.DUMMYFUNCTION("""COMPUTED_VALUE"""),847.0)</f>
        <v>847</v>
      </c>
      <c r="D3618" s="9">
        <f>IFERROR(__xludf.DUMMYFUNCTION("""COMPUTED_VALUE"""),835.05)</f>
        <v>835.05</v>
      </c>
      <c r="E3618" s="9">
        <f>IFERROR(__xludf.DUMMYFUNCTION("""COMPUTED_VALUE"""),840.15)</f>
        <v>840.15</v>
      </c>
      <c r="F3618" s="9">
        <f>IFERROR(__xludf.DUMMYFUNCTION("""COMPUTED_VALUE"""),6106841.0)</f>
        <v>6106841</v>
      </c>
      <c r="H3618" s="27">
        <f>IFERROR(__xludf.DUMMYFUNCTION("""COMPUTED_VALUE"""),43714.64583333333)</f>
        <v>43714.64583</v>
      </c>
      <c r="I3618" s="25">
        <f>IFERROR(__xludf.DUMMYFUNCTION("""COMPUTED_VALUE"""),2216.0)</f>
        <v>2216</v>
      </c>
      <c r="J3618" s="25">
        <f>IFERROR(__xludf.DUMMYFUNCTION("""COMPUTED_VALUE"""),2233.5)</f>
        <v>2233.5</v>
      </c>
      <c r="K3618" s="25">
        <f>IFERROR(__xludf.DUMMYFUNCTION("""COMPUTED_VALUE"""),2192.6)</f>
        <v>2192.6</v>
      </c>
      <c r="L3618" s="25">
        <f>IFERROR(__xludf.DUMMYFUNCTION("""COMPUTED_VALUE"""),2197.5)</f>
        <v>2197.5</v>
      </c>
      <c r="M3618" s="25">
        <f>IFERROR(__xludf.DUMMYFUNCTION("""COMPUTED_VALUE"""),1890550.0)</f>
        <v>1890550</v>
      </c>
    </row>
    <row r="3619">
      <c r="A3619" s="26">
        <f>IFERROR(__xludf.DUMMYFUNCTION("""COMPUTED_VALUE"""),43717.64583333333)</f>
        <v>43717.64583</v>
      </c>
      <c r="B3619" s="9">
        <f>IFERROR(__xludf.DUMMYFUNCTION("""COMPUTED_VALUE"""),836.8)</f>
        <v>836.8</v>
      </c>
      <c r="C3619" s="9">
        <f>IFERROR(__xludf.DUMMYFUNCTION("""COMPUTED_VALUE"""),840.3)</f>
        <v>840.3</v>
      </c>
      <c r="D3619" s="9">
        <f>IFERROR(__xludf.DUMMYFUNCTION("""COMPUTED_VALUE"""),827.55)</f>
        <v>827.55</v>
      </c>
      <c r="E3619" s="9">
        <f>IFERROR(__xludf.DUMMYFUNCTION("""COMPUTED_VALUE"""),829.1)</f>
        <v>829.1</v>
      </c>
      <c r="F3619" s="9">
        <f>IFERROR(__xludf.DUMMYFUNCTION("""COMPUTED_VALUE"""),4377870.0)</f>
        <v>4377870</v>
      </c>
      <c r="H3619" s="27">
        <f>IFERROR(__xludf.DUMMYFUNCTION("""COMPUTED_VALUE"""),43717.64583333333)</f>
        <v>43717.64583</v>
      </c>
      <c r="I3619" s="25">
        <f>IFERROR(__xludf.DUMMYFUNCTION("""COMPUTED_VALUE"""),2200.0)</f>
        <v>2200</v>
      </c>
      <c r="J3619" s="25">
        <f>IFERROR(__xludf.DUMMYFUNCTION("""COMPUTED_VALUE"""),2202.85)</f>
        <v>2202.85</v>
      </c>
      <c r="K3619" s="25">
        <f>IFERROR(__xludf.DUMMYFUNCTION("""COMPUTED_VALUE"""),2179.8)</f>
        <v>2179.8</v>
      </c>
      <c r="L3619" s="25">
        <f>IFERROR(__xludf.DUMMYFUNCTION("""COMPUTED_VALUE"""),2182.85)</f>
        <v>2182.85</v>
      </c>
      <c r="M3619" s="25">
        <f>IFERROR(__xludf.DUMMYFUNCTION("""COMPUTED_VALUE"""),1703945.0)</f>
        <v>1703945</v>
      </c>
    </row>
    <row r="3620">
      <c r="A3620" s="26">
        <f>IFERROR(__xludf.DUMMYFUNCTION("""COMPUTED_VALUE"""),43719.64583333333)</f>
        <v>43719.64583</v>
      </c>
      <c r="B3620" s="9">
        <f>IFERROR(__xludf.DUMMYFUNCTION("""COMPUTED_VALUE"""),822.3)</f>
        <v>822.3</v>
      </c>
      <c r="C3620" s="9">
        <f>IFERROR(__xludf.DUMMYFUNCTION("""COMPUTED_VALUE"""),828.55)</f>
        <v>828.55</v>
      </c>
      <c r="D3620" s="9">
        <f>IFERROR(__xludf.DUMMYFUNCTION("""COMPUTED_VALUE"""),814.15)</f>
        <v>814.15</v>
      </c>
      <c r="E3620" s="9">
        <f>IFERROR(__xludf.DUMMYFUNCTION("""COMPUTED_VALUE"""),820.1)</f>
        <v>820.1</v>
      </c>
      <c r="F3620" s="9">
        <f>IFERROR(__xludf.DUMMYFUNCTION("""COMPUTED_VALUE"""),7981036.0)</f>
        <v>7981036</v>
      </c>
      <c r="H3620" s="27">
        <f>IFERROR(__xludf.DUMMYFUNCTION("""COMPUTED_VALUE"""),43719.64583333333)</f>
        <v>43719.64583</v>
      </c>
      <c r="I3620" s="25">
        <f>IFERROR(__xludf.DUMMYFUNCTION("""COMPUTED_VALUE"""),2186.0)</f>
        <v>2186</v>
      </c>
      <c r="J3620" s="25">
        <f>IFERROR(__xludf.DUMMYFUNCTION("""COMPUTED_VALUE"""),2195.0)</f>
        <v>2195</v>
      </c>
      <c r="K3620" s="25">
        <f>IFERROR(__xludf.DUMMYFUNCTION("""COMPUTED_VALUE"""),2146.55)</f>
        <v>2146.55</v>
      </c>
      <c r="L3620" s="25">
        <f>IFERROR(__xludf.DUMMYFUNCTION("""COMPUTED_VALUE"""),2154.0)</f>
        <v>2154</v>
      </c>
      <c r="M3620" s="25">
        <f>IFERROR(__xludf.DUMMYFUNCTION("""COMPUTED_VALUE"""),2627440.0)</f>
        <v>2627440</v>
      </c>
    </row>
    <row r="3621">
      <c r="A3621" s="26">
        <f>IFERROR(__xludf.DUMMYFUNCTION("""COMPUTED_VALUE"""),43720.64583333333)</f>
        <v>43720.64583</v>
      </c>
      <c r="B3621" s="9">
        <f>IFERROR(__xludf.DUMMYFUNCTION("""COMPUTED_VALUE"""),816.4)</f>
        <v>816.4</v>
      </c>
      <c r="C3621" s="9">
        <f>IFERROR(__xludf.DUMMYFUNCTION("""COMPUTED_VALUE"""),819.85)</f>
        <v>819.85</v>
      </c>
      <c r="D3621" s="9">
        <f>IFERROR(__xludf.DUMMYFUNCTION("""COMPUTED_VALUE"""),810.85)</f>
        <v>810.85</v>
      </c>
      <c r="E3621" s="9">
        <f>IFERROR(__xludf.DUMMYFUNCTION("""COMPUTED_VALUE"""),816.4)</f>
        <v>816.4</v>
      </c>
      <c r="F3621" s="9">
        <f>IFERROR(__xludf.DUMMYFUNCTION("""COMPUTED_VALUE"""),4400017.0)</f>
        <v>4400017</v>
      </c>
      <c r="H3621" s="27">
        <f>IFERROR(__xludf.DUMMYFUNCTION("""COMPUTED_VALUE"""),43720.64583333333)</f>
        <v>43720.64583</v>
      </c>
      <c r="I3621" s="25">
        <f>IFERROR(__xludf.DUMMYFUNCTION("""COMPUTED_VALUE"""),2155.0)</f>
        <v>2155</v>
      </c>
      <c r="J3621" s="25">
        <f>IFERROR(__xludf.DUMMYFUNCTION("""COMPUTED_VALUE"""),2165.0)</f>
        <v>2165</v>
      </c>
      <c r="K3621" s="25">
        <f>IFERROR(__xludf.DUMMYFUNCTION("""COMPUTED_VALUE"""),2120.35)</f>
        <v>2120.35</v>
      </c>
      <c r="L3621" s="25">
        <f>IFERROR(__xludf.DUMMYFUNCTION("""COMPUTED_VALUE"""),2133.6)</f>
        <v>2133.6</v>
      </c>
      <c r="M3621" s="25">
        <f>IFERROR(__xludf.DUMMYFUNCTION("""COMPUTED_VALUE"""),2118859.0)</f>
        <v>2118859</v>
      </c>
    </row>
    <row r="3622">
      <c r="A3622" s="26">
        <f>IFERROR(__xludf.DUMMYFUNCTION("""COMPUTED_VALUE"""),43721.64583333333)</f>
        <v>43721.64583</v>
      </c>
      <c r="B3622" s="9">
        <f>IFERROR(__xludf.DUMMYFUNCTION("""COMPUTED_VALUE"""),818.1)</f>
        <v>818.1</v>
      </c>
      <c r="C3622" s="9">
        <f>IFERROR(__xludf.DUMMYFUNCTION("""COMPUTED_VALUE"""),831.05)</f>
        <v>831.05</v>
      </c>
      <c r="D3622" s="9">
        <f>IFERROR(__xludf.DUMMYFUNCTION("""COMPUTED_VALUE"""),817.5)</f>
        <v>817.5</v>
      </c>
      <c r="E3622" s="9">
        <f>IFERROR(__xludf.DUMMYFUNCTION("""COMPUTED_VALUE"""),829.3)</f>
        <v>829.3</v>
      </c>
      <c r="F3622" s="9">
        <f>IFERROR(__xludf.DUMMYFUNCTION("""COMPUTED_VALUE"""),4832021.0)</f>
        <v>4832021</v>
      </c>
      <c r="H3622" s="27">
        <f>IFERROR(__xludf.DUMMYFUNCTION("""COMPUTED_VALUE"""),43721.64583333333)</f>
        <v>43721.64583</v>
      </c>
      <c r="I3622" s="25">
        <f>IFERROR(__xludf.DUMMYFUNCTION("""COMPUTED_VALUE"""),2135.0)</f>
        <v>2135</v>
      </c>
      <c r="J3622" s="25">
        <f>IFERROR(__xludf.DUMMYFUNCTION("""COMPUTED_VALUE"""),2157.95)</f>
        <v>2157.95</v>
      </c>
      <c r="K3622" s="25">
        <f>IFERROR(__xludf.DUMMYFUNCTION("""COMPUTED_VALUE"""),2115.55)</f>
        <v>2115.55</v>
      </c>
      <c r="L3622" s="25">
        <f>IFERROR(__xludf.DUMMYFUNCTION("""COMPUTED_VALUE"""),2141.95)</f>
        <v>2141.95</v>
      </c>
      <c r="M3622" s="25">
        <f>IFERROR(__xludf.DUMMYFUNCTION("""COMPUTED_VALUE"""),2291174.0)</f>
        <v>2291174</v>
      </c>
    </row>
    <row r="3623">
      <c r="A3623" s="26">
        <f>IFERROR(__xludf.DUMMYFUNCTION("""COMPUTED_VALUE"""),43724.64583333333)</f>
        <v>43724.64583</v>
      </c>
      <c r="B3623" s="9">
        <f>IFERROR(__xludf.DUMMYFUNCTION("""COMPUTED_VALUE"""),832.05)</f>
        <v>832.05</v>
      </c>
      <c r="C3623" s="9">
        <f>IFERROR(__xludf.DUMMYFUNCTION("""COMPUTED_VALUE"""),837.95)</f>
        <v>837.95</v>
      </c>
      <c r="D3623" s="9">
        <f>IFERROR(__xludf.DUMMYFUNCTION("""COMPUTED_VALUE"""),820.55)</f>
        <v>820.55</v>
      </c>
      <c r="E3623" s="9">
        <f>IFERROR(__xludf.DUMMYFUNCTION("""COMPUTED_VALUE"""),827.7)</f>
        <v>827.7</v>
      </c>
      <c r="F3623" s="9">
        <f>IFERROR(__xludf.DUMMYFUNCTION("""COMPUTED_VALUE"""),4846496.0)</f>
        <v>4846496</v>
      </c>
      <c r="H3623" s="27">
        <f>IFERROR(__xludf.DUMMYFUNCTION("""COMPUTED_VALUE"""),43724.64583333333)</f>
        <v>43724.64583</v>
      </c>
      <c r="I3623" s="25">
        <f>IFERROR(__xludf.DUMMYFUNCTION("""COMPUTED_VALUE"""),2159.95)</f>
        <v>2159.95</v>
      </c>
      <c r="J3623" s="25">
        <f>IFERROR(__xludf.DUMMYFUNCTION("""COMPUTED_VALUE"""),2173.4)</f>
        <v>2173.4</v>
      </c>
      <c r="K3623" s="25">
        <f>IFERROR(__xludf.DUMMYFUNCTION("""COMPUTED_VALUE"""),2126.4)</f>
        <v>2126.4</v>
      </c>
      <c r="L3623" s="25">
        <f>IFERROR(__xludf.DUMMYFUNCTION("""COMPUTED_VALUE"""),2150.0)</f>
        <v>2150</v>
      </c>
      <c r="M3623" s="25">
        <f>IFERROR(__xludf.DUMMYFUNCTION("""COMPUTED_VALUE"""),2597948.0)</f>
        <v>2597948</v>
      </c>
    </row>
    <row r="3624">
      <c r="A3624" s="26">
        <f>IFERROR(__xludf.DUMMYFUNCTION("""COMPUTED_VALUE"""),43725.64583333333)</f>
        <v>43725.64583</v>
      </c>
      <c r="B3624" s="9">
        <f>IFERROR(__xludf.DUMMYFUNCTION("""COMPUTED_VALUE"""),831.5)</f>
        <v>831.5</v>
      </c>
      <c r="C3624" s="9">
        <f>IFERROR(__xludf.DUMMYFUNCTION("""COMPUTED_VALUE"""),835.0)</f>
        <v>835</v>
      </c>
      <c r="D3624" s="9">
        <f>IFERROR(__xludf.DUMMYFUNCTION("""COMPUTED_VALUE"""),820.55)</f>
        <v>820.55</v>
      </c>
      <c r="E3624" s="9">
        <f>IFERROR(__xludf.DUMMYFUNCTION("""COMPUTED_VALUE"""),831.25)</f>
        <v>831.25</v>
      </c>
      <c r="F3624" s="9">
        <f>IFERROR(__xludf.DUMMYFUNCTION("""COMPUTED_VALUE"""),5540901.0)</f>
        <v>5540901</v>
      </c>
      <c r="H3624" s="27">
        <f>IFERROR(__xludf.DUMMYFUNCTION("""COMPUTED_VALUE"""),43725.64583333333)</f>
        <v>43725.64583</v>
      </c>
      <c r="I3624" s="25">
        <f>IFERROR(__xludf.DUMMYFUNCTION("""COMPUTED_VALUE"""),2154.95)</f>
        <v>2154.95</v>
      </c>
      <c r="J3624" s="25">
        <f>IFERROR(__xludf.DUMMYFUNCTION("""COMPUTED_VALUE"""),2156.55)</f>
        <v>2156.55</v>
      </c>
      <c r="K3624" s="25">
        <f>IFERROR(__xludf.DUMMYFUNCTION("""COMPUTED_VALUE"""),2105.6)</f>
        <v>2105.6</v>
      </c>
      <c r="L3624" s="25">
        <f>IFERROR(__xludf.DUMMYFUNCTION("""COMPUTED_VALUE"""),2122.65)</f>
        <v>2122.65</v>
      </c>
      <c r="M3624" s="25">
        <f>IFERROR(__xludf.DUMMYFUNCTION("""COMPUTED_VALUE"""),2796530.0)</f>
        <v>2796530</v>
      </c>
    </row>
    <row r="3625">
      <c r="A3625" s="26">
        <f>IFERROR(__xludf.DUMMYFUNCTION("""COMPUTED_VALUE"""),43726.64583333333)</f>
        <v>43726.64583</v>
      </c>
      <c r="B3625" s="9">
        <f>IFERROR(__xludf.DUMMYFUNCTION("""COMPUTED_VALUE"""),829.9)</f>
        <v>829.9</v>
      </c>
      <c r="C3625" s="9">
        <f>IFERROR(__xludf.DUMMYFUNCTION("""COMPUTED_VALUE"""),832.95)</f>
        <v>832.95</v>
      </c>
      <c r="D3625" s="9">
        <f>IFERROR(__xludf.DUMMYFUNCTION("""COMPUTED_VALUE"""),824.0)</f>
        <v>824</v>
      </c>
      <c r="E3625" s="9">
        <f>IFERROR(__xludf.DUMMYFUNCTION("""COMPUTED_VALUE"""),829.85)</f>
        <v>829.85</v>
      </c>
      <c r="F3625" s="9">
        <f>IFERROR(__xludf.DUMMYFUNCTION("""COMPUTED_VALUE"""),3199389.0)</f>
        <v>3199389</v>
      </c>
      <c r="H3625" s="27">
        <f>IFERROR(__xludf.DUMMYFUNCTION("""COMPUTED_VALUE"""),43726.64583333333)</f>
        <v>43726.64583</v>
      </c>
      <c r="I3625" s="25">
        <f>IFERROR(__xludf.DUMMYFUNCTION("""COMPUTED_VALUE"""),2126.4)</f>
        <v>2126.4</v>
      </c>
      <c r="J3625" s="25">
        <f>IFERROR(__xludf.DUMMYFUNCTION("""COMPUTED_VALUE"""),2142.95)</f>
        <v>2142.95</v>
      </c>
      <c r="K3625" s="25">
        <f>IFERROR(__xludf.DUMMYFUNCTION("""COMPUTED_VALUE"""),2113.15)</f>
        <v>2113.15</v>
      </c>
      <c r="L3625" s="25">
        <f>IFERROR(__xludf.DUMMYFUNCTION("""COMPUTED_VALUE"""),2138.55)</f>
        <v>2138.55</v>
      </c>
      <c r="M3625" s="25">
        <f>IFERROR(__xludf.DUMMYFUNCTION("""COMPUTED_VALUE"""),1454663.0)</f>
        <v>1454663</v>
      </c>
    </row>
    <row r="3626">
      <c r="A3626" s="26">
        <f>IFERROR(__xludf.DUMMYFUNCTION("""COMPUTED_VALUE"""),43727.64583333333)</f>
        <v>43727.64583</v>
      </c>
      <c r="B3626" s="9">
        <f>IFERROR(__xludf.DUMMYFUNCTION("""COMPUTED_VALUE"""),824.85)</f>
        <v>824.85</v>
      </c>
      <c r="C3626" s="9">
        <f>IFERROR(__xludf.DUMMYFUNCTION("""COMPUTED_VALUE"""),827.0)</f>
        <v>827</v>
      </c>
      <c r="D3626" s="9">
        <f>IFERROR(__xludf.DUMMYFUNCTION("""COMPUTED_VALUE"""),815.2)</f>
        <v>815.2</v>
      </c>
      <c r="E3626" s="9">
        <f>IFERROR(__xludf.DUMMYFUNCTION("""COMPUTED_VALUE"""),820.7)</f>
        <v>820.7</v>
      </c>
      <c r="F3626" s="9">
        <f>IFERROR(__xludf.DUMMYFUNCTION("""COMPUTED_VALUE"""),6601607.0)</f>
        <v>6601607</v>
      </c>
      <c r="H3626" s="27">
        <f>IFERROR(__xludf.DUMMYFUNCTION("""COMPUTED_VALUE"""),43727.64583333333)</f>
        <v>43727.64583</v>
      </c>
      <c r="I3626" s="25">
        <f>IFERROR(__xludf.DUMMYFUNCTION("""COMPUTED_VALUE"""),2135.0)</f>
        <v>2135</v>
      </c>
      <c r="J3626" s="25">
        <f>IFERROR(__xludf.DUMMYFUNCTION("""COMPUTED_VALUE"""),2135.8)</f>
        <v>2135.8</v>
      </c>
      <c r="K3626" s="25">
        <f>IFERROR(__xludf.DUMMYFUNCTION("""COMPUTED_VALUE"""),2091.0)</f>
        <v>2091</v>
      </c>
      <c r="L3626" s="25">
        <f>IFERROR(__xludf.DUMMYFUNCTION("""COMPUTED_VALUE"""),2101.95)</f>
        <v>2101.95</v>
      </c>
      <c r="M3626" s="25">
        <f>IFERROR(__xludf.DUMMYFUNCTION("""COMPUTED_VALUE"""),1652691.0)</f>
        <v>1652691</v>
      </c>
    </row>
    <row r="3627">
      <c r="A3627" s="26">
        <f>IFERROR(__xludf.DUMMYFUNCTION("""COMPUTED_VALUE"""),43728.64583333333)</f>
        <v>43728.64583</v>
      </c>
      <c r="B3627" s="9">
        <f>IFERROR(__xludf.DUMMYFUNCTION("""COMPUTED_VALUE"""),822.9)</f>
        <v>822.9</v>
      </c>
      <c r="C3627" s="9">
        <f>IFERROR(__xludf.DUMMYFUNCTION("""COMPUTED_VALUE"""),835.0)</f>
        <v>835</v>
      </c>
      <c r="D3627" s="9">
        <f>IFERROR(__xludf.DUMMYFUNCTION("""COMPUTED_VALUE"""),802.0)</f>
        <v>802</v>
      </c>
      <c r="E3627" s="9">
        <f>IFERROR(__xludf.DUMMYFUNCTION("""COMPUTED_VALUE"""),805.0)</f>
        <v>805</v>
      </c>
      <c r="F3627" s="9">
        <f>IFERROR(__xludf.DUMMYFUNCTION("""COMPUTED_VALUE"""),2.2462366E7)</f>
        <v>22462366</v>
      </c>
      <c r="H3627" s="27">
        <f>IFERROR(__xludf.DUMMYFUNCTION("""COMPUTED_VALUE"""),43728.64583333333)</f>
        <v>43728.64583</v>
      </c>
      <c r="I3627" s="25">
        <f>IFERROR(__xludf.DUMMYFUNCTION("""COMPUTED_VALUE"""),2104.9)</f>
        <v>2104.9</v>
      </c>
      <c r="J3627" s="25">
        <f>IFERROR(__xludf.DUMMYFUNCTION("""COMPUTED_VALUE"""),2129.4)</f>
        <v>2129.4</v>
      </c>
      <c r="K3627" s="25">
        <f>IFERROR(__xludf.DUMMYFUNCTION("""COMPUTED_VALUE"""),2057.0)</f>
        <v>2057</v>
      </c>
      <c r="L3627" s="25">
        <f>IFERROR(__xludf.DUMMYFUNCTION("""COMPUTED_VALUE"""),2065.45)</f>
        <v>2065.45</v>
      </c>
      <c r="M3627" s="25">
        <f>IFERROR(__xludf.DUMMYFUNCTION("""COMPUTED_VALUE"""),6941979.0)</f>
        <v>6941979</v>
      </c>
    </row>
    <row r="3628">
      <c r="A3628" s="26">
        <f>IFERROR(__xludf.DUMMYFUNCTION("""COMPUTED_VALUE"""),43731.64583333333)</f>
        <v>43731.64583</v>
      </c>
      <c r="B3628" s="9">
        <f>IFERROR(__xludf.DUMMYFUNCTION("""COMPUTED_VALUE"""),806.9)</f>
        <v>806.9</v>
      </c>
      <c r="C3628" s="9">
        <f>IFERROR(__xludf.DUMMYFUNCTION("""COMPUTED_VALUE"""),806.9)</f>
        <v>806.9</v>
      </c>
      <c r="D3628" s="9">
        <f>IFERROR(__xludf.DUMMYFUNCTION("""COMPUTED_VALUE"""),741.9)</f>
        <v>741.9</v>
      </c>
      <c r="E3628" s="9">
        <f>IFERROR(__xludf.DUMMYFUNCTION("""COMPUTED_VALUE"""),764.35)</f>
        <v>764.35</v>
      </c>
      <c r="F3628" s="9">
        <f>IFERROR(__xludf.DUMMYFUNCTION("""COMPUTED_VALUE"""),1.727926E7)</f>
        <v>17279260</v>
      </c>
      <c r="H3628" s="27">
        <f>IFERROR(__xludf.DUMMYFUNCTION("""COMPUTED_VALUE"""),43731.64583333333)</f>
        <v>43731.64583</v>
      </c>
      <c r="I3628" s="25">
        <f>IFERROR(__xludf.DUMMYFUNCTION("""COMPUTED_VALUE"""),2099.0)</f>
        <v>2099</v>
      </c>
      <c r="J3628" s="25">
        <f>IFERROR(__xludf.DUMMYFUNCTION("""COMPUTED_VALUE"""),2099.0)</f>
        <v>2099</v>
      </c>
      <c r="K3628" s="25">
        <f>IFERROR(__xludf.DUMMYFUNCTION("""COMPUTED_VALUE"""),1975.0)</f>
        <v>1975</v>
      </c>
      <c r="L3628" s="25">
        <f>IFERROR(__xludf.DUMMYFUNCTION("""COMPUTED_VALUE"""),2015.8)</f>
        <v>2015.8</v>
      </c>
      <c r="M3628" s="25">
        <f>IFERROR(__xludf.DUMMYFUNCTION("""COMPUTED_VALUE"""),6323401.0)</f>
        <v>6323401</v>
      </c>
    </row>
    <row r="3629">
      <c r="A3629" s="26">
        <f>IFERROR(__xludf.DUMMYFUNCTION("""COMPUTED_VALUE"""),43732.64583333333)</f>
        <v>43732.64583</v>
      </c>
      <c r="B3629" s="9">
        <f>IFERROR(__xludf.DUMMYFUNCTION("""COMPUTED_VALUE"""),765.0)</f>
        <v>765</v>
      </c>
      <c r="C3629" s="9">
        <f>IFERROR(__xludf.DUMMYFUNCTION("""COMPUTED_VALUE"""),798.65)</f>
        <v>798.65</v>
      </c>
      <c r="D3629" s="9">
        <f>IFERROR(__xludf.DUMMYFUNCTION("""COMPUTED_VALUE"""),765.0)</f>
        <v>765</v>
      </c>
      <c r="E3629" s="9">
        <f>IFERROR(__xludf.DUMMYFUNCTION("""COMPUTED_VALUE"""),794.05)</f>
        <v>794.05</v>
      </c>
      <c r="F3629" s="9">
        <f>IFERROR(__xludf.DUMMYFUNCTION("""COMPUTED_VALUE"""),1.3717998E7)</f>
        <v>13717998</v>
      </c>
      <c r="H3629" s="27">
        <f>IFERROR(__xludf.DUMMYFUNCTION("""COMPUTED_VALUE"""),43732.64583333333)</f>
        <v>43732.64583</v>
      </c>
      <c r="I3629" s="25">
        <f>IFERROR(__xludf.DUMMYFUNCTION("""COMPUTED_VALUE"""),2015.0)</f>
        <v>2015</v>
      </c>
      <c r="J3629" s="25">
        <f>IFERROR(__xludf.DUMMYFUNCTION("""COMPUTED_VALUE"""),2061.0)</f>
        <v>2061</v>
      </c>
      <c r="K3629" s="25">
        <f>IFERROR(__xludf.DUMMYFUNCTION("""COMPUTED_VALUE"""),2013.0)</f>
        <v>2013</v>
      </c>
      <c r="L3629" s="25">
        <f>IFERROR(__xludf.DUMMYFUNCTION("""COMPUTED_VALUE"""),2044.7)</f>
        <v>2044.7</v>
      </c>
      <c r="M3629" s="25">
        <f>IFERROR(__xludf.DUMMYFUNCTION("""COMPUTED_VALUE"""),4620978.0)</f>
        <v>4620978</v>
      </c>
    </row>
    <row r="3630">
      <c r="A3630" s="26">
        <f>IFERROR(__xludf.DUMMYFUNCTION("""COMPUTED_VALUE"""),43733.64583333333)</f>
        <v>43733.64583</v>
      </c>
      <c r="B3630" s="9">
        <f>IFERROR(__xludf.DUMMYFUNCTION("""COMPUTED_VALUE"""),787.7)</f>
        <v>787.7</v>
      </c>
      <c r="C3630" s="9">
        <f>IFERROR(__xludf.DUMMYFUNCTION("""COMPUTED_VALUE"""),801.0)</f>
        <v>801</v>
      </c>
      <c r="D3630" s="9">
        <f>IFERROR(__xludf.DUMMYFUNCTION("""COMPUTED_VALUE"""),781.65)</f>
        <v>781.65</v>
      </c>
      <c r="E3630" s="9">
        <f>IFERROR(__xludf.DUMMYFUNCTION("""COMPUTED_VALUE"""),792.65)</f>
        <v>792.65</v>
      </c>
      <c r="F3630" s="9">
        <f>IFERROR(__xludf.DUMMYFUNCTION("""COMPUTED_VALUE"""),9313576.0)</f>
        <v>9313576</v>
      </c>
      <c r="H3630" s="27">
        <f>IFERROR(__xludf.DUMMYFUNCTION("""COMPUTED_VALUE"""),43733.64583333333)</f>
        <v>43733.64583</v>
      </c>
      <c r="I3630" s="25">
        <f>IFERROR(__xludf.DUMMYFUNCTION("""COMPUTED_VALUE"""),2065.0)</f>
        <v>2065</v>
      </c>
      <c r="J3630" s="25">
        <f>IFERROR(__xludf.DUMMYFUNCTION("""COMPUTED_VALUE"""),2092.0)</f>
        <v>2092</v>
      </c>
      <c r="K3630" s="25">
        <f>IFERROR(__xludf.DUMMYFUNCTION("""COMPUTED_VALUE"""),2060.05)</f>
        <v>2060.05</v>
      </c>
      <c r="L3630" s="25">
        <f>IFERROR(__xludf.DUMMYFUNCTION("""COMPUTED_VALUE"""),2088.45)</f>
        <v>2088.45</v>
      </c>
      <c r="M3630" s="25">
        <f>IFERROR(__xludf.DUMMYFUNCTION("""COMPUTED_VALUE"""),4002232.0)</f>
        <v>4002232</v>
      </c>
    </row>
    <row r="3631">
      <c r="A3631" s="26">
        <f>IFERROR(__xludf.DUMMYFUNCTION("""COMPUTED_VALUE"""),43734.64583333333)</f>
        <v>43734.64583</v>
      </c>
      <c r="B3631" s="9">
        <f>IFERROR(__xludf.DUMMYFUNCTION("""COMPUTED_VALUE"""),787.75)</f>
        <v>787.75</v>
      </c>
      <c r="C3631" s="9">
        <f>IFERROR(__xludf.DUMMYFUNCTION("""COMPUTED_VALUE"""),797.0)</f>
        <v>797</v>
      </c>
      <c r="D3631" s="9">
        <f>IFERROR(__xludf.DUMMYFUNCTION("""COMPUTED_VALUE"""),778.1)</f>
        <v>778.1</v>
      </c>
      <c r="E3631" s="9">
        <f>IFERROR(__xludf.DUMMYFUNCTION("""COMPUTED_VALUE"""),782.55)</f>
        <v>782.55</v>
      </c>
      <c r="F3631" s="9">
        <f>IFERROR(__xludf.DUMMYFUNCTION("""COMPUTED_VALUE"""),1.8442824E7)</f>
        <v>18442824</v>
      </c>
      <c r="H3631" s="27">
        <f>IFERROR(__xludf.DUMMYFUNCTION("""COMPUTED_VALUE"""),43734.64583333333)</f>
        <v>43734.64583</v>
      </c>
      <c r="I3631" s="25">
        <f>IFERROR(__xludf.DUMMYFUNCTION("""COMPUTED_VALUE"""),2097.9)</f>
        <v>2097.9</v>
      </c>
      <c r="J3631" s="25">
        <f>IFERROR(__xludf.DUMMYFUNCTION("""COMPUTED_VALUE"""),2107.0)</f>
        <v>2107</v>
      </c>
      <c r="K3631" s="25">
        <f>IFERROR(__xludf.DUMMYFUNCTION("""COMPUTED_VALUE"""),2063.0)</f>
        <v>2063</v>
      </c>
      <c r="L3631" s="25">
        <f>IFERROR(__xludf.DUMMYFUNCTION("""COMPUTED_VALUE"""),2087.6)</f>
        <v>2087.6</v>
      </c>
      <c r="M3631" s="25">
        <f>IFERROR(__xludf.DUMMYFUNCTION("""COMPUTED_VALUE"""),4234281.0)</f>
        <v>4234281</v>
      </c>
    </row>
    <row r="3632">
      <c r="A3632" s="26">
        <f>IFERROR(__xludf.DUMMYFUNCTION("""COMPUTED_VALUE"""),43735.64583333333)</f>
        <v>43735.64583</v>
      </c>
      <c r="B3632" s="9">
        <f>IFERROR(__xludf.DUMMYFUNCTION("""COMPUTED_VALUE"""),787.05)</f>
        <v>787.05</v>
      </c>
      <c r="C3632" s="9">
        <f>IFERROR(__xludf.DUMMYFUNCTION("""COMPUTED_VALUE"""),794.25)</f>
        <v>794.25</v>
      </c>
      <c r="D3632" s="9">
        <f>IFERROR(__xludf.DUMMYFUNCTION("""COMPUTED_VALUE"""),780.1)</f>
        <v>780.1</v>
      </c>
      <c r="E3632" s="9">
        <f>IFERROR(__xludf.DUMMYFUNCTION("""COMPUTED_VALUE"""),782.2)</f>
        <v>782.2</v>
      </c>
      <c r="F3632" s="9">
        <f>IFERROR(__xludf.DUMMYFUNCTION("""COMPUTED_VALUE"""),5087642.0)</f>
        <v>5087642</v>
      </c>
      <c r="H3632" s="27">
        <f>IFERROR(__xludf.DUMMYFUNCTION("""COMPUTED_VALUE"""),43735.64583333333)</f>
        <v>43735.64583</v>
      </c>
      <c r="I3632" s="25">
        <f>IFERROR(__xludf.DUMMYFUNCTION("""COMPUTED_VALUE"""),2085.0)</f>
        <v>2085</v>
      </c>
      <c r="J3632" s="25">
        <f>IFERROR(__xludf.DUMMYFUNCTION("""COMPUTED_VALUE"""),2085.2)</f>
        <v>2085.2</v>
      </c>
      <c r="K3632" s="25">
        <f>IFERROR(__xludf.DUMMYFUNCTION("""COMPUTED_VALUE"""),2051.4)</f>
        <v>2051.4</v>
      </c>
      <c r="L3632" s="25">
        <f>IFERROR(__xludf.DUMMYFUNCTION("""COMPUTED_VALUE"""),2056.15)</f>
        <v>2056.15</v>
      </c>
      <c r="M3632" s="25">
        <f>IFERROR(__xludf.DUMMYFUNCTION("""COMPUTED_VALUE"""),2046795.0)</f>
        <v>2046795</v>
      </c>
    </row>
    <row r="3633">
      <c r="A3633" s="26">
        <f>IFERROR(__xludf.DUMMYFUNCTION("""COMPUTED_VALUE"""),43738.64583333333)</f>
        <v>43738.64583</v>
      </c>
      <c r="B3633" s="9">
        <f>IFERROR(__xludf.DUMMYFUNCTION("""COMPUTED_VALUE"""),785.1)</f>
        <v>785.1</v>
      </c>
      <c r="C3633" s="9">
        <f>IFERROR(__xludf.DUMMYFUNCTION("""COMPUTED_VALUE"""),808.0)</f>
        <v>808</v>
      </c>
      <c r="D3633" s="9">
        <f>IFERROR(__xludf.DUMMYFUNCTION("""COMPUTED_VALUE"""),784.15)</f>
        <v>784.15</v>
      </c>
      <c r="E3633" s="9">
        <f>IFERROR(__xludf.DUMMYFUNCTION("""COMPUTED_VALUE"""),805.65)</f>
        <v>805.65</v>
      </c>
      <c r="F3633" s="9">
        <f>IFERROR(__xludf.DUMMYFUNCTION("""COMPUTED_VALUE"""),8178091.0)</f>
        <v>8178091</v>
      </c>
      <c r="H3633" s="27">
        <f>IFERROR(__xludf.DUMMYFUNCTION("""COMPUTED_VALUE"""),43738.64583333333)</f>
        <v>43738.64583</v>
      </c>
      <c r="I3633" s="25">
        <f>IFERROR(__xludf.DUMMYFUNCTION("""COMPUTED_VALUE"""),2061.85)</f>
        <v>2061.85</v>
      </c>
      <c r="J3633" s="25">
        <f>IFERROR(__xludf.DUMMYFUNCTION("""COMPUTED_VALUE"""),2104.0)</f>
        <v>2104</v>
      </c>
      <c r="K3633" s="25">
        <f>IFERROR(__xludf.DUMMYFUNCTION("""COMPUTED_VALUE"""),2060.0)</f>
        <v>2060</v>
      </c>
      <c r="L3633" s="25">
        <f>IFERROR(__xludf.DUMMYFUNCTION("""COMPUTED_VALUE"""),2099.3)</f>
        <v>2099.3</v>
      </c>
      <c r="M3633" s="25">
        <f>IFERROR(__xludf.DUMMYFUNCTION("""COMPUTED_VALUE"""),2620039.0)</f>
        <v>2620039</v>
      </c>
    </row>
    <row r="3634">
      <c r="A3634" s="26">
        <f>IFERROR(__xludf.DUMMYFUNCTION("""COMPUTED_VALUE"""),43739.64583333333)</f>
        <v>43739.64583</v>
      </c>
      <c r="B3634" s="9">
        <f>IFERROR(__xludf.DUMMYFUNCTION("""COMPUTED_VALUE"""),807.0)</f>
        <v>807</v>
      </c>
      <c r="C3634" s="9">
        <f>IFERROR(__xludf.DUMMYFUNCTION("""COMPUTED_VALUE"""),807.55)</f>
        <v>807.55</v>
      </c>
      <c r="D3634" s="9">
        <f>IFERROR(__xludf.DUMMYFUNCTION("""COMPUTED_VALUE"""),791.55)</f>
        <v>791.55</v>
      </c>
      <c r="E3634" s="9">
        <f>IFERROR(__xludf.DUMMYFUNCTION("""COMPUTED_VALUE"""),793.55)</f>
        <v>793.55</v>
      </c>
      <c r="F3634" s="9">
        <f>IFERROR(__xludf.DUMMYFUNCTION("""COMPUTED_VALUE"""),5881438.0)</f>
        <v>5881438</v>
      </c>
      <c r="H3634" s="27">
        <f>IFERROR(__xludf.DUMMYFUNCTION("""COMPUTED_VALUE"""),43739.64583333333)</f>
        <v>43739.64583</v>
      </c>
      <c r="I3634" s="25">
        <f>IFERROR(__xludf.DUMMYFUNCTION("""COMPUTED_VALUE"""),2095.95)</f>
        <v>2095.95</v>
      </c>
      <c r="J3634" s="25">
        <f>IFERROR(__xludf.DUMMYFUNCTION("""COMPUTED_VALUE"""),2095.95)</f>
        <v>2095.95</v>
      </c>
      <c r="K3634" s="25">
        <f>IFERROR(__xludf.DUMMYFUNCTION("""COMPUTED_VALUE"""),2039.7)</f>
        <v>2039.7</v>
      </c>
      <c r="L3634" s="25">
        <f>IFERROR(__xludf.DUMMYFUNCTION("""COMPUTED_VALUE"""),2059.95)</f>
        <v>2059.95</v>
      </c>
      <c r="M3634" s="25">
        <f>IFERROR(__xludf.DUMMYFUNCTION("""COMPUTED_VALUE"""),3342877.0)</f>
        <v>3342877</v>
      </c>
    </row>
    <row r="3635">
      <c r="A3635" s="26">
        <f>IFERROR(__xludf.DUMMYFUNCTION("""COMPUTED_VALUE"""),43741.64583333333)</f>
        <v>43741.64583</v>
      </c>
      <c r="B3635" s="9">
        <f>IFERROR(__xludf.DUMMYFUNCTION("""COMPUTED_VALUE"""),792.55)</f>
        <v>792.55</v>
      </c>
      <c r="C3635" s="9">
        <f>IFERROR(__xludf.DUMMYFUNCTION("""COMPUTED_VALUE"""),797.85)</f>
        <v>797.85</v>
      </c>
      <c r="D3635" s="9">
        <f>IFERROR(__xludf.DUMMYFUNCTION("""COMPUTED_VALUE"""),784.15)</f>
        <v>784.15</v>
      </c>
      <c r="E3635" s="9">
        <f>IFERROR(__xludf.DUMMYFUNCTION("""COMPUTED_VALUE"""),785.6)</f>
        <v>785.6</v>
      </c>
      <c r="F3635" s="9">
        <f>IFERROR(__xludf.DUMMYFUNCTION("""COMPUTED_VALUE"""),5497672.0)</f>
        <v>5497672</v>
      </c>
      <c r="H3635" s="27">
        <f>IFERROR(__xludf.DUMMYFUNCTION("""COMPUTED_VALUE"""),43741.64583333333)</f>
        <v>43741.64583</v>
      </c>
      <c r="I3635" s="25">
        <f>IFERROR(__xludf.DUMMYFUNCTION("""COMPUTED_VALUE"""),2070.0)</f>
        <v>2070</v>
      </c>
      <c r="J3635" s="25">
        <f>IFERROR(__xludf.DUMMYFUNCTION("""COMPUTED_VALUE"""),2081.15)</f>
        <v>2081.15</v>
      </c>
      <c r="K3635" s="25">
        <f>IFERROR(__xludf.DUMMYFUNCTION("""COMPUTED_VALUE"""),2046.15)</f>
        <v>2046.15</v>
      </c>
      <c r="L3635" s="25">
        <f>IFERROR(__xludf.DUMMYFUNCTION("""COMPUTED_VALUE"""),2060.25)</f>
        <v>2060.25</v>
      </c>
      <c r="M3635" s="25">
        <f>IFERROR(__xludf.DUMMYFUNCTION("""COMPUTED_VALUE"""),2317618.0)</f>
        <v>2317618</v>
      </c>
    </row>
    <row r="3636">
      <c r="A3636" s="26">
        <f>IFERROR(__xludf.DUMMYFUNCTION("""COMPUTED_VALUE"""),43742.64583333333)</f>
        <v>43742.64583</v>
      </c>
      <c r="B3636" s="9">
        <f>IFERROR(__xludf.DUMMYFUNCTION("""COMPUTED_VALUE"""),790.0)</f>
        <v>790</v>
      </c>
      <c r="C3636" s="9">
        <f>IFERROR(__xludf.DUMMYFUNCTION("""COMPUTED_VALUE"""),797.6)</f>
        <v>797.6</v>
      </c>
      <c r="D3636" s="9">
        <f>IFERROR(__xludf.DUMMYFUNCTION("""COMPUTED_VALUE"""),787.05)</f>
        <v>787.05</v>
      </c>
      <c r="E3636" s="9">
        <f>IFERROR(__xludf.DUMMYFUNCTION("""COMPUTED_VALUE"""),793.45)</f>
        <v>793.45</v>
      </c>
      <c r="F3636" s="9">
        <f>IFERROR(__xludf.DUMMYFUNCTION("""COMPUTED_VALUE"""),8201713.0)</f>
        <v>8201713</v>
      </c>
      <c r="H3636" s="27">
        <f>IFERROR(__xludf.DUMMYFUNCTION("""COMPUTED_VALUE"""),43742.64583333333)</f>
        <v>43742.64583</v>
      </c>
      <c r="I3636" s="25">
        <f>IFERROR(__xludf.DUMMYFUNCTION("""COMPUTED_VALUE"""),2060.6)</f>
        <v>2060.6</v>
      </c>
      <c r="J3636" s="25">
        <f>IFERROR(__xludf.DUMMYFUNCTION("""COMPUTED_VALUE"""),2087.95)</f>
        <v>2087.95</v>
      </c>
      <c r="K3636" s="25">
        <f>IFERROR(__xludf.DUMMYFUNCTION("""COMPUTED_VALUE"""),2054.95)</f>
        <v>2054.95</v>
      </c>
      <c r="L3636" s="25">
        <f>IFERROR(__xludf.DUMMYFUNCTION("""COMPUTED_VALUE"""),2079.35)</f>
        <v>2079.35</v>
      </c>
      <c r="M3636" s="25">
        <f>IFERROR(__xludf.DUMMYFUNCTION("""COMPUTED_VALUE"""),2163251.0)</f>
        <v>2163251</v>
      </c>
    </row>
    <row r="3637">
      <c r="A3637" s="26">
        <f>IFERROR(__xludf.DUMMYFUNCTION("""COMPUTED_VALUE"""),43745.64583333333)</f>
        <v>43745.64583</v>
      </c>
      <c r="B3637" s="9">
        <f>IFERROR(__xludf.DUMMYFUNCTION("""COMPUTED_VALUE"""),794.85)</f>
        <v>794.85</v>
      </c>
      <c r="C3637" s="9">
        <f>IFERROR(__xludf.DUMMYFUNCTION("""COMPUTED_VALUE"""),802.0)</f>
        <v>802</v>
      </c>
      <c r="D3637" s="9">
        <f>IFERROR(__xludf.DUMMYFUNCTION("""COMPUTED_VALUE"""),786.1)</f>
        <v>786.1</v>
      </c>
      <c r="E3637" s="9">
        <f>IFERROR(__xludf.DUMMYFUNCTION("""COMPUTED_VALUE"""),789.55)</f>
        <v>789.55</v>
      </c>
      <c r="F3637" s="9">
        <f>IFERROR(__xludf.DUMMYFUNCTION("""COMPUTED_VALUE"""),3679845.0)</f>
        <v>3679845</v>
      </c>
      <c r="H3637" s="27">
        <f>IFERROR(__xludf.DUMMYFUNCTION("""COMPUTED_VALUE"""),43745.64583333333)</f>
        <v>43745.64583</v>
      </c>
      <c r="I3637" s="25">
        <f>IFERROR(__xludf.DUMMYFUNCTION("""COMPUTED_VALUE"""),2080.0)</f>
        <v>2080</v>
      </c>
      <c r="J3637" s="25">
        <f>IFERROR(__xludf.DUMMYFUNCTION("""COMPUTED_VALUE"""),2094.5)</f>
        <v>2094.5</v>
      </c>
      <c r="K3637" s="25">
        <f>IFERROR(__xludf.DUMMYFUNCTION("""COMPUTED_VALUE"""),2041.0)</f>
        <v>2041</v>
      </c>
      <c r="L3637" s="25">
        <f>IFERROR(__xludf.DUMMYFUNCTION("""COMPUTED_VALUE"""),2047.7)</f>
        <v>2047.7</v>
      </c>
      <c r="M3637" s="25">
        <f>IFERROR(__xludf.DUMMYFUNCTION("""COMPUTED_VALUE"""),2177916.0)</f>
        <v>2177916</v>
      </c>
    </row>
    <row r="3638">
      <c r="A3638" s="26">
        <f>IFERROR(__xludf.DUMMYFUNCTION("""COMPUTED_VALUE"""),43747.64583333333)</f>
        <v>43747.64583</v>
      </c>
      <c r="B3638" s="9">
        <f>IFERROR(__xludf.DUMMYFUNCTION("""COMPUTED_VALUE"""),795.45)</f>
        <v>795.45</v>
      </c>
      <c r="C3638" s="9">
        <f>IFERROR(__xludf.DUMMYFUNCTION("""COMPUTED_VALUE"""),795.9)</f>
        <v>795.9</v>
      </c>
      <c r="D3638" s="9">
        <f>IFERROR(__xludf.DUMMYFUNCTION("""COMPUTED_VALUE"""),778.8)</f>
        <v>778.8</v>
      </c>
      <c r="E3638" s="9">
        <f>IFERROR(__xludf.DUMMYFUNCTION("""COMPUTED_VALUE"""),783.65)</f>
        <v>783.65</v>
      </c>
      <c r="F3638" s="9">
        <f>IFERROR(__xludf.DUMMYFUNCTION("""COMPUTED_VALUE"""),6335025.0)</f>
        <v>6335025</v>
      </c>
      <c r="H3638" s="27">
        <f>IFERROR(__xludf.DUMMYFUNCTION("""COMPUTED_VALUE"""),43747.64583333333)</f>
        <v>43747.64583</v>
      </c>
      <c r="I3638" s="25">
        <f>IFERROR(__xludf.DUMMYFUNCTION("""COMPUTED_VALUE"""),2060.0)</f>
        <v>2060</v>
      </c>
      <c r="J3638" s="25">
        <f>IFERROR(__xludf.DUMMYFUNCTION("""COMPUTED_VALUE"""),2060.0)</f>
        <v>2060</v>
      </c>
      <c r="K3638" s="25">
        <f>IFERROR(__xludf.DUMMYFUNCTION("""COMPUTED_VALUE"""),2015.5)</f>
        <v>2015.5</v>
      </c>
      <c r="L3638" s="25">
        <f>IFERROR(__xludf.DUMMYFUNCTION("""COMPUTED_VALUE"""),2020.1)</f>
        <v>2020.1</v>
      </c>
      <c r="M3638" s="25">
        <f>IFERROR(__xludf.DUMMYFUNCTION("""COMPUTED_VALUE"""),2066920.0)</f>
        <v>2066920</v>
      </c>
    </row>
    <row r="3639">
      <c r="A3639" s="26">
        <f>IFERROR(__xludf.DUMMYFUNCTION("""COMPUTED_VALUE"""),43748.64583333333)</f>
        <v>43748.64583</v>
      </c>
      <c r="B3639" s="9">
        <f>IFERROR(__xludf.DUMMYFUNCTION("""COMPUTED_VALUE"""),785.4)</f>
        <v>785.4</v>
      </c>
      <c r="C3639" s="9">
        <f>IFERROR(__xludf.DUMMYFUNCTION("""COMPUTED_VALUE"""),794.7)</f>
        <v>794.7</v>
      </c>
      <c r="D3639" s="9">
        <f>IFERROR(__xludf.DUMMYFUNCTION("""COMPUTED_VALUE"""),776.6)</f>
        <v>776.6</v>
      </c>
      <c r="E3639" s="9">
        <f>IFERROR(__xludf.DUMMYFUNCTION("""COMPUTED_VALUE"""),783.05)</f>
        <v>783.05</v>
      </c>
      <c r="F3639" s="9">
        <f>IFERROR(__xludf.DUMMYFUNCTION("""COMPUTED_VALUE"""),1.0402917E7)</f>
        <v>10402917</v>
      </c>
      <c r="H3639" s="27">
        <f>IFERROR(__xludf.DUMMYFUNCTION("""COMPUTED_VALUE"""),43748.64583333333)</f>
        <v>43748.64583</v>
      </c>
      <c r="I3639" s="25">
        <f>IFERROR(__xludf.DUMMYFUNCTION("""COMPUTED_VALUE"""),2028.0)</f>
        <v>2028</v>
      </c>
      <c r="J3639" s="25">
        <f>IFERROR(__xludf.DUMMYFUNCTION("""COMPUTED_VALUE"""),2039.05)</f>
        <v>2039.05</v>
      </c>
      <c r="K3639" s="25">
        <f>IFERROR(__xludf.DUMMYFUNCTION("""COMPUTED_VALUE"""),1997.1)</f>
        <v>1997.1</v>
      </c>
      <c r="L3639" s="25">
        <f>IFERROR(__xludf.DUMMYFUNCTION("""COMPUTED_VALUE"""),2004.45)</f>
        <v>2004.45</v>
      </c>
      <c r="M3639" s="25">
        <f>IFERROR(__xludf.DUMMYFUNCTION("""COMPUTED_VALUE"""),2881452.0)</f>
        <v>2881452</v>
      </c>
    </row>
    <row r="3640">
      <c r="A3640" s="26">
        <f>IFERROR(__xludf.DUMMYFUNCTION("""COMPUTED_VALUE"""),43749.64583333333)</f>
        <v>43749.64583</v>
      </c>
      <c r="B3640" s="9">
        <f>IFERROR(__xludf.DUMMYFUNCTION("""COMPUTED_VALUE"""),781.5)</f>
        <v>781.5</v>
      </c>
      <c r="C3640" s="9">
        <f>IFERROR(__xludf.DUMMYFUNCTION("""COMPUTED_VALUE"""),823.8)</f>
        <v>823.8</v>
      </c>
      <c r="D3640" s="9">
        <f>IFERROR(__xludf.DUMMYFUNCTION("""COMPUTED_VALUE"""),776.6)</f>
        <v>776.6</v>
      </c>
      <c r="E3640" s="9">
        <f>IFERROR(__xludf.DUMMYFUNCTION("""COMPUTED_VALUE"""),814.8)</f>
        <v>814.8</v>
      </c>
      <c r="F3640" s="9">
        <f>IFERROR(__xludf.DUMMYFUNCTION("""COMPUTED_VALUE"""),2.0636344E7)</f>
        <v>20636344</v>
      </c>
      <c r="H3640" s="27">
        <f>IFERROR(__xludf.DUMMYFUNCTION("""COMPUTED_VALUE"""),43749.64583333333)</f>
        <v>43749.64583</v>
      </c>
      <c r="I3640" s="25">
        <f>IFERROR(__xludf.DUMMYFUNCTION("""COMPUTED_VALUE"""),1931.0)</f>
        <v>1931</v>
      </c>
      <c r="J3640" s="25">
        <f>IFERROR(__xludf.DUMMYFUNCTION("""COMPUTED_VALUE"""),1995.0)</f>
        <v>1995</v>
      </c>
      <c r="K3640" s="25">
        <f>IFERROR(__xludf.DUMMYFUNCTION("""COMPUTED_VALUE"""),1925.0)</f>
        <v>1925</v>
      </c>
      <c r="L3640" s="25">
        <f>IFERROR(__xludf.DUMMYFUNCTION("""COMPUTED_VALUE"""),1986.85)</f>
        <v>1986.85</v>
      </c>
      <c r="M3640" s="25">
        <f>IFERROR(__xludf.DUMMYFUNCTION("""COMPUTED_VALUE"""),1.2593069E7)</f>
        <v>12593069</v>
      </c>
    </row>
    <row r="3641">
      <c r="A3641" s="26">
        <f>IFERROR(__xludf.DUMMYFUNCTION("""COMPUTED_VALUE"""),43752.64583333333)</f>
        <v>43752.64583</v>
      </c>
      <c r="B3641" s="9">
        <f>IFERROR(__xludf.DUMMYFUNCTION("""COMPUTED_VALUE"""),786.75)</f>
        <v>786.75</v>
      </c>
      <c r="C3641" s="9">
        <f>IFERROR(__xludf.DUMMYFUNCTION("""COMPUTED_VALUE"""),797.0)</f>
        <v>797</v>
      </c>
      <c r="D3641" s="9">
        <f>IFERROR(__xludf.DUMMYFUNCTION("""COMPUTED_VALUE"""),780.0)</f>
        <v>780</v>
      </c>
      <c r="E3641" s="9">
        <f>IFERROR(__xludf.DUMMYFUNCTION("""COMPUTED_VALUE"""),786.1)</f>
        <v>786.1</v>
      </c>
      <c r="F3641" s="9">
        <f>IFERROR(__xludf.DUMMYFUNCTION("""COMPUTED_VALUE"""),1.5150858E7)</f>
        <v>15150858</v>
      </c>
      <c r="H3641" s="27">
        <f>IFERROR(__xludf.DUMMYFUNCTION("""COMPUTED_VALUE"""),43752.64583333333)</f>
        <v>43752.64583</v>
      </c>
      <c r="I3641" s="25">
        <f>IFERROR(__xludf.DUMMYFUNCTION("""COMPUTED_VALUE"""),1995.0)</f>
        <v>1995</v>
      </c>
      <c r="J3641" s="25">
        <f>IFERROR(__xludf.DUMMYFUNCTION("""COMPUTED_VALUE"""),2032.75)</f>
        <v>2032.75</v>
      </c>
      <c r="K3641" s="25">
        <f>IFERROR(__xludf.DUMMYFUNCTION("""COMPUTED_VALUE"""),1968.0)</f>
        <v>1968</v>
      </c>
      <c r="L3641" s="25">
        <f>IFERROR(__xludf.DUMMYFUNCTION("""COMPUTED_VALUE"""),2021.0)</f>
        <v>2021</v>
      </c>
      <c r="M3641" s="25">
        <f>IFERROR(__xludf.DUMMYFUNCTION("""COMPUTED_VALUE"""),3510704.0)</f>
        <v>3510704</v>
      </c>
    </row>
    <row r="3642">
      <c r="A3642" s="26">
        <f>IFERROR(__xludf.DUMMYFUNCTION("""COMPUTED_VALUE"""),43753.64583333333)</f>
        <v>43753.64583</v>
      </c>
      <c r="B3642" s="9">
        <f>IFERROR(__xludf.DUMMYFUNCTION("""COMPUTED_VALUE"""),773.1)</f>
        <v>773.1</v>
      </c>
      <c r="C3642" s="9">
        <f>IFERROR(__xludf.DUMMYFUNCTION("""COMPUTED_VALUE"""),775.95)</f>
        <v>775.95</v>
      </c>
      <c r="D3642" s="9">
        <f>IFERROR(__xludf.DUMMYFUNCTION("""COMPUTED_VALUE"""),765.0)</f>
        <v>765</v>
      </c>
      <c r="E3642" s="9">
        <f>IFERROR(__xludf.DUMMYFUNCTION("""COMPUTED_VALUE"""),768.3)</f>
        <v>768.3</v>
      </c>
      <c r="F3642" s="9">
        <f>IFERROR(__xludf.DUMMYFUNCTION("""COMPUTED_VALUE"""),1.3762133E7)</f>
        <v>13762133</v>
      </c>
      <c r="H3642" s="27">
        <f>IFERROR(__xludf.DUMMYFUNCTION("""COMPUTED_VALUE"""),43753.64583333333)</f>
        <v>43753.64583</v>
      </c>
      <c r="I3642" s="25">
        <f>IFERROR(__xludf.DUMMYFUNCTION("""COMPUTED_VALUE"""),2032.0)</f>
        <v>2032</v>
      </c>
      <c r="J3642" s="25">
        <f>IFERROR(__xludf.DUMMYFUNCTION("""COMPUTED_VALUE"""),2047.0)</f>
        <v>2047</v>
      </c>
      <c r="K3642" s="25">
        <f>IFERROR(__xludf.DUMMYFUNCTION("""COMPUTED_VALUE"""),2022.7)</f>
        <v>2022.7</v>
      </c>
      <c r="L3642" s="25">
        <f>IFERROR(__xludf.DUMMYFUNCTION("""COMPUTED_VALUE"""),2037.3)</f>
        <v>2037.3</v>
      </c>
      <c r="M3642" s="25">
        <f>IFERROR(__xludf.DUMMYFUNCTION("""COMPUTED_VALUE"""),2261310.0)</f>
        <v>2261310</v>
      </c>
    </row>
    <row r="3643">
      <c r="A3643" s="26">
        <f>IFERROR(__xludf.DUMMYFUNCTION("""COMPUTED_VALUE"""),43754.64583333333)</f>
        <v>43754.64583</v>
      </c>
      <c r="B3643" s="9">
        <f>IFERROR(__xludf.DUMMYFUNCTION("""COMPUTED_VALUE"""),765.25)</f>
        <v>765.25</v>
      </c>
      <c r="C3643" s="9">
        <f>IFERROR(__xludf.DUMMYFUNCTION("""COMPUTED_VALUE"""),775.95)</f>
        <v>775.95</v>
      </c>
      <c r="D3643" s="9">
        <f>IFERROR(__xludf.DUMMYFUNCTION("""COMPUTED_VALUE"""),761.55)</f>
        <v>761.55</v>
      </c>
      <c r="E3643" s="9">
        <f>IFERROR(__xludf.DUMMYFUNCTION("""COMPUTED_VALUE"""),771.45)</f>
        <v>771.45</v>
      </c>
      <c r="F3643" s="9">
        <f>IFERROR(__xludf.DUMMYFUNCTION("""COMPUTED_VALUE"""),1.0767032E7)</f>
        <v>10767032</v>
      </c>
      <c r="H3643" s="27">
        <f>IFERROR(__xludf.DUMMYFUNCTION("""COMPUTED_VALUE"""),43754.64583333333)</f>
        <v>43754.64583</v>
      </c>
      <c r="I3643" s="25">
        <f>IFERROR(__xludf.DUMMYFUNCTION("""COMPUTED_VALUE"""),2038.0)</f>
        <v>2038</v>
      </c>
      <c r="J3643" s="25">
        <f>IFERROR(__xludf.DUMMYFUNCTION("""COMPUTED_VALUE"""),2056.0)</f>
        <v>2056</v>
      </c>
      <c r="K3643" s="25">
        <f>IFERROR(__xludf.DUMMYFUNCTION("""COMPUTED_VALUE"""),2016.0)</f>
        <v>2016</v>
      </c>
      <c r="L3643" s="25">
        <f>IFERROR(__xludf.DUMMYFUNCTION("""COMPUTED_VALUE"""),2046.4)</f>
        <v>2046.4</v>
      </c>
      <c r="M3643" s="25">
        <f>IFERROR(__xludf.DUMMYFUNCTION("""COMPUTED_VALUE"""),3034082.0)</f>
        <v>3034082</v>
      </c>
    </row>
    <row r="3644">
      <c r="A3644" s="26">
        <f>IFERROR(__xludf.DUMMYFUNCTION("""COMPUTED_VALUE"""),43755.64583333333)</f>
        <v>43755.64583</v>
      </c>
      <c r="B3644" s="9">
        <f>IFERROR(__xludf.DUMMYFUNCTION("""COMPUTED_VALUE"""),767.0)</f>
        <v>767</v>
      </c>
      <c r="C3644" s="9">
        <f>IFERROR(__xludf.DUMMYFUNCTION("""COMPUTED_VALUE"""),770.55)</f>
        <v>770.55</v>
      </c>
      <c r="D3644" s="9">
        <f>IFERROR(__xludf.DUMMYFUNCTION("""COMPUTED_VALUE"""),765.1)</f>
        <v>765.1</v>
      </c>
      <c r="E3644" s="9">
        <f>IFERROR(__xludf.DUMMYFUNCTION("""COMPUTED_VALUE"""),769.5)</f>
        <v>769.5</v>
      </c>
      <c r="F3644" s="9">
        <f>IFERROR(__xludf.DUMMYFUNCTION("""COMPUTED_VALUE"""),9860495.0)</f>
        <v>9860495</v>
      </c>
      <c r="H3644" s="27">
        <f>IFERROR(__xludf.DUMMYFUNCTION("""COMPUTED_VALUE"""),43755.64583333333)</f>
        <v>43755.64583</v>
      </c>
      <c r="I3644" s="25">
        <f>IFERROR(__xludf.DUMMYFUNCTION("""COMPUTED_VALUE"""),2014.0)</f>
        <v>2014</v>
      </c>
      <c r="J3644" s="25">
        <f>IFERROR(__xludf.DUMMYFUNCTION("""COMPUTED_VALUE"""),2038.0)</f>
        <v>2038</v>
      </c>
      <c r="K3644" s="25">
        <f>IFERROR(__xludf.DUMMYFUNCTION("""COMPUTED_VALUE"""),1999.3)</f>
        <v>1999.3</v>
      </c>
      <c r="L3644" s="25">
        <f>IFERROR(__xludf.DUMMYFUNCTION("""COMPUTED_VALUE"""),2030.95)</f>
        <v>2030.95</v>
      </c>
      <c r="M3644" s="25">
        <f>IFERROR(__xludf.DUMMYFUNCTION("""COMPUTED_VALUE"""),3818774.0)</f>
        <v>3818774</v>
      </c>
    </row>
    <row r="3645">
      <c r="A3645" s="26">
        <f>IFERROR(__xludf.DUMMYFUNCTION("""COMPUTED_VALUE"""),43756.64583333333)</f>
        <v>43756.64583</v>
      </c>
      <c r="B3645" s="9">
        <f>IFERROR(__xludf.DUMMYFUNCTION("""COMPUTED_VALUE"""),763.8)</f>
        <v>763.8</v>
      </c>
      <c r="C3645" s="9">
        <f>IFERROR(__xludf.DUMMYFUNCTION("""COMPUTED_VALUE"""),773.8)</f>
        <v>773.8</v>
      </c>
      <c r="D3645" s="9">
        <f>IFERROR(__xludf.DUMMYFUNCTION("""COMPUTED_VALUE"""),760.0)</f>
        <v>760</v>
      </c>
      <c r="E3645" s="9">
        <f>IFERROR(__xludf.DUMMYFUNCTION("""COMPUTED_VALUE"""),767.85)</f>
        <v>767.85</v>
      </c>
      <c r="F3645" s="9">
        <f>IFERROR(__xludf.DUMMYFUNCTION("""COMPUTED_VALUE"""),1.00372E7)</f>
        <v>10037200</v>
      </c>
      <c r="H3645" s="27">
        <f>IFERROR(__xludf.DUMMYFUNCTION("""COMPUTED_VALUE"""),43756.64583333333)</f>
        <v>43756.64583</v>
      </c>
      <c r="I3645" s="25">
        <f>IFERROR(__xludf.DUMMYFUNCTION("""COMPUTED_VALUE"""),2037.5)</f>
        <v>2037.5</v>
      </c>
      <c r="J3645" s="25">
        <f>IFERROR(__xludf.DUMMYFUNCTION("""COMPUTED_VALUE"""),2063.9)</f>
        <v>2063.9</v>
      </c>
      <c r="K3645" s="25">
        <f>IFERROR(__xludf.DUMMYFUNCTION("""COMPUTED_VALUE"""),2025.0)</f>
        <v>2025</v>
      </c>
      <c r="L3645" s="25">
        <f>IFERROR(__xludf.DUMMYFUNCTION("""COMPUTED_VALUE"""),2057.35)</f>
        <v>2057.35</v>
      </c>
      <c r="M3645" s="25">
        <f>IFERROR(__xludf.DUMMYFUNCTION("""COMPUTED_VALUE"""),3087901.0)</f>
        <v>3087901</v>
      </c>
    </row>
    <row r="3646">
      <c r="A3646" s="26">
        <f>IFERROR(__xludf.DUMMYFUNCTION("""COMPUTED_VALUE"""),43760.64583333333)</f>
        <v>43760.64583</v>
      </c>
      <c r="B3646" s="9">
        <f>IFERROR(__xludf.DUMMYFUNCTION("""COMPUTED_VALUE"""),691.1)</f>
        <v>691.1</v>
      </c>
      <c r="C3646" s="9">
        <f>IFERROR(__xludf.DUMMYFUNCTION("""COMPUTED_VALUE"""),691.1)</f>
        <v>691.1</v>
      </c>
      <c r="D3646" s="9">
        <f>IFERROR(__xludf.DUMMYFUNCTION("""COMPUTED_VALUE"""),638.35)</f>
        <v>638.35</v>
      </c>
      <c r="E3646" s="9">
        <f>IFERROR(__xludf.DUMMYFUNCTION("""COMPUTED_VALUE"""),643.55)</f>
        <v>643.55</v>
      </c>
      <c r="F3646" s="9">
        <f>IFERROR(__xludf.DUMMYFUNCTION("""COMPUTED_VALUE"""),9.0152532E7)</f>
        <v>90152532</v>
      </c>
      <c r="H3646" s="27">
        <f>IFERROR(__xludf.DUMMYFUNCTION("""COMPUTED_VALUE"""),43760.64583333333)</f>
        <v>43760.64583</v>
      </c>
      <c r="I3646" s="25">
        <f>IFERROR(__xludf.DUMMYFUNCTION("""COMPUTED_VALUE"""),2080.0)</f>
        <v>2080</v>
      </c>
      <c r="J3646" s="25">
        <f>IFERROR(__xludf.DUMMYFUNCTION("""COMPUTED_VALUE"""),2111.5)</f>
        <v>2111.5</v>
      </c>
      <c r="K3646" s="25">
        <f>IFERROR(__xludf.DUMMYFUNCTION("""COMPUTED_VALUE"""),2040.05)</f>
        <v>2040.05</v>
      </c>
      <c r="L3646" s="25">
        <f>IFERROR(__xludf.DUMMYFUNCTION("""COMPUTED_VALUE"""),2051.4)</f>
        <v>2051.4</v>
      </c>
      <c r="M3646" s="25">
        <f>IFERROR(__xludf.DUMMYFUNCTION("""COMPUTED_VALUE"""),5552505.0)</f>
        <v>5552505</v>
      </c>
    </row>
    <row r="3647">
      <c r="A3647" s="26">
        <f>IFERROR(__xludf.DUMMYFUNCTION("""COMPUTED_VALUE"""),43761.64583333333)</f>
        <v>43761.64583</v>
      </c>
      <c r="B3647" s="9">
        <f>IFERROR(__xludf.DUMMYFUNCTION("""COMPUTED_VALUE"""),630.0)</f>
        <v>630</v>
      </c>
      <c r="C3647" s="9">
        <f>IFERROR(__xludf.DUMMYFUNCTION("""COMPUTED_VALUE"""),656.65)</f>
        <v>656.65</v>
      </c>
      <c r="D3647" s="9">
        <f>IFERROR(__xludf.DUMMYFUNCTION("""COMPUTED_VALUE"""),615.1)</f>
        <v>615.1</v>
      </c>
      <c r="E3647" s="9">
        <f>IFERROR(__xludf.DUMMYFUNCTION("""COMPUTED_VALUE"""),650.6)</f>
        <v>650.6</v>
      </c>
      <c r="F3647" s="9">
        <f>IFERROR(__xludf.DUMMYFUNCTION("""COMPUTED_VALUE"""),6.0516887E7)</f>
        <v>60516887</v>
      </c>
      <c r="H3647" s="27">
        <f>IFERROR(__xludf.DUMMYFUNCTION("""COMPUTED_VALUE"""),43761.64583333333)</f>
        <v>43761.64583</v>
      </c>
      <c r="I3647" s="25">
        <f>IFERROR(__xludf.DUMMYFUNCTION("""COMPUTED_VALUE"""),2060.0)</f>
        <v>2060</v>
      </c>
      <c r="J3647" s="25">
        <f>IFERROR(__xludf.DUMMYFUNCTION("""COMPUTED_VALUE"""),2083.85)</f>
        <v>2083.85</v>
      </c>
      <c r="K3647" s="25">
        <f>IFERROR(__xludf.DUMMYFUNCTION("""COMPUTED_VALUE"""),2052.5)</f>
        <v>2052.5</v>
      </c>
      <c r="L3647" s="25">
        <f>IFERROR(__xludf.DUMMYFUNCTION("""COMPUTED_VALUE"""),2070.1)</f>
        <v>2070.1</v>
      </c>
      <c r="M3647" s="25">
        <f>IFERROR(__xludf.DUMMYFUNCTION("""COMPUTED_VALUE"""),2348134.0)</f>
        <v>2348134</v>
      </c>
    </row>
    <row r="3648">
      <c r="A3648" s="26">
        <f>IFERROR(__xludf.DUMMYFUNCTION("""COMPUTED_VALUE"""),43762.64583333333)</f>
        <v>43762.64583</v>
      </c>
      <c r="B3648" s="9">
        <f>IFERROR(__xludf.DUMMYFUNCTION("""COMPUTED_VALUE"""),650.0)</f>
        <v>650</v>
      </c>
      <c r="C3648" s="9">
        <f>IFERROR(__xludf.DUMMYFUNCTION("""COMPUTED_VALUE"""),653.2)</f>
        <v>653.2</v>
      </c>
      <c r="D3648" s="9">
        <f>IFERROR(__xludf.DUMMYFUNCTION("""COMPUTED_VALUE"""),632.0)</f>
        <v>632</v>
      </c>
      <c r="E3648" s="9">
        <f>IFERROR(__xludf.DUMMYFUNCTION("""COMPUTED_VALUE"""),635.35)</f>
        <v>635.35</v>
      </c>
      <c r="F3648" s="9">
        <f>IFERROR(__xludf.DUMMYFUNCTION("""COMPUTED_VALUE"""),2.5666433E7)</f>
        <v>25666433</v>
      </c>
      <c r="H3648" s="27">
        <f>IFERROR(__xludf.DUMMYFUNCTION("""COMPUTED_VALUE"""),43762.64583333333)</f>
        <v>43762.64583</v>
      </c>
      <c r="I3648" s="25">
        <f>IFERROR(__xludf.DUMMYFUNCTION("""COMPUTED_VALUE"""),2084.0)</f>
        <v>2084</v>
      </c>
      <c r="J3648" s="25">
        <f>IFERROR(__xludf.DUMMYFUNCTION("""COMPUTED_VALUE"""),2099.0)</f>
        <v>2099</v>
      </c>
      <c r="K3648" s="25">
        <f>IFERROR(__xludf.DUMMYFUNCTION("""COMPUTED_VALUE"""),2061.3)</f>
        <v>2061.3</v>
      </c>
      <c r="L3648" s="25">
        <f>IFERROR(__xludf.DUMMYFUNCTION("""COMPUTED_VALUE"""),2082.0)</f>
        <v>2082</v>
      </c>
      <c r="M3648" s="25">
        <f>IFERROR(__xludf.DUMMYFUNCTION("""COMPUTED_VALUE"""),2798671.0)</f>
        <v>2798671</v>
      </c>
    </row>
    <row r="3649">
      <c r="A3649" s="26">
        <f>IFERROR(__xludf.DUMMYFUNCTION("""COMPUTED_VALUE"""),43763.79166666667)</f>
        <v>43763.79167</v>
      </c>
      <c r="B3649" s="9">
        <f>IFERROR(__xludf.DUMMYFUNCTION("""COMPUTED_VALUE"""),647.0)</f>
        <v>647</v>
      </c>
      <c r="C3649" s="9">
        <f>IFERROR(__xludf.DUMMYFUNCTION("""COMPUTED_VALUE"""),652.5)</f>
        <v>652.5</v>
      </c>
      <c r="D3649" s="9">
        <f>IFERROR(__xludf.DUMMYFUNCTION("""COMPUTED_VALUE"""),636.0)</f>
        <v>636</v>
      </c>
      <c r="E3649" s="9">
        <f>IFERROR(__xludf.DUMMYFUNCTION("""COMPUTED_VALUE"""),637.45)</f>
        <v>637.45</v>
      </c>
      <c r="F3649" s="9">
        <f>IFERROR(__xludf.DUMMYFUNCTION("""COMPUTED_VALUE"""),1.6549337E7)</f>
        <v>16549337</v>
      </c>
      <c r="H3649" s="27">
        <f>IFERROR(__xludf.DUMMYFUNCTION("""COMPUTED_VALUE"""),43763.79166666667)</f>
        <v>43763.79167</v>
      </c>
      <c r="I3649" s="25">
        <f>IFERROR(__xludf.DUMMYFUNCTION("""COMPUTED_VALUE"""),2094.0)</f>
        <v>2094</v>
      </c>
      <c r="J3649" s="25">
        <f>IFERROR(__xludf.DUMMYFUNCTION("""COMPUTED_VALUE"""),2130.0)</f>
        <v>2130</v>
      </c>
      <c r="K3649" s="25">
        <f>IFERROR(__xludf.DUMMYFUNCTION("""COMPUTED_VALUE"""),2075.05)</f>
        <v>2075.05</v>
      </c>
      <c r="L3649" s="25">
        <f>IFERROR(__xludf.DUMMYFUNCTION("""COMPUTED_VALUE"""),2124.95)</f>
        <v>2124.95</v>
      </c>
      <c r="M3649" s="25">
        <f>IFERROR(__xludf.DUMMYFUNCTION("""COMPUTED_VALUE"""),3954245.0)</f>
        <v>3954245</v>
      </c>
    </row>
    <row r="3650">
      <c r="A3650" s="26">
        <f>IFERROR(__xludf.DUMMYFUNCTION("""COMPUTED_VALUE"""),43765.80902777778)</f>
        <v>43765.80903</v>
      </c>
      <c r="B3650" s="9">
        <f>IFERROR(__xludf.DUMMYFUNCTION("""COMPUTED_VALUE"""),651.1)</f>
        <v>651.1</v>
      </c>
      <c r="C3650" s="9">
        <f>IFERROR(__xludf.DUMMYFUNCTION("""COMPUTED_VALUE"""),652.5)</f>
        <v>652.5</v>
      </c>
      <c r="D3650" s="9">
        <f>IFERROR(__xludf.DUMMYFUNCTION("""COMPUTED_VALUE"""),645.55)</f>
        <v>645.55</v>
      </c>
      <c r="E3650" s="9">
        <f>IFERROR(__xludf.DUMMYFUNCTION("""COMPUTED_VALUE"""),649.95)</f>
        <v>649.95</v>
      </c>
      <c r="F3650" s="9">
        <f>IFERROR(__xludf.DUMMYFUNCTION("""COMPUTED_VALUE"""),2945281.0)</f>
        <v>2945281</v>
      </c>
      <c r="H3650" s="27">
        <f>IFERROR(__xludf.DUMMYFUNCTION("""COMPUTED_VALUE"""),43765.80902777778)</f>
        <v>43765.80903</v>
      </c>
      <c r="I3650" s="25">
        <f>IFERROR(__xludf.DUMMYFUNCTION("""COMPUTED_VALUE"""),2129.0)</f>
        <v>2129</v>
      </c>
      <c r="J3650" s="25">
        <f>IFERROR(__xludf.DUMMYFUNCTION("""COMPUTED_VALUE"""),2129.0)</f>
        <v>2129</v>
      </c>
      <c r="K3650" s="25">
        <f>IFERROR(__xludf.DUMMYFUNCTION("""COMPUTED_VALUE"""),2108.8)</f>
        <v>2108.8</v>
      </c>
      <c r="L3650" s="25">
        <f>IFERROR(__xludf.DUMMYFUNCTION("""COMPUTED_VALUE"""),2117.65)</f>
        <v>2117.65</v>
      </c>
      <c r="M3650" s="25">
        <f>IFERROR(__xludf.DUMMYFUNCTION("""COMPUTED_VALUE"""),224405.0)</f>
        <v>224405</v>
      </c>
    </row>
    <row r="3651">
      <c r="A3651" s="26">
        <f>IFERROR(__xludf.DUMMYFUNCTION("""COMPUTED_VALUE"""),43767.64583333333)</f>
        <v>43767.64583</v>
      </c>
      <c r="B3651" s="9">
        <f>IFERROR(__xludf.DUMMYFUNCTION("""COMPUTED_VALUE"""),651.0)</f>
        <v>651</v>
      </c>
      <c r="C3651" s="9">
        <f>IFERROR(__xludf.DUMMYFUNCTION("""COMPUTED_VALUE"""),653.75)</f>
        <v>653.75</v>
      </c>
      <c r="D3651" s="9">
        <f>IFERROR(__xludf.DUMMYFUNCTION("""COMPUTED_VALUE"""),647.0)</f>
        <v>647</v>
      </c>
      <c r="E3651" s="9">
        <f>IFERROR(__xludf.DUMMYFUNCTION("""COMPUTED_VALUE"""),650.65)</f>
        <v>650.65</v>
      </c>
      <c r="F3651" s="9">
        <f>IFERROR(__xludf.DUMMYFUNCTION("""COMPUTED_VALUE"""),1.6709764E7)</f>
        <v>16709764</v>
      </c>
      <c r="H3651" s="27">
        <f>IFERROR(__xludf.DUMMYFUNCTION("""COMPUTED_VALUE"""),43767.64583333333)</f>
        <v>43767.64583</v>
      </c>
      <c r="I3651" s="25">
        <f>IFERROR(__xludf.DUMMYFUNCTION("""COMPUTED_VALUE"""),2121.5)</f>
        <v>2121.5</v>
      </c>
      <c r="J3651" s="25">
        <f>IFERROR(__xludf.DUMMYFUNCTION("""COMPUTED_VALUE"""),2201.7)</f>
        <v>2201.7</v>
      </c>
      <c r="K3651" s="25">
        <f>IFERROR(__xludf.DUMMYFUNCTION("""COMPUTED_VALUE"""),2121.5)</f>
        <v>2121.5</v>
      </c>
      <c r="L3651" s="25">
        <f>IFERROR(__xludf.DUMMYFUNCTION("""COMPUTED_VALUE"""),2194.85)</f>
        <v>2194.85</v>
      </c>
      <c r="M3651" s="25">
        <f>IFERROR(__xludf.DUMMYFUNCTION("""COMPUTED_VALUE"""),5064173.0)</f>
        <v>5064173</v>
      </c>
    </row>
    <row r="3652">
      <c r="A3652" s="26">
        <f>IFERROR(__xludf.DUMMYFUNCTION("""COMPUTED_VALUE"""),43768.64583333333)</f>
        <v>43768.64583</v>
      </c>
      <c r="B3652" s="9">
        <f>IFERROR(__xludf.DUMMYFUNCTION("""COMPUTED_VALUE"""),660.4)</f>
        <v>660.4</v>
      </c>
      <c r="C3652" s="9">
        <f>IFERROR(__xludf.DUMMYFUNCTION("""COMPUTED_VALUE"""),671.4)</f>
        <v>671.4</v>
      </c>
      <c r="D3652" s="9">
        <f>IFERROR(__xludf.DUMMYFUNCTION("""COMPUTED_VALUE"""),656.2)</f>
        <v>656.2</v>
      </c>
      <c r="E3652" s="9">
        <f>IFERROR(__xludf.DUMMYFUNCTION("""COMPUTED_VALUE"""),660.6)</f>
        <v>660.6</v>
      </c>
      <c r="F3652" s="9">
        <f>IFERROR(__xludf.DUMMYFUNCTION("""COMPUTED_VALUE"""),2.2879467E7)</f>
        <v>22879467</v>
      </c>
      <c r="H3652" s="27">
        <f>IFERROR(__xludf.DUMMYFUNCTION("""COMPUTED_VALUE"""),43768.64583333333)</f>
        <v>43768.64583</v>
      </c>
      <c r="I3652" s="25">
        <f>IFERROR(__xludf.DUMMYFUNCTION("""COMPUTED_VALUE"""),2225.0)</f>
        <v>2225</v>
      </c>
      <c r="J3652" s="25">
        <f>IFERROR(__xludf.DUMMYFUNCTION("""COMPUTED_VALUE"""),2260.0)</f>
        <v>2260</v>
      </c>
      <c r="K3652" s="25">
        <f>IFERROR(__xludf.DUMMYFUNCTION("""COMPUTED_VALUE"""),2176.85)</f>
        <v>2176.85</v>
      </c>
      <c r="L3652" s="25">
        <f>IFERROR(__xludf.DUMMYFUNCTION("""COMPUTED_VALUE"""),2252.8)</f>
        <v>2252.8</v>
      </c>
      <c r="M3652" s="25">
        <f>IFERROR(__xludf.DUMMYFUNCTION("""COMPUTED_VALUE"""),5195136.0)</f>
        <v>5195136</v>
      </c>
    </row>
    <row r="3653">
      <c r="A3653" s="26">
        <f>IFERROR(__xludf.DUMMYFUNCTION("""COMPUTED_VALUE"""),43769.64583333333)</f>
        <v>43769.64583</v>
      </c>
      <c r="B3653" s="9">
        <f>IFERROR(__xludf.DUMMYFUNCTION("""COMPUTED_VALUE"""),668.4)</f>
        <v>668.4</v>
      </c>
      <c r="C3653" s="9">
        <f>IFERROR(__xludf.DUMMYFUNCTION("""COMPUTED_VALUE"""),695.45)</f>
        <v>695.45</v>
      </c>
      <c r="D3653" s="9">
        <f>IFERROR(__xludf.DUMMYFUNCTION("""COMPUTED_VALUE"""),666.1)</f>
        <v>666.1</v>
      </c>
      <c r="E3653" s="9">
        <f>IFERROR(__xludf.DUMMYFUNCTION("""COMPUTED_VALUE"""),685.6)</f>
        <v>685.6</v>
      </c>
      <c r="F3653" s="9">
        <f>IFERROR(__xludf.DUMMYFUNCTION("""COMPUTED_VALUE"""),2.7405901E7)</f>
        <v>27405901</v>
      </c>
      <c r="H3653" s="27">
        <f>IFERROR(__xludf.DUMMYFUNCTION("""COMPUTED_VALUE"""),43769.64583333333)</f>
        <v>43769.64583</v>
      </c>
      <c r="I3653" s="25">
        <f>IFERROR(__xludf.DUMMYFUNCTION("""COMPUTED_VALUE"""),2250.0)</f>
        <v>2250</v>
      </c>
      <c r="J3653" s="25">
        <f>IFERROR(__xludf.DUMMYFUNCTION("""COMPUTED_VALUE"""),2284.95)</f>
        <v>2284.95</v>
      </c>
      <c r="K3653" s="25">
        <f>IFERROR(__xludf.DUMMYFUNCTION("""COMPUTED_VALUE"""),2237.0)</f>
        <v>2237</v>
      </c>
      <c r="L3653" s="25">
        <f>IFERROR(__xludf.DUMMYFUNCTION("""COMPUTED_VALUE"""),2269.65)</f>
        <v>2269.65</v>
      </c>
      <c r="M3653" s="25">
        <f>IFERROR(__xludf.DUMMYFUNCTION("""COMPUTED_VALUE"""),4879261.0)</f>
        <v>4879261</v>
      </c>
    </row>
    <row r="3654">
      <c r="A3654" s="26">
        <f>IFERROR(__xludf.DUMMYFUNCTION("""COMPUTED_VALUE"""),43770.64583333333)</f>
        <v>43770.64583</v>
      </c>
      <c r="B3654" s="9">
        <f>IFERROR(__xludf.DUMMYFUNCTION("""COMPUTED_VALUE"""),690.0)</f>
        <v>690</v>
      </c>
      <c r="C3654" s="9">
        <f>IFERROR(__xludf.DUMMYFUNCTION("""COMPUTED_VALUE"""),694.0)</f>
        <v>694</v>
      </c>
      <c r="D3654" s="9">
        <f>IFERROR(__xludf.DUMMYFUNCTION("""COMPUTED_VALUE"""),682.6)</f>
        <v>682.6</v>
      </c>
      <c r="E3654" s="9">
        <f>IFERROR(__xludf.DUMMYFUNCTION("""COMPUTED_VALUE"""),687.9)</f>
        <v>687.9</v>
      </c>
      <c r="F3654" s="9">
        <f>IFERROR(__xludf.DUMMYFUNCTION("""COMPUTED_VALUE"""),9713519.0)</f>
        <v>9713519</v>
      </c>
      <c r="H3654" s="27">
        <f>IFERROR(__xludf.DUMMYFUNCTION("""COMPUTED_VALUE"""),43770.64583333333)</f>
        <v>43770.64583</v>
      </c>
      <c r="I3654" s="25">
        <f>IFERROR(__xludf.DUMMYFUNCTION("""COMPUTED_VALUE"""),2264.0)</f>
        <v>2264</v>
      </c>
      <c r="J3654" s="25">
        <f>IFERROR(__xludf.DUMMYFUNCTION("""COMPUTED_VALUE"""),2275.0)</f>
        <v>2275</v>
      </c>
      <c r="K3654" s="25">
        <f>IFERROR(__xludf.DUMMYFUNCTION("""COMPUTED_VALUE"""),2195.0)</f>
        <v>2195</v>
      </c>
      <c r="L3654" s="25">
        <f>IFERROR(__xludf.DUMMYFUNCTION("""COMPUTED_VALUE"""),2200.9)</f>
        <v>2200.9</v>
      </c>
      <c r="M3654" s="25">
        <f>IFERROR(__xludf.DUMMYFUNCTION("""COMPUTED_VALUE"""),4172620.0)</f>
        <v>4172620</v>
      </c>
    </row>
    <row r="3655">
      <c r="A3655" s="26">
        <f>IFERROR(__xludf.DUMMYFUNCTION("""COMPUTED_VALUE"""),43773.64583333333)</f>
        <v>43773.64583</v>
      </c>
      <c r="B3655" s="9">
        <f>IFERROR(__xludf.DUMMYFUNCTION("""COMPUTED_VALUE"""),681.8)</f>
        <v>681.8</v>
      </c>
      <c r="C3655" s="9">
        <f>IFERROR(__xludf.DUMMYFUNCTION("""COMPUTED_VALUE"""),732.5)</f>
        <v>732.5</v>
      </c>
      <c r="D3655" s="9">
        <f>IFERROR(__xludf.DUMMYFUNCTION("""COMPUTED_VALUE"""),678.15)</f>
        <v>678.15</v>
      </c>
      <c r="E3655" s="9">
        <f>IFERROR(__xludf.DUMMYFUNCTION("""COMPUTED_VALUE"""),709.0)</f>
        <v>709</v>
      </c>
      <c r="F3655" s="9">
        <f>IFERROR(__xludf.DUMMYFUNCTION("""COMPUTED_VALUE"""),2.9381982E7)</f>
        <v>29381982</v>
      </c>
      <c r="H3655" s="27">
        <f>IFERROR(__xludf.DUMMYFUNCTION("""COMPUTED_VALUE"""),43773.64583333333)</f>
        <v>43773.64583</v>
      </c>
      <c r="I3655" s="25">
        <f>IFERROR(__xludf.DUMMYFUNCTION("""COMPUTED_VALUE"""),2207.0)</f>
        <v>2207</v>
      </c>
      <c r="J3655" s="25">
        <f>IFERROR(__xludf.DUMMYFUNCTION("""COMPUTED_VALUE"""),2229.2)</f>
        <v>2229.2</v>
      </c>
      <c r="K3655" s="25">
        <f>IFERROR(__xludf.DUMMYFUNCTION("""COMPUTED_VALUE"""),2180.9)</f>
        <v>2180.9</v>
      </c>
      <c r="L3655" s="25">
        <f>IFERROR(__xludf.DUMMYFUNCTION("""COMPUTED_VALUE"""),2193.95)</f>
        <v>2193.95</v>
      </c>
      <c r="M3655" s="25">
        <f>IFERROR(__xludf.DUMMYFUNCTION("""COMPUTED_VALUE"""),2646411.0)</f>
        <v>2646411</v>
      </c>
    </row>
    <row r="3656">
      <c r="A3656" s="26">
        <f>IFERROR(__xludf.DUMMYFUNCTION("""COMPUTED_VALUE"""),43774.64583333333)</f>
        <v>43774.64583</v>
      </c>
      <c r="B3656" s="9">
        <f>IFERROR(__xludf.DUMMYFUNCTION("""COMPUTED_VALUE"""),708.75)</f>
        <v>708.75</v>
      </c>
      <c r="C3656" s="9">
        <f>IFERROR(__xludf.DUMMYFUNCTION("""COMPUTED_VALUE"""),708.75)</f>
        <v>708.75</v>
      </c>
      <c r="D3656" s="9">
        <f>IFERROR(__xludf.DUMMYFUNCTION("""COMPUTED_VALUE"""),691.5)</f>
        <v>691.5</v>
      </c>
      <c r="E3656" s="9">
        <f>IFERROR(__xludf.DUMMYFUNCTION("""COMPUTED_VALUE"""),696.1)</f>
        <v>696.1</v>
      </c>
      <c r="F3656" s="9">
        <f>IFERROR(__xludf.DUMMYFUNCTION("""COMPUTED_VALUE"""),1.2897805E7)</f>
        <v>12897805</v>
      </c>
      <c r="H3656" s="27">
        <f>IFERROR(__xludf.DUMMYFUNCTION("""COMPUTED_VALUE"""),43774.64583333333)</f>
        <v>43774.64583</v>
      </c>
      <c r="I3656" s="25">
        <f>IFERROR(__xludf.DUMMYFUNCTION("""COMPUTED_VALUE"""),2197.0)</f>
        <v>2197</v>
      </c>
      <c r="J3656" s="25">
        <f>IFERROR(__xludf.DUMMYFUNCTION("""COMPUTED_VALUE"""),2211.0)</f>
        <v>2211</v>
      </c>
      <c r="K3656" s="25">
        <f>IFERROR(__xludf.DUMMYFUNCTION("""COMPUTED_VALUE"""),2169.0)</f>
        <v>2169</v>
      </c>
      <c r="L3656" s="25">
        <f>IFERROR(__xludf.DUMMYFUNCTION("""COMPUTED_VALUE"""),2201.85)</f>
        <v>2201.85</v>
      </c>
      <c r="M3656" s="25">
        <f>IFERROR(__xludf.DUMMYFUNCTION("""COMPUTED_VALUE"""),2693475.0)</f>
        <v>2693475</v>
      </c>
    </row>
    <row r="3657">
      <c r="A3657" s="26">
        <f>IFERROR(__xludf.DUMMYFUNCTION("""COMPUTED_VALUE"""),43775.64583333333)</f>
        <v>43775.64583</v>
      </c>
      <c r="B3657" s="9">
        <f>IFERROR(__xludf.DUMMYFUNCTION("""COMPUTED_VALUE"""),695.8)</f>
        <v>695.8</v>
      </c>
      <c r="C3657" s="9">
        <f>IFERROR(__xludf.DUMMYFUNCTION("""COMPUTED_VALUE"""),721.5)</f>
        <v>721.5</v>
      </c>
      <c r="D3657" s="9">
        <f>IFERROR(__xludf.DUMMYFUNCTION("""COMPUTED_VALUE"""),692.0)</f>
        <v>692</v>
      </c>
      <c r="E3657" s="9">
        <f>IFERROR(__xludf.DUMMYFUNCTION("""COMPUTED_VALUE"""),712.3)</f>
        <v>712.3</v>
      </c>
      <c r="F3657" s="9">
        <f>IFERROR(__xludf.DUMMYFUNCTION("""COMPUTED_VALUE"""),2.1372589E7)</f>
        <v>21372589</v>
      </c>
      <c r="H3657" s="27">
        <f>IFERROR(__xludf.DUMMYFUNCTION("""COMPUTED_VALUE"""),43775.64583333333)</f>
        <v>43775.64583</v>
      </c>
      <c r="I3657" s="25">
        <f>IFERROR(__xludf.DUMMYFUNCTION("""COMPUTED_VALUE"""),2200.0)</f>
        <v>2200</v>
      </c>
      <c r="J3657" s="25">
        <f>IFERROR(__xludf.DUMMYFUNCTION("""COMPUTED_VALUE"""),2210.8)</f>
        <v>2210.8</v>
      </c>
      <c r="K3657" s="25">
        <f>IFERROR(__xludf.DUMMYFUNCTION("""COMPUTED_VALUE"""),2179.0)</f>
        <v>2179</v>
      </c>
      <c r="L3657" s="25">
        <f>IFERROR(__xludf.DUMMYFUNCTION("""COMPUTED_VALUE"""),2188.5)</f>
        <v>2188.5</v>
      </c>
      <c r="M3657" s="25">
        <f>IFERROR(__xludf.DUMMYFUNCTION("""COMPUTED_VALUE"""),2540719.0)</f>
        <v>2540719</v>
      </c>
    </row>
    <row r="3658">
      <c r="A3658" s="26">
        <f>IFERROR(__xludf.DUMMYFUNCTION("""COMPUTED_VALUE"""),43776.64583333333)</f>
        <v>43776.64583</v>
      </c>
      <c r="B3658" s="9">
        <f>IFERROR(__xludf.DUMMYFUNCTION("""COMPUTED_VALUE"""),717.0)</f>
        <v>717</v>
      </c>
      <c r="C3658" s="9">
        <f>IFERROR(__xludf.DUMMYFUNCTION("""COMPUTED_VALUE"""),724.35)</f>
        <v>724.35</v>
      </c>
      <c r="D3658" s="9">
        <f>IFERROR(__xludf.DUMMYFUNCTION("""COMPUTED_VALUE"""),712.1)</f>
        <v>712.1</v>
      </c>
      <c r="E3658" s="9">
        <f>IFERROR(__xludf.DUMMYFUNCTION("""COMPUTED_VALUE"""),720.1)</f>
        <v>720.1</v>
      </c>
      <c r="F3658" s="9">
        <f>IFERROR(__xludf.DUMMYFUNCTION("""COMPUTED_VALUE"""),1.3733737E7)</f>
        <v>13733737</v>
      </c>
      <c r="H3658" s="27">
        <f>IFERROR(__xludf.DUMMYFUNCTION("""COMPUTED_VALUE"""),43776.64583333333)</f>
        <v>43776.64583</v>
      </c>
      <c r="I3658" s="25">
        <f>IFERROR(__xludf.DUMMYFUNCTION("""COMPUTED_VALUE"""),2204.5)</f>
        <v>2204.5</v>
      </c>
      <c r="J3658" s="25">
        <f>IFERROR(__xludf.DUMMYFUNCTION("""COMPUTED_VALUE"""),2204.5)</f>
        <v>2204.5</v>
      </c>
      <c r="K3658" s="25">
        <f>IFERROR(__xludf.DUMMYFUNCTION("""COMPUTED_VALUE"""),2175.2)</f>
        <v>2175.2</v>
      </c>
      <c r="L3658" s="25">
        <f>IFERROR(__xludf.DUMMYFUNCTION("""COMPUTED_VALUE"""),2185.35)</f>
        <v>2185.35</v>
      </c>
      <c r="M3658" s="25">
        <f>IFERROR(__xludf.DUMMYFUNCTION("""COMPUTED_VALUE"""),1915598.0)</f>
        <v>1915598</v>
      </c>
    </row>
    <row r="3659">
      <c r="A3659" s="26">
        <f>IFERROR(__xludf.DUMMYFUNCTION("""COMPUTED_VALUE"""),43777.64583333333)</f>
        <v>43777.64583</v>
      </c>
      <c r="B3659" s="9">
        <f>IFERROR(__xludf.DUMMYFUNCTION("""COMPUTED_VALUE"""),722.0)</f>
        <v>722</v>
      </c>
      <c r="C3659" s="9">
        <f>IFERROR(__xludf.DUMMYFUNCTION("""COMPUTED_VALUE"""),724.25)</f>
        <v>724.25</v>
      </c>
      <c r="D3659" s="9">
        <f>IFERROR(__xludf.DUMMYFUNCTION("""COMPUTED_VALUE"""),705.5)</f>
        <v>705.5</v>
      </c>
      <c r="E3659" s="9">
        <f>IFERROR(__xludf.DUMMYFUNCTION("""COMPUTED_VALUE"""),708.15)</f>
        <v>708.15</v>
      </c>
      <c r="F3659" s="9">
        <f>IFERROR(__xludf.DUMMYFUNCTION("""COMPUTED_VALUE"""),8585630.0)</f>
        <v>8585630</v>
      </c>
      <c r="H3659" s="27">
        <f>IFERROR(__xludf.DUMMYFUNCTION("""COMPUTED_VALUE"""),43777.64583333333)</f>
        <v>43777.64583</v>
      </c>
      <c r="I3659" s="25">
        <f>IFERROR(__xludf.DUMMYFUNCTION("""COMPUTED_VALUE"""),2189.6)</f>
        <v>2189.6</v>
      </c>
      <c r="J3659" s="25">
        <f>IFERROR(__xludf.DUMMYFUNCTION("""COMPUTED_VALUE"""),2189.6)</f>
        <v>2189.6</v>
      </c>
      <c r="K3659" s="25">
        <f>IFERROR(__xludf.DUMMYFUNCTION("""COMPUTED_VALUE"""),2124.0)</f>
        <v>2124</v>
      </c>
      <c r="L3659" s="25">
        <f>IFERROR(__xludf.DUMMYFUNCTION("""COMPUTED_VALUE"""),2129.95)</f>
        <v>2129.95</v>
      </c>
      <c r="M3659" s="25">
        <f>IFERROR(__xludf.DUMMYFUNCTION("""COMPUTED_VALUE"""),2788759.0)</f>
        <v>2788759</v>
      </c>
    </row>
    <row r="3660">
      <c r="A3660" s="26">
        <f>IFERROR(__xludf.DUMMYFUNCTION("""COMPUTED_VALUE"""),43780.64583333333)</f>
        <v>43780.64583</v>
      </c>
      <c r="B3660" s="9">
        <f>IFERROR(__xludf.DUMMYFUNCTION("""COMPUTED_VALUE"""),698.9)</f>
        <v>698.9</v>
      </c>
      <c r="C3660" s="9">
        <f>IFERROR(__xludf.DUMMYFUNCTION("""COMPUTED_VALUE"""),707.2)</f>
        <v>707.2</v>
      </c>
      <c r="D3660" s="9">
        <f>IFERROR(__xludf.DUMMYFUNCTION("""COMPUTED_VALUE"""),698.0)</f>
        <v>698</v>
      </c>
      <c r="E3660" s="9">
        <f>IFERROR(__xludf.DUMMYFUNCTION("""COMPUTED_VALUE"""),704.4)</f>
        <v>704.4</v>
      </c>
      <c r="F3660" s="9">
        <f>IFERROR(__xludf.DUMMYFUNCTION("""COMPUTED_VALUE"""),6951494.0)</f>
        <v>6951494</v>
      </c>
      <c r="H3660" s="27">
        <f>IFERROR(__xludf.DUMMYFUNCTION("""COMPUTED_VALUE"""),43780.64583333333)</f>
        <v>43780.64583</v>
      </c>
      <c r="I3660" s="25">
        <f>IFERROR(__xludf.DUMMYFUNCTION("""COMPUTED_VALUE"""),2135.0)</f>
        <v>2135</v>
      </c>
      <c r="J3660" s="25">
        <f>IFERROR(__xludf.DUMMYFUNCTION("""COMPUTED_VALUE"""),2139.0)</f>
        <v>2139</v>
      </c>
      <c r="K3660" s="25">
        <f>IFERROR(__xludf.DUMMYFUNCTION("""COMPUTED_VALUE"""),2091.0)</f>
        <v>2091</v>
      </c>
      <c r="L3660" s="25">
        <f>IFERROR(__xludf.DUMMYFUNCTION("""COMPUTED_VALUE"""),2100.95)</f>
        <v>2100.95</v>
      </c>
      <c r="M3660" s="25">
        <f>IFERROR(__xludf.DUMMYFUNCTION("""COMPUTED_VALUE"""),2983768.0)</f>
        <v>2983768</v>
      </c>
    </row>
    <row r="3661">
      <c r="A3661" s="26">
        <f>IFERROR(__xludf.DUMMYFUNCTION("""COMPUTED_VALUE"""),43782.64583333333)</f>
        <v>43782.64583</v>
      </c>
      <c r="B3661" s="9">
        <f>IFERROR(__xludf.DUMMYFUNCTION("""COMPUTED_VALUE"""),696.5)</f>
        <v>696.5</v>
      </c>
      <c r="C3661" s="9">
        <f>IFERROR(__xludf.DUMMYFUNCTION("""COMPUTED_VALUE"""),700.0)</f>
        <v>700</v>
      </c>
      <c r="D3661" s="9">
        <f>IFERROR(__xludf.DUMMYFUNCTION("""COMPUTED_VALUE"""),687.75)</f>
        <v>687.75</v>
      </c>
      <c r="E3661" s="9">
        <f>IFERROR(__xludf.DUMMYFUNCTION("""COMPUTED_VALUE"""),691.35)</f>
        <v>691.35</v>
      </c>
      <c r="F3661" s="9">
        <f>IFERROR(__xludf.DUMMYFUNCTION("""COMPUTED_VALUE"""),9973690.0)</f>
        <v>9973690</v>
      </c>
      <c r="H3661" s="27">
        <f>IFERROR(__xludf.DUMMYFUNCTION("""COMPUTED_VALUE"""),43782.64583333333)</f>
        <v>43782.64583</v>
      </c>
      <c r="I3661" s="25">
        <f>IFERROR(__xludf.DUMMYFUNCTION("""COMPUTED_VALUE"""),2118.0)</f>
        <v>2118</v>
      </c>
      <c r="J3661" s="25">
        <f>IFERROR(__xludf.DUMMYFUNCTION("""COMPUTED_VALUE"""),2183.8)</f>
        <v>2183.8</v>
      </c>
      <c r="K3661" s="25">
        <f>IFERROR(__xludf.DUMMYFUNCTION("""COMPUTED_VALUE"""),2118.0)</f>
        <v>2118</v>
      </c>
      <c r="L3661" s="25">
        <f>IFERROR(__xludf.DUMMYFUNCTION("""COMPUTED_VALUE"""),2178.6)</f>
        <v>2178.6</v>
      </c>
      <c r="M3661" s="25">
        <f>IFERROR(__xludf.DUMMYFUNCTION("""COMPUTED_VALUE"""),3823365.0)</f>
        <v>3823365</v>
      </c>
    </row>
    <row r="3662">
      <c r="A3662" s="26">
        <f>IFERROR(__xludf.DUMMYFUNCTION("""COMPUTED_VALUE"""),43783.64583333333)</f>
        <v>43783.64583</v>
      </c>
      <c r="B3662" s="9">
        <f>IFERROR(__xludf.DUMMYFUNCTION("""COMPUTED_VALUE"""),696.35)</f>
        <v>696.35</v>
      </c>
      <c r="C3662" s="9">
        <f>IFERROR(__xludf.DUMMYFUNCTION("""COMPUTED_VALUE"""),709.8)</f>
        <v>709.8</v>
      </c>
      <c r="D3662" s="9">
        <f>IFERROR(__xludf.DUMMYFUNCTION("""COMPUTED_VALUE"""),696.35)</f>
        <v>696.35</v>
      </c>
      <c r="E3662" s="9">
        <f>IFERROR(__xludf.DUMMYFUNCTION("""COMPUTED_VALUE"""),705.3)</f>
        <v>705.3</v>
      </c>
      <c r="F3662" s="9">
        <f>IFERROR(__xludf.DUMMYFUNCTION("""COMPUTED_VALUE"""),1.0539902E7)</f>
        <v>10539902</v>
      </c>
      <c r="H3662" s="27">
        <f>IFERROR(__xludf.DUMMYFUNCTION("""COMPUTED_VALUE"""),43783.64583333333)</f>
        <v>43783.64583</v>
      </c>
      <c r="I3662" s="25">
        <f>IFERROR(__xludf.DUMMYFUNCTION("""COMPUTED_VALUE"""),2187.5)</f>
        <v>2187.5</v>
      </c>
      <c r="J3662" s="25">
        <f>IFERROR(__xludf.DUMMYFUNCTION("""COMPUTED_VALUE"""),2200.0)</f>
        <v>2200</v>
      </c>
      <c r="K3662" s="25">
        <f>IFERROR(__xludf.DUMMYFUNCTION("""COMPUTED_VALUE"""),2146.7)</f>
        <v>2146.7</v>
      </c>
      <c r="L3662" s="25">
        <f>IFERROR(__xludf.DUMMYFUNCTION("""COMPUTED_VALUE"""),2196.8)</f>
        <v>2196.8</v>
      </c>
      <c r="M3662" s="25">
        <f>IFERROR(__xludf.DUMMYFUNCTION("""COMPUTED_VALUE"""),2995915.0)</f>
        <v>2995915</v>
      </c>
    </row>
    <row r="3663">
      <c r="A3663" s="26">
        <f>IFERROR(__xludf.DUMMYFUNCTION("""COMPUTED_VALUE"""),43784.64583333333)</f>
        <v>43784.64583</v>
      </c>
      <c r="B3663" s="9">
        <f>IFERROR(__xludf.DUMMYFUNCTION("""COMPUTED_VALUE"""),709.05)</f>
        <v>709.05</v>
      </c>
      <c r="C3663" s="9">
        <f>IFERROR(__xludf.DUMMYFUNCTION("""COMPUTED_VALUE"""),712.95)</f>
        <v>712.95</v>
      </c>
      <c r="D3663" s="9">
        <f>IFERROR(__xludf.DUMMYFUNCTION("""COMPUTED_VALUE"""),702.3)</f>
        <v>702.3</v>
      </c>
      <c r="E3663" s="9">
        <f>IFERROR(__xludf.DUMMYFUNCTION("""COMPUTED_VALUE"""),703.9)</f>
        <v>703.9</v>
      </c>
      <c r="F3663" s="9">
        <f>IFERROR(__xludf.DUMMYFUNCTION("""COMPUTED_VALUE"""),7362623.0)</f>
        <v>7362623</v>
      </c>
      <c r="H3663" s="27">
        <f>IFERROR(__xludf.DUMMYFUNCTION("""COMPUTED_VALUE"""),43784.64583333333)</f>
        <v>43784.64583</v>
      </c>
      <c r="I3663" s="25">
        <f>IFERROR(__xludf.DUMMYFUNCTION("""COMPUTED_VALUE"""),2196.0)</f>
        <v>2196</v>
      </c>
      <c r="J3663" s="25">
        <f>IFERROR(__xludf.DUMMYFUNCTION("""COMPUTED_VALUE"""),2211.5)</f>
        <v>2211.5</v>
      </c>
      <c r="K3663" s="25">
        <f>IFERROR(__xludf.DUMMYFUNCTION("""COMPUTED_VALUE"""),2168.75)</f>
        <v>2168.75</v>
      </c>
      <c r="L3663" s="25">
        <f>IFERROR(__xludf.DUMMYFUNCTION("""COMPUTED_VALUE"""),2174.45)</f>
        <v>2174.45</v>
      </c>
      <c r="M3663" s="25">
        <f>IFERROR(__xludf.DUMMYFUNCTION("""COMPUTED_VALUE"""),2724180.0)</f>
        <v>2724180</v>
      </c>
    </row>
    <row r="3664">
      <c r="A3664" s="26">
        <f>IFERROR(__xludf.DUMMYFUNCTION("""COMPUTED_VALUE"""),43787.64583333333)</f>
        <v>43787.64583</v>
      </c>
      <c r="B3664" s="9">
        <f>IFERROR(__xludf.DUMMYFUNCTION("""COMPUTED_VALUE"""),705.0)</f>
        <v>705</v>
      </c>
      <c r="C3664" s="9">
        <f>IFERROR(__xludf.DUMMYFUNCTION("""COMPUTED_VALUE"""),710.0)</f>
        <v>710</v>
      </c>
      <c r="D3664" s="9">
        <f>IFERROR(__xludf.DUMMYFUNCTION("""COMPUTED_VALUE"""),699.3)</f>
        <v>699.3</v>
      </c>
      <c r="E3664" s="9">
        <f>IFERROR(__xludf.DUMMYFUNCTION("""COMPUTED_VALUE"""),705.2)</f>
        <v>705.2</v>
      </c>
      <c r="F3664" s="9">
        <f>IFERROR(__xludf.DUMMYFUNCTION("""COMPUTED_VALUE"""),7490916.0)</f>
        <v>7490916</v>
      </c>
      <c r="H3664" s="27">
        <f>IFERROR(__xludf.DUMMYFUNCTION("""COMPUTED_VALUE"""),43787.64583333333)</f>
        <v>43787.64583</v>
      </c>
      <c r="I3664" s="25">
        <f>IFERROR(__xludf.DUMMYFUNCTION("""COMPUTED_VALUE"""),2178.4)</f>
        <v>2178.4</v>
      </c>
      <c r="J3664" s="25">
        <f>IFERROR(__xludf.DUMMYFUNCTION("""COMPUTED_VALUE"""),2187.75)</f>
        <v>2187.75</v>
      </c>
      <c r="K3664" s="25">
        <f>IFERROR(__xludf.DUMMYFUNCTION("""COMPUTED_VALUE"""),2148.75)</f>
        <v>2148.75</v>
      </c>
      <c r="L3664" s="25">
        <f>IFERROR(__xludf.DUMMYFUNCTION("""COMPUTED_VALUE"""),2152.6)</f>
        <v>2152.6</v>
      </c>
      <c r="M3664" s="25">
        <f>IFERROR(__xludf.DUMMYFUNCTION("""COMPUTED_VALUE"""),1611089.0)</f>
        <v>1611089</v>
      </c>
    </row>
    <row r="3665">
      <c r="A3665" s="26">
        <f>IFERROR(__xludf.DUMMYFUNCTION("""COMPUTED_VALUE"""),43788.64583333333)</f>
        <v>43788.64583</v>
      </c>
      <c r="B3665" s="9">
        <f>IFERROR(__xludf.DUMMYFUNCTION("""COMPUTED_VALUE"""),709.9)</f>
        <v>709.9</v>
      </c>
      <c r="C3665" s="9">
        <f>IFERROR(__xludf.DUMMYFUNCTION("""COMPUTED_VALUE"""),714.0)</f>
        <v>714</v>
      </c>
      <c r="D3665" s="9">
        <f>IFERROR(__xludf.DUMMYFUNCTION("""COMPUTED_VALUE"""),705.0)</f>
        <v>705</v>
      </c>
      <c r="E3665" s="9">
        <f>IFERROR(__xludf.DUMMYFUNCTION("""COMPUTED_VALUE"""),712.85)</f>
        <v>712.85</v>
      </c>
      <c r="F3665" s="9">
        <f>IFERROR(__xludf.DUMMYFUNCTION("""COMPUTED_VALUE"""),6495885.0)</f>
        <v>6495885</v>
      </c>
      <c r="H3665" s="27">
        <f>IFERROR(__xludf.DUMMYFUNCTION("""COMPUTED_VALUE"""),43788.64583333333)</f>
        <v>43788.64583</v>
      </c>
      <c r="I3665" s="25">
        <f>IFERROR(__xludf.DUMMYFUNCTION("""COMPUTED_VALUE"""),2153.0)</f>
        <v>2153</v>
      </c>
      <c r="J3665" s="25">
        <f>IFERROR(__xludf.DUMMYFUNCTION("""COMPUTED_VALUE"""),2154.65)</f>
        <v>2154.65</v>
      </c>
      <c r="K3665" s="25">
        <f>IFERROR(__xludf.DUMMYFUNCTION("""COMPUTED_VALUE"""),2105.0)</f>
        <v>2105</v>
      </c>
      <c r="L3665" s="25">
        <f>IFERROR(__xludf.DUMMYFUNCTION("""COMPUTED_VALUE"""),2108.8)</f>
        <v>2108.8</v>
      </c>
      <c r="M3665" s="25">
        <f>IFERROR(__xludf.DUMMYFUNCTION("""COMPUTED_VALUE"""),2975313.0)</f>
        <v>2975313</v>
      </c>
    </row>
    <row r="3666">
      <c r="A3666" s="26">
        <f>IFERROR(__xludf.DUMMYFUNCTION("""COMPUTED_VALUE"""),43789.64583333333)</f>
        <v>43789.64583</v>
      </c>
      <c r="B3666" s="9">
        <f>IFERROR(__xludf.DUMMYFUNCTION("""COMPUTED_VALUE"""),712.8)</f>
        <v>712.8</v>
      </c>
      <c r="C3666" s="9">
        <f>IFERROR(__xludf.DUMMYFUNCTION("""COMPUTED_VALUE"""),715.0)</f>
        <v>715</v>
      </c>
      <c r="D3666" s="9">
        <f>IFERROR(__xludf.DUMMYFUNCTION("""COMPUTED_VALUE"""),705.0)</f>
        <v>705</v>
      </c>
      <c r="E3666" s="9">
        <f>IFERROR(__xludf.DUMMYFUNCTION("""COMPUTED_VALUE"""),713.0)</f>
        <v>713</v>
      </c>
      <c r="F3666" s="9">
        <f>IFERROR(__xludf.DUMMYFUNCTION("""COMPUTED_VALUE"""),6142171.0)</f>
        <v>6142171</v>
      </c>
      <c r="H3666" s="27">
        <f>IFERROR(__xludf.DUMMYFUNCTION("""COMPUTED_VALUE"""),43789.64583333333)</f>
        <v>43789.64583</v>
      </c>
      <c r="I3666" s="25">
        <f>IFERROR(__xludf.DUMMYFUNCTION("""COMPUTED_VALUE"""),2121.95)</f>
        <v>2121.95</v>
      </c>
      <c r="J3666" s="25">
        <f>IFERROR(__xludf.DUMMYFUNCTION("""COMPUTED_VALUE"""),2135.0)</f>
        <v>2135</v>
      </c>
      <c r="K3666" s="25">
        <f>IFERROR(__xludf.DUMMYFUNCTION("""COMPUTED_VALUE"""),2094.5)</f>
        <v>2094.5</v>
      </c>
      <c r="L3666" s="25">
        <f>IFERROR(__xludf.DUMMYFUNCTION("""COMPUTED_VALUE"""),2108.55)</f>
        <v>2108.55</v>
      </c>
      <c r="M3666" s="25">
        <f>IFERROR(__xludf.DUMMYFUNCTION("""COMPUTED_VALUE"""),2894129.0)</f>
        <v>2894129</v>
      </c>
    </row>
    <row r="3667">
      <c r="A3667" s="26">
        <f>IFERROR(__xludf.DUMMYFUNCTION("""COMPUTED_VALUE"""),43790.64583333333)</f>
        <v>43790.64583</v>
      </c>
      <c r="B3667" s="9">
        <f>IFERROR(__xludf.DUMMYFUNCTION("""COMPUTED_VALUE"""),715.5)</f>
        <v>715.5</v>
      </c>
      <c r="C3667" s="9">
        <f>IFERROR(__xludf.DUMMYFUNCTION("""COMPUTED_VALUE"""),721.45)</f>
        <v>721.45</v>
      </c>
      <c r="D3667" s="9">
        <f>IFERROR(__xludf.DUMMYFUNCTION("""COMPUTED_VALUE"""),710.5)</f>
        <v>710.5</v>
      </c>
      <c r="E3667" s="9">
        <f>IFERROR(__xludf.DUMMYFUNCTION("""COMPUTED_VALUE"""),713.25)</f>
        <v>713.25</v>
      </c>
      <c r="F3667" s="9">
        <f>IFERROR(__xludf.DUMMYFUNCTION("""COMPUTED_VALUE"""),9692973.0)</f>
        <v>9692973</v>
      </c>
      <c r="H3667" s="27">
        <f>IFERROR(__xludf.DUMMYFUNCTION("""COMPUTED_VALUE"""),43790.64583333333)</f>
        <v>43790.64583</v>
      </c>
      <c r="I3667" s="25">
        <f>IFERROR(__xludf.DUMMYFUNCTION("""COMPUTED_VALUE"""),2112.0)</f>
        <v>2112</v>
      </c>
      <c r="J3667" s="25">
        <f>IFERROR(__xludf.DUMMYFUNCTION("""COMPUTED_VALUE"""),2126.6)</f>
        <v>2126.6</v>
      </c>
      <c r="K3667" s="25">
        <f>IFERROR(__xludf.DUMMYFUNCTION("""COMPUTED_VALUE"""),2107.4)</f>
        <v>2107.4</v>
      </c>
      <c r="L3667" s="25">
        <f>IFERROR(__xludf.DUMMYFUNCTION("""COMPUTED_VALUE"""),2118.1)</f>
        <v>2118.1</v>
      </c>
      <c r="M3667" s="25">
        <f>IFERROR(__xludf.DUMMYFUNCTION("""COMPUTED_VALUE"""),2052574.0)</f>
        <v>2052574</v>
      </c>
    </row>
    <row r="3668">
      <c r="A3668" s="26">
        <f>IFERROR(__xludf.DUMMYFUNCTION("""COMPUTED_VALUE"""),43791.64583333333)</f>
        <v>43791.64583</v>
      </c>
      <c r="B3668" s="9">
        <f>IFERROR(__xludf.DUMMYFUNCTION("""COMPUTED_VALUE"""),711.75)</f>
        <v>711.75</v>
      </c>
      <c r="C3668" s="9">
        <f>IFERROR(__xludf.DUMMYFUNCTION("""COMPUTED_VALUE"""),712.0)</f>
        <v>712</v>
      </c>
      <c r="D3668" s="9">
        <f>IFERROR(__xludf.DUMMYFUNCTION("""COMPUTED_VALUE"""),685.1)</f>
        <v>685.1</v>
      </c>
      <c r="E3668" s="9">
        <f>IFERROR(__xludf.DUMMYFUNCTION("""COMPUTED_VALUE"""),693.2)</f>
        <v>693.2</v>
      </c>
      <c r="F3668" s="9">
        <f>IFERROR(__xludf.DUMMYFUNCTION("""COMPUTED_VALUE"""),1.4415826E7)</f>
        <v>14415826</v>
      </c>
      <c r="H3668" s="27">
        <f>IFERROR(__xludf.DUMMYFUNCTION("""COMPUTED_VALUE"""),43791.64583333333)</f>
        <v>43791.64583</v>
      </c>
      <c r="I3668" s="25">
        <f>IFERROR(__xludf.DUMMYFUNCTION("""COMPUTED_VALUE"""),2097.0)</f>
        <v>2097</v>
      </c>
      <c r="J3668" s="25">
        <f>IFERROR(__xludf.DUMMYFUNCTION("""COMPUTED_VALUE"""),2107.0)</f>
        <v>2107</v>
      </c>
      <c r="K3668" s="25">
        <f>IFERROR(__xludf.DUMMYFUNCTION("""COMPUTED_VALUE"""),2060.5)</f>
        <v>2060.5</v>
      </c>
      <c r="L3668" s="25">
        <f>IFERROR(__xludf.DUMMYFUNCTION("""COMPUTED_VALUE"""),2071.7)</f>
        <v>2071.7</v>
      </c>
      <c r="M3668" s="25">
        <f>IFERROR(__xludf.DUMMYFUNCTION("""COMPUTED_VALUE"""),3742049.0)</f>
        <v>3742049</v>
      </c>
    </row>
    <row r="3669">
      <c r="A3669" s="26">
        <f>IFERROR(__xludf.DUMMYFUNCTION("""COMPUTED_VALUE"""),43794.64583333333)</f>
        <v>43794.64583</v>
      </c>
      <c r="B3669" s="9">
        <f>IFERROR(__xludf.DUMMYFUNCTION("""COMPUTED_VALUE"""),693.35)</f>
        <v>693.35</v>
      </c>
      <c r="C3669" s="9">
        <f>IFERROR(__xludf.DUMMYFUNCTION("""COMPUTED_VALUE"""),705.15)</f>
        <v>705.15</v>
      </c>
      <c r="D3669" s="9">
        <f>IFERROR(__xludf.DUMMYFUNCTION("""COMPUTED_VALUE"""),693.2)</f>
        <v>693.2</v>
      </c>
      <c r="E3669" s="9">
        <f>IFERROR(__xludf.DUMMYFUNCTION("""COMPUTED_VALUE"""),698.1)</f>
        <v>698.1</v>
      </c>
      <c r="F3669" s="9">
        <f>IFERROR(__xludf.DUMMYFUNCTION("""COMPUTED_VALUE"""),7334511.0)</f>
        <v>7334511</v>
      </c>
      <c r="H3669" s="27">
        <f>IFERROR(__xludf.DUMMYFUNCTION("""COMPUTED_VALUE"""),43794.64583333333)</f>
        <v>43794.64583</v>
      </c>
      <c r="I3669" s="25">
        <f>IFERROR(__xludf.DUMMYFUNCTION("""COMPUTED_VALUE"""),2074.55)</f>
        <v>2074.55</v>
      </c>
      <c r="J3669" s="25">
        <f>IFERROR(__xludf.DUMMYFUNCTION("""COMPUTED_VALUE"""),2084.95)</f>
        <v>2084.95</v>
      </c>
      <c r="K3669" s="25">
        <f>IFERROR(__xludf.DUMMYFUNCTION("""COMPUTED_VALUE"""),2052.2)</f>
        <v>2052.2</v>
      </c>
      <c r="L3669" s="25">
        <f>IFERROR(__xludf.DUMMYFUNCTION("""COMPUTED_VALUE"""),2081.5)</f>
        <v>2081.5</v>
      </c>
      <c r="M3669" s="25">
        <f>IFERROR(__xludf.DUMMYFUNCTION("""COMPUTED_VALUE"""),2737010.0)</f>
        <v>2737010</v>
      </c>
    </row>
    <row r="3670">
      <c r="A3670" s="26">
        <f>IFERROR(__xludf.DUMMYFUNCTION("""COMPUTED_VALUE"""),43795.64583333333)</f>
        <v>43795.64583</v>
      </c>
      <c r="B3670" s="9">
        <f>IFERROR(__xludf.DUMMYFUNCTION("""COMPUTED_VALUE"""),705.0)</f>
        <v>705</v>
      </c>
      <c r="C3670" s="9">
        <f>IFERROR(__xludf.DUMMYFUNCTION("""COMPUTED_VALUE"""),707.25)</f>
        <v>707.25</v>
      </c>
      <c r="D3670" s="9">
        <f>IFERROR(__xludf.DUMMYFUNCTION("""COMPUTED_VALUE"""),686.0)</f>
        <v>686</v>
      </c>
      <c r="E3670" s="9">
        <f>IFERROR(__xludf.DUMMYFUNCTION("""COMPUTED_VALUE"""),690.6)</f>
        <v>690.6</v>
      </c>
      <c r="F3670" s="9">
        <f>IFERROR(__xludf.DUMMYFUNCTION("""COMPUTED_VALUE"""),2.7253106E7)</f>
        <v>27253106</v>
      </c>
      <c r="H3670" s="27">
        <f>IFERROR(__xludf.DUMMYFUNCTION("""COMPUTED_VALUE"""),43795.64583333333)</f>
        <v>43795.64583</v>
      </c>
      <c r="I3670" s="25">
        <f>IFERROR(__xludf.DUMMYFUNCTION("""COMPUTED_VALUE"""),2089.85)</f>
        <v>2089.85</v>
      </c>
      <c r="J3670" s="25">
        <f>IFERROR(__xludf.DUMMYFUNCTION("""COMPUTED_VALUE"""),2097.9)</f>
        <v>2097.9</v>
      </c>
      <c r="K3670" s="25">
        <f>IFERROR(__xludf.DUMMYFUNCTION("""COMPUTED_VALUE"""),2035.05)</f>
        <v>2035.05</v>
      </c>
      <c r="L3670" s="25">
        <f>IFERROR(__xludf.DUMMYFUNCTION("""COMPUTED_VALUE"""),2046.65)</f>
        <v>2046.65</v>
      </c>
      <c r="M3670" s="25">
        <f>IFERROR(__xludf.DUMMYFUNCTION("""COMPUTED_VALUE"""),6561580.0)</f>
        <v>6561580</v>
      </c>
    </row>
    <row r="3671">
      <c r="A3671" s="26">
        <f>IFERROR(__xludf.DUMMYFUNCTION("""COMPUTED_VALUE"""),43796.64583333333)</f>
        <v>43796.64583</v>
      </c>
      <c r="B3671" s="9">
        <f>IFERROR(__xludf.DUMMYFUNCTION("""COMPUTED_VALUE"""),694.25)</f>
        <v>694.25</v>
      </c>
      <c r="C3671" s="9">
        <f>IFERROR(__xludf.DUMMYFUNCTION("""COMPUTED_VALUE"""),697.65)</f>
        <v>697.65</v>
      </c>
      <c r="D3671" s="9">
        <f>IFERROR(__xludf.DUMMYFUNCTION("""COMPUTED_VALUE"""),690.1)</f>
        <v>690.1</v>
      </c>
      <c r="E3671" s="9">
        <f>IFERROR(__xludf.DUMMYFUNCTION("""COMPUTED_VALUE"""),695.75)</f>
        <v>695.75</v>
      </c>
      <c r="F3671" s="9">
        <f>IFERROR(__xludf.DUMMYFUNCTION("""COMPUTED_VALUE"""),3861635.0)</f>
        <v>3861635</v>
      </c>
      <c r="H3671" s="27">
        <f>IFERROR(__xludf.DUMMYFUNCTION("""COMPUTED_VALUE"""),43796.64583333333)</f>
        <v>43796.64583</v>
      </c>
      <c r="I3671" s="25">
        <f>IFERROR(__xludf.DUMMYFUNCTION("""COMPUTED_VALUE"""),2052.0)</f>
        <v>2052</v>
      </c>
      <c r="J3671" s="25">
        <f>IFERROR(__xludf.DUMMYFUNCTION("""COMPUTED_VALUE"""),2071.7)</f>
        <v>2071.7</v>
      </c>
      <c r="K3671" s="25">
        <f>IFERROR(__xludf.DUMMYFUNCTION("""COMPUTED_VALUE"""),2046.55)</f>
        <v>2046.55</v>
      </c>
      <c r="L3671" s="25">
        <f>IFERROR(__xludf.DUMMYFUNCTION("""COMPUTED_VALUE"""),2054.3)</f>
        <v>2054.3</v>
      </c>
      <c r="M3671" s="25">
        <f>IFERROR(__xludf.DUMMYFUNCTION("""COMPUTED_VALUE"""),2907521.0)</f>
        <v>2907521</v>
      </c>
    </row>
    <row r="3672">
      <c r="A3672" s="26">
        <f>IFERROR(__xludf.DUMMYFUNCTION("""COMPUTED_VALUE"""),43797.64583333333)</f>
        <v>43797.64583</v>
      </c>
      <c r="B3672" s="9">
        <f>IFERROR(__xludf.DUMMYFUNCTION("""COMPUTED_VALUE"""),699.1)</f>
        <v>699.1</v>
      </c>
      <c r="C3672" s="9">
        <f>IFERROR(__xludf.DUMMYFUNCTION("""COMPUTED_VALUE"""),703.35)</f>
        <v>703.35</v>
      </c>
      <c r="D3672" s="9">
        <f>IFERROR(__xludf.DUMMYFUNCTION("""COMPUTED_VALUE"""),694.05)</f>
        <v>694.05</v>
      </c>
      <c r="E3672" s="9">
        <f>IFERROR(__xludf.DUMMYFUNCTION("""COMPUTED_VALUE"""),701.85)</f>
        <v>701.85</v>
      </c>
      <c r="F3672" s="9">
        <f>IFERROR(__xludf.DUMMYFUNCTION("""COMPUTED_VALUE"""),4837683.0)</f>
        <v>4837683</v>
      </c>
      <c r="H3672" s="27">
        <f>IFERROR(__xludf.DUMMYFUNCTION("""COMPUTED_VALUE"""),43797.64583333333)</f>
        <v>43797.64583</v>
      </c>
      <c r="I3672" s="25">
        <f>IFERROR(__xludf.DUMMYFUNCTION("""COMPUTED_VALUE"""),2067.05)</f>
        <v>2067.05</v>
      </c>
      <c r="J3672" s="25">
        <f>IFERROR(__xludf.DUMMYFUNCTION("""COMPUTED_VALUE"""),2094.4)</f>
        <v>2094.4</v>
      </c>
      <c r="K3672" s="25">
        <f>IFERROR(__xludf.DUMMYFUNCTION("""COMPUTED_VALUE"""),2060.0)</f>
        <v>2060</v>
      </c>
      <c r="L3672" s="25">
        <f>IFERROR(__xludf.DUMMYFUNCTION("""COMPUTED_VALUE"""),2077.35)</f>
        <v>2077.35</v>
      </c>
      <c r="M3672" s="25">
        <f>IFERROR(__xludf.DUMMYFUNCTION("""COMPUTED_VALUE"""),2924429.0)</f>
        <v>2924429</v>
      </c>
    </row>
    <row r="3673">
      <c r="A3673" s="26">
        <f>IFERROR(__xludf.DUMMYFUNCTION("""COMPUTED_VALUE"""),43798.64583333333)</f>
        <v>43798.64583</v>
      </c>
      <c r="B3673" s="9">
        <f>IFERROR(__xludf.DUMMYFUNCTION("""COMPUTED_VALUE"""),700.9)</f>
        <v>700.9</v>
      </c>
      <c r="C3673" s="9">
        <f>IFERROR(__xludf.DUMMYFUNCTION("""COMPUTED_VALUE"""),702.3)</f>
        <v>702.3</v>
      </c>
      <c r="D3673" s="9">
        <f>IFERROR(__xludf.DUMMYFUNCTION("""COMPUTED_VALUE"""),691.55)</f>
        <v>691.55</v>
      </c>
      <c r="E3673" s="9">
        <f>IFERROR(__xludf.DUMMYFUNCTION("""COMPUTED_VALUE"""),696.35)</f>
        <v>696.35</v>
      </c>
      <c r="F3673" s="9">
        <f>IFERROR(__xludf.DUMMYFUNCTION("""COMPUTED_VALUE"""),4262379.0)</f>
        <v>4262379</v>
      </c>
      <c r="H3673" s="27">
        <f>IFERROR(__xludf.DUMMYFUNCTION("""COMPUTED_VALUE"""),43798.64583333333)</f>
        <v>43798.64583</v>
      </c>
      <c r="I3673" s="25">
        <f>IFERROR(__xludf.DUMMYFUNCTION("""COMPUTED_VALUE"""),2085.0)</f>
        <v>2085</v>
      </c>
      <c r="J3673" s="25">
        <f>IFERROR(__xludf.DUMMYFUNCTION("""COMPUTED_VALUE"""),2085.0)</f>
        <v>2085</v>
      </c>
      <c r="K3673" s="25">
        <f>IFERROR(__xludf.DUMMYFUNCTION("""COMPUTED_VALUE"""),2045.8)</f>
        <v>2045.8</v>
      </c>
      <c r="L3673" s="25">
        <f>IFERROR(__xludf.DUMMYFUNCTION("""COMPUTED_VALUE"""),2053.25)</f>
        <v>2053.25</v>
      </c>
      <c r="M3673" s="25">
        <f>IFERROR(__xludf.DUMMYFUNCTION("""COMPUTED_VALUE"""),2064271.0)</f>
        <v>2064271</v>
      </c>
    </row>
    <row r="3674">
      <c r="A3674" s="26">
        <f>IFERROR(__xludf.DUMMYFUNCTION("""COMPUTED_VALUE"""),43801.64583333333)</f>
        <v>43801.64583</v>
      </c>
      <c r="B3674" s="9">
        <f>IFERROR(__xludf.DUMMYFUNCTION("""COMPUTED_VALUE"""),703.1)</f>
        <v>703.1</v>
      </c>
      <c r="C3674" s="9">
        <f>IFERROR(__xludf.DUMMYFUNCTION("""COMPUTED_VALUE"""),0.0)</f>
        <v>0</v>
      </c>
      <c r="D3674" s="9">
        <f>IFERROR(__xludf.DUMMYFUNCTION("""COMPUTED_VALUE"""),0.0)</f>
        <v>0</v>
      </c>
      <c r="E3674" s="9">
        <f>IFERROR(__xludf.DUMMYFUNCTION("""COMPUTED_VALUE"""),695.8)</f>
        <v>695.8</v>
      </c>
      <c r="F3674" s="9">
        <f>IFERROR(__xludf.DUMMYFUNCTION("""COMPUTED_VALUE"""),0.0)</f>
        <v>0</v>
      </c>
      <c r="H3674" s="27">
        <f>IFERROR(__xludf.DUMMYFUNCTION("""COMPUTED_VALUE"""),43802.64583333333)</f>
        <v>43802.64583</v>
      </c>
      <c r="I3674" s="25">
        <f>IFERROR(__xludf.DUMMYFUNCTION("""COMPUTED_VALUE"""),2027.7)</f>
        <v>2027.7</v>
      </c>
      <c r="J3674" s="25">
        <f>IFERROR(__xludf.DUMMYFUNCTION("""COMPUTED_VALUE"""),2062.0)</f>
        <v>2062</v>
      </c>
      <c r="K3674" s="25">
        <f>IFERROR(__xludf.DUMMYFUNCTION("""COMPUTED_VALUE"""),2010.0)</f>
        <v>2010</v>
      </c>
      <c r="L3674" s="25">
        <f>IFERROR(__xludf.DUMMYFUNCTION("""COMPUTED_VALUE"""),2051.0)</f>
        <v>2051</v>
      </c>
      <c r="M3674" s="25">
        <f>IFERROR(__xludf.DUMMYFUNCTION("""COMPUTED_VALUE"""),4664774.0)</f>
        <v>4664774</v>
      </c>
    </row>
    <row r="3675">
      <c r="A3675" s="26">
        <f>IFERROR(__xludf.DUMMYFUNCTION("""COMPUTED_VALUE"""),43802.64583333333)</f>
        <v>43802.64583</v>
      </c>
      <c r="B3675" s="9">
        <f>IFERROR(__xludf.DUMMYFUNCTION("""COMPUTED_VALUE"""),692.7)</f>
        <v>692.7</v>
      </c>
      <c r="C3675" s="9">
        <f>IFERROR(__xludf.DUMMYFUNCTION("""COMPUTED_VALUE"""),699.7)</f>
        <v>699.7</v>
      </c>
      <c r="D3675" s="9">
        <f>IFERROR(__xludf.DUMMYFUNCTION("""COMPUTED_VALUE"""),688.55)</f>
        <v>688.55</v>
      </c>
      <c r="E3675" s="9">
        <f>IFERROR(__xludf.DUMMYFUNCTION("""COMPUTED_VALUE"""),698.35)</f>
        <v>698.35</v>
      </c>
      <c r="F3675" s="9">
        <f>IFERROR(__xludf.DUMMYFUNCTION("""COMPUTED_VALUE"""),5239013.0)</f>
        <v>5239013</v>
      </c>
      <c r="H3675" s="27">
        <f>IFERROR(__xludf.DUMMYFUNCTION("""COMPUTED_VALUE"""),43803.64583333333)</f>
        <v>43803.64583</v>
      </c>
      <c r="I3675" s="25">
        <f>IFERROR(__xludf.DUMMYFUNCTION("""COMPUTED_VALUE"""),2053.0)</f>
        <v>2053</v>
      </c>
      <c r="J3675" s="25">
        <f>IFERROR(__xludf.DUMMYFUNCTION("""COMPUTED_VALUE"""),2082.0)</f>
        <v>2082</v>
      </c>
      <c r="K3675" s="25">
        <f>IFERROR(__xludf.DUMMYFUNCTION("""COMPUTED_VALUE"""),2045.5)</f>
        <v>2045.5</v>
      </c>
      <c r="L3675" s="25">
        <f>IFERROR(__xludf.DUMMYFUNCTION("""COMPUTED_VALUE"""),2078.5)</f>
        <v>2078.5</v>
      </c>
      <c r="M3675" s="25">
        <f>IFERROR(__xludf.DUMMYFUNCTION("""COMPUTED_VALUE"""),3334301.0)</f>
        <v>3334301</v>
      </c>
    </row>
    <row r="3676">
      <c r="A3676" s="26">
        <f>IFERROR(__xludf.DUMMYFUNCTION("""COMPUTED_VALUE"""),43803.64583333333)</f>
        <v>43803.64583</v>
      </c>
      <c r="B3676" s="9">
        <f>IFERROR(__xludf.DUMMYFUNCTION("""COMPUTED_VALUE"""),697.0)</f>
        <v>697</v>
      </c>
      <c r="C3676" s="9">
        <f>IFERROR(__xludf.DUMMYFUNCTION("""COMPUTED_VALUE"""),710.5)</f>
        <v>710.5</v>
      </c>
      <c r="D3676" s="9">
        <f>IFERROR(__xludf.DUMMYFUNCTION("""COMPUTED_VALUE"""),693.35)</f>
        <v>693.35</v>
      </c>
      <c r="E3676" s="9">
        <f>IFERROR(__xludf.DUMMYFUNCTION("""COMPUTED_VALUE"""),708.85)</f>
        <v>708.85</v>
      </c>
      <c r="F3676" s="9">
        <f>IFERROR(__xludf.DUMMYFUNCTION("""COMPUTED_VALUE"""),7427886.0)</f>
        <v>7427886</v>
      </c>
      <c r="H3676" s="27">
        <f>IFERROR(__xludf.DUMMYFUNCTION("""COMPUTED_VALUE"""),43804.64583333333)</f>
        <v>43804.64583</v>
      </c>
      <c r="I3676" s="25">
        <f>IFERROR(__xludf.DUMMYFUNCTION("""COMPUTED_VALUE"""),2083.0)</f>
        <v>2083</v>
      </c>
      <c r="J3676" s="25">
        <f>IFERROR(__xludf.DUMMYFUNCTION("""COMPUTED_VALUE"""),2126.8)</f>
        <v>2126.8</v>
      </c>
      <c r="K3676" s="25">
        <f>IFERROR(__xludf.DUMMYFUNCTION("""COMPUTED_VALUE"""),2068.35)</f>
        <v>2068.35</v>
      </c>
      <c r="L3676" s="25">
        <f>IFERROR(__xludf.DUMMYFUNCTION("""COMPUTED_VALUE"""),2121.3)</f>
        <v>2121.3</v>
      </c>
      <c r="M3676" s="25">
        <f>IFERROR(__xludf.DUMMYFUNCTION("""COMPUTED_VALUE"""),3902721.0)</f>
        <v>3902721</v>
      </c>
    </row>
    <row r="3677">
      <c r="A3677" s="26">
        <f>IFERROR(__xludf.DUMMYFUNCTION("""COMPUTED_VALUE"""),43804.64583333333)</f>
        <v>43804.64583</v>
      </c>
      <c r="B3677" s="9">
        <f>IFERROR(__xludf.DUMMYFUNCTION("""COMPUTED_VALUE"""),706.45)</f>
        <v>706.45</v>
      </c>
      <c r="C3677" s="9">
        <f>IFERROR(__xludf.DUMMYFUNCTION("""COMPUTED_VALUE"""),715.9)</f>
        <v>715.9</v>
      </c>
      <c r="D3677" s="9">
        <f>IFERROR(__xludf.DUMMYFUNCTION("""COMPUTED_VALUE"""),703.8)</f>
        <v>703.8</v>
      </c>
      <c r="E3677" s="9">
        <f>IFERROR(__xludf.DUMMYFUNCTION("""COMPUTED_VALUE"""),714.85)</f>
        <v>714.85</v>
      </c>
      <c r="F3677" s="9">
        <f>IFERROR(__xludf.DUMMYFUNCTION("""COMPUTED_VALUE"""),4814422.0)</f>
        <v>4814422</v>
      </c>
      <c r="H3677" s="27">
        <f>IFERROR(__xludf.DUMMYFUNCTION("""COMPUTED_VALUE"""),43805.64583333333)</f>
        <v>43805.64583</v>
      </c>
      <c r="I3677" s="25">
        <f>IFERROR(__xludf.DUMMYFUNCTION("""COMPUTED_VALUE"""),2124.0)</f>
        <v>2124</v>
      </c>
      <c r="J3677" s="25">
        <f>IFERROR(__xludf.DUMMYFUNCTION("""COMPUTED_VALUE"""),2128.0)</f>
        <v>2128</v>
      </c>
      <c r="K3677" s="25">
        <f>IFERROR(__xludf.DUMMYFUNCTION("""COMPUTED_VALUE"""),2101.0)</f>
        <v>2101</v>
      </c>
      <c r="L3677" s="25">
        <f>IFERROR(__xludf.DUMMYFUNCTION("""COMPUTED_VALUE"""),2123.6)</f>
        <v>2123.6</v>
      </c>
      <c r="M3677" s="25">
        <f>IFERROR(__xludf.DUMMYFUNCTION("""COMPUTED_VALUE"""),1829461.0)</f>
        <v>1829461</v>
      </c>
    </row>
    <row r="3678">
      <c r="A3678" s="26">
        <f>IFERROR(__xludf.DUMMYFUNCTION("""COMPUTED_VALUE"""),43805.64583333333)</f>
        <v>43805.64583</v>
      </c>
      <c r="B3678" s="9">
        <f>IFERROR(__xludf.DUMMYFUNCTION("""COMPUTED_VALUE"""),715.95)</f>
        <v>715.95</v>
      </c>
      <c r="C3678" s="9">
        <f>IFERROR(__xludf.DUMMYFUNCTION("""COMPUTED_VALUE"""),720.0)</f>
        <v>720</v>
      </c>
      <c r="D3678" s="9">
        <f>IFERROR(__xludf.DUMMYFUNCTION("""COMPUTED_VALUE"""),709.6)</f>
        <v>709.6</v>
      </c>
      <c r="E3678" s="9">
        <f>IFERROR(__xludf.DUMMYFUNCTION("""COMPUTED_VALUE"""),715.1)</f>
        <v>715.1</v>
      </c>
      <c r="F3678" s="9">
        <f>IFERROR(__xludf.DUMMYFUNCTION("""COMPUTED_VALUE"""),5226096.0)</f>
        <v>5226096</v>
      </c>
      <c r="H3678" s="27">
        <f>IFERROR(__xludf.DUMMYFUNCTION("""COMPUTED_VALUE"""),43808.64583333333)</f>
        <v>43808.64583</v>
      </c>
      <c r="I3678" s="25">
        <f>IFERROR(__xludf.DUMMYFUNCTION("""COMPUTED_VALUE"""),2127.95)</f>
        <v>2127.95</v>
      </c>
      <c r="J3678" s="25">
        <f>IFERROR(__xludf.DUMMYFUNCTION("""COMPUTED_VALUE"""),2127.95)</f>
        <v>2127.95</v>
      </c>
      <c r="K3678" s="25">
        <f>IFERROR(__xludf.DUMMYFUNCTION("""COMPUTED_VALUE"""),2053.5)</f>
        <v>2053.5</v>
      </c>
      <c r="L3678" s="25">
        <f>IFERROR(__xludf.DUMMYFUNCTION("""COMPUTED_VALUE"""),2060.45)</f>
        <v>2060.45</v>
      </c>
      <c r="M3678" s="25">
        <f>IFERROR(__xludf.DUMMYFUNCTION("""COMPUTED_VALUE"""),2244747.0)</f>
        <v>2244747</v>
      </c>
    </row>
    <row r="3679">
      <c r="A3679" s="26">
        <f>IFERROR(__xludf.DUMMYFUNCTION("""COMPUTED_VALUE"""),43808.64583333333)</f>
        <v>43808.64583</v>
      </c>
      <c r="B3679" s="9">
        <f>IFERROR(__xludf.DUMMYFUNCTION("""COMPUTED_VALUE"""),716.0)</f>
        <v>716</v>
      </c>
      <c r="C3679" s="9">
        <f>IFERROR(__xludf.DUMMYFUNCTION("""COMPUTED_VALUE"""),722.35)</f>
        <v>722.35</v>
      </c>
      <c r="D3679" s="9">
        <f>IFERROR(__xludf.DUMMYFUNCTION("""COMPUTED_VALUE"""),714.25)</f>
        <v>714.25</v>
      </c>
      <c r="E3679" s="9">
        <f>IFERROR(__xludf.DUMMYFUNCTION("""COMPUTED_VALUE"""),717.25)</f>
        <v>717.25</v>
      </c>
      <c r="F3679" s="9">
        <f>IFERROR(__xludf.DUMMYFUNCTION("""COMPUTED_VALUE"""),6435865.0)</f>
        <v>6435865</v>
      </c>
      <c r="H3679" s="27">
        <f>IFERROR(__xludf.DUMMYFUNCTION("""COMPUTED_VALUE"""),43809.64583333333)</f>
        <v>43809.64583</v>
      </c>
      <c r="I3679" s="25">
        <f>IFERROR(__xludf.DUMMYFUNCTION("""COMPUTED_VALUE"""),2060.0)</f>
        <v>2060</v>
      </c>
      <c r="J3679" s="25">
        <f>IFERROR(__xludf.DUMMYFUNCTION("""COMPUTED_VALUE"""),2060.85)</f>
        <v>2060.85</v>
      </c>
      <c r="K3679" s="25">
        <f>IFERROR(__xludf.DUMMYFUNCTION("""COMPUTED_VALUE"""),2003.25)</f>
        <v>2003.25</v>
      </c>
      <c r="L3679" s="25">
        <f>IFERROR(__xludf.DUMMYFUNCTION("""COMPUTED_VALUE"""),2012.85)</f>
        <v>2012.85</v>
      </c>
      <c r="M3679" s="25">
        <f>IFERROR(__xludf.DUMMYFUNCTION("""COMPUTED_VALUE"""),4520045.0)</f>
        <v>4520045</v>
      </c>
    </row>
    <row r="3680">
      <c r="A3680" s="26">
        <f>IFERROR(__xludf.DUMMYFUNCTION("""COMPUTED_VALUE"""),43809.64583333333)</f>
        <v>43809.64583</v>
      </c>
      <c r="B3680" s="9">
        <f>IFERROR(__xludf.DUMMYFUNCTION("""COMPUTED_VALUE"""),713.0)</f>
        <v>713</v>
      </c>
      <c r="C3680" s="9">
        <f>IFERROR(__xludf.DUMMYFUNCTION("""COMPUTED_VALUE"""),718.5)</f>
        <v>718.5</v>
      </c>
      <c r="D3680" s="9">
        <f>IFERROR(__xludf.DUMMYFUNCTION("""COMPUTED_VALUE"""),710.0)</f>
        <v>710</v>
      </c>
      <c r="E3680" s="9">
        <f>IFERROR(__xludf.DUMMYFUNCTION("""COMPUTED_VALUE"""),714.55)</f>
        <v>714.55</v>
      </c>
      <c r="F3680" s="9">
        <f>IFERROR(__xludf.DUMMYFUNCTION("""COMPUTED_VALUE"""),4457939.0)</f>
        <v>4457939</v>
      </c>
      <c r="H3680" s="27">
        <f>IFERROR(__xludf.DUMMYFUNCTION("""COMPUTED_VALUE"""),43810.64583333333)</f>
        <v>43810.64583</v>
      </c>
      <c r="I3680" s="25">
        <f>IFERROR(__xludf.DUMMYFUNCTION("""COMPUTED_VALUE"""),2025.4)</f>
        <v>2025.4</v>
      </c>
      <c r="J3680" s="25">
        <f>IFERROR(__xludf.DUMMYFUNCTION("""COMPUTED_VALUE"""),2048.0)</f>
        <v>2048</v>
      </c>
      <c r="K3680" s="25">
        <f>IFERROR(__xludf.DUMMYFUNCTION("""COMPUTED_VALUE"""),2006.75)</f>
        <v>2006.75</v>
      </c>
      <c r="L3680" s="25">
        <f>IFERROR(__xludf.DUMMYFUNCTION("""COMPUTED_VALUE"""),2041.9)</f>
        <v>2041.9</v>
      </c>
      <c r="M3680" s="25">
        <f>IFERROR(__xludf.DUMMYFUNCTION("""COMPUTED_VALUE"""),4943024.0)</f>
        <v>4943024</v>
      </c>
    </row>
    <row r="3681">
      <c r="A3681" s="26">
        <f>IFERROR(__xludf.DUMMYFUNCTION("""COMPUTED_VALUE"""),43810.64583333333)</f>
        <v>43810.64583</v>
      </c>
      <c r="B3681" s="9">
        <f>IFERROR(__xludf.DUMMYFUNCTION("""COMPUTED_VALUE"""),716.6)</f>
        <v>716.6</v>
      </c>
      <c r="C3681" s="9">
        <f>IFERROR(__xludf.DUMMYFUNCTION("""COMPUTED_VALUE"""),722.7)</f>
        <v>722.7</v>
      </c>
      <c r="D3681" s="9">
        <f>IFERROR(__xludf.DUMMYFUNCTION("""COMPUTED_VALUE"""),713.0)</f>
        <v>713</v>
      </c>
      <c r="E3681" s="9">
        <f>IFERROR(__xludf.DUMMYFUNCTION("""COMPUTED_VALUE"""),721.05)</f>
        <v>721.05</v>
      </c>
      <c r="F3681" s="9">
        <f>IFERROR(__xludf.DUMMYFUNCTION("""COMPUTED_VALUE"""),6043554.0)</f>
        <v>6043554</v>
      </c>
      <c r="H3681" s="27">
        <f>IFERROR(__xludf.DUMMYFUNCTION("""COMPUTED_VALUE"""),43811.64583333333)</f>
        <v>43811.64583</v>
      </c>
      <c r="I3681" s="25">
        <f>IFERROR(__xludf.DUMMYFUNCTION("""COMPUTED_VALUE"""),2051.1)</f>
        <v>2051.1</v>
      </c>
      <c r="J3681" s="25">
        <f>IFERROR(__xludf.DUMMYFUNCTION("""COMPUTED_VALUE"""),2083.65)</f>
        <v>2083.65</v>
      </c>
      <c r="K3681" s="25">
        <f>IFERROR(__xludf.DUMMYFUNCTION("""COMPUTED_VALUE"""),1984.0)</f>
        <v>1984</v>
      </c>
      <c r="L3681" s="25">
        <f>IFERROR(__xludf.DUMMYFUNCTION("""COMPUTED_VALUE"""),2020.9)</f>
        <v>2020.9</v>
      </c>
      <c r="M3681" s="25">
        <f>IFERROR(__xludf.DUMMYFUNCTION("""COMPUTED_VALUE"""),7137306.0)</f>
        <v>7137306</v>
      </c>
    </row>
    <row r="3682">
      <c r="A3682" s="26">
        <f>IFERROR(__xludf.DUMMYFUNCTION("""COMPUTED_VALUE"""),43811.64583333333)</f>
        <v>43811.64583</v>
      </c>
      <c r="B3682" s="9">
        <f>IFERROR(__xludf.DUMMYFUNCTION("""COMPUTED_VALUE"""),718.5)</f>
        <v>718.5</v>
      </c>
      <c r="C3682" s="9">
        <f>IFERROR(__xludf.DUMMYFUNCTION("""COMPUTED_VALUE"""),720.7)</f>
        <v>720.7</v>
      </c>
      <c r="D3682" s="9">
        <f>IFERROR(__xludf.DUMMYFUNCTION("""COMPUTED_VALUE"""),699.55)</f>
        <v>699.55</v>
      </c>
      <c r="E3682" s="9">
        <f>IFERROR(__xludf.DUMMYFUNCTION("""COMPUTED_VALUE"""),702.1)</f>
        <v>702.1</v>
      </c>
      <c r="F3682" s="9">
        <f>IFERROR(__xludf.DUMMYFUNCTION("""COMPUTED_VALUE"""),1.1112042E7)</f>
        <v>11112042</v>
      </c>
      <c r="H3682" s="27">
        <f>IFERROR(__xludf.DUMMYFUNCTION("""COMPUTED_VALUE"""),43812.64583333333)</f>
        <v>43812.64583</v>
      </c>
      <c r="I3682" s="25">
        <f>IFERROR(__xludf.DUMMYFUNCTION("""COMPUTED_VALUE"""),2023.0)</f>
        <v>2023</v>
      </c>
      <c r="J3682" s="25">
        <f>IFERROR(__xludf.DUMMYFUNCTION("""COMPUTED_VALUE"""),2077.4)</f>
        <v>2077.4</v>
      </c>
      <c r="K3682" s="25">
        <f>IFERROR(__xludf.DUMMYFUNCTION("""COMPUTED_VALUE"""),2007.0)</f>
        <v>2007</v>
      </c>
      <c r="L3682" s="25">
        <f>IFERROR(__xludf.DUMMYFUNCTION("""COMPUTED_VALUE"""),2071.25)</f>
        <v>2071.25</v>
      </c>
      <c r="M3682" s="25">
        <f>IFERROR(__xludf.DUMMYFUNCTION("""COMPUTED_VALUE"""),5711133.0)</f>
        <v>5711133</v>
      </c>
    </row>
    <row r="3683">
      <c r="A3683" s="26">
        <f>IFERROR(__xludf.DUMMYFUNCTION("""COMPUTED_VALUE"""),43812.64583333333)</f>
        <v>43812.64583</v>
      </c>
      <c r="B3683" s="9">
        <f>IFERROR(__xludf.DUMMYFUNCTION("""COMPUTED_VALUE"""),700.35)</f>
        <v>700.35</v>
      </c>
      <c r="C3683" s="9">
        <f>IFERROR(__xludf.DUMMYFUNCTION("""COMPUTED_VALUE"""),712.9)</f>
        <v>712.9</v>
      </c>
      <c r="D3683" s="9">
        <f>IFERROR(__xludf.DUMMYFUNCTION("""COMPUTED_VALUE"""),700.35)</f>
        <v>700.35</v>
      </c>
      <c r="E3683" s="9">
        <f>IFERROR(__xludf.DUMMYFUNCTION("""COMPUTED_VALUE"""),711.3)</f>
        <v>711.3</v>
      </c>
      <c r="F3683" s="9">
        <f>IFERROR(__xludf.DUMMYFUNCTION("""COMPUTED_VALUE"""),1.0302412E7)</f>
        <v>10302412</v>
      </c>
      <c r="H3683" s="27">
        <f>IFERROR(__xludf.DUMMYFUNCTION("""COMPUTED_VALUE"""),43815.64583333333)</f>
        <v>43815.64583</v>
      </c>
      <c r="I3683" s="25">
        <f>IFERROR(__xludf.DUMMYFUNCTION("""COMPUTED_VALUE"""),2096.0)</f>
        <v>2096</v>
      </c>
      <c r="J3683" s="25">
        <f>IFERROR(__xludf.DUMMYFUNCTION("""COMPUTED_VALUE"""),2136.0)</f>
        <v>2136</v>
      </c>
      <c r="K3683" s="25">
        <f>IFERROR(__xludf.DUMMYFUNCTION("""COMPUTED_VALUE"""),2080.3)</f>
        <v>2080.3</v>
      </c>
      <c r="L3683" s="25">
        <f>IFERROR(__xludf.DUMMYFUNCTION("""COMPUTED_VALUE"""),2126.75)</f>
        <v>2126.75</v>
      </c>
      <c r="M3683" s="25">
        <f>IFERROR(__xludf.DUMMYFUNCTION("""COMPUTED_VALUE"""),5574177.0)</f>
        <v>5574177</v>
      </c>
    </row>
    <row r="3684">
      <c r="A3684" s="26">
        <f>IFERROR(__xludf.DUMMYFUNCTION("""COMPUTED_VALUE"""),43815.64583333333)</f>
        <v>43815.64583</v>
      </c>
      <c r="B3684" s="9">
        <f>IFERROR(__xludf.DUMMYFUNCTION("""COMPUTED_VALUE"""),712.3)</f>
        <v>712.3</v>
      </c>
      <c r="C3684" s="9">
        <f>IFERROR(__xludf.DUMMYFUNCTION("""COMPUTED_VALUE"""),720.2)</f>
        <v>720.2</v>
      </c>
      <c r="D3684" s="9">
        <f>IFERROR(__xludf.DUMMYFUNCTION("""COMPUTED_VALUE"""),710.2)</f>
        <v>710.2</v>
      </c>
      <c r="E3684" s="9">
        <f>IFERROR(__xludf.DUMMYFUNCTION("""COMPUTED_VALUE"""),714.0)</f>
        <v>714</v>
      </c>
      <c r="F3684" s="9">
        <f>IFERROR(__xludf.DUMMYFUNCTION("""COMPUTED_VALUE"""),5616324.0)</f>
        <v>5616324</v>
      </c>
      <c r="H3684" s="27">
        <f>IFERROR(__xludf.DUMMYFUNCTION("""COMPUTED_VALUE"""),43816.64583333333)</f>
        <v>43816.64583</v>
      </c>
      <c r="I3684" s="25">
        <f>IFERROR(__xludf.DUMMYFUNCTION("""COMPUTED_VALUE"""),2126.5)</f>
        <v>2126.5</v>
      </c>
      <c r="J3684" s="25">
        <f>IFERROR(__xludf.DUMMYFUNCTION("""COMPUTED_VALUE"""),2169.0)</f>
        <v>2169</v>
      </c>
      <c r="K3684" s="25">
        <f>IFERROR(__xludf.DUMMYFUNCTION("""COMPUTED_VALUE"""),2119.0)</f>
        <v>2119</v>
      </c>
      <c r="L3684" s="25">
        <f>IFERROR(__xludf.DUMMYFUNCTION("""COMPUTED_VALUE"""),2164.95)</f>
        <v>2164.95</v>
      </c>
      <c r="M3684" s="25">
        <f>IFERROR(__xludf.DUMMYFUNCTION("""COMPUTED_VALUE"""),6059673.0)</f>
        <v>6059673</v>
      </c>
    </row>
    <row r="3685">
      <c r="A3685" s="26">
        <f>IFERROR(__xludf.DUMMYFUNCTION("""COMPUTED_VALUE"""),43816.64583333333)</f>
        <v>43816.64583</v>
      </c>
      <c r="B3685" s="9">
        <f>IFERROR(__xludf.DUMMYFUNCTION("""COMPUTED_VALUE"""),719.7)</f>
        <v>719.7</v>
      </c>
      <c r="C3685" s="9">
        <f>IFERROR(__xludf.DUMMYFUNCTION("""COMPUTED_VALUE"""),731.25)</f>
        <v>731.25</v>
      </c>
      <c r="D3685" s="9">
        <f>IFERROR(__xludf.DUMMYFUNCTION("""COMPUTED_VALUE"""),715.0)</f>
        <v>715</v>
      </c>
      <c r="E3685" s="9">
        <f>IFERROR(__xludf.DUMMYFUNCTION("""COMPUTED_VALUE"""),729.7)</f>
        <v>729.7</v>
      </c>
      <c r="F3685" s="9">
        <f>IFERROR(__xludf.DUMMYFUNCTION("""COMPUTED_VALUE"""),1.0525565E7)</f>
        <v>10525565</v>
      </c>
      <c r="H3685" s="27">
        <f>IFERROR(__xludf.DUMMYFUNCTION("""COMPUTED_VALUE"""),43817.64583333333)</f>
        <v>43817.64583</v>
      </c>
      <c r="I3685" s="25">
        <f>IFERROR(__xludf.DUMMYFUNCTION("""COMPUTED_VALUE"""),2174.0)</f>
        <v>2174</v>
      </c>
      <c r="J3685" s="25">
        <f>IFERROR(__xludf.DUMMYFUNCTION("""COMPUTED_VALUE"""),2203.45)</f>
        <v>2203.45</v>
      </c>
      <c r="K3685" s="25">
        <f>IFERROR(__xludf.DUMMYFUNCTION("""COMPUTED_VALUE"""),2153.0)</f>
        <v>2153</v>
      </c>
      <c r="L3685" s="25">
        <f>IFERROR(__xludf.DUMMYFUNCTION("""COMPUTED_VALUE"""),2167.75)</f>
        <v>2167.75</v>
      </c>
      <c r="M3685" s="25">
        <f>IFERROR(__xludf.DUMMYFUNCTION("""COMPUTED_VALUE"""),8251081.0)</f>
        <v>8251081</v>
      </c>
    </row>
    <row r="3686">
      <c r="A3686" s="26">
        <f>IFERROR(__xludf.DUMMYFUNCTION("""COMPUTED_VALUE"""),43817.64583333333)</f>
        <v>43817.64583</v>
      </c>
      <c r="B3686" s="9">
        <f>IFERROR(__xludf.DUMMYFUNCTION("""COMPUTED_VALUE"""),731.0)</f>
        <v>731</v>
      </c>
      <c r="C3686" s="9">
        <f>IFERROR(__xludf.DUMMYFUNCTION("""COMPUTED_VALUE"""),737.3)</f>
        <v>737.3</v>
      </c>
      <c r="D3686" s="9">
        <f>IFERROR(__xludf.DUMMYFUNCTION("""COMPUTED_VALUE"""),722.75)</f>
        <v>722.75</v>
      </c>
      <c r="E3686" s="9">
        <f>IFERROR(__xludf.DUMMYFUNCTION("""COMPUTED_VALUE"""),732.45)</f>
        <v>732.45</v>
      </c>
      <c r="F3686" s="9">
        <f>IFERROR(__xludf.DUMMYFUNCTION("""COMPUTED_VALUE"""),1.2215295E7)</f>
        <v>12215295</v>
      </c>
      <c r="H3686" s="27">
        <f>IFERROR(__xludf.DUMMYFUNCTION("""COMPUTED_VALUE"""),43818.64583333333)</f>
        <v>43818.64583</v>
      </c>
      <c r="I3686" s="25">
        <f>IFERROR(__xludf.DUMMYFUNCTION("""COMPUTED_VALUE"""),2179.8)</f>
        <v>2179.8</v>
      </c>
      <c r="J3686" s="25">
        <f>IFERROR(__xludf.DUMMYFUNCTION("""COMPUTED_VALUE"""),2236.5)</f>
        <v>2236.5</v>
      </c>
      <c r="K3686" s="25">
        <f>IFERROR(__xludf.DUMMYFUNCTION("""COMPUTED_VALUE"""),2167.55)</f>
        <v>2167.55</v>
      </c>
      <c r="L3686" s="25">
        <f>IFERROR(__xludf.DUMMYFUNCTION("""COMPUTED_VALUE"""),2229.05)</f>
        <v>2229.05</v>
      </c>
      <c r="M3686" s="25">
        <f>IFERROR(__xludf.DUMMYFUNCTION("""COMPUTED_VALUE"""),6251505.0)</f>
        <v>6251505</v>
      </c>
    </row>
    <row r="3687">
      <c r="A3687" s="26">
        <f>IFERROR(__xludf.DUMMYFUNCTION("""COMPUTED_VALUE"""),43818.64583333333)</f>
        <v>43818.64583</v>
      </c>
      <c r="B3687" s="9">
        <f>IFERROR(__xludf.DUMMYFUNCTION("""COMPUTED_VALUE"""),733.5)</f>
        <v>733.5</v>
      </c>
      <c r="C3687" s="9">
        <f>IFERROR(__xludf.DUMMYFUNCTION("""COMPUTED_VALUE"""),735.95)</f>
        <v>735.95</v>
      </c>
      <c r="D3687" s="9">
        <f>IFERROR(__xludf.DUMMYFUNCTION("""COMPUTED_VALUE"""),724.6)</f>
        <v>724.6</v>
      </c>
      <c r="E3687" s="9">
        <f>IFERROR(__xludf.DUMMYFUNCTION("""COMPUTED_VALUE"""),730.85)</f>
        <v>730.85</v>
      </c>
      <c r="F3687" s="9">
        <f>IFERROR(__xludf.DUMMYFUNCTION("""COMPUTED_VALUE"""),7199210.0)</f>
        <v>7199210</v>
      </c>
      <c r="H3687" s="27">
        <f>IFERROR(__xludf.DUMMYFUNCTION("""COMPUTED_VALUE"""),43819.64583333333)</f>
        <v>43819.64583</v>
      </c>
      <c r="I3687" s="25">
        <f>IFERROR(__xludf.DUMMYFUNCTION("""COMPUTED_VALUE"""),2220.0)</f>
        <v>2220</v>
      </c>
      <c r="J3687" s="25">
        <f>IFERROR(__xludf.DUMMYFUNCTION("""COMPUTED_VALUE"""),2246.7)</f>
        <v>2246.7</v>
      </c>
      <c r="K3687" s="25">
        <f>IFERROR(__xludf.DUMMYFUNCTION("""COMPUTED_VALUE"""),2208.25)</f>
        <v>2208.25</v>
      </c>
      <c r="L3687" s="25">
        <f>IFERROR(__xludf.DUMMYFUNCTION("""COMPUTED_VALUE"""),2222.9)</f>
        <v>2222.9</v>
      </c>
      <c r="M3687" s="25">
        <f>IFERROR(__xludf.DUMMYFUNCTION("""COMPUTED_VALUE"""),5548338.0)</f>
        <v>5548338</v>
      </c>
    </row>
    <row r="3688">
      <c r="A3688" s="26">
        <f>IFERROR(__xludf.DUMMYFUNCTION("""COMPUTED_VALUE"""),43819.64583333333)</f>
        <v>43819.64583</v>
      </c>
      <c r="B3688" s="9">
        <f>IFERROR(__xludf.DUMMYFUNCTION("""COMPUTED_VALUE"""),731.0)</f>
        <v>731</v>
      </c>
      <c r="C3688" s="9">
        <f>IFERROR(__xludf.DUMMYFUNCTION("""COMPUTED_VALUE"""),735.0)</f>
        <v>735</v>
      </c>
      <c r="D3688" s="9">
        <f>IFERROR(__xludf.DUMMYFUNCTION("""COMPUTED_VALUE"""),728.25)</f>
        <v>728.25</v>
      </c>
      <c r="E3688" s="9">
        <f>IFERROR(__xludf.DUMMYFUNCTION("""COMPUTED_VALUE"""),731.55)</f>
        <v>731.55</v>
      </c>
      <c r="F3688" s="9">
        <f>IFERROR(__xludf.DUMMYFUNCTION("""COMPUTED_VALUE"""),7794167.0)</f>
        <v>7794167</v>
      </c>
      <c r="H3688" s="27">
        <f>IFERROR(__xludf.DUMMYFUNCTION("""COMPUTED_VALUE"""),43822.64583333333)</f>
        <v>43822.64583</v>
      </c>
      <c r="I3688" s="25">
        <f>IFERROR(__xludf.DUMMYFUNCTION("""COMPUTED_VALUE"""),2210.0)</f>
        <v>2210</v>
      </c>
      <c r="J3688" s="25">
        <f>IFERROR(__xludf.DUMMYFUNCTION("""COMPUTED_VALUE"""),2241.95)</f>
        <v>2241.95</v>
      </c>
      <c r="K3688" s="25">
        <f>IFERROR(__xludf.DUMMYFUNCTION("""COMPUTED_VALUE"""),2210.0)</f>
        <v>2210</v>
      </c>
      <c r="L3688" s="25">
        <f>IFERROR(__xludf.DUMMYFUNCTION("""COMPUTED_VALUE"""),2231.7)</f>
        <v>2231.7</v>
      </c>
      <c r="M3688" s="25">
        <f>IFERROR(__xludf.DUMMYFUNCTION("""COMPUTED_VALUE"""),2247329.0)</f>
        <v>2247329</v>
      </c>
    </row>
    <row r="3689">
      <c r="A3689" s="26">
        <f>IFERROR(__xludf.DUMMYFUNCTION("""COMPUTED_VALUE"""),43822.64583333333)</f>
        <v>43822.64583</v>
      </c>
      <c r="B3689" s="9">
        <f>IFERROR(__xludf.DUMMYFUNCTION("""COMPUTED_VALUE"""),732.15)</f>
        <v>732.15</v>
      </c>
      <c r="C3689" s="9">
        <f>IFERROR(__xludf.DUMMYFUNCTION("""COMPUTED_VALUE"""),737.3)</f>
        <v>737.3</v>
      </c>
      <c r="D3689" s="9">
        <f>IFERROR(__xludf.DUMMYFUNCTION("""COMPUTED_VALUE"""),731.65)</f>
        <v>731.65</v>
      </c>
      <c r="E3689" s="9">
        <f>IFERROR(__xludf.DUMMYFUNCTION("""COMPUTED_VALUE"""),736.0)</f>
        <v>736</v>
      </c>
      <c r="F3689" s="9">
        <f>IFERROR(__xludf.DUMMYFUNCTION("""COMPUTED_VALUE"""),4975608.0)</f>
        <v>4975608</v>
      </c>
      <c r="H3689" s="27">
        <f>IFERROR(__xludf.DUMMYFUNCTION("""COMPUTED_VALUE"""),43823.64583333333)</f>
        <v>43823.64583</v>
      </c>
      <c r="I3689" s="25">
        <f>IFERROR(__xludf.DUMMYFUNCTION("""COMPUTED_VALUE"""),2239.0)</f>
        <v>2239</v>
      </c>
      <c r="J3689" s="25">
        <f>IFERROR(__xludf.DUMMYFUNCTION("""COMPUTED_VALUE"""),2243.55)</f>
        <v>2243.55</v>
      </c>
      <c r="K3689" s="25">
        <f>IFERROR(__xludf.DUMMYFUNCTION("""COMPUTED_VALUE"""),2211.15)</f>
        <v>2211.15</v>
      </c>
      <c r="L3689" s="25">
        <f>IFERROR(__xludf.DUMMYFUNCTION("""COMPUTED_VALUE"""),2215.6)</f>
        <v>2215.6</v>
      </c>
      <c r="M3689" s="25">
        <f>IFERROR(__xludf.DUMMYFUNCTION("""COMPUTED_VALUE"""),1805896.0)</f>
        <v>1805896</v>
      </c>
    </row>
    <row r="3690">
      <c r="A3690" s="26">
        <f>IFERROR(__xludf.DUMMYFUNCTION("""COMPUTED_VALUE"""),43823.64583333333)</f>
        <v>43823.64583</v>
      </c>
      <c r="B3690" s="9">
        <f>IFERROR(__xludf.DUMMYFUNCTION("""COMPUTED_VALUE"""),736.95)</f>
        <v>736.95</v>
      </c>
      <c r="C3690" s="9">
        <f>IFERROR(__xludf.DUMMYFUNCTION("""COMPUTED_VALUE"""),736.95)</f>
        <v>736.95</v>
      </c>
      <c r="D3690" s="9">
        <f>IFERROR(__xludf.DUMMYFUNCTION("""COMPUTED_VALUE"""),728.3)</f>
        <v>728.3</v>
      </c>
      <c r="E3690" s="9">
        <f>IFERROR(__xludf.DUMMYFUNCTION("""COMPUTED_VALUE"""),733.4)</f>
        <v>733.4</v>
      </c>
      <c r="F3690" s="9">
        <f>IFERROR(__xludf.DUMMYFUNCTION("""COMPUTED_VALUE"""),2890759.0)</f>
        <v>2890759</v>
      </c>
      <c r="H3690" s="27">
        <f>IFERROR(__xludf.DUMMYFUNCTION("""COMPUTED_VALUE"""),43825.64583333333)</f>
        <v>43825.64583</v>
      </c>
      <c r="I3690" s="25">
        <f>IFERROR(__xludf.DUMMYFUNCTION("""COMPUTED_VALUE"""),2216.4)</f>
        <v>2216.4</v>
      </c>
      <c r="J3690" s="25">
        <f>IFERROR(__xludf.DUMMYFUNCTION("""COMPUTED_VALUE"""),2229.0)</f>
        <v>2229</v>
      </c>
      <c r="K3690" s="25">
        <f>IFERROR(__xludf.DUMMYFUNCTION("""COMPUTED_VALUE"""),2195.2)</f>
        <v>2195.2</v>
      </c>
      <c r="L3690" s="25">
        <f>IFERROR(__xludf.DUMMYFUNCTION("""COMPUTED_VALUE"""),2201.95)</f>
        <v>2201.95</v>
      </c>
      <c r="M3690" s="25">
        <f>IFERROR(__xludf.DUMMYFUNCTION("""COMPUTED_VALUE"""),1880367.0)</f>
        <v>1880367</v>
      </c>
    </row>
    <row r="3691">
      <c r="A3691" s="26">
        <f>IFERROR(__xludf.DUMMYFUNCTION("""COMPUTED_VALUE"""),43825.64583333333)</f>
        <v>43825.64583</v>
      </c>
      <c r="B3691" s="9">
        <f>IFERROR(__xludf.DUMMYFUNCTION("""COMPUTED_VALUE"""),732.0)</f>
        <v>732</v>
      </c>
      <c r="C3691" s="9">
        <f>IFERROR(__xludf.DUMMYFUNCTION("""COMPUTED_VALUE"""),734.55)</f>
        <v>734.55</v>
      </c>
      <c r="D3691" s="9">
        <f>IFERROR(__xludf.DUMMYFUNCTION("""COMPUTED_VALUE"""),726.55)</f>
        <v>726.55</v>
      </c>
      <c r="E3691" s="9">
        <f>IFERROR(__xludf.DUMMYFUNCTION("""COMPUTED_VALUE"""),728.95)</f>
        <v>728.95</v>
      </c>
      <c r="F3691" s="9">
        <f>IFERROR(__xludf.DUMMYFUNCTION("""COMPUTED_VALUE"""),3821806.0)</f>
        <v>3821806</v>
      </c>
      <c r="H3691" s="27">
        <f>IFERROR(__xludf.DUMMYFUNCTION("""COMPUTED_VALUE"""),43826.64583333333)</f>
        <v>43826.64583</v>
      </c>
      <c r="I3691" s="25">
        <f>IFERROR(__xludf.DUMMYFUNCTION("""COMPUTED_VALUE"""),2208.0)</f>
        <v>2208</v>
      </c>
      <c r="J3691" s="25">
        <f>IFERROR(__xludf.DUMMYFUNCTION("""COMPUTED_VALUE"""),2226.4)</f>
        <v>2226.4</v>
      </c>
      <c r="K3691" s="25">
        <f>IFERROR(__xludf.DUMMYFUNCTION("""COMPUTED_VALUE"""),2176.0)</f>
        <v>2176</v>
      </c>
      <c r="L3691" s="25">
        <f>IFERROR(__xludf.DUMMYFUNCTION("""COMPUTED_VALUE"""),2198.5)</f>
        <v>2198.5</v>
      </c>
      <c r="M3691" s="25">
        <f>IFERROR(__xludf.DUMMYFUNCTION("""COMPUTED_VALUE"""),2720261.0)</f>
        <v>2720261</v>
      </c>
    </row>
    <row r="3692">
      <c r="A3692" s="26">
        <f>IFERROR(__xludf.DUMMYFUNCTION("""COMPUTED_VALUE"""),43826.64583333333)</f>
        <v>43826.64583</v>
      </c>
      <c r="B3692" s="9">
        <f>IFERROR(__xludf.DUMMYFUNCTION("""COMPUTED_VALUE"""),729.75)</f>
        <v>729.75</v>
      </c>
      <c r="C3692" s="9">
        <f>IFERROR(__xludf.DUMMYFUNCTION("""COMPUTED_VALUE"""),737.5)</f>
        <v>737.5</v>
      </c>
      <c r="D3692" s="9">
        <f>IFERROR(__xludf.DUMMYFUNCTION("""COMPUTED_VALUE"""),728.85)</f>
        <v>728.85</v>
      </c>
      <c r="E3692" s="9">
        <f>IFERROR(__xludf.DUMMYFUNCTION("""COMPUTED_VALUE"""),736.95)</f>
        <v>736.95</v>
      </c>
      <c r="F3692" s="9">
        <f>IFERROR(__xludf.DUMMYFUNCTION("""COMPUTED_VALUE"""),3399094.0)</f>
        <v>3399094</v>
      </c>
      <c r="H3692" s="27">
        <f>IFERROR(__xludf.DUMMYFUNCTION("""COMPUTED_VALUE"""),43829.64583333333)</f>
        <v>43829.64583</v>
      </c>
      <c r="I3692" s="25">
        <f>IFERROR(__xludf.DUMMYFUNCTION("""COMPUTED_VALUE"""),2207.0)</f>
        <v>2207</v>
      </c>
      <c r="J3692" s="25">
        <f>IFERROR(__xludf.DUMMYFUNCTION("""COMPUTED_VALUE"""),2225.0)</f>
        <v>2225</v>
      </c>
      <c r="K3692" s="25">
        <f>IFERROR(__xludf.DUMMYFUNCTION("""COMPUTED_VALUE"""),2177.1)</f>
        <v>2177.1</v>
      </c>
      <c r="L3692" s="25">
        <f>IFERROR(__xludf.DUMMYFUNCTION("""COMPUTED_VALUE"""),2183.2)</f>
        <v>2183.2</v>
      </c>
      <c r="M3692" s="25">
        <f>IFERROR(__xludf.DUMMYFUNCTION("""COMPUTED_VALUE"""),2288830.0)</f>
        <v>2288830</v>
      </c>
    </row>
    <row r="3693">
      <c r="A3693" s="26">
        <f>IFERROR(__xludf.DUMMYFUNCTION("""COMPUTED_VALUE"""),43829.64583333333)</f>
        <v>43829.64583</v>
      </c>
      <c r="B3693" s="9">
        <f>IFERROR(__xludf.DUMMYFUNCTION("""COMPUTED_VALUE"""),736.1)</f>
        <v>736.1</v>
      </c>
      <c r="C3693" s="9">
        <f>IFERROR(__xludf.DUMMYFUNCTION("""COMPUTED_VALUE"""),737.95)</f>
        <v>737.95</v>
      </c>
      <c r="D3693" s="9">
        <f>IFERROR(__xludf.DUMMYFUNCTION("""COMPUTED_VALUE"""),727.25)</f>
        <v>727.25</v>
      </c>
      <c r="E3693" s="9">
        <f>IFERROR(__xludf.DUMMYFUNCTION("""COMPUTED_VALUE"""),732.9)</f>
        <v>732.9</v>
      </c>
      <c r="F3693" s="9">
        <f>IFERROR(__xludf.DUMMYFUNCTION("""COMPUTED_VALUE"""),5368416.0)</f>
        <v>5368416</v>
      </c>
      <c r="H3693" s="27">
        <f>IFERROR(__xludf.DUMMYFUNCTION("""COMPUTED_VALUE"""),43830.64583333333)</f>
        <v>43830.64583</v>
      </c>
      <c r="I3693" s="25">
        <f>IFERROR(__xludf.DUMMYFUNCTION("""COMPUTED_VALUE"""),2189.0)</f>
        <v>2189</v>
      </c>
      <c r="J3693" s="25">
        <f>IFERROR(__xludf.DUMMYFUNCTION("""COMPUTED_VALUE"""),2197.0)</f>
        <v>2197</v>
      </c>
      <c r="K3693" s="25">
        <f>IFERROR(__xludf.DUMMYFUNCTION("""COMPUTED_VALUE"""),2157.45)</f>
        <v>2157.45</v>
      </c>
      <c r="L3693" s="25">
        <f>IFERROR(__xludf.DUMMYFUNCTION("""COMPUTED_VALUE"""),2161.7)</f>
        <v>2161.7</v>
      </c>
      <c r="M3693" s="25">
        <f>IFERROR(__xludf.DUMMYFUNCTION("""COMPUTED_VALUE"""),1909289.0)</f>
        <v>1909289</v>
      </c>
    </row>
    <row r="3694">
      <c r="A3694" s="26">
        <f>IFERROR(__xludf.DUMMYFUNCTION("""COMPUTED_VALUE"""),43830.64583333333)</f>
        <v>43830.64583</v>
      </c>
      <c r="B3694" s="9">
        <f>IFERROR(__xludf.DUMMYFUNCTION("""COMPUTED_VALUE"""),729.7)</f>
        <v>729.7</v>
      </c>
      <c r="C3694" s="9">
        <f>IFERROR(__xludf.DUMMYFUNCTION("""COMPUTED_VALUE"""),737.75)</f>
        <v>737.75</v>
      </c>
      <c r="D3694" s="9">
        <f>IFERROR(__xludf.DUMMYFUNCTION("""COMPUTED_VALUE"""),725.45)</f>
        <v>725.45</v>
      </c>
      <c r="E3694" s="9">
        <f>IFERROR(__xludf.DUMMYFUNCTION("""COMPUTED_VALUE"""),731.15)</f>
        <v>731.15</v>
      </c>
      <c r="F3694" s="9">
        <f>IFERROR(__xludf.DUMMYFUNCTION("""COMPUTED_VALUE"""),6927885.0)</f>
        <v>6927885</v>
      </c>
      <c r="H3694" s="27">
        <f>IFERROR(__xludf.DUMMYFUNCTION("""COMPUTED_VALUE"""),43831.64583333333)</f>
        <v>43831.64583</v>
      </c>
      <c r="I3694" s="25">
        <f>IFERROR(__xludf.DUMMYFUNCTION("""COMPUTED_VALUE"""),2168.0)</f>
        <v>2168</v>
      </c>
      <c r="J3694" s="25">
        <f>IFERROR(__xludf.DUMMYFUNCTION("""COMPUTED_VALUE"""),2183.9)</f>
        <v>2183.9</v>
      </c>
      <c r="K3694" s="25">
        <f>IFERROR(__xludf.DUMMYFUNCTION("""COMPUTED_VALUE"""),2154.0)</f>
        <v>2154</v>
      </c>
      <c r="L3694" s="25">
        <f>IFERROR(__xludf.DUMMYFUNCTION("""COMPUTED_VALUE"""),2167.6)</f>
        <v>2167.6</v>
      </c>
      <c r="M3694" s="25">
        <f>IFERROR(__xludf.DUMMYFUNCTION("""COMPUTED_VALUE"""),1354908.0)</f>
        <v>1354908</v>
      </c>
    </row>
    <row r="3695">
      <c r="A3695" s="26">
        <f>IFERROR(__xludf.DUMMYFUNCTION("""COMPUTED_VALUE"""),43831.64583333333)</f>
        <v>43831.64583</v>
      </c>
      <c r="B3695" s="9">
        <f>IFERROR(__xludf.DUMMYFUNCTION("""COMPUTED_VALUE"""),735.0)</f>
        <v>735</v>
      </c>
      <c r="C3695" s="9">
        <f>IFERROR(__xludf.DUMMYFUNCTION("""COMPUTED_VALUE"""),740.0)</f>
        <v>740</v>
      </c>
      <c r="D3695" s="9">
        <f>IFERROR(__xludf.DUMMYFUNCTION("""COMPUTED_VALUE"""),732.55)</f>
        <v>732.55</v>
      </c>
      <c r="E3695" s="9">
        <f>IFERROR(__xludf.DUMMYFUNCTION("""COMPUTED_VALUE"""),736.85)</f>
        <v>736.85</v>
      </c>
      <c r="F3695" s="9">
        <f>IFERROR(__xludf.DUMMYFUNCTION("""COMPUTED_VALUE"""),2112415.0)</f>
        <v>2112415</v>
      </c>
      <c r="H3695" s="27">
        <f>IFERROR(__xludf.DUMMYFUNCTION("""COMPUTED_VALUE"""),43832.64583333333)</f>
        <v>43832.64583</v>
      </c>
      <c r="I3695" s="25">
        <f>IFERROR(__xludf.DUMMYFUNCTION("""COMPUTED_VALUE"""),2179.95)</f>
        <v>2179.95</v>
      </c>
      <c r="J3695" s="25">
        <f>IFERROR(__xludf.DUMMYFUNCTION("""COMPUTED_VALUE"""),2179.95)</f>
        <v>2179.95</v>
      </c>
      <c r="K3695" s="25">
        <f>IFERROR(__xludf.DUMMYFUNCTION("""COMPUTED_VALUE"""),2149.2)</f>
        <v>2149.2</v>
      </c>
      <c r="L3695" s="25">
        <f>IFERROR(__xludf.DUMMYFUNCTION("""COMPUTED_VALUE"""),2157.65)</f>
        <v>2157.65</v>
      </c>
      <c r="M3695" s="25">
        <f>IFERROR(__xludf.DUMMYFUNCTION("""COMPUTED_VALUE"""),2380752.0)</f>
        <v>2380752</v>
      </c>
    </row>
    <row r="3696">
      <c r="A3696" s="26">
        <f>IFERROR(__xludf.DUMMYFUNCTION("""COMPUTED_VALUE"""),43832.64583333333)</f>
        <v>43832.64583</v>
      </c>
      <c r="B3696" s="9">
        <f>IFERROR(__xludf.DUMMYFUNCTION("""COMPUTED_VALUE"""),738.9)</f>
        <v>738.9</v>
      </c>
      <c r="C3696" s="9">
        <f>IFERROR(__xludf.DUMMYFUNCTION("""COMPUTED_VALUE"""),740.8)</f>
        <v>740.8</v>
      </c>
      <c r="D3696" s="9">
        <f>IFERROR(__xludf.DUMMYFUNCTION("""COMPUTED_VALUE"""),730.9)</f>
        <v>730.9</v>
      </c>
      <c r="E3696" s="9">
        <f>IFERROR(__xludf.DUMMYFUNCTION("""COMPUTED_VALUE"""),734.7)</f>
        <v>734.7</v>
      </c>
      <c r="F3696" s="9">
        <f>IFERROR(__xludf.DUMMYFUNCTION("""COMPUTED_VALUE"""),5658200.0)</f>
        <v>5658200</v>
      </c>
      <c r="H3696" s="27">
        <f>IFERROR(__xludf.DUMMYFUNCTION("""COMPUTED_VALUE"""),43833.64583333333)</f>
        <v>43833.64583</v>
      </c>
      <c r="I3696" s="25">
        <f>IFERROR(__xludf.DUMMYFUNCTION("""COMPUTED_VALUE"""),2164.0)</f>
        <v>2164</v>
      </c>
      <c r="J3696" s="25">
        <f>IFERROR(__xludf.DUMMYFUNCTION("""COMPUTED_VALUE"""),2223.0)</f>
        <v>2223</v>
      </c>
      <c r="K3696" s="25">
        <f>IFERROR(__xludf.DUMMYFUNCTION("""COMPUTED_VALUE"""),2164.0)</f>
        <v>2164</v>
      </c>
      <c r="L3696" s="25">
        <f>IFERROR(__xludf.DUMMYFUNCTION("""COMPUTED_VALUE"""),2200.65)</f>
        <v>2200.65</v>
      </c>
      <c r="M3696" s="25">
        <f>IFERROR(__xludf.DUMMYFUNCTION("""COMPUTED_VALUE"""),4655761.0)</f>
        <v>4655761</v>
      </c>
    </row>
    <row r="3697">
      <c r="A3697" s="26">
        <f>IFERROR(__xludf.DUMMYFUNCTION("""COMPUTED_VALUE"""),43833.64583333333)</f>
        <v>43833.64583</v>
      </c>
      <c r="B3697" s="9">
        <f>IFERROR(__xludf.DUMMYFUNCTION("""COMPUTED_VALUE"""),733.9)</f>
        <v>733.9</v>
      </c>
      <c r="C3697" s="9">
        <f>IFERROR(__xludf.DUMMYFUNCTION("""COMPUTED_VALUE"""),748.0)</f>
        <v>748</v>
      </c>
      <c r="D3697" s="9">
        <f>IFERROR(__xludf.DUMMYFUNCTION("""COMPUTED_VALUE"""),733.9)</f>
        <v>733.9</v>
      </c>
      <c r="E3697" s="9">
        <f>IFERROR(__xludf.DUMMYFUNCTION("""COMPUTED_VALUE"""),746.0)</f>
        <v>746</v>
      </c>
      <c r="F3697" s="9">
        <f>IFERROR(__xludf.DUMMYFUNCTION("""COMPUTED_VALUE"""),7882938.0)</f>
        <v>7882938</v>
      </c>
      <c r="H3697" s="27">
        <f>IFERROR(__xludf.DUMMYFUNCTION("""COMPUTED_VALUE"""),43836.64583333333)</f>
        <v>43836.64583</v>
      </c>
      <c r="I3697" s="25">
        <f>IFERROR(__xludf.DUMMYFUNCTION("""COMPUTED_VALUE"""),2205.0)</f>
        <v>2205</v>
      </c>
      <c r="J3697" s="25">
        <f>IFERROR(__xludf.DUMMYFUNCTION("""COMPUTED_VALUE"""),2225.95)</f>
        <v>2225.95</v>
      </c>
      <c r="K3697" s="25">
        <f>IFERROR(__xludf.DUMMYFUNCTION("""COMPUTED_VALUE"""),2187.9)</f>
        <v>2187.9</v>
      </c>
      <c r="L3697" s="25">
        <f>IFERROR(__xludf.DUMMYFUNCTION("""COMPUTED_VALUE"""),2200.45)</f>
        <v>2200.45</v>
      </c>
      <c r="M3697" s="25">
        <f>IFERROR(__xludf.DUMMYFUNCTION("""COMPUTED_VALUE"""),3023209.0)</f>
        <v>3023209</v>
      </c>
    </row>
    <row r="3698">
      <c r="A3698" s="26">
        <f>IFERROR(__xludf.DUMMYFUNCTION("""COMPUTED_VALUE"""),43836.64583333333)</f>
        <v>43836.64583</v>
      </c>
      <c r="B3698" s="9">
        <f>IFERROR(__xludf.DUMMYFUNCTION("""COMPUTED_VALUE"""),746.1)</f>
        <v>746.1</v>
      </c>
      <c r="C3698" s="9">
        <f>IFERROR(__xludf.DUMMYFUNCTION("""COMPUTED_VALUE"""),753.8)</f>
        <v>753.8</v>
      </c>
      <c r="D3698" s="9">
        <f>IFERROR(__xludf.DUMMYFUNCTION("""COMPUTED_VALUE"""),736.5)</f>
        <v>736.5</v>
      </c>
      <c r="E3698" s="9">
        <f>IFERROR(__xludf.DUMMYFUNCTION("""COMPUTED_VALUE"""),738.85)</f>
        <v>738.85</v>
      </c>
      <c r="F3698" s="9">
        <f>IFERROR(__xludf.DUMMYFUNCTION("""COMPUTED_VALUE"""),6519403.0)</f>
        <v>6519403</v>
      </c>
      <c r="H3698" s="27">
        <f>IFERROR(__xludf.DUMMYFUNCTION("""COMPUTED_VALUE"""),43837.64583333333)</f>
        <v>43837.64583</v>
      </c>
      <c r="I3698" s="25">
        <f>IFERROR(__xludf.DUMMYFUNCTION("""COMPUTED_VALUE"""),2200.5)</f>
        <v>2200.5</v>
      </c>
      <c r="J3698" s="25">
        <f>IFERROR(__xludf.DUMMYFUNCTION("""COMPUTED_VALUE"""),2214.65)</f>
        <v>2214.65</v>
      </c>
      <c r="K3698" s="25">
        <f>IFERROR(__xludf.DUMMYFUNCTION("""COMPUTED_VALUE"""),2183.8)</f>
        <v>2183.8</v>
      </c>
      <c r="L3698" s="25">
        <f>IFERROR(__xludf.DUMMYFUNCTION("""COMPUTED_VALUE"""),2205.85)</f>
        <v>2205.85</v>
      </c>
      <c r="M3698" s="25">
        <f>IFERROR(__xludf.DUMMYFUNCTION("""COMPUTED_VALUE"""),2429317.0)</f>
        <v>2429317</v>
      </c>
    </row>
    <row r="3699">
      <c r="A3699" s="26">
        <f>IFERROR(__xludf.DUMMYFUNCTION("""COMPUTED_VALUE"""),43837.64583333333)</f>
        <v>43837.64583</v>
      </c>
      <c r="B3699" s="9">
        <f>IFERROR(__xludf.DUMMYFUNCTION("""COMPUTED_VALUE"""),738.0)</f>
        <v>738</v>
      </c>
      <c r="C3699" s="9">
        <f>IFERROR(__xludf.DUMMYFUNCTION("""COMPUTED_VALUE"""),742.6)</f>
        <v>742.6</v>
      </c>
      <c r="D3699" s="9">
        <f>IFERROR(__xludf.DUMMYFUNCTION("""COMPUTED_VALUE"""),725.1)</f>
        <v>725.1</v>
      </c>
      <c r="E3699" s="9">
        <f>IFERROR(__xludf.DUMMYFUNCTION("""COMPUTED_VALUE"""),727.9)</f>
        <v>727.9</v>
      </c>
      <c r="F3699" s="9">
        <f>IFERROR(__xludf.DUMMYFUNCTION("""COMPUTED_VALUE"""),7899363.0)</f>
        <v>7899363</v>
      </c>
      <c r="H3699" s="27">
        <f>IFERROR(__xludf.DUMMYFUNCTION("""COMPUTED_VALUE"""),43838.64583333333)</f>
        <v>43838.64583</v>
      </c>
      <c r="I3699" s="25">
        <f>IFERROR(__xludf.DUMMYFUNCTION("""COMPUTED_VALUE"""),2205.0)</f>
        <v>2205</v>
      </c>
      <c r="J3699" s="25">
        <f>IFERROR(__xludf.DUMMYFUNCTION("""COMPUTED_VALUE"""),2260.0)</f>
        <v>2260</v>
      </c>
      <c r="K3699" s="25">
        <f>IFERROR(__xludf.DUMMYFUNCTION("""COMPUTED_VALUE"""),2202.05)</f>
        <v>2202.05</v>
      </c>
      <c r="L3699" s="25">
        <f>IFERROR(__xludf.DUMMYFUNCTION("""COMPUTED_VALUE"""),2255.25)</f>
        <v>2255.25</v>
      </c>
      <c r="M3699" s="25">
        <f>IFERROR(__xludf.DUMMYFUNCTION("""COMPUTED_VALUE"""),5197454.0)</f>
        <v>5197454</v>
      </c>
    </row>
    <row r="3700">
      <c r="A3700" s="26">
        <f>IFERROR(__xludf.DUMMYFUNCTION("""COMPUTED_VALUE"""),43838.64583333333)</f>
        <v>43838.64583</v>
      </c>
      <c r="B3700" s="9">
        <f>IFERROR(__xludf.DUMMYFUNCTION("""COMPUTED_VALUE"""),724.95)</f>
        <v>724.95</v>
      </c>
      <c r="C3700" s="9">
        <f>IFERROR(__xludf.DUMMYFUNCTION("""COMPUTED_VALUE"""),729.0)</f>
        <v>729</v>
      </c>
      <c r="D3700" s="9">
        <f>IFERROR(__xludf.DUMMYFUNCTION("""COMPUTED_VALUE"""),708.3)</f>
        <v>708.3</v>
      </c>
      <c r="E3700" s="9">
        <f>IFERROR(__xludf.DUMMYFUNCTION("""COMPUTED_VALUE"""),718.2)</f>
        <v>718.2</v>
      </c>
      <c r="F3700" s="9">
        <f>IFERROR(__xludf.DUMMYFUNCTION("""COMPUTED_VALUE"""),8639443.0)</f>
        <v>8639443</v>
      </c>
      <c r="H3700" s="27">
        <f>IFERROR(__xludf.DUMMYFUNCTION("""COMPUTED_VALUE"""),43839.64583333333)</f>
        <v>43839.64583</v>
      </c>
      <c r="I3700" s="25">
        <f>IFERROR(__xludf.DUMMYFUNCTION("""COMPUTED_VALUE"""),2248.75)</f>
        <v>2248.75</v>
      </c>
      <c r="J3700" s="25">
        <f>IFERROR(__xludf.DUMMYFUNCTION("""COMPUTED_VALUE"""),2251.95)</f>
        <v>2251.95</v>
      </c>
      <c r="K3700" s="25">
        <f>IFERROR(__xludf.DUMMYFUNCTION("""COMPUTED_VALUE"""),2210.0)</f>
        <v>2210</v>
      </c>
      <c r="L3700" s="25">
        <f>IFERROR(__xludf.DUMMYFUNCTION("""COMPUTED_VALUE"""),2214.35)</f>
        <v>2214.35</v>
      </c>
      <c r="M3700" s="25">
        <f>IFERROR(__xludf.DUMMYFUNCTION("""COMPUTED_VALUE"""),3734173.0)</f>
        <v>3734173</v>
      </c>
    </row>
    <row r="3701">
      <c r="A3701" s="26">
        <f>IFERROR(__xludf.DUMMYFUNCTION("""COMPUTED_VALUE"""),43839.64583333333)</f>
        <v>43839.64583</v>
      </c>
      <c r="B3701" s="9">
        <f>IFERROR(__xludf.DUMMYFUNCTION("""COMPUTED_VALUE"""),721.7)</f>
        <v>721.7</v>
      </c>
      <c r="C3701" s="9">
        <f>IFERROR(__xludf.DUMMYFUNCTION("""COMPUTED_VALUE"""),731.5)</f>
        <v>731.5</v>
      </c>
      <c r="D3701" s="9">
        <f>IFERROR(__xludf.DUMMYFUNCTION("""COMPUTED_VALUE"""),714.3)</f>
        <v>714.3</v>
      </c>
      <c r="E3701" s="9">
        <f>IFERROR(__xludf.DUMMYFUNCTION("""COMPUTED_VALUE"""),727.55)</f>
        <v>727.55</v>
      </c>
      <c r="F3701" s="9">
        <f>IFERROR(__xludf.DUMMYFUNCTION("""COMPUTED_VALUE"""),1.3521186E7)</f>
        <v>13521186</v>
      </c>
      <c r="H3701" s="27">
        <f>IFERROR(__xludf.DUMMYFUNCTION("""COMPUTED_VALUE"""),43840.64583333333)</f>
        <v>43840.64583</v>
      </c>
      <c r="I3701" s="25">
        <f>IFERROR(__xludf.DUMMYFUNCTION("""COMPUTED_VALUE"""),2228.0)</f>
        <v>2228</v>
      </c>
      <c r="J3701" s="25">
        <f>IFERROR(__xludf.DUMMYFUNCTION("""COMPUTED_VALUE"""),2234.0)</f>
        <v>2234</v>
      </c>
      <c r="K3701" s="25">
        <f>IFERROR(__xludf.DUMMYFUNCTION("""COMPUTED_VALUE"""),2208.0)</f>
        <v>2208</v>
      </c>
      <c r="L3701" s="25">
        <f>IFERROR(__xludf.DUMMYFUNCTION("""COMPUTED_VALUE"""),2213.55)</f>
        <v>2213.55</v>
      </c>
      <c r="M3701" s="25">
        <f>IFERROR(__xludf.DUMMYFUNCTION("""COMPUTED_VALUE"""),1915807.0)</f>
        <v>1915807</v>
      </c>
    </row>
    <row r="3702">
      <c r="A3702" s="26">
        <f>IFERROR(__xludf.DUMMYFUNCTION("""COMPUTED_VALUE"""),43840.64583333333)</f>
        <v>43840.64583</v>
      </c>
      <c r="B3702" s="9">
        <f>IFERROR(__xludf.DUMMYFUNCTION("""COMPUTED_VALUE"""),740.45)</f>
        <v>740.45</v>
      </c>
      <c r="C3702" s="9">
        <f>IFERROR(__xludf.DUMMYFUNCTION("""COMPUTED_VALUE"""),742.9)</f>
        <v>742.9</v>
      </c>
      <c r="D3702" s="9">
        <f>IFERROR(__xludf.DUMMYFUNCTION("""COMPUTED_VALUE"""),730.5)</f>
        <v>730.5</v>
      </c>
      <c r="E3702" s="9">
        <f>IFERROR(__xludf.DUMMYFUNCTION("""COMPUTED_VALUE"""),738.15)</f>
        <v>738.15</v>
      </c>
      <c r="F3702" s="9">
        <f>IFERROR(__xludf.DUMMYFUNCTION("""COMPUTED_VALUE"""),9341405.0)</f>
        <v>9341405</v>
      </c>
      <c r="H3702" s="27">
        <f>IFERROR(__xludf.DUMMYFUNCTION("""COMPUTED_VALUE"""),43843.64583333333)</f>
        <v>43843.64583</v>
      </c>
      <c r="I3702" s="25">
        <f>IFERROR(__xludf.DUMMYFUNCTION("""COMPUTED_VALUE"""),2217.85)</f>
        <v>2217.85</v>
      </c>
      <c r="J3702" s="25">
        <f>IFERROR(__xludf.DUMMYFUNCTION("""COMPUTED_VALUE"""),2218.95)</f>
        <v>2218.95</v>
      </c>
      <c r="K3702" s="25">
        <f>IFERROR(__xludf.DUMMYFUNCTION("""COMPUTED_VALUE"""),2184.7)</f>
        <v>2184.7</v>
      </c>
      <c r="L3702" s="25">
        <f>IFERROR(__xludf.DUMMYFUNCTION("""COMPUTED_VALUE"""),2190.35)</f>
        <v>2190.35</v>
      </c>
      <c r="M3702" s="25">
        <f>IFERROR(__xludf.DUMMYFUNCTION("""COMPUTED_VALUE"""),2843893.0)</f>
        <v>2843893</v>
      </c>
    </row>
    <row r="3703">
      <c r="A3703" s="26">
        <f>IFERROR(__xludf.DUMMYFUNCTION("""COMPUTED_VALUE"""),43843.64583333333)</f>
        <v>43843.64583</v>
      </c>
      <c r="B3703" s="9">
        <f>IFERROR(__xludf.DUMMYFUNCTION("""COMPUTED_VALUE"""),760.0)</f>
        <v>760</v>
      </c>
      <c r="C3703" s="9">
        <f>IFERROR(__xludf.DUMMYFUNCTION("""COMPUTED_VALUE"""),777.5)</f>
        <v>777.5</v>
      </c>
      <c r="D3703" s="9">
        <f>IFERROR(__xludf.DUMMYFUNCTION("""COMPUTED_VALUE"""),755.0)</f>
        <v>755</v>
      </c>
      <c r="E3703" s="9">
        <f>IFERROR(__xludf.DUMMYFUNCTION("""COMPUTED_VALUE"""),773.55)</f>
        <v>773.55</v>
      </c>
      <c r="F3703" s="9">
        <f>IFERROR(__xludf.DUMMYFUNCTION("""COMPUTED_VALUE"""),3.6952038E7)</f>
        <v>36952038</v>
      </c>
      <c r="H3703" s="27">
        <f>IFERROR(__xludf.DUMMYFUNCTION("""COMPUTED_VALUE"""),43844.64583333333)</f>
        <v>43844.64583</v>
      </c>
      <c r="I3703" s="25">
        <f>IFERROR(__xludf.DUMMYFUNCTION("""COMPUTED_VALUE"""),2195.0)</f>
        <v>2195</v>
      </c>
      <c r="J3703" s="25">
        <f>IFERROR(__xludf.DUMMYFUNCTION("""COMPUTED_VALUE"""),2229.8)</f>
        <v>2229.8</v>
      </c>
      <c r="K3703" s="25">
        <f>IFERROR(__xludf.DUMMYFUNCTION("""COMPUTED_VALUE"""),2195.0)</f>
        <v>2195</v>
      </c>
      <c r="L3703" s="25">
        <f>IFERROR(__xludf.DUMMYFUNCTION("""COMPUTED_VALUE"""),2206.9)</f>
        <v>2206.9</v>
      </c>
      <c r="M3703" s="25">
        <f>IFERROR(__xludf.DUMMYFUNCTION("""COMPUTED_VALUE"""),2948452.0)</f>
        <v>2948452</v>
      </c>
    </row>
    <row r="3704">
      <c r="A3704" s="26">
        <f>IFERROR(__xludf.DUMMYFUNCTION("""COMPUTED_VALUE"""),43844.64583333333)</f>
        <v>43844.64583</v>
      </c>
      <c r="B3704" s="9">
        <f>IFERROR(__xludf.DUMMYFUNCTION("""COMPUTED_VALUE"""),769.95)</f>
        <v>769.95</v>
      </c>
      <c r="C3704" s="9">
        <f>IFERROR(__xludf.DUMMYFUNCTION("""COMPUTED_VALUE"""),776.95)</f>
        <v>776.95</v>
      </c>
      <c r="D3704" s="9">
        <f>IFERROR(__xludf.DUMMYFUNCTION("""COMPUTED_VALUE"""),767.2)</f>
        <v>767.2</v>
      </c>
      <c r="E3704" s="9">
        <f>IFERROR(__xludf.DUMMYFUNCTION("""COMPUTED_VALUE"""),775.65)</f>
        <v>775.65</v>
      </c>
      <c r="F3704" s="9">
        <f>IFERROR(__xludf.DUMMYFUNCTION("""COMPUTED_VALUE"""),1.1414418E7)</f>
        <v>11414418</v>
      </c>
      <c r="H3704" s="27">
        <f>IFERROR(__xludf.DUMMYFUNCTION("""COMPUTED_VALUE"""),43845.64583333333)</f>
        <v>43845.64583</v>
      </c>
      <c r="I3704" s="25">
        <f>IFERROR(__xludf.DUMMYFUNCTION("""COMPUTED_VALUE"""),2213.0)</f>
        <v>2213</v>
      </c>
      <c r="J3704" s="25">
        <f>IFERROR(__xludf.DUMMYFUNCTION("""COMPUTED_VALUE"""),2231.0)</f>
        <v>2231</v>
      </c>
      <c r="K3704" s="25">
        <f>IFERROR(__xludf.DUMMYFUNCTION("""COMPUTED_VALUE"""),2194.2)</f>
        <v>2194.2</v>
      </c>
      <c r="L3704" s="25">
        <f>IFERROR(__xludf.DUMMYFUNCTION("""COMPUTED_VALUE"""),2226.9)</f>
        <v>2226.9</v>
      </c>
      <c r="M3704" s="25">
        <f>IFERROR(__xludf.DUMMYFUNCTION("""COMPUTED_VALUE"""),2620681.0)</f>
        <v>2620681</v>
      </c>
    </row>
    <row r="3705">
      <c r="A3705" s="26">
        <f>IFERROR(__xludf.DUMMYFUNCTION("""COMPUTED_VALUE"""),43845.64583333333)</f>
        <v>43845.64583</v>
      </c>
      <c r="B3705" s="9">
        <f>IFERROR(__xludf.DUMMYFUNCTION("""COMPUTED_VALUE"""),773.85)</f>
        <v>773.85</v>
      </c>
      <c r="C3705" s="9">
        <f>IFERROR(__xludf.DUMMYFUNCTION("""COMPUTED_VALUE"""),773.85)</f>
        <v>773.85</v>
      </c>
      <c r="D3705" s="9">
        <f>IFERROR(__xludf.DUMMYFUNCTION("""COMPUTED_VALUE"""),762.15)</f>
        <v>762.15</v>
      </c>
      <c r="E3705" s="9">
        <f>IFERROR(__xludf.DUMMYFUNCTION("""COMPUTED_VALUE"""),767.55)</f>
        <v>767.55</v>
      </c>
      <c r="F3705" s="9">
        <f>IFERROR(__xludf.DUMMYFUNCTION("""COMPUTED_VALUE"""),6047430.0)</f>
        <v>6047430</v>
      </c>
      <c r="H3705" s="27">
        <f>IFERROR(__xludf.DUMMYFUNCTION("""COMPUTED_VALUE"""),43846.64583333333)</f>
        <v>43846.64583</v>
      </c>
      <c r="I3705" s="25">
        <f>IFERROR(__xludf.DUMMYFUNCTION("""COMPUTED_VALUE"""),2226.95)</f>
        <v>2226.95</v>
      </c>
      <c r="J3705" s="25">
        <f>IFERROR(__xludf.DUMMYFUNCTION("""COMPUTED_VALUE"""),2249.0)</f>
        <v>2249</v>
      </c>
      <c r="K3705" s="25">
        <f>IFERROR(__xludf.DUMMYFUNCTION("""COMPUTED_VALUE"""),2215.0)</f>
        <v>2215</v>
      </c>
      <c r="L3705" s="25">
        <f>IFERROR(__xludf.DUMMYFUNCTION("""COMPUTED_VALUE"""),2238.8)</f>
        <v>2238.8</v>
      </c>
      <c r="M3705" s="25">
        <f>IFERROR(__xludf.DUMMYFUNCTION("""COMPUTED_VALUE"""),3117214.0)</f>
        <v>3117214</v>
      </c>
    </row>
    <row r="3706">
      <c r="A3706" s="26">
        <f>IFERROR(__xludf.DUMMYFUNCTION("""COMPUTED_VALUE"""),43846.64583333333)</f>
        <v>43846.64583</v>
      </c>
      <c r="B3706" s="9">
        <f>IFERROR(__xludf.DUMMYFUNCTION("""COMPUTED_VALUE"""),770.7)</f>
        <v>770.7</v>
      </c>
      <c r="C3706" s="9">
        <f>IFERROR(__xludf.DUMMYFUNCTION("""COMPUTED_VALUE"""),772.5)</f>
        <v>772.5</v>
      </c>
      <c r="D3706" s="9">
        <f>IFERROR(__xludf.DUMMYFUNCTION("""COMPUTED_VALUE"""),760.25)</f>
        <v>760.25</v>
      </c>
      <c r="E3706" s="9">
        <f>IFERROR(__xludf.DUMMYFUNCTION("""COMPUTED_VALUE"""),767.0)</f>
        <v>767</v>
      </c>
      <c r="F3706" s="9">
        <f>IFERROR(__xludf.DUMMYFUNCTION("""COMPUTED_VALUE"""),5740586.0)</f>
        <v>5740586</v>
      </c>
      <c r="H3706" s="27">
        <f>IFERROR(__xludf.DUMMYFUNCTION("""COMPUTED_VALUE"""),43847.64583333333)</f>
        <v>43847.64583</v>
      </c>
      <c r="I3706" s="25">
        <f>IFERROR(__xludf.DUMMYFUNCTION("""COMPUTED_VALUE"""),2240.75)</f>
        <v>2240.75</v>
      </c>
      <c r="J3706" s="25">
        <f>IFERROR(__xludf.DUMMYFUNCTION("""COMPUTED_VALUE"""),2253.55)</f>
        <v>2253.55</v>
      </c>
      <c r="K3706" s="25">
        <f>IFERROR(__xludf.DUMMYFUNCTION("""COMPUTED_VALUE"""),2213.0)</f>
        <v>2213</v>
      </c>
      <c r="L3706" s="25">
        <f>IFERROR(__xludf.DUMMYFUNCTION("""COMPUTED_VALUE"""),2219.1)</f>
        <v>2219.1</v>
      </c>
      <c r="M3706" s="25">
        <f>IFERROR(__xludf.DUMMYFUNCTION("""COMPUTED_VALUE"""),3281059.0)</f>
        <v>3281059</v>
      </c>
    </row>
    <row r="3707">
      <c r="A3707" s="26">
        <f>IFERROR(__xludf.DUMMYFUNCTION("""COMPUTED_VALUE"""),43847.64583333333)</f>
        <v>43847.64583</v>
      </c>
      <c r="B3707" s="9">
        <f>IFERROR(__xludf.DUMMYFUNCTION("""COMPUTED_VALUE"""),770.7)</f>
        <v>770.7</v>
      </c>
      <c r="C3707" s="9">
        <f>IFERROR(__xludf.DUMMYFUNCTION("""COMPUTED_VALUE"""),772.9)</f>
        <v>772.9</v>
      </c>
      <c r="D3707" s="9">
        <f>IFERROR(__xludf.DUMMYFUNCTION("""COMPUTED_VALUE"""),762.25)</f>
        <v>762.25</v>
      </c>
      <c r="E3707" s="9">
        <f>IFERROR(__xludf.DUMMYFUNCTION("""COMPUTED_VALUE"""),767.85)</f>
        <v>767.85</v>
      </c>
      <c r="F3707" s="9">
        <f>IFERROR(__xludf.DUMMYFUNCTION("""COMPUTED_VALUE"""),3762957.0)</f>
        <v>3762957</v>
      </c>
      <c r="H3707" s="27">
        <f>IFERROR(__xludf.DUMMYFUNCTION("""COMPUTED_VALUE"""),43850.64583333333)</f>
        <v>43850.64583</v>
      </c>
      <c r="I3707" s="25">
        <f>IFERROR(__xludf.DUMMYFUNCTION("""COMPUTED_VALUE"""),2194.9)</f>
        <v>2194.9</v>
      </c>
      <c r="J3707" s="25">
        <f>IFERROR(__xludf.DUMMYFUNCTION("""COMPUTED_VALUE"""),2242.2)</f>
        <v>2242.2</v>
      </c>
      <c r="K3707" s="25">
        <f>IFERROR(__xludf.DUMMYFUNCTION("""COMPUTED_VALUE"""),2156.2)</f>
        <v>2156.2</v>
      </c>
      <c r="L3707" s="25">
        <f>IFERROR(__xludf.DUMMYFUNCTION("""COMPUTED_VALUE"""),2170.35)</f>
        <v>2170.35</v>
      </c>
      <c r="M3707" s="25">
        <f>IFERROR(__xludf.DUMMYFUNCTION("""COMPUTED_VALUE"""),5817599.0)</f>
        <v>5817599</v>
      </c>
    </row>
    <row r="3708">
      <c r="A3708" s="26">
        <f>IFERROR(__xludf.DUMMYFUNCTION("""COMPUTED_VALUE"""),43850.64583333333)</f>
        <v>43850.64583</v>
      </c>
      <c r="B3708" s="9">
        <f>IFERROR(__xludf.DUMMYFUNCTION("""COMPUTED_VALUE"""),771.6)</f>
        <v>771.6</v>
      </c>
      <c r="C3708" s="9">
        <f>IFERROR(__xludf.DUMMYFUNCTION("""COMPUTED_VALUE"""),774.4)</f>
        <v>774.4</v>
      </c>
      <c r="D3708" s="9">
        <f>IFERROR(__xludf.DUMMYFUNCTION("""COMPUTED_VALUE"""),762.95)</f>
        <v>762.95</v>
      </c>
      <c r="E3708" s="9">
        <f>IFERROR(__xludf.DUMMYFUNCTION("""COMPUTED_VALUE"""),768.45)</f>
        <v>768.45</v>
      </c>
      <c r="F3708" s="9">
        <f>IFERROR(__xludf.DUMMYFUNCTION("""COMPUTED_VALUE"""),3887680.0)</f>
        <v>3887680</v>
      </c>
      <c r="H3708" s="27">
        <f>IFERROR(__xludf.DUMMYFUNCTION("""COMPUTED_VALUE"""),43851.64583333333)</f>
        <v>43851.64583</v>
      </c>
      <c r="I3708" s="25">
        <f>IFERROR(__xludf.DUMMYFUNCTION("""COMPUTED_VALUE"""),2169.95)</f>
        <v>2169.95</v>
      </c>
      <c r="J3708" s="25">
        <f>IFERROR(__xludf.DUMMYFUNCTION("""COMPUTED_VALUE"""),2186.55)</f>
        <v>2186.55</v>
      </c>
      <c r="K3708" s="25">
        <f>IFERROR(__xludf.DUMMYFUNCTION("""COMPUTED_VALUE"""),2158.05)</f>
        <v>2158.05</v>
      </c>
      <c r="L3708" s="25">
        <f>IFERROR(__xludf.DUMMYFUNCTION("""COMPUTED_VALUE"""),2171.05)</f>
        <v>2171.05</v>
      </c>
      <c r="M3708" s="25">
        <f>IFERROR(__xludf.DUMMYFUNCTION("""COMPUTED_VALUE"""),1902980.0)</f>
        <v>1902980</v>
      </c>
    </row>
    <row r="3709">
      <c r="A3709" s="26">
        <f>IFERROR(__xludf.DUMMYFUNCTION("""COMPUTED_VALUE"""),43851.64583333333)</f>
        <v>43851.64583</v>
      </c>
      <c r="B3709" s="9">
        <f>IFERROR(__xludf.DUMMYFUNCTION("""COMPUTED_VALUE"""),768.45)</f>
        <v>768.45</v>
      </c>
      <c r="C3709" s="9">
        <f>IFERROR(__xludf.DUMMYFUNCTION("""COMPUTED_VALUE"""),770.5)</f>
        <v>770.5</v>
      </c>
      <c r="D3709" s="9">
        <f>IFERROR(__xludf.DUMMYFUNCTION("""COMPUTED_VALUE"""),760.75)</f>
        <v>760.75</v>
      </c>
      <c r="E3709" s="9">
        <f>IFERROR(__xludf.DUMMYFUNCTION("""COMPUTED_VALUE"""),762.5)</f>
        <v>762.5</v>
      </c>
      <c r="F3709" s="9">
        <f>IFERROR(__xludf.DUMMYFUNCTION("""COMPUTED_VALUE"""),4448374.0)</f>
        <v>4448374</v>
      </c>
      <c r="H3709" s="27">
        <f>IFERROR(__xludf.DUMMYFUNCTION("""COMPUTED_VALUE"""),43852.64583333333)</f>
        <v>43852.64583</v>
      </c>
      <c r="I3709" s="25">
        <f>IFERROR(__xludf.DUMMYFUNCTION("""COMPUTED_VALUE"""),2181.0)</f>
        <v>2181</v>
      </c>
      <c r="J3709" s="25">
        <f>IFERROR(__xludf.DUMMYFUNCTION("""COMPUTED_VALUE"""),2210.0)</f>
        <v>2210</v>
      </c>
      <c r="K3709" s="25">
        <f>IFERROR(__xludf.DUMMYFUNCTION("""COMPUTED_VALUE"""),2173.7)</f>
        <v>2173.7</v>
      </c>
      <c r="L3709" s="25">
        <f>IFERROR(__xludf.DUMMYFUNCTION("""COMPUTED_VALUE"""),2206.9)</f>
        <v>2206.9</v>
      </c>
      <c r="M3709" s="25">
        <f>IFERROR(__xludf.DUMMYFUNCTION("""COMPUTED_VALUE"""),1773686.0)</f>
        <v>1773686</v>
      </c>
    </row>
    <row r="3710">
      <c r="A3710" s="26">
        <f>IFERROR(__xludf.DUMMYFUNCTION("""COMPUTED_VALUE"""),43852.64583333333)</f>
        <v>43852.64583</v>
      </c>
      <c r="B3710" s="9">
        <f>IFERROR(__xludf.DUMMYFUNCTION("""COMPUTED_VALUE"""),768.45)</f>
        <v>768.45</v>
      </c>
      <c r="C3710" s="9">
        <f>IFERROR(__xludf.DUMMYFUNCTION("""COMPUTED_VALUE"""),778.0)</f>
        <v>778</v>
      </c>
      <c r="D3710" s="9">
        <f>IFERROR(__xludf.DUMMYFUNCTION("""COMPUTED_VALUE"""),766.0)</f>
        <v>766</v>
      </c>
      <c r="E3710" s="9">
        <f>IFERROR(__xludf.DUMMYFUNCTION("""COMPUTED_VALUE"""),770.2)</f>
        <v>770.2</v>
      </c>
      <c r="F3710" s="9">
        <f>IFERROR(__xludf.DUMMYFUNCTION("""COMPUTED_VALUE"""),9733935.0)</f>
        <v>9733935</v>
      </c>
      <c r="H3710" s="27">
        <f>IFERROR(__xludf.DUMMYFUNCTION("""COMPUTED_VALUE"""),43853.64583333333)</f>
        <v>43853.64583</v>
      </c>
      <c r="I3710" s="25">
        <f>IFERROR(__xludf.DUMMYFUNCTION("""COMPUTED_VALUE"""),2209.8)</f>
        <v>2209.8</v>
      </c>
      <c r="J3710" s="25">
        <f>IFERROR(__xludf.DUMMYFUNCTION("""COMPUTED_VALUE"""),2217.75)</f>
        <v>2217.75</v>
      </c>
      <c r="K3710" s="25">
        <f>IFERROR(__xludf.DUMMYFUNCTION("""COMPUTED_VALUE"""),2183.7)</f>
        <v>2183.7</v>
      </c>
      <c r="L3710" s="25">
        <f>IFERROR(__xludf.DUMMYFUNCTION("""COMPUTED_VALUE"""),2190.95)</f>
        <v>2190.95</v>
      </c>
      <c r="M3710" s="25">
        <f>IFERROR(__xludf.DUMMYFUNCTION("""COMPUTED_VALUE"""),2069866.0)</f>
        <v>2069866</v>
      </c>
    </row>
    <row r="3711">
      <c r="A3711" s="26">
        <f>IFERROR(__xludf.DUMMYFUNCTION("""COMPUTED_VALUE"""),43853.64583333333)</f>
        <v>43853.64583</v>
      </c>
      <c r="B3711" s="9">
        <f>IFERROR(__xludf.DUMMYFUNCTION("""COMPUTED_VALUE"""),777.1)</f>
        <v>777.1</v>
      </c>
      <c r="C3711" s="9">
        <f>IFERROR(__xludf.DUMMYFUNCTION("""COMPUTED_VALUE"""),785.5)</f>
        <v>785.5</v>
      </c>
      <c r="D3711" s="9">
        <f>IFERROR(__xludf.DUMMYFUNCTION("""COMPUTED_VALUE"""),776.7)</f>
        <v>776.7</v>
      </c>
      <c r="E3711" s="9">
        <f>IFERROR(__xludf.DUMMYFUNCTION("""COMPUTED_VALUE"""),784.35)</f>
        <v>784.35</v>
      </c>
      <c r="F3711" s="9">
        <f>IFERROR(__xludf.DUMMYFUNCTION("""COMPUTED_VALUE"""),1.2528017E7)</f>
        <v>12528017</v>
      </c>
      <c r="H3711" s="27">
        <f>IFERROR(__xludf.DUMMYFUNCTION("""COMPUTED_VALUE"""),43854.64583333333)</f>
        <v>43854.64583</v>
      </c>
      <c r="I3711" s="25">
        <f>IFERROR(__xludf.DUMMYFUNCTION("""COMPUTED_VALUE"""),2190.95)</f>
        <v>2190.95</v>
      </c>
      <c r="J3711" s="25">
        <f>IFERROR(__xludf.DUMMYFUNCTION("""COMPUTED_VALUE"""),2190.95)</f>
        <v>2190.95</v>
      </c>
      <c r="K3711" s="25">
        <f>IFERROR(__xludf.DUMMYFUNCTION("""COMPUTED_VALUE"""),2170.0)</f>
        <v>2170</v>
      </c>
      <c r="L3711" s="25">
        <f>IFERROR(__xludf.DUMMYFUNCTION("""COMPUTED_VALUE"""),2183.4)</f>
        <v>2183.4</v>
      </c>
      <c r="M3711" s="25">
        <f>IFERROR(__xludf.DUMMYFUNCTION("""COMPUTED_VALUE"""),1319430.0)</f>
        <v>1319430</v>
      </c>
    </row>
    <row r="3712">
      <c r="A3712" s="26">
        <f>IFERROR(__xludf.DUMMYFUNCTION("""COMPUTED_VALUE"""),43854.64583333333)</f>
        <v>43854.64583</v>
      </c>
      <c r="B3712" s="9">
        <f>IFERROR(__xludf.DUMMYFUNCTION("""COMPUTED_VALUE"""),775.75)</f>
        <v>775.75</v>
      </c>
      <c r="C3712" s="9">
        <f>IFERROR(__xludf.DUMMYFUNCTION("""COMPUTED_VALUE"""),786.5)</f>
        <v>786.5</v>
      </c>
      <c r="D3712" s="9">
        <f>IFERROR(__xludf.DUMMYFUNCTION("""COMPUTED_VALUE"""),773.6)</f>
        <v>773.6</v>
      </c>
      <c r="E3712" s="9">
        <f>IFERROR(__xludf.DUMMYFUNCTION("""COMPUTED_VALUE"""),782.75)</f>
        <v>782.75</v>
      </c>
      <c r="F3712" s="9">
        <f>IFERROR(__xludf.DUMMYFUNCTION("""COMPUTED_VALUE"""),7540490.0)</f>
        <v>7540490</v>
      </c>
      <c r="H3712" s="27">
        <f>IFERROR(__xludf.DUMMYFUNCTION("""COMPUTED_VALUE"""),43857.64583333333)</f>
        <v>43857.64583</v>
      </c>
      <c r="I3712" s="25">
        <f>IFERROR(__xludf.DUMMYFUNCTION("""COMPUTED_VALUE"""),2189.7)</f>
        <v>2189.7</v>
      </c>
      <c r="J3712" s="25">
        <f>IFERROR(__xludf.DUMMYFUNCTION("""COMPUTED_VALUE"""),2193.45)</f>
        <v>2193.45</v>
      </c>
      <c r="K3712" s="25">
        <f>IFERROR(__xludf.DUMMYFUNCTION("""COMPUTED_VALUE"""),2165.0)</f>
        <v>2165</v>
      </c>
      <c r="L3712" s="25">
        <f>IFERROR(__xludf.DUMMYFUNCTION("""COMPUTED_VALUE"""),2169.25)</f>
        <v>2169.25</v>
      </c>
      <c r="M3712" s="25">
        <f>IFERROR(__xludf.DUMMYFUNCTION("""COMPUTED_VALUE"""),1549101.0)</f>
        <v>1549101</v>
      </c>
    </row>
    <row r="3713">
      <c r="A3713" s="26">
        <f>IFERROR(__xludf.DUMMYFUNCTION("""COMPUTED_VALUE"""),43857.64583333333)</f>
        <v>43857.64583</v>
      </c>
      <c r="B3713" s="9">
        <f>IFERROR(__xludf.DUMMYFUNCTION("""COMPUTED_VALUE"""),779.05)</f>
        <v>779.05</v>
      </c>
      <c r="C3713" s="9">
        <f>IFERROR(__xludf.DUMMYFUNCTION("""COMPUTED_VALUE"""),784.8)</f>
        <v>784.8</v>
      </c>
      <c r="D3713" s="9">
        <f>IFERROR(__xludf.DUMMYFUNCTION("""COMPUTED_VALUE"""),774.4)</f>
        <v>774.4</v>
      </c>
      <c r="E3713" s="9">
        <f>IFERROR(__xludf.DUMMYFUNCTION("""COMPUTED_VALUE"""),778.1)</f>
        <v>778.1</v>
      </c>
      <c r="F3713" s="9">
        <f>IFERROR(__xludf.DUMMYFUNCTION("""COMPUTED_VALUE"""),3741610.0)</f>
        <v>3741610</v>
      </c>
      <c r="H3713" s="27">
        <f>IFERROR(__xludf.DUMMYFUNCTION("""COMPUTED_VALUE"""),43858.64583333333)</f>
        <v>43858.64583</v>
      </c>
      <c r="I3713" s="25">
        <f>IFERROR(__xludf.DUMMYFUNCTION("""COMPUTED_VALUE"""),2174.0)</f>
        <v>2174</v>
      </c>
      <c r="J3713" s="25">
        <f>IFERROR(__xludf.DUMMYFUNCTION("""COMPUTED_VALUE"""),2187.8)</f>
        <v>2187.8</v>
      </c>
      <c r="K3713" s="25">
        <f>IFERROR(__xludf.DUMMYFUNCTION("""COMPUTED_VALUE"""),2152.0)</f>
        <v>2152</v>
      </c>
      <c r="L3713" s="25">
        <f>IFERROR(__xludf.DUMMYFUNCTION("""COMPUTED_VALUE"""),2183.75)</f>
        <v>2183.75</v>
      </c>
      <c r="M3713" s="25">
        <f>IFERROR(__xludf.DUMMYFUNCTION("""COMPUTED_VALUE"""),1743024.0)</f>
        <v>1743024</v>
      </c>
    </row>
    <row r="3714">
      <c r="A3714" s="26">
        <f>IFERROR(__xludf.DUMMYFUNCTION("""COMPUTED_VALUE"""),43858.64583333333)</f>
        <v>43858.64583</v>
      </c>
      <c r="B3714" s="9">
        <f>IFERROR(__xludf.DUMMYFUNCTION("""COMPUTED_VALUE"""),781.0)</f>
        <v>781</v>
      </c>
      <c r="C3714" s="9">
        <f>IFERROR(__xludf.DUMMYFUNCTION("""COMPUTED_VALUE"""),781.8)</f>
        <v>781.8</v>
      </c>
      <c r="D3714" s="9">
        <f>IFERROR(__xludf.DUMMYFUNCTION("""COMPUTED_VALUE"""),772.0)</f>
        <v>772</v>
      </c>
      <c r="E3714" s="9">
        <f>IFERROR(__xludf.DUMMYFUNCTION("""COMPUTED_VALUE"""),778.0)</f>
        <v>778</v>
      </c>
      <c r="F3714" s="9">
        <f>IFERROR(__xludf.DUMMYFUNCTION("""COMPUTED_VALUE"""),5121009.0)</f>
        <v>5121009</v>
      </c>
      <c r="H3714" s="27">
        <f>IFERROR(__xludf.DUMMYFUNCTION("""COMPUTED_VALUE"""),43859.64583333333)</f>
        <v>43859.64583</v>
      </c>
      <c r="I3714" s="25">
        <f>IFERROR(__xludf.DUMMYFUNCTION("""COMPUTED_VALUE"""),2185.0)</f>
        <v>2185</v>
      </c>
      <c r="J3714" s="25">
        <f>IFERROR(__xludf.DUMMYFUNCTION("""COMPUTED_VALUE"""),2186.95)</f>
        <v>2186.95</v>
      </c>
      <c r="K3714" s="25">
        <f>IFERROR(__xludf.DUMMYFUNCTION("""COMPUTED_VALUE"""),2150.0)</f>
        <v>2150</v>
      </c>
      <c r="L3714" s="25">
        <f>IFERROR(__xludf.DUMMYFUNCTION("""COMPUTED_VALUE"""),2154.6)</f>
        <v>2154.6</v>
      </c>
      <c r="M3714" s="25">
        <f>IFERROR(__xludf.DUMMYFUNCTION("""COMPUTED_VALUE"""),2306761.0)</f>
        <v>2306761</v>
      </c>
    </row>
    <row r="3715">
      <c r="A3715" s="26">
        <f>IFERROR(__xludf.DUMMYFUNCTION("""COMPUTED_VALUE"""),43859.64583333333)</f>
        <v>43859.64583</v>
      </c>
      <c r="B3715" s="9">
        <f>IFERROR(__xludf.DUMMYFUNCTION("""COMPUTED_VALUE"""),786.6)</f>
        <v>786.6</v>
      </c>
      <c r="C3715" s="9">
        <f>IFERROR(__xludf.DUMMYFUNCTION("""COMPUTED_VALUE"""),792.8)</f>
        <v>792.8</v>
      </c>
      <c r="D3715" s="9">
        <f>IFERROR(__xludf.DUMMYFUNCTION("""COMPUTED_VALUE"""),784.25)</f>
        <v>784.25</v>
      </c>
      <c r="E3715" s="9">
        <f>IFERROR(__xludf.DUMMYFUNCTION("""COMPUTED_VALUE"""),789.7)</f>
        <v>789.7</v>
      </c>
      <c r="F3715" s="9">
        <f>IFERROR(__xludf.DUMMYFUNCTION("""COMPUTED_VALUE"""),6832757.0)</f>
        <v>6832757</v>
      </c>
      <c r="H3715" s="27">
        <f>IFERROR(__xludf.DUMMYFUNCTION("""COMPUTED_VALUE"""),43860.64583333333)</f>
        <v>43860.64583</v>
      </c>
      <c r="I3715" s="25">
        <f>IFERROR(__xludf.DUMMYFUNCTION("""COMPUTED_VALUE"""),2160.0)</f>
        <v>2160</v>
      </c>
      <c r="J3715" s="25">
        <f>IFERROR(__xludf.DUMMYFUNCTION("""COMPUTED_VALUE"""),2165.0)</f>
        <v>2165</v>
      </c>
      <c r="K3715" s="25">
        <f>IFERROR(__xludf.DUMMYFUNCTION("""COMPUTED_VALUE"""),2125.0)</f>
        <v>2125</v>
      </c>
      <c r="L3715" s="25">
        <f>IFERROR(__xludf.DUMMYFUNCTION("""COMPUTED_VALUE"""),2137.85)</f>
        <v>2137.85</v>
      </c>
      <c r="M3715" s="25">
        <f>IFERROR(__xludf.DUMMYFUNCTION("""COMPUTED_VALUE"""),2098567.0)</f>
        <v>2098567</v>
      </c>
    </row>
    <row r="3716">
      <c r="A3716" s="26">
        <f>IFERROR(__xludf.DUMMYFUNCTION("""COMPUTED_VALUE"""),43860.64583333333)</f>
        <v>43860.64583</v>
      </c>
      <c r="B3716" s="9">
        <f>IFERROR(__xludf.DUMMYFUNCTION("""COMPUTED_VALUE"""),789.7)</f>
        <v>789.7</v>
      </c>
      <c r="C3716" s="9">
        <f>IFERROR(__xludf.DUMMYFUNCTION("""COMPUTED_VALUE"""),789.7)</f>
        <v>789.7</v>
      </c>
      <c r="D3716" s="9">
        <f>IFERROR(__xludf.DUMMYFUNCTION("""COMPUTED_VALUE"""),778.0)</f>
        <v>778</v>
      </c>
      <c r="E3716" s="9">
        <f>IFERROR(__xludf.DUMMYFUNCTION("""COMPUTED_VALUE"""),780.7)</f>
        <v>780.7</v>
      </c>
      <c r="F3716" s="9">
        <f>IFERROR(__xludf.DUMMYFUNCTION("""COMPUTED_VALUE"""),3859680.0)</f>
        <v>3859680</v>
      </c>
      <c r="H3716" s="27">
        <f>IFERROR(__xludf.DUMMYFUNCTION("""COMPUTED_VALUE"""),43861.64583333333)</f>
        <v>43861.64583</v>
      </c>
      <c r="I3716" s="25">
        <f>IFERROR(__xludf.DUMMYFUNCTION("""COMPUTED_VALUE"""),2139.4)</f>
        <v>2139.4</v>
      </c>
      <c r="J3716" s="25">
        <f>IFERROR(__xludf.DUMMYFUNCTION("""COMPUTED_VALUE"""),2144.35)</f>
        <v>2144.35</v>
      </c>
      <c r="K3716" s="25">
        <f>IFERROR(__xludf.DUMMYFUNCTION("""COMPUTED_VALUE"""),2071.6)</f>
        <v>2071.6</v>
      </c>
      <c r="L3716" s="25">
        <f>IFERROR(__xludf.DUMMYFUNCTION("""COMPUTED_VALUE"""),2079.05)</f>
        <v>2079.05</v>
      </c>
      <c r="M3716" s="25">
        <f>IFERROR(__xludf.DUMMYFUNCTION("""COMPUTED_VALUE"""),3287223.0)</f>
        <v>3287223</v>
      </c>
    </row>
    <row r="3717">
      <c r="A3717" s="26">
        <f>IFERROR(__xludf.DUMMYFUNCTION("""COMPUTED_VALUE"""),43861.64583333333)</f>
        <v>43861.64583</v>
      </c>
      <c r="B3717" s="9">
        <f>IFERROR(__xludf.DUMMYFUNCTION("""COMPUTED_VALUE"""),780.55)</f>
        <v>780.55</v>
      </c>
      <c r="C3717" s="9">
        <f>IFERROR(__xludf.DUMMYFUNCTION("""COMPUTED_VALUE"""),784.95)</f>
        <v>784.95</v>
      </c>
      <c r="D3717" s="9">
        <f>IFERROR(__xludf.DUMMYFUNCTION("""COMPUTED_VALUE"""),771.6)</f>
        <v>771.6</v>
      </c>
      <c r="E3717" s="9">
        <f>IFERROR(__xludf.DUMMYFUNCTION("""COMPUTED_VALUE"""),775.95)</f>
        <v>775.95</v>
      </c>
      <c r="F3717" s="9">
        <f>IFERROR(__xludf.DUMMYFUNCTION("""COMPUTED_VALUE"""),6092028.0)</f>
        <v>6092028</v>
      </c>
      <c r="H3717" s="27">
        <f>IFERROR(__xludf.DUMMYFUNCTION("""COMPUTED_VALUE"""),43862.70833333333)</f>
        <v>43862.70833</v>
      </c>
      <c r="I3717" s="25">
        <f>IFERROR(__xludf.DUMMYFUNCTION("""COMPUTED_VALUE"""),2079.5)</f>
        <v>2079.5</v>
      </c>
      <c r="J3717" s="25">
        <f>IFERROR(__xludf.DUMMYFUNCTION("""COMPUTED_VALUE"""),2179.0)</f>
        <v>2179</v>
      </c>
      <c r="K3717" s="25">
        <f>IFERROR(__xludf.DUMMYFUNCTION("""COMPUTED_VALUE"""),2063.6)</f>
        <v>2063.6</v>
      </c>
      <c r="L3717" s="25">
        <f>IFERROR(__xludf.DUMMYFUNCTION("""COMPUTED_VALUE"""),2175.0)</f>
        <v>2175</v>
      </c>
      <c r="M3717" s="25">
        <f>IFERROR(__xludf.DUMMYFUNCTION("""COMPUTED_VALUE"""),3127520.0)</f>
        <v>3127520</v>
      </c>
    </row>
    <row r="3718">
      <c r="A3718" s="26">
        <f>IFERROR(__xludf.DUMMYFUNCTION("""COMPUTED_VALUE"""),43862.70833333333)</f>
        <v>43862.70833</v>
      </c>
      <c r="B3718" s="9">
        <f>IFERROR(__xludf.DUMMYFUNCTION("""COMPUTED_VALUE"""),775.1)</f>
        <v>775.1</v>
      </c>
      <c r="C3718" s="9">
        <f>IFERROR(__xludf.DUMMYFUNCTION("""COMPUTED_VALUE"""),791.25)</f>
        <v>791.25</v>
      </c>
      <c r="D3718" s="9">
        <f>IFERROR(__xludf.DUMMYFUNCTION("""COMPUTED_VALUE"""),769.25)</f>
        <v>769.25</v>
      </c>
      <c r="E3718" s="9">
        <f>IFERROR(__xludf.DUMMYFUNCTION("""COMPUTED_VALUE"""),776.05)</f>
        <v>776.05</v>
      </c>
      <c r="F3718" s="9">
        <f>IFERROR(__xludf.DUMMYFUNCTION("""COMPUTED_VALUE"""),4875882.0)</f>
        <v>4875882</v>
      </c>
      <c r="H3718" s="27">
        <f>IFERROR(__xludf.DUMMYFUNCTION("""COMPUTED_VALUE"""),43864.64583333333)</f>
        <v>43864.64583</v>
      </c>
      <c r="I3718" s="25">
        <f>IFERROR(__xludf.DUMMYFUNCTION("""COMPUTED_VALUE"""),2152.0)</f>
        <v>2152</v>
      </c>
      <c r="J3718" s="25">
        <f>IFERROR(__xludf.DUMMYFUNCTION("""COMPUTED_VALUE"""),2194.7)</f>
        <v>2194.7</v>
      </c>
      <c r="K3718" s="25">
        <f>IFERROR(__xludf.DUMMYFUNCTION("""COMPUTED_VALUE"""),2093.2)</f>
        <v>2093.2</v>
      </c>
      <c r="L3718" s="25">
        <f>IFERROR(__xludf.DUMMYFUNCTION("""COMPUTED_VALUE"""),2102.5)</f>
        <v>2102.5</v>
      </c>
      <c r="M3718" s="25">
        <f>IFERROR(__xludf.DUMMYFUNCTION("""COMPUTED_VALUE"""),4728073.0)</f>
        <v>4728073</v>
      </c>
    </row>
    <row r="3719">
      <c r="A3719" s="26">
        <f>IFERROR(__xludf.DUMMYFUNCTION("""COMPUTED_VALUE"""),43864.64583333333)</f>
        <v>43864.64583</v>
      </c>
      <c r="B3719" s="9">
        <f>IFERROR(__xludf.DUMMYFUNCTION("""COMPUTED_VALUE"""),782.0)</f>
        <v>782</v>
      </c>
      <c r="C3719" s="9">
        <f>IFERROR(__xludf.DUMMYFUNCTION("""COMPUTED_VALUE"""),790.95)</f>
        <v>790.95</v>
      </c>
      <c r="D3719" s="9">
        <f>IFERROR(__xludf.DUMMYFUNCTION("""COMPUTED_VALUE"""),764.5)</f>
        <v>764.5</v>
      </c>
      <c r="E3719" s="9">
        <f>IFERROR(__xludf.DUMMYFUNCTION("""COMPUTED_VALUE"""),767.4)</f>
        <v>767.4</v>
      </c>
      <c r="F3719" s="9">
        <f>IFERROR(__xludf.DUMMYFUNCTION("""COMPUTED_VALUE"""),6416745.0)</f>
        <v>6416745</v>
      </c>
      <c r="H3719" s="27">
        <f>IFERROR(__xludf.DUMMYFUNCTION("""COMPUTED_VALUE"""),43865.64583333333)</f>
        <v>43865.64583</v>
      </c>
      <c r="I3719" s="25">
        <f>IFERROR(__xludf.DUMMYFUNCTION("""COMPUTED_VALUE"""),2129.0)</f>
        <v>2129</v>
      </c>
      <c r="J3719" s="25">
        <f>IFERROR(__xludf.DUMMYFUNCTION("""COMPUTED_VALUE"""),2136.7)</f>
        <v>2136.7</v>
      </c>
      <c r="K3719" s="25">
        <f>IFERROR(__xludf.DUMMYFUNCTION("""COMPUTED_VALUE"""),2086.6)</f>
        <v>2086.6</v>
      </c>
      <c r="L3719" s="25">
        <f>IFERROR(__xludf.DUMMYFUNCTION("""COMPUTED_VALUE"""),2107.75)</f>
        <v>2107.75</v>
      </c>
      <c r="M3719" s="25">
        <f>IFERROR(__xludf.DUMMYFUNCTION("""COMPUTED_VALUE"""),3509339.0)</f>
        <v>3509339</v>
      </c>
    </row>
    <row r="3720">
      <c r="A3720" s="26">
        <f>IFERROR(__xludf.DUMMYFUNCTION("""COMPUTED_VALUE"""),43865.64583333333)</f>
        <v>43865.64583</v>
      </c>
      <c r="B3720" s="9">
        <f>IFERROR(__xludf.DUMMYFUNCTION("""COMPUTED_VALUE"""),770.1)</f>
        <v>770.1</v>
      </c>
      <c r="C3720" s="9">
        <f>IFERROR(__xludf.DUMMYFUNCTION("""COMPUTED_VALUE"""),789.9)</f>
        <v>789.9</v>
      </c>
      <c r="D3720" s="9">
        <f>IFERROR(__xludf.DUMMYFUNCTION("""COMPUTED_VALUE"""),770.1)</f>
        <v>770.1</v>
      </c>
      <c r="E3720" s="9">
        <f>IFERROR(__xludf.DUMMYFUNCTION("""COMPUTED_VALUE"""),787.85)</f>
        <v>787.85</v>
      </c>
      <c r="F3720" s="9">
        <f>IFERROR(__xludf.DUMMYFUNCTION("""COMPUTED_VALUE"""),5771311.0)</f>
        <v>5771311</v>
      </c>
      <c r="H3720" s="27">
        <f>IFERROR(__xludf.DUMMYFUNCTION("""COMPUTED_VALUE"""),43866.64583333333)</f>
        <v>43866.64583</v>
      </c>
      <c r="I3720" s="25">
        <f>IFERROR(__xludf.DUMMYFUNCTION("""COMPUTED_VALUE"""),2115.0)</f>
        <v>2115</v>
      </c>
      <c r="J3720" s="25">
        <f>IFERROR(__xludf.DUMMYFUNCTION("""COMPUTED_VALUE"""),2156.7)</f>
        <v>2156.7</v>
      </c>
      <c r="K3720" s="25">
        <f>IFERROR(__xludf.DUMMYFUNCTION("""COMPUTED_VALUE"""),2104.3)</f>
        <v>2104.3</v>
      </c>
      <c r="L3720" s="25">
        <f>IFERROR(__xludf.DUMMYFUNCTION("""COMPUTED_VALUE"""),2146.55)</f>
        <v>2146.55</v>
      </c>
      <c r="M3720" s="25">
        <f>IFERROR(__xludf.DUMMYFUNCTION("""COMPUTED_VALUE"""),2439322.0)</f>
        <v>2439322</v>
      </c>
    </row>
    <row r="3721">
      <c r="A3721" s="26">
        <f>IFERROR(__xludf.DUMMYFUNCTION("""COMPUTED_VALUE"""),43866.64583333333)</f>
        <v>43866.64583</v>
      </c>
      <c r="B3721" s="9">
        <f>IFERROR(__xludf.DUMMYFUNCTION("""COMPUTED_VALUE"""),781.0)</f>
        <v>781</v>
      </c>
      <c r="C3721" s="9">
        <f>IFERROR(__xludf.DUMMYFUNCTION("""COMPUTED_VALUE"""),786.0)</f>
        <v>786</v>
      </c>
      <c r="D3721" s="9">
        <f>IFERROR(__xludf.DUMMYFUNCTION("""COMPUTED_VALUE"""),774.4)</f>
        <v>774.4</v>
      </c>
      <c r="E3721" s="9">
        <f>IFERROR(__xludf.DUMMYFUNCTION("""COMPUTED_VALUE"""),784.55)</f>
        <v>784.55</v>
      </c>
      <c r="F3721" s="9">
        <f>IFERROR(__xludf.DUMMYFUNCTION("""COMPUTED_VALUE"""),6310409.0)</f>
        <v>6310409</v>
      </c>
      <c r="H3721" s="27">
        <f>IFERROR(__xludf.DUMMYFUNCTION("""COMPUTED_VALUE"""),43867.64583333333)</f>
        <v>43867.64583</v>
      </c>
      <c r="I3721" s="25">
        <f>IFERROR(__xludf.DUMMYFUNCTION("""COMPUTED_VALUE"""),2145.0)</f>
        <v>2145</v>
      </c>
      <c r="J3721" s="25">
        <f>IFERROR(__xludf.DUMMYFUNCTION("""COMPUTED_VALUE"""),2174.2)</f>
        <v>2174.2</v>
      </c>
      <c r="K3721" s="25">
        <f>IFERROR(__xludf.DUMMYFUNCTION("""COMPUTED_VALUE"""),2115.5)</f>
        <v>2115.5</v>
      </c>
      <c r="L3721" s="25">
        <f>IFERROR(__xludf.DUMMYFUNCTION("""COMPUTED_VALUE"""),2128.35)</f>
        <v>2128.35</v>
      </c>
      <c r="M3721" s="25">
        <f>IFERROR(__xludf.DUMMYFUNCTION("""COMPUTED_VALUE"""),2640065.0)</f>
        <v>2640065</v>
      </c>
    </row>
    <row r="3722">
      <c r="A3722" s="26">
        <f>IFERROR(__xludf.DUMMYFUNCTION("""COMPUTED_VALUE"""),43867.64583333333)</f>
        <v>43867.64583</v>
      </c>
      <c r="B3722" s="9">
        <f>IFERROR(__xludf.DUMMYFUNCTION("""COMPUTED_VALUE"""),784.35)</f>
        <v>784.35</v>
      </c>
      <c r="C3722" s="9">
        <f>IFERROR(__xludf.DUMMYFUNCTION("""COMPUTED_VALUE"""),786.8)</f>
        <v>786.8</v>
      </c>
      <c r="D3722" s="9">
        <f>IFERROR(__xludf.DUMMYFUNCTION("""COMPUTED_VALUE"""),770.0)</f>
        <v>770</v>
      </c>
      <c r="E3722" s="9">
        <f>IFERROR(__xludf.DUMMYFUNCTION("""COMPUTED_VALUE"""),771.35)</f>
        <v>771.35</v>
      </c>
      <c r="F3722" s="9">
        <f>IFERROR(__xludf.DUMMYFUNCTION("""COMPUTED_VALUE"""),7341622.0)</f>
        <v>7341622</v>
      </c>
      <c r="H3722" s="27">
        <f>IFERROR(__xludf.DUMMYFUNCTION("""COMPUTED_VALUE"""),43868.64583333333)</f>
        <v>43868.64583</v>
      </c>
      <c r="I3722" s="25">
        <f>IFERROR(__xludf.DUMMYFUNCTION("""COMPUTED_VALUE"""),2139.0)</f>
        <v>2139</v>
      </c>
      <c r="J3722" s="25">
        <f>IFERROR(__xludf.DUMMYFUNCTION("""COMPUTED_VALUE"""),2151.0)</f>
        <v>2151</v>
      </c>
      <c r="K3722" s="25">
        <f>IFERROR(__xludf.DUMMYFUNCTION("""COMPUTED_VALUE"""),2119.0)</f>
        <v>2119</v>
      </c>
      <c r="L3722" s="25">
        <f>IFERROR(__xludf.DUMMYFUNCTION("""COMPUTED_VALUE"""),2136.55)</f>
        <v>2136.55</v>
      </c>
      <c r="M3722" s="25">
        <f>IFERROR(__xludf.DUMMYFUNCTION("""COMPUTED_VALUE"""),2083442.0)</f>
        <v>2083442</v>
      </c>
    </row>
    <row r="3723">
      <c r="A3723" s="26">
        <f>IFERROR(__xludf.DUMMYFUNCTION("""COMPUTED_VALUE"""),43868.64583333333)</f>
        <v>43868.64583</v>
      </c>
      <c r="B3723" s="9">
        <f>IFERROR(__xludf.DUMMYFUNCTION("""COMPUTED_VALUE"""),775.95)</f>
        <v>775.95</v>
      </c>
      <c r="C3723" s="9">
        <f>IFERROR(__xludf.DUMMYFUNCTION("""COMPUTED_VALUE"""),778.85)</f>
        <v>778.85</v>
      </c>
      <c r="D3723" s="9">
        <f>IFERROR(__xludf.DUMMYFUNCTION("""COMPUTED_VALUE"""),771.0)</f>
        <v>771</v>
      </c>
      <c r="E3723" s="9">
        <f>IFERROR(__xludf.DUMMYFUNCTION("""COMPUTED_VALUE"""),777.3)</f>
        <v>777.3</v>
      </c>
      <c r="F3723" s="9">
        <f>IFERROR(__xludf.DUMMYFUNCTION("""COMPUTED_VALUE"""),2853344.0)</f>
        <v>2853344</v>
      </c>
      <c r="H3723" s="27">
        <f>IFERROR(__xludf.DUMMYFUNCTION("""COMPUTED_VALUE"""),43871.64583333333)</f>
        <v>43871.64583</v>
      </c>
      <c r="I3723" s="25">
        <f>IFERROR(__xludf.DUMMYFUNCTION("""COMPUTED_VALUE"""),2140.9)</f>
        <v>2140.9</v>
      </c>
      <c r="J3723" s="25">
        <f>IFERROR(__xludf.DUMMYFUNCTION("""COMPUTED_VALUE"""),2167.0)</f>
        <v>2167</v>
      </c>
      <c r="K3723" s="25">
        <f>IFERROR(__xludf.DUMMYFUNCTION("""COMPUTED_VALUE"""),2119.0)</f>
        <v>2119</v>
      </c>
      <c r="L3723" s="25">
        <f>IFERROR(__xludf.DUMMYFUNCTION("""COMPUTED_VALUE"""),2161.95)</f>
        <v>2161.95</v>
      </c>
      <c r="M3723" s="25">
        <f>IFERROR(__xludf.DUMMYFUNCTION("""COMPUTED_VALUE"""),2383032.0)</f>
        <v>2383032</v>
      </c>
    </row>
    <row r="3724">
      <c r="A3724" s="26">
        <f>IFERROR(__xludf.DUMMYFUNCTION("""COMPUTED_VALUE"""),43871.64583333333)</f>
        <v>43871.64583</v>
      </c>
      <c r="B3724" s="9">
        <f>IFERROR(__xludf.DUMMYFUNCTION("""COMPUTED_VALUE"""),774.0)</f>
        <v>774</v>
      </c>
      <c r="C3724" s="9">
        <f>IFERROR(__xludf.DUMMYFUNCTION("""COMPUTED_VALUE"""),778.0)</f>
        <v>778</v>
      </c>
      <c r="D3724" s="9">
        <f>IFERROR(__xludf.DUMMYFUNCTION("""COMPUTED_VALUE"""),769.75)</f>
        <v>769.75</v>
      </c>
      <c r="E3724" s="9">
        <f>IFERROR(__xludf.DUMMYFUNCTION("""COMPUTED_VALUE"""),773.2)</f>
        <v>773.2</v>
      </c>
      <c r="F3724" s="9">
        <f>IFERROR(__xludf.DUMMYFUNCTION("""COMPUTED_VALUE"""),3827682.0)</f>
        <v>3827682</v>
      </c>
      <c r="H3724" s="27">
        <f>IFERROR(__xludf.DUMMYFUNCTION("""COMPUTED_VALUE"""),43872.64583333333)</f>
        <v>43872.64583</v>
      </c>
      <c r="I3724" s="25">
        <f>IFERROR(__xludf.DUMMYFUNCTION("""COMPUTED_VALUE"""),2163.0)</f>
        <v>2163</v>
      </c>
      <c r="J3724" s="25">
        <f>IFERROR(__xludf.DUMMYFUNCTION("""COMPUTED_VALUE"""),2174.8)</f>
        <v>2174.8</v>
      </c>
      <c r="K3724" s="25">
        <f>IFERROR(__xludf.DUMMYFUNCTION("""COMPUTED_VALUE"""),2147.6)</f>
        <v>2147.6</v>
      </c>
      <c r="L3724" s="25">
        <f>IFERROR(__xludf.DUMMYFUNCTION("""COMPUTED_VALUE"""),2153.4)</f>
        <v>2153.4</v>
      </c>
      <c r="M3724" s="25">
        <f>IFERROR(__xludf.DUMMYFUNCTION("""COMPUTED_VALUE"""),1335820.0)</f>
        <v>1335820</v>
      </c>
    </row>
    <row r="3725">
      <c r="A3725" s="26">
        <f>IFERROR(__xludf.DUMMYFUNCTION("""COMPUTED_VALUE"""),43872.64583333333)</f>
        <v>43872.64583</v>
      </c>
      <c r="B3725" s="9">
        <f>IFERROR(__xludf.DUMMYFUNCTION("""COMPUTED_VALUE"""),779.0)</f>
        <v>779</v>
      </c>
      <c r="C3725" s="9">
        <f>IFERROR(__xludf.DUMMYFUNCTION("""COMPUTED_VALUE"""),779.1)</f>
        <v>779.1</v>
      </c>
      <c r="D3725" s="9">
        <f>IFERROR(__xludf.DUMMYFUNCTION("""COMPUTED_VALUE"""),769.2)</f>
        <v>769.2</v>
      </c>
      <c r="E3725" s="9">
        <f>IFERROR(__xludf.DUMMYFUNCTION("""COMPUTED_VALUE"""),773.55)</f>
        <v>773.55</v>
      </c>
      <c r="F3725" s="9">
        <f>IFERROR(__xludf.DUMMYFUNCTION("""COMPUTED_VALUE"""),4312817.0)</f>
        <v>4312817</v>
      </c>
      <c r="H3725" s="27">
        <f>IFERROR(__xludf.DUMMYFUNCTION("""COMPUTED_VALUE"""),43873.64583333333)</f>
        <v>43873.64583</v>
      </c>
      <c r="I3725" s="25">
        <f>IFERROR(__xludf.DUMMYFUNCTION("""COMPUTED_VALUE"""),2151.1)</f>
        <v>2151.1</v>
      </c>
      <c r="J3725" s="25">
        <f>IFERROR(__xludf.DUMMYFUNCTION("""COMPUTED_VALUE"""),2185.0)</f>
        <v>2185</v>
      </c>
      <c r="K3725" s="25">
        <f>IFERROR(__xludf.DUMMYFUNCTION("""COMPUTED_VALUE"""),2150.0)</f>
        <v>2150</v>
      </c>
      <c r="L3725" s="25">
        <f>IFERROR(__xludf.DUMMYFUNCTION("""COMPUTED_VALUE"""),2170.75)</f>
        <v>2170.75</v>
      </c>
      <c r="M3725" s="25">
        <f>IFERROR(__xludf.DUMMYFUNCTION("""COMPUTED_VALUE"""),1620407.0)</f>
        <v>1620407</v>
      </c>
    </row>
    <row r="3726">
      <c r="A3726" s="26">
        <f>IFERROR(__xludf.DUMMYFUNCTION("""COMPUTED_VALUE"""),43873.64583333333)</f>
        <v>43873.64583</v>
      </c>
      <c r="B3726" s="9">
        <f>IFERROR(__xludf.DUMMYFUNCTION("""COMPUTED_VALUE"""),775.8)</f>
        <v>775.8</v>
      </c>
      <c r="C3726" s="9">
        <f>IFERROR(__xludf.DUMMYFUNCTION("""COMPUTED_VALUE"""),783.25)</f>
        <v>783.25</v>
      </c>
      <c r="D3726" s="9">
        <f>IFERROR(__xludf.DUMMYFUNCTION("""COMPUTED_VALUE"""),775.1)</f>
        <v>775.1</v>
      </c>
      <c r="E3726" s="9">
        <f>IFERROR(__xludf.DUMMYFUNCTION("""COMPUTED_VALUE"""),781.05)</f>
        <v>781.05</v>
      </c>
      <c r="F3726" s="9">
        <f>IFERROR(__xludf.DUMMYFUNCTION("""COMPUTED_VALUE"""),2948825.0)</f>
        <v>2948825</v>
      </c>
      <c r="H3726" s="27">
        <f>IFERROR(__xludf.DUMMYFUNCTION("""COMPUTED_VALUE"""),43874.64583333333)</f>
        <v>43874.64583</v>
      </c>
      <c r="I3726" s="25">
        <f>IFERROR(__xludf.DUMMYFUNCTION("""COMPUTED_VALUE"""),2172.95)</f>
        <v>2172.95</v>
      </c>
      <c r="J3726" s="25">
        <f>IFERROR(__xludf.DUMMYFUNCTION("""COMPUTED_VALUE"""),2197.0)</f>
        <v>2197</v>
      </c>
      <c r="K3726" s="25">
        <f>IFERROR(__xludf.DUMMYFUNCTION("""COMPUTED_VALUE"""),2171.0)</f>
        <v>2171</v>
      </c>
      <c r="L3726" s="25">
        <f>IFERROR(__xludf.DUMMYFUNCTION("""COMPUTED_VALUE"""),2191.95)</f>
        <v>2191.95</v>
      </c>
      <c r="M3726" s="25">
        <f>IFERROR(__xludf.DUMMYFUNCTION("""COMPUTED_VALUE"""),1645948.0)</f>
        <v>1645948</v>
      </c>
    </row>
    <row r="3727">
      <c r="A3727" s="26">
        <f>IFERROR(__xludf.DUMMYFUNCTION("""COMPUTED_VALUE"""),43874.64583333333)</f>
        <v>43874.64583</v>
      </c>
      <c r="B3727" s="9">
        <f>IFERROR(__xludf.DUMMYFUNCTION("""COMPUTED_VALUE"""),785.0)</f>
        <v>785</v>
      </c>
      <c r="C3727" s="9">
        <f>IFERROR(__xludf.DUMMYFUNCTION("""COMPUTED_VALUE"""),794.0)</f>
        <v>794</v>
      </c>
      <c r="D3727" s="9">
        <f>IFERROR(__xludf.DUMMYFUNCTION("""COMPUTED_VALUE"""),782.2)</f>
        <v>782.2</v>
      </c>
      <c r="E3727" s="9">
        <f>IFERROR(__xludf.DUMMYFUNCTION("""COMPUTED_VALUE"""),792.25)</f>
        <v>792.25</v>
      </c>
      <c r="F3727" s="9">
        <f>IFERROR(__xludf.DUMMYFUNCTION("""COMPUTED_VALUE"""),4387430.0)</f>
        <v>4387430</v>
      </c>
      <c r="H3727" s="27">
        <f>IFERROR(__xludf.DUMMYFUNCTION("""COMPUTED_VALUE"""),43875.64583333333)</f>
        <v>43875.64583</v>
      </c>
      <c r="I3727" s="25">
        <f>IFERROR(__xludf.DUMMYFUNCTION("""COMPUTED_VALUE"""),2188.0)</f>
        <v>2188</v>
      </c>
      <c r="J3727" s="25">
        <f>IFERROR(__xludf.DUMMYFUNCTION("""COMPUTED_VALUE"""),2212.0)</f>
        <v>2212</v>
      </c>
      <c r="K3727" s="25">
        <f>IFERROR(__xludf.DUMMYFUNCTION("""COMPUTED_VALUE"""),2171.0)</f>
        <v>2171</v>
      </c>
      <c r="L3727" s="25">
        <f>IFERROR(__xludf.DUMMYFUNCTION("""COMPUTED_VALUE"""),2184.2)</f>
        <v>2184.2</v>
      </c>
      <c r="M3727" s="25">
        <f>IFERROR(__xludf.DUMMYFUNCTION("""COMPUTED_VALUE"""),1500115.0)</f>
        <v>1500115</v>
      </c>
    </row>
    <row r="3728">
      <c r="A3728" s="26">
        <f>IFERROR(__xludf.DUMMYFUNCTION("""COMPUTED_VALUE"""),43875.64583333333)</f>
        <v>43875.64583</v>
      </c>
      <c r="B3728" s="9">
        <f>IFERROR(__xludf.DUMMYFUNCTION("""COMPUTED_VALUE"""),794.5)</f>
        <v>794.5</v>
      </c>
      <c r="C3728" s="9">
        <f>IFERROR(__xludf.DUMMYFUNCTION("""COMPUTED_VALUE"""),799.2)</f>
        <v>799.2</v>
      </c>
      <c r="D3728" s="9">
        <f>IFERROR(__xludf.DUMMYFUNCTION("""COMPUTED_VALUE"""),784.6)</f>
        <v>784.6</v>
      </c>
      <c r="E3728" s="9">
        <f>IFERROR(__xludf.DUMMYFUNCTION("""COMPUTED_VALUE"""),786.45)</f>
        <v>786.45</v>
      </c>
      <c r="F3728" s="9">
        <f>IFERROR(__xludf.DUMMYFUNCTION("""COMPUTED_VALUE"""),5321680.0)</f>
        <v>5321680</v>
      </c>
      <c r="H3728" s="27">
        <f>IFERROR(__xludf.DUMMYFUNCTION("""COMPUTED_VALUE"""),43878.64583333333)</f>
        <v>43878.64583</v>
      </c>
      <c r="I3728" s="25">
        <f>IFERROR(__xludf.DUMMYFUNCTION("""COMPUTED_VALUE"""),2196.95)</f>
        <v>2196.95</v>
      </c>
      <c r="J3728" s="25">
        <f>IFERROR(__xludf.DUMMYFUNCTION("""COMPUTED_VALUE"""),2217.0)</f>
        <v>2217</v>
      </c>
      <c r="K3728" s="25">
        <f>IFERROR(__xludf.DUMMYFUNCTION("""COMPUTED_VALUE"""),2190.2)</f>
        <v>2190.2</v>
      </c>
      <c r="L3728" s="25">
        <f>IFERROR(__xludf.DUMMYFUNCTION("""COMPUTED_VALUE"""),2203.25)</f>
        <v>2203.25</v>
      </c>
      <c r="M3728" s="25">
        <f>IFERROR(__xludf.DUMMYFUNCTION("""COMPUTED_VALUE"""),1774724.0)</f>
        <v>1774724</v>
      </c>
    </row>
    <row r="3729">
      <c r="A3729" s="26">
        <f>IFERROR(__xludf.DUMMYFUNCTION("""COMPUTED_VALUE"""),43878.64583333333)</f>
        <v>43878.64583</v>
      </c>
      <c r="B3729" s="9">
        <f>IFERROR(__xludf.DUMMYFUNCTION("""COMPUTED_VALUE"""),790.3)</f>
        <v>790.3</v>
      </c>
      <c r="C3729" s="9">
        <f>IFERROR(__xludf.DUMMYFUNCTION("""COMPUTED_VALUE"""),793.45)</f>
        <v>793.45</v>
      </c>
      <c r="D3729" s="9">
        <f>IFERROR(__xludf.DUMMYFUNCTION("""COMPUTED_VALUE"""),783.3)</f>
        <v>783.3</v>
      </c>
      <c r="E3729" s="9">
        <f>IFERROR(__xludf.DUMMYFUNCTION("""COMPUTED_VALUE"""),789.45)</f>
        <v>789.45</v>
      </c>
      <c r="F3729" s="9">
        <f>IFERROR(__xludf.DUMMYFUNCTION("""COMPUTED_VALUE"""),2929629.0)</f>
        <v>2929629</v>
      </c>
      <c r="H3729" s="27">
        <f>IFERROR(__xludf.DUMMYFUNCTION("""COMPUTED_VALUE"""),43879.64583333333)</f>
        <v>43879.64583</v>
      </c>
      <c r="I3729" s="25">
        <f>IFERROR(__xludf.DUMMYFUNCTION("""COMPUTED_VALUE"""),2199.95)</f>
        <v>2199.95</v>
      </c>
      <c r="J3729" s="25">
        <f>IFERROR(__xludf.DUMMYFUNCTION("""COMPUTED_VALUE"""),2221.0)</f>
        <v>2221</v>
      </c>
      <c r="K3729" s="25">
        <f>IFERROR(__xludf.DUMMYFUNCTION("""COMPUTED_VALUE"""),2186.05)</f>
        <v>2186.05</v>
      </c>
      <c r="L3729" s="25">
        <f>IFERROR(__xludf.DUMMYFUNCTION("""COMPUTED_VALUE"""),2215.75)</f>
        <v>2215.75</v>
      </c>
      <c r="M3729" s="25">
        <f>IFERROR(__xludf.DUMMYFUNCTION("""COMPUTED_VALUE"""),2486223.0)</f>
        <v>2486223</v>
      </c>
    </row>
    <row r="3730">
      <c r="A3730" s="26">
        <f>IFERROR(__xludf.DUMMYFUNCTION("""COMPUTED_VALUE"""),43879.64583333333)</f>
        <v>43879.64583</v>
      </c>
      <c r="B3730" s="9">
        <f>IFERROR(__xludf.DUMMYFUNCTION("""COMPUTED_VALUE"""),785.0)</f>
        <v>785</v>
      </c>
      <c r="C3730" s="9">
        <f>IFERROR(__xludf.DUMMYFUNCTION("""COMPUTED_VALUE"""),799.05)</f>
        <v>799.05</v>
      </c>
      <c r="D3730" s="9">
        <f>IFERROR(__xludf.DUMMYFUNCTION("""COMPUTED_VALUE"""),783.65)</f>
        <v>783.65</v>
      </c>
      <c r="E3730" s="9">
        <f>IFERROR(__xludf.DUMMYFUNCTION("""COMPUTED_VALUE"""),797.65)</f>
        <v>797.65</v>
      </c>
      <c r="F3730" s="9">
        <f>IFERROR(__xludf.DUMMYFUNCTION("""COMPUTED_VALUE"""),5083346.0)</f>
        <v>5083346</v>
      </c>
      <c r="H3730" s="27">
        <f>IFERROR(__xludf.DUMMYFUNCTION("""COMPUTED_VALUE"""),43880.64583333333)</f>
        <v>43880.64583</v>
      </c>
      <c r="I3730" s="25">
        <f>IFERROR(__xludf.DUMMYFUNCTION("""COMPUTED_VALUE"""),2215.75)</f>
        <v>2215.75</v>
      </c>
      <c r="J3730" s="25">
        <f>IFERROR(__xludf.DUMMYFUNCTION("""COMPUTED_VALUE"""),2230.0)</f>
        <v>2230</v>
      </c>
      <c r="K3730" s="25">
        <f>IFERROR(__xludf.DUMMYFUNCTION("""COMPUTED_VALUE"""),2190.5)</f>
        <v>2190.5</v>
      </c>
      <c r="L3730" s="25">
        <f>IFERROR(__xludf.DUMMYFUNCTION("""COMPUTED_VALUE"""),2196.35)</f>
        <v>2196.35</v>
      </c>
      <c r="M3730" s="25">
        <f>IFERROR(__xludf.DUMMYFUNCTION("""COMPUTED_VALUE"""),1760463.0)</f>
        <v>1760463</v>
      </c>
    </row>
    <row r="3731">
      <c r="A3731" s="26">
        <f>IFERROR(__xludf.DUMMYFUNCTION("""COMPUTED_VALUE"""),43880.64583333333)</f>
        <v>43880.64583</v>
      </c>
      <c r="B3731" s="9">
        <f>IFERROR(__xludf.DUMMYFUNCTION("""COMPUTED_VALUE"""),800.0)</f>
        <v>800</v>
      </c>
      <c r="C3731" s="9">
        <f>IFERROR(__xludf.DUMMYFUNCTION("""COMPUTED_VALUE"""),804.85)</f>
        <v>804.85</v>
      </c>
      <c r="D3731" s="9">
        <f>IFERROR(__xludf.DUMMYFUNCTION("""COMPUTED_VALUE"""),796.15)</f>
        <v>796.15</v>
      </c>
      <c r="E3731" s="9">
        <f>IFERROR(__xludf.DUMMYFUNCTION("""COMPUTED_VALUE"""),800.45)</f>
        <v>800.45</v>
      </c>
      <c r="F3731" s="9">
        <f>IFERROR(__xludf.DUMMYFUNCTION("""COMPUTED_VALUE"""),3985192.0)</f>
        <v>3985192</v>
      </c>
      <c r="H3731" s="27">
        <f>IFERROR(__xludf.DUMMYFUNCTION("""COMPUTED_VALUE"""),43881.64583333333)</f>
        <v>43881.64583</v>
      </c>
      <c r="I3731" s="25">
        <f>IFERROR(__xludf.DUMMYFUNCTION("""COMPUTED_VALUE"""),2204.5)</f>
        <v>2204.5</v>
      </c>
      <c r="J3731" s="25">
        <f>IFERROR(__xludf.DUMMYFUNCTION("""COMPUTED_VALUE"""),2214.4)</f>
        <v>2214.4</v>
      </c>
      <c r="K3731" s="25">
        <f>IFERROR(__xludf.DUMMYFUNCTION("""COMPUTED_VALUE"""),2151.25)</f>
        <v>2151.25</v>
      </c>
      <c r="L3731" s="25">
        <f>IFERROR(__xludf.DUMMYFUNCTION("""COMPUTED_VALUE"""),2156.8)</f>
        <v>2156.8</v>
      </c>
      <c r="M3731" s="25">
        <f>IFERROR(__xludf.DUMMYFUNCTION("""COMPUTED_VALUE"""),2317278.0)</f>
        <v>2317278</v>
      </c>
    </row>
    <row r="3732">
      <c r="A3732" s="26">
        <f>IFERROR(__xludf.DUMMYFUNCTION("""COMPUTED_VALUE"""),43881.64583333333)</f>
        <v>43881.64583</v>
      </c>
      <c r="B3732" s="9">
        <f>IFERROR(__xludf.DUMMYFUNCTION("""COMPUTED_VALUE"""),803.25)</f>
        <v>803.25</v>
      </c>
      <c r="C3732" s="9">
        <f>IFERROR(__xludf.DUMMYFUNCTION("""COMPUTED_VALUE"""),806.1)</f>
        <v>806.1</v>
      </c>
      <c r="D3732" s="9">
        <f>IFERROR(__xludf.DUMMYFUNCTION("""COMPUTED_VALUE"""),793.85)</f>
        <v>793.85</v>
      </c>
      <c r="E3732" s="9">
        <f>IFERROR(__xludf.DUMMYFUNCTION("""COMPUTED_VALUE"""),797.0)</f>
        <v>797</v>
      </c>
      <c r="F3732" s="9">
        <f>IFERROR(__xludf.DUMMYFUNCTION("""COMPUTED_VALUE"""),4564569.0)</f>
        <v>4564569</v>
      </c>
      <c r="H3732" s="27">
        <f>IFERROR(__xludf.DUMMYFUNCTION("""COMPUTED_VALUE"""),43885.64583333333)</f>
        <v>43885.64583</v>
      </c>
      <c r="I3732" s="25">
        <f>IFERROR(__xludf.DUMMYFUNCTION("""COMPUTED_VALUE"""),2156.0)</f>
        <v>2156</v>
      </c>
      <c r="J3732" s="25">
        <f>IFERROR(__xludf.DUMMYFUNCTION("""COMPUTED_VALUE"""),2178.95)</f>
        <v>2178.95</v>
      </c>
      <c r="K3732" s="25">
        <f>IFERROR(__xludf.DUMMYFUNCTION("""COMPUTED_VALUE"""),2106.7)</f>
        <v>2106.7</v>
      </c>
      <c r="L3732" s="25">
        <f>IFERROR(__xludf.DUMMYFUNCTION("""COMPUTED_VALUE"""),2115.35)</f>
        <v>2115.35</v>
      </c>
      <c r="M3732" s="25">
        <f>IFERROR(__xludf.DUMMYFUNCTION("""COMPUTED_VALUE"""),3092877.0)</f>
        <v>3092877</v>
      </c>
    </row>
    <row r="3733">
      <c r="A3733" s="26">
        <f>IFERROR(__xludf.DUMMYFUNCTION("""COMPUTED_VALUE"""),43885.64583333333)</f>
        <v>43885.64583</v>
      </c>
      <c r="B3733" s="9">
        <f>IFERROR(__xludf.DUMMYFUNCTION("""COMPUTED_VALUE"""),800.1)</f>
        <v>800.1</v>
      </c>
      <c r="C3733" s="9">
        <f>IFERROR(__xludf.DUMMYFUNCTION("""COMPUTED_VALUE"""),811.6)</f>
        <v>811.6</v>
      </c>
      <c r="D3733" s="9">
        <f>IFERROR(__xludf.DUMMYFUNCTION("""COMPUTED_VALUE"""),792.15)</f>
        <v>792.15</v>
      </c>
      <c r="E3733" s="9">
        <f>IFERROR(__xludf.DUMMYFUNCTION("""COMPUTED_VALUE"""),795.85)</f>
        <v>795.85</v>
      </c>
      <c r="F3733" s="9">
        <f>IFERROR(__xludf.DUMMYFUNCTION("""COMPUTED_VALUE"""),6627536.0)</f>
        <v>6627536</v>
      </c>
      <c r="H3733" s="27">
        <f>IFERROR(__xludf.DUMMYFUNCTION("""COMPUTED_VALUE"""),43886.64583333333)</f>
        <v>43886.64583</v>
      </c>
      <c r="I3733" s="25">
        <f>IFERROR(__xludf.DUMMYFUNCTION("""COMPUTED_VALUE"""),2115.5)</f>
        <v>2115.5</v>
      </c>
      <c r="J3733" s="25">
        <f>IFERROR(__xludf.DUMMYFUNCTION("""COMPUTED_VALUE"""),2176.65)</f>
        <v>2176.65</v>
      </c>
      <c r="K3733" s="25">
        <f>IFERROR(__xludf.DUMMYFUNCTION("""COMPUTED_VALUE"""),2111.0)</f>
        <v>2111</v>
      </c>
      <c r="L3733" s="25">
        <f>IFERROR(__xludf.DUMMYFUNCTION("""COMPUTED_VALUE"""),2156.15)</f>
        <v>2156.15</v>
      </c>
      <c r="M3733" s="25">
        <f>IFERROR(__xludf.DUMMYFUNCTION("""COMPUTED_VALUE"""),2674567.0)</f>
        <v>2674567</v>
      </c>
    </row>
    <row r="3734">
      <c r="A3734" s="26">
        <f>IFERROR(__xludf.DUMMYFUNCTION("""COMPUTED_VALUE"""),43886.64583333333)</f>
        <v>43886.64583</v>
      </c>
      <c r="B3734" s="9">
        <f>IFERROR(__xludf.DUMMYFUNCTION("""COMPUTED_VALUE"""),799.0)</f>
        <v>799</v>
      </c>
      <c r="C3734" s="9">
        <f>IFERROR(__xludf.DUMMYFUNCTION("""COMPUTED_VALUE"""),806.0)</f>
        <v>806</v>
      </c>
      <c r="D3734" s="9">
        <f>IFERROR(__xludf.DUMMYFUNCTION("""COMPUTED_VALUE"""),795.4)</f>
        <v>795.4</v>
      </c>
      <c r="E3734" s="9">
        <f>IFERROR(__xludf.DUMMYFUNCTION("""COMPUTED_VALUE"""),798.4)</f>
        <v>798.4</v>
      </c>
      <c r="F3734" s="9">
        <f>IFERROR(__xludf.DUMMYFUNCTION("""COMPUTED_VALUE"""),6996695.0)</f>
        <v>6996695</v>
      </c>
      <c r="H3734" s="27">
        <f>IFERROR(__xludf.DUMMYFUNCTION("""COMPUTED_VALUE"""),43887.64583333333)</f>
        <v>43887.64583</v>
      </c>
      <c r="I3734" s="25">
        <f>IFERROR(__xludf.DUMMYFUNCTION("""COMPUTED_VALUE"""),2154.0)</f>
        <v>2154</v>
      </c>
      <c r="J3734" s="25">
        <f>IFERROR(__xludf.DUMMYFUNCTION("""COMPUTED_VALUE"""),2163.9)</f>
        <v>2163.9</v>
      </c>
      <c r="K3734" s="25">
        <f>IFERROR(__xludf.DUMMYFUNCTION("""COMPUTED_VALUE"""),2112.95)</f>
        <v>2112.95</v>
      </c>
      <c r="L3734" s="25">
        <f>IFERROR(__xludf.DUMMYFUNCTION("""COMPUTED_VALUE"""),2123.6)</f>
        <v>2123.6</v>
      </c>
      <c r="M3734" s="25">
        <f>IFERROR(__xludf.DUMMYFUNCTION("""COMPUTED_VALUE"""),2686842.0)</f>
        <v>2686842</v>
      </c>
    </row>
    <row r="3735">
      <c r="A3735" s="26">
        <f>IFERROR(__xludf.DUMMYFUNCTION("""COMPUTED_VALUE"""),43887.64583333333)</f>
        <v>43887.64583</v>
      </c>
      <c r="B3735" s="9">
        <f>IFERROR(__xludf.DUMMYFUNCTION("""COMPUTED_VALUE"""),793.95)</f>
        <v>793.95</v>
      </c>
      <c r="C3735" s="9">
        <f>IFERROR(__xludf.DUMMYFUNCTION("""COMPUTED_VALUE"""),801.45)</f>
        <v>801.45</v>
      </c>
      <c r="D3735" s="9">
        <f>IFERROR(__xludf.DUMMYFUNCTION("""COMPUTED_VALUE"""),780.5)</f>
        <v>780.5</v>
      </c>
      <c r="E3735" s="9">
        <f>IFERROR(__xludf.DUMMYFUNCTION("""COMPUTED_VALUE"""),782.75)</f>
        <v>782.75</v>
      </c>
      <c r="F3735" s="9">
        <f>IFERROR(__xludf.DUMMYFUNCTION("""COMPUTED_VALUE"""),8760569.0)</f>
        <v>8760569</v>
      </c>
      <c r="H3735" s="27">
        <f>IFERROR(__xludf.DUMMYFUNCTION("""COMPUTED_VALUE"""),43888.64583333333)</f>
        <v>43888.64583</v>
      </c>
      <c r="I3735" s="25">
        <f>IFERROR(__xludf.DUMMYFUNCTION("""COMPUTED_VALUE"""),2119.95)</f>
        <v>2119.95</v>
      </c>
      <c r="J3735" s="25">
        <f>IFERROR(__xludf.DUMMYFUNCTION("""COMPUTED_VALUE"""),2119.95)</f>
        <v>2119.95</v>
      </c>
      <c r="K3735" s="25">
        <f>IFERROR(__xludf.DUMMYFUNCTION("""COMPUTED_VALUE"""),2086.2)</f>
        <v>2086.2</v>
      </c>
      <c r="L3735" s="25">
        <f>IFERROR(__xludf.DUMMYFUNCTION("""COMPUTED_VALUE"""),2105.5)</f>
        <v>2105.5</v>
      </c>
      <c r="M3735" s="25">
        <f>IFERROR(__xludf.DUMMYFUNCTION("""COMPUTED_VALUE"""),2349001.0)</f>
        <v>2349001</v>
      </c>
    </row>
    <row r="3736">
      <c r="A3736" s="26">
        <f>IFERROR(__xludf.DUMMYFUNCTION("""COMPUTED_VALUE"""),43888.64583333333)</f>
        <v>43888.64583</v>
      </c>
      <c r="B3736" s="9">
        <f>IFERROR(__xludf.DUMMYFUNCTION("""COMPUTED_VALUE"""),778.0)</f>
        <v>778</v>
      </c>
      <c r="C3736" s="9">
        <f>IFERROR(__xludf.DUMMYFUNCTION("""COMPUTED_VALUE"""),780.75)</f>
        <v>780.75</v>
      </c>
      <c r="D3736" s="9">
        <f>IFERROR(__xludf.DUMMYFUNCTION("""COMPUTED_VALUE"""),772.2)</f>
        <v>772.2</v>
      </c>
      <c r="E3736" s="9">
        <f>IFERROR(__xludf.DUMMYFUNCTION("""COMPUTED_VALUE"""),777.85)</f>
        <v>777.85</v>
      </c>
      <c r="F3736" s="9">
        <f>IFERROR(__xludf.DUMMYFUNCTION("""COMPUTED_VALUE"""),5223386.0)</f>
        <v>5223386</v>
      </c>
      <c r="H3736" s="27">
        <f>IFERROR(__xludf.DUMMYFUNCTION("""COMPUTED_VALUE"""),43889.64583333333)</f>
        <v>43889.64583</v>
      </c>
      <c r="I3736" s="25">
        <f>IFERROR(__xludf.DUMMYFUNCTION("""COMPUTED_VALUE"""),2068.0)</f>
        <v>2068</v>
      </c>
      <c r="J3736" s="25">
        <f>IFERROR(__xludf.DUMMYFUNCTION("""COMPUTED_VALUE"""),2069.5)</f>
        <v>2069.5</v>
      </c>
      <c r="K3736" s="25">
        <f>IFERROR(__xludf.DUMMYFUNCTION("""COMPUTED_VALUE"""),1990.0)</f>
        <v>1990</v>
      </c>
      <c r="L3736" s="25">
        <f>IFERROR(__xludf.DUMMYFUNCTION("""COMPUTED_VALUE"""),2000.15)</f>
        <v>2000.15</v>
      </c>
      <c r="M3736" s="25">
        <f>IFERROR(__xludf.DUMMYFUNCTION("""COMPUTED_VALUE"""),4298076.0)</f>
        <v>4298076</v>
      </c>
    </row>
    <row r="3737">
      <c r="A3737" s="26">
        <f>IFERROR(__xludf.DUMMYFUNCTION("""COMPUTED_VALUE"""),43889.64583333333)</f>
        <v>43889.64583</v>
      </c>
      <c r="B3737" s="9">
        <f>IFERROR(__xludf.DUMMYFUNCTION("""COMPUTED_VALUE"""),750.0)</f>
        <v>750</v>
      </c>
      <c r="C3737" s="9">
        <f>IFERROR(__xludf.DUMMYFUNCTION("""COMPUTED_VALUE"""),756.8)</f>
        <v>756.8</v>
      </c>
      <c r="D3737" s="9">
        <f>IFERROR(__xludf.DUMMYFUNCTION("""COMPUTED_VALUE"""),722.05)</f>
        <v>722.05</v>
      </c>
      <c r="E3737" s="9">
        <f>IFERROR(__xludf.DUMMYFUNCTION("""COMPUTED_VALUE"""),731.7)</f>
        <v>731.7</v>
      </c>
      <c r="F3737" s="9">
        <f>IFERROR(__xludf.DUMMYFUNCTION("""COMPUTED_VALUE"""),1.4123957E7)</f>
        <v>14123957</v>
      </c>
      <c r="H3737" s="27">
        <f>IFERROR(__xludf.DUMMYFUNCTION("""COMPUTED_VALUE"""),43892.64583333333)</f>
        <v>43892.64583</v>
      </c>
      <c r="I3737" s="25">
        <f>IFERROR(__xludf.DUMMYFUNCTION("""COMPUTED_VALUE"""),2035.0)</f>
        <v>2035</v>
      </c>
      <c r="J3737" s="25">
        <f>IFERROR(__xludf.DUMMYFUNCTION("""COMPUTED_VALUE"""),2053.95)</f>
        <v>2053.95</v>
      </c>
      <c r="K3737" s="25">
        <f>IFERROR(__xludf.DUMMYFUNCTION("""COMPUTED_VALUE"""),1985.7)</f>
        <v>1985.7</v>
      </c>
      <c r="L3737" s="25">
        <f>IFERROR(__xludf.DUMMYFUNCTION("""COMPUTED_VALUE"""),2001.3)</f>
        <v>2001.3</v>
      </c>
      <c r="M3737" s="25">
        <f>IFERROR(__xludf.DUMMYFUNCTION("""COMPUTED_VALUE"""),2667076.0)</f>
        <v>2667076</v>
      </c>
    </row>
    <row r="3738">
      <c r="A3738" s="26">
        <f>IFERROR(__xludf.DUMMYFUNCTION("""COMPUTED_VALUE"""),43892.64583333333)</f>
        <v>43892.64583</v>
      </c>
      <c r="B3738" s="9">
        <f>IFERROR(__xludf.DUMMYFUNCTION("""COMPUTED_VALUE"""),737.0)</f>
        <v>737</v>
      </c>
      <c r="C3738" s="9">
        <f>IFERROR(__xludf.DUMMYFUNCTION("""COMPUTED_VALUE"""),765.9)</f>
        <v>765.9</v>
      </c>
      <c r="D3738" s="9">
        <f>IFERROR(__xludf.DUMMYFUNCTION("""COMPUTED_VALUE"""),733.75)</f>
        <v>733.75</v>
      </c>
      <c r="E3738" s="9">
        <f>IFERROR(__xludf.DUMMYFUNCTION("""COMPUTED_VALUE"""),741.05)</f>
        <v>741.05</v>
      </c>
      <c r="F3738" s="9">
        <f>IFERROR(__xludf.DUMMYFUNCTION("""COMPUTED_VALUE"""),9821523.0)</f>
        <v>9821523</v>
      </c>
      <c r="H3738" s="27">
        <f>IFERROR(__xludf.DUMMYFUNCTION("""COMPUTED_VALUE"""),43893.64583333333)</f>
        <v>43893.64583</v>
      </c>
      <c r="I3738" s="25">
        <f>IFERROR(__xludf.DUMMYFUNCTION("""COMPUTED_VALUE"""),2020.0)</f>
        <v>2020</v>
      </c>
      <c r="J3738" s="25">
        <f>IFERROR(__xludf.DUMMYFUNCTION("""COMPUTED_VALUE"""),2060.0)</f>
        <v>2060</v>
      </c>
      <c r="K3738" s="25">
        <f>IFERROR(__xludf.DUMMYFUNCTION("""COMPUTED_VALUE"""),2012.0)</f>
        <v>2012</v>
      </c>
      <c r="L3738" s="25">
        <f>IFERROR(__xludf.DUMMYFUNCTION("""COMPUTED_VALUE"""),2036.2)</f>
        <v>2036.2</v>
      </c>
      <c r="M3738" s="25">
        <f>IFERROR(__xludf.DUMMYFUNCTION("""COMPUTED_VALUE"""),2757585.0)</f>
        <v>2757585</v>
      </c>
    </row>
    <row r="3739">
      <c r="A3739" s="26">
        <f>IFERROR(__xludf.DUMMYFUNCTION("""COMPUTED_VALUE"""),43893.64583333333)</f>
        <v>43893.64583</v>
      </c>
      <c r="B3739" s="9">
        <f>IFERROR(__xludf.DUMMYFUNCTION("""COMPUTED_VALUE"""),755.0)</f>
        <v>755</v>
      </c>
      <c r="C3739" s="9">
        <f>IFERROR(__xludf.DUMMYFUNCTION("""COMPUTED_VALUE"""),759.0)</f>
        <v>759</v>
      </c>
      <c r="D3739" s="9">
        <f>IFERROR(__xludf.DUMMYFUNCTION("""COMPUTED_VALUE"""),741.25)</f>
        <v>741.25</v>
      </c>
      <c r="E3739" s="9">
        <f>IFERROR(__xludf.DUMMYFUNCTION("""COMPUTED_VALUE"""),747.0)</f>
        <v>747</v>
      </c>
      <c r="F3739" s="9">
        <f>IFERROR(__xludf.DUMMYFUNCTION("""COMPUTED_VALUE"""),7826587.0)</f>
        <v>7826587</v>
      </c>
      <c r="H3739" s="27">
        <f>IFERROR(__xludf.DUMMYFUNCTION("""COMPUTED_VALUE"""),43894.64583333333)</f>
        <v>43894.64583</v>
      </c>
      <c r="I3739" s="25">
        <f>IFERROR(__xludf.DUMMYFUNCTION("""COMPUTED_VALUE"""),2056.0)</f>
        <v>2056</v>
      </c>
      <c r="J3739" s="25">
        <f>IFERROR(__xludf.DUMMYFUNCTION("""COMPUTED_VALUE"""),2094.45)</f>
        <v>2094.45</v>
      </c>
      <c r="K3739" s="25">
        <f>IFERROR(__xludf.DUMMYFUNCTION("""COMPUTED_VALUE"""),2025.0)</f>
        <v>2025</v>
      </c>
      <c r="L3739" s="25">
        <f>IFERROR(__xludf.DUMMYFUNCTION("""COMPUTED_VALUE"""),2083.2)</f>
        <v>2083.2</v>
      </c>
      <c r="M3739" s="25">
        <f>IFERROR(__xludf.DUMMYFUNCTION("""COMPUTED_VALUE"""),3237002.0)</f>
        <v>3237002</v>
      </c>
    </row>
    <row r="3740">
      <c r="A3740" s="26">
        <f>IFERROR(__xludf.DUMMYFUNCTION("""COMPUTED_VALUE"""),43894.64583333333)</f>
        <v>43894.64583</v>
      </c>
      <c r="B3740" s="9">
        <f>IFERROR(__xludf.DUMMYFUNCTION("""COMPUTED_VALUE"""),753.9)</f>
        <v>753.9</v>
      </c>
      <c r="C3740" s="9">
        <f>IFERROR(__xludf.DUMMYFUNCTION("""COMPUTED_VALUE"""),761.5)</f>
        <v>761.5</v>
      </c>
      <c r="D3740" s="9">
        <f>IFERROR(__xludf.DUMMYFUNCTION("""COMPUTED_VALUE"""),745.55)</f>
        <v>745.55</v>
      </c>
      <c r="E3740" s="9">
        <f>IFERROR(__xludf.DUMMYFUNCTION("""COMPUTED_VALUE"""),758.75)</f>
        <v>758.75</v>
      </c>
      <c r="F3740" s="9">
        <f>IFERROR(__xludf.DUMMYFUNCTION("""COMPUTED_VALUE"""),1.1013444E7)</f>
        <v>11013444</v>
      </c>
      <c r="H3740" s="27">
        <f>IFERROR(__xludf.DUMMYFUNCTION("""COMPUTED_VALUE"""),43895.64583333333)</f>
        <v>43895.64583</v>
      </c>
      <c r="I3740" s="25">
        <f>IFERROR(__xludf.DUMMYFUNCTION("""COMPUTED_VALUE"""),2085.7)</f>
        <v>2085.7</v>
      </c>
      <c r="J3740" s="25">
        <f>IFERROR(__xludf.DUMMYFUNCTION("""COMPUTED_VALUE"""),2147.75)</f>
        <v>2147.75</v>
      </c>
      <c r="K3740" s="25">
        <f>IFERROR(__xludf.DUMMYFUNCTION("""COMPUTED_VALUE"""),2084.05)</f>
        <v>2084.05</v>
      </c>
      <c r="L3740" s="25">
        <f>IFERROR(__xludf.DUMMYFUNCTION("""COMPUTED_VALUE"""),2125.05)</f>
        <v>2125.05</v>
      </c>
      <c r="M3740" s="25">
        <f>IFERROR(__xludf.DUMMYFUNCTION("""COMPUTED_VALUE"""),3937056.0)</f>
        <v>3937056</v>
      </c>
    </row>
    <row r="3741">
      <c r="A3741" s="26">
        <f>IFERROR(__xludf.DUMMYFUNCTION("""COMPUTED_VALUE"""),43895.64583333333)</f>
        <v>43895.64583</v>
      </c>
      <c r="B3741" s="9">
        <f>IFERROR(__xludf.DUMMYFUNCTION("""COMPUTED_VALUE"""),763.75)</f>
        <v>763.75</v>
      </c>
      <c r="C3741" s="9">
        <f>IFERROR(__xludf.DUMMYFUNCTION("""COMPUTED_VALUE"""),773.55)</f>
        <v>773.55</v>
      </c>
      <c r="D3741" s="9">
        <f>IFERROR(__xludf.DUMMYFUNCTION("""COMPUTED_VALUE"""),751.75)</f>
        <v>751.75</v>
      </c>
      <c r="E3741" s="9">
        <f>IFERROR(__xludf.DUMMYFUNCTION("""COMPUTED_VALUE"""),754.6)</f>
        <v>754.6</v>
      </c>
      <c r="F3741" s="9">
        <f>IFERROR(__xludf.DUMMYFUNCTION("""COMPUTED_VALUE"""),7755293.0)</f>
        <v>7755293</v>
      </c>
      <c r="H3741" s="27">
        <f>IFERROR(__xludf.DUMMYFUNCTION("""COMPUTED_VALUE"""),43896.64583333333)</f>
        <v>43896.64583</v>
      </c>
      <c r="I3741" s="25">
        <f>IFERROR(__xludf.DUMMYFUNCTION("""COMPUTED_VALUE"""),2098.0)</f>
        <v>2098</v>
      </c>
      <c r="J3741" s="25">
        <f>IFERROR(__xludf.DUMMYFUNCTION("""COMPUTED_VALUE"""),2123.65)</f>
        <v>2123.65</v>
      </c>
      <c r="K3741" s="25">
        <f>IFERROR(__xludf.DUMMYFUNCTION("""COMPUTED_VALUE"""),2071.6)</f>
        <v>2071.6</v>
      </c>
      <c r="L3741" s="25">
        <f>IFERROR(__xludf.DUMMYFUNCTION("""COMPUTED_VALUE"""),2116.45)</f>
        <v>2116.45</v>
      </c>
      <c r="M3741" s="25">
        <f>IFERROR(__xludf.DUMMYFUNCTION("""COMPUTED_VALUE"""),2595027.0)</f>
        <v>2595027</v>
      </c>
    </row>
    <row r="3742">
      <c r="A3742" s="26">
        <f>IFERROR(__xludf.DUMMYFUNCTION("""COMPUTED_VALUE"""),43896.64583333333)</f>
        <v>43896.64583</v>
      </c>
      <c r="B3742" s="9">
        <f>IFERROR(__xludf.DUMMYFUNCTION("""COMPUTED_VALUE"""),741.0)</f>
        <v>741</v>
      </c>
      <c r="C3742" s="9">
        <f>IFERROR(__xludf.DUMMYFUNCTION("""COMPUTED_VALUE"""),744.0)</f>
        <v>744</v>
      </c>
      <c r="D3742" s="9">
        <f>IFERROR(__xludf.DUMMYFUNCTION("""COMPUTED_VALUE"""),729.1)</f>
        <v>729.1</v>
      </c>
      <c r="E3742" s="9">
        <f>IFERROR(__xludf.DUMMYFUNCTION("""COMPUTED_VALUE"""),738.95)</f>
        <v>738.95</v>
      </c>
      <c r="F3742" s="9">
        <f>IFERROR(__xludf.DUMMYFUNCTION("""COMPUTED_VALUE"""),9216022.0)</f>
        <v>9216022</v>
      </c>
      <c r="H3742" s="27">
        <f>IFERROR(__xludf.DUMMYFUNCTION("""COMPUTED_VALUE"""),43899.64583333333)</f>
        <v>43899.64583</v>
      </c>
      <c r="I3742" s="25">
        <f>IFERROR(__xludf.DUMMYFUNCTION("""COMPUTED_VALUE"""),2075.0)</f>
        <v>2075</v>
      </c>
      <c r="J3742" s="25">
        <f>IFERROR(__xludf.DUMMYFUNCTION("""COMPUTED_VALUE"""),2079.9)</f>
        <v>2079.9</v>
      </c>
      <c r="K3742" s="25">
        <f>IFERROR(__xludf.DUMMYFUNCTION("""COMPUTED_VALUE"""),1935.0)</f>
        <v>1935</v>
      </c>
      <c r="L3742" s="25">
        <f>IFERROR(__xludf.DUMMYFUNCTION("""COMPUTED_VALUE"""),1972.35)</f>
        <v>1972.35</v>
      </c>
      <c r="M3742" s="25">
        <f>IFERROR(__xludf.DUMMYFUNCTION("""COMPUTED_VALUE"""),4940982.0)</f>
        <v>4940982</v>
      </c>
    </row>
    <row r="3743">
      <c r="A3743" s="26">
        <f>IFERROR(__xludf.DUMMYFUNCTION("""COMPUTED_VALUE"""),43899.64583333333)</f>
        <v>43899.64583</v>
      </c>
      <c r="B3743" s="9">
        <f>IFERROR(__xludf.DUMMYFUNCTION("""COMPUTED_VALUE"""),724.5)</f>
        <v>724.5</v>
      </c>
      <c r="C3743" s="9">
        <f>IFERROR(__xludf.DUMMYFUNCTION("""COMPUTED_VALUE"""),725.85)</f>
        <v>725.85</v>
      </c>
      <c r="D3743" s="9">
        <f>IFERROR(__xludf.DUMMYFUNCTION("""COMPUTED_VALUE"""),697.0)</f>
        <v>697</v>
      </c>
      <c r="E3743" s="9">
        <f>IFERROR(__xludf.DUMMYFUNCTION("""COMPUTED_VALUE"""),704.45)</f>
        <v>704.45</v>
      </c>
      <c r="F3743" s="9">
        <f>IFERROR(__xludf.DUMMYFUNCTION("""COMPUTED_VALUE"""),1.0308697E7)</f>
        <v>10308697</v>
      </c>
      <c r="H3743" s="27">
        <f>IFERROR(__xludf.DUMMYFUNCTION("""COMPUTED_VALUE"""),43901.64583333333)</f>
        <v>43901.64583</v>
      </c>
      <c r="I3743" s="25">
        <f>IFERROR(__xludf.DUMMYFUNCTION("""COMPUTED_VALUE"""),1933.0)</f>
        <v>1933</v>
      </c>
      <c r="J3743" s="25">
        <f>IFERROR(__xludf.DUMMYFUNCTION("""COMPUTED_VALUE"""),1987.3)</f>
        <v>1987.3</v>
      </c>
      <c r="K3743" s="25">
        <f>IFERROR(__xludf.DUMMYFUNCTION("""COMPUTED_VALUE"""),1920.0)</f>
        <v>1920</v>
      </c>
      <c r="L3743" s="25">
        <f>IFERROR(__xludf.DUMMYFUNCTION("""COMPUTED_VALUE"""),1953.7)</f>
        <v>1953.7</v>
      </c>
      <c r="M3743" s="25">
        <f>IFERROR(__xludf.DUMMYFUNCTION("""COMPUTED_VALUE"""),6796752.0)</f>
        <v>6796752</v>
      </c>
    </row>
    <row r="3744">
      <c r="A3744" s="26">
        <f>IFERROR(__xludf.DUMMYFUNCTION("""COMPUTED_VALUE"""),43901.64583333333)</f>
        <v>43901.64583</v>
      </c>
      <c r="B3744" s="9">
        <f>IFERROR(__xludf.DUMMYFUNCTION("""COMPUTED_VALUE"""),690.65)</f>
        <v>690.65</v>
      </c>
      <c r="C3744" s="9">
        <f>IFERROR(__xludf.DUMMYFUNCTION("""COMPUTED_VALUE"""),695.95)</f>
        <v>695.95</v>
      </c>
      <c r="D3744" s="9">
        <f>IFERROR(__xludf.DUMMYFUNCTION("""COMPUTED_VALUE"""),669.05)</f>
        <v>669.05</v>
      </c>
      <c r="E3744" s="9">
        <f>IFERROR(__xludf.DUMMYFUNCTION("""COMPUTED_VALUE"""),686.0)</f>
        <v>686</v>
      </c>
      <c r="F3744" s="9">
        <f>IFERROR(__xludf.DUMMYFUNCTION("""COMPUTED_VALUE"""),1.6165054E7)</f>
        <v>16165054</v>
      </c>
      <c r="H3744" s="27">
        <f>IFERROR(__xludf.DUMMYFUNCTION("""COMPUTED_VALUE"""),43902.64583333333)</f>
        <v>43902.64583</v>
      </c>
      <c r="I3744" s="25">
        <f>IFERROR(__xludf.DUMMYFUNCTION("""COMPUTED_VALUE"""),1904.0)</f>
        <v>1904</v>
      </c>
      <c r="J3744" s="25">
        <f>IFERROR(__xludf.DUMMYFUNCTION("""COMPUTED_VALUE"""),1908.4)</f>
        <v>1908.4</v>
      </c>
      <c r="K3744" s="25">
        <f>IFERROR(__xludf.DUMMYFUNCTION("""COMPUTED_VALUE"""),1758.35)</f>
        <v>1758.35</v>
      </c>
      <c r="L3744" s="25">
        <f>IFERROR(__xludf.DUMMYFUNCTION("""COMPUTED_VALUE"""),1769.85)</f>
        <v>1769.85</v>
      </c>
      <c r="M3744" s="25">
        <f>IFERROR(__xludf.DUMMYFUNCTION("""COMPUTED_VALUE"""),8728972.0)</f>
        <v>8728972</v>
      </c>
    </row>
    <row r="3745">
      <c r="A3745" s="26">
        <f>IFERROR(__xludf.DUMMYFUNCTION("""COMPUTED_VALUE"""),43902.64583333333)</f>
        <v>43902.64583</v>
      </c>
      <c r="B3745" s="9">
        <f>IFERROR(__xludf.DUMMYFUNCTION("""COMPUTED_VALUE"""),668.0)</f>
        <v>668</v>
      </c>
      <c r="C3745" s="9">
        <f>IFERROR(__xludf.DUMMYFUNCTION("""COMPUTED_VALUE"""),670.0)</f>
        <v>670</v>
      </c>
      <c r="D3745" s="9">
        <f>IFERROR(__xludf.DUMMYFUNCTION("""COMPUTED_VALUE"""),627.5)</f>
        <v>627.5</v>
      </c>
      <c r="E3745" s="9">
        <f>IFERROR(__xludf.DUMMYFUNCTION("""COMPUTED_VALUE"""),631.2)</f>
        <v>631.2</v>
      </c>
      <c r="F3745" s="9">
        <f>IFERROR(__xludf.DUMMYFUNCTION("""COMPUTED_VALUE"""),1.3965689E7)</f>
        <v>13965689</v>
      </c>
      <c r="H3745" s="27">
        <f>IFERROR(__xludf.DUMMYFUNCTION("""COMPUTED_VALUE"""),43903.64583333333)</f>
        <v>43903.64583</v>
      </c>
      <c r="I3745" s="25">
        <f>IFERROR(__xludf.DUMMYFUNCTION("""COMPUTED_VALUE"""),1687.9)</f>
        <v>1687.9</v>
      </c>
      <c r="J3745" s="25">
        <f>IFERROR(__xludf.DUMMYFUNCTION("""COMPUTED_VALUE"""),1820.0)</f>
        <v>1820</v>
      </c>
      <c r="K3745" s="25">
        <f>IFERROR(__xludf.DUMMYFUNCTION("""COMPUTED_VALUE"""),1506.05)</f>
        <v>1506.05</v>
      </c>
      <c r="L3745" s="25">
        <f>IFERROR(__xludf.DUMMYFUNCTION("""COMPUTED_VALUE"""),1806.3)</f>
        <v>1806.3</v>
      </c>
      <c r="M3745" s="25">
        <f>IFERROR(__xludf.DUMMYFUNCTION("""COMPUTED_VALUE"""),8029725.0)</f>
        <v>8029725</v>
      </c>
    </row>
    <row r="3746">
      <c r="A3746" s="26">
        <f>IFERROR(__xludf.DUMMYFUNCTION("""COMPUTED_VALUE"""),43903.64583333333)</f>
        <v>43903.64583</v>
      </c>
      <c r="B3746" s="9">
        <f>IFERROR(__xludf.DUMMYFUNCTION("""COMPUTED_VALUE"""),592.0)</f>
        <v>592</v>
      </c>
      <c r="C3746" s="9">
        <f>IFERROR(__xludf.DUMMYFUNCTION("""COMPUTED_VALUE"""),667.0)</f>
        <v>667</v>
      </c>
      <c r="D3746" s="9">
        <f>IFERROR(__xludf.DUMMYFUNCTION("""COMPUTED_VALUE"""),570.0)</f>
        <v>570</v>
      </c>
      <c r="E3746" s="9">
        <f>IFERROR(__xludf.DUMMYFUNCTION("""COMPUTED_VALUE"""),642.35)</f>
        <v>642.35</v>
      </c>
      <c r="F3746" s="9">
        <f>IFERROR(__xludf.DUMMYFUNCTION("""COMPUTED_VALUE"""),1.690314E7)</f>
        <v>16903140</v>
      </c>
      <c r="H3746" s="27">
        <f>IFERROR(__xludf.DUMMYFUNCTION("""COMPUTED_VALUE"""),43906.64583333333)</f>
        <v>43906.64583</v>
      </c>
      <c r="I3746" s="25">
        <f>IFERROR(__xludf.DUMMYFUNCTION("""COMPUTED_VALUE"""),1755.0)</f>
        <v>1755</v>
      </c>
      <c r="J3746" s="25">
        <f>IFERROR(__xludf.DUMMYFUNCTION("""COMPUTED_VALUE"""),1842.25)</f>
        <v>1842.25</v>
      </c>
      <c r="K3746" s="25">
        <f>IFERROR(__xludf.DUMMYFUNCTION("""COMPUTED_VALUE"""),1675.85)</f>
        <v>1675.85</v>
      </c>
      <c r="L3746" s="25">
        <f>IFERROR(__xludf.DUMMYFUNCTION("""COMPUTED_VALUE"""),1696.4)</f>
        <v>1696.4</v>
      </c>
      <c r="M3746" s="25">
        <f>IFERROR(__xludf.DUMMYFUNCTION("""COMPUTED_VALUE"""),7844420.0)</f>
        <v>7844420</v>
      </c>
    </row>
    <row r="3747">
      <c r="A3747" s="26">
        <f>IFERROR(__xludf.DUMMYFUNCTION("""COMPUTED_VALUE"""),43906.64583333333)</f>
        <v>43906.64583</v>
      </c>
      <c r="B3747" s="9">
        <f>IFERROR(__xludf.DUMMYFUNCTION("""COMPUTED_VALUE"""),622.0)</f>
        <v>622</v>
      </c>
      <c r="C3747" s="9">
        <f>IFERROR(__xludf.DUMMYFUNCTION("""COMPUTED_VALUE"""),622.15)</f>
        <v>622.15</v>
      </c>
      <c r="D3747" s="9">
        <f>IFERROR(__xludf.DUMMYFUNCTION("""COMPUTED_VALUE"""),580.0)</f>
        <v>580</v>
      </c>
      <c r="E3747" s="9">
        <f>IFERROR(__xludf.DUMMYFUNCTION("""COMPUTED_VALUE"""),583.15)</f>
        <v>583.15</v>
      </c>
      <c r="F3747" s="9">
        <f>IFERROR(__xludf.DUMMYFUNCTION("""COMPUTED_VALUE"""),1.9140854E7)</f>
        <v>19140854</v>
      </c>
      <c r="H3747" s="27">
        <f>IFERROR(__xludf.DUMMYFUNCTION("""COMPUTED_VALUE"""),43907.64583333333)</f>
        <v>43907.64583</v>
      </c>
      <c r="I3747" s="25">
        <f>IFERROR(__xludf.DUMMYFUNCTION("""COMPUTED_VALUE"""),1730.0)</f>
        <v>1730</v>
      </c>
      <c r="J3747" s="25">
        <f>IFERROR(__xludf.DUMMYFUNCTION("""COMPUTED_VALUE"""),1731.0)</f>
        <v>1731</v>
      </c>
      <c r="K3747" s="25">
        <f>IFERROR(__xludf.DUMMYFUNCTION("""COMPUTED_VALUE"""),1623.15)</f>
        <v>1623.15</v>
      </c>
      <c r="L3747" s="25">
        <f>IFERROR(__xludf.DUMMYFUNCTION("""COMPUTED_VALUE"""),1658.0)</f>
        <v>1658</v>
      </c>
      <c r="M3747" s="25">
        <f>IFERROR(__xludf.DUMMYFUNCTION("""COMPUTED_VALUE"""),5713269.0)</f>
        <v>5713269</v>
      </c>
    </row>
    <row r="3748">
      <c r="A3748" s="26">
        <f>IFERROR(__xludf.DUMMYFUNCTION("""COMPUTED_VALUE"""),43907.64583333333)</f>
        <v>43907.64583</v>
      </c>
      <c r="B3748" s="9">
        <f>IFERROR(__xludf.DUMMYFUNCTION("""COMPUTED_VALUE"""),588.1)</f>
        <v>588.1</v>
      </c>
      <c r="C3748" s="9">
        <f>IFERROR(__xludf.DUMMYFUNCTION("""COMPUTED_VALUE"""),592.0)</f>
        <v>592</v>
      </c>
      <c r="D3748" s="9">
        <f>IFERROR(__xludf.DUMMYFUNCTION("""COMPUTED_VALUE"""),550.0)</f>
        <v>550</v>
      </c>
      <c r="E3748" s="9">
        <f>IFERROR(__xludf.DUMMYFUNCTION("""COMPUTED_VALUE"""),554.95)</f>
        <v>554.95</v>
      </c>
      <c r="F3748" s="9">
        <f>IFERROR(__xludf.DUMMYFUNCTION("""COMPUTED_VALUE"""),1.6060126E7)</f>
        <v>16060126</v>
      </c>
      <c r="H3748" s="27">
        <f>IFERROR(__xludf.DUMMYFUNCTION("""COMPUTED_VALUE"""),43908.64583333333)</f>
        <v>43908.64583</v>
      </c>
      <c r="I3748" s="25">
        <f>IFERROR(__xludf.DUMMYFUNCTION("""COMPUTED_VALUE"""),1676.8)</f>
        <v>1676.8</v>
      </c>
      <c r="J3748" s="25">
        <f>IFERROR(__xludf.DUMMYFUNCTION("""COMPUTED_VALUE"""),1713.55)</f>
        <v>1713.55</v>
      </c>
      <c r="K3748" s="25">
        <f>IFERROR(__xludf.DUMMYFUNCTION("""COMPUTED_VALUE"""),1627.75)</f>
        <v>1627.75</v>
      </c>
      <c r="L3748" s="25">
        <f>IFERROR(__xludf.DUMMYFUNCTION("""COMPUTED_VALUE"""),1654.4)</f>
        <v>1654.4</v>
      </c>
      <c r="M3748" s="25">
        <f>IFERROR(__xludf.DUMMYFUNCTION("""COMPUTED_VALUE"""),7259111.0)</f>
        <v>7259111</v>
      </c>
    </row>
    <row r="3749">
      <c r="A3749" s="26">
        <f>IFERROR(__xludf.DUMMYFUNCTION("""COMPUTED_VALUE"""),43908.64583333333)</f>
        <v>43908.64583</v>
      </c>
      <c r="B3749" s="9">
        <f>IFERROR(__xludf.DUMMYFUNCTION("""COMPUTED_VALUE"""),568.0)</f>
        <v>568</v>
      </c>
      <c r="C3749" s="9">
        <f>IFERROR(__xludf.DUMMYFUNCTION("""COMPUTED_VALUE"""),578.0)</f>
        <v>578</v>
      </c>
      <c r="D3749" s="9">
        <f>IFERROR(__xludf.DUMMYFUNCTION("""COMPUTED_VALUE"""),528.0)</f>
        <v>528</v>
      </c>
      <c r="E3749" s="9">
        <f>IFERROR(__xludf.DUMMYFUNCTION("""COMPUTED_VALUE"""),534.3)</f>
        <v>534.3</v>
      </c>
      <c r="F3749" s="9">
        <f>IFERROR(__xludf.DUMMYFUNCTION("""COMPUTED_VALUE"""),1.5391568E7)</f>
        <v>15391568</v>
      </c>
      <c r="H3749" s="27">
        <f>IFERROR(__xludf.DUMMYFUNCTION("""COMPUTED_VALUE"""),43909.64583333333)</f>
        <v>43909.64583</v>
      </c>
      <c r="I3749" s="25">
        <f>IFERROR(__xludf.DUMMYFUNCTION("""COMPUTED_VALUE"""),1559.7)</f>
        <v>1559.7</v>
      </c>
      <c r="J3749" s="25">
        <f>IFERROR(__xludf.DUMMYFUNCTION("""COMPUTED_VALUE"""),1685.45)</f>
        <v>1685.45</v>
      </c>
      <c r="K3749" s="25">
        <f>IFERROR(__xludf.DUMMYFUNCTION("""COMPUTED_VALUE"""),1546.75)</f>
        <v>1546.75</v>
      </c>
      <c r="L3749" s="25">
        <f>IFERROR(__xludf.DUMMYFUNCTION("""COMPUTED_VALUE"""),1636.35)</f>
        <v>1636.35</v>
      </c>
      <c r="M3749" s="25">
        <f>IFERROR(__xludf.DUMMYFUNCTION("""COMPUTED_VALUE"""),5135162.0)</f>
        <v>5135162</v>
      </c>
    </row>
    <row r="3750">
      <c r="A3750" s="26">
        <f>IFERROR(__xludf.DUMMYFUNCTION("""COMPUTED_VALUE"""),43909.64583333333)</f>
        <v>43909.64583</v>
      </c>
      <c r="B3750" s="9">
        <f>IFERROR(__xludf.DUMMYFUNCTION("""COMPUTED_VALUE"""),509.25)</f>
        <v>509.25</v>
      </c>
      <c r="C3750" s="9">
        <f>IFERROR(__xludf.DUMMYFUNCTION("""COMPUTED_VALUE"""),558.0)</f>
        <v>558</v>
      </c>
      <c r="D3750" s="9">
        <f>IFERROR(__xludf.DUMMYFUNCTION("""COMPUTED_VALUE"""),509.25)</f>
        <v>509.25</v>
      </c>
      <c r="E3750" s="9">
        <f>IFERROR(__xludf.DUMMYFUNCTION("""COMPUTED_VALUE"""),545.55)</f>
        <v>545.55</v>
      </c>
      <c r="F3750" s="9">
        <f>IFERROR(__xludf.DUMMYFUNCTION("""COMPUTED_VALUE"""),1.6584106E7)</f>
        <v>16584106</v>
      </c>
      <c r="H3750" s="27">
        <f>IFERROR(__xludf.DUMMYFUNCTION("""COMPUTED_VALUE"""),43910.64583333333)</f>
        <v>43910.64583</v>
      </c>
      <c r="I3750" s="25">
        <f>IFERROR(__xludf.DUMMYFUNCTION("""COMPUTED_VALUE"""),1630.0)</f>
        <v>1630</v>
      </c>
      <c r="J3750" s="25">
        <f>IFERROR(__xludf.DUMMYFUNCTION("""COMPUTED_VALUE"""),1869.0)</f>
        <v>1869</v>
      </c>
      <c r="K3750" s="25">
        <f>IFERROR(__xludf.DUMMYFUNCTION("""COMPUTED_VALUE"""),1627.0)</f>
        <v>1627</v>
      </c>
      <c r="L3750" s="25">
        <f>IFERROR(__xludf.DUMMYFUNCTION("""COMPUTED_VALUE"""),1797.45)</f>
        <v>1797.45</v>
      </c>
      <c r="M3750" s="25">
        <f>IFERROR(__xludf.DUMMYFUNCTION("""COMPUTED_VALUE"""),8547645.0)</f>
        <v>8547645</v>
      </c>
    </row>
    <row r="3751">
      <c r="A3751" s="26">
        <f>IFERROR(__xludf.DUMMYFUNCTION("""COMPUTED_VALUE"""),43910.64583333333)</f>
        <v>43910.64583</v>
      </c>
      <c r="B3751" s="9">
        <f>IFERROR(__xludf.DUMMYFUNCTION("""COMPUTED_VALUE"""),549.5)</f>
        <v>549.5</v>
      </c>
      <c r="C3751" s="9">
        <f>IFERROR(__xludf.DUMMYFUNCTION("""COMPUTED_VALUE"""),617.45)</f>
        <v>617.45</v>
      </c>
      <c r="D3751" s="9">
        <f>IFERROR(__xludf.DUMMYFUNCTION("""COMPUTED_VALUE"""),548.0)</f>
        <v>548</v>
      </c>
      <c r="E3751" s="9">
        <f>IFERROR(__xludf.DUMMYFUNCTION("""COMPUTED_VALUE"""),585.2)</f>
        <v>585.2</v>
      </c>
      <c r="F3751" s="9">
        <f>IFERROR(__xludf.DUMMYFUNCTION("""COMPUTED_VALUE"""),2.1356183E7)</f>
        <v>21356183</v>
      </c>
      <c r="H3751" s="27">
        <f>IFERROR(__xludf.DUMMYFUNCTION("""COMPUTED_VALUE"""),43913.64583333333)</f>
        <v>43913.64583</v>
      </c>
      <c r="I3751" s="25">
        <f>IFERROR(__xludf.DUMMYFUNCTION("""COMPUTED_VALUE"""),1620.0)</f>
        <v>1620</v>
      </c>
      <c r="J3751" s="25">
        <f>IFERROR(__xludf.DUMMYFUNCTION("""COMPUTED_VALUE"""),1750.0)</f>
        <v>1750</v>
      </c>
      <c r="K3751" s="25">
        <f>IFERROR(__xludf.DUMMYFUNCTION("""COMPUTED_VALUE"""),1617.75)</f>
        <v>1617.75</v>
      </c>
      <c r="L3751" s="25">
        <f>IFERROR(__xludf.DUMMYFUNCTION("""COMPUTED_VALUE"""),1669.7)</f>
        <v>1669.7</v>
      </c>
      <c r="M3751" s="25">
        <f>IFERROR(__xludf.DUMMYFUNCTION("""COMPUTED_VALUE"""),7003558.0)</f>
        <v>7003558</v>
      </c>
    </row>
    <row r="3752">
      <c r="A3752" s="26">
        <f>IFERROR(__xludf.DUMMYFUNCTION("""COMPUTED_VALUE"""),43913.64583333333)</f>
        <v>43913.64583</v>
      </c>
      <c r="B3752" s="9">
        <f>IFERROR(__xludf.DUMMYFUNCTION("""COMPUTED_VALUE"""),540.0)</f>
        <v>540</v>
      </c>
      <c r="C3752" s="9">
        <f>IFERROR(__xludf.DUMMYFUNCTION("""COMPUTED_VALUE"""),560.95)</f>
        <v>560.95</v>
      </c>
      <c r="D3752" s="9">
        <f>IFERROR(__xludf.DUMMYFUNCTION("""COMPUTED_VALUE"""),515.9)</f>
        <v>515.9</v>
      </c>
      <c r="E3752" s="9">
        <f>IFERROR(__xludf.DUMMYFUNCTION("""COMPUTED_VALUE"""),526.45)</f>
        <v>526.45</v>
      </c>
      <c r="F3752" s="9">
        <f>IFERROR(__xludf.DUMMYFUNCTION("""COMPUTED_VALUE"""),1.7146303E7)</f>
        <v>17146303</v>
      </c>
      <c r="H3752" s="27">
        <f>IFERROR(__xludf.DUMMYFUNCTION("""COMPUTED_VALUE"""),43914.64583333333)</f>
        <v>43914.64583</v>
      </c>
      <c r="I3752" s="25">
        <f>IFERROR(__xludf.DUMMYFUNCTION("""COMPUTED_VALUE"""),1653.05)</f>
        <v>1653.05</v>
      </c>
      <c r="J3752" s="25">
        <f>IFERROR(__xludf.DUMMYFUNCTION("""COMPUTED_VALUE"""),1770.0)</f>
        <v>1770</v>
      </c>
      <c r="K3752" s="25">
        <f>IFERROR(__xludf.DUMMYFUNCTION("""COMPUTED_VALUE"""),1632.85)</f>
        <v>1632.85</v>
      </c>
      <c r="L3752" s="25">
        <f>IFERROR(__xludf.DUMMYFUNCTION("""COMPUTED_VALUE"""),1703.15)</f>
        <v>1703.15</v>
      </c>
      <c r="M3752" s="25">
        <f>IFERROR(__xludf.DUMMYFUNCTION("""COMPUTED_VALUE"""),6354209.0)</f>
        <v>6354209</v>
      </c>
    </row>
    <row r="3753">
      <c r="A3753" s="26">
        <f>IFERROR(__xludf.DUMMYFUNCTION("""COMPUTED_VALUE"""),43914.64583333333)</f>
        <v>43914.64583</v>
      </c>
      <c r="B3753" s="9">
        <f>IFERROR(__xludf.DUMMYFUNCTION("""COMPUTED_VALUE"""),522.0)</f>
        <v>522</v>
      </c>
      <c r="C3753" s="9">
        <f>IFERROR(__xludf.DUMMYFUNCTION("""COMPUTED_VALUE"""),601.15)</f>
        <v>601.15</v>
      </c>
      <c r="D3753" s="9">
        <f>IFERROR(__xludf.DUMMYFUNCTION("""COMPUTED_VALUE"""),522.0)</f>
        <v>522</v>
      </c>
      <c r="E3753" s="9">
        <f>IFERROR(__xludf.DUMMYFUNCTION("""COMPUTED_VALUE"""),589.8)</f>
        <v>589.8</v>
      </c>
      <c r="F3753" s="9">
        <f>IFERROR(__xludf.DUMMYFUNCTION("""COMPUTED_VALUE"""),2.0029537E7)</f>
        <v>20029537</v>
      </c>
      <c r="H3753" s="27">
        <f>IFERROR(__xludf.DUMMYFUNCTION("""COMPUTED_VALUE"""),43915.64583333333)</f>
        <v>43915.64583</v>
      </c>
      <c r="I3753" s="25">
        <f>IFERROR(__xludf.DUMMYFUNCTION("""COMPUTED_VALUE"""),1700.0)</f>
        <v>1700</v>
      </c>
      <c r="J3753" s="25">
        <f>IFERROR(__xludf.DUMMYFUNCTION("""COMPUTED_VALUE"""),1810.0)</f>
        <v>1810</v>
      </c>
      <c r="K3753" s="25">
        <f>IFERROR(__xludf.DUMMYFUNCTION("""COMPUTED_VALUE"""),1680.0)</f>
        <v>1680</v>
      </c>
      <c r="L3753" s="25">
        <f>IFERROR(__xludf.DUMMYFUNCTION("""COMPUTED_VALUE"""),1750.3)</f>
        <v>1750.3</v>
      </c>
      <c r="M3753" s="25">
        <f>IFERROR(__xludf.DUMMYFUNCTION("""COMPUTED_VALUE"""),2765527.0)</f>
        <v>2765527</v>
      </c>
    </row>
    <row r="3754">
      <c r="A3754" s="26">
        <f>IFERROR(__xludf.DUMMYFUNCTION("""COMPUTED_VALUE"""),43915.64583333333)</f>
        <v>43915.64583</v>
      </c>
      <c r="B3754" s="9">
        <f>IFERROR(__xludf.DUMMYFUNCTION("""COMPUTED_VALUE"""),597.0)</f>
        <v>597</v>
      </c>
      <c r="C3754" s="9">
        <f>IFERROR(__xludf.DUMMYFUNCTION("""COMPUTED_VALUE"""),635.0)</f>
        <v>635</v>
      </c>
      <c r="D3754" s="9">
        <f>IFERROR(__xludf.DUMMYFUNCTION("""COMPUTED_VALUE"""),565.7)</f>
        <v>565.7</v>
      </c>
      <c r="E3754" s="9">
        <f>IFERROR(__xludf.DUMMYFUNCTION("""COMPUTED_VALUE"""),606.2)</f>
        <v>606.2</v>
      </c>
      <c r="F3754" s="9">
        <f>IFERROR(__xludf.DUMMYFUNCTION("""COMPUTED_VALUE"""),1.833965E7)</f>
        <v>18339650</v>
      </c>
      <c r="H3754" s="27">
        <f>IFERROR(__xludf.DUMMYFUNCTION("""COMPUTED_VALUE"""),43916.64583333333)</f>
        <v>43916.64583</v>
      </c>
      <c r="I3754" s="25">
        <f>IFERROR(__xludf.DUMMYFUNCTION("""COMPUTED_VALUE"""),1831.6)</f>
        <v>1831.6</v>
      </c>
      <c r="J3754" s="25">
        <f>IFERROR(__xludf.DUMMYFUNCTION("""COMPUTED_VALUE"""),1832.05)</f>
        <v>1832.05</v>
      </c>
      <c r="K3754" s="25">
        <f>IFERROR(__xludf.DUMMYFUNCTION("""COMPUTED_VALUE"""),1722.55)</f>
        <v>1722.55</v>
      </c>
      <c r="L3754" s="25">
        <f>IFERROR(__xludf.DUMMYFUNCTION("""COMPUTED_VALUE"""),1790.95)</f>
        <v>1790.95</v>
      </c>
      <c r="M3754" s="25">
        <f>IFERROR(__xludf.DUMMYFUNCTION("""COMPUTED_VALUE"""),4556071.0)</f>
        <v>4556071</v>
      </c>
    </row>
    <row r="3755">
      <c r="A3755" s="26">
        <f>IFERROR(__xludf.DUMMYFUNCTION("""COMPUTED_VALUE"""),43916.64583333333)</f>
        <v>43916.64583</v>
      </c>
      <c r="B3755" s="9">
        <f>IFERROR(__xludf.DUMMYFUNCTION("""COMPUTED_VALUE"""),615.0)</f>
        <v>615</v>
      </c>
      <c r="C3755" s="9">
        <f>IFERROR(__xludf.DUMMYFUNCTION("""COMPUTED_VALUE"""),650.85)</f>
        <v>650.85</v>
      </c>
      <c r="D3755" s="9">
        <f>IFERROR(__xludf.DUMMYFUNCTION("""COMPUTED_VALUE"""),612.1)</f>
        <v>612.1</v>
      </c>
      <c r="E3755" s="9">
        <f>IFERROR(__xludf.DUMMYFUNCTION("""COMPUTED_VALUE"""),643.0)</f>
        <v>643</v>
      </c>
      <c r="F3755" s="9">
        <f>IFERROR(__xludf.DUMMYFUNCTION("""COMPUTED_VALUE"""),1.4868843E7)</f>
        <v>14868843</v>
      </c>
      <c r="H3755" s="27">
        <f>IFERROR(__xludf.DUMMYFUNCTION("""COMPUTED_VALUE"""),43917.64583333333)</f>
        <v>43917.64583</v>
      </c>
      <c r="I3755" s="25">
        <f>IFERROR(__xludf.DUMMYFUNCTION("""COMPUTED_VALUE"""),1820.0)</f>
        <v>1820</v>
      </c>
      <c r="J3755" s="25">
        <f>IFERROR(__xludf.DUMMYFUNCTION("""COMPUTED_VALUE"""),1850.0)</f>
        <v>1850</v>
      </c>
      <c r="K3755" s="25">
        <f>IFERROR(__xludf.DUMMYFUNCTION("""COMPUTED_VALUE"""),1750.4)</f>
        <v>1750.4</v>
      </c>
      <c r="L3755" s="25">
        <f>IFERROR(__xludf.DUMMYFUNCTION("""COMPUTED_VALUE"""),1824.5)</f>
        <v>1824.5</v>
      </c>
      <c r="M3755" s="25">
        <f>IFERROR(__xludf.DUMMYFUNCTION("""COMPUTED_VALUE"""),4331310.0)</f>
        <v>4331310</v>
      </c>
    </row>
    <row r="3756">
      <c r="A3756" s="26">
        <f>IFERROR(__xludf.DUMMYFUNCTION("""COMPUTED_VALUE"""),43917.64583333333)</f>
        <v>43917.64583</v>
      </c>
      <c r="B3756" s="9">
        <f>IFERROR(__xludf.DUMMYFUNCTION("""COMPUTED_VALUE"""),665.05)</f>
        <v>665.05</v>
      </c>
      <c r="C3756" s="9">
        <f>IFERROR(__xludf.DUMMYFUNCTION("""COMPUTED_VALUE"""),674.9)</f>
        <v>674.9</v>
      </c>
      <c r="D3756" s="9">
        <f>IFERROR(__xludf.DUMMYFUNCTION("""COMPUTED_VALUE"""),642.25)</f>
        <v>642.25</v>
      </c>
      <c r="E3756" s="9">
        <f>IFERROR(__xludf.DUMMYFUNCTION("""COMPUTED_VALUE"""),652.7)</f>
        <v>652.7</v>
      </c>
      <c r="F3756" s="9">
        <f>IFERROR(__xludf.DUMMYFUNCTION("""COMPUTED_VALUE"""),1.3495469E7)</f>
        <v>13495469</v>
      </c>
      <c r="H3756" s="27">
        <f>IFERROR(__xludf.DUMMYFUNCTION("""COMPUTED_VALUE"""),43920.64583333333)</f>
        <v>43920.64583</v>
      </c>
      <c r="I3756" s="25">
        <f>IFERROR(__xludf.DUMMYFUNCTION("""COMPUTED_VALUE"""),1766.0)</f>
        <v>1766</v>
      </c>
      <c r="J3756" s="25">
        <f>IFERROR(__xludf.DUMMYFUNCTION("""COMPUTED_VALUE"""),1905.0)</f>
        <v>1905</v>
      </c>
      <c r="K3756" s="25">
        <f>IFERROR(__xludf.DUMMYFUNCTION("""COMPUTED_VALUE"""),1763.55)</f>
        <v>1763.55</v>
      </c>
      <c r="L3756" s="25">
        <f>IFERROR(__xludf.DUMMYFUNCTION("""COMPUTED_VALUE"""),1778.5)</f>
        <v>1778.5</v>
      </c>
      <c r="M3756" s="25">
        <f>IFERROR(__xludf.DUMMYFUNCTION("""COMPUTED_VALUE"""),8513608.0)</f>
        <v>8513608</v>
      </c>
    </row>
    <row r="3757">
      <c r="A3757" s="26">
        <f>IFERROR(__xludf.DUMMYFUNCTION("""COMPUTED_VALUE"""),43920.64583333333)</f>
        <v>43920.64583</v>
      </c>
      <c r="B3757" s="9">
        <f>IFERROR(__xludf.DUMMYFUNCTION("""COMPUTED_VALUE"""),625.1)</f>
        <v>625.1</v>
      </c>
      <c r="C3757" s="9">
        <f>IFERROR(__xludf.DUMMYFUNCTION("""COMPUTED_VALUE"""),663.5)</f>
        <v>663.5</v>
      </c>
      <c r="D3757" s="9">
        <f>IFERROR(__xludf.DUMMYFUNCTION("""COMPUTED_VALUE"""),621.1)</f>
        <v>621.1</v>
      </c>
      <c r="E3757" s="9">
        <f>IFERROR(__xludf.DUMMYFUNCTION("""COMPUTED_VALUE"""),626.7)</f>
        <v>626.7</v>
      </c>
      <c r="F3757" s="9">
        <f>IFERROR(__xludf.DUMMYFUNCTION("""COMPUTED_VALUE"""),1.462572E7)</f>
        <v>14625720</v>
      </c>
      <c r="H3757" s="27">
        <f>IFERROR(__xludf.DUMMYFUNCTION("""COMPUTED_VALUE"""),43921.64583333333)</f>
        <v>43921.64583</v>
      </c>
      <c r="I3757" s="25">
        <f>IFERROR(__xludf.DUMMYFUNCTION("""COMPUTED_VALUE"""),1837.4)</f>
        <v>1837.4</v>
      </c>
      <c r="J3757" s="25">
        <f>IFERROR(__xludf.DUMMYFUNCTION("""COMPUTED_VALUE"""),1855.0)</f>
        <v>1855</v>
      </c>
      <c r="K3757" s="25">
        <f>IFERROR(__xludf.DUMMYFUNCTION("""COMPUTED_VALUE"""),1780.0)</f>
        <v>1780</v>
      </c>
      <c r="L3757" s="25">
        <f>IFERROR(__xludf.DUMMYFUNCTION("""COMPUTED_VALUE"""),1826.1)</f>
        <v>1826.1</v>
      </c>
      <c r="M3757" s="25">
        <f>IFERROR(__xludf.DUMMYFUNCTION("""COMPUTED_VALUE"""),3927593.0)</f>
        <v>3927593</v>
      </c>
    </row>
    <row r="3758">
      <c r="A3758" s="26">
        <f>IFERROR(__xludf.DUMMYFUNCTION("""COMPUTED_VALUE"""),43921.64583333333)</f>
        <v>43921.64583</v>
      </c>
      <c r="B3758" s="9">
        <f>IFERROR(__xludf.DUMMYFUNCTION("""COMPUTED_VALUE"""),650.0)</f>
        <v>650</v>
      </c>
      <c r="C3758" s="9">
        <f>IFERROR(__xludf.DUMMYFUNCTION("""COMPUTED_VALUE"""),662.0)</f>
        <v>662</v>
      </c>
      <c r="D3758" s="9">
        <f>IFERROR(__xludf.DUMMYFUNCTION("""COMPUTED_VALUE"""),633.7)</f>
        <v>633.7</v>
      </c>
      <c r="E3758" s="9">
        <f>IFERROR(__xludf.DUMMYFUNCTION("""COMPUTED_VALUE"""),641.5)</f>
        <v>641.5</v>
      </c>
      <c r="F3758" s="9">
        <f>IFERROR(__xludf.DUMMYFUNCTION("""COMPUTED_VALUE"""),1.5175528E7)</f>
        <v>15175528</v>
      </c>
      <c r="H3758" s="27">
        <f>IFERROR(__xludf.DUMMYFUNCTION("""COMPUTED_VALUE"""),43922.64583333333)</f>
        <v>43922.64583</v>
      </c>
      <c r="I3758" s="25">
        <f>IFERROR(__xludf.DUMMYFUNCTION("""COMPUTED_VALUE"""),1825.9)</f>
        <v>1825.9</v>
      </c>
      <c r="J3758" s="25">
        <f>IFERROR(__xludf.DUMMYFUNCTION("""COMPUTED_VALUE"""),1834.75)</f>
        <v>1834.75</v>
      </c>
      <c r="K3758" s="25">
        <f>IFERROR(__xludf.DUMMYFUNCTION("""COMPUTED_VALUE"""),1702.0)</f>
        <v>1702</v>
      </c>
      <c r="L3758" s="25">
        <f>IFERROR(__xludf.DUMMYFUNCTION("""COMPUTED_VALUE"""),1708.75)</f>
        <v>1708.75</v>
      </c>
      <c r="M3758" s="25">
        <f>IFERROR(__xludf.DUMMYFUNCTION("""COMPUTED_VALUE"""),4941898.0)</f>
        <v>4941898</v>
      </c>
    </row>
    <row r="3759">
      <c r="A3759" s="26">
        <f>IFERROR(__xludf.DUMMYFUNCTION("""COMPUTED_VALUE"""),43922.64583333333)</f>
        <v>43922.64583</v>
      </c>
      <c r="B3759" s="9">
        <f>IFERROR(__xludf.DUMMYFUNCTION("""COMPUTED_VALUE"""),634.35)</f>
        <v>634.35</v>
      </c>
      <c r="C3759" s="9">
        <f>IFERROR(__xludf.DUMMYFUNCTION("""COMPUTED_VALUE"""),637.5)</f>
        <v>637.5</v>
      </c>
      <c r="D3759" s="9">
        <f>IFERROR(__xludf.DUMMYFUNCTION("""COMPUTED_VALUE"""),594.0)</f>
        <v>594</v>
      </c>
      <c r="E3759" s="9">
        <f>IFERROR(__xludf.DUMMYFUNCTION("""COMPUTED_VALUE"""),602.8)</f>
        <v>602.8</v>
      </c>
      <c r="F3759" s="9">
        <f>IFERROR(__xludf.DUMMYFUNCTION("""COMPUTED_VALUE"""),1.3083865E7)</f>
        <v>13083865</v>
      </c>
      <c r="H3759" s="27">
        <f>IFERROR(__xludf.DUMMYFUNCTION("""COMPUTED_VALUE"""),43924.64583333333)</f>
        <v>43924.64583</v>
      </c>
      <c r="I3759" s="25">
        <f>IFERROR(__xludf.DUMMYFUNCTION("""COMPUTED_VALUE"""),1740.0)</f>
        <v>1740</v>
      </c>
      <c r="J3759" s="25">
        <f>IFERROR(__xludf.DUMMYFUNCTION("""COMPUTED_VALUE"""),1740.0)</f>
        <v>1740</v>
      </c>
      <c r="K3759" s="25">
        <f>IFERROR(__xludf.DUMMYFUNCTION("""COMPUTED_VALUE"""),1650.0)</f>
        <v>1650</v>
      </c>
      <c r="L3759" s="25">
        <f>IFERROR(__xludf.DUMMYFUNCTION("""COMPUTED_VALUE"""),1654.2)</f>
        <v>1654.2</v>
      </c>
      <c r="M3759" s="25">
        <f>IFERROR(__xludf.DUMMYFUNCTION("""COMPUTED_VALUE"""),5735529.0)</f>
        <v>5735529</v>
      </c>
    </row>
    <row r="3760">
      <c r="A3760" s="26">
        <f>IFERROR(__xludf.DUMMYFUNCTION("""COMPUTED_VALUE"""),43924.64583333333)</f>
        <v>43924.64583</v>
      </c>
      <c r="B3760" s="9">
        <f>IFERROR(__xludf.DUMMYFUNCTION("""COMPUTED_VALUE"""),603.5)</f>
        <v>603.5</v>
      </c>
      <c r="C3760" s="9">
        <f>IFERROR(__xludf.DUMMYFUNCTION("""COMPUTED_VALUE"""),606.0)</f>
        <v>606</v>
      </c>
      <c r="D3760" s="9">
        <f>IFERROR(__xludf.DUMMYFUNCTION("""COMPUTED_VALUE"""),582.15)</f>
        <v>582.15</v>
      </c>
      <c r="E3760" s="9">
        <f>IFERROR(__xludf.DUMMYFUNCTION("""COMPUTED_VALUE"""),585.7)</f>
        <v>585.7</v>
      </c>
      <c r="F3760" s="9">
        <f>IFERROR(__xludf.DUMMYFUNCTION("""COMPUTED_VALUE"""),1.022189E7)</f>
        <v>10221890</v>
      </c>
      <c r="H3760" s="27">
        <f>IFERROR(__xludf.DUMMYFUNCTION("""COMPUTED_VALUE"""),43928.64583333333)</f>
        <v>43928.64583</v>
      </c>
      <c r="I3760" s="25">
        <f>IFERROR(__xludf.DUMMYFUNCTION("""COMPUTED_VALUE"""),1710.0)</f>
        <v>1710</v>
      </c>
      <c r="J3760" s="25">
        <f>IFERROR(__xludf.DUMMYFUNCTION("""COMPUTED_VALUE"""),1785.85)</f>
        <v>1785.85</v>
      </c>
      <c r="K3760" s="25">
        <f>IFERROR(__xludf.DUMMYFUNCTION("""COMPUTED_VALUE"""),1705.0)</f>
        <v>1705</v>
      </c>
      <c r="L3760" s="25">
        <f>IFERROR(__xludf.DUMMYFUNCTION("""COMPUTED_VALUE"""),1775.2)</f>
        <v>1775.2</v>
      </c>
      <c r="M3760" s="25">
        <f>IFERROR(__xludf.DUMMYFUNCTION("""COMPUTED_VALUE"""),5427965.0)</f>
        <v>5427965</v>
      </c>
    </row>
    <row r="3761">
      <c r="A3761" s="26">
        <f>IFERROR(__xludf.DUMMYFUNCTION("""COMPUTED_VALUE"""),43928.64583333333)</f>
        <v>43928.64583</v>
      </c>
      <c r="B3761" s="9">
        <f>IFERROR(__xludf.DUMMYFUNCTION("""COMPUTED_VALUE"""),615.0)</f>
        <v>615</v>
      </c>
      <c r="C3761" s="9">
        <f>IFERROR(__xludf.DUMMYFUNCTION("""COMPUTED_VALUE"""),644.25)</f>
        <v>644.25</v>
      </c>
      <c r="D3761" s="9">
        <f>IFERROR(__xludf.DUMMYFUNCTION("""COMPUTED_VALUE"""),612.9)</f>
        <v>612.9</v>
      </c>
      <c r="E3761" s="9">
        <f>IFERROR(__xludf.DUMMYFUNCTION("""COMPUTED_VALUE"""),639.0)</f>
        <v>639</v>
      </c>
      <c r="F3761" s="9">
        <f>IFERROR(__xludf.DUMMYFUNCTION("""COMPUTED_VALUE"""),1.5146526E7)</f>
        <v>15146526</v>
      </c>
      <c r="H3761" s="27">
        <f>IFERROR(__xludf.DUMMYFUNCTION("""COMPUTED_VALUE"""),43929.64583333333)</f>
        <v>43929.64583</v>
      </c>
      <c r="I3761" s="25">
        <f>IFERROR(__xludf.DUMMYFUNCTION("""COMPUTED_VALUE"""),1760.0)</f>
        <v>1760</v>
      </c>
      <c r="J3761" s="25">
        <f>IFERROR(__xludf.DUMMYFUNCTION("""COMPUTED_VALUE"""),1806.0)</f>
        <v>1806</v>
      </c>
      <c r="K3761" s="25">
        <f>IFERROR(__xludf.DUMMYFUNCTION("""COMPUTED_VALUE"""),1701.0)</f>
        <v>1701</v>
      </c>
      <c r="L3761" s="25">
        <f>IFERROR(__xludf.DUMMYFUNCTION("""COMPUTED_VALUE"""),1705.45)</f>
        <v>1705.45</v>
      </c>
      <c r="M3761" s="25">
        <f>IFERROR(__xludf.DUMMYFUNCTION("""COMPUTED_VALUE"""),6285616.0)</f>
        <v>6285616</v>
      </c>
    </row>
    <row r="3762">
      <c r="A3762" s="26">
        <f>IFERROR(__xludf.DUMMYFUNCTION("""COMPUTED_VALUE"""),43929.64583333333)</f>
        <v>43929.64583</v>
      </c>
      <c r="B3762" s="9">
        <f>IFERROR(__xludf.DUMMYFUNCTION("""COMPUTED_VALUE"""),630.0)</f>
        <v>630</v>
      </c>
      <c r="C3762" s="9">
        <f>IFERROR(__xludf.DUMMYFUNCTION("""COMPUTED_VALUE"""),655.65)</f>
        <v>655.65</v>
      </c>
      <c r="D3762" s="9">
        <f>IFERROR(__xludf.DUMMYFUNCTION("""COMPUTED_VALUE"""),626.35)</f>
        <v>626.35</v>
      </c>
      <c r="E3762" s="9">
        <f>IFERROR(__xludf.DUMMYFUNCTION("""COMPUTED_VALUE"""),631.6)</f>
        <v>631.6</v>
      </c>
      <c r="F3762" s="9">
        <f>IFERROR(__xludf.DUMMYFUNCTION("""COMPUTED_VALUE"""),1.1806901E7)</f>
        <v>11806901</v>
      </c>
      <c r="H3762" s="27">
        <f>IFERROR(__xludf.DUMMYFUNCTION("""COMPUTED_VALUE"""),43930.64583333333)</f>
        <v>43930.64583</v>
      </c>
      <c r="I3762" s="25">
        <f>IFERROR(__xludf.DUMMYFUNCTION("""COMPUTED_VALUE"""),1750.45)</f>
        <v>1750.45</v>
      </c>
      <c r="J3762" s="25">
        <f>IFERROR(__xludf.DUMMYFUNCTION("""COMPUTED_VALUE"""),1778.8)</f>
        <v>1778.8</v>
      </c>
      <c r="K3762" s="25">
        <f>IFERROR(__xludf.DUMMYFUNCTION("""COMPUTED_VALUE"""),1731.2)</f>
        <v>1731.2</v>
      </c>
      <c r="L3762" s="25">
        <f>IFERROR(__xludf.DUMMYFUNCTION("""COMPUTED_VALUE"""),1766.15)</f>
        <v>1766.15</v>
      </c>
      <c r="M3762" s="25">
        <f>IFERROR(__xludf.DUMMYFUNCTION("""COMPUTED_VALUE"""),5307649.0)</f>
        <v>5307649</v>
      </c>
    </row>
    <row r="3763">
      <c r="A3763" s="26">
        <f>IFERROR(__xludf.DUMMYFUNCTION("""COMPUTED_VALUE"""),43930.64583333333)</f>
        <v>43930.64583</v>
      </c>
      <c r="B3763" s="9">
        <f>IFERROR(__xludf.DUMMYFUNCTION("""COMPUTED_VALUE"""),646.8)</f>
        <v>646.8</v>
      </c>
      <c r="C3763" s="9">
        <f>IFERROR(__xludf.DUMMYFUNCTION("""COMPUTED_VALUE"""),652.8)</f>
        <v>652.8</v>
      </c>
      <c r="D3763" s="9">
        <f>IFERROR(__xludf.DUMMYFUNCTION("""COMPUTED_VALUE"""),632.1)</f>
        <v>632.1</v>
      </c>
      <c r="E3763" s="9">
        <f>IFERROR(__xludf.DUMMYFUNCTION("""COMPUTED_VALUE"""),636.25)</f>
        <v>636.25</v>
      </c>
      <c r="F3763" s="9">
        <f>IFERROR(__xludf.DUMMYFUNCTION("""COMPUTED_VALUE"""),1.1931287E7)</f>
        <v>11931287</v>
      </c>
      <c r="H3763" s="27">
        <f>IFERROR(__xludf.DUMMYFUNCTION("""COMPUTED_VALUE"""),43934.64583333333)</f>
        <v>43934.64583</v>
      </c>
      <c r="I3763" s="25">
        <f>IFERROR(__xludf.DUMMYFUNCTION("""COMPUTED_VALUE"""),1761.0)</f>
        <v>1761</v>
      </c>
      <c r="J3763" s="25">
        <f>IFERROR(__xludf.DUMMYFUNCTION("""COMPUTED_VALUE"""),1787.0)</f>
        <v>1787</v>
      </c>
      <c r="K3763" s="25">
        <f>IFERROR(__xludf.DUMMYFUNCTION("""COMPUTED_VALUE"""),1746.0)</f>
        <v>1746</v>
      </c>
      <c r="L3763" s="25">
        <f>IFERROR(__xludf.DUMMYFUNCTION("""COMPUTED_VALUE"""),1759.25)</f>
        <v>1759.25</v>
      </c>
      <c r="M3763" s="25">
        <f>IFERROR(__xludf.DUMMYFUNCTION("""COMPUTED_VALUE"""),2990478.0)</f>
        <v>2990478</v>
      </c>
    </row>
    <row r="3764">
      <c r="A3764" s="26">
        <f>IFERROR(__xludf.DUMMYFUNCTION("""COMPUTED_VALUE"""),43934.64583333333)</f>
        <v>43934.64583</v>
      </c>
      <c r="B3764" s="9">
        <f>IFERROR(__xludf.DUMMYFUNCTION("""COMPUTED_VALUE"""),629.0)</f>
        <v>629</v>
      </c>
      <c r="C3764" s="9">
        <f>IFERROR(__xludf.DUMMYFUNCTION("""COMPUTED_VALUE"""),651.7)</f>
        <v>651.7</v>
      </c>
      <c r="D3764" s="9">
        <f>IFERROR(__xludf.DUMMYFUNCTION("""COMPUTED_VALUE"""),626.05)</f>
        <v>626.05</v>
      </c>
      <c r="E3764" s="9">
        <f>IFERROR(__xludf.DUMMYFUNCTION("""COMPUTED_VALUE"""),637.4)</f>
        <v>637.4</v>
      </c>
      <c r="F3764" s="9">
        <f>IFERROR(__xludf.DUMMYFUNCTION("""COMPUTED_VALUE"""),8330291.0)</f>
        <v>8330291</v>
      </c>
      <c r="H3764" s="27">
        <f>IFERROR(__xludf.DUMMYFUNCTION("""COMPUTED_VALUE"""),43936.64583333333)</f>
        <v>43936.64583</v>
      </c>
      <c r="I3764" s="25">
        <f>IFERROR(__xludf.DUMMYFUNCTION("""COMPUTED_VALUE"""),1785.0)</f>
        <v>1785</v>
      </c>
      <c r="J3764" s="25">
        <f>IFERROR(__xludf.DUMMYFUNCTION("""COMPUTED_VALUE"""),1812.0)</f>
        <v>1812</v>
      </c>
      <c r="K3764" s="25">
        <f>IFERROR(__xludf.DUMMYFUNCTION("""COMPUTED_VALUE"""),1727.8)</f>
        <v>1727.8</v>
      </c>
      <c r="L3764" s="25">
        <f>IFERROR(__xludf.DUMMYFUNCTION("""COMPUTED_VALUE"""),1735.15)</f>
        <v>1735.15</v>
      </c>
      <c r="M3764" s="25">
        <f>IFERROR(__xludf.DUMMYFUNCTION("""COMPUTED_VALUE"""),4761401.0)</f>
        <v>4761401</v>
      </c>
    </row>
    <row r="3765">
      <c r="A3765" s="26">
        <f>IFERROR(__xludf.DUMMYFUNCTION("""COMPUTED_VALUE"""),43936.64583333333)</f>
        <v>43936.64583</v>
      </c>
      <c r="B3765" s="9">
        <f>IFERROR(__xludf.DUMMYFUNCTION("""COMPUTED_VALUE"""),651.4)</f>
        <v>651.4</v>
      </c>
      <c r="C3765" s="9">
        <f>IFERROR(__xludf.DUMMYFUNCTION("""COMPUTED_VALUE"""),653.3)</f>
        <v>653.3</v>
      </c>
      <c r="D3765" s="9">
        <f>IFERROR(__xludf.DUMMYFUNCTION("""COMPUTED_VALUE"""),635.6)</f>
        <v>635.6</v>
      </c>
      <c r="E3765" s="9">
        <f>IFERROR(__xludf.DUMMYFUNCTION("""COMPUTED_VALUE"""),639.05)</f>
        <v>639.05</v>
      </c>
      <c r="F3765" s="9">
        <f>IFERROR(__xludf.DUMMYFUNCTION("""COMPUTED_VALUE"""),1.1963493E7)</f>
        <v>11963493</v>
      </c>
      <c r="H3765" s="27">
        <f>IFERROR(__xludf.DUMMYFUNCTION("""COMPUTED_VALUE"""),43937.64583333333)</f>
        <v>43937.64583</v>
      </c>
      <c r="I3765" s="25">
        <f>IFERROR(__xludf.DUMMYFUNCTION("""COMPUTED_VALUE"""),1709.95)</f>
        <v>1709.95</v>
      </c>
      <c r="J3765" s="25">
        <f>IFERROR(__xludf.DUMMYFUNCTION("""COMPUTED_VALUE"""),1764.9)</f>
        <v>1764.9</v>
      </c>
      <c r="K3765" s="25">
        <f>IFERROR(__xludf.DUMMYFUNCTION("""COMPUTED_VALUE"""),1675.05)</f>
        <v>1675.05</v>
      </c>
      <c r="L3765" s="25">
        <f>IFERROR(__xludf.DUMMYFUNCTION("""COMPUTED_VALUE"""),1716.05)</f>
        <v>1716.05</v>
      </c>
      <c r="M3765" s="25">
        <f>IFERROR(__xludf.DUMMYFUNCTION("""COMPUTED_VALUE"""),6245583.0)</f>
        <v>6245583</v>
      </c>
    </row>
    <row r="3766">
      <c r="A3766" s="26">
        <f>IFERROR(__xludf.DUMMYFUNCTION("""COMPUTED_VALUE"""),43937.64583333333)</f>
        <v>43937.64583</v>
      </c>
      <c r="B3766" s="9">
        <f>IFERROR(__xludf.DUMMYFUNCTION("""COMPUTED_VALUE"""),619.95)</f>
        <v>619.95</v>
      </c>
      <c r="C3766" s="9">
        <f>IFERROR(__xludf.DUMMYFUNCTION("""COMPUTED_VALUE"""),634.9)</f>
        <v>634.9</v>
      </c>
      <c r="D3766" s="9">
        <f>IFERROR(__xludf.DUMMYFUNCTION("""COMPUTED_VALUE"""),603.5)</f>
        <v>603.5</v>
      </c>
      <c r="E3766" s="9">
        <f>IFERROR(__xludf.DUMMYFUNCTION("""COMPUTED_VALUE"""),623.85)</f>
        <v>623.85</v>
      </c>
      <c r="F3766" s="9">
        <f>IFERROR(__xludf.DUMMYFUNCTION("""COMPUTED_VALUE"""),1.778331E7)</f>
        <v>17783310</v>
      </c>
      <c r="H3766" s="27">
        <f>IFERROR(__xludf.DUMMYFUNCTION("""COMPUTED_VALUE"""),43938.64583333333)</f>
        <v>43938.64583</v>
      </c>
      <c r="I3766" s="25">
        <f>IFERROR(__xludf.DUMMYFUNCTION("""COMPUTED_VALUE"""),1800.0)</f>
        <v>1800</v>
      </c>
      <c r="J3766" s="25">
        <f>IFERROR(__xludf.DUMMYFUNCTION("""COMPUTED_VALUE"""),1851.95)</f>
        <v>1851.95</v>
      </c>
      <c r="K3766" s="25">
        <f>IFERROR(__xludf.DUMMYFUNCTION("""COMPUTED_VALUE"""),1753.0)</f>
        <v>1753</v>
      </c>
      <c r="L3766" s="25">
        <f>IFERROR(__xludf.DUMMYFUNCTION("""COMPUTED_VALUE"""),1806.2)</f>
        <v>1806.2</v>
      </c>
      <c r="M3766" s="25">
        <f>IFERROR(__xludf.DUMMYFUNCTION("""COMPUTED_VALUE"""),9895825.0)</f>
        <v>9895825</v>
      </c>
    </row>
    <row r="3767">
      <c r="A3767" s="26">
        <f>IFERROR(__xludf.DUMMYFUNCTION("""COMPUTED_VALUE"""),43938.64583333333)</f>
        <v>43938.64583</v>
      </c>
      <c r="B3767" s="9">
        <f>IFERROR(__xludf.DUMMYFUNCTION("""COMPUTED_VALUE"""),644.0)</f>
        <v>644</v>
      </c>
      <c r="C3767" s="9">
        <f>IFERROR(__xludf.DUMMYFUNCTION("""COMPUTED_VALUE"""),646.0)</f>
        <v>646</v>
      </c>
      <c r="D3767" s="9">
        <f>IFERROR(__xludf.DUMMYFUNCTION("""COMPUTED_VALUE"""),626.0)</f>
        <v>626</v>
      </c>
      <c r="E3767" s="9">
        <f>IFERROR(__xludf.DUMMYFUNCTION("""COMPUTED_VALUE"""),628.75)</f>
        <v>628.75</v>
      </c>
      <c r="F3767" s="9">
        <f>IFERROR(__xludf.DUMMYFUNCTION("""COMPUTED_VALUE"""),8878372.0)</f>
        <v>8878372</v>
      </c>
      <c r="H3767" s="27">
        <f>IFERROR(__xludf.DUMMYFUNCTION("""COMPUTED_VALUE"""),43941.64583333333)</f>
        <v>43941.64583</v>
      </c>
      <c r="I3767" s="25">
        <f>IFERROR(__xludf.DUMMYFUNCTION("""COMPUTED_VALUE"""),1830.0)</f>
        <v>1830</v>
      </c>
      <c r="J3767" s="25">
        <f>IFERROR(__xludf.DUMMYFUNCTION("""COMPUTED_VALUE"""),1830.0)</f>
        <v>1830</v>
      </c>
      <c r="K3767" s="25">
        <f>IFERROR(__xludf.DUMMYFUNCTION("""COMPUTED_VALUE"""),1802.5)</f>
        <v>1802.5</v>
      </c>
      <c r="L3767" s="25">
        <f>IFERROR(__xludf.DUMMYFUNCTION("""COMPUTED_VALUE"""),1818.65)</f>
        <v>1818.65</v>
      </c>
      <c r="M3767" s="25">
        <f>IFERROR(__xludf.DUMMYFUNCTION("""COMPUTED_VALUE"""),3244293.0)</f>
        <v>3244293</v>
      </c>
    </row>
    <row r="3768">
      <c r="A3768" s="26">
        <f>IFERROR(__xludf.DUMMYFUNCTION("""COMPUTED_VALUE"""),43941.64583333333)</f>
        <v>43941.64583</v>
      </c>
      <c r="B3768" s="9">
        <f>IFERROR(__xludf.DUMMYFUNCTION("""COMPUTED_VALUE"""),640.0)</f>
        <v>640</v>
      </c>
      <c r="C3768" s="9">
        <f>IFERROR(__xludf.DUMMYFUNCTION("""COMPUTED_VALUE"""),661.0)</f>
        <v>661</v>
      </c>
      <c r="D3768" s="9">
        <f>IFERROR(__xludf.DUMMYFUNCTION("""COMPUTED_VALUE"""),639.0)</f>
        <v>639</v>
      </c>
      <c r="E3768" s="9">
        <f>IFERROR(__xludf.DUMMYFUNCTION("""COMPUTED_VALUE"""),653.3)</f>
        <v>653.3</v>
      </c>
      <c r="F3768" s="9">
        <f>IFERROR(__xludf.DUMMYFUNCTION("""COMPUTED_VALUE"""),1.3322995E7)</f>
        <v>13322995</v>
      </c>
      <c r="H3768" s="27">
        <f>IFERROR(__xludf.DUMMYFUNCTION("""COMPUTED_VALUE"""),43942.64583333333)</f>
        <v>43942.64583</v>
      </c>
      <c r="I3768" s="25">
        <f>IFERROR(__xludf.DUMMYFUNCTION("""COMPUTED_VALUE"""),1765.0)</f>
        <v>1765</v>
      </c>
      <c r="J3768" s="25">
        <f>IFERROR(__xludf.DUMMYFUNCTION("""COMPUTED_VALUE"""),1794.6)</f>
        <v>1794.6</v>
      </c>
      <c r="K3768" s="25">
        <f>IFERROR(__xludf.DUMMYFUNCTION("""COMPUTED_VALUE"""),1727.7)</f>
        <v>1727.7</v>
      </c>
      <c r="L3768" s="25">
        <f>IFERROR(__xludf.DUMMYFUNCTION("""COMPUTED_VALUE"""),1737.65)</f>
        <v>1737.65</v>
      </c>
      <c r="M3768" s="25">
        <f>IFERROR(__xludf.DUMMYFUNCTION("""COMPUTED_VALUE"""),5122606.0)</f>
        <v>5122606</v>
      </c>
    </row>
    <row r="3769">
      <c r="A3769" s="26">
        <f>IFERROR(__xludf.DUMMYFUNCTION("""COMPUTED_VALUE"""),43942.64583333333)</f>
        <v>43942.64583</v>
      </c>
      <c r="B3769" s="9">
        <f>IFERROR(__xludf.DUMMYFUNCTION("""COMPUTED_VALUE"""),627.8)</f>
        <v>627.8</v>
      </c>
      <c r="C3769" s="9">
        <f>IFERROR(__xludf.DUMMYFUNCTION("""COMPUTED_VALUE"""),646.5)</f>
        <v>646.5</v>
      </c>
      <c r="D3769" s="9">
        <f>IFERROR(__xludf.DUMMYFUNCTION("""COMPUTED_VALUE"""),627.8)</f>
        <v>627.8</v>
      </c>
      <c r="E3769" s="9">
        <f>IFERROR(__xludf.DUMMYFUNCTION("""COMPUTED_VALUE"""),633.2)</f>
        <v>633.2</v>
      </c>
      <c r="F3769" s="9">
        <f>IFERROR(__xludf.DUMMYFUNCTION("""COMPUTED_VALUE"""),1.1660678E7)</f>
        <v>11660678</v>
      </c>
      <c r="H3769" s="27">
        <f>IFERROR(__xludf.DUMMYFUNCTION("""COMPUTED_VALUE"""),43943.64583333333)</f>
        <v>43943.64583</v>
      </c>
      <c r="I3769" s="25">
        <f>IFERROR(__xludf.DUMMYFUNCTION("""COMPUTED_VALUE"""),1737.65)</f>
        <v>1737.65</v>
      </c>
      <c r="J3769" s="25">
        <f>IFERROR(__xludf.DUMMYFUNCTION("""COMPUTED_VALUE"""),1790.0)</f>
        <v>1790</v>
      </c>
      <c r="K3769" s="25">
        <f>IFERROR(__xludf.DUMMYFUNCTION("""COMPUTED_VALUE"""),1719.15)</f>
        <v>1719.15</v>
      </c>
      <c r="L3769" s="25">
        <f>IFERROR(__xludf.DUMMYFUNCTION("""COMPUTED_VALUE"""),1769.5)</f>
        <v>1769.5</v>
      </c>
      <c r="M3769" s="25">
        <f>IFERROR(__xludf.DUMMYFUNCTION("""COMPUTED_VALUE"""),3829839.0)</f>
        <v>3829839</v>
      </c>
    </row>
    <row r="3770">
      <c r="A3770" s="26">
        <f>IFERROR(__xludf.DUMMYFUNCTION("""COMPUTED_VALUE"""),43943.64583333333)</f>
        <v>43943.64583</v>
      </c>
      <c r="B3770" s="9">
        <f>IFERROR(__xludf.DUMMYFUNCTION("""COMPUTED_VALUE"""),633.2)</f>
        <v>633.2</v>
      </c>
      <c r="C3770" s="9">
        <f>IFERROR(__xludf.DUMMYFUNCTION("""COMPUTED_VALUE"""),645.0)</f>
        <v>645</v>
      </c>
      <c r="D3770" s="9">
        <f>IFERROR(__xludf.DUMMYFUNCTION("""COMPUTED_VALUE"""),628.05)</f>
        <v>628.05</v>
      </c>
      <c r="E3770" s="9">
        <f>IFERROR(__xludf.DUMMYFUNCTION("""COMPUTED_VALUE"""),641.85)</f>
        <v>641.85</v>
      </c>
      <c r="F3770" s="9">
        <f>IFERROR(__xludf.DUMMYFUNCTION("""COMPUTED_VALUE"""),8267159.0)</f>
        <v>8267159</v>
      </c>
      <c r="H3770" s="27">
        <f>IFERROR(__xludf.DUMMYFUNCTION("""COMPUTED_VALUE"""),43944.64583333333)</f>
        <v>43944.64583</v>
      </c>
      <c r="I3770" s="25">
        <f>IFERROR(__xludf.DUMMYFUNCTION("""COMPUTED_VALUE"""),1780.0)</f>
        <v>1780</v>
      </c>
      <c r="J3770" s="25">
        <f>IFERROR(__xludf.DUMMYFUNCTION("""COMPUTED_VALUE"""),1900.0)</f>
        <v>1900</v>
      </c>
      <c r="K3770" s="25">
        <f>IFERROR(__xludf.DUMMYFUNCTION("""COMPUTED_VALUE"""),1760.85)</f>
        <v>1760.85</v>
      </c>
      <c r="L3770" s="25">
        <f>IFERROR(__xludf.DUMMYFUNCTION("""COMPUTED_VALUE"""),1878.25)</f>
        <v>1878.25</v>
      </c>
      <c r="M3770" s="25">
        <f>IFERROR(__xludf.DUMMYFUNCTION("""COMPUTED_VALUE"""),5934424.0)</f>
        <v>5934424</v>
      </c>
    </row>
    <row r="3771">
      <c r="A3771" s="26">
        <f>IFERROR(__xludf.DUMMYFUNCTION("""COMPUTED_VALUE"""),43944.64583333333)</f>
        <v>43944.64583</v>
      </c>
      <c r="B3771" s="9">
        <f>IFERROR(__xludf.DUMMYFUNCTION("""COMPUTED_VALUE"""),647.05)</f>
        <v>647.05</v>
      </c>
      <c r="C3771" s="9">
        <f>IFERROR(__xludf.DUMMYFUNCTION("""COMPUTED_VALUE"""),683.65)</f>
        <v>683.65</v>
      </c>
      <c r="D3771" s="9">
        <f>IFERROR(__xludf.DUMMYFUNCTION("""COMPUTED_VALUE"""),638.1)</f>
        <v>638.1</v>
      </c>
      <c r="E3771" s="9">
        <f>IFERROR(__xludf.DUMMYFUNCTION("""COMPUTED_VALUE"""),679.3)</f>
        <v>679.3</v>
      </c>
      <c r="F3771" s="9">
        <f>IFERROR(__xludf.DUMMYFUNCTION("""COMPUTED_VALUE"""),1.4451294E7)</f>
        <v>14451294</v>
      </c>
      <c r="H3771" s="27">
        <f>IFERROR(__xludf.DUMMYFUNCTION("""COMPUTED_VALUE"""),43945.64583333333)</f>
        <v>43945.64583</v>
      </c>
      <c r="I3771" s="25">
        <f>IFERROR(__xludf.DUMMYFUNCTION("""COMPUTED_VALUE"""),1840.7)</f>
        <v>1840.7</v>
      </c>
      <c r="J3771" s="25">
        <f>IFERROR(__xludf.DUMMYFUNCTION("""COMPUTED_VALUE"""),1851.95)</f>
        <v>1851.95</v>
      </c>
      <c r="K3771" s="25">
        <f>IFERROR(__xludf.DUMMYFUNCTION("""COMPUTED_VALUE"""),1807.8)</f>
        <v>1807.8</v>
      </c>
      <c r="L3771" s="25">
        <f>IFERROR(__xludf.DUMMYFUNCTION("""COMPUTED_VALUE"""),1818.55)</f>
        <v>1818.55</v>
      </c>
      <c r="M3771" s="25">
        <f>IFERROR(__xludf.DUMMYFUNCTION("""COMPUTED_VALUE"""),2987150.0)</f>
        <v>2987150</v>
      </c>
    </row>
    <row r="3772">
      <c r="A3772" s="26">
        <f>IFERROR(__xludf.DUMMYFUNCTION("""COMPUTED_VALUE"""),43945.64583333333)</f>
        <v>43945.64583</v>
      </c>
      <c r="B3772" s="9">
        <f>IFERROR(__xludf.DUMMYFUNCTION("""COMPUTED_VALUE"""),668.55)</f>
        <v>668.55</v>
      </c>
      <c r="C3772" s="9">
        <f>IFERROR(__xludf.DUMMYFUNCTION("""COMPUTED_VALUE"""),675.0)</f>
        <v>675</v>
      </c>
      <c r="D3772" s="9">
        <f>IFERROR(__xludf.DUMMYFUNCTION("""COMPUTED_VALUE"""),654.8)</f>
        <v>654.8</v>
      </c>
      <c r="E3772" s="9">
        <f>IFERROR(__xludf.DUMMYFUNCTION("""COMPUTED_VALUE"""),658.0)</f>
        <v>658</v>
      </c>
      <c r="F3772" s="9">
        <f>IFERROR(__xludf.DUMMYFUNCTION("""COMPUTED_VALUE"""),7319950.0)</f>
        <v>7319950</v>
      </c>
      <c r="H3772" s="27">
        <f>IFERROR(__xludf.DUMMYFUNCTION("""COMPUTED_VALUE"""),43948.64583333333)</f>
        <v>43948.64583</v>
      </c>
      <c r="I3772" s="25">
        <f>IFERROR(__xludf.DUMMYFUNCTION("""COMPUTED_VALUE"""),1832.3)</f>
        <v>1832.3</v>
      </c>
      <c r="J3772" s="25">
        <f>IFERROR(__xludf.DUMMYFUNCTION("""COMPUTED_VALUE"""),1875.0)</f>
        <v>1875</v>
      </c>
      <c r="K3772" s="25">
        <f>IFERROR(__xludf.DUMMYFUNCTION("""COMPUTED_VALUE"""),1825.0)</f>
        <v>1825</v>
      </c>
      <c r="L3772" s="25">
        <f>IFERROR(__xludf.DUMMYFUNCTION("""COMPUTED_VALUE"""),1836.6)</f>
        <v>1836.6</v>
      </c>
      <c r="M3772" s="25">
        <f>IFERROR(__xludf.DUMMYFUNCTION("""COMPUTED_VALUE"""),3374747.0)</f>
        <v>3374747</v>
      </c>
    </row>
    <row r="3773">
      <c r="A3773" s="26">
        <f>IFERROR(__xludf.DUMMYFUNCTION("""COMPUTED_VALUE"""),43948.64583333333)</f>
        <v>43948.64583</v>
      </c>
      <c r="B3773" s="9">
        <f>IFERROR(__xludf.DUMMYFUNCTION("""COMPUTED_VALUE"""),661.05)</f>
        <v>661.05</v>
      </c>
      <c r="C3773" s="9">
        <f>IFERROR(__xludf.DUMMYFUNCTION("""COMPUTED_VALUE"""),681.0)</f>
        <v>681</v>
      </c>
      <c r="D3773" s="9">
        <f>IFERROR(__xludf.DUMMYFUNCTION("""COMPUTED_VALUE"""),661.05)</f>
        <v>661.05</v>
      </c>
      <c r="E3773" s="9">
        <f>IFERROR(__xludf.DUMMYFUNCTION("""COMPUTED_VALUE"""),664.6)</f>
        <v>664.6</v>
      </c>
      <c r="F3773" s="9">
        <f>IFERROR(__xludf.DUMMYFUNCTION("""COMPUTED_VALUE"""),7183316.0)</f>
        <v>7183316</v>
      </c>
      <c r="H3773" s="27">
        <f>IFERROR(__xludf.DUMMYFUNCTION("""COMPUTED_VALUE"""),43949.64583333333)</f>
        <v>43949.64583</v>
      </c>
      <c r="I3773" s="25">
        <f>IFERROR(__xludf.DUMMYFUNCTION("""COMPUTED_VALUE"""),1865.0)</f>
        <v>1865</v>
      </c>
      <c r="J3773" s="25">
        <f>IFERROR(__xludf.DUMMYFUNCTION("""COMPUTED_VALUE"""),1868.0)</f>
        <v>1868</v>
      </c>
      <c r="K3773" s="25">
        <f>IFERROR(__xludf.DUMMYFUNCTION("""COMPUTED_VALUE"""),1832.6)</f>
        <v>1832.6</v>
      </c>
      <c r="L3773" s="25">
        <f>IFERROR(__xludf.DUMMYFUNCTION("""COMPUTED_VALUE"""),1859.05)</f>
        <v>1859.05</v>
      </c>
      <c r="M3773" s="25">
        <f>IFERROR(__xludf.DUMMYFUNCTION("""COMPUTED_VALUE"""),2678512.0)</f>
        <v>2678512</v>
      </c>
    </row>
    <row r="3774">
      <c r="A3774" s="26">
        <f>IFERROR(__xludf.DUMMYFUNCTION("""COMPUTED_VALUE"""),43949.64583333333)</f>
        <v>43949.64583</v>
      </c>
      <c r="B3774" s="9">
        <f>IFERROR(__xludf.DUMMYFUNCTION("""COMPUTED_VALUE"""),673.0)</f>
        <v>673</v>
      </c>
      <c r="C3774" s="9">
        <f>IFERROR(__xludf.DUMMYFUNCTION("""COMPUTED_VALUE"""),677.0)</f>
        <v>677</v>
      </c>
      <c r="D3774" s="9">
        <f>IFERROR(__xludf.DUMMYFUNCTION("""COMPUTED_VALUE"""),653.05)</f>
        <v>653.05</v>
      </c>
      <c r="E3774" s="9">
        <f>IFERROR(__xludf.DUMMYFUNCTION("""COMPUTED_VALUE"""),660.7)</f>
        <v>660.7</v>
      </c>
      <c r="F3774" s="9">
        <f>IFERROR(__xludf.DUMMYFUNCTION("""COMPUTED_VALUE"""),7296594.0)</f>
        <v>7296594</v>
      </c>
      <c r="H3774" s="27">
        <f>IFERROR(__xludf.DUMMYFUNCTION("""COMPUTED_VALUE"""),43950.64583333333)</f>
        <v>43950.64583</v>
      </c>
      <c r="I3774" s="25">
        <f>IFERROR(__xludf.DUMMYFUNCTION("""COMPUTED_VALUE"""),1874.0)</f>
        <v>1874</v>
      </c>
      <c r="J3774" s="25">
        <f>IFERROR(__xludf.DUMMYFUNCTION("""COMPUTED_VALUE"""),1912.55)</f>
        <v>1912.55</v>
      </c>
      <c r="K3774" s="25">
        <f>IFERROR(__xludf.DUMMYFUNCTION("""COMPUTED_VALUE"""),1850.05)</f>
        <v>1850.05</v>
      </c>
      <c r="L3774" s="25">
        <f>IFERROR(__xludf.DUMMYFUNCTION("""COMPUTED_VALUE"""),1905.65)</f>
        <v>1905.65</v>
      </c>
      <c r="M3774" s="25">
        <f>IFERROR(__xludf.DUMMYFUNCTION("""COMPUTED_VALUE"""),4241579.0)</f>
        <v>4241579</v>
      </c>
    </row>
    <row r="3775">
      <c r="A3775" s="26">
        <f>IFERROR(__xludf.DUMMYFUNCTION("""COMPUTED_VALUE"""),43950.64583333333)</f>
        <v>43950.64583</v>
      </c>
      <c r="B3775" s="9">
        <f>IFERROR(__xludf.DUMMYFUNCTION("""COMPUTED_VALUE"""),666.0)</f>
        <v>666</v>
      </c>
      <c r="C3775" s="9">
        <f>IFERROR(__xludf.DUMMYFUNCTION("""COMPUTED_VALUE"""),682.0)</f>
        <v>682</v>
      </c>
      <c r="D3775" s="9">
        <f>IFERROR(__xludf.DUMMYFUNCTION("""COMPUTED_VALUE"""),658.0)</f>
        <v>658</v>
      </c>
      <c r="E3775" s="9">
        <f>IFERROR(__xludf.DUMMYFUNCTION("""COMPUTED_VALUE"""),676.55)</f>
        <v>676.55</v>
      </c>
      <c r="F3775" s="9">
        <f>IFERROR(__xludf.DUMMYFUNCTION("""COMPUTED_VALUE"""),8639246.0)</f>
        <v>8639246</v>
      </c>
      <c r="H3775" s="27">
        <f>IFERROR(__xludf.DUMMYFUNCTION("""COMPUTED_VALUE"""),43951.64583333333)</f>
        <v>43951.64583</v>
      </c>
      <c r="I3775" s="25">
        <f>IFERROR(__xludf.DUMMYFUNCTION("""COMPUTED_VALUE"""),1980.0)</f>
        <v>1980</v>
      </c>
      <c r="J3775" s="25">
        <f>IFERROR(__xludf.DUMMYFUNCTION("""COMPUTED_VALUE"""),2032.0)</f>
        <v>2032</v>
      </c>
      <c r="K3775" s="25">
        <f>IFERROR(__xludf.DUMMYFUNCTION("""COMPUTED_VALUE"""),1942.2)</f>
        <v>1942.2</v>
      </c>
      <c r="L3775" s="25">
        <f>IFERROR(__xludf.DUMMYFUNCTION("""COMPUTED_VALUE"""),2014.45)</f>
        <v>2014.45</v>
      </c>
      <c r="M3775" s="25">
        <f>IFERROR(__xludf.DUMMYFUNCTION("""COMPUTED_VALUE"""),5915950.0)</f>
        <v>5915950</v>
      </c>
    </row>
    <row r="3776">
      <c r="A3776" s="26">
        <f>IFERROR(__xludf.DUMMYFUNCTION("""COMPUTED_VALUE"""),43951.64583333333)</f>
        <v>43951.64583</v>
      </c>
      <c r="B3776" s="9">
        <f>IFERROR(__xludf.DUMMYFUNCTION("""COMPUTED_VALUE"""),700.0)</f>
        <v>700</v>
      </c>
      <c r="C3776" s="9">
        <f>IFERROR(__xludf.DUMMYFUNCTION("""COMPUTED_VALUE"""),720.0)</f>
        <v>720</v>
      </c>
      <c r="D3776" s="9">
        <f>IFERROR(__xludf.DUMMYFUNCTION("""COMPUTED_VALUE"""),698.1)</f>
        <v>698.1</v>
      </c>
      <c r="E3776" s="9">
        <f>IFERROR(__xludf.DUMMYFUNCTION("""COMPUTED_VALUE"""),715.5)</f>
        <v>715.5</v>
      </c>
      <c r="F3776" s="9">
        <f>IFERROR(__xludf.DUMMYFUNCTION("""COMPUTED_VALUE"""),1.6254036E7)</f>
        <v>16254036</v>
      </c>
      <c r="H3776" s="27">
        <f>IFERROR(__xludf.DUMMYFUNCTION("""COMPUTED_VALUE"""),43955.64583333333)</f>
        <v>43955.64583</v>
      </c>
      <c r="I3776" s="25">
        <f>IFERROR(__xludf.DUMMYFUNCTION("""COMPUTED_VALUE"""),1966.0)</f>
        <v>1966</v>
      </c>
      <c r="J3776" s="25">
        <f>IFERROR(__xludf.DUMMYFUNCTION("""COMPUTED_VALUE"""),1966.0)</f>
        <v>1966</v>
      </c>
      <c r="K3776" s="25">
        <f>IFERROR(__xludf.DUMMYFUNCTION("""COMPUTED_VALUE"""),1913.65)</f>
        <v>1913.65</v>
      </c>
      <c r="L3776" s="25">
        <f>IFERROR(__xludf.DUMMYFUNCTION("""COMPUTED_VALUE"""),1930.45)</f>
        <v>1930.45</v>
      </c>
      <c r="M3776" s="25">
        <f>IFERROR(__xludf.DUMMYFUNCTION("""COMPUTED_VALUE"""),3729409.0)</f>
        <v>3729409</v>
      </c>
    </row>
    <row r="3777">
      <c r="A3777" s="26">
        <f>IFERROR(__xludf.DUMMYFUNCTION("""COMPUTED_VALUE"""),43955.64583333333)</f>
        <v>43955.64583</v>
      </c>
      <c r="B3777" s="9">
        <f>IFERROR(__xludf.DUMMYFUNCTION("""COMPUTED_VALUE"""),689.8)</f>
        <v>689.8</v>
      </c>
      <c r="C3777" s="9">
        <f>IFERROR(__xludf.DUMMYFUNCTION("""COMPUTED_VALUE"""),701.2)</f>
        <v>701.2</v>
      </c>
      <c r="D3777" s="9">
        <f>IFERROR(__xludf.DUMMYFUNCTION("""COMPUTED_VALUE"""),670.35)</f>
        <v>670.35</v>
      </c>
      <c r="E3777" s="9">
        <f>IFERROR(__xludf.DUMMYFUNCTION("""COMPUTED_VALUE"""),673.7)</f>
        <v>673.7</v>
      </c>
      <c r="F3777" s="9">
        <f>IFERROR(__xludf.DUMMYFUNCTION("""COMPUTED_VALUE"""),9122803.0)</f>
        <v>9122803</v>
      </c>
      <c r="H3777" s="27">
        <f>IFERROR(__xludf.DUMMYFUNCTION("""COMPUTED_VALUE"""),43956.64583333333)</f>
        <v>43956.64583</v>
      </c>
      <c r="I3777" s="25">
        <f>IFERROR(__xludf.DUMMYFUNCTION("""COMPUTED_VALUE"""),1955.1)</f>
        <v>1955.1</v>
      </c>
      <c r="J3777" s="25">
        <f>IFERROR(__xludf.DUMMYFUNCTION("""COMPUTED_VALUE"""),1977.0)</f>
        <v>1977</v>
      </c>
      <c r="K3777" s="25">
        <f>IFERROR(__xludf.DUMMYFUNCTION("""COMPUTED_VALUE"""),1927.0)</f>
        <v>1927</v>
      </c>
      <c r="L3777" s="25">
        <f>IFERROR(__xludf.DUMMYFUNCTION("""COMPUTED_VALUE"""),1932.75)</f>
        <v>1932.75</v>
      </c>
      <c r="M3777" s="25">
        <f>IFERROR(__xludf.DUMMYFUNCTION("""COMPUTED_VALUE"""),2905541.0)</f>
        <v>2905541</v>
      </c>
    </row>
    <row r="3778">
      <c r="A3778" s="26">
        <f>IFERROR(__xludf.DUMMYFUNCTION("""COMPUTED_VALUE"""),43956.64583333333)</f>
        <v>43956.64583</v>
      </c>
      <c r="B3778" s="9">
        <f>IFERROR(__xludf.DUMMYFUNCTION("""COMPUTED_VALUE"""),681.75)</f>
        <v>681.75</v>
      </c>
      <c r="C3778" s="9">
        <f>IFERROR(__xludf.DUMMYFUNCTION("""COMPUTED_VALUE"""),685.6)</f>
        <v>685.6</v>
      </c>
      <c r="D3778" s="9">
        <f>IFERROR(__xludf.DUMMYFUNCTION("""COMPUTED_VALUE"""),670.0)</f>
        <v>670</v>
      </c>
      <c r="E3778" s="9">
        <f>IFERROR(__xludf.DUMMYFUNCTION("""COMPUTED_VALUE"""),673.7)</f>
        <v>673.7</v>
      </c>
      <c r="F3778" s="9">
        <f>IFERROR(__xludf.DUMMYFUNCTION("""COMPUTED_VALUE"""),6393108.0)</f>
        <v>6393108</v>
      </c>
      <c r="H3778" s="27">
        <f>IFERROR(__xludf.DUMMYFUNCTION("""COMPUTED_VALUE"""),43957.64583333333)</f>
        <v>43957.64583</v>
      </c>
      <c r="I3778" s="25">
        <f>IFERROR(__xludf.DUMMYFUNCTION("""COMPUTED_VALUE"""),1939.8)</f>
        <v>1939.8</v>
      </c>
      <c r="J3778" s="25">
        <f>IFERROR(__xludf.DUMMYFUNCTION("""COMPUTED_VALUE"""),1953.7)</f>
        <v>1953.7</v>
      </c>
      <c r="K3778" s="25">
        <f>IFERROR(__xludf.DUMMYFUNCTION("""COMPUTED_VALUE"""),1893.6)</f>
        <v>1893.6</v>
      </c>
      <c r="L3778" s="25">
        <f>IFERROR(__xludf.DUMMYFUNCTION("""COMPUTED_VALUE"""),1903.6)</f>
        <v>1903.6</v>
      </c>
      <c r="M3778" s="25">
        <f>IFERROR(__xludf.DUMMYFUNCTION("""COMPUTED_VALUE"""),3517432.0)</f>
        <v>3517432</v>
      </c>
    </row>
    <row r="3779">
      <c r="A3779" s="26">
        <f>IFERROR(__xludf.DUMMYFUNCTION("""COMPUTED_VALUE"""),43957.64583333333)</f>
        <v>43957.64583</v>
      </c>
      <c r="B3779" s="9">
        <f>IFERROR(__xludf.DUMMYFUNCTION("""COMPUTED_VALUE"""),676.9)</f>
        <v>676.9</v>
      </c>
      <c r="C3779" s="9">
        <f>IFERROR(__xludf.DUMMYFUNCTION("""COMPUTED_VALUE"""),681.45)</f>
        <v>681.45</v>
      </c>
      <c r="D3779" s="9">
        <f>IFERROR(__xludf.DUMMYFUNCTION("""COMPUTED_VALUE"""),664.05)</f>
        <v>664.05</v>
      </c>
      <c r="E3779" s="9">
        <f>IFERROR(__xludf.DUMMYFUNCTION("""COMPUTED_VALUE"""),665.9)</f>
        <v>665.9</v>
      </c>
      <c r="F3779" s="9">
        <f>IFERROR(__xludf.DUMMYFUNCTION("""COMPUTED_VALUE"""),7934457.0)</f>
        <v>7934457</v>
      </c>
      <c r="H3779" s="27">
        <f>IFERROR(__xludf.DUMMYFUNCTION("""COMPUTED_VALUE"""),43958.64583333333)</f>
        <v>43958.64583</v>
      </c>
      <c r="I3779" s="25">
        <f>IFERROR(__xludf.DUMMYFUNCTION("""COMPUTED_VALUE"""),1910.0)</f>
        <v>1910</v>
      </c>
      <c r="J3779" s="25">
        <f>IFERROR(__xludf.DUMMYFUNCTION("""COMPUTED_VALUE"""),1934.45)</f>
        <v>1934.45</v>
      </c>
      <c r="K3779" s="25">
        <f>IFERROR(__xludf.DUMMYFUNCTION("""COMPUTED_VALUE"""),1883.35)</f>
        <v>1883.35</v>
      </c>
      <c r="L3779" s="25">
        <f>IFERROR(__xludf.DUMMYFUNCTION("""COMPUTED_VALUE"""),1891.65)</f>
        <v>1891.65</v>
      </c>
      <c r="M3779" s="25">
        <f>IFERROR(__xludf.DUMMYFUNCTION("""COMPUTED_VALUE"""),3166784.0)</f>
        <v>3166784</v>
      </c>
    </row>
    <row r="3780">
      <c r="A3780" s="26">
        <f>IFERROR(__xludf.DUMMYFUNCTION("""COMPUTED_VALUE"""),43958.64583333333)</f>
        <v>43958.64583</v>
      </c>
      <c r="B3780" s="9">
        <f>IFERROR(__xludf.DUMMYFUNCTION("""COMPUTED_VALUE"""),665.55)</f>
        <v>665.55</v>
      </c>
      <c r="C3780" s="9">
        <f>IFERROR(__xludf.DUMMYFUNCTION("""COMPUTED_VALUE"""),674.35)</f>
        <v>674.35</v>
      </c>
      <c r="D3780" s="9">
        <f>IFERROR(__xludf.DUMMYFUNCTION("""COMPUTED_VALUE"""),662.45)</f>
        <v>662.45</v>
      </c>
      <c r="E3780" s="9">
        <f>IFERROR(__xludf.DUMMYFUNCTION("""COMPUTED_VALUE"""),664.95)</f>
        <v>664.95</v>
      </c>
      <c r="F3780" s="9">
        <f>IFERROR(__xludf.DUMMYFUNCTION("""COMPUTED_VALUE"""),4779550.0)</f>
        <v>4779550</v>
      </c>
      <c r="H3780" s="27">
        <f>IFERROR(__xludf.DUMMYFUNCTION("""COMPUTED_VALUE"""),43959.64583333333)</f>
        <v>43959.64583</v>
      </c>
      <c r="I3780" s="25">
        <f>IFERROR(__xludf.DUMMYFUNCTION("""COMPUTED_VALUE"""),1939.1)</f>
        <v>1939.1</v>
      </c>
      <c r="J3780" s="25">
        <f>IFERROR(__xludf.DUMMYFUNCTION("""COMPUTED_VALUE"""),1939.5)</f>
        <v>1939.5</v>
      </c>
      <c r="K3780" s="25">
        <f>IFERROR(__xludf.DUMMYFUNCTION("""COMPUTED_VALUE"""),1886.25)</f>
        <v>1886.25</v>
      </c>
      <c r="L3780" s="25">
        <f>IFERROR(__xludf.DUMMYFUNCTION("""COMPUTED_VALUE"""),1893.4)</f>
        <v>1893.4</v>
      </c>
      <c r="M3780" s="25">
        <f>IFERROR(__xludf.DUMMYFUNCTION("""COMPUTED_VALUE"""),2686536.0)</f>
        <v>2686536</v>
      </c>
    </row>
    <row r="3781">
      <c r="A3781" s="26">
        <f>IFERROR(__xludf.DUMMYFUNCTION("""COMPUTED_VALUE"""),43959.64583333333)</f>
        <v>43959.64583</v>
      </c>
      <c r="B3781" s="9">
        <f>IFERROR(__xludf.DUMMYFUNCTION("""COMPUTED_VALUE"""),672.25)</f>
        <v>672.25</v>
      </c>
      <c r="C3781" s="9">
        <f>IFERROR(__xludf.DUMMYFUNCTION("""COMPUTED_VALUE"""),680.9)</f>
        <v>680.9</v>
      </c>
      <c r="D3781" s="9">
        <f>IFERROR(__xludf.DUMMYFUNCTION("""COMPUTED_VALUE"""),668.5)</f>
        <v>668.5</v>
      </c>
      <c r="E3781" s="9">
        <f>IFERROR(__xludf.DUMMYFUNCTION("""COMPUTED_VALUE"""),674.2)</f>
        <v>674.2</v>
      </c>
      <c r="F3781" s="9">
        <f>IFERROR(__xludf.DUMMYFUNCTION("""COMPUTED_VALUE"""),8400376.0)</f>
        <v>8400376</v>
      </c>
      <c r="H3781" s="27">
        <f>IFERROR(__xludf.DUMMYFUNCTION("""COMPUTED_VALUE"""),43962.64583333333)</f>
        <v>43962.64583</v>
      </c>
      <c r="I3781" s="25">
        <f>IFERROR(__xludf.DUMMYFUNCTION("""COMPUTED_VALUE"""),1909.0)</f>
        <v>1909</v>
      </c>
      <c r="J3781" s="25">
        <f>IFERROR(__xludf.DUMMYFUNCTION("""COMPUTED_VALUE"""),1951.4)</f>
        <v>1951.4</v>
      </c>
      <c r="K3781" s="25">
        <f>IFERROR(__xludf.DUMMYFUNCTION("""COMPUTED_VALUE"""),1909.0)</f>
        <v>1909</v>
      </c>
      <c r="L3781" s="25">
        <f>IFERROR(__xludf.DUMMYFUNCTION("""COMPUTED_VALUE"""),1935.3)</f>
        <v>1935.3</v>
      </c>
      <c r="M3781" s="25">
        <f>IFERROR(__xludf.DUMMYFUNCTION("""COMPUTED_VALUE"""),2449846.0)</f>
        <v>2449846</v>
      </c>
    </row>
    <row r="3782">
      <c r="A3782" s="26">
        <f>IFERROR(__xludf.DUMMYFUNCTION("""COMPUTED_VALUE"""),43962.64583333333)</f>
        <v>43962.64583</v>
      </c>
      <c r="B3782" s="9">
        <f>IFERROR(__xludf.DUMMYFUNCTION("""COMPUTED_VALUE"""),682.5)</f>
        <v>682.5</v>
      </c>
      <c r="C3782" s="9">
        <f>IFERROR(__xludf.DUMMYFUNCTION("""COMPUTED_VALUE"""),698.55)</f>
        <v>698.55</v>
      </c>
      <c r="D3782" s="9">
        <f>IFERROR(__xludf.DUMMYFUNCTION("""COMPUTED_VALUE"""),678.0)</f>
        <v>678</v>
      </c>
      <c r="E3782" s="9">
        <f>IFERROR(__xludf.DUMMYFUNCTION("""COMPUTED_VALUE"""),682.9)</f>
        <v>682.9</v>
      </c>
      <c r="F3782" s="9">
        <f>IFERROR(__xludf.DUMMYFUNCTION("""COMPUTED_VALUE"""),7370192.0)</f>
        <v>7370192</v>
      </c>
      <c r="H3782" s="27">
        <f>IFERROR(__xludf.DUMMYFUNCTION("""COMPUTED_VALUE"""),43963.64583333333)</f>
        <v>43963.64583</v>
      </c>
      <c r="I3782" s="25">
        <f>IFERROR(__xludf.DUMMYFUNCTION("""COMPUTED_VALUE"""),1933.4)</f>
        <v>1933.4</v>
      </c>
      <c r="J3782" s="25">
        <f>IFERROR(__xludf.DUMMYFUNCTION("""COMPUTED_VALUE"""),1956.5)</f>
        <v>1956.5</v>
      </c>
      <c r="K3782" s="25">
        <f>IFERROR(__xludf.DUMMYFUNCTION("""COMPUTED_VALUE"""),1910.25)</f>
        <v>1910.25</v>
      </c>
      <c r="L3782" s="25">
        <f>IFERROR(__xludf.DUMMYFUNCTION("""COMPUTED_VALUE"""),1949.5)</f>
        <v>1949.5</v>
      </c>
      <c r="M3782" s="25">
        <f>IFERROR(__xludf.DUMMYFUNCTION("""COMPUTED_VALUE"""),3256630.0)</f>
        <v>3256630</v>
      </c>
    </row>
    <row r="3783">
      <c r="A3783" s="26">
        <f>IFERROR(__xludf.DUMMYFUNCTION("""COMPUTED_VALUE"""),43963.64583333333)</f>
        <v>43963.64583</v>
      </c>
      <c r="B3783" s="9">
        <f>IFERROR(__xludf.DUMMYFUNCTION("""COMPUTED_VALUE"""),678.5)</f>
        <v>678.5</v>
      </c>
      <c r="C3783" s="9">
        <f>IFERROR(__xludf.DUMMYFUNCTION("""COMPUTED_VALUE"""),691.0)</f>
        <v>691</v>
      </c>
      <c r="D3783" s="9">
        <f>IFERROR(__xludf.DUMMYFUNCTION("""COMPUTED_VALUE"""),675.5)</f>
        <v>675.5</v>
      </c>
      <c r="E3783" s="9">
        <f>IFERROR(__xludf.DUMMYFUNCTION("""COMPUTED_VALUE"""),687.65)</f>
        <v>687.65</v>
      </c>
      <c r="F3783" s="9">
        <f>IFERROR(__xludf.DUMMYFUNCTION("""COMPUTED_VALUE"""),7356063.0)</f>
        <v>7356063</v>
      </c>
      <c r="H3783" s="27">
        <f>IFERROR(__xludf.DUMMYFUNCTION("""COMPUTED_VALUE"""),43964.64583333333)</f>
        <v>43964.64583</v>
      </c>
      <c r="I3783" s="25">
        <f>IFERROR(__xludf.DUMMYFUNCTION("""COMPUTED_VALUE"""),1994.0)</f>
        <v>1994</v>
      </c>
      <c r="J3783" s="25">
        <f>IFERROR(__xludf.DUMMYFUNCTION("""COMPUTED_VALUE"""),1994.0)</f>
        <v>1994</v>
      </c>
      <c r="K3783" s="25">
        <f>IFERROR(__xludf.DUMMYFUNCTION("""COMPUTED_VALUE"""),1925.65)</f>
        <v>1925.65</v>
      </c>
      <c r="L3783" s="25">
        <f>IFERROR(__xludf.DUMMYFUNCTION("""COMPUTED_VALUE"""),1949.65)</f>
        <v>1949.65</v>
      </c>
      <c r="M3783" s="25">
        <f>IFERROR(__xludf.DUMMYFUNCTION("""COMPUTED_VALUE"""),2656665.0)</f>
        <v>2656665</v>
      </c>
    </row>
    <row r="3784">
      <c r="A3784" s="26">
        <f>IFERROR(__xludf.DUMMYFUNCTION("""COMPUTED_VALUE"""),43964.64583333333)</f>
        <v>43964.64583</v>
      </c>
      <c r="B3784" s="9">
        <f>IFERROR(__xludf.DUMMYFUNCTION("""COMPUTED_VALUE"""),694.8)</f>
        <v>694.8</v>
      </c>
      <c r="C3784" s="9">
        <f>IFERROR(__xludf.DUMMYFUNCTION("""COMPUTED_VALUE"""),699.9)</f>
        <v>699.9</v>
      </c>
      <c r="D3784" s="9">
        <f>IFERROR(__xludf.DUMMYFUNCTION("""COMPUTED_VALUE"""),683.75)</f>
        <v>683.75</v>
      </c>
      <c r="E3784" s="9">
        <f>IFERROR(__xludf.DUMMYFUNCTION("""COMPUTED_VALUE"""),694.15)</f>
        <v>694.15</v>
      </c>
      <c r="F3784" s="9">
        <f>IFERROR(__xludf.DUMMYFUNCTION("""COMPUTED_VALUE"""),8287106.0)</f>
        <v>8287106</v>
      </c>
      <c r="H3784" s="27">
        <f>IFERROR(__xludf.DUMMYFUNCTION("""COMPUTED_VALUE"""),43965.64583333333)</f>
        <v>43965.64583</v>
      </c>
      <c r="I3784" s="25">
        <f>IFERROR(__xludf.DUMMYFUNCTION("""COMPUTED_VALUE"""),1910.0)</f>
        <v>1910</v>
      </c>
      <c r="J3784" s="25">
        <f>IFERROR(__xludf.DUMMYFUNCTION("""COMPUTED_VALUE"""),1923.1)</f>
        <v>1923.1</v>
      </c>
      <c r="K3784" s="25">
        <f>IFERROR(__xludf.DUMMYFUNCTION("""COMPUTED_VALUE"""),1891.1)</f>
        <v>1891.1</v>
      </c>
      <c r="L3784" s="25">
        <f>IFERROR(__xludf.DUMMYFUNCTION("""COMPUTED_VALUE"""),1902.35)</f>
        <v>1902.35</v>
      </c>
      <c r="M3784" s="25">
        <f>IFERROR(__xludf.DUMMYFUNCTION("""COMPUTED_VALUE"""),2263204.0)</f>
        <v>2263204</v>
      </c>
    </row>
    <row r="3785">
      <c r="A3785" s="26">
        <f>IFERROR(__xludf.DUMMYFUNCTION("""COMPUTED_VALUE"""),43965.64583333333)</f>
        <v>43965.64583</v>
      </c>
      <c r="B3785" s="9">
        <f>IFERROR(__xludf.DUMMYFUNCTION("""COMPUTED_VALUE"""),659.0)</f>
        <v>659</v>
      </c>
      <c r="C3785" s="9">
        <f>IFERROR(__xludf.DUMMYFUNCTION("""COMPUTED_VALUE"""),671.75)</f>
        <v>671.75</v>
      </c>
      <c r="D3785" s="9">
        <f>IFERROR(__xludf.DUMMYFUNCTION("""COMPUTED_VALUE"""),652.6)</f>
        <v>652.6</v>
      </c>
      <c r="E3785" s="9">
        <f>IFERROR(__xludf.DUMMYFUNCTION("""COMPUTED_VALUE"""),658.15)</f>
        <v>658.15</v>
      </c>
      <c r="F3785" s="9">
        <f>IFERROR(__xludf.DUMMYFUNCTION("""COMPUTED_VALUE"""),1.6888356E7)</f>
        <v>16888356</v>
      </c>
      <c r="H3785" s="27">
        <f>IFERROR(__xludf.DUMMYFUNCTION("""COMPUTED_VALUE"""),43966.64583333333)</f>
        <v>43966.64583</v>
      </c>
      <c r="I3785" s="25">
        <f>IFERROR(__xludf.DUMMYFUNCTION("""COMPUTED_VALUE"""),1916.0)</f>
        <v>1916</v>
      </c>
      <c r="J3785" s="25">
        <f>IFERROR(__xludf.DUMMYFUNCTION("""COMPUTED_VALUE"""),1917.4)</f>
        <v>1917.4</v>
      </c>
      <c r="K3785" s="25">
        <f>IFERROR(__xludf.DUMMYFUNCTION("""COMPUTED_VALUE"""),1865.2)</f>
        <v>1865.2</v>
      </c>
      <c r="L3785" s="25">
        <f>IFERROR(__xludf.DUMMYFUNCTION("""COMPUTED_VALUE"""),1892.9)</f>
        <v>1892.9</v>
      </c>
      <c r="M3785" s="25">
        <f>IFERROR(__xludf.DUMMYFUNCTION("""COMPUTED_VALUE"""),3173682.0)</f>
        <v>3173682</v>
      </c>
    </row>
    <row r="3786">
      <c r="A3786" s="26">
        <f>IFERROR(__xludf.DUMMYFUNCTION("""COMPUTED_VALUE"""),43966.64583333333)</f>
        <v>43966.64583</v>
      </c>
      <c r="B3786" s="9">
        <f>IFERROR(__xludf.DUMMYFUNCTION("""COMPUTED_VALUE"""),664.8)</f>
        <v>664.8</v>
      </c>
      <c r="C3786" s="9">
        <f>IFERROR(__xludf.DUMMYFUNCTION("""COMPUTED_VALUE"""),664.8)</f>
        <v>664.8</v>
      </c>
      <c r="D3786" s="9">
        <f>IFERROR(__xludf.DUMMYFUNCTION("""COMPUTED_VALUE"""),646.7)</f>
        <v>646.7</v>
      </c>
      <c r="E3786" s="9">
        <f>IFERROR(__xludf.DUMMYFUNCTION("""COMPUTED_VALUE"""),652.3)</f>
        <v>652.3</v>
      </c>
      <c r="F3786" s="9">
        <f>IFERROR(__xludf.DUMMYFUNCTION("""COMPUTED_VALUE"""),9255353.0)</f>
        <v>9255353</v>
      </c>
      <c r="H3786" s="27">
        <f>IFERROR(__xludf.DUMMYFUNCTION("""COMPUTED_VALUE"""),43969.64583333333)</f>
        <v>43969.64583</v>
      </c>
      <c r="I3786" s="25">
        <f>IFERROR(__xludf.DUMMYFUNCTION("""COMPUTED_VALUE"""),1907.0)</f>
        <v>1907</v>
      </c>
      <c r="J3786" s="25">
        <f>IFERROR(__xludf.DUMMYFUNCTION("""COMPUTED_VALUE"""),1952.95)</f>
        <v>1952.95</v>
      </c>
      <c r="K3786" s="25">
        <f>IFERROR(__xludf.DUMMYFUNCTION("""COMPUTED_VALUE"""),1872.1)</f>
        <v>1872.1</v>
      </c>
      <c r="L3786" s="25">
        <f>IFERROR(__xludf.DUMMYFUNCTION("""COMPUTED_VALUE"""),1945.6)</f>
        <v>1945.6</v>
      </c>
      <c r="M3786" s="25">
        <f>IFERROR(__xludf.DUMMYFUNCTION("""COMPUTED_VALUE"""),3727896.0)</f>
        <v>3727896</v>
      </c>
    </row>
    <row r="3787">
      <c r="A3787" s="26">
        <f>IFERROR(__xludf.DUMMYFUNCTION("""COMPUTED_VALUE"""),43969.64583333333)</f>
        <v>43969.64583</v>
      </c>
      <c r="B3787" s="9">
        <f>IFERROR(__xludf.DUMMYFUNCTION("""COMPUTED_VALUE"""),659.85)</f>
        <v>659.85</v>
      </c>
      <c r="C3787" s="9">
        <f>IFERROR(__xludf.DUMMYFUNCTION("""COMPUTED_VALUE"""),670.55)</f>
        <v>670.55</v>
      </c>
      <c r="D3787" s="9">
        <f>IFERROR(__xludf.DUMMYFUNCTION("""COMPUTED_VALUE"""),653.0)</f>
        <v>653</v>
      </c>
      <c r="E3787" s="9">
        <f>IFERROR(__xludf.DUMMYFUNCTION("""COMPUTED_VALUE"""),663.9)</f>
        <v>663.9</v>
      </c>
      <c r="F3787" s="9">
        <f>IFERROR(__xludf.DUMMYFUNCTION("""COMPUTED_VALUE"""),1.0435495E7)</f>
        <v>10435495</v>
      </c>
      <c r="H3787" s="27">
        <f>IFERROR(__xludf.DUMMYFUNCTION("""COMPUTED_VALUE"""),43970.64583333333)</f>
        <v>43970.64583</v>
      </c>
      <c r="I3787" s="25">
        <f>IFERROR(__xludf.DUMMYFUNCTION("""COMPUTED_VALUE"""),1903.0)</f>
        <v>1903</v>
      </c>
      <c r="J3787" s="25">
        <f>IFERROR(__xludf.DUMMYFUNCTION("""COMPUTED_VALUE"""),1966.45)</f>
        <v>1966.45</v>
      </c>
      <c r="K3787" s="25">
        <f>IFERROR(__xludf.DUMMYFUNCTION("""COMPUTED_VALUE"""),1903.0)</f>
        <v>1903</v>
      </c>
      <c r="L3787" s="25">
        <f>IFERROR(__xludf.DUMMYFUNCTION("""COMPUTED_VALUE"""),1948.65)</f>
        <v>1948.65</v>
      </c>
      <c r="M3787" s="25">
        <f>IFERROR(__xludf.DUMMYFUNCTION("""COMPUTED_VALUE"""),3198699.0)</f>
        <v>3198699</v>
      </c>
    </row>
    <row r="3788">
      <c r="A3788" s="26">
        <f>IFERROR(__xludf.DUMMYFUNCTION("""COMPUTED_VALUE"""),43970.64583333333)</f>
        <v>43970.64583</v>
      </c>
      <c r="B3788" s="9">
        <f>IFERROR(__xludf.DUMMYFUNCTION("""COMPUTED_VALUE"""),664.0)</f>
        <v>664</v>
      </c>
      <c r="C3788" s="9">
        <f>IFERROR(__xludf.DUMMYFUNCTION("""COMPUTED_VALUE"""),674.8)</f>
        <v>674.8</v>
      </c>
      <c r="D3788" s="9">
        <f>IFERROR(__xludf.DUMMYFUNCTION("""COMPUTED_VALUE"""),655.0)</f>
        <v>655</v>
      </c>
      <c r="E3788" s="9">
        <f>IFERROR(__xludf.DUMMYFUNCTION("""COMPUTED_VALUE"""),668.6)</f>
        <v>668.6</v>
      </c>
      <c r="F3788" s="9">
        <f>IFERROR(__xludf.DUMMYFUNCTION("""COMPUTED_VALUE"""),5902238.0)</f>
        <v>5902238</v>
      </c>
      <c r="H3788" s="27">
        <f>IFERROR(__xludf.DUMMYFUNCTION("""COMPUTED_VALUE"""),43971.64583333333)</f>
        <v>43971.64583</v>
      </c>
      <c r="I3788" s="25">
        <f>IFERROR(__xludf.DUMMYFUNCTION("""COMPUTED_VALUE"""),1950.0)</f>
        <v>1950</v>
      </c>
      <c r="J3788" s="25">
        <f>IFERROR(__xludf.DUMMYFUNCTION("""COMPUTED_VALUE"""),1962.9)</f>
        <v>1962.9</v>
      </c>
      <c r="K3788" s="25">
        <f>IFERROR(__xludf.DUMMYFUNCTION("""COMPUTED_VALUE"""),1931.7)</f>
        <v>1931.7</v>
      </c>
      <c r="L3788" s="25">
        <f>IFERROR(__xludf.DUMMYFUNCTION("""COMPUTED_VALUE"""),1953.6)</f>
        <v>1953.6</v>
      </c>
      <c r="M3788" s="25">
        <f>IFERROR(__xludf.DUMMYFUNCTION("""COMPUTED_VALUE"""),2778505.0)</f>
        <v>2778505</v>
      </c>
    </row>
    <row r="3789">
      <c r="A3789" s="26">
        <f>IFERROR(__xludf.DUMMYFUNCTION("""COMPUTED_VALUE"""),43971.64583333333)</f>
        <v>43971.64583</v>
      </c>
      <c r="B3789" s="9">
        <f>IFERROR(__xludf.DUMMYFUNCTION("""COMPUTED_VALUE"""),668.5)</f>
        <v>668.5</v>
      </c>
      <c r="C3789" s="9">
        <f>IFERROR(__xludf.DUMMYFUNCTION("""COMPUTED_VALUE"""),673.0)</f>
        <v>673</v>
      </c>
      <c r="D3789" s="9">
        <f>IFERROR(__xludf.DUMMYFUNCTION("""COMPUTED_VALUE"""),659.65)</f>
        <v>659.65</v>
      </c>
      <c r="E3789" s="9">
        <f>IFERROR(__xludf.DUMMYFUNCTION("""COMPUTED_VALUE"""),669.55)</f>
        <v>669.55</v>
      </c>
      <c r="F3789" s="9">
        <f>IFERROR(__xludf.DUMMYFUNCTION("""COMPUTED_VALUE"""),5795193.0)</f>
        <v>5795193</v>
      </c>
      <c r="H3789" s="27">
        <f>IFERROR(__xludf.DUMMYFUNCTION("""COMPUTED_VALUE"""),43972.64583333333)</f>
        <v>43972.64583</v>
      </c>
      <c r="I3789" s="25">
        <f>IFERROR(__xludf.DUMMYFUNCTION("""COMPUTED_VALUE"""),1946.0)</f>
        <v>1946</v>
      </c>
      <c r="J3789" s="25">
        <f>IFERROR(__xludf.DUMMYFUNCTION("""COMPUTED_VALUE"""),1998.0)</f>
        <v>1998</v>
      </c>
      <c r="K3789" s="25">
        <f>IFERROR(__xludf.DUMMYFUNCTION("""COMPUTED_VALUE"""),1941.15)</f>
        <v>1941.15</v>
      </c>
      <c r="L3789" s="25">
        <f>IFERROR(__xludf.DUMMYFUNCTION("""COMPUTED_VALUE"""),1991.2)</f>
        <v>1991.2</v>
      </c>
      <c r="M3789" s="25">
        <f>IFERROR(__xludf.DUMMYFUNCTION("""COMPUTED_VALUE"""),3400925.0)</f>
        <v>3400925</v>
      </c>
    </row>
    <row r="3790">
      <c r="A3790" s="26">
        <f>IFERROR(__xludf.DUMMYFUNCTION("""COMPUTED_VALUE"""),43972.64583333333)</f>
        <v>43972.64583</v>
      </c>
      <c r="B3790" s="9">
        <f>IFERROR(__xludf.DUMMYFUNCTION("""COMPUTED_VALUE"""),666.5)</f>
        <v>666.5</v>
      </c>
      <c r="C3790" s="9">
        <f>IFERROR(__xludf.DUMMYFUNCTION("""COMPUTED_VALUE"""),679.45)</f>
        <v>679.45</v>
      </c>
      <c r="D3790" s="9">
        <f>IFERROR(__xludf.DUMMYFUNCTION("""COMPUTED_VALUE"""),665.4)</f>
        <v>665.4</v>
      </c>
      <c r="E3790" s="9">
        <f>IFERROR(__xludf.DUMMYFUNCTION("""COMPUTED_VALUE"""),672.2)</f>
        <v>672.2</v>
      </c>
      <c r="F3790" s="9">
        <f>IFERROR(__xludf.DUMMYFUNCTION("""COMPUTED_VALUE"""),7214401.0)</f>
        <v>7214401</v>
      </c>
      <c r="H3790" s="27">
        <f>IFERROR(__xludf.DUMMYFUNCTION("""COMPUTED_VALUE"""),43973.64583333333)</f>
        <v>43973.64583</v>
      </c>
      <c r="I3790" s="25">
        <f>IFERROR(__xludf.DUMMYFUNCTION("""COMPUTED_VALUE"""),1977.1)</f>
        <v>1977.1</v>
      </c>
      <c r="J3790" s="25">
        <f>IFERROR(__xludf.DUMMYFUNCTION("""COMPUTED_VALUE"""),2032.0)</f>
        <v>2032</v>
      </c>
      <c r="K3790" s="25">
        <f>IFERROR(__xludf.DUMMYFUNCTION("""COMPUTED_VALUE"""),1961.25)</f>
        <v>1961.25</v>
      </c>
      <c r="L3790" s="25">
        <f>IFERROR(__xludf.DUMMYFUNCTION("""COMPUTED_VALUE"""),2020.35)</f>
        <v>2020.35</v>
      </c>
      <c r="M3790" s="25">
        <f>IFERROR(__xludf.DUMMYFUNCTION("""COMPUTED_VALUE"""),3663422.0)</f>
        <v>3663422</v>
      </c>
    </row>
    <row r="3791">
      <c r="A3791" s="26">
        <f>IFERROR(__xludf.DUMMYFUNCTION("""COMPUTED_VALUE"""),43973.64583333333)</f>
        <v>43973.64583</v>
      </c>
      <c r="B3791" s="9">
        <f>IFERROR(__xludf.DUMMYFUNCTION("""COMPUTED_VALUE"""),675.0)</f>
        <v>675</v>
      </c>
      <c r="C3791" s="9">
        <f>IFERROR(__xludf.DUMMYFUNCTION("""COMPUTED_VALUE"""),695.85)</f>
        <v>695.85</v>
      </c>
      <c r="D3791" s="9">
        <f>IFERROR(__xludf.DUMMYFUNCTION("""COMPUTED_VALUE"""),673.5)</f>
        <v>673.5</v>
      </c>
      <c r="E3791" s="9">
        <f>IFERROR(__xludf.DUMMYFUNCTION("""COMPUTED_VALUE"""),692.35)</f>
        <v>692.35</v>
      </c>
      <c r="F3791" s="9">
        <f>IFERROR(__xludf.DUMMYFUNCTION("""COMPUTED_VALUE"""),1.1867864E7)</f>
        <v>11867864</v>
      </c>
      <c r="H3791" s="27">
        <f>IFERROR(__xludf.DUMMYFUNCTION("""COMPUTED_VALUE"""),43977.64583333333)</f>
        <v>43977.64583</v>
      </c>
      <c r="I3791" s="25">
        <f>IFERROR(__xludf.DUMMYFUNCTION("""COMPUTED_VALUE"""),2015.0)</f>
        <v>2015</v>
      </c>
      <c r="J3791" s="25">
        <f>IFERROR(__xludf.DUMMYFUNCTION("""COMPUTED_VALUE"""),2024.0)</f>
        <v>2024</v>
      </c>
      <c r="K3791" s="25">
        <f>IFERROR(__xludf.DUMMYFUNCTION("""COMPUTED_VALUE"""),1925.0)</f>
        <v>1925</v>
      </c>
      <c r="L3791" s="25">
        <f>IFERROR(__xludf.DUMMYFUNCTION("""COMPUTED_VALUE"""),1943.0)</f>
        <v>1943</v>
      </c>
      <c r="M3791" s="25">
        <f>IFERROR(__xludf.DUMMYFUNCTION("""COMPUTED_VALUE"""),4575512.0)</f>
        <v>4575512</v>
      </c>
    </row>
    <row r="3792">
      <c r="A3792" s="26">
        <f>IFERROR(__xludf.DUMMYFUNCTION("""COMPUTED_VALUE"""),43977.64583333333)</f>
        <v>43977.64583</v>
      </c>
      <c r="B3792" s="9">
        <f>IFERROR(__xludf.DUMMYFUNCTION("""COMPUTED_VALUE"""),693.0)</f>
        <v>693</v>
      </c>
      <c r="C3792" s="9">
        <f>IFERROR(__xludf.DUMMYFUNCTION("""COMPUTED_VALUE"""),699.45)</f>
        <v>699.45</v>
      </c>
      <c r="D3792" s="9">
        <f>IFERROR(__xludf.DUMMYFUNCTION("""COMPUTED_VALUE"""),679.0)</f>
        <v>679</v>
      </c>
      <c r="E3792" s="9">
        <f>IFERROR(__xludf.DUMMYFUNCTION("""COMPUTED_VALUE"""),680.55)</f>
        <v>680.55</v>
      </c>
      <c r="F3792" s="9">
        <f>IFERROR(__xludf.DUMMYFUNCTION("""COMPUTED_VALUE"""),7099719.0)</f>
        <v>7099719</v>
      </c>
      <c r="H3792" s="27">
        <f>IFERROR(__xludf.DUMMYFUNCTION("""COMPUTED_VALUE"""),43978.64583333333)</f>
        <v>43978.64583</v>
      </c>
      <c r="I3792" s="25">
        <f>IFERROR(__xludf.DUMMYFUNCTION("""COMPUTED_VALUE"""),1959.0)</f>
        <v>1959</v>
      </c>
      <c r="J3792" s="25">
        <f>IFERROR(__xludf.DUMMYFUNCTION("""COMPUTED_VALUE"""),2010.0)</f>
        <v>2010</v>
      </c>
      <c r="K3792" s="25">
        <f>IFERROR(__xludf.DUMMYFUNCTION("""COMPUTED_VALUE"""),1941.25)</f>
        <v>1941.25</v>
      </c>
      <c r="L3792" s="25">
        <f>IFERROR(__xludf.DUMMYFUNCTION("""COMPUTED_VALUE"""),2005.3)</f>
        <v>2005.3</v>
      </c>
      <c r="M3792" s="25">
        <f>IFERROR(__xludf.DUMMYFUNCTION("""COMPUTED_VALUE"""),3482185.0)</f>
        <v>3482185</v>
      </c>
    </row>
    <row r="3793">
      <c r="A3793" s="26">
        <f>IFERROR(__xludf.DUMMYFUNCTION("""COMPUTED_VALUE"""),43978.64583333333)</f>
        <v>43978.64583</v>
      </c>
      <c r="B3793" s="9">
        <f>IFERROR(__xludf.DUMMYFUNCTION("""COMPUTED_VALUE"""),686.05)</f>
        <v>686.05</v>
      </c>
      <c r="C3793" s="9">
        <f>IFERROR(__xludf.DUMMYFUNCTION("""COMPUTED_VALUE"""),709.2)</f>
        <v>709.2</v>
      </c>
      <c r="D3793" s="9">
        <f>IFERROR(__xludf.DUMMYFUNCTION("""COMPUTED_VALUE"""),675.0)</f>
        <v>675</v>
      </c>
      <c r="E3793" s="9">
        <f>IFERROR(__xludf.DUMMYFUNCTION("""COMPUTED_VALUE"""),705.45)</f>
        <v>705.45</v>
      </c>
      <c r="F3793" s="9">
        <f>IFERROR(__xludf.DUMMYFUNCTION("""COMPUTED_VALUE"""),8774694.0)</f>
        <v>8774694</v>
      </c>
      <c r="H3793" s="27">
        <f>IFERROR(__xludf.DUMMYFUNCTION("""COMPUTED_VALUE"""),43979.64583333333)</f>
        <v>43979.64583</v>
      </c>
      <c r="I3793" s="25">
        <f>IFERROR(__xludf.DUMMYFUNCTION("""COMPUTED_VALUE"""),1988.5)</f>
        <v>1988.5</v>
      </c>
      <c r="J3793" s="25">
        <f>IFERROR(__xludf.DUMMYFUNCTION("""COMPUTED_VALUE"""),2014.0)</f>
        <v>2014</v>
      </c>
      <c r="K3793" s="25">
        <f>IFERROR(__xludf.DUMMYFUNCTION("""COMPUTED_VALUE"""),1971.3)</f>
        <v>1971.3</v>
      </c>
      <c r="L3793" s="25">
        <f>IFERROR(__xludf.DUMMYFUNCTION("""COMPUTED_VALUE"""),2004.3)</f>
        <v>2004.3</v>
      </c>
      <c r="M3793" s="25">
        <f>IFERROR(__xludf.DUMMYFUNCTION("""COMPUTED_VALUE"""),3475788.0)</f>
        <v>3475788</v>
      </c>
    </row>
    <row r="3794">
      <c r="A3794" s="26">
        <f>IFERROR(__xludf.DUMMYFUNCTION("""COMPUTED_VALUE"""),43979.64583333333)</f>
        <v>43979.64583</v>
      </c>
      <c r="B3794" s="9">
        <f>IFERROR(__xludf.DUMMYFUNCTION("""COMPUTED_VALUE"""),707.0)</f>
        <v>707</v>
      </c>
      <c r="C3794" s="9">
        <f>IFERROR(__xludf.DUMMYFUNCTION("""COMPUTED_VALUE"""),710.0)</f>
        <v>710</v>
      </c>
      <c r="D3794" s="9">
        <f>IFERROR(__xludf.DUMMYFUNCTION("""COMPUTED_VALUE"""),690.0)</f>
        <v>690</v>
      </c>
      <c r="E3794" s="9">
        <f>IFERROR(__xludf.DUMMYFUNCTION("""COMPUTED_VALUE"""),707.4)</f>
        <v>707.4</v>
      </c>
      <c r="F3794" s="9">
        <f>IFERROR(__xludf.DUMMYFUNCTION("""COMPUTED_VALUE"""),9440121.0)</f>
        <v>9440121</v>
      </c>
      <c r="H3794" s="27">
        <f>IFERROR(__xludf.DUMMYFUNCTION("""COMPUTED_VALUE"""),43980.64583333333)</f>
        <v>43980.64583</v>
      </c>
      <c r="I3794" s="25">
        <f>IFERROR(__xludf.DUMMYFUNCTION("""COMPUTED_VALUE"""),1982.0)</f>
        <v>1982</v>
      </c>
      <c r="J3794" s="25">
        <f>IFERROR(__xludf.DUMMYFUNCTION("""COMPUTED_VALUE"""),2002.65)</f>
        <v>2002.65</v>
      </c>
      <c r="K3794" s="25">
        <f>IFERROR(__xludf.DUMMYFUNCTION("""COMPUTED_VALUE"""),1962.4)</f>
        <v>1962.4</v>
      </c>
      <c r="L3794" s="25">
        <f>IFERROR(__xludf.DUMMYFUNCTION("""COMPUTED_VALUE"""),1972.35)</f>
        <v>1972.35</v>
      </c>
      <c r="M3794" s="25">
        <f>IFERROR(__xludf.DUMMYFUNCTION("""COMPUTED_VALUE"""),7237765.0)</f>
        <v>7237765</v>
      </c>
    </row>
    <row r="3795">
      <c r="A3795" s="26">
        <f>IFERROR(__xludf.DUMMYFUNCTION("""COMPUTED_VALUE"""),43980.64583333333)</f>
        <v>43980.64583</v>
      </c>
      <c r="B3795" s="9">
        <f>IFERROR(__xludf.DUMMYFUNCTION("""COMPUTED_VALUE"""),692.5)</f>
        <v>692.5</v>
      </c>
      <c r="C3795" s="9">
        <f>IFERROR(__xludf.DUMMYFUNCTION("""COMPUTED_VALUE"""),700.8)</f>
        <v>700.8</v>
      </c>
      <c r="D3795" s="9">
        <f>IFERROR(__xludf.DUMMYFUNCTION("""COMPUTED_VALUE"""),674.95)</f>
        <v>674.95</v>
      </c>
      <c r="E3795" s="9">
        <f>IFERROR(__xludf.DUMMYFUNCTION("""COMPUTED_VALUE"""),691.0)</f>
        <v>691</v>
      </c>
      <c r="F3795" s="9">
        <f>IFERROR(__xludf.DUMMYFUNCTION("""COMPUTED_VALUE"""),2.8291172E7)</f>
        <v>28291172</v>
      </c>
      <c r="H3795" s="27">
        <f>IFERROR(__xludf.DUMMYFUNCTION("""COMPUTED_VALUE"""),43983.64583333333)</f>
        <v>43983.64583</v>
      </c>
      <c r="I3795" s="25">
        <f>IFERROR(__xludf.DUMMYFUNCTION("""COMPUTED_VALUE"""),1990.0)</f>
        <v>1990</v>
      </c>
      <c r="J3795" s="25">
        <f>IFERROR(__xludf.DUMMYFUNCTION("""COMPUTED_VALUE"""),2060.0)</f>
        <v>2060</v>
      </c>
      <c r="K3795" s="25">
        <f>IFERROR(__xludf.DUMMYFUNCTION("""COMPUTED_VALUE"""),1981.1)</f>
        <v>1981.1</v>
      </c>
      <c r="L3795" s="25">
        <f>IFERROR(__xludf.DUMMYFUNCTION("""COMPUTED_VALUE"""),2045.25)</f>
        <v>2045.25</v>
      </c>
      <c r="M3795" s="25">
        <f>IFERROR(__xludf.DUMMYFUNCTION("""COMPUTED_VALUE"""),3747850.0)</f>
        <v>3747850</v>
      </c>
    </row>
    <row r="3796">
      <c r="A3796" s="26">
        <f>IFERROR(__xludf.DUMMYFUNCTION("""COMPUTED_VALUE"""),43983.64583333333)</f>
        <v>43983.64583</v>
      </c>
      <c r="B3796" s="9">
        <f>IFERROR(__xludf.DUMMYFUNCTION("""COMPUTED_VALUE"""),698.75)</f>
        <v>698.75</v>
      </c>
      <c r="C3796" s="9">
        <f>IFERROR(__xludf.DUMMYFUNCTION("""COMPUTED_VALUE"""),706.65)</f>
        <v>706.65</v>
      </c>
      <c r="D3796" s="9">
        <f>IFERROR(__xludf.DUMMYFUNCTION("""COMPUTED_VALUE"""),691.5)</f>
        <v>691.5</v>
      </c>
      <c r="E3796" s="9">
        <f>IFERROR(__xludf.DUMMYFUNCTION("""COMPUTED_VALUE"""),699.55)</f>
        <v>699.55</v>
      </c>
      <c r="F3796" s="9">
        <f>IFERROR(__xludf.DUMMYFUNCTION("""COMPUTED_VALUE"""),1.2276649E7)</f>
        <v>12276649</v>
      </c>
      <c r="H3796" s="27">
        <f>IFERROR(__xludf.DUMMYFUNCTION("""COMPUTED_VALUE"""),43984.64583333333)</f>
        <v>43984.64583</v>
      </c>
      <c r="I3796" s="25">
        <f>IFERROR(__xludf.DUMMYFUNCTION("""COMPUTED_VALUE"""),2060.2)</f>
        <v>2060.2</v>
      </c>
      <c r="J3796" s="25">
        <f>IFERROR(__xludf.DUMMYFUNCTION("""COMPUTED_VALUE"""),2081.0)</f>
        <v>2081</v>
      </c>
      <c r="K3796" s="25">
        <f>IFERROR(__xludf.DUMMYFUNCTION("""COMPUTED_VALUE"""),2040.05)</f>
        <v>2040.05</v>
      </c>
      <c r="L3796" s="25">
        <f>IFERROR(__xludf.DUMMYFUNCTION("""COMPUTED_VALUE"""),2047.15)</f>
        <v>2047.15</v>
      </c>
      <c r="M3796" s="25">
        <f>IFERROR(__xludf.DUMMYFUNCTION("""COMPUTED_VALUE"""),2443886.0)</f>
        <v>2443886</v>
      </c>
    </row>
    <row r="3797">
      <c r="A3797" s="26">
        <f>IFERROR(__xludf.DUMMYFUNCTION("""COMPUTED_VALUE"""),43984.64583333333)</f>
        <v>43984.64583</v>
      </c>
      <c r="B3797" s="9">
        <f>IFERROR(__xludf.DUMMYFUNCTION("""COMPUTED_VALUE"""),700.5)</f>
        <v>700.5</v>
      </c>
      <c r="C3797" s="9">
        <f>IFERROR(__xludf.DUMMYFUNCTION("""COMPUTED_VALUE"""),711.65)</f>
        <v>711.65</v>
      </c>
      <c r="D3797" s="9">
        <f>IFERROR(__xludf.DUMMYFUNCTION("""COMPUTED_VALUE"""),697.55)</f>
        <v>697.55</v>
      </c>
      <c r="E3797" s="9">
        <f>IFERROR(__xludf.DUMMYFUNCTION("""COMPUTED_VALUE"""),708.1)</f>
        <v>708.1</v>
      </c>
      <c r="F3797" s="9">
        <f>IFERROR(__xludf.DUMMYFUNCTION("""COMPUTED_VALUE"""),7059409.0)</f>
        <v>7059409</v>
      </c>
      <c r="H3797" s="27">
        <f>IFERROR(__xludf.DUMMYFUNCTION("""COMPUTED_VALUE"""),43985.64583333333)</f>
        <v>43985.64583</v>
      </c>
      <c r="I3797" s="25">
        <f>IFERROR(__xludf.DUMMYFUNCTION("""COMPUTED_VALUE"""),2051.85)</f>
        <v>2051.85</v>
      </c>
      <c r="J3797" s="25">
        <f>IFERROR(__xludf.DUMMYFUNCTION("""COMPUTED_VALUE"""),2063.75)</f>
        <v>2063.75</v>
      </c>
      <c r="K3797" s="25">
        <f>IFERROR(__xludf.DUMMYFUNCTION("""COMPUTED_VALUE"""),2020.0)</f>
        <v>2020</v>
      </c>
      <c r="L3797" s="25">
        <f>IFERROR(__xludf.DUMMYFUNCTION("""COMPUTED_VALUE"""),2046.15)</f>
        <v>2046.15</v>
      </c>
      <c r="M3797" s="25">
        <f>IFERROR(__xludf.DUMMYFUNCTION("""COMPUTED_VALUE"""),3699799.0)</f>
        <v>3699799</v>
      </c>
    </row>
    <row r="3798">
      <c r="A3798" s="26">
        <f>IFERROR(__xludf.DUMMYFUNCTION("""COMPUTED_VALUE"""),43985.64583333333)</f>
        <v>43985.64583</v>
      </c>
      <c r="B3798" s="9">
        <f>IFERROR(__xludf.DUMMYFUNCTION("""COMPUTED_VALUE"""),710.7)</f>
        <v>710.7</v>
      </c>
      <c r="C3798" s="9">
        <f>IFERROR(__xludf.DUMMYFUNCTION("""COMPUTED_VALUE"""),711.9)</f>
        <v>711.9</v>
      </c>
      <c r="D3798" s="9">
        <f>IFERROR(__xludf.DUMMYFUNCTION("""COMPUTED_VALUE"""),696.0)</f>
        <v>696</v>
      </c>
      <c r="E3798" s="9">
        <f>IFERROR(__xludf.DUMMYFUNCTION("""COMPUTED_VALUE"""),701.55)</f>
        <v>701.55</v>
      </c>
      <c r="F3798" s="9">
        <f>IFERROR(__xludf.DUMMYFUNCTION("""COMPUTED_VALUE"""),1.1378568E7)</f>
        <v>11378568</v>
      </c>
      <c r="H3798" s="27">
        <f>IFERROR(__xludf.DUMMYFUNCTION("""COMPUTED_VALUE"""),43986.64583333333)</f>
        <v>43986.64583</v>
      </c>
      <c r="I3798" s="25">
        <f>IFERROR(__xludf.DUMMYFUNCTION("""COMPUTED_VALUE"""),2046.75)</f>
        <v>2046.75</v>
      </c>
      <c r="J3798" s="25">
        <f>IFERROR(__xludf.DUMMYFUNCTION("""COMPUTED_VALUE"""),2100.0)</f>
        <v>2100</v>
      </c>
      <c r="K3798" s="25">
        <f>IFERROR(__xludf.DUMMYFUNCTION("""COMPUTED_VALUE"""),2046.75)</f>
        <v>2046.75</v>
      </c>
      <c r="L3798" s="25">
        <f>IFERROR(__xludf.DUMMYFUNCTION("""COMPUTED_VALUE"""),2091.55)</f>
        <v>2091.55</v>
      </c>
      <c r="M3798" s="25">
        <f>IFERROR(__xludf.DUMMYFUNCTION("""COMPUTED_VALUE"""),4048593.0)</f>
        <v>4048593</v>
      </c>
    </row>
    <row r="3799">
      <c r="A3799" s="26">
        <f>IFERROR(__xludf.DUMMYFUNCTION("""COMPUTED_VALUE"""),43986.64583333333)</f>
        <v>43986.64583</v>
      </c>
      <c r="B3799" s="9">
        <f>IFERROR(__xludf.DUMMYFUNCTION("""COMPUTED_VALUE"""),702.0)</f>
        <v>702</v>
      </c>
      <c r="C3799" s="9">
        <f>IFERROR(__xludf.DUMMYFUNCTION("""COMPUTED_VALUE"""),709.45)</f>
        <v>709.45</v>
      </c>
      <c r="D3799" s="9">
        <f>IFERROR(__xludf.DUMMYFUNCTION("""COMPUTED_VALUE"""),697.5)</f>
        <v>697.5</v>
      </c>
      <c r="E3799" s="9">
        <f>IFERROR(__xludf.DUMMYFUNCTION("""COMPUTED_VALUE"""),707.75)</f>
        <v>707.75</v>
      </c>
      <c r="F3799" s="9">
        <f>IFERROR(__xludf.DUMMYFUNCTION("""COMPUTED_VALUE"""),1.0783594E7)</f>
        <v>10783594</v>
      </c>
      <c r="H3799" s="27">
        <f>IFERROR(__xludf.DUMMYFUNCTION("""COMPUTED_VALUE"""),43987.64583333333)</f>
        <v>43987.64583</v>
      </c>
      <c r="I3799" s="25">
        <f>IFERROR(__xludf.DUMMYFUNCTION("""COMPUTED_VALUE"""),2091.6)</f>
        <v>2091.6</v>
      </c>
      <c r="J3799" s="25">
        <f>IFERROR(__xludf.DUMMYFUNCTION("""COMPUTED_VALUE"""),2098.0)</f>
        <v>2098</v>
      </c>
      <c r="K3799" s="25">
        <f>IFERROR(__xludf.DUMMYFUNCTION("""COMPUTED_VALUE"""),2040.3)</f>
        <v>2040.3</v>
      </c>
      <c r="L3799" s="25">
        <f>IFERROR(__xludf.DUMMYFUNCTION("""COMPUTED_VALUE"""),2048.25)</f>
        <v>2048.25</v>
      </c>
      <c r="M3799" s="25">
        <f>IFERROR(__xludf.DUMMYFUNCTION("""COMPUTED_VALUE"""),3573299.0)</f>
        <v>3573299</v>
      </c>
    </row>
    <row r="3800">
      <c r="A3800" s="26">
        <f>IFERROR(__xludf.DUMMYFUNCTION("""COMPUTED_VALUE"""),43987.64583333333)</f>
        <v>43987.64583</v>
      </c>
      <c r="B3800" s="9">
        <f>IFERROR(__xludf.DUMMYFUNCTION("""COMPUTED_VALUE"""),707.0)</f>
        <v>707</v>
      </c>
      <c r="C3800" s="9">
        <f>IFERROR(__xludf.DUMMYFUNCTION("""COMPUTED_VALUE"""),711.7)</f>
        <v>711.7</v>
      </c>
      <c r="D3800" s="9">
        <f>IFERROR(__xludf.DUMMYFUNCTION("""COMPUTED_VALUE"""),700.6)</f>
        <v>700.6</v>
      </c>
      <c r="E3800" s="9">
        <f>IFERROR(__xludf.DUMMYFUNCTION("""COMPUTED_VALUE"""),703.55)</f>
        <v>703.55</v>
      </c>
      <c r="F3800" s="9">
        <f>IFERROR(__xludf.DUMMYFUNCTION("""COMPUTED_VALUE"""),7718943.0)</f>
        <v>7718943</v>
      </c>
      <c r="H3800" s="27">
        <f>IFERROR(__xludf.DUMMYFUNCTION("""COMPUTED_VALUE"""),43990.64583333333)</f>
        <v>43990.64583</v>
      </c>
      <c r="I3800" s="25">
        <f>IFERROR(__xludf.DUMMYFUNCTION("""COMPUTED_VALUE"""),2078.25)</f>
        <v>2078.25</v>
      </c>
      <c r="J3800" s="25">
        <f>IFERROR(__xludf.DUMMYFUNCTION("""COMPUTED_VALUE"""),2095.0)</f>
        <v>2095</v>
      </c>
      <c r="K3800" s="25">
        <f>IFERROR(__xludf.DUMMYFUNCTION("""COMPUTED_VALUE"""),2062.1)</f>
        <v>2062.1</v>
      </c>
      <c r="L3800" s="25">
        <f>IFERROR(__xludf.DUMMYFUNCTION("""COMPUTED_VALUE"""),2071.75)</f>
        <v>2071.75</v>
      </c>
      <c r="M3800" s="25">
        <f>IFERROR(__xludf.DUMMYFUNCTION("""COMPUTED_VALUE"""),2957841.0)</f>
        <v>2957841</v>
      </c>
    </row>
    <row r="3801">
      <c r="A3801" s="26">
        <f>IFERROR(__xludf.DUMMYFUNCTION("""COMPUTED_VALUE"""),43990.64583333333)</f>
        <v>43990.64583</v>
      </c>
      <c r="B3801" s="9">
        <f>IFERROR(__xludf.DUMMYFUNCTION("""COMPUTED_VALUE"""),707.65)</f>
        <v>707.65</v>
      </c>
      <c r="C3801" s="9">
        <f>IFERROR(__xludf.DUMMYFUNCTION("""COMPUTED_VALUE"""),725.8)</f>
        <v>725.8</v>
      </c>
      <c r="D3801" s="9">
        <f>IFERROR(__xludf.DUMMYFUNCTION("""COMPUTED_VALUE"""),704.0)</f>
        <v>704</v>
      </c>
      <c r="E3801" s="9">
        <f>IFERROR(__xludf.DUMMYFUNCTION("""COMPUTED_VALUE"""),720.85)</f>
        <v>720.85</v>
      </c>
      <c r="F3801" s="9">
        <f>IFERROR(__xludf.DUMMYFUNCTION("""COMPUTED_VALUE"""),1.0719124E7)</f>
        <v>10719124</v>
      </c>
      <c r="H3801" s="27">
        <f>IFERROR(__xludf.DUMMYFUNCTION("""COMPUTED_VALUE"""),43991.64583333333)</f>
        <v>43991.64583</v>
      </c>
      <c r="I3801" s="25">
        <f>IFERROR(__xludf.DUMMYFUNCTION("""COMPUTED_VALUE"""),2063.1)</f>
        <v>2063.1</v>
      </c>
      <c r="J3801" s="25">
        <f>IFERROR(__xludf.DUMMYFUNCTION("""COMPUTED_VALUE"""),2095.5)</f>
        <v>2095.5</v>
      </c>
      <c r="K3801" s="25">
        <f>IFERROR(__xludf.DUMMYFUNCTION("""COMPUTED_VALUE"""),2060.25)</f>
        <v>2060.25</v>
      </c>
      <c r="L3801" s="25">
        <f>IFERROR(__xludf.DUMMYFUNCTION("""COMPUTED_VALUE"""),2072.05)</f>
        <v>2072.05</v>
      </c>
      <c r="M3801" s="25">
        <f>IFERROR(__xludf.DUMMYFUNCTION("""COMPUTED_VALUE"""),2910152.0)</f>
        <v>2910152</v>
      </c>
    </row>
    <row r="3802">
      <c r="A3802" s="26">
        <f>IFERROR(__xludf.DUMMYFUNCTION("""COMPUTED_VALUE"""),43991.64583333333)</f>
        <v>43991.64583</v>
      </c>
      <c r="B3802" s="9">
        <f>IFERROR(__xludf.DUMMYFUNCTION("""COMPUTED_VALUE"""),720.0)</f>
        <v>720</v>
      </c>
      <c r="C3802" s="9">
        <f>IFERROR(__xludf.DUMMYFUNCTION("""COMPUTED_VALUE"""),729.6)</f>
        <v>729.6</v>
      </c>
      <c r="D3802" s="9">
        <f>IFERROR(__xludf.DUMMYFUNCTION("""COMPUTED_VALUE"""),715.05)</f>
        <v>715.05</v>
      </c>
      <c r="E3802" s="9">
        <f>IFERROR(__xludf.DUMMYFUNCTION("""COMPUTED_VALUE"""),717.6)</f>
        <v>717.6</v>
      </c>
      <c r="F3802" s="9">
        <f>IFERROR(__xludf.DUMMYFUNCTION("""COMPUTED_VALUE"""),1.0078863E7)</f>
        <v>10078863</v>
      </c>
      <c r="H3802" s="27">
        <f>IFERROR(__xludf.DUMMYFUNCTION("""COMPUTED_VALUE"""),43992.64583333333)</f>
        <v>43992.64583</v>
      </c>
      <c r="I3802" s="25">
        <f>IFERROR(__xludf.DUMMYFUNCTION("""COMPUTED_VALUE"""),2077.05)</f>
        <v>2077.05</v>
      </c>
      <c r="J3802" s="25">
        <f>IFERROR(__xludf.DUMMYFUNCTION("""COMPUTED_VALUE"""),2132.0)</f>
        <v>2132</v>
      </c>
      <c r="K3802" s="25">
        <f>IFERROR(__xludf.DUMMYFUNCTION("""COMPUTED_VALUE"""),2073.5)</f>
        <v>2073.5</v>
      </c>
      <c r="L3802" s="25">
        <f>IFERROR(__xludf.DUMMYFUNCTION("""COMPUTED_VALUE"""),2108.75)</f>
        <v>2108.75</v>
      </c>
      <c r="M3802" s="25">
        <f>IFERROR(__xludf.DUMMYFUNCTION("""COMPUTED_VALUE"""),5168494.0)</f>
        <v>5168494</v>
      </c>
    </row>
    <row r="3803">
      <c r="A3803" s="26">
        <f>IFERROR(__xludf.DUMMYFUNCTION("""COMPUTED_VALUE"""),43992.64583333333)</f>
        <v>43992.64583</v>
      </c>
      <c r="B3803" s="9">
        <f>IFERROR(__xludf.DUMMYFUNCTION("""COMPUTED_VALUE"""),715.0)</f>
        <v>715</v>
      </c>
      <c r="C3803" s="9">
        <f>IFERROR(__xludf.DUMMYFUNCTION("""COMPUTED_VALUE"""),719.45)</f>
        <v>719.45</v>
      </c>
      <c r="D3803" s="9">
        <f>IFERROR(__xludf.DUMMYFUNCTION("""COMPUTED_VALUE"""),709.2)</f>
        <v>709.2</v>
      </c>
      <c r="E3803" s="9">
        <f>IFERROR(__xludf.DUMMYFUNCTION("""COMPUTED_VALUE"""),715.85)</f>
        <v>715.85</v>
      </c>
      <c r="F3803" s="9">
        <f>IFERROR(__xludf.DUMMYFUNCTION("""COMPUTED_VALUE"""),7263272.0)</f>
        <v>7263272</v>
      </c>
      <c r="H3803" s="27">
        <f>IFERROR(__xludf.DUMMYFUNCTION("""COMPUTED_VALUE"""),43993.64583333333)</f>
        <v>43993.64583</v>
      </c>
      <c r="I3803" s="25">
        <f>IFERROR(__xludf.DUMMYFUNCTION("""COMPUTED_VALUE"""),2100.0)</f>
        <v>2100</v>
      </c>
      <c r="J3803" s="25">
        <f>IFERROR(__xludf.DUMMYFUNCTION("""COMPUTED_VALUE"""),2105.0)</f>
        <v>2105</v>
      </c>
      <c r="K3803" s="25">
        <f>IFERROR(__xludf.DUMMYFUNCTION("""COMPUTED_VALUE"""),2061.8)</f>
        <v>2061.8</v>
      </c>
      <c r="L3803" s="25">
        <f>IFERROR(__xludf.DUMMYFUNCTION("""COMPUTED_VALUE"""),2067.65)</f>
        <v>2067.65</v>
      </c>
      <c r="M3803" s="25">
        <f>IFERROR(__xludf.DUMMYFUNCTION("""COMPUTED_VALUE"""),2269569.0)</f>
        <v>2269569</v>
      </c>
    </row>
    <row r="3804">
      <c r="A3804" s="26">
        <f>IFERROR(__xludf.DUMMYFUNCTION("""COMPUTED_VALUE"""),43993.64583333333)</f>
        <v>43993.64583</v>
      </c>
      <c r="B3804" s="9">
        <f>IFERROR(__xludf.DUMMYFUNCTION("""COMPUTED_VALUE"""),712.0)</f>
        <v>712</v>
      </c>
      <c r="C3804" s="9">
        <f>IFERROR(__xludf.DUMMYFUNCTION("""COMPUTED_VALUE"""),713.4)</f>
        <v>713.4</v>
      </c>
      <c r="D3804" s="9">
        <f>IFERROR(__xludf.DUMMYFUNCTION("""COMPUTED_VALUE"""),700.25)</f>
        <v>700.25</v>
      </c>
      <c r="E3804" s="9">
        <f>IFERROR(__xludf.DUMMYFUNCTION("""COMPUTED_VALUE"""),703.95)</f>
        <v>703.95</v>
      </c>
      <c r="F3804" s="9">
        <f>IFERROR(__xludf.DUMMYFUNCTION("""COMPUTED_VALUE"""),8825914.0)</f>
        <v>8825914</v>
      </c>
      <c r="H3804" s="27">
        <f>IFERROR(__xludf.DUMMYFUNCTION("""COMPUTED_VALUE"""),43994.64583333333)</f>
        <v>43994.64583</v>
      </c>
      <c r="I3804" s="25">
        <f>IFERROR(__xludf.DUMMYFUNCTION("""COMPUTED_VALUE"""),2011.2)</f>
        <v>2011.2</v>
      </c>
      <c r="J3804" s="25">
        <f>IFERROR(__xludf.DUMMYFUNCTION("""COMPUTED_VALUE"""),2049.2)</f>
        <v>2049.2</v>
      </c>
      <c r="K3804" s="25">
        <f>IFERROR(__xludf.DUMMYFUNCTION("""COMPUTED_VALUE"""),2011.0)</f>
        <v>2011</v>
      </c>
      <c r="L3804" s="25">
        <f>IFERROR(__xludf.DUMMYFUNCTION("""COMPUTED_VALUE"""),2039.5)</f>
        <v>2039.5</v>
      </c>
      <c r="M3804" s="25">
        <f>IFERROR(__xludf.DUMMYFUNCTION("""COMPUTED_VALUE"""),2842757.0)</f>
        <v>2842757</v>
      </c>
    </row>
    <row r="3805">
      <c r="A3805" s="26">
        <f>IFERROR(__xludf.DUMMYFUNCTION("""COMPUTED_VALUE"""),43994.64583333333)</f>
        <v>43994.64583</v>
      </c>
      <c r="B3805" s="9">
        <f>IFERROR(__xludf.DUMMYFUNCTION("""COMPUTED_VALUE"""),675.8)</f>
        <v>675.8</v>
      </c>
      <c r="C3805" s="9">
        <f>IFERROR(__xludf.DUMMYFUNCTION("""COMPUTED_VALUE"""),695.15)</f>
        <v>695.15</v>
      </c>
      <c r="D3805" s="9">
        <f>IFERROR(__xludf.DUMMYFUNCTION("""COMPUTED_VALUE"""),675.5)</f>
        <v>675.5</v>
      </c>
      <c r="E3805" s="9">
        <f>IFERROR(__xludf.DUMMYFUNCTION("""COMPUTED_VALUE"""),692.05)</f>
        <v>692.05</v>
      </c>
      <c r="F3805" s="9">
        <f>IFERROR(__xludf.DUMMYFUNCTION("""COMPUTED_VALUE"""),9796064.0)</f>
        <v>9796064</v>
      </c>
      <c r="H3805" s="27">
        <f>IFERROR(__xludf.DUMMYFUNCTION("""COMPUTED_VALUE"""),43997.64583333333)</f>
        <v>43997.64583</v>
      </c>
      <c r="I3805" s="25">
        <f>IFERROR(__xludf.DUMMYFUNCTION("""COMPUTED_VALUE"""),2039.1)</f>
        <v>2039.1</v>
      </c>
      <c r="J3805" s="25">
        <f>IFERROR(__xludf.DUMMYFUNCTION("""COMPUTED_VALUE"""),2059.0)</f>
        <v>2059</v>
      </c>
      <c r="K3805" s="25">
        <f>IFERROR(__xludf.DUMMYFUNCTION("""COMPUTED_VALUE"""),2000.95)</f>
        <v>2000.95</v>
      </c>
      <c r="L3805" s="25">
        <f>IFERROR(__xludf.DUMMYFUNCTION("""COMPUTED_VALUE"""),2029.9)</f>
        <v>2029.9</v>
      </c>
      <c r="M3805" s="25">
        <f>IFERROR(__xludf.DUMMYFUNCTION("""COMPUTED_VALUE"""),2399028.0)</f>
        <v>2399028</v>
      </c>
    </row>
    <row r="3806">
      <c r="A3806" s="26">
        <f>IFERROR(__xludf.DUMMYFUNCTION("""COMPUTED_VALUE"""),43997.64583333333)</f>
        <v>43997.64583</v>
      </c>
      <c r="B3806" s="9">
        <f>IFERROR(__xludf.DUMMYFUNCTION("""COMPUTED_VALUE"""),693.0)</f>
        <v>693</v>
      </c>
      <c r="C3806" s="9">
        <f>IFERROR(__xludf.DUMMYFUNCTION("""COMPUTED_VALUE"""),704.4)</f>
        <v>704.4</v>
      </c>
      <c r="D3806" s="9">
        <f>IFERROR(__xludf.DUMMYFUNCTION("""COMPUTED_VALUE"""),685.25)</f>
        <v>685.25</v>
      </c>
      <c r="E3806" s="9">
        <f>IFERROR(__xludf.DUMMYFUNCTION("""COMPUTED_VALUE"""),687.55)</f>
        <v>687.55</v>
      </c>
      <c r="F3806" s="9">
        <f>IFERROR(__xludf.DUMMYFUNCTION("""COMPUTED_VALUE"""),7857344.0)</f>
        <v>7857344</v>
      </c>
      <c r="H3806" s="27">
        <f>IFERROR(__xludf.DUMMYFUNCTION("""COMPUTED_VALUE"""),43998.64583333333)</f>
        <v>43998.64583</v>
      </c>
      <c r="I3806" s="25">
        <f>IFERROR(__xludf.DUMMYFUNCTION("""COMPUTED_VALUE"""),2065.0)</f>
        <v>2065</v>
      </c>
      <c r="J3806" s="25">
        <f>IFERROR(__xludf.DUMMYFUNCTION("""COMPUTED_VALUE"""),2073.95)</f>
        <v>2073.95</v>
      </c>
      <c r="K3806" s="25">
        <f>IFERROR(__xludf.DUMMYFUNCTION("""COMPUTED_VALUE"""),2031.0)</f>
        <v>2031</v>
      </c>
      <c r="L3806" s="25">
        <f>IFERROR(__xludf.DUMMYFUNCTION("""COMPUTED_VALUE"""),2045.8)</f>
        <v>2045.8</v>
      </c>
      <c r="M3806" s="25">
        <f>IFERROR(__xludf.DUMMYFUNCTION("""COMPUTED_VALUE"""),2146528.0)</f>
        <v>2146528</v>
      </c>
    </row>
    <row r="3807">
      <c r="A3807" s="26">
        <f>IFERROR(__xludf.DUMMYFUNCTION("""COMPUTED_VALUE"""),43998.64583333333)</f>
        <v>43998.64583</v>
      </c>
      <c r="B3807" s="9">
        <f>IFERROR(__xludf.DUMMYFUNCTION("""COMPUTED_VALUE"""),702.0)</f>
        <v>702</v>
      </c>
      <c r="C3807" s="9">
        <f>IFERROR(__xludf.DUMMYFUNCTION("""COMPUTED_VALUE"""),712.0)</f>
        <v>712</v>
      </c>
      <c r="D3807" s="9">
        <f>IFERROR(__xludf.DUMMYFUNCTION("""COMPUTED_VALUE"""),699.15)</f>
        <v>699.15</v>
      </c>
      <c r="E3807" s="9">
        <f>IFERROR(__xludf.DUMMYFUNCTION("""COMPUTED_VALUE"""),701.2)</f>
        <v>701.2</v>
      </c>
      <c r="F3807" s="9">
        <f>IFERROR(__xludf.DUMMYFUNCTION("""COMPUTED_VALUE"""),1.0132423E7)</f>
        <v>10132423</v>
      </c>
      <c r="H3807" s="27">
        <f>IFERROR(__xludf.DUMMYFUNCTION("""COMPUTED_VALUE"""),43999.64583333333)</f>
        <v>43999.64583</v>
      </c>
      <c r="I3807" s="25">
        <f>IFERROR(__xludf.DUMMYFUNCTION("""COMPUTED_VALUE"""),2046.0)</f>
        <v>2046</v>
      </c>
      <c r="J3807" s="25">
        <f>IFERROR(__xludf.DUMMYFUNCTION("""COMPUTED_VALUE"""),2058.85)</f>
        <v>2058.85</v>
      </c>
      <c r="K3807" s="25">
        <f>IFERROR(__xludf.DUMMYFUNCTION("""COMPUTED_VALUE"""),2026.55)</f>
        <v>2026.55</v>
      </c>
      <c r="L3807" s="25">
        <f>IFERROR(__xludf.DUMMYFUNCTION("""COMPUTED_VALUE"""),2047.8)</f>
        <v>2047.8</v>
      </c>
      <c r="M3807" s="25">
        <f>IFERROR(__xludf.DUMMYFUNCTION("""COMPUTED_VALUE"""),2703546.0)</f>
        <v>2703546</v>
      </c>
    </row>
    <row r="3808">
      <c r="A3808" s="26">
        <f>IFERROR(__xludf.DUMMYFUNCTION("""COMPUTED_VALUE"""),43999.64583333333)</f>
        <v>43999.64583</v>
      </c>
      <c r="B3808" s="9">
        <f>IFERROR(__xludf.DUMMYFUNCTION("""COMPUTED_VALUE"""),699.9)</f>
        <v>699.9</v>
      </c>
      <c r="C3808" s="9">
        <f>IFERROR(__xludf.DUMMYFUNCTION("""COMPUTED_VALUE"""),710.3)</f>
        <v>710.3</v>
      </c>
      <c r="D3808" s="9">
        <f>IFERROR(__xludf.DUMMYFUNCTION("""COMPUTED_VALUE"""),698.0)</f>
        <v>698</v>
      </c>
      <c r="E3808" s="9">
        <f>IFERROR(__xludf.DUMMYFUNCTION("""COMPUTED_VALUE"""),703.65)</f>
        <v>703.65</v>
      </c>
      <c r="F3808" s="9">
        <f>IFERROR(__xludf.DUMMYFUNCTION("""COMPUTED_VALUE"""),7291919.0)</f>
        <v>7291919</v>
      </c>
      <c r="H3808" s="27">
        <f>IFERROR(__xludf.DUMMYFUNCTION("""COMPUTED_VALUE"""),44000.64583333333)</f>
        <v>44000.64583</v>
      </c>
      <c r="I3808" s="25">
        <f>IFERROR(__xludf.DUMMYFUNCTION("""COMPUTED_VALUE"""),2045.0)</f>
        <v>2045</v>
      </c>
      <c r="J3808" s="25">
        <f>IFERROR(__xludf.DUMMYFUNCTION("""COMPUTED_VALUE"""),2059.2)</f>
        <v>2059.2</v>
      </c>
      <c r="K3808" s="25">
        <f>IFERROR(__xludf.DUMMYFUNCTION("""COMPUTED_VALUE"""),2025.2)</f>
        <v>2025.2</v>
      </c>
      <c r="L3808" s="25">
        <f>IFERROR(__xludf.DUMMYFUNCTION("""COMPUTED_VALUE"""),2038.1)</f>
        <v>2038.1</v>
      </c>
      <c r="M3808" s="25">
        <f>IFERROR(__xludf.DUMMYFUNCTION("""COMPUTED_VALUE"""),1944471.0)</f>
        <v>1944471</v>
      </c>
    </row>
    <row r="3809">
      <c r="A3809" s="26">
        <f>IFERROR(__xludf.DUMMYFUNCTION("""COMPUTED_VALUE"""),44000.64583333333)</f>
        <v>44000.64583</v>
      </c>
      <c r="B3809" s="9">
        <f>IFERROR(__xludf.DUMMYFUNCTION("""COMPUTED_VALUE"""),708.2)</f>
        <v>708.2</v>
      </c>
      <c r="C3809" s="9">
        <f>IFERROR(__xludf.DUMMYFUNCTION("""COMPUTED_VALUE"""),716.6)</f>
        <v>716.6</v>
      </c>
      <c r="D3809" s="9">
        <f>IFERROR(__xludf.DUMMYFUNCTION("""COMPUTED_VALUE"""),706.0)</f>
        <v>706</v>
      </c>
      <c r="E3809" s="9">
        <f>IFERROR(__xludf.DUMMYFUNCTION("""COMPUTED_VALUE"""),713.9)</f>
        <v>713.9</v>
      </c>
      <c r="F3809" s="9">
        <f>IFERROR(__xludf.DUMMYFUNCTION("""COMPUTED_VALUE"""),6670206.0)</f>
        <v>6670206</v>
      </c>
      <c r="H3809" s="27">
        <f>IFERROR(__xludf.DUMMYFUNCTION("""COMPUTED_VALUE"""),44001.64583333333)</f>
        <v>44001.64583</v>
      </c>
      <c r="I3809" s="25">
        <f>IFERROR(__xludf.DUMMYFUNCTION("""COMPUTED_VALUE"""),2042.0)</f>
        <v>2042</v>
      </c>
      <c r="J3809" s="25">
        <f>IFERROR(__xludf.DUMMYFUNCTION("""COMPUTED_VALUE"""),2090.0)</f>
        <v>2090</v>
      </c>
      <c r="K3809" s="25">
        <f>IFERROR(__xludf.DUMMYFUNCTION("""COMPUTED_VALUE"""),2032.0)</f>
        <v>2032</v>
      </c>
      <c r="L3809" s="25">
        <f>IFERROR(__xludf.DUMMYFUNCTION("""COMPUTED_VALUE"""),2044.6)</f>
        <v>2044.6</v>
      </c>
      <c r="M3809" s="25">
        <f>IFERROR(__xludf.DUMMYFUNCTION("""COMPUTED_VALUE"""),5681784.0)</f>
        <v>5681784</v>
      </c>
    </row>
    <row r="3810">
      <c r="A3810" s="26">
        <f>IFERROR(__xludf.DUMMYFUNCTION("""COMPUTED_VALUE"""),44001.64583333333)</f>
        <v>44001.64583</v>
      </c>
      <c r="B3810" s="9">
        <f>IFERROR(__xludf.DUMMYFUNCTION("""COMPUTED_VALUE"""),709.0)</f>
        <v>709</v>
      </c>
      <c r="C3810" s="9">
        <f>IFERROR(__xludf.DUMMYFUNCTION("""COMPUTED_VALUE"""),711.9)</f>
        <v>711.9</v>
      </c>
      <c r="D3810" s="9">
        <f>IFERROR(__xludf.DUMMYFUNCTION("""COMPUTED_VALUE"""),701.0)</f>
        <v>701</v>
      </c>
      <c r="E3810" s="9">
        <f>IFERROR(__xludf.DUMMYFUNCTION("""COMPUTED_VALUE"""),705.55)</f>
        <v>705.55</v>
      </c>
      <c r="F3810" s="9">
        <f>IFERROR(__xludf.DUMMYFUNCTION("""COMPUTED_VALUE"""),2.2438873E7)</f>
        <v>22438873</v>
      </c>
      <c r="H3810" s="27">
        <f>IFERROR(__xludf.DUMMYFUNCTION("""COMPUTED_VALUE"""),44004.64583333333)</f>
        <v>44004.64583</v>
      </c>
      <c r="I3810" s="25">
        <f>IFERROR(__xludf.DUMMYFUNCTION("""COMPUTED_VALUE"""),2050.0)</f>
        <v>2050</v>
      </c>
      <c r="J3810" s="25">
        <f>IFERROR(__xludf.DUMMYFUNCTION("""COMPUTED_VALUE"""),2052.25)</f>
        <v>2052.25</v>
      </c>
      <c r="K3810" s="25">
        <f>IFERROR(__xludf.DUMMYFUNCTION("""COMPUTED_VALUE"""),2019.15)</f>
        <v>2019.15</v>
      </c>
      <c r="L3810" s="25">
        <f>IFERROR(__xludf.DUMMYFUNCTION("""COMPUTED_VALUE"""),2027.95)</f>
        <v>2027.95</v>
      </c>
      <c r="M3810" s="25">
        <f>IFERROR(__xludf.DUMMYFUNCTION("""COMPUTED_VALUE"""),3196138.0)</f>
        <v>3196138</v>
      </c>
    </row>
    <row r="3811">
      <c r="A3811" s="26">
        <f>IFERROR(__xludf.DUMMYFUNCTION("""COMPUTED_VALUE"""),44004.64583333333)</f>
        <v>44004.64583</v>
      </c>
      <c r="B3811" s="9">
        <f>IFERROR(__xludf.DUMMYFUNCTION("""COMPUTED_VALUE"""),707.1)</f>
        <v>707.1</v>
      </c>
      <c r="C3811" s="9">
        <f>IFERROR(__xludf.DUMMYFUNCTION("""COMPUTED_VALUE"""),708.7)</f>
        <v>708.7</v>
      </c>
      <c r="D3811" s="9">
        <f>IFERROR(__xludf.DUMMYFUNCTION("""COMPUTED_VALUE"""),700.0)</f>
        <v>700</v>
      </c>
      <c r="E3811" s="9">
        <f>IFERROR(__xludf.DUMMYFUNCTION("""COMPUTED_VALUE"""),703.7)</f>
        <v>703.7</v>
      </c>
      <c r="F3811" s="9">
        <f>IFERROR(__xludf.DUMMYFUNCTION("""COMPUTED_VALUE"""),7804139.0)</f>
        <v>7804139</v>
      </c>
      <c r="H3811" s="27">
        <f>IFERROR(__xludf.DUMMYFUNCTION("""COMPUTED_VALUE"""),44005.64583333333)</f>
        <v>44005.64583</v>
      </c>
      <c r="I3811" s="25">
        <f>IFERROR(__xludf.DUMMYFUNCTION("""COMPUTED_VALUE"""),2027.0)</f>
        <v>2027</v>
      </c>
      <c r="J3811" s="25">
        <f>IFERROR(__xludf.DUMMYFUNCTION("""COMPUTED_VALUE"""),2044.0)</f>
        <v>2044</v>
      </c>
      <c r="K3811" s="25">
        <f>IFERROR(__xludf.DUMMYFUNCTION("""COMPUTED_VALUE"""),2010.0)</f>
        <v>2010</v>
      </c>
      <c r="L3811" s="25">
        <f>IFERROR(__xludf.DUMMYFUNCTION("""COMPUTED_VALUE"""),2035.3)</f>
        <v>2035.3</v>
      </c>
      <c r="M3811" s="25">
        <f>IFERROR(__xludf.DUMMYFUNCTION("""COMPUTED_VALUE"""),4206122.0)</f>
        <v>4206122</v>
      </c>
    </row>
    <row r="3812">
      <c r="A3812" s="26">
        <f>IFERROR(__xludf.DUMMYFUNCTION("""COMPUTED_VALUE"""),44005.64583333333)</f>
        <v>44005.64583</v>
      </c>
      <c r="B3812" s="9">
        <f>IFERROR(__xludf.DUMMYFUNCTION("""COMPUTED_VALUE"""),695.7)</f>
        <v>695.7</v>
      </c>
      <c r="C3812" s="9">
        <f>IFERROR(__xludf.DUMMYFUNCTION("""COMPUTED_VALUE"""),724.5)</f>
        <v>724.5</v>
      </c>
      <c r="D3812" s="9">
        <f>IFERROR(__xludf.DUMMYFUNCTION("""COMPUTED_VALUE"""),692.1)</f>
        <v>692.1</v>
      </c>
      <c r="E3812" s="9">
        <f>IFERROR(__xludf.DUMMYFUNCTION("""COMPUTED_VALUE"""),720.65)</f>
        <v>720.65</v>
      </c>
      <c r="F3812" s="9">
        <f>IFERROR(__xludf.DUMMYFUNCTION("""COMPUTED_VALUE"""),1.2157486E7)</f>
        <v>12157486</v>
      </c>
      <c r="H3812" s="27">
        <f>IFERROR(__xludf.DUMMYFUNCTION("""COMPUTED_VALUE"""),44006.64583333333)</f>
        <v>44006.64583</v>
      </c>
      <c r="I3812" s="25">
        <f>IFERROR(__xludf.DUMMYFUNCTION("""COMPUTED_VALUE"""),2034.0)</f>
        <v>2034</v>
      </c>
      <c r="J3812" s="25">
        <f>IFERROR(__xludf.DUMMYFUNCTION("""COMPUTED_VALUE"""),2064.25)</f>
        <v>2064.25</v>
      </c>
      <c r="K3812" s="25">
        <f>IFERROR(__xludf.DUMMYFUNCTION("""COMPUTED_VALUE"""),2031.6)</f>
        <v>2031.6</v>
      </c>
      <c r="L3812" s="25">
        <f>IFERROR(__xludf.DUMMYFUNCTION("""COMPUTED_VALUE"""),2042.2)</f>
        <v>2042.2</v>
      </c>
      <c r="M3812" s="25">
        <f>IFERROR(__xludf.DUMMYFUNCTION("""COMPUTED_VALUE"""),2560951.0)</f>
        <v>2560951</v>
      </c>
    </row>
    <row r="3813">
      <c r="A3813" s="26">
        <f>IFERROR(__xludf.DUMMYFUNCTION("""COMPUTED_VALUE"""),44006.64583333333)</f>
        <v>44006.64583</v>
      </c>
      <c r="B3813" s="9">
        <f>IFERROR(__xludf.DUMMYFUNCTION("""COMPUTED_VALUE"""),716.9)</f>
        <v>716.9</v>
      </c>
      <c r="C3813" s="9">
        <f>IFERROR(__xludf.DUMMYFUNCTION("""COMPUTED_VALUE"""),726.8)</f>
        <v>726.8</v>
      </c>
      <c r="D3813" s="9">
        <f>IFERROR(__xludf.DUMMYFUNCTION("""COMPUTED_VALUE"""),709.4)</f>
        <v>709.4</v>
      </c>
      <c r="E3813" s="9">
        <f>IFERROR(__xludf.DUMMYFUNCTION("""COMPUTED_VALUE"""),714.15)</f>
        <v>714.15</v>
      </c>
      <c r="F3813" s="9">
        <f>IFERROR(__xludf.DUMMYFUNCTION("""COMPUTED_VALUE"""),1.0220908E7)</f>
        <v>10220908</v>
      </c>
      <c r="H3813" s="27">
        <f>IFERROR(__xludf.DUMMYFUNCTION("""COMPUTED_VALUE"""),44007.64583333333)</f>
        <v>44007.64583</v>
      </c>
      <c r="I3813" s="25">
        <f>IFERROR(__xludf.DUMMYFUNCTION("""COMPUTED_VALUE"""),2035.0)</f>
        <v>2035</v>
      </c>
      <c r="J3813" s="25">
        <f>IFERROR(__xludf.DUMMYFUNCTION("""COMPUTED_VALUE"""),2060.0)</f>
        <v>2060</v>
      </c>
      <c r="K3813" s="25">
        <f>IFERROR(__xludf.DUMMYFUNCTION("""COMPUTED_VALUE"""),2009.25)</f>
        <v>2009.25</v>
      </c>
      <c r="L3813" s="25">
        <f>IFERROR(__xludf.DUMMYFUNCTION("""COMPUTED_VALUE"""),2016.1)</f>
        <v>2016.1</v>
      </c>
      <c r="M3813" s="25">
        <f>IFERROR(__xludf.DUMMYFUNCTION("""COMPUTED_VALUE"""),3044089.0)</f>
        <v>3044089</v>
      </c>
    </row>
    <row r="3814">
      <c r="A3814" s="26">
        <f>IFERROR(__xludf.DUMMYFUNCTION("""COMPUTED_VALUE"""),44007.64583333333)</f>
        <v>44007.64583</v>
      </c>
      <c r="B3814" s="9">
        <f>IFERROR(__xludf.DUMMYFUNCTION("""COMPUTED_VALUE"""),704.85)</f>
        <v>704.85</v>
      </c>
      <c r="C3814" s="9">
        <f>IFERROR(__xludf.DUMMYFUNCTION("""COMPUTED_VALUE"""),705.6)</f>
        <v>705.6</v>
      </c>
      <c r="D3814" s="9">
        <f>IFERROR(__xludf.DUMMYFUNCTION("""COMPUTED_VALUE"""),693.5)</f>
        <v>693.5</v>
      </c>
      <c r="E3814" s="9">
        <f>IFERROR(__xludf.DUMMYFUNCTION("""COMPUTED_VALUE"""),700.5)</f>
        <v>700.5</v>
      </c>
      <c r="F3814" s="9">
        <f>IFERROR(__xludf.DUMMYFUNCTION("""COMPUTED_VALUE"""),1.4945304E7)</f>
        <v>14945304</v>
      </c>
      <c r="H3814" s="27">
        <f>IFERROR(__xludf.DUMMYFUNCTION("""COMPUTED_VALUE"""),44008.64583333333)</f>
        <v>44008.64583</v>
      </c>
      <c r="I3814" s="25">
        <f>IFERROR(__xludf.DUMMYFUNCTION("""COMPUTED_VALUE"""),2025.0)</f>
        <v>2025</v>
      </c>
      <c r="J3814" s="25">
        <f>IFERROR(__xludf.DUMMYFUNCTION("""COMPUTED_VALUE"""),2132.0)</f>
        <v>2132</v>
      </c>
      <c r="K3814" s="25">
        <f>IFERROR(__xludf.DUMMYFUNCTION("""COMPUTED_VALUE"""),2019.95)</f>
        <v>2019.95</v>
      </c>
      <c r="L3814" s="25">
        <f>IFERROR(__xludf.DUMMYFUNCTION("""COMPUTED_VALUE"""),2118.85)</f>
        <v>2118.85</v>
      </c>
      <c r="M3814" s="25">
        <f>IFERROR(__xludf.DUMMYFUNCTION("""COMPUTED_VALUE"""),6300912.0)</f>
        <v>6300912</v>
      </c>
    </row>
    <row r="3815">
      <c r="A3815" s="26">
        <f>IFERROR(__xludf.DUMMYFUNCTION("""COMPUTED_VALUE"""),44008.64583333333)</f>
        <v>44008.64583</v>
      </c>
      <c r="B3815" s="9">
        <f>IFERROR(__xludf.DUMMYFUNCTION("""COMPUTED_VALUE"""),710.2)</f>
        <v>710.2</v>
      </c>
      <c r="C3815" s="9">
        <f>IFERROR(__xludf.DUMMYFUNCTION("""COMPUTED_VALUE"""),751.6)</f>
        <v>751.6</v>
      </c>
      <c r="D3815" s="9">
        <f>IFERROR(__xludf.DUMMYFUNCTION("""COMPUTED_VALUE"""),710.0)</f>
        <v>710</v>
      </c>
      <c r="E3815" s="9">
        <f>IFERROR(__xludf.DUMMYFUNCTION("""COMPUTED_VALUE"""),748.2)</f>
        <v>748.2</v>
      </c>
      <c r="F3815" s="9">
        <f>IFERROR(__xludf.DUMMYFUNCTION("""COMPUTED_VALUE"""),2.6030535E7)</f>
        <v>26030535</v>
      </c>
      <c r="H3815" s="27">
        <f>IFERROR(__xludf.DUMMYFUNCTION("""COMPUTED_VALUE"""),44011.64583333333)</f>
        <v>44011.64583</v>
      </c>
      <c r="I3815" s="25">
        <f>IFERROR(__xludf.DUMMYFUNCTION("""COMPUTED_VALUE"""),2108.0)</f>
        <v>2108</v>
      </c>
      <c r="J3815" s="25">
        <f>IFERROR(__xludf.DUMMYFUNCTION("""COMPUTED_VALUE"""),2127.6)</f>
        <v>2127.6</v>
      </c>
      <c r="K3815" s="25">
        <f>IFERROR(__xludf.DUMMYFUNCTION("""COMPUTED_VALUE"""),2091.3)</f>
        <v>2091.3</v>
      </c>
      <c r="L3815" s="25">
        <f>IFERROR(__xludf.DUMMYFUNCTION("""COMPUTED_VALUE"""),2101.65)</f>
        <v>2101.65</v>
      </c>
      <c r="M3815" s="25">
        <f>IFERROR(__xludf.DUMMYFUNCTION("""COMPUTED_VALUE"""),3076344.0)</f>
        <v>3076344</v>
      </c>
    </row>
    <row r="3816">
      <c r="A3816" s="26">
        <f>IFERROR(__xludf.DUMMYFUNCTION("""COMPUTED_VALUE"""),44011.64583333333)</f>
        <v>44011.64583</v>
      </c>
      <c r="B3816" s="9">
        <f>IFERROR(__xludf.DUMMYFUNCTION("""COMPUTED_VALUE"""),735.4)</f>
        <v>735.4</v>
      </c>
      <c r="C3816" s="9">
        <f>IFERROR(__xludf.DUMMYFUNCTION("""COMPUTED_VALUE"""),744.7)</f>
        <v>744.7</v>
      </c>
      <c r="D3816" s="9">
        <f>IFERROR(__xludf.DUMMYFUNCTION("""COMPUTED_VALUE"""),730.1)</f>
        <v>730.1</v>
      </c>
      <c r="E3816" s="9">
        <f>IFERROR(__xludf.DUMMYFUNCTION("""COMPUTED_VALUE"""),731.75)</f>
        <v>731.75</v>
      </c>
      <c r="F3816" s="9">
        <f>IFERROR(__xludf.DUMMYFUNCTION("""COMPUTED_VALUE"""),8954490.0)</f>
        <v>8954490</v>
      </c>
      <c r="H3816" s="27">
        <f>IFERROR(__xludf.DUMMYFUNCTION("""COMPUTED_VALUE"""),44012.64583333333)</f>
        <v>44012.64583</v>
      </c>
      <c r="I3816" s="25">
        <f>IFERROR(__xludf.DUMMYFUNCTION("""COMPUTED_VALUE"""),2100.0)</f>
        <v>2100</v>
      </c>
      <c r="J3816" s="25">
        <f>IFERROR(__xludf.DUMMYFUNCTION("""COMPUTED_VALUE"""),2111.9)</f>
        <v>2111.9</v>
      </c>
      <c r="K3816" s="25">
        <f>IFERROR(__xludf.DUMMYFUNCTION("""COMPUTED_VALUE"""),2075.05)</f>
        <v>2075.05</v>
      </c>
      <c r="L3816" s="25">
        <f>IFERROR(__xludf.DUMMYFUNCTION("""COMPUTED_VALUE"""),2082.15)</f>
        <v>2082.15</v>
      </c>
      <c r="M3816" s="25">
        <f>IFERROR(__xludf.DUMMYFUNCTION("""COMPUTED_VALUE"""),3071877.0)</f>
        <v>3071877</v>
      </c>
    </row>
    <row r="3817">
      <c r="A3817" s="26">
        <f>IFERROR(__xludf.DUMMYFUNCTION("""COMPUTED_VALUE"""),44012.64583333333)</f>
        <v>44012.64583</v>
      </c>
      <c r="B3817" s="9">
        <f>IFERROR(__xludf.DUMMYFUNCTION("""COMPUTED_VALUE"""),732.8)</f>
        <v>732.8</v>
      </c>
      <c r="C3817" s="9">
        <f>IFERROR(__xludf.DUMMYFUNCTION("""COMPUTED_VALUE"""),738.95)</f>
        <v>738.95</v>
      </c>
      <c r="D3817" s="9">
        <f>IFERROR(__xludf.DUMMYFUNCTION("""COMPUTED_VALUE"""),724.25)</f>
        <v>724.25</v>
      </c>
      <c r="E3817" s="9">
        <f>IFERROR(__xludf.DUMMYFUNCTION("""COMPUTED_VALUE"""),735.95)</f>
        <v>735.95</v>
      </c>
      <c r="F3817" s="9">
        <f>IFERROR(__xludf.DUMMYFUNCTION("""COMPUTED_VALUE"""),1.0411347E7)</f>
        <v>10411347</v>
      </c>
      <c r="H3817" s="27">
        <f>IFERROR(__xludf.DUMMYFUNCTION("""COMPUTED_VALUE"""),44013.64583333333)</f>
        <v>44013.64583</v>
      </c>
      <c r="I3817" s="25">
        <f>IFERROR(__xludf.DUMMYFUNCTION("""COMPUTED_VALUE"""),2079.7)</f>
        <v>2079.7</v>
      </c>
      <c r="J3817" s="25">
        <f>IFERROR(__xludf.DUMMYFUNCTION("""COMPUTED_VALUE"""),2113.95)</f>
        <v>2113.95</v>
      </c>
      <c r="K3817" s="25">
        <f>IFERROR(__xludf.DUMMYFUNCTION("""COMPUTED_VALUE"""),2079.5)</f>
        <v>2079.5</v>
      </c>
      <c r="L3817" s="25">
        <f>IFERROR(__xludf.DUMMYFUNCTION("""COMPUTED_VALUE"""),2092.05)</f>
        <v>2092.05</v>
      </c>
      <c r="M3817" s="25">
        <f>IFERROR(__xludf.DUMMYFUNCTION("""COMPUTED_VALUE"""),2503466.0)</f>
        <v>2503466</v>
      </c>
    </row>
    <row r="3818">
      <c r="A3818" s="26">
        <f>IFERROR(__xludf.DUMMYFUNCTION("""COMPUTED_VALUE"""),44013.64583333333)</f>
        <v>44013.64583</v>
      </c>
      <c r="B3818" s="9">
        <f>IFERROR(__xludf.DUMMYFUNCTION("""COMPUTED_VALUE"""),737.25)</f>
        <v>737.25</v>
      </c>
      <c r="C3818" s="9">
        <f>IFERROR(__xludf.DUMMYFUNCTION("""COMPUTED_VALUE"""),742.3)</f>
        <v>742.3</v>
      </c>
      <c r="D3818" s="9">
        <f>IFERROR(__xludf.DUMMYFUNCTION("""COMPUTED_VALUE"""),729.75)</f>
        <v>729.75</v>
      </c>
      <c r="E3818" s="9">
        <f>IFERROR(__xludf.DUMMYFUNCTION("""COMPUTED_VALUE"""),731.9)</f>
        <v>731.9</v>
      </c>
      <c r="F3818" s="9">
        <f>IFERROR(__xludf.DUMMYFUNCTION("""COMPUTED_VALUE"""),5477687.0)</f>
        <v>5477687</v>
      </c>
      <c r="H3818" s="27">
        <f>IFERROR(__xludf.DUMMYFUNCTION("""COMPUTED_VALUE"""),44014.64583333333)</f>
        <v>44014.64583</v>
      </c>
      <c r="I3818" s="25">
        <f>IFERROR(__xludf.DUMMYFUNCTION("""COMPUTED_VALUE"""),2102.0)</f>
        <v>2102</v>
      </c>
      <c r="J3818" s="25">
        <f>IFERROR(__xludf.DUMMYFUNCTION("""COMPUTED_VALUE"""),2165.0)</f>
        <v>2165</v>
      </c>
      <c r="K3818" s="25">
        <f>IFERROR(__xludf.DUMMYFUNCTION("""COMPUTED_VALUE"""),2098.0)</f>
        <v>2098</v>
      </c>
      <c r="L3818" s="25">
        <f>IFERROR(__xludf.DUMMYFUNCTION("""COMPUTED_VALUE"""),2157.15)</f>
        <v>2157.15</v>
      </c>
      <c r="M3818" s="25">
        <f>IFERROR(__xludf.DUMMYFUNCTION("""COMPUTED_VALUE"""),3758709.0)</f>
        <v>3758709</v>
      </c>
    </row>
    <row r="3819">
      <c r="A3819" s="26">
        <f>IFERROR(__xludf.DUMMYFUNCTION("""COMPUTED_VALUE"""),44014.64583333333)</f>
        <v>44014.64583</v>
      </c>
      <c r="B3819" s="9">
        <f>IFERROR(__xludf.DUMMYFUNCTION("""COMPUTED_VALUE"""),737.35)</f>
        <v>737.35</v>
      </c>
      <c r="C3819" s="9">
        <f>IFERROR(__xludf.DUMMYFUNCTION("""COMPUTED_VALUE"""),765.45)</f>
        <v>765.45</v>
      </c>
      <c r="D3819" s="9">
        <f>IFERROR(__xludf.DUMMYFUNCTION("""COMPUTED_VALUE"""),735.4)</f>
        <v>735.4</v>
      </c>
      <c r="E3819" s="9">
        <f>IFERROR(__xludf.DUMMYFUNCTION("""COMPUTED_VALUE"""),756.6)</f>
        <v>756.6</v>
      </c>
      <c r="F3819" s="9">
        <f>IFERROR(__xludf.DUMMYFUNCTION("""COMPUTED_VALUE"""),1.7263764E7)</f>
        <v>17263764</v>
      </c>
      <c r="H3819" s="27">
        <f>IFERROR(__xludf.DUMMYFUNCTION("""COMPUTED_VALUE"""),44015.64583333333)</f>
        <v>44015.64583</v>
      </c>
      <c r="I3819" s="25">
        <f>IFERROR(__xludf.DUMMYFUNCTION("""COMPUTED_VALUE"""),2163.65)</f>
        <v>2163.65</v>
      </c>
      <c r="J3819" s="25">
        <f>IFERROR(__xludf.DUMMYFUNCTION("""COMPUTED_VALUE"""),2205.0)</f>
        <v>2205</v>
      </c>
      <c r="K3819" s="25">
        <f>IFERROR(__xludf.DUMMYFUNCTION("""COMPUTED_VALUE"""),2160.25)</f>
        <v>2160.25</v>
      </c>
      <c r="L3819" s="25">
        <f>IFERROR(__xludf.DUMMYFUNCTION("""COMPUTED_VALUE"""),2199.65)</f>
        <v>2199.65</v>
      </c>
      <c r="M3819" s="25">
        <f>IFERROR(__xludf.DUMMYFUNCTION("""COMPUTED_VALUE"""),4185215.0)</f>
        <v>4185215</v>
      </c>
    </row>
    <row r="3820">
      <c r="A3820" s="26">
        <f>IFERROR(__xludf.DUMMYFUNCTION("""COMPUTED_VALUE"""),44015.64583333333)</f>
        <v>44015.64583</v>
      </c>
      <c r="B3820" s="9">
        <f>IFERROR(__xludf.DUMMYFUNCTION("""COMPUTED_VALUE"""),755.0)</f>
        <v>755</v>
      </c>
      <c r="C3820" s="9">
        <f>IFERROR(__xludf.DUMMYFUNCTION("""COMPUTED_VALUE"""),764.0)</f>
        <v>764</v>
      </c>
      <c r="D3820" s="9">
        <f>IFERROR(__xludf.DUMMYFUNCTION("""COMPUTED_VALUE"""),752.5)</f>
        <v>752.5</v>
      </c>
      <c r="E3820" s="9">
        <f>IFERROR(__xludf.DUMMYFUNCTION("""COMPUTED_VALUE"""),762.7)</f>
        <v>762.7</v>
      </c>
      <c r="F3820" s="9">
        <f>IFERROR(__xludf.DUMMYFUNCTION("""COMPUTED_VALUE"""),7796573.0)</f>
        <v>7796573</v>
      </c>
      <c r="H3820" s="27">
        <f>IFERROR(__xludf.DUMMYFUNCTION("""COMPUTED_VALUE"""),44018.64583333333)</f>
        <v>44018.64583</v>
      </c>
      <c r="I3820" s="25">
        <f>IFERROR(__xludf.DUMMYFUNCTION("""COMPUTED_VALUE"""),2205.0)</f>
        <v>2205</v>
      </c>
      <c r="J3820" s="25">
        <f>IFERROR(__xludf.DUMMYFUNCTION("""COMPUTED_VALUE"""),2269.9)</f>
        <v>2269.9</v>
      </c>
      <c r="K3820" s="25">
        <f>IFERROR(__xludf.DUMMYFUNCTION("""COMPUTED_VALUE"""),2205.0)</f>
        <v>2205</v>
      </c>
      <c r="L3820" s="25">
        <f>IFERROR(__xludf.DUMMYFUNCTION("""COMPUTED_VALUE"""),2263.2)</f>
        <v>2263.2</v>
      </c>
      <c r="M3820" s="25">
        <f>IFERROR(__xludf.DUMMYFUNCTION("""COMPUTED_VALUE"""),5190366.0)</f>
        <v>5190366</v>
      </c>
    </row>
    <row r="3821">
      <c r="A3821" s="26">
        <f>IFERROR(__xludf.DUMMYFUNCTION("""COMPUTED_VALUE"""),44018.64583333333)</f>
        <v>44018.64583</v>
      </c>
      <c r="B3821" s="9">
        <f>IFERROR(__xludf.DUMMYFUNCTION("""COMPUTED_VALUE"""),765.2)</f>
        <v>765.2</v>
      </c>
      <c r="C3821" s="9">
        <f>IFERROR(__xludf.DUMMYFUNCTION("""COMPUTED_VALUE"""),775.0)</f>
        <v>775</v>
      </c>
      <c r="D3821" s="9">
        <f>IFERROR(__xludf.DUMMYFUNCTION("""COMPUTED_VALUE"""),761.5)</f>
        <v>761.5</v>
      </c>
      <c r="E3821" s="9">
        <f>IFERROR(__xludf.DUMMYFUNCTION("""COMPUTED_VALUE"""),764.0)</f>
        <v>764</v>
      </c>
      <c r="F3821" s="9">
        <f>IFERROR(__xludf.DUMMYFUNCTION("""COMPUTED_VALUE"""),8811009.0)</f>
        <v>8811009</v>
      </c>
      <c r="H3821" s="27">
        <f>IFERROR(__xludf.DUMMYFUNCTION("""COMPUTED_VALUE"""),44019.64583333333)</f>
        <v>44019.64583</v>
      </c>
      <c r="I3821" s="25">
        <f>IFERROR(__xludf.DUMMYFUNCTION("""COMPUTED_VALUE"""),2275.0)</f>
        <v>2275</v>
      </c>
      <c r="J3821" s="25">
        <f>IFERROR(__xludf.DUMMYFUNCTION("""COMPUTED_VALUE"""),2302.7)</f>
        <v>2302.7</v>
      </c>
      <c r="K3821" s="25">
        <f>IFERROR(__xludf.DUMMYFUNCTION("""COMPUTED_VALUE"""),2232.15)</f>
        <v>2232.15</v>
      </c>
      <c r="L3821" s="25">
        <f>IFERROR(__xludf.DUMMYFUNCTION("""COMPUTED_VALUE"""),2269.9)</f>
        <v>2269.9</v>
      </c>
      <c r="M3821" s="25">
        <f>IFERROR(__xludf.DUMMYFUNCTION("""COMPUTED_VALUE"""),5630081.0)</f>
        <v>5630081</v>
      </c>
    </row>
    <row r="3822">
      <c r="A3822" s="26">
        <f>IFERROR(__xludf.DUMMYFUNCTION("""COMPUTED_VALUE"""),44019.64583333333)</f>
        <v>44019.64583</v>
      </c>
      <c r="B3822" s="9">
        <f>IFERROR(__xludf.DUMMYFUNCTION("""COMPUTED_VALUE"""),769.4)</f>
        <v>769.4</v>
      </c>
      <c r="C3822" s="9">
        <f>IFERROR(__xludf.DUMMYFUNCTION("""COMPUTED_VALUE"""),796.95)</f>
        <v>796.95</v>
      </c>
      <c r="D3822" s="9">
        <f>IFERROR(__xludf.DUMMYFUNCTION("""COMPUTED_VALUE"""),765.55)</f>
        <v>765.55</v>
      </c>
      <c r="E3822" s="9">
        <f>IFERROR(__xludf.DUMMYFUNCTION("""COMPUTED_VALUE"""),794.15)</f>
        <v>794.15</v>
      </c>
      <c r="F3822" s="9">
        <f>IFERROR(__xludf.DUMMYFUNCTION("""COMPUTED_VALUE"""),1.9362666E7)</f>
        <v>19362666</v>
      </c>
      <c r="H3822" s="27">
        <f>IFERROR(__xludf.DUMMYFUNCTION("""COMPUTED_VALUE"""),44020.64583333333)</f>
        <v>44020.64583</v>
      </c>
      <c r="I3822" s="25">
        <f>IFERROR(__xludf.DUMMYFUNCTION("""COMPUTED_VALUE"""),2270.0)</f>
        <v>2270</v>
      </c>
      <c r="J3822" s="25">
        <f>IFERROR(__xludf.DUMMYFUNCTION("""COMPUTED_VALUE"""),2274.4)</f>
        <v>2274.4</v>
      </c>
      <c r="K3822" s="25">
        <f>IFERROR(__xludf.DUMMYFUNCTION("""COMPUTED_VALUE"""),2207.6)</f>
        <v>2207.6</v>
      </c>
      <c r="L3822" s="25">
        <f>IFERROR(__xludf.DUMMYFUNCTION("""COMPUTED_VALUE"""),2218.9)</f>
        <v>2218.9</v>
      </c>
      <c r="M3822" s="25">
        <f>IFERROR(__xludf.DUMMYFUNCTION("""COMPUTED_VALUE"""),2793674.0)</f>
        <v>2793674</v>
      </c>
    </row>
    <row r="3823">
      <c r="A3823" s="26">
        <f>IFERROR(__xludf.DUMMYFUNCTION("""COMPUTED_VALUE"""),44020.64583333333)</f>
        <v>44020.64583</v>
      </c>
      <c r="B3823" s="9">
        <f>IFERROR(__xludf.DUMMYFUNCTION("""COMPUTED_VALUE"""),784.9)</f>
        <v>784.9</v>
      </c>
      <c r="C3823" s="9">
        <f>IFERROR(__xludf.DUMMYFUNCTION("""COMPUTED_VALUE"""),784.9)</f>
        <v>784.9</v>
      </c>
      <c r="D3823" s="9">
        <f>IFERROR(__xludf.DUMMYFUNCTION("""COMPUTED_VALUE"""),772.2)</f>
        <v>772.2</v>
      </c>
      <c r="E3823" s="9">
        <f>IFERROR(__xludf.DUMMYFUNCTION("""COMPUTED_VALUE"""),774.7)</f>
        <v>774.7</v>
      </c>
      <c r="F3823" s="9">
        <f>IFERROR(__xludf.DUMMYFUNCTION("""COMPUTED_VALUE"""),8476675.0)</f>
        <v>8476675</v>
      </c>
      <c r="H3823" s="27">
        <f>IFERROR(__xludf.DUMMYFUNCTION("""COMPUTED_VALUE"""),44021.64583333333)</f>
        <v>44021.64583</v>
      </c>
      <c r="I3823" s="25">
        <f>IFERROR(__xludf.DUMMYFUNCTION("""COMPUTED_VALUE"""),2229.0)</f>
        <v>2229</v>
      </c>
      <c r="J3823" s="25">
        <f>IFERROR(__xludf.DUMMYFUNCTION("""COMPUTED_VALUE"""),2244.5)</f>
        <v>2244.5</v>
      </c>
      <c r="K3823" s="25">
        <f>IFERROR(__xludf.DUMMYFUNCTION("""COMPUTED_VALUE"""),2191.05)</f>
        <v>2191.05</v>
      </c>
      <c r="L3823" s="25">
        <f>IFERROR(__xludf.DUMMYFUNCTION("""COMPUTED_VALUE"""),2204.35)</f>
        <v>2204.35</v>
      </c>
      <c r="M3823" s="25">
        <f>IFERROR(__xludf.DUMMYFUNCTION("""COMPUTED_VALUE"""),3443998.0)</f>
        <v>3443998</v>
      </c>
    </row>
    <row r="3824">
      <c r="A3824" s="26">
        <f>IFERROR(__xludf.DUMMYFUNCTION("""COMPUTED_VALUE"""),44021.64583333333)</f>
        <v>44021.64583</v>
      </c>
      <c r="B3824" s="9">
        <f>IFERROR(__xludf.DUMMYFUNCTION("""COMPUTED_VALUE"""),780.0)</f>
        <v>780</v>
      </c>
      <c r="C3824" s="9">
        <f>IFERROR(__xludf.DUMMYFUNCTION("""COMPUTED_VALUE"""),790.0)</f>
        <v>790</v>
      </c>
      <c r="D3824" s="9">
        <f>IFERROR(__xludf.DUMMYFUNCTION("""COMPUTED_VALUE"""),775.0)</f>
        <v>775</v>
      </c>
      <c r="E3824" s="9">
        <f>IFERROR(__xludf.DUMMYFUNCTION("""COMPUTED_VALUE"""),781.7)</f>
        <v>781.7</v>
      </c>
      <c r="F3824" s="9">
        <f>IFERROR(__xludf.DUMMYFUNCTION("""COMPUTED_VALUE"""),6854196.0)</f>
        <v>6854196</v>
      </c>
      <c r="H3824" s="27">
        <f>IFERROR(__xludf.DUMMYFUNCTION("""COMPUTED_VALUE"""),44022.64583333333)</f>
        <v>44022.64583</v>
      </c>
      <c r="I3824" s="25">
        <f>IFERROR(__xludf.DUMMYFUNCTION("""COMPUTED_VALUE"""),2205.25)</f>
        <v>2205.25</v>
      </c>
      <c r="J3824" s="25">
        <f>IFERROR(__xludf.DUMMYFUNCTION("""COMPUTED_VALUE"""),2249.85)</f>
        <v>2249.85</v>
      </c>
      <c r="K3824" s="25">
        <f>IFERROR(__xludf.DUMMYFUNCTION("""COMPUTED_VALUE"""),2176.0)</f>
        <v>2176</v>
      </c>
      <c r="L3824" s="25">
        <f>IFERROR(__xludf.DUMMYFUNCTION("""COMPUTED_VALUE"""),2222.35)</f>
        <v>2222.35</v>
      </c>
      <c r="M3824" s="25">
        <f>IFERROR(__xludf.DUMMYFUNCTION("""COMPUTED_VALUE"""),9610327.0)</f>
        <v>9610327</v>
      </c>
    </row>
    <row r="3825">
      <c r="A3825" s="26">
        <f>IFERROR(__xludf.DUMMYFUNCTION("""COMPUTED_VALUE"""),44022.64583333333)</f>
        <v>44022.64583</v>
      </c>
      <c r="B3825" s="9">
        <f>IFERROR(__xludf.DUMMYFUNCTION("""COMPUTED_VALUE"""),773.5)</f>
        <v>773.5</v>
      </c>
      <c r="C3825" s="9">
        <f>IFERROR(__xludf.DUMMYFUNCTION("""COMPUTED_VALUE"""),789.9)</f>
        <v>789.9</v>
      </c>
      <c r="D3825" s="9">
        <f>IFERROR(__xludf.DUMMYFUNCTION("""COMPUTED_VALUE"""),773.5)</f>
        <v>773.5</v>
      </c>
      <c r="E3825" s="9">
        <f>IFERROR(__xludf.DUMMYFUNCTION("""COMPUTED_VALUE"""),781.85)</f>
        <v>781.85</v>
      </c>
      <c r="F3825" s="9">
        <f>IFERROR(__xludf.DUMMYFUNCTION("""COMPUTED_VALUE"""),5206452.0)</f>
        <v>5206452</v>
      </c>
      <c r="H3825" s="27">
        <f>IFERROR(__xludf.DUMMYFUNCTION("""COMPUTED_VALUE"""),44025.64583333333)</f>
        <v>44025.64583</v>
      </c>
      <c r="I3825" s="25">
        <f>IFERROR(__xludf.DUMMYFUNCTION("""COMPUTED_VALUE"""),2220.0)</f>
        <v>2220</v>
      </c>
      <c r="J3825" s="25">
        <f>IFERROR(__xludf.DUMMYFUNCTION("""COMPUTED_VALUE"""),2244.95)</f>
        <v>2244.95</v>
      </c>
      <c r="K3825" s="25">
        <f>IFERROR(__xludf.DUMMYFUNCTION("""COMPUTED_VALUE"""),2210.0)</f>
        <v>2210</v>
      </c>
      <c r="L3825" s="25">
        <f>IFERROR(__xludf.DUMMYFUNCTION("""COMPUTED_VALUE"""),2220.0)</f>
        <v>2220</v>
      </c>
      <c r="M3825" s="25">
        <f>IFERROR(__xludf.DUMMYFUNCTION("""COMPUTED_VALUE"""),2963525.0)</f>
        <v>2963525</v>
      </c>
    </row>
    <row r="3826">
      <c r="A3826" s="26">
        <f>IFERROR(__xludf.DUMMYFUNCTION("""COMPUTED_VALUE"""),44025.64583333333)</f>
        <v>44025.64583</v>
      </c>
      <c r="B3826" s="9">
        <f>IFERROR(__xludf.DUMMYFUNCTION("""COMPUTED_VALUE"""),788.0)</f>
        <v>788</v>
      </c>
      <c r="C3826" s="9">
        <f>IFERROR(__xludf.DUMMYFUNCTION("""COMPUTED_VALUE"""),805.35)</f>
        <v>805.35</v>
      </c>
      <c r="D3826" s="9">
        <f>IFERROR(__xludf.DUMMYFUNCTION("""COMPUTED_VALUE"""),786.05)</f>
        <v>786.05</v>
      </c>
      <c r="E3826" s="9">
        <f>IFERROR(__xludf.DUMMYFUNCTION("""COMPUTED_VALUE"""),797.05)</f>
        <v>797.05</v>
      </c>
      <c r="F3826" s="9">
        <f>IFERROR(__xludf.DUMMYFUNCTION("""COMPUTED_VALUE"""),1.0804911E7)</f>
        <v>10804911</v>
      </c>
      <c r="H3826" s="27">
        <f>IFERROR(__xludf.DUMMYFUNCTION("""COMPUTED_VALUE"""),44026.64583333333)</f>
        <v>44026.64583</v>
      </c>
      <c r="I3826" s="25">
        <f>IFERROR(__xludf.DUMMYFUNCTION("""COMPUTED_VALUE"""),2210.0)</f>
        <v>2210</v>
      </c>
      <c r="J3826" s="25">
        <f>IFERROR(__xludf.DUMMYFUNCTION("""COMPUTED_VALUE"""),2239.0)</f>
        <v>2239</v>
      </c>
      <c r="K3826" s="25">
        <f>IFERROR(__xludf.DUMMYFUNCTION("""COMPUTED_VALUE"""),2165.0)</f>
        <v>2165</v>
      </c>
      <c r="L3826" s="25">
        <f>IFERROR(__xludf.DUMMYFUNCTION("""COMPUTED_VALUE"""),2171.95)</f>
        <v>2171.95</v>
      </c>
      <c r="M3826" s="25">
        <f>IFERROR(__xludf.DUMMYFUNCTION("""COMPUTED_VALUE"""),2976749.0)</f>
        <v>2976749</v>
      </c>
    </row>
    <row r="3827">
      <c r="A3827" s="26">
        <f>IFERROR(__xludf.DUMMYFUNCTION("""COMPUTED_VALUE"""),44026.64583333333)</f>
        <v>44026.64583</v>
      </c>
      <c r="B3827" s="9">
        <f>IFERROR(__xludf.DUMMYFUNCTION("""COMPUTED_VALUE"""),792.95)</f>
        <v>792.95</v>
      </c>
      <c r="C3827" s="9">
        <f>IFERROR(__xludf.DUMMYFUNCTION("""COMPUTED_VALUE"""),806.4)</f>
        <v>806.4</v>
      </c>
      <c r="D3827" s="9">
        <f>IFERROR(__xludf.DUMMYFUNCTION("""COMPUTED_VALUE"""),781.35)</f>
        <v>781.35</v>
      </c>
      <c r="E3827" s="9">
        <f>IFERROR(__xludf.DUMMYFUNCTION("""COMPUTED_VALUE"""),783.25)</f>
        <v>783.25</v>
      </c>
      <c r="F3827" s="9">
        <f>IFERROR(__xludf.DUMMYFUNCTION("""COMPUTED_VALUE"""),8961822.0)</f>
        <v>8961822</v>
      </c>
      <c r="H3827" s="27">
        <f>IFERROR(__xludf.DUMMYFUNCTION("""COMPUTED_VALUE"""),44027.64583333333)</f>
        <v>44027.64583</v>
      </c>
      <c r="I3827" s="25">
        <f>IFERROR(__xludf.DUMMYFUNCTION("""COMPUTED_VALUE"""),2185.0)</f>
        <v>2185</v>
      </c>
      <c r="J3827" s="25">
        <f>IFERROR(__xludf.DUMMYFUNCTION("""COMPUTED_VALUE"""),2260.0)</f>
        <v>2260</v>
      </c>
      <c r="K3827" s="25">
        <f>IFERROR(__xludf.DUMMYFUNCTION("""COMPUTED_VALUE"""),2181.1)</f>
        <v>2181.1</v>
      </c>
      <c r="L3827" s="25">
        <f>IFERROR(__xludf.DUMMYFUNCTION("""COMPUTED_VALUE"""),2233.9)</f>
        <v>2233.9</v>
      </c>
      <c r="M3827" s="25">
        <f>IFERROR(__xludf.DUMMYFUNCTION("""COMPUTED_VALUE"""),5569322.0)</f>
        <v>5569322</v>
      </c>
    </row>
    <row r="3828">
      <c r="A3828" s="26">
        <f>IFERROR(__xludf.DUMMYFUNCTION("""COMPUTED_VALUE"""),44027.64583333333)</f>
        <v>44027.64583</v>
      </c>
      <c r="B3828" s="9">
        <f>IFERROR(__xludf.DUMMYFUNCTION("""COMPUTED_VALUE"""),799.0)</f>
        <v>799</v>
      </c>
      <c r="C3828" s="9">
        <f>IFERROR(__xludf.DUMMYFUNCTION("""COMPUTED_VALUE"""),848.45)</f>
        <v>848.45</v>
      </c>
      <c r="D3828" s="9">
        <f>IFERROR(__xludf.DUMMYFUNCTION("""COMPUTED_VALUE"""),794.8)</f>
        <v>794.8</v>
      </c>
      <c r="E3828" s="9">
        <f>IFERROR(__xludf.DUMMYFUNCTION("""COMPUTED_VALUE"""),830.95)</f>
        <v>830.95</v>
      </c>
      <c r="F3828" s="9">
        <f>IFERROR(__xludf.DUMMYFUNCTION("""COMPUTED_VALUE"""),3.0060998E7)</f>
        <v>30060998</v>
      </c>
      <c r="H3828" s="27">
        <f>IFERROR(__xludf.DUMMYFUNCTION("""COMPUTED_VALUE"""),44028.64583333333)</f>
        <v>44028.64583</v>
      </c>
      <c r="I3828" s="25">
        <f>IFERROR(__xludf.DUMMYFUNCTION("""COMPUTED_VALUE"""),2244.0)</f>
        <v>2244</v>
      </c>
      <c r="J3828" s="25">
        <f>IFERROR(__xludf.DUMMYFUNCTION("""COMPUTED_VALUE"""),2333.0)</f>
        <v>2333</v>
      </c>
      <c r="K3828" s="25">
        <f>IFERROR(__xludf.DUMMYFUNCTION("""COMPUTED_VALUE"""),2220.1)</f>
        <v>2220.1</v>
      </c>
      <c r="L3828" s="25">
        <f>IFERROR(__xludf.DUMMYFUNCTION("""COMPUTED_VALUE"""),2234.75)</f>
        <v>2234.75</v>
      </c>
      <c r="M3828" s="25">
        <f>IFERROR(__xludf.DUMMYFUNCTION("""COMPUTED_VALUE"""),8582120.0)</f>
        <v>8582120</v>
      </c>
    </row>
    <row r="3829">
      <c r="A3829" s="26">
        <f>IFERROR(__xludf.DUMMYFUNCTION("""COMPUTED_VALUE"""),44028.64583333333)</f>
        <v>44028.64583</v>
      </c>
      <c r="B3829" s="9">
        <f>IFERROR(__xludf.DUMMYFUNCTION("""COMPUTED_VALUE"""),900.1)</f>
        <v>900.1</v>
      </c>
      <c r="C3829" s="9">
        <f>IFERROR(__xludf.DUMMYFUNCTION("""COMPUTED_VALUE"""),955.5)</f>
        <v>955.5</v>
      </c>
      <c r="D3829" s="9">
        <f>IFERROR(__xludf.DUMMYFUNCTION("""COMPUTED_VALUE"""),894.25)</f>
        <v>894.25</v>
      </c>
      <c r="E3829" s="9">
        <f>IFERROR(__xludf.DUMMYFUNCTION("""COMPUTED_VALUE"""),911.0)</f>
        <v>911</v>
      </c>
      <c r="F3829" s="9">
        <f>IFERROR(__xludf.DUMMYFUNCTION("""COMPUTED_VALUE"""),9.0433393E7)</f>
        <v>90433393</v>
      </c>
      <c r="H3829" s="27">
        <f>IFERROR(__xludf.DUMMYFUNCTION("""COMPUTED_VALUE"""),44029.64583333333)</f>
        <v>44029.64583</v>
      </c>
      <c r="I3829" s="25">
        <f>IFERROR(__xludf.DUMMYFUNCTION("""COMPUTED_VALUE"""),2237.0)</f>
        <v>2237</v>
      </c>
      <c r="J3829" s="25">
        <f>IFERROR(__xludf.DUMMYFUNCTION("""COMPUTED_VALUE"""),2243.9)</f>
        <v>2243.9</v>
      </c>
      <c r="K3829" s="25">
        <f>IFERROR(__xludf.DUMMYFUNCTION("""COMPUTED_VALUE"""),2190.05)</f>
        <v>2190.05</v>
      </c>
      <c r="L3829" s="25">
        <f>IFERROR(__xludf.DUMMYFUNCTION("""COMPUTED_VALUE"""),2200.75)</f>
        <v>2200.75</v>
      </c>
      <c r="M3829" s="25">
        <f>IFERROR(__xludf.DUMMYFUNCTION("""COMPUTED_VALUE"""),4509143.0)</f>
        <v>4509143</v>
      </c>
    </row>
    <row r="3830">
      <c r="A3830" s="26">
        <f>IFERROR(__xludf.DUMMYFUNCTION("""COMPUTED_VALUE"""),44029.64583333333)</f>
        <v>44029.64583</v>
      </c>
      <c r="B3830" s="9">
        <f>IFERROR(__xludf.DUMMYFUNCTION("""COMPUTED_VALUE"""),911.0)</f>
        <v>911</v>
      </c>
      <c r="C3830" s="9">
        <f>IFERROR(__xludf.DUMMYFUNCTION("""COMPUTED_VALUE"""),919.9)</f>
        <v>919.9</v>
      </c>
      <c r="D3830" s="9">
        <f>IFERROR(__xludf.DUMMYFUNCTION("""COMPUTED_VALUE"""),892.15)</f>
        <v>892.15</v>
      </c>
      <c r="E3830" s="9">
        <f>IFERROR(__xludf.DUMMYFUNCTION("""COMPUTED_VALUE"""),903.15)</f>
        <v>903.15</v>
      </c>
      <c r="F3830" s="9">
        <f>IFERROR(__xludf.DUMMYFUNCTION("""COMPUTED_VALUE"""),3.1682904E7)</f>
        <v>31682904</v>
      </c>
      <c r="H3830" s="27">
        <f>IFERROR(__xludf.DUMMYFUNCTION("""COMPUTED_VALUE"""),44032.64583333333)</f>
        <v>44032.64583</v>
      </c>
      <c r="I3830" s="25">
        <f>IFERROR(__xludf.DUMMYFUNCTION("""COMPUTED_VALUE"""),2201.0)</f>
        <v>2201</v>
      </c>
      <c r="J3830" s="25">
        <f>IFERROR(__xludf.DUMMYFUNCTION("""COMPUTED_VALUE"""),2226.9)</f>
        <v>2226.9</v>
      </c>
      <c r="K3830" s="25">
        <f>IFERROR(__xludf.DUMMYFUNCTION("""COMPUTED_VALUE"""),2190.8)</f>
        <v>2190.8</v>
      </c>
      <c r="L3830" s="25">
        <f>IFERROR(__xludf.DUMMYFUNCTION("""COMPUTED_VALUE"""),2207.9)</f>
        <v>2207.9</v>
      </c>
      <c r="M3830" s="25">
        <f>IFERROR(__xludf.DUMMYFUNCTION("""COMPUTED_VALUE"""),2952719.0)</f>
        <v>2952719</v>
      </c>
    </row>
    <row r="3831">
      <c r="A3831" s="26">
        <f>IFERROR(__xludf.DUMMYFUNCTION("""COMPUTED_VALUE"""),44032.64583333333)</f>
        <v>44032.64583</v>
      </c>
      <c r="B3831" s="9">
        <f>IFERROR(__xludf.DUMMYFUNCTION("""COMPUTED_VALUE"""),908.5)</f>
        <v>908.5</v>
      </c>
      <c r="C3831" s="9">
        <f>IFERROR(__xludf.DUMMYFUNCTION("""COMPUTED_VALUE"""),945.0)</f>
        <v>945</v>
      </c>
      <c r="D3831" s="9">
        <f>IFERROR(__xludf.DUMMYFUNCTION("""COMPUTED_VALUE"""),906.75)</f>
        <v>906.75</v>
      </c>
      <c r="E3831" s="9">
        <f>IFERROR(__xludf.DUMMYFUNCTION("""COMPUTED_VALUE"""),934.3)</f>
        <v>934.3</v>
      </c>
      <c r="F3831" s="9">
        <f>IFERROR(__xludf.DUMMYFUNCTION("""COMPUTED_VALUE"""),1.8421083E7)</f>
        <v>18421083</v>
      </c>
      <c r="H3831" s="27">
        <f>IFERROR(__xludf.DUMMYFUNCTION("""COMPUTED_VALUE"""),44033.64583333333)</f>
        <v>44033.64583</v>
      </c>
      <c r="I3831" s="25">
        <f>IFERROR(__xludf.DUMMYFUNCTION("""COMPUTED_VALUE"""),2230.0)</f>
        <v>2230</v>
      </c>
      <c r="J3831" s="25">
        <f>IFERROR(__xludf.DUMMYFUNCTION("""COMPUTED_VALUE"""),2238.65)</f>
        <v>2238.65</v>
      </c>
      <c r="K3831" s="25">
        <f>IFERROR(__xludf.DUMMYFUNCTION("""COMPUTED_VALUE"""),2201.15)</f>
        <v>2201.15</v>
      </c>
      <c r="L3831" s="25">
        <f>IFERROR(__xludf.DUMMYFUNCTION("""COMPUTED_VALUE"""),2225.05)</f>
        <v>2225.05</v>
      </c>
      <c r="M3831" s="25">
        <f>IFERROR(__xludf.DUMMYFUNCTION("""COMPUTED_VALUE"""),2665386.0)</f>
        <v>2665386</v>
      </c>
    </row>
    <row r="3832">
      <c r="A3832" s="26">
        <f>IFERROR(__xludf.DUMMYFUNCTION("""COMPUTED_VALUE"""),44033.64583333333)</f>
        <v>44033.64583</v>
      </c>
      <c r="B3832" s="9">
        <f>IFERROR(__xludf.DUMMYFUNCTION("""COMPUTED_VALUE"""),945.0)</f>
        <v>945</v>
      </c>
      <c r="C3832" s="9">
        <f>IFERROR(__xludf.DUMMYFUNCTION("""COMPUTED_VALUE"""),949.7)</f>
        <v>949.7</v>
      </c>
      <c r="D3832" s="9">
        <f>IFERROR(__xludf.DUMMYFUNCTION("""COMPUTED_VALUE"""),929.2)</f>
        <v>929.2</v>
      </c>
      <c r="E3832" s="9">
        <f>IFERROR(__xludf.DUMMYFUNCTION("""COMPUTED_VALUE"""),936.75)</f>
        <v>936.75</v>
      </c>
      <c r="F3832" s="9">
        <f>IFERROR(__xludf.DUMMYFUNCTION("""COMPUTED_VALUE"""),1.2877814E7)</f>
        <v>12877814</v>
      </c>
      <c r="H3832" s="27">
        <f>IFERROR(__xludf.DUMMYFUNCTION("""COMPUTED_VALUE"""),44034.64583333333)</f>
        <v>44034.64583</v>
      </c>
      <c r="I3832" s="25">
        <f>IFERROR(__xludf.DUMMYFUNCTION("""COMPUTED_VALUE"""),2231.0)</f>
        <v>2231</v>
      </c>
      <c r="J3832" s="25">
        <f>IFERROR(__xludf.DUMMYFUNCTION("""COMPUTED_VALUE"""),2231.0)</f>
        <v>2231</v>
      </c>
      <c r="K3832" s="25">
        <f>IFERROR(__xludf.DUMMYFUNCTION("""COMPUTED_VALUE"""),2184.2)</f>
        <v>2184.2</v>
      </c>
      <c r="L3832" s="25">
        <f>IFERROR(__xludf.DUMMYFUNCTION("""COMPUTED_VALUE"""),2190.95)</f>
        <v>2190.95</v>
      </c>
      <c r="M3832" s="25">
        <f>IFERROR(__xludf.DUMMYFUNCTION("""COMPUTED_VALUE"""),2861698.0)</f>
        <v>2861698</v>
      </c>
    </row>
    <row r="3833">
      <c r="A3833" s="26">
        <f>IFERROR(__xludf.DUMMYFUNCTION("""COMPUTED_VALUE"""),44034.64583333333)</f>
        <v>44034.64583</v>
      </c>
      <c r="B3833" s="9">
        <f>IFERROR(__xludf.DUMMYFUNCTION("""COMPUTED_VALUE"""),938.95)</f>
        <v>938.95</v>
      </c>
      <c r="C3833" s="9">
        <f>IFERROR(__xludf.DUMMYFUNCTION("""COMPUTED_VALUE"""),939.0)</f>
        <v>939</v>
      </c>
      <c r="D3833" s="9">
        <f>IFERROR(__xludf.DUMMYFUNCTION("""COMPUTED_VALUE"""),910.0)</f>
        <v>910</v>
      </c>
      <c r="E3833" s="9">
        <f>IFERROR(__xludf.DUMMYFUNCTION("""COMPUTED_VALUE"""),917.9)</f>
        <v>917.9</v>
      </c>
      <c r="F3833" s="9">
        <f>IFERROR(__xludf.DUMMYFUNCTION("""COMPUTED_VALUE"""),1.4354421E7)</f>
        <v>14354421</v>
      </c>
      <c r="H3833" s="27">
        <f>IFERROR(__xludf.DUMMYFUNCTION("""COMPUTED_VALUE"""),44035.64583333333)</f>
        <v>44035.64583</v>
      </c>
      <c r="I3833" s="25">
        <f>IFERROR(__xludf.DUMMYFUNCTION("""COMPUTED_VALUE"""),2190.95)</f>
        <v>2190.95</v>
      </c>
      <c r="J3833" s="25">
        <f>IFERROR(__xludf.DUMMYFUNCTION("""COMPUTED_VALUE"""),2190.95)</f>
        <v>2190.95</v>
      </c>
      <c r="K3833" s="25">
        <f>IFERROR(__xludf.DUMMYFUNCTION("""COMPUTED_VALUE"""),2163.0)</f>
        <v>2163</v>
      </c>
      <c r="L3833" s="25">
        <f>IFERROR(__xludf.DUMMYFUNCTION("""COMPUTED_VALUE"""),2171.2)</f>
        <v>2171.2</v>
      </c>
      <c r="M3833" s="25">
        <f>IFERROR(__xludf.DUMMYFUNCTION("""COMPUTED_VALUE"""),2265791.0)</f>
        <v>2265791</v>
      </c>
    </row>
    <row r="3834">
      <c r="A3834" s="26">
        <f>IFERROR(__xludf.DUMMYFUNCTION("""COMPUTED_VALUE"""),44035.64583333333)</f>
        <v>44035.64583</v>
      </c>
      <c r="B3834" s="9">
        <f>IFERROR(__xludf.DUMMYFUNCTION("""COMPUTED_VALUE"""),915.65)</f>
        <v>915.65</v>
      </c>
      <c r="C3834" s="9">
        <f>IFERROR(__xludf.DUMMYFUNCTION("""COMPUTED_VALUE"""),915.8)</f>
        <v>915.8</v>
      </c>
      <c r="D3834" s="9">
        <f>IFERROR(__xludf.DUMMYFUNCTION("""COMPUTED_VALUE"""),900.65)</f>
        <v>900.65</v>
      </c>
      <c r="E3834" s="9">
        <f>IFERROR(__xludf.DUMMYFUNCTION("""COMPUTED_VALUE"""),907.95)</f>
        <v>907.95</v>
      </c>
      <c r="F3834" s="9">
        <f>IFERROR(__xludf.DUMMYFUNCTION("""COMPUTED_VALUE"""),1.3052804E7)</f>
        <v>13052804</v>
      </c>
      <c r="H3834" s="27">
        <f>IFERROR(__xludf.DUMMYFUNCTION("""COMPUTED_VALUE"""),44036.64583333333)</f>
        <v>44036.64583</v>
      </c>
      <c r="I3834" s="25">
        <f>IFERROR(__xludf.DUMMYFUNCTION("""COMPUTED_VALUE"""),2154.5)</f>
        <v>2154.5</v>
      </c>
      <c r="J3834" s="25">
        <f>IFERROR(__xludf.DUMMYFUNCTION("""COMPUTED_VALUE"""),2163.0)</f>
        <v>2163</v>
      </c>
      <c r="K3834" s="25">
        <f>IFERROR(__xludf.DUMMYFUNCTION("""COMPUTED_VALUE"""),2125.1)</f>
        <v>2125.1</v>
      </c>
      <c r="L3834" s="25">
        <f>IFERROR(__xludf.DUMMYFUNCTION("""COMPUTED_VALUE"""),2157.4)</f>
        <v>2157.4</v>
      </c>
      <c r="M3834" s="25">
        <f>IFERROR(__xludf.DUMMYFUNCTION("""COMPUTED_VALUE"""),3665123.0)</f>
        <v>3665123</v>
      </c>
    </row>
    <row r="3835">
      <c r="A3835" s="26">
        <f>IFERROR(__xludf.DUMMYFUNCTION("""COMPUTED_VALUE"""),44036.64583333333)</f>
        <v>44036.64583</v>
      </c>
      <c r="B3835" s="9">
        <f>IFERROR(__xludf.DUMMYFUNCTION("""COMPUTED_VALUE"""),903.25)</f>
        <v>903.25</v>
      </c>
      <c r="C3835" s="9">
        <f>IFERROR(__xludf.DUMMYFUNCTION("""COMPUTED_VALUE"""),925.75)</f>
        <v>925.75</v>
      </c>
      <c r="D3835" s="9">
        <f>IFERROR(__xludf.DUMMYFUNCTION("""COMPUTED_VALUE"""),903.25)</f>
        <v>903.25</v>
      </c>
      <c r="E3835" s="9">
        <f>IFERROR(__xludf.DUMMYFUNCTION("""COMPUTED_VALUE"""),922.85)</f>
        <v>922.85</v>
      </c>
      <c r="F3835" s="9">
        <f>IFERROR(__xludf.DUMMYFUNCTION("""COMPUTED_VALUE"""),1.820967E7)</f>
        <v>18209670</v>
      </c>
      <c r="H3835" s="27">
        <f>IFERROR(__xludf.DUMMYFUNCTION("""COMPUTED_VALUE"""),44039.64583333333)</f>
        <v>44039.64583</v>
      </c>
      <c r="I3835" s="25">
        <f>IFERROR(__xludf.DUMMYFUNCTION("""COMPUTED_VALUE"""),2165.0)</f>
        <v>2165</v>
      </c>
      <c r="J3835" s="25">
        <f>IFERROR(__xludf.DUMMYFUNCTION("""COMPUTED_VALUE"""),2215.0)</f>
        <v>2215</v>
      </c>
      <c r="K3835" s="25">
        <f>IFERROR(__xludf.DUMMYFUNCTION("""COMPUTED_VALUE"""),2163.5)</f>
        <v>2163.5</v>
      </c>
      <c r="L3835" s="25">
        <f>IFERROR(__xludf.DUMMYFUNCTION("""COMPUTED_VALUE"""),2206.8)</f>
        <v>2206.8</v>
      </c>
      <c r="M3835" s="25">
        <f>IFERROR(__xludf.DUMMYFUNCTION("""COMPUTED_VALUE"""),4248837.0)</f>
        <v>4248837</v>
      </c>
    </row>
    <row r="3836">
      <c r="A3836" s="26">
        <f>IFERROR(__xludf.DUMMYFUNCTION("""COMPUTED_VALUE"""),44039.64583333333)</f>
        <v>44039.64583</v>
      </c>
      <c r="B3836" s="9">
        <f>IFERROR(__xludf.DUMMYFUNCTION("""COMPUTED_VALUE"""),921.55)</f>
        <v>921.55</v>
      </c>
      <c r="C3836" s="9">
        <f>IFERROR(__xludf.DUMMYFUNCTION("""COMPUTED_VALUE"""),952.8)</f>
        <v>952.8</v>
      </c>
      <c r="D3836" s="9">
        <f>IFERROR(__xludf.DUMMYFUNCTION("""COMPUTED_VALUE"""),918.65)</f>
        <v>918.65</v>
      </c>
      <c r="E3836" s="9">
        <f>IFERROR(__xludf.DUMMYFUNCTION("""COMPUTED_VALUE"""),948.45)</f>
        <v>948.45</v>
      </c>
      <c r="F3836" s="9">
        <f>IFERROR(__xludf.DUMMYFUNCTION("""COMPUTED_VALUE"""),1.6828218E7)</f>
        <v>16828218</v>
      </c>
      <c r="H3836" s="27">
        <f>IFERROR(__xludf.DUMMYFUNCTION("""COMPUTED_VALUE"""),44040.64583333333)</f>
        <v>44040.64583</v>
      </c>
      <c r="I3836" s="25">
        <f>IFERROR(__xludf.DUMMYFUNCTION("""COMPUTED_VALUE"""),2215.0)</f>
        <v>2215</v>
      </c>
      <c r="J3836" s="25">
        <f>IFERROR(__xludf.DUMMYFUNCTION("""COMPUTED_VALUE"""),2320.0)</f>
        <v>2320</v>
      </c>
      <c r="K3836" s="25">
        <f>IFERROR(__xludf.DUMMYFUNCTION("""COMPUTED_VALUE"""),2215.0)</f>
        <v>2215</v>
      </c>
      <c r="L3836" s="25">
        <f>IFERROR(__xludf.DUMMYFUNCTION("""COMPUTED_VALUE"""),2309.75)</f>
        <v>2309.75</v>
      </c>
      <c r="M3836" s="25">
        <f>IFERROR(__xludf.DUMMYFUNCTION("""COMPUTED_VALUE"""),8092458.0)</f>
        <v>8092458</v>
      </c>
    </row>
    <row r="3837">
      <c r="A3837" s="26">
        <f>IFERROR(__xludf.DUMMYFUNCTION("""COMPUTED_VALUE"""),44040.64583333333)</f>
        <v>44040.64583</v>
      </c>
      <c r="B3837" s="9">
        <f>IFERROR(__xludf.DUMMYFUNCTION("""COMPUTED_VALUE"""),946.0)</f>
        <v>946</v>
      </c>
      <c r="C3837" s="9">
        <f>IFERROR(__xludf.DUMMYFUNCTION("""COMPUTED_VALUE"""),967.55)</f>
        <v>967.55</v>
      </c>
      <c r="D3837" s="9">
        <f>IFERROR(__xludf.DUMMYFUNCTION("""COMPUTED_VALUE"""),941.2)</f>
        <v>941.2</v>
      </c>
      <c r="E3837" s="9">
        <f>IFERROR(__xludf.DUMMYFUNCTION("""COMPUTED_VALUE"""),962.85)</f>
        <v>962.85</v>
      </c>
      <c r="F3837" s="9">
        <f>IFERROR(__xludf.DUMMYFUNCTION("""COMPUTED_VALUE"""),1.5819466E7)</f>
        <v>15819466</v>
      </c>
      <c r="H3837" s="27">
        <f>IFERROR(__xludf.DUMMYFUNCTION("""COMPUTED_VALUE"""),44041.64583333333)</f>
        <v>44041.64583</v>
      </c>
      <c r="I3837" s="25">
        <f>IFERROR(__xludf.DUMMYFUNCTION("""COMPUTED_VALUE"""),2292.0)</f>
        <v>2292</v>
      </c>
      <c r="J3837" s="25">
        <f>IFERROR(__xludf.DUMMYFUNCTION("""COMPUTED_VALUE"""),2342.0)</f>
        <v>2342</v>
      </c>
      <c r="K3837" s="25">
        <f>IFERROR(__xludf.DUMMYFUNCTION("""COMPUTED_VALUE"""),2246.05)</f>
        <v>2246.05</v>
      </c>
      <c r="L3837" s="25">
        <f>IFERROR(__xludf.DUMMYFUNCTION("""COMPUTED_VALUE"""),2276.05)</f>
        <v>2276.05</v>
      </c>
      <c r="M3837" s="25">
        <f>IFERROR(__xludf.DUMMYFUNCTION("""COMPUTED_VALUE"""),6090440.0)</f>
        <v>6090440</v>
      </c>
    </row>
    <row r="3838">
      <c r="A3838" s="26">
        <f>IFERROR(__xludf.DUMMYFUNCTION("""COMPUTED_VALUE"""),44041.64583333333)</f>
        <v>44041.64583</v>
      </c>
      <c r="B3838" s="9">
        <f>IFERROR(__xludf.DUMMYFUNCTION("""COMPUTED_VALUE"""),953.25)</f>
        <v>953.25</v>
      </c>
      <c r="C3838" s="9">
        <f>IFERROR(__xludf.DUMMYFUNCTION("""COMPUTED_VALUE"""),960.0)</f>
        <v>960</v>
      </c>
      <c r="D3838" s="9">
        <f>IFERROR(__xludf.DUMMYFUNCTION("""COMPUTED_VALUE"""),943.6)</f>
        <v>943.6</v>
      </c>
      <c r="E3838" s="9">
        <f>IFERROR(__xludf.DUMMYFUNCTION("""COMPUTED_VALUE"""),954.15)</f>
        <v>954.15</v>
      </c>
      <c r="F3838" s="9">
        <f>IFERROR(__xludf.DUMMYFUNCTION("""COMPUTED_VALUE"""),1.115271E7)</f>
        <v>11152710</v>
      </c>
      <c r="H3838" s="27">
        <f>IFERROR(__xludf.DUMMYFUNCTION("""COMPUTED_VALUE"""),44042.64583333333)</f>
        <v>44042.64583</v>
      </c>
      <c r="I3838" s="25">
        <f>IFERROR(__xludf.DUMMYFUNCTION("""COMPUTED_VALUE"""),2285.9)</f>
        <v>2285.9</v>
      </c>
      <c r="J3838" s="25">
        <f>IFERROR(__xludf.DUMMYFUNCTION("""COMPUTED_VALUE"""),2358.0)</f>
        <v>2358</v>
      </c>
      <c r="K3838" s="25">
        <f>IFERROR(__xludf.DUMMYFUNCTION("""COMPUTED_VALUE"""),2272.25)</f>
        <v>2272.25</v>
      </c>
      <c r="L3838" s="25">
        <f>IFERROR(__xludf.DUMMYFUNCTION("""COMPUTED_VALUE"""),2279.5)</f>
        <v>2279.5</v>
      </c>
      <c r="M3838" s="25">
        <f>IFERROR(__xludf.DUMMYFUNCTION("""COMPUTED_VALUE"""),7098913.0)</f>
        <v>7098913</v>
      </c>
    </row>
    <row r="3839">
      <c r="A3839" s="26">
        <f>IFERROR(__xludf.DUMMYFUNCTION("""COMPUTED_VALUE"""),44042.64583333333)</f>
        <v>44042.64583</v>
      </c>
      <c r="B3839" s="9">
        <f>IFERROR(__xludf.DUMMYFUNCTION("""COMPUTED_VALUE"""),962.0)</f>
        <v>962</v>
      </c>
      <c r="C3839" s="9">
        <f>IFERROR(__xludf.DUMMYFUNCTION("""COMPUTED_VALUE"""),972.65)</f>
        <v>972.65</v>
      </c>
      <c r="D3839" s="9">
        <f>IFERROR(__xludf.DUMMYFUNCTION("""COMPUTED_VALUE"""),958.75)</f>
        <v>958.75</v>
      </c>
      <c r="E3839" s="9">
        <f>IFERROR(__xludf.DUMMYFUNCTION("""COMPUTED_VALUE"""),961.45)</f>
        <v>961.45</v>
      </c>
      <c r="F3839" s="9">
        <f>IFERROR(__xludf.DUMMYFUNCTION("""COMPUTED_VALUE"""),1.2492569E7)</f>
        <v>12492569</v>
      </c>
      <c r="H3839" s="27">
        <f>IFERROR(__xludf.DUMMYFUNCTION("""COMPUTED_VALUE"""),44043.64583333333)</f>
        <v>44043.64583</v>
      </c>
      <c r="I3839" s="25">
        <f>IFERROR(__xludf.DUMMYFUNCTION("""COMPUTED_VALUE"""),2303.15)</f>
        <v>2303.15</v>
      </c>
      <c r="J3839" s="25">
        <f>IFERROR(__xludf.DUMMYFUNCTION("""COMPUTED_VALUE"""),2334.8)</f>
        <v>2334.8</v>
      </c>
      <c r="K3839" s="25">
        <f>IFERROR(__xludf.DUMMYFUNCTION("""COMPUTED_VALUE"""),2257.45)</f>
        <v>2257.45</v>
      </c>
      <c r="L3839" s="25">
        <f>IFERROR(__xludf.DUMMYFUNCTION("""COMPUTED_VALUE"""),2281.4)</f>
        <v>2281.4</v>
      </c>
      <c r="M3839" s="25">
        <f>IFERROR(__xludf.DUMMYFUNCTION("""COMPUTED_VALUE"""),4723290.0)</f>
        <v>4723290</v>
      </c>
    </row>
    <row r="3840">
      <c r="A3840" s="26">
        <f>IFERROR(__xludf.DUMMYFUNCTION("""COMPUTED_VALUE"""),44043.64583333333)</f>
        <v>44043.64583</v>
      </c>
      <c r="B3840" s="9">
        <f>IFERROR(__xludf.DUMMYFUNCTION("""COMPUTED_VALUE"""),969.25)</f>
        <v>969.25</v>
      </c>
      <c r="C3840" s="9">
        <f>IFERROR(__xludf.DUMMYFUNCTION("""COMPUTED_VALUE"""),986.45)</f>
        <v>986.45</v>
      </c>
      <c r="D3840" s="9">
        <f>IFERROR(__xludf.DUMMYFUNCTION("""COMPUTED_VALUE"""),953.3)</f>
        <v>953.3</v>
      </c>
      <c r="E3840" s="9">
        <f>IFERROR(__xludf.DUMMYFUNCTION("""COMPUTED_VALUE"""),966.0)</f>
        <v>966</v>
      </c>
      <c r="F3840" s="9">
        <f>IFERROR(__xludf.DUMMYFUNCTION("""COMPUTED_VALUE"""),1.2704359E7)</f>
        <v>12704359</v>
      </c>
      <c r="H3840" s="27">
        <f>IFERROR(__xludf.DUMMYFUNCTION("""COMPUTED_VALUE"""),44046.64583333333)</f>
        <v>44046.64583</v>
      </c>
      <c r="I3840" s="25">
        <f>IFERROR(__xludf.DUMMYFUNCTION("""COMPUTED_VALUE"""),2290.45)</f>
        <v>2290.45</v>
      </c>
      <c r="J3840" s="25">
        <f>IFERROR(__xludf.DUMMYFUNCTION("""COMPUTED_VALUE"""),2303.85)</f>
        <v>2303.85</v>
      </c>
      <c r="K3840" s="25">
        <f>IFERROR(__xludf.DUMMYFUNCTION("""COMPUTED_VALUE"""),2230.7)</f>
        <v>2230.7</v>
      </c>
      <c r="L3840" s="25">
        <f>IFERROR(__xludf.DUMMYFUNCTION("""COMPUTED_VALUE"""),2254.15)</f>
        <v>2254.15</v>
      </c>
      <c r="M3840" s="25">
        <f>IFERROR(__xludf.DUMMYFUNCTION("""COMPUTED_VALUE"""),4012445.0)</f>
        <v>4012445</v>
      </c>
    </row>
    <row r="3841">
      <c r="A3841" s="26">
        <f>IFERROR(__xludf.DUMMYFUNCTION("""COMPUTED_VALUE"""),44046.64583333333)</f>
        <v>44046.64583</v>
      </c>
      <c r="B3841" s="9">
        <f>IFERROR(__xludf.DUMMYFUNCTION("""COMPUTED_VALUE"""),960.0)</f>
        <v>960</v>
      </c>
      <c r="C3841" s="9">
        <f>IFERROR(__xludf.DUMMYFUNCTION("""COMPUTED_VALUE"""),965.4)</f>
        <v>965.4</v>
      </c>
      <c r="D3841" s="9">
        <f>IFERROR(__xludf.DUMMYFUNCTION("""COMPUTED_VALUE"""),947.45)</f>
        <v>947.45</v>
      </c>
      <c r="E3841" s="9">
        <f>IFERROR(__xludf.DUMMYFUNCTION("""COMPUTED_VALUE"""),956.9)</f>
        <v>956.9</v>
      </c>
      <c r="F3841" s="9">
        <f>IFERROR(__xludf.DUMMYFUNCTION("""COMPUTED_VALUE"""),8480166.0)</f>
        <v>8480166</v>
      </c>
      <c r="H3841" s="27">
        <f>IFERROR(__xludf.DUMMYFUNCTION("""COMPUTED_VALUE"""),44047.64583333333)</f>
        <v>44047.64583</v>
      </c>
      <c r="I3841" s="25">
        <f>IFERROR(__xludf.DUMMYFUNCTION("""COMPUTED_VALUE"""),2259.95)</f>
        <v>2259.95</v>
      </c>
      <c r="J3841" s="25">
        <f>IFERROR(__xludf.DUMMYFUNCTION("""COMPUTED_VALUE"""),2269.65)</f>
        <v>2269.65</v>
      </c>
      <c r="K3841" s="25">
        <f>IFERROR(__xludf.DUMMYFUNCTION("""COMPUTED_VALUE"""),2225.05)</f>
        <v>2225.05</v>
      </c>
      <c r="L3841" s="25">
        <f>IFERROR(__xludf.DUMMYFUNCTION("""COMPUTED_VALUE"""),2249.7)</f>
        <v>2249.7</v>
      </c>
      <c r="M3841" s="25">
        <f>IFERROR(__xludf.DUMMYFUNCTION("""COMPUTED_VALUE"""),2927953.0)</f>
        <v>2927953</v>
      </c>
    </row>
    <row r="3842">
      <c r="A3842" s="26">
        <f>IFERROR(__xludf.DUMMYFUNCTION("""COMPUTED_VALUE"""),44047.64583333333)</f>
        <v>44047.64583</v>
      </c>
      <c r="B3842" s="9">
        <f>IFERROR(__xludf.DUMMYFUNCTION("""COMPUTED_VALUE"""),960.45)</f>
        <v>960.45</v>
      </c>
      <c r="C3842" s="9">
        <f>IFERROR(__xludf.DUMMYFUNCTION("""COMPUTED_VALUE"""),970.7)</f>
        <v>970.7</v>
      </c>
      <c r="D3842" s="9">
        <f>IFERROR(__xludf.DUMMYFUNCTION("""COMPUTED_VALUE"""),940.55)</f>
        <v>940.55</v>
      </c>
      <c r="E3842" s="9">
        <f>IFERROR(__xludf.DUMMYFUNCTION("""COMPUTED_VALUE"""),949.85)</f>
        <v>949.85</v>
      </c>
      <c r="F3842" s="9">
        <f>IFERROR(__xludf.DUMMYFUNCTION("""COMPUTED_VALUE"""),1.1133259E7)</f>
        <v>11133259</v>
      </c>
      <c r="H3842" s="27">
        <f>IFERROR(__xludf.DUMMYFUNCTION("""COMPUTED_VALUE"""),44048.64583333333)</f>
        <v>44048.64583</v>
      </c>
      <c r="I3842" s="25">
        <f>IFERROR(__xludf.DUMMYFUNCTION("""COMPUTED_VALUE"""),2260.0)</f>
        <v>2260</v>
      </c>
      <c r="J3842" s="25">
        <f>IFERROR(__xludf.DUMMYFUNCTION("""COMPUTED_VALUE"""),2300.0)</f>
        <v>2300</v>
      </c>
      <c r="K3842" s="25">
        <f>IFERROR(__xludf.DUMMYFUNCTION("""COMPUTED_VALUE"""),2253.0)</f>
        <v>2253</v>
      </c>
      <c r="L3842" s="25">
        <f>IFERROR(__xludf.DUMMYFUNCTION("""COMPUTED_VALUE"""),2259.5)</f>
        <v>2259.5</v>
      </c>
      <c r="M3842" s="25">
        <f>IFERROR(__xludf.DUMMYFUNCTION("""COMPUTED_VALUE"""),3800641.0)</f>
        <v>3800641</v>
      </c>
    </row>
    <row r="3843">
      <c r="A3843" s="26">
        <f>IFERROR(__xludf.DUMMYFUNCTION("""COMPUTED_VALUE"""),44048.64583333333)</f>
        <v>44048.64583</v>
      </c>
      <c r="B3843" s="9">
        <f>IFERROR(__xludf.DUMMYFUNCTION("""COMPUTED_VALUE"""),952.0)</f>
        <v>952</v>
      </c>
      <c r="C3843" s="9">
        <f>IFERROR(__xludf.DUMMYFUNCTION("""COMPUTED_VALUE"""),960.95)</f>
        <v>960.95</v>
      </c>
      <c r="D3843" s="9">
        <f>IFERROR(__xludf.DUMMYFUNCTION("""COMPUTED_VALUE"""),938.3)</f>
        <v>938.3</v>
      </c>
      <c r="E3843" s="9">
        <f>IFERROR(__xludf.DUMMYFUNCTION("""COMPUTED_VALUE"""),944.7)</f>
        <v>944.7</v>
      </c>
      <c r="F3843" s="9">
        <f>IFERROR(__xludf.DUMMYFUNCTION("""COMPUTED_VALUE"""),9616176.0)</f>
        <v>9616176</v>
      </c>
      <c r="H3843" s="27">
        <f>IFERROR(__xludf.DUMMYFUNCTION("""COMPUTED_VALUE"""),44049.64583333333)</f>
        <v>44049.64583</v>
      </c>
      <c r="I3843" s="25">
        <f>IFERROR(__xludf.DUMMYFUNCTION("""COMPUTED_VALUE"""),2275.0)</f>
        <v>2275</v>
      </c>
      <c r="J3843" s="25">
        <f>IFERROR(__xludf.DUMMYFUNCTION("""COMPUTED_VALUE"""),2319.5)</f>
        <v>2319.5</v>
      </c>
      <c r="K3843" s="25">
        <f>IFERROR(__xludf.DUMMYFUNCTION("""COMPUTED_VALUE"""),2265.35)</f>
        <v>2265.35</v>
      </c>
      <c r="L3843" s="25">
        <f>IFERROR(__xludf.DUMMYFUNCTION("""COMPUTED_VALUE"""),2308.1)</f>
        <v>2308.1</v>
      </c>
      <c r="M3843" s="25">
        <f>IFERROR(__xludf.DUMMYFUNCTION("""COMPUTED_VALUE"""),4748348.0)</f>
        <v>4748348</v>
      </c>
    </row>
    <row r="3844">
      <c r="A3844" s="26">
        <f>IFERROR(__xludf.DUMMYFUNCTION("""COMPUTED_VALUE"""),44049.64583333333)</f>
        <v>44049.64583</v>
      </c>
      <c r="B3844" s="9">
        <f>IFERROR(__xludf.DUMMYFUNCTION("""COMPUTED_VALUE"""),953.5)</f>
        <v>953.5</v>
      </c>
      <c r="C3844" s="9">
        <f>IFERROR(__xludf.DUMMYFUNCTION("""COMPUTED_VALUE"""),974.4)</f>
        <v>974.4</v>
      </c>
      <c r="D3844" s="9">
        <f>IFERROR(__xludf.DUMMYFUNCTION("""COMPUTED_VALUE"""),942.5)</f>
        <v>942.5</v>
      </c>
      <c r="E3844" s="9">
        <f>IFERROR(__xludf.DUMMYFUNCTION("""COMPUTED_VALUE"""),970.85)</f>
        <v>970.85</v>
      </c>
      <c r="F3844" s="9">
        <f>IFERROR(__xludf.DUMMYFUNCTION("""COMPUTED_VALUE"""),1.0976523E7)</f>
        <v>10976523</v>
      </c>
      <c r="H3844" s="27">
        <f>IFERROR(__xludf.DUMMYFUNCTION("""COMPUTED_VALUE"""),44050.64583333333)</f>
        <v>44050.64583</v>
      </c>
      <c r="I3844" s="25">
        <f>IFERROR(__xludf.DUMMYFUNCTION("""COMPUTED_VALUE"""),2308.0)</f>
        <v>2308</v>
      </c>
      <c r="J3844" s="25">
        <f>IFERROR(__xludf.DUMMYFUNCTION("""COMPUTED_VALUE"""),2328.0)</f>
        <v>2328</v>
      </c>
      <c r="K3844" s="25">
        <f>IFERROR(__xludf.DUMMYFUNCTION("""COMPUTED_VALUE"""),2287.0)</f>
        <v>2287</v>
      </c>
      <c r="L3844" s="25">
        <f>IFERROR(__xludf.DUMMYFUNCTION("""COMPUTED_VALUE"""),2295.35)</f>
        <v>2295.35</v>
      </c>
      <c r="M3844" s="25">
        <f>IFERROR(__xludf.DUMMYFUNCTION("""COMPUTED_VALUE"""),3165495.0)</f>
        <v>3165495</v>
      </c>
    </row>
    <row r="3845">
      <c r="A3845" s="26">
        <f>IFERROR(__xludf.DUMMYFUNCTION("""COMPUTED_VALUE"""),44050.64583333333)</f>
        <v>44050.64583</v>
      </c>
      <c r="B3845" s="9">
        <f>IFERROR(__xludf.DUMMYFUNCTION("""COMPUTED_VALUE"""),969.45)</f>
        <v>969.45</v>
      </c>
      <c r="C3845" s="9">
        <f>IFERROR(__xludf.DUMMYFUNCTION("""COMPUTED_VALUE"""),969.45)</f>
        <v>969.45</v>
      </c>
      <c r="D3845" s="9">
        <f>IFERROR(__xludf.DUMMYFUNCTION("""COMPUTED_VALUE"""),949.0)</f>
        <v>949</v>
      </c>
      <c r="E3845" s="9">
        <f>IFERROR(__xludf.DUMMYFUNCTION("""COMPUTED_VALUE"""),950.9)</f>
        <v>950.9</v>
      </c>
      <c r="F3845" s="9">
        <f>IFERROR(__xludf.DUMMYFUNCTION("""COMPUTED_VALUE"""),8010973.0)</f>
        <v>8010973</v>
      </c>
      <c r="H3845" s="27">
        <f>IFERROR(__xludf.DUMMYFUNCTION("""COMPUTED_VALUE"""),44053.64583333333)</f>
        <v>44053.64583</v>
      </c>
      <c r="I3845" s="25">
        <f>IFERROR(__xludf.DUMMYFUNCTION("""COMPUTED_VALUE"""),2318.0)</f>
        <v>2318</v>
      </c>
      <c r="J3845" s="25">
        <f>IFERROR(__xludf.DUMMYFUNCTION("""COMPUTED_VALUE"""),2325.0)</f>
        <v>2325</v>
      </c>
      <c r="K3845" s="25">
        <f>IFERROR(__xludf.DUMMYFUNCTION("""COMPUTED_VALUE"""),2276.05)</f>
        <v>2276.05</v>
      </c>
      <c r="L3845" s="25">
        <f>IFERROR(__xludf.DUMMYFUNCTION("""COMPUTED_VALUE"""),2282.8)</f>
        <v>2282.8</v>
      </c>
      <c r="M3845" s="25">
        <f>IFERROR(__xludf.DUMMYFUNCTION("""COMPUTED_VALUE"""),2929385.0)</f>
        <v>2929385</v>
      </c>
    </row>
    <row r="3846">
      <c r="A3846" s="26">
        <f>IFERROR(__xludf.DUMMYFUNCTION("""COMPUTED_VALUE"""),44053.64583333333)</f>
        <v>44053.64583</v>
      </c>
      <c r="B3846" s="9">
        <f>IFERROR(__xludf.DUMMYFUNCTION("""COMPUTED_VALUE"""),948.9)</f>
        <v>948.9</v>
      </c>
      <c r="C3846" s="9">
        <f>IFERROR(__xludf.DUMMYFUNCTION("""COMPUTED_VALUE"""),956.8)</f>
        <v>956.8</v>
      </c>
      <c r="D3846" s="9">
        <f>IFERROR(__xludf.DUMMYFUNCTION("""COMPUTED_VALUE"""),945.3)</f>
        <v>945.3</v>
      </c>
      <c r="E3846" s="9">
        <f>IFERROR(__xludf.DUMMYFUNCTION("""COMPUTED_VALUE"""),951.35)</f>
        <v>951.35</v>
      </c>
      <c r="F3846" s="9">
        <f>IFERROR(__xludf.DUMMYFUNCTION("""COMPUTED_VALUE"""),5716472.0)</f>
        <v>5716472</v>
      </c>
      <c r="H3846" s="27">
        <f>IFERROR(__xludf.DUMMYFUNCTION("""COMPUTED_VALUE"""),44054.64583333333)</f>
        <v>44054.64583</v>
      </c>
      <c r="I3846" s="25">
        <f>IFERROR(__xludf.DUMMYFUNCTION("""COMPUTED_VALUE"""),2283.0)</f>
        <v>2283</v>
      </c>
      <c r="J3846" s="25">
        <f>IFERROR(__xludf.DUMMYFUNCTION("""COMPUTED_VALUE"""),2312.0)</f>
        <v>2312</v>
      </c>
      <c r="K3846" s="25">
        <f>IFERROR(__xludf.DUMMYFUNCTION("""COMPUTED_VALUE"""),2275.6)</f>
        <v>2275.6</v>
      </c>
      <c r="L3846" s="25">
        <f>IFERROR(__xludf.DUMMYFUNCTION("""COMPUTED_VALUE"""),2279.9)</f>
        <v>2279.9</v>
      </c>
      <c r="M3846" s="25">
        <f>IFERROR(__xludf.DUMMYFUNCTION("""COMPUTED_VALUE"""),2774509.0)</f>
        <v>2774509</v>
      </c>
    </row>
    <row r="3847">
      <c r="A3847" s="26">
        <f>IFERROR(__xludf.DUMMYFUNCTION("""COMPUTED_VALUE"""),44054.64583333333)</f>
        <v>44054.64583</v>
      </c>
      <c r="B3847" s="9">
        <f>IFERROR(__xludf.DUMMYFUNCTION("""COMPUTED_VALUE"""),949.9)</f>
        <v>949.9</v>
      </c>
      <c r="C3847" s="9">
        <f>IFERROR(__xludf.DUMMYFUNCTION("""COMPUTED_VALUE"""),962.0)</f>
        <v>962</v>
      </c>
      <c r="D3847" s="9">
        <f>IFERROR(__xludf.DUMMYFUNCTION("""COMPUTED_VALUE"""),946.1)</f>
        <v>946.1</v>
      </c>
      <c r="E3847" s="9">
        <f>IFERROR(__xludf.DUMMYFUNCTION("""COMPUTED_VALUE"""),948.45)</f>
        <v>948.45</v>
      </c>
      <c r="F3847" s="9">
        <f>IFERROR(__xludf.DUMMYFUNCTION("""COMPUTED_VALUE"""),6802508.0)</f>
        <v>6802508</v>
      </c>
      <c r="H3847" s="27">
        <f>IFERROR(__xludf.DUMMYFUNCTION("""COMPUTED_VALUE"""),44055.64583333333)</f>
        <v>44055.64583</v>
      </c>
      <c r="I3847" s="25">
        <f>IFERROR(__xludf.DUMMYFUNCTION("""COMPUTED_VALUE"""),2288.35)</f>
        <v>2288.35</v>
      </c>
      <c r="J3847" s="25">
        <f>IFERROR(__xludf.DUMMYFUNCTION("""COMPUTED_VALUE"""),2296.4)</f>
        <v>2296.4</v>
      </c>
      <c r="K3847" s="25">
        <f>IFERROR(__xludf.DUMMYFUNCTION("""COMPUTED_VALUE"""),2246.55)</f>
        <v>2246.55</v>
      </c>
      <c r="L3847" s="25">
        <f>IFERROR(__xludf.DUMMYFUNCTION("""COMPUTED_VALUE"""),2257.35)</f>
        <v>2257.35</v>
      </c>
      <c r="M3847" s="25">
        <f>IFERROR(__xludf.DUMMYFUNCTION("""COMPUTED_VALUE"""),3415766.0)</f>
        <v>3415766</v>
      </c>
    </row>
    <row r="3848">
      <c r="A3848" s="26">
        <f>IFERROR(__xludf.DUMMYFUNCTION("""COMPUTED_VALUE"""),44055.64583333333)</f>
        <v>44055.64583</v>
      </c>
      <c r="B3848" s="9">
        <f>IFERROR(__xludf.DUMMYFUNCTION("""COMPUTED_VALUE"""),948.0)</f>
        <v>948</v>
      </c>
      <c r="C3848" s="9">
        <f>IFERROR(__xludf.DUMMYFUNCTION("""COMPUTED_VALUE"""),958.8)</f>
        <v>958.8</v>
      </c>
      <c r="D3848" s="9">
        <f>IFERROR(__xludf.DUMMYFUNCTION("""COMPUTED_VALUE"""),942.2)</f>
        <v>942.2</v>
      </c>
      <c r="E3848" s="9">
        <f>IFERROR(__xludf.DUMMYFUNCTION("""COMPUTED_VALUE"""),954.95)</f>
        <v>954.95</v>
      </c>
      <c r="F3848" s="9">
        <f>IFERROR(__xludf.DUMMYFUNCTION("""COMPUTED_VALUE"""),6908732.0)</f>
        <v>6908732</v>
      </c>
      <c r="H3848" s="27">
        <f>IFERROR(__xludf.DUMMYFUNCTION("""COMPUTED_VALUE"""),44056.64583333333)</f>
        <v>44056.64583</v>
      </c>
      <c r="I3848" s="25">
        <f>IFERROR(__xludf.DUMMYFUNCTION("""COMPUTED_VALUE"""),2273.0)</f>
        <v>2273</v>
      </c>
      <c r="J3848" s="25">
        <f>IFERROR(__xludf.DUMMYFUNCTION("""COMPUTED_VALUE"""),2300.0)</f>
        <v>2300</v>
      </c>
      <c r="K3848" s="25">
        <f>IFERROR(__xludf.DUMMYFUNCTION("""COMPUTED_VALUE"""),2250.5)</f>
        <v>2250.5</v>
      </c>
      <c r="L3848" s="25">
        <f>IFERROR(__xludf.DUMMYFUNCTION("""COMPUTED_VALUE"""),2254.45)</f>
        <v>2254.45</v>
      </c>
      <c r="M3848" s="25">
        <f>IFERROR(__xludf.DUMMYFUNCTION("""COMPUTED_VALUE"""),2695682.0)</f>
        <v>2695682</v>
      </c>
    </row>
    <row r="3849">
      <c r="A3849" s="26">
        <f>IFERROR(__xludf.DUMMYFUNCTION("""COMPUTED_VALUE"""),44056.64583333333)</f>
        <v>44056.64583</v>
      </c>
      <c r="B3849" s="9">
        <f>IFERROR(__xludf.DUMMYFUNCTION("""COMPUTED_VALUE"""),954.8)</f>
        <v>954.8</v>
      </c>
      <c r="C3849" s="9">
        <f>IFERROR(__xludf.DUMMYFUNCTION("""COMPUTED_VALUE"""),968.5)</f>
        <v>968.5</v>
      </c>
      <c r="D3849" s="9">
        <f>IFERROR(__xludf.DUMMYFUNCTION("""COMPUTED_VALUE"""),948.25)</f>
        <v>948.25</v>
      </c>
      <c r="E3849" s="9">
        <f>IFERROR(__xludf.DUMMYFUNCTION("""COMPUTED_VALUE"""),951.2)</f>
        <v>951.2</v>
      </c>
      <c r="F3849" s="9">
        <f>IFERROR(__xludf.DUMMYFUNCTION("""COMPUTED_VALUE"""),5097705.0)</f>
        <v>5097705</v>
      </c>
      <c r="H3849" s="27">
        <f>IFERROR(__xludf.DUMMYFUNCTION("""COMPUTED_VALUE"""),44057.64583333333)</f>
        <v>44057.64583</v>
      </c>
      <c r="I3849" s="25">
        <f>IFERROR(__xludf.DUMMYFUNCTION("""COMPUTED_VALUE"""),2277.0)</f>
        <v>2277</v>
      </c>
      <c r="J3849" s="25">
        <f>IFERROR(__xludf.DUMMYFUNCTION("""COMPUTED_VALUE"""),2281.3)</f>
        <v>2281.3</v>
      </c>
      <c r="K3849" s="25">
        <f>IFERROR(__xludf.DUMMYFUNCTION("""COMPUTED_VALUE"""),2233.1)</f>
        <v>2233.1</v>
      </c>
      <c r="L3849" s="25">
        <f>IFERROR(__xludf.DUMMYFUNCTION("""COMPUTED_VALUE"""),2242.15)</f>
        <v>2242.15</v>
      </c>
      <c r="M3849" s="25">
        <f>IFERROR(__xludf.DUMMYFUNCTION("""COMPUTED_VALUE"""),2270405.0)</f>
        <v>2270405</v>
      </c>
    </row>
    <row r="3850">
      <c r="A3850" s="26">
        <f>IFERROR(__xludf.DUMMYFUNCTION("""COMPUTED_VALUE"""),44057.64583333333)</f>
        <v>44057.64583</v>
      </c>
      <c r="B3850" s="9">
        <f>IFERROR(__xludf.DUMMYFUNCTION("""COMPUTED_VALUE"""),955.85)</f>
        <v>955.85</v>
      </c>
      <c r="C3850" s="9">
        <f>IFERROR(__xludf.DUMMYFUNCTION("""COMPUTED_VALUE"""),963.0)</f>
        <v>963</v>
      </c>
      <c r="D3850" s="9">
        <f>IFERROR(__xludf.DUMMYFUNCTION("""COMPUTED_VALUE"""),952.05)</f>
        <v>952.05</v>
      </c>
      <c r="E3850" s="9">
        <f>IFERROR(__xludf.DUMMYFUNCTION("""COMPUTED_VALUE"""),953.6)</f>
        <v>953.6</v>
      </c>
      <c r="F3850" s="9">
        <f>IFERROR(__xludf.DUMMYFUNCTION("""COMPUTED_VALUE"""),4663873.0)</f>
        <v>4663873</v>
      </c>
      <c r="H3850" s="27">
        <f>IFERROR(__xludf.DUMMYFUNCTION("""COMPUTED_VALUE"""),44060.64583333333)</f>
        <v>44060.64583</v>
      </c>
      <c r="I3850" s="25">
        <f>IFERROR(__xludf.DUMMYFUNCTION("""COMPUTED_VALUE"""),2263.0)</f>
        <v>2263</v>
      </c>
      <c r="J3850" s="25">
        <f>IFERROR(__xludf.DUMMYFUNCTION("""COMPUTED_VALUE"""),2270.0)</f>
        <v>2270</v>
      </c>
      <c r="K3850" s="25">
        <f>IFERROR(__xludf.DUMMYFUNCTION("""COMPUTED_VALUE"""),2238.25)</f>
        <v>2238.25</v>
      </c>
      <c r="L3850" s="25">
        <f>IFERROR(__xludf.DUMMYFUNCTION("""COMPUTED_VALUE"""),2253.4)</f>
        <v>2253.4</v>
      </c>
      <c r="M3850" s="25">
        <f>IFERROR(__xludf.DUMMYFUNCTION("""COMPUTED_VALUE"""),2625670.0)</f>
        <v>2625670</v>
      </c>
    </row>
    <row r="3851">
      <c r="A3851" s="26">
        <f>IFERROR(__xludf.DUMMYFUNCTION("""COMPUTED_VALUE"""),44060.64583333333)</f>
        <v>44060.64583</v>
      </c>
      <c r="B3851" s="9">
        <f>IFERROR(__xludf.DUMMYFUNCTION("""COMPUTED_VALUE"""),954.1)</f>
        <v>954.1</v>
      </c>
      <c r="C3851" s="9">
        <f>IFERROR(__xludf.DUMMYFUNCTION("""COMPUTED_VALUE"""),972.45)</f>
        <v>972.45</v>
      </c>
      <c r="D3851" s="9">
        <f>IFERROR(__xludf.DUMMYFUNCTION("""COMPUTED_VALUE"""),954.1)</f>
        <v>954.1</v>
      </c>
      <c r="E3851" s="9">
        <f>IFERROR(__xludf.DUMMYFUNCTION("""COMPUTED_VALUE"""),957.5)</f>
        <v>957.5</v>
      </c>
      <c r="F3851" s="9">
        <f>IFERROR(__xludf.DUMMYFUNCTION("""COMPUTED_VALUE"""),9008716.0)</f>
        <v>9008716</v>
      </c>
      <c r="H3851" s="27">
        <f>IFERROR(__xludf.DUMMYFUNCTION("""COMPUTED_VALUE"""),44061.64583333333)</f>
        <v>44061.64583</v>
      </c>
      <c r="I3851" s="25">
        <f>IFERROR(__xludf.DUMMYFUNCTION("""COMPUTED_VALUE"""),2262.8)</f>
        <v>2262.8</v>
      </c>
      <c r="J3851" s="25">
        <f>IFERROR(__xludf.DUMMYFUNCTION("""COMPUTED_VALUE"""),2289.0)</f>
        <v>2289</v>
      </c>
      <c r="K3851" s="25">
        <f>IFERROR(__xludf.DUMMYFUNCTION("""COMPUTED_VALUE"""),2248.3)</f>
        <v>2248.3</v>
      </c>
      <c r="L3851" s="25">
        <f>IFERROR(__xludf.DUMMYFUNCTION("""COMPUTED_VALUE"""),2269.75)</f>
        <v>2269.75</v>
      </c>
      <c r="M3851" s="25">
        <f>IFERROR(__xludf.DUMMYFUNCTION("""COMPUTED_VALUE"""),3493411.0)</f>
        <v>3493411</v>
      </c>
    </row>
    <row r="3852">
      <c r="A3852" s="26">
        <f>IFERROR(__xludf.DUMMYFUNCTION("""COMPUTED_VALUE"""),44061.64583333333)</f>
        <v>44061.64583</v>
      </c>
      <c r="B3852" s="9">
        <f>IFERROR(__xludf.DUMMYFUNCTION("""COMPUTED_VALUE"""),963.9)</f>
        <v>963.9</v>
      </c>
      <c r="C3852" s="9">
        <f>IFERROR(__xludf.DUMMYFUNCTION("""COMPUTED_VALUE"""),969.2)</f>
        <v>969.2</v>
      </c>
      <c r="D3852" s="9">
        <f>IFERROR(__xludf.DUMMYFUNCTION("""COMPUTED_VALUE"""),958.7)</f>
        <v>958.7</v>
      </c>
      <c r="E3852" s="9">
        <f>IFERROR(__xludf.DUMMYFUNCTION("""COMPUTED_VALUE"""),967.55)</f>
        <v>967.55</v>
      </c>
      <c r="F3852" s="9">
        <f>IFERROR(__xludf.DUMMYFUNCTION("""COMPUTED_VALUE"""),6142171.0)</f>
        <v>6142171</v>
      </c>
      <c r="H3852" s="27">
        <f>IFERROR(__xludf.DUMMYFUNCTION("""COMPUTED_VALUE"""),44062.64583333333)</f>
        <v>44062.64583</v>
      </c>
      <c r="I3852" s="25">
        <f>IFERROR(__xludf.DUMMYFUNCTION("""COMPUTED_VALUE"""),2276.35)</f>
        <v>2276.35</v>
      </c>
      <c r="J3852" s="25">
        <f>IFERROR(__xludf.DUMMYFUNCTION("""COMPUTED_VALUE"""),2284.6)</f>
        <v>2284.6</v>
      </c>
      <c r="K3852" s="25">
        <f>IFERROR(__xludf.DUMMYFUNCTION("""COMPUTED_VALUE"""),2252.5)</f>
        <v>2252.5</v>
      </c>
      <c r="L3852" s="25">
        <f>IFERROR(__xludf.DUMMYFUNCTION("""COMPUTED_VALUE"""),2256.6)</f>
        <v>2256.6</v>
      </c>
      <c r="M3852" s="25">
        <f>IFERROR(__xludf.DUMMYFUNCTION("""COMPUTED_VALUE"""),2843007.0)</f>
        <v>2843007</v>
      </c>
    </row>
    <row r="3853">
      <c r="A3853" s="26">
        <f>IFERROR(__xludf.DUMMYFUNCTION("""COMPUTED_VALUE"""),44062.64583333333)</f>
        <v>44062.64583</v>
      </c>
      <c r="B3853" s="9">
        <f>IFERROR(__xludf.DUMMYFUNCTION("""COMPUTED_VALUE"""),970.9)</f>
        <v>970.9</v>
      </c>
      <c r="C3853" s="9">
        <f>IFERROR(__xludf.DUMMYFUNCTION("""COMPUTED_VALUE"""),971.55)</f>
        <v>971.55</v>
      </c>
      <c r="D3853" s="9">
        <f>IFERROR(__xludf.DUMMYFUNCTION("""COMPUTED_VALUE"""),957.45)</f>
        <v>957.45</v>
      </c>
      <c r="E3853" s="9">
        <f>IFERROR(__xludf.DUMMYFUNCTION("""COMPUTED_VALUE"""),959.3)</f>
        <v>959.3</v>
      </c>
      <c r="F3853" s="9">
        <f>IFERROR(__xludf.DUMMYFUNCTION("""COMPUTED_VALUE"""),6622744.0)</f>
        <v>6622744</v>
      </c>
      <c r="H3853" s="27">
        <f>IFERROR(__xludf.DUMMYFUNCTION("""COMPUTED_VALUE"""),44063.64583333333)</f>
        <v>44063.64583</v>
      </c>
      <c r="I3853" s="25">
        <f>IFERROR(__xludf.DUMMYFUNCTION("""COMPUTED_VALUE"""),2257.0)</f>
        <v>2257</v>
      </c>
      <c r="J3853" s="25">
        <f>IFERROR(__xludf.DUMMYFUNCTION("""COMPUTED_VALUE"""),2276.55)</f>
        <v>2276.55</v>
      </c>
      <c r="K3853" s="25">
        <f>IFERROR(__xludf.DUMMYFUNCTION("""COMPUTED_VALUE"""),2240.05)</f>
        <v>2240.05</v>
      </c>
      <c r="L3853" s="25">
        <f>IFERROR(__xludf.DUMMYFUNCTION("""COMPUTED_VALUE"""),2252.85)</f>
        <v>2252.85</v>
      </c>
      <c r="M3853" s="25">
        <f>IFERROR(__xludf.DUMMYFUNCTION("""COMPUTED_VALUE"""),2895265.0)</f>
        <v>2895265</v>
      </c>
    </row>
    <row r="3854">
      <c r="A3854" s="26">
        <f>IFERROR(__xludf.DUMMYFUNCTION("""COMPUTED_VALUE"""),44063.64583333333)</f>
        <v>44063.64583</v>
      </c>
      <c r="B3854" s="9">
        <f>IFERROR(__xludf.DUMMYFUNCTION("""COMPUTED_VALUE"""),958.9)</f>
        <v>958.9</v>
      </c>
      <c r="C3854" s="9">
        <f>IFERROR(__xludf.DUMMYFUNCTION("""COMPUTED_VALUE"""),965.5)</f>
        <v>965.5</v>
      </c>
      <c r="D3854" s="9">
        <f>IFERROR(__xludf.DUMMYFUNCTION("""COMPUTED_VALUE"""),951.3)</f>
        <v>951.3</v>
      </c>
      <c r="E3854" s="9">
        <f>IFERROR(__xludf.DUMMYFUNCTION("""COMPUTED_VALUE"""),955.15)</f>
        <v>955.15</v>
      </c>
      <c r="F3854" s="9">
        <f>IFERROR(__xludf.DUMMYFUNCTION("""COMPUTED_VALUE"""),5656667.0)</f>
        <v>5656667</v>
      </c>
      <c r="H3854" s="27">
        <f>IFERROR(__xludf.DUMMYFUNCTION("""COMPUTED_VALUE"""),44064.64583333333)</f>
        <v>44064.64583</v>
      </c>
      <c r="I3854" s="25">
        <f>IFERROR(__xludf.DUMMYFUNCTION("""COMPUTED_VALUE"""),2260.0)</f>
        <v>2260</v>
      </c>
      <c r="J3854" s="25">
        <f>IFERROR(__xludf.DUMMYFUNCTION("""COMPUTED_VALUE"""),2271.0)</f>
        <v>2271</v>
      </c>
      <c r="K3854" s="25">
        <f>IFERROR(__xludf.DUMMYFUNCTION("""COMPUTED_VALUE"""),2241.05)</f>
        <v>2241.05</v>
      </c>
      <c r="L3854" s="25">
        <f>IFERROR(__xludf.DUMMYFUNCTION("""COMPUTED_VALUE"""),2248.6)</f>
        <v>2248.6</v>
      </c>
      <c r="M3854" s="25">
        <f>IFERROR(__xludf.DUMMYFUNCTION("""COMPUTED_VALUE"""),1975304.0)</f>
        <v>1975304</v>
      </c>
    </row>
    <row r="3855">
      <c r="A3855" s="26">
        <f>IFERROR(__xludf.DUMMYFUNCTION("""COMPUTED_VALUE"""),44064.64583333333)</f>
        <v>44064.64583</v>
      </c>
      <c r="B3855" s="9">
        <f>IFERROR(__xludf.DUMMYFUNCTION("""COMPUTED_VALUE"""),963.05)</f>
        <v>963.05</v>
      </c>
      <c r="C3855" s="9">
        <f>IFERROR(__xludf.DUMMYFUNCTION("""COMPUTED_VALUE"""),963.45)</f>
        <v>963.45</v>
      </c>
      <c r="D3855" s="9">
        <f>IFERROR(__xludf.DUMMYFUNCTION("""COMPUTED_VALUE"""),946.55)</f>
        <v>946.55</v>
      </c>
      <c r="E3855" s="9">
        <f>IFERROR(__xludf.DUMMYFUNCTION("""COMPUTED_VALUE"""),948.8)</f>
        <v>948.8</v>
      </c>
      <c r="F3855" s="9">
        <f>IFERROR(__xludf.DUMMYFUNCTION("""COMPUTED_VALUE"""),6513784.0)</f>
        <v>6513784</v>
      </c>
      <c r="H3855" s="27">
        <f>IFERROR(__xludf.DUMMYFUNCTION("""COMPUTED_VALUE"""),44067.64583333333)</f>
        <v>44067.64583</v>
      </c>
      <c r="I3855" s="25">
        <f>IFERROR(__xludf.DUMMYFUNCTION("""COMPUTED_VALUE"""),2250.6)</f>
        <v>2250.6</v>
      </c>
      <c r="J3855" s="25">
        <f>IFERROR(__xludf.DUMMYFUNCTION("""COMPUTED_VALUE"""),2259.95)</f>
        <v>2259.95</v>
      </c>
      <c r="K3855" s="25">
        <f>IFERROR(__xludf.DUMMYFUNCTION("""COMPUTED_VALUE"""),2230.0)</f>
        <v>2230</v>
      </c>
      <c r="L3855" s="25">
        <f>IFERROR(__xludf.DUMMYFUNCTION("""COMPUTED_VALUE"""),2248.1)</f>
        <v>2248.1</v>
      </c>
      <c r="M3855" s="25">
        <f>IFERROR(__xludf.DUMMYFUNCTION("""COMPUTED_VALUE"""),2167987.0)</f>
        <v>2167987</v>
      </c>
    </row>
    <row r="3856">
      <c r="A3856" s="26">
        <f>IFERROR(__xludf.DUMMYFUNCTION("""COMPUTED_VALUE"""),44067.64583333333)</f>
        <v>44067.64583</v>
      </c>
      <c r="B3856" s="9">
        <f>IFERROR(__xludf.DUMMYFUNCTION("""COMPUTED_VALUE"""),947.0)</f>
        <v>947</v>
      </c>
      <c r="C3856" s="9">
        <f>IFERROR(__xludf.DUMMYFUNCTION("""COMPUTED_VALUE"""),952.0)</f>
        <v>952</v>
      </c>
      <c r="D3856" s="9">
        <f>IFERROR(__xludf.DUMMYFUNCTION("""COMPUTED_VALUE"""),939.2)</f>
        <v>939.2</v>
      </c>
      <c r="E3856" s="9">
        <f>IFERROR(__xludf.DUMMYFUNCTION("""COMPUTED_VALUE"""),947.4)</f>
        <v>947.4</v>
      </c>
      <c r="F3856" s="9">
        <f>IFERROR(__xludf.DUMMYFUNCTION("""COMPUTED_VALUE"""),5798579.0)</f>
        <v>5798579</v>
      </c>
      <c r="H3856" s="27">
        <f>IFERROR(__xludf.DUMMYFUNCTION("""COMPUTED_VALUE"""),44068.64583333333)</f>
        <v>44068.64583</v>
      </c>
      <c r="I3856" s="25">
        <f>IFERROR(__xludf.DUMMYFUNCTION("""COMPUTED_VALUE"""),2245.0)</f>
        <v>2245</v>
      </c>
      <c r="J3856" s="25">
        <f>IFERROR(__xludf.DUMMYFUNCTION("""COMPUTED_VALUE"""),2250.0)</f>
        <v>2250</v>
      </c>
      <c r="K3856" s="25">
        <f>IFERROR(__xludf.DUMMYFUNCTION("""COMPUTED_VALUE"""),2233.55)</f>
        <v>2233.55</v>
      </c>
      <c r="L3856" s="25">
        <f>IFERROR(__xludf.DUMMYFUNCTION("""COMPUTED_VALUE"""),2242.65)</f>
        <v>2242.65</v>
      </c>
      <c r="M3856" s="25">
        <f>IFERROR(__xludf.DUMMYFUNCTION("""COMPUTED_VALUE"""),1663454.0)</f>
        <v>1663454</v>
      </c>
    </row>
    <row r="3857">
      <c r="A3857" s="26">
        <f>IFERROR(__xludf.DUMMYFUNCTION("""COMPUTED_VALUE"""),44068.64583333333)</f>
        <v>44068.64583</v>
      </c>
      <c r="B3857" s="9">
        <f>IFERROR(__xludf.DUMMYFUNCTION("""COMPUTED_VALUE"""),947.5)</f>
        <v>947.5</v>
      </c>
      <c r="C3857" s="9">
        <f>IFERROR(__xludf.DUMMYFUNCTION("""COMPUTED_VALUE"""),948.65)</f>
        <v>948.65</v>
      </c>
      <c r="D3857" s="9">
        <f>IFERROR(__xludf.DUMMYFUNCTION("""COMPUTED_VALUE"""),933.6)</f>
        <v>933.6</v>
      </c>
      <c r="E3857" s="9">
        <f>IFERROR(__xludf.DUMMYFUNCTION("""COMPUTED_VALUE"""),938.1)</f>
        <v>938.1</v>
      </c>
      <c r="F3857" s="9">
        <f>IFERROR(__xludf.DUMMYFUNCTION("""COMPUTED_VALUE"""),6233923.0)</f>
        <v>6233923</v>
      </c>
      <c r="H3857" s="27">
        <f>IFERROR(__xludf.DUMMYFUNCTION("""COMPUTED_VALUE"""),44069.64583333333)</f>
        <v>44069.64583</v>
      </c>
      <c r="I3857" s="25">
        <f>IFERROR(__xludf.DUMMYFUNCTION("""COMPUTED_VALUE"""),2242.0)</f>
        <v>2242</v>
      </c>
      <c r="J3857" s="25">
        <f>IFERROR(__xludf.DUMMYFUNCTION("""COMPUTED_VALUE"""),2259.9)</f>
        <v>2259.9</v>
      </c>
      <c r="K3857" s="25">
        <f>IFERROR(__xludf.DUMMYFUNCTION("""COMPUTED_VALUE"""),2216.45)</f>
        <v>2216.45</v>
      </c>
      <c r="L3857" s="25">
        <f>IFERROR(__xludf.DUMMYFUNCTION("""COMPUTED_VALUE"""),2253.5)</f>
        <v>2253.5</v>
      </c>
      <c r="M3857" s="25">
        <f>IFERROR(__xludf.DUMMYFUNCTION("""COMPUTED_VALUE"""),2618159.0)</f>
        <v>2618159</v>
      </c>
    </row>
    <row r="3858">
      <c r="A3858" s="26">
        <f>IFERROR(__xludf.DUMMYFUNCTION("""COMPUTED_VALUE"""),44069.64583333333)</f>
        <v>44069.64583</v>
      </c>
      <c r="B3858" s="9">
        <f>IFERROR(__xludf.DUMMYFUNCTION("""COMPUTED_VALUE"""),941.25)</f>
        <v>941.25</v>
      </c>
      <c r="C3858" s="9">
        <f>IFERROR(__xludf.DUMMYFUNCTION("""COMPUTED_VALUE"""),954.25)</f>
        <v>954.25</v>
      </c>
      <c r="D3858" s="9">
        <f>IFERROR(__xludf.DUMMYFUNCTION("""COMPUTED_VALUE"""),938.4)</f>
        <v>938.4</v>
      </c>
      <c r="E3858" s="9">
        <f>IFERROR(__xludf.DUMMYFUNCTION("""COMPUTED_VALUE"""),950.8)</f>
        <v>950.8</v>
      </c>
      <c r="F3858" s="9">
        <f>IFERROR(__xludf.DUMMYFUNCTION("""COMPUTED_VALUE"""),5153663.0)</f>
        <v>5153663</v>
      </c>
      <c r="H3858" s="27">
        <f>IFERROR(__xludf.DUMMYFUNCTION("""COMPUTED_VALUE"""),44070.64583333333)</f>
        <v>44070.64583</v>
      </c>
      <c r="I3858" s="25">
        <f>IFERROR(__xludf.DUMMYFUNCTION("""COMPUTED_VALUE"""),2266.0)</f>
        <v>2266</v>
      </c>
      <c r="J3858" s="25">
        <f>IFERROR(__xludf.DUMMYFUNCTION("""COMPUTED_VALUE"""),2287.35)</f>
        <v>2287.35</v>
      </c>
      <c r="K3858" s="25">
        <f>IFERROR(__xludf.DUMMYFUNCTION("""COMPUTED_VALUE"""),2241.75)</f>
        <v>2241.75</v>
      </c>
      <c r="L3858" s="25">
        <f>IFERROR(__xludf.DUMMYFUNCTION("""COMPUTED_VALUE"""),2248.4)</f>
        <v>2248.4</v>
      </c>
      <c r="M3858" s="25">
        <f>IFERROR(__xludf.DUMMYFUNCTION("""COMPUTED_VALUE"""),3579397.0)</f>
        <v>3579397</v>
      </c>
    </row>
    <row r="3859">
      <c r="A3859" s="26">
        <f>IFERROR(__xludf.DUMMYFUNCTION("""COMPUTED_VALUE"""),44070.64583333333)</f>
        <v>44070.64583</v>
      </c>
      <c r="B3859" s="9">
        <f>IFERROR(__xludf.DUMMYFUNCTION("""COMPUTED_VALUE"""),960.0)</f>
        <v>960</v>
      </c>
      <c r="C3859" s="9">
        <f>IFERROR(__xludf.DUMMYFUNCTION("""COMPUTED_VALUE"""),960.95)</f>
        <v>960.95</v>
      </c>
      <c r="D3859" s="9">
        <f>IFERROR(__xludf.DUMMYFUNCTION("""COMPUTED_VALUE"""),945.2)</f>
        <v>945.2</v>
      </c>
      <c r="E3859" s="9">
        <f>IFERROR(__xludf.DUMMYFUNCTION("""COMPUTED_VALUE"""),947.05)</f>
        <v>947.05</v>
      </c>
      <c r="F3859" s="9">
        <f>IFERROR(__xludf.DUMMYFUNCTION("""COMPUTED_VALUE"""),6154300.0)</f>
        <v>6154300</v>
      </c>
      <c r="H3859" s="27">
        <f>IFERROR(__xludf.DUMMYFUNCTION("""COMPUTED_VALUE"""),44071.64583333333)</f>
        <v>44071.64583</v>
      </c>
      <c r="I3859" s="25">
        <f>IFERROR(__xludf.DUMMYFUNCTION("""COMPUTED_VALUE"""),2268.4)</f>
        <v>2268.4</v>
      </c>
      <c r="J3859" s="25">
        <f>IFERROR(__xludf.DUMMYFUNCTION("""COMPUTED_VALUE"""),2279.95)</f>
        <v>2279.95</v>
      </c>
      <c r="K3859" s="25">
        <f>IFERROR(__xludf.DUMMYFUNCTION("""COMPUTED_VALUE"""),2235.1)</f>
        <v>2235.1</v>
      </c>
      <c r="L3859" s="25">
        <f>IFERROR(__xludf.DUMMYFUNCTION("""COMPUTED_VALUE"""),2238.55)</f>
        <v>2238.55</v>
      </c>
      <c r="M3859" s="25">
        <f>IFERROR(__xludf.DUMMYFUNCTION("""COMPUTED_VALUE"""),2941156.0)</f>
        <v>2941156</v>
      </c>
    </row>
    <row r="3860">
      <c r="A3860" s="26">
        <f>IFERROR(__xludf.DUMMYFUNCTION("""COMPUTED_VALUE"""),44071.64583333333)</f>
        <v>44071.64583</v>
      </c>
      <c r="B3860" s="9">
        <f>IFERROR(__xludf.DUMMYFUNCTION("""COMPUTED_VALUE"""),951.45)</f>
        <v>951.45</v>
      </c>
      <c r="C3860" s="9">
        <f>IFERROR(__xludf.DUMMYFUNCTION("""COMPUTED_VALUE"""),952.5)</f>
        <v>952.5</v>
      </c>
      <c r="D3860" s="9">
        <f>IFERROR(__xludf.DUMMYFUNCTION("""COMPUTED_VALUE"""),933.05)</f>
        <v>933.05</v>
      </c>
      <c r="E3860" s="9">
        <f>IFERROR(__xludf.DUMMYFUNCTION("""COMPUTED_VALUE"""),935.25)</f>
        <v>935.25</v>
      </c>
      <c r="F3860" s="9">
        <f>IFERROR(__xludf.DUMMYFUNCTION("""COMPUTED_VALUE"""),7593988.0)</f>
        <v>7593988</v>
      </c>
      <c r="H3860" s="27">
        <f>IFERROR(__xludf.DUMMYFUNCTION("""COMPUTED_VALUE"""),44074.64583333333)</f>
        <v>44074.64583</v>
      </c>
      <c r="I3860" s="25">
        <f>IFERROR(__xludf.DUMMYFUNCTION("""COMPUTED_VALUE"""),2240.0)</f>
        <v>2240</v>
      </c>
      <c r="J3860" s="25">
        <f>IFERROR(__xludf.DUMMYFUNCTION("""COMPUTED_VALUE"""),2276.2)</f>
        <v>2276.2</v>
      </c>
      <c r="K3860" s="25">
        <f>IFERROR(__xludf.DUMMYFUNCTION("""COMPUTED_VALUE"""),2228.0)</f>
        <v>2228</v>
      </c>
      <c r="L3860" s="25">
        <f>IFERROR(__xludf.DUMMYFUNCTION("""COMPUTED_VALUE"""),2257.25)</f>
        <v>2257.25</v>
      </c>
      <c r="M3860" s="25">
        <f>IFERROR(__xludf.DUMMYFUNCTION("""COMPUTED_VALUE"""),6018160.0)</f>
        <v>6018160</v>
      </c>
    </row>
    <row r="3861">
      <c r="A3861" s="26">
        <f>IFERROR(__xludf.DUMMYFUNCTION("""COMPUTED_VALUE"""),44074.64583333333)</f>
        <v>44074.64583</v>
      </c>
      <c r="B3861" s="9">
        <f>IFERROR(__xludf.DUMMYFUNCTION("""COMPUTED_VALUE"""),935.25)</f>
        <v>935.25</v>
      </c>
      <c r="C3861" s="9">
        <f>IFERROR(__xludf.DUMMYFUNCTION("""COMPUTED_VALUE"""),950.5)</f>
        <v>950.5</v>
      </c>
      <c r="D3861" s="9">
        <f>IFERROR(__xludf.DUMMYFUNCTION("""COMPUTED_VALUE"""),914.6)</f>
        <v>914.6</v>
      </c>
      <c r="E3861" s="9">
        <f>IFERROR(__xludf.DUMMYFUNCTION("""COMPUTED_VALUE"""),928.6)</f>
        <v>928.6</v>
      </c>
      <c r="F3861" s="9">
        <f>IFERROR(__xludf.DUMMYFUNCTION("""COMPUTED_VALUE"""),1.2808369E7)</f>
        <v>12808369</v>
      </c>
      <c r="H3861" s="27">
        <f>IFERROR(__xludf.DUMMYFUNCTION("""COMPUTED_VALUE"""),44075.64583333333)</f>
        <v>44075.64583</v>
      </c>
      <c r="I3861" s="25">
        <f>IFERROR(__xludf.DUMMYFUNCTION("""COMPUTED_VALUE"""),2269.0)</f>
        <v>2269</v>
      </c>
      <c r="J3861" s="25">
        <f>IFERROR(__xludf.DUMMYFUNCTION("""COMPUTED_VALUE"""),2278.0)</f>
        <v>2278</v>
      </c>
      <c r="K3861" s="25">
        <f>IFERROR(__xludf.DUMMYFUNCTION("""COMPUTED_VALUE"""),2241.3)</f>
        <v>2241.3</v>
      </c>
      <c r="L3861" s="25">
        <f>IFERROR(__xludf.DUMMYFUNCTION("""COMPUTED_VALUE"""),2246.35)</f>
        <v>2246.35</v>
      </c>
      <c r="M3861" s="25">
        <f>IFERROR(__xludf.DUMMYFUNCTION("""COMPUTED_VALUE"""),3610908.0)</f>
        <v>3610908</v>
      </c>
    </row>
    <row r="3862">
      <c r="A3862" s="26">
        <f>IFERROR(__xludf.DUMMYFUNCTION("""COMPUTED_VALUE"""),44075.64583333333)</f>
        <v>44075.64583</v>
      </c>
      <c r="B3862" s="9">
        <f>IFERROR(__xludf.DUMMYFUNCTION("""COMPUTED_VALUE"""),926.25)</f>
        <v>926.25</v>
      </c>
      <c r="C3862" s="9">
        <f>IFERROR(__xludf.DUMMYFUNCTION("""COMPUTED_VALUE"""),935.0)</f>
        <v>935</v>
      </c>
      <c r="D3862" s="9">
        <f>IFERROR(__xludf.DUMMYFUNCTION("""COMPUTED_VALUE"""),912.1)</f>
        <v>912.1</v>
      </c>
      <c r="E3862" s="9">
        <f>IFERROR(__xludf.DUMMYFUNCTION("""COMPUTED_VALUE"""),914.15)</f>
        <v>914.15</v>
      </c>
      <c r="F3862" s="9">
        <f>IFERROR(__xludf.DUMMYFUNCTION("""COMPUTED_VALUE"""),6907783.0)</f>
        <v>6907783</v>
      </c>
      <c r="H3862" s="27">
        <f>IFERROR(__xludf.DUMMYFUNCTION("""COMPUTED_VALUE"""),44076.64583333333)</f>
        <v>44076.64583</v>
      </c>
      <c r="I3862" s="25">
        <f>IFERROR(__xludf.DUMMYFUNCTION("""COMPUTED_VALUE"""),2247.0)</f>
        <v>2247</v>
      </c>
      <c r="J3862" s="25">
        <f>IFERROR(__xludf.DUMMYFUNCTION("""COMPUTED_VALUE"""),2268.75)</f>
        <v>2268.75</v>
      </c>
      <c r="K3862" s="25">
        <f>IFERROR(__xludf.DUMMYFUNCTION("""COMPUTED_VALUE"""),2241.65)</f>
        <v>2241.65</v>
      </c>
      <c r="L3862" s="25">
        <f>IFERROR(__xludf.DUMMYFUNCTION("""COMPUTED_VALUE"""),2265.15)</f>
        <v>2265.15</v>
      </c>
      <c r="M3862" s="25">
        <f>IFERROR(__xludf.DUMMYFUNCTION("""COMPUTED_VALUE"""),2084152.0)</f>
        <v>2084152</v>
      </c>
    </row>
    <row r="3863">
      <c r="A3863" s="26">
        <f>IFERROR(__xludf.DUMMYFUNCTION("""COMPUTED_VALUE"""),44076.64583333333)</f>
        <v>44076.64583</v>
      </c>
      <c r="B3863" s="9">
        <f>IFERROR(__xludf.DUMMYFUNCTION("""COMPUTED_VALUE"""),915.0)</f>
        <v>915</v>
      </c>
      <c r="C3863" s="9">
        <f>IFERROR(__xludf.DUMMYFUNCTION("""COMPUTED_VALUE"""),926.4)</f>
        <v>926.4</v>
      </c>
      <c r="D3863" s="9">
        <f>IFERROR(__xludf.DUMMYFUNCTION("""COMPUTED_VALUE"""),913.5)</f>
        <v>913.5</v>
      </c>
      <c r="E3863" s="9">
        <f>IFERROR(__xludf.DUMMYFUNCTION("""COMPUTED_VALUE"""),924.0)</f>
        <v>924</v>
      </c>
      <c r="F3863" s="9">
        <f>IFERROR(__xludf.DUMMYFUNCTION("""COMPUTED_VALUE"""),5678696.0)</f>
        <v>5678696</v>
      </c>
      <c r="H3863" s="27">
        <f>IFERROR(__xludf.DUMMYFUNCTION("""COMPUTED_VALUE"""),44077.64583333333)</f>
        <v>44077.64583</v>
      </c>
      <c r="I3863" s="25">
        <f>IFERROR(__xludf.DUMMYFUNCTION("""COMPUTED_VALUE"""),2268.0)</f>
        <v>2268</v>
      </c>
      <c r="J3863" s="25">
        <f>IFERROR(__xludf.DUMMYFUNCTION("""COMPUTED_VALUE"""),2324.0)</f>
        <v>2324</v>
      </c>
      <c r="K3863" s="25">
        <f>IFERROR(__xludf.DUMMYFUNCTION("""COMPUTED_VALUE"""),2268.0)</f>
        <v>2268</v>
      </c>
      <c r="L3863" s="25">
        <f>IFERROR(__xludf.DUMMYFUNCTION("""COMPUTED_VALUE"""),2299.5)</f>
        <v>2299.5</v>
      </c>
      <c r="M3863" s="25">
        <f>IFERROR(__xludf.DUMMYFUNCTION("""COMPUTED_VALUE"""),4654146.0)</f>
        <v>4654146</v>
      </c>
    </row>
    <row r="3864">
      <c r="A3864" s="26">
        <f>IFERROR(__xludf.DUMMYFUNCTION("""COMPUTED_VALUE"""),44077.64583333333)</f>
        <v>44077.64583</v>
      </c>
      <c r="B3864" s="9">
        <f>IFERROR(__xludf.DUMMYFUNCTION("""COMPUTED_VALUE"""),926.5)</f>
        <v>926.5</v>
      </c>
      <c r="C3864" s="9">
        <f>IFERROR(__xludf.DUMMYFUNCTION("""COMPUTED_VALUE"""),949.4)</f>
        <v>949.4</v>
      </c>
      <c r="D3864" s="9">
        <f>IFERROR(__xludf.DUMMYFUNCTION("""COMPUTED_VALUE"""),924.0)</f>
        <v>924</v>
      </c>
      <c r="E3864" s="9">
        <f>IFERROR(__xludf.DUMMYFUNCTION("""COMPUTED_VALUE"""),935.55)</f>
        <v>935.55</v>
      </c>
      <c r="F3864" s="9">
        <f>IFERROR(__xludf.DUMMYFUNCTION("""COMPUTED_VALUE"""),8828016.0)</f>
        <v>8828016</v>
      </c>
      <c r="H3864" s="27">
        <f>IFERROR(__xludf.DUMMYFUNCTION("""COMPUTED_VALUE"""),44078.64583333333)</f>
        <v>44078.64583</v>
      </c>
      <c r="I3864" s="25">
        <f>IFERROR(__xludf.DUMMYFUNCTION("""COMPUTED_VALUE"""),2275.0)</f>
        <v>2275</v>
      </c>
      <c r="J3864" s="25">
        <f>IFERROR(__xludf.DUMMYFUNCTION("""COMPUTED_VALUE"""),2324.25)</f>
        <v>2324.25</v>
      </c>
      <c r="K3864" s="25">
        <f>IFERROR(__xludf.DUMMYFUNCTION("""COMPUTED_VALUE"""),2262.95)</f>
        <v>2262.95</v>
      </c>
      <c r="L3864" s="25">
        <f>IFERROR(__xludf.DUMMYFUNCTION("""COMPUTED_VALUE"""),2288.8)</f>
        <v>2288.8</v>
      </c>
      <c r="M3864" s="25">
        <f>IFERROR(__xludf.DUMMYFUNCTION("""COMPUTED_VALUE"""),5232180.0)</f>
        <v>5232180</v>
      </c>
    </row>
    <row r="3865">
      <c r="A3865" s="26">
        <f>IFERROR(__xludf.DUMMYFUNCTION("""COMPUTED_VALUE"""),44078.64583333333)</f>
        <v>44078.64583</v>
      </c>
      <c r="B3865" s="9">
        <f>IFERROR(__xludf.DUMMYFUNCTION("""COMPUTED_VALUE"""),915.0)</f>
        <v>915</v>
      </c>
      <c r="C3865" s="9">
        <f>IFERROR(__xludf.DUMMYFUNCTION("""COMPUTED_VALUE"""),929.5)</f>
        <v>929.5</v>
      </c>
      <c r="D3865" s="9">
        <f>IFERROR(__xludf.DUMMYFUNCTION("""COMPUTED_VALUE"""),914.45)</f>
        <v>914.45</v>
      </c>
      <c r="E3865" s="9">
        <f>IFERROR(__xludf.DUMMYFUNCTION("""COMPUTED_VALUE"""),919.15)</f>
        <v>919.15</v>
      </c>
      <c r="F3865" s="9">
        <f>IFERROR(__xludf.DUMMYFUNCTION("""COMPUTED_VALUE"""),8650414.0)</f>
        <v>8650414</v>
      </c>
      <c r="H3865" s="27">
        <f>IFERROR(__xludf.DUMMYFUNCTION("""COMPUTED_VALUE"""),44081.64583333333)</f>
        <v>44081.64583</v>
      </c>
      <c r="I3865" s="25">
        <f>IFERROR(__xludf.DUMMYFUNCTION("""COMPUTED_VALUE"""),2289.0)</f>
        <v>2289</v>
      </c>
      <c r="J3865" s="25">
        <f>IFERROR(__xludf.DUMMYFUNCTION("""COMPUTED_VALUE"""),2343.5)</f>
        <v>2343.5</v>
      </c>
      <c r="K3865" s="25">
        <f>IFERROR(__xludf.DUMMYFUNCTION("""COMPUTED_VALUE"""),2283.35)</f>
        <v>2283.35</v>
      </c>
      <c r="L3865" s="25">
        <f>IFERROR(__xludf.DUMMYFUNCTION("""COMPUTED_VALUE"""),2327.05)</f>
        <v>2327.05</v>
      </c>
      <c r="M3865" s="25">
        <f>IFERROR(__xludf.DUMMYFUNCTION("""COMPUTED_VALUE"""),4620416.0)</f>
        <v>4620416</v>
      </c>
    </row>
    <row r="3866">
      <c r="A3866" s="26">
        <f>IFERROR(__xludf.DUMMYFUNCTION("""COMPUTED_VALUE"""),44081.64583333333)</f>
        <v>44081.64583</v>
      </c>
      <c r="B3866" s="9">
        <f>IFERROR(__xludf.DUMMYFUNCTION("""COMPUTED_VALUE"""),918.9)</f>
        <v>918.9</v>
      </c>
      <c r="C3866" s="9">
        <f>IFERROR(__xludf.DUMMYFUNCTION("""COMPUTED_VALUE"""),927.55)</f>
        <v>927.55</v>
      </c>
      <c r="D3866" s="9">
        <f>IFERROR(__xludf.DUMMYFUNCTION("""COMPUTED_VALUE"""),913.05)</f>
        <v>913.05</v>
      </c>
      <c r="E3866" s="9">
        <f>IFERROR(__xludf.DUMMYFUNCTION("""COMPUTED_VALUE"""),925.05)</f>
        <v>925.05</v>
      </c>
      <c r="F3866" s="9">
        <f>IFERROR(__xludf.DUMMYFUNCTION("""COMPUTED_VALUE"""),6700450.0)</f>
        <v>6700450</v>
      </c>
      <c r="H3866" s="27">
        <f>IFERROR(__xludf.DUMMYFUNCTION("""COMPUTED_VALUE"""),44082.64583333333)</f>
        <v>44082.64583</v>
      </c>
      <c r="I3866" s="25">
        <f>IFERROR(__xludf.DUMMYFUNCTION("""COMPUTED_VALUE"""),2335.95)</f>
        <v>2335.95</v>
      </c>
      <c r="J3866" s="25">
        <f>IFERROR(__xludf.DUMMYFUNCTION("""COMPUTED_VALUE"""),2390.45)</f>
        <v>2390.45</v>
      </c>
      <c r="K3866" s="25">
        <f>IFERROR(__xludf.DUMMYFUNCTION("""COMPUTED_VALUE"""),2327.05)</f>
        <v>2327.05</v>
      </c>
      <c r="L3866" s="25">
        <f>IFERROR(__xludf.DUMMYFUNCTION("""COMPUTED_VALUE"""),2348.2)</f>
        <v>2348.2</v>
      </c>
      <c r="M3866" s="25">
        <f>IFERROR(__xludf.DUMMYFUNCTION("""COMPUTED_VALUE"""),7454161.0)</f>
        <v>7454161</v>
      </c>
    </row>
    <row r="3867">
      <c r="A3867" s="26">
        <f>IFERROR(__xludf.DUMMYFUNCTION("""COMPUTED_VALUE"""),44082.64583333333)</f>
        <v>44082.64583</v>
      </c>
      <c r="B3867" s="9">
        <f>IFERROR(__xludf.DUMMYFUNCTION("""COMPUTED_VALUE"""),929.95)</f>
        <v>929.95</v>
      </c>
      <c r="C3867" s="9">
        <f>IFERROR(__xludf.DUMMYFUNCTION("""COMPUTED_VALUE"""),952.0)</f>
        <v>952</v>
      </c>
      <c r="D3867" s="9">
        <f>IFERROR(__xludf.DUMMYFUNCTION("""COMPUTED_VALUE"""),925.55)</f>
        <v>925.55</v>
      </c>
      <c r="E3867" s="9">
        <f>IFERROR(__xludf.DUMMYFUNCTION("""COMPUTED_VALUE"""),939.3)</f>
        <v>939.3</v>
      </c>
      <c r="F3867" s="9">
        <f>IFERROR(__xludf.DUMMYFUNCTION("""COMPUTED_VALUE"""),1.2892115E7)</f>
        <v>12892115</v>
      </c>
      <c r="H3867" s="27">
        <f>IFERROR(__xludf.DUMMYFUNCTION("""COMPUTED_VALUE"""),44083.64583333333)</f>
        <v>44083.64583</v>
      </c>
      <c r="I3867" s="25">
        <f>IFERROR(__xludf.DUMMYFUNCTION("""COMPUTED_VALUE"""),2325.0)</f>
        <v>2325</v>
      </c>
      <c r="J3867" s="25">
        <f>IFERROR(__xludf.DUMMYFUNCTION("""COMPUTED_VALUE"""),2359.0)</f>
        <v>2359</v>
      </c>
      <c r="K3867" s="25">
        <f>IFERROR(__xludf.DUMMYFUNCTION("""COMPUTED_VALUE"""),2320.0)</f>
        <v>2320</v>
      </c>
      <c r="L3867" s="25">
        <f>IFERROR(__xludf.DUMMYFUNCTION("""COMPUTED_VALUE"""),2327.65)</f>
        <v>2327.65</v>
      </c>
      <c r="M3867" s="25">
        <f>IFERROR(__xludf.DUMMYFUNCTION("""COMPUTED_VALUE"""),3866542.0)</f>
        <v>3866542</v>
      </c>
    </row>
    <row r="3868">
      <c r="A3868" s="26">
        <f>IFERROR(__xludf.DUMMYFUNCTION("""COMPUTED_VALUE"""),44083.64583333333)</f>
        <v>44083.64583</v>
      </c>
      <c r="B3868" s="9">
        <f>IFERROR(__xludf.DUMMYFUNCTION("""COMPUTED_VALUE"""),935.0)</f>
        <v>935</v>
      </c>
      <c r="C3868" s="9">
        <f>IFERROR(__xludf.DUMMYFUNCTION("""COMPUTED_VALUE"""),946.0)</f>
        <v>946</v>
      </c>
      <c r="D3868" s="9">
        <f>IFERROR(__xludf.DUMMYFUNCTION("""COMPUTED_VALUE"""),926.0)</f>
        <v>926</v>
      </c>
      <c r="E3868" s="9">
        <f>IFERROR(__xludf.DUMMYFUNCTION("""COMPUTED_VALUE"""),927.75)</f>
        <v>927.75</v>
      </c>
      <c r="F3868" s="9">
        <f>IFERROR(__xludf.DUMMYFUNCTION("""COMPUTED_VALUE"""),5529150.0)</f>
        <v>5529150</v>
      </c>
      <c r="H3868" s="27">
        <f>IFERROR(__xludf.DUMMYFUNCTION("""COMPUTED_VALUE"""),44084.64583333333)</f>
        <v>44084.64583</v>
      </c>
      <c r="I3868" s="25">
        <f>IFERROR(__xludf.DUMMYFUNCTION("""COMPUTED_VALUE"""),2335.0)</f>
        <v>2335</v>
      </c>
      <c r="J3868" s="25">
        <f>IFERROR(__xludf.DUMMYFUNCTION("""COMPUTED_VALUE"""),2348.5)</f>
        <v>2348.5</v>
      </c>
      <c r="K3868" s="25">
        <f>IFERROR(__xludf.DUMMYFUNCTION("""COMPUTED_VALUE"""),2324.3)</f>
        <v>2324.3</v>
      </c>
      <c r="L3868" s="25">
        <f>IFERROR(__xludf.DUMMYFUNCTION("""COMPUTED_VALUE"""),2331.15)</f>
        <v>2331.15</v>
      </c>
      <c r="M3868" s="25">
        <f>IFERROR(__xludf.DUMMYFUNCTION("""COMPUTED_VALUE"""),2308813.0)</f>
        <v>2308813</v>
      </c>
    </row>
    <row r="3869">
      <c r="A3869" s="26">
        <f>IFERROR(__xludf.DUMMYFUNCTION("""COMPUTED_VALUE"""),44084.64583333333)</f>
        <v>44084.64583</v>
      </c>
      <c r="B3869" s="9">
        <f>IFERROR(__xludf.DUMMYFUNCTION("""COMPUTED_VALUE"""),935.3)</f>
        <v>935.3</v>
      </c>
      <c r="C3869" s="9">
        <f>IFERROR(__xludf.DUMMYFUNCTION("""COMPUTED_VALUE"""),942.0)</f>
        <v>942</v>
      </c>
      <c r="D3869" s="9">
        <f>IFERROR(__xludf.DUMMYFUNCTION("""COMPUTED_VALUE"""),924.8)</f>
        <v>924.8</v>
      </c>
      <c r="E3869" s="9">
        <f>IFERROR(__xludf.DUMMYFUNCTION("""COMPUTED_VALUE"""),940.05)</f>
        <v>940.05</v>
      </c>
      <c r="F3869" s="9">
        <f>IFERROR(__xludf.DUMMYFUNCTION("""COMPUTED_VALUE"""),5172091.0)</f>
        <v>5172091</v>
      </c>
      <c r="H3869" s="27">
        <f>IFERROR(__xludf.DUMMYFUNCTION("""COMPUTED_VALUE"""),44085.64583333333)</f>
        <v>44085.64583</v>
      </c>
      <c r="I3869" s="25">
        <f>IFERROR(__xludf.DUMMYFUNCTION("""COMPUTED_VALUE"""),2330.95)</f>
        <v>2330.95</v>
      </c>
      <c r="J3869" s="25">
        <f>IFERROR(__xludf.DUMMYFUNCTION("""COMPUTED_VALUE"""),2383.0)</f>
        <v>2383</v>
      </c>
      <c r="K3869" s="25">
        <f>IFERROR(__xludf.DUMMYFUNCTION("""COMPUTED_VALUE"""),2330.15)</f>
        <v>2330.15</v>
      </c>
      <c r="L3869" s="25">
        <f>IFERROR(__xludf.DUMMYFUNCTION("""COMPUTED_VALUE"""),2374.1)</f>
        <v>2374.1</v>
      </c>
      <c r="M3869" s="25">
        <f>IFERROR(__xludf.DUMMYFUNCTION("""COMPUTED_VALUE"""),4145429.0)</f>
        <v>4145429</v>
      </c>
    </row>
    <row r="3870">
      <c r="A3870" s="26">
        <f>IFERROR(__xludf.DUMMYFUNCTION("""COMPUTED_VALUE"""),44085.64583333333)</f>
        <v>44085.64583</v>
      </c>
      <c r="B3870" s="9">
        <f>IFERROR(__xludf.DUMMYFUNCTION("""COMPUTED_VALUE"""),934.9)</f>
        <v>934.9</v>
      </c>
      <c r="C3870" s="9">
        <f>IFERROR(__xludf.DUMMYFUNCTION("""COMPUTED_VALUE"""),954.15)</f>
        <v>954.15</v>
      </c>
      <c r="D3870" s="9">
        <f>IFERROR(__xludf.DUMMYFUNCTION("""COMPUTED_VALUE"""),931.0)</f>
        <v>931</v>
      </c>
      <c r="E3870" s="9">
        <f>IFERROR(__xludf.DUMMYFUNCTION("""COMPUTED_VALUE"""),945.7)</f>
        <v>945.7</v>
      </c>
      <c r="F3870" s="9">
        <f>IFERROR(__xludf.DUMMYFUNCTION("""COMPUTED_VALUE"""),6672082.0)</f>
        <v>6672082</v>
      </c>
      <c r="H3870" s="27">
        <f>IFERROR(__xludf.DUMMYFUNCTION("""COMPUTED_VALUE"""),44088.64583333333)</f>
        <v>44088.64583</v>
      </c>
      <c r="I3870" s="25">
        <f>IFERROR(__xludf.DUMMYFUNCTION("""COMPUTED_VALUE"""),2384.1)</f>
        <v>2384.1</v>
      </c>
      <c r="J3870" s="25">
        <f>IFERROR(__xludf.DUMMYFUNCTION("""COMPUTED_VALUE"""),2505.75)</f>
        <v>2505.75</v>
      </c>
      <c r="K3870" s="25">
        <f>IFERROR(__xludf.DUMMYFUNCTION("""COMPUTED_VALUE"""),2381.85)</f>
        <v>2381.85</v>
      </c>
      <c r="L3870" s="25">
        <f>IFERROR(__xludf.DUMMYFUNCTION("""COMPUTED_VALUE"""),2491.4)</f>
        <v>2491.4</v>
      </c>
      <c r="M3870" s="25">
        <f>IFERROR(__xludf.DUMMYFUNCTION("""COMPUTED_VALUE"""),7512284.0)</f>
        <v>7512284</v>
      </c>
    </row>
    <row r="3871">
      <c r="A3871" s="26">
        <f>IFERROR(__xludf.DUMMYFUNCTION("""COMPUTED_VALUE"""),44088.64583333333)</f>
        <v>44088.64583</v>
      </c>
      <c r="B3871" s="9">
        <f>IFERROR(__xludf.DUMMYFUNCTION("""COMPUTED_VALUE"""),957.0)</f>
        <v>957</v>
      </c>
      <c r="C3871" s="9">
        <f>IFERROR(__xludf.DUMMYFUNCTION("""COMPUTED_VALUE"""),991.05)</f>
        <v>991.05</v>
      </c>
      <c r="D3871" s="9">
        <f>IFERROR(__xludf.DUMMYFUNCTION("""COMPUTED_VALUE"""),948.3)</f>
        <v>948.3</v>
      </c>
      <c r="E3871" s="9">
        <f>IFERROR(__xludf.DUMMYFUNCTION("""COMPUTED_VALUE"""),978.4)</f>
        <v>978.4</v>
      </c>
      <c r="F3871" s="9">
        <f>IFERROR(__xludf.DUMMYFUNCTION("""COMPUTED_VALUE"""),2.1871591E7)</f>
        <v>21871591</v>
      </c>
      <c r="H3871" s="27">
        <f>IFERROR(__xludf.DUMMYFUNCTION("""COMPUTED_VALUE"""),44089.64583333333)</f>
        <v>44089.64583</v>
      </c>
      <c r="I3871" s="25">
        <f>IFERROR(__xludf.DUMMYFUNCTION("""COMPUTED_VALUE"""),2491.4)</f>
        <v>2491.4</v>
      </c>
      <c r="J3871" s="25">
        <f>IFERROR(__xludf.DUMMYFUNCTION("""COMPUTED_VALUE"""),2538.0)</f>
        <v>2538</v>
      </c>
      <c r="K3871" s="25">
        <f>IFERROR(__xludf.DUMMYFUNCTION("""COMPUTED_VALUE"""),2464.6)</f>
        <v>2464.6</v>
      </c>
      <c r="L3871" s="25">
        <f>IFERROR(__xludf.DUMMYFUNCTION("""COMPUTED_VALUE"""),2491.4)</f>
        <v>2491.4</v>
      </c>
      <c r="M3871" s="25">
        <f>IFERROR(__xludf.DUMMYFUNCTION("""COMPUTED_VALUE"""),7318773.0)</f>
        <v>7318773</v>
      </c>
    </row>
    <row r="3872">
      <c r="A3872" s="26">
        <f>IFERROR(__xludf.DUMMYFUNCTION("""COMPUTED_VALUE"""),44089.64583333333)</f>
        <v>44089.64583</v>
      </c>
      <c r="B3872" s="9">
        <f>IFERROR(__xludf.DUMMYFUNCTION("""COMPUTED_VALUE"""),979.5)</f>
        <v>979.5</v>
      </c>
      <c r="C3872" s="9">
        <f>IFERROR(__xludf.DUMMYFUNCTION("""COMPUTED_VALUE"""),994.0)</f>
        <v>994</v>
      </c>
      <c r="D3872" s="9">
        <f>IFERROR(__xludf.DUMMYFUNCTION("""COMPUTED_VALUE"""),971.65)</f>
        <v>971.65</v>
      </c>
      <c r="E3872" s="9">
        <f>IFERROR(__xludf.DUMMYFUNCTION("""COMPUTED_VALUE"""),982.45)</f>
        <v>982.45</v>
      </c>
      <c r="F3872" s="9">
        <f>IFERROR(__xludf.DUMMYFUNCTION("""COMPUTED_VALUE"""),1.1608223E7)</f>
        <v>11608223</v>
      </c>
      <c r="H3872" s="27">
        <f>IFERROR(__xludf.DUMMYFUNCTION("""COMPUTED_VALUE"""),44090.64583333333)</f>
        <v>44090.64583</v>
      </c>
      <c r="I3872" s="25">
        <f>IFERROR(__xludf.DUMMYFUNCTION("""COMPUTED_VALUE"""),2488.95)</f>
        <v>2488.95</v>
      </c>
      <c r="J3872" s="25">
        <f>IFERROR(__xludf.DUMMYFUNCTION("""COMPUTED_VALUE"""),2507.6)</f>
        <v>2507.6</v>
      </c>
      <c r="K3872" s="25">
        <f>IFERROR(__xludf.DUMMYFUNCTION("""COMPUTED_VALUE"""),2477.3)</f>
        <v>2477.3</v>
      </c>
      <c r="L3872" s="25">
        <f>IFERROR(__xludf.DUMMYFUNCTION("""COMPUTED_VALUE"""),2503.0)</f>
        <v>2503</v>
      </c>
      <c r="M3872" s="25">
        <f>IFERROR(__xludf.DUMMYFUNCTION("""COMPUTED_VALUE"""),3074013.0)</f>
        <v>3074013</v>
      </c>
    </row>
    <row r="3873">
      <c r="A3873" s="26">
        <f>IFERROR(__xludf.DUMMYFUNCTION("""COMPUTED_VALUE"""),44090.64583333333)</f>
        <v>44090.64583</v>
      </c>
      <c r="B3873" s="9">
        <f>IFERROR(__xludf.DUMMYFUNCTION("""COMPUTED_VALUE"""),986.0)</f>
        <v>986</v>
      </c>
      <c r="C3873" s="9">
        <f>IFERROR(__xludf.DUMMYFUNCTION("""COMPUTED_VALUE"""),1005.65)</f>
        <v>1005.65</v>
      </c>
      <c r="D3873" s="9">
        <f>IFERROR(__xludf.DUMMYFUNCTION("""COMPUTED_VALUE"""),982.0)</f>
        <v>982</v>
      </c>
      <c r="E3873" s="9">
        <f>IFERROR(__xludf.DUMMYFUNCTION("""COMPUTED_VALUE"""),1001.75)</f>
        <v>1001.75</v>
      </c>
      <c r="F3873" s="9">
        <f>IFERROR(__xludf.DUMMYFUNCTION("""COMPUTED_VALUE"""),1.0059392E7)</f>
        <v>10059392</v>
      </c>
      <c r="H3873" s="27">
        <f>IFERROR(__xludf.DUMMYFUNCTION("""COMPUTED_VALUE"""),44091.64583333333)</f>
        <v>44091.64583</v>
      </c>
      <c r="I3873" s="25">
        <f>IFERROR(__xludf.DUMMYFUNCTION("""COMPUTED_VALUE"""),2480.0)</f>
        <v>2480</v>
      </c>
      <c r="J3873" s="25">
        <f>IFERROR(__xludf.DUMMYFUNCTION("""COMPUTED_VALUE"""),2495.75)</f>
        <v>2495.75</v>
      </c>
      <c r="K3873" s="25">
        <f>IFERROR(__xludf.DUMMYFUNCTION("""COMPUTED_VALUE"""),2450.6)</f>
        <v>2450.6</v>
      </c>
      <c r="L3873" s="25">
        <f>IFERROR(__xludf.DUMMYFUNCTION("""COMPUTED_VALUE"""),2460.95)</f>
        <v>2460.95</v>
      </c>
      <c r="M3873" s="25">
        <f>IFERROR(__xludf.DUMMYFUNCTION("""COMPUTED_VALUE"""),4828231.0)</f>
        <v>4828231</v>
      </c>
    </row>
    <row r="3874">
      <c r="A3874" s="26">
        <f>IFERROR(__xludf.DUMMYFUNCTION("""COMPUTED_VALUE"""),44091.64583333333)</f>
        <v>44091.64583</v>
      </c>
      <c r="B3874" s="9">
        <f>IFERROR(__xludf.DUMMYFUNCTION("""COMPUTED_VALUE"""),995.0)</f>
        <v>995</v>
      </c>
      <c r="C3874" s="9">
        <f>IFERROR(__xludf.DUMMYFUNCTION("""COMPUTED_VALUE"""),1021.0)</f>
        <v>1021</v>
      </c>
      <c r="D3874" s="9">
        <f>IFERROR(__xludf.DUMMYFUNCTION("""COMPUTED_VALUE"""),995.0)</f>
        <v>995</v>
      </c>
      <c r="E3874" s="9">
        <f>IFERROR(__xludf.DUMMYFUNCTION("""COMPUTED_VALUE"""),1011.0)</f>
        <v>1011</v>
      </c>
      <c r="F3874" s="9">
        <f>IFERROR(__xludf.DUMMYFUNCTION("""COMPUTED_VALUE"""),1.5628308E7)</f>
        <v>15628308</v>
      </c>
      <c r="H3874" s="27">
        <f>IFERROR(__xludf.DUMMYFUNCTION("""COMPUTED_VALUE"""),44092.64583333333)</f>
        <v>44092.64583</v>
      </c>
      <c r="I3874" s="25">
        <f>IFERROR(__xludf.DUMMYFUNCTION("""COMPUTED_VALUE"""),2485.0)</f>
        <v>2485</v>
      </c>
      <c r="J3874" s="25">
        <f>IFERROR(__xludf.DUMMYFUNCTION("""COMPUTED_VALUE"""),2500.4)</f>
        <v>2500.4</v>
      </c>
      <c r="K3874" s="25">
        <f>IFERROR(__xludf.DUMMYFUNCTION("""COMPUTED_VALUE"""),2436.4)</f>
        <v>2436.4</v>
      </c>
      <c r="L3874" s="25">
        <f>IFERROR(__xludf.DUMMYFUNCTION("""COMPUTED_VALUE"""),2449.9)</f>
        <v>2449.9</v>
      </c>
      <c r="M3874" s="25">
        <f>IFERROR(__xludf.DUMMYFUNCTION("""COMPUTED_VALUE"""),4183256.0)</f>
        <v>4183256</v>
      </c>
    </row>
    <row r="3875">
      <c r="A3875" s="26">
        <f>IFERROR(__xludf.DUMMYFUNCTION("""COMPUTED_VALUE"""),44092.64583333333)</f>
        <v>44092.64583</v>
      </c>
      <c r="B3875" s="9">
        <f>IFERROR(__xludf.DUMMYFUNCTION("""COMPUTED_VALUE"""),1011.0)</f>
        <v>1011</v>
      </c>
      <c r="C3875" s="9">
        <f>IFERROR(__xludf.DUMMYFUNCTION("""COMPUTED_VALUE"""),1018.8)</f>
        <v>1018.8</v>
      </c>
      <c r="D3875" s="9">
        <f>IFERROR(__xludf.DUMMYFUNCTION("""COMPUTED_VALUE"""),999.1)</f>
        <v>999.1</v>
      </c>
      <c r="E3875" s="9">
        <f>IFERROR(__xludf.DUMMYFUNCTION("""COMPUTED_VALUE"""),1002.15)</f>
        <v>1002.15</v>
      </c>
      <c r="F3875" s="9">
        <f>IFERROR(__xludf.DUMMYFUNCTION("""COMPUTED_VALUE"""),1.2897897E7)</f>
        <v>12897897</v>
      </c>
      <c r="H3875" s="27">
        <f>IFERROR(__xludf.DUMMYFUNCTION("""COMPUTED_VALUE"""),44095.64583333333)</f>
        <v>44095.64583</v>
      </c>
      <c r="I3875" s="25">
        <f>IFERROR(__xludf.DUMMYFUNCTION("""COMPUTED_VALUE"""),2465.0)</f>
        <v>2465</v>
      </c>
      <c r="J3875" s="25">
        <f>IFERROR(__xludf.DUMMYFUNCTION("""COMPUTED_VALUE"""),2504.9)</f>
        <v>2504.9</v>
      </c>
      <c r="K3875" s="25">
        <f>IFERROR(__xludf.DUMMYFUNCTION("""COMPUTED_VALUE"""),2452.15)</f>
        <v>2452.15</v>
      </c>
      <c r="L3875" s="25">
        <f>IFERROR(__xludf.DUMMYFUNCTION("""COMPUTED_VALUE"""),2465.3)</f>
        <v>2465.3</v>
      </c>
      <c r="M3875" s="25">
        <f>IFERROR(__xludf.DUMMYFUNCTION("""COMPUTED_VALUE"""),4598809.0)</f>
        <v>4598809</v>
      </c>
    </row>
    <row r="3876">
      <c r="A3876" s="26">
        <f>IFERROR(__xludf.DUMMYFUNCTION("""COMPUTED_VALUE"""),44095.64583333333)</f>
        <v>44095.64583</v>
      </c>
      <c r="B3876" s="9">
        <f>IFERROR(__xludf.DUMMYFUNCTION("""COMPUTED_VALUE"""),1001.0)</f>
        <v>1001</v>
      </c>
      <c r="C3876" s="9">
        <f>IFERROR(__xludf.DUMMYFUNCTION("""COMPUTED_VALUE"""),1031.0)</f>
        <v>1031</v>
      </c>
      <c r="D3876" s="9">
        <f>IFERROR(__xludf.DUMMYFUNCTION("""COMPUTED_VALUE"""),1000.5)</f>
        <v>1000.5</v>
      </c>
      <c r="E3876" s="9">
        <f>IFERROR(__xludf.DUMMYFUNCTION("""COMPUTED_VALUE"""),1009.9)</f>
        <v>1009.9</v>
      </c>
      <c r="F3876" s="9">
        <f>IFERROR(__xludf.DUMMYFUNCTION("""COMPUTED_VALUE"""),1.414079E7)</f>
        <v>14140790</v>
      </c>
      <c r="H3876" s="27">
        <f>IFERROR(__xludf.DUMMYFUNCTION("""COMPUTED_VALUE"""),44096.64583333333)</f>
        <v>44096.64583</v>
      </c>
      <c r="I3876" s="25">
        <f>IFERROR(__xludf.DUMMYFUNCTION("""COMPUTED_VALUE"""),2485.0)</f>
        <v>2485</v>
      </c>
      <c r="J3876" s="25">
        <f>IFERROR(__xludf.DUMMYFUNCTION("""COMPUTED_VALUE"""),2555.0)</f>
        <v>2555</v>
      </c>
      <c r="K3876" s="25">
        <f>IFERROR(__xludf.DUMMYFUNCTION("""COMPUTED_VALUE"""),2458.0)</f>
        <v>2458</v>
      </c>
      <c r="L3876" s="25">
        <f>IFERROR(__xludf.DUMMYFUNCTION("""COMPUTED_VALUE"""),2522.95)</f>
        <v>2522.95</v>
      </c>
      <c r="M3876" s="25">
        <f>IFERROR(__xludf.DUMMYFUNCTION("""COMPUTED_VALUE"""),7499927.0)</f>
        <v>7499927</v>
      </c>
    </row>
    <row r="3877">
      <c r="A3877" s="26">
        <f>IFERROR(__xludf.DUMMYFUNCTION("""COMPUTED_VALUE"""),44096.64583333333)</f>
        <v>44096.64583</v>
      </c>
      <c r="B3877" s="9">
        <f>IFERROR(__xludf.DUMMYFUNCTION("""COMPUTED_VALUE"""),1009.0)</f>
        <v>1009</v>
      </c>
      <c r="C3877" s="9">
        <f>IFERROR(__xludf.DUMMYFUNCTION("""COMPUTED_VALUE"""),1022.5)</f>
        <v>1022.5</v>
      </c>
      <c r="D3877" s="9">
        <f>IFERROR(__xludf.DUMMYFUNCTION("""COMPUTED_VALUE"""),991.2)</f>
        <v>991.2</v>
      </c>
      <c r="E3877" s="9">
        <f>IFERROR(__xludf.DUMMYFUNCTION("""COMPUTED_VALUE"""),1007.5)</f>
        <v>1007.5</v>
      </c>
      <c r="F3877" s="9">
        <f>IFERROR(__xludf.DUMMYFUNCTION("""COMPUTED_VALUE"""),1.2625775E7)</f>
        <v>12625775</v>
      </c>
      <c r="H3877" s="27">
        <f>IFERROR(__xludf.DUMMYFUNCTION("""COMPUTED_VALUE"""),44097.64583333333)</f>
        <v>44097.64583</v>
      </c>
      <c r="I3877" s="25">
        <f>IFERROR(__xludf.DUMMYFUNCTION("""COMPUTED_VALUE"""),2510.0)</f>
        <v>2510</v>
      </c>
      <c r="J3877" s="25">
        <f>IFERROR(__xludf.DUMMYFUNCTION("""COMPUTED_VALUE"""),2519.85)</f>
        <v>2519.85</v>
      </c>
      <c r="K3877" s="25">
        <f>IFERROR(__xludf.DUMMYFUNCTION("""COMPUTED_VALUE"""),2409.0)</f>
        <v>2409</v>
      </c>
      <c r="L3877" s="25">
        <f>IFERROR(__xludf.DUMMYFUNCTION("""COMPUTED_VALUE"""),2467.45)</f>
        <v>2467.45</v>
      </c>
      <c r="M3877" s="25">
        <f>IFERROR(__xludf.DUMMYFUNCTION("""COMPUTED_VALUE"""),7503152.0)</f>
        <v>7503152</v>
      </c>
    </row>
    <row r="3878">
      <c r="A3878" s="26">
        <f>IFERROR(__xludf.DUMMYFUNCTION("""COMPUTED_VALUE"""),44097.64583333333)</f>
        <v>44097.64583</v>
      </c>
      <c r="B3878" s="9">
        <f>IFERROR(__xludf.DUMMYFUNCTION("""COMPUTED_VALUE"""),1020.15)</f>
        <v>1020.15</v>
      </c>
      <c r="C3878" s="9">
        <f>IFERROR(__xludf.DUMMYFUNCTION("""COMPUTED_VALUE"""),1037.0)</f>
        <v>1037</v>
      </c>
      <c r="D3878" s="9">
        <f>IFERROR(__xludf.DUMMYFUNCTION("""COMPUTED_VALUE"""),1008.1)</f>
        <v>1008.1</v>
      </c>
      <c r="E3878" s="9">
        <f>IFERROR(__xludf.DUMMYFUNCTION("""COMPUTED_VALUE"""),1019.75)</f>
        <v>1019.75</v>
      </c>
      <c r="F3878" s="9">
        <f>IFERROR(__xludf.DUMMYFUNCTION("""COMPUTED_VALUE"""),1.3486274E7)</f>
        <v>13486274</v>
      </c>
      <c r="H3878" s="27">
        <f>IFERROR(__xludf.DUMMYFUNCTION("""COMPUTED_VALUE"""),44098.64583333333)</f>
        <v>44098.64583</v>
      </c>
      <c r="I3878" s="25">
        <f>IFERROR(__xludf.DUMMYFUNCTION("""COMPUTED_VALUE"""),2450.0)</f>
        <v>2450</v>
      </c>
      <c r="J3878" s="25">
        <f>IFERROR(__xludf.DUMMYFUNCTION("""COMPUTED_VALUE"""),2450.0)</f>
        <v>2450</v>
      </c>
      <c r="K3878" s="25">
        <f>IFERROR(__xludf.DUMMYFUNCTION("""COMPUTED_VALUE"""),2302.6)</f>
        <v>2302.6</v>
      </c>
      <c r="L3878" s="25">
        <f>IFERROR(__xludf.DUMMYFUNCTION("""COMPUTED_VALUE"""),2332.25)</f>
        <v>2332.25</v>
      </c>
      <c r="M3878" s="25">
        <f>IFERROR(__xludf.DUMMYFUNCTION("""COMPUTED_VALUE"""),8425118.0)</f>
        <v>8425118</v>
      </c>
    </row>
    <row r="3879">
      <c r="A3879" s="26">
        <f>IFERROR(__xludf.DUMMYFUNCTION("""COMPUTED_VALUE"""),44098.64583333333)</f>
        <v>44098.64583</v>
      </c>
      <c r="B3879" s="9">
        <f>IFERROR(__xludf.DUMMYFUNCTION("""COMPUTED_VALUE"""),1003.0)</f>
        <v>1003</v>
      </c>
      <c r="C3879" s="9">
        <f>IFERROR(__xludf.DUMMYFUNCTION("""COMPUTED_VALUE"""),1009.0)</f>
        <v>1009</v>
      </c>
      <c r="D3879" s="9">
        <f>IFERROR(__xludf.DUMMYFUNCTION("""COMPUTED_VALUE"""),970.0)</f>
        <v>970</v>
      </c>
      <c r="E3879" s="9">
        <f>IFERROR(__xludf.DUMMYFUNCTION("""COMPUTED_VALUE"""),975.4)</f>
        <v>975.4</v>
      </c>
      <c r="F3879" s="9">
        <f>IFERROR(__xludf.DUMMYFUNCTION("""COMPUTED_VALUE"""),1.4427463E7)</f>
        <v>14427463</v>
      </c>
      <c r="H3879" s="27">
        <f>IFERROR(__xludf.DUMMYFUNCTION("""COMPUTED_VALUE"""),44099.64583333333)</f>
        <v>44099.64583</v>
      </c>
      <c r="I3879" s="25">
        <f>IFERROR(__xludf.DUMMYFUNCTION("""COMPUTED_VALUE"""),2368.0)</f>
        <v>2368</v>
      </c>
      <c r="J3879" s="25">
        <f>IFERROR(__xludf.DUMMYFUNCTION("""COMPUTED_VALUE"""),2440.0)</f>
        <v>2440</v>
      </c>
      <c r="K3879" s="25">
        <f>IFERROR(__xludf.DUMMYFUNCTION("""COMPUTED_VALUE"""),2352.1)</f>
        <v>2352.1</v>
      </c>
      <c r="L3879" s="25">
        <f>IFERROR(__xludf.DUMMYFUNCTION("""COMPUTED_VALUE"""),2422.3)</f>
        <v>2422.3</v>
      </c>
      <c r="M3879" s="25">
        <f>IFERROR(__xludf.DUMMYFUNCTION("""COMPUTED_VALUE"""),8228297.0)</f>
        <v>8228297</v>
      </c>
    </row>
    <row r="3880">
      <c r="A3880" s="26">
        <f>IFERROR(__xludf.DUMMYFUNCTION("""COMPUTED_VALUE"""),44099.64583333333)</f>
        <v>44099.64583</v>
      </c>
      <c r="B3880" s="9">
        <f>IFERROR(__xludf.DUMMYFUNCTION("""COMPUTED_VALUE"""),975.8)</f>
        <v>975.8</v>
      </c>
      <c r="C3880" s="9">
        <f>IFERROR(__xludf.DUMMYFUNCTION("""COMPUTED_VALUE"""),1014.9)</f>
        <v>1014.9</v>
      </c>
      <c r="D3880" s="9">
        <f>IFERROR(__xludf.DUMMYFUNCTION("""COMPUTED_VALUE"""),975.0)</f>
        <v>975</v>
      </c>
      <c r="E3880" s="9">
        <f>IFERROR(__xludf.DUMMYFUNCTION("""COMPUTED_VALUE"""),1011.45)</f>
        <v>1011.45</v>
      </c>
      <c r="F3880" s="9">
        <f>IFERROR(__xludf.DUMMYFUNCTION("""COMPUTED_VALUE"""),1.3311079E7)</f>
        <v>13311079</v>
      </c>
      <c r="H3880" s="27">
        <f>IFERROR(__xludf.DUMMYFUNCTION("""COMPUTED_VALUE"""),44102.64583333333)</f>
        <v>44102.64583</v>
      </c>
      <c r="I3880" s="25">
        <f>IFERROR(__xludf.DUMMYFUNCTION("""COMPUTED_VALUE"""),2440.0)</f>
        <v>2440</v>
      </c>
      <c r="J3880" s="25">
        <f>IFERROR(__xludf.DUMMYFUNCTION("""COMPUTED_VALUE"""),2444.0)</f>
        <v>2444</v>
      </c>
      <c r="K3880" s="25">
        <f>IFERROR(__xludf.DUMMYFUNCTION("""COMPUTED_VALUE"""),2366.0)</f>
        <v>2366</v>
      </c>
      <c r="L3880" s="25">
        <f>IFERROR(__xludf.DUMMYFUNCTION("""COMPUTED_VALUE"""),2426.3)</f>
        <v>2426.3</v>
      </c>
      <c r="M3880" s="25">
        <f>IFERROR(__xludf.DUMMYFUNCTION("""COMPUTED_VALUE"""),4347177.0)</f>
        <v>4347177</v>
      </c>
    </row>
    <row r="3881">
      <c r="A3881" s="26">
        <f>IFERROR(__xludf.DUMMYFUNCTION("""COMPUTED_VALUE"""),44102.64583333333)</f>
        <v>44102.64583</v>
      </c>
      <c r="B3881" s="9">
        <f>IFERROR(__xludf.DUMMYFUNCTION("""COMPUTED_VALUE"""),1014.8)</f>
        <v>1014.8</v>
      </c>
      <c r="C3881" s="9">
        <f>IFERROR(__xludf.DUMMYFUNCTION("""COMPUTED_VALUE"""),1016.15)</f>
        <v>1016.15</v>
      </c>
      <c r="D3881" s="9">
        <f>IFERROR(__xludf.DUMMYFUNCTION("""COMPUTED_VALUE"""),998.5)</f>
        <v>998.5</v>
      </c>
      <c r="E3881" s="9">
        <f>IFERROR(__xludf.DUMMYFUNCTION("""COMPUTED_VALUE"""),1010.4)</f>
        <v>1010.4</v>
      </c>
      <c r="F3881" s="9">
        <f>IFERROR(__xludf.DUMMYFUNCTION("""COMPUTED_VALUE"""),8554583.0)</f>
        <v>8554583</v>
      </c>
      <c r="H3881" s="27">
        <f>IFERROR(__xludf.DUMMYFUNCTION("""COMPUTED_VALUE"""),44103.64583333333)</f>
        <v>44103.64583</v>
      </c>
      <c r="I3881" s="25">
        <f>IFERROR(__xludf.DUMMYFUNCTION("""COMPUTED_VALUE"""),2434.85)</f>
        <v>2434.85</v>
      </c>
      <c r="J3881" s="25">
        <f>IFERROR(__xludf.DUMMYFUNCTION("""COMPUTED_VALUE"""),2511.05)</f>
        <v>2511.05</v>
      </c>
      <c r="K3881" s="25">
        <f>IFERROR(__xludf.DUMMYFUNCTION("""COMPUTED_VALUE"""),2426.3)</f>
        <v>2426.3</v>
      </c>
      <c r="L3881" s="25">
        <f>IFERROR(__xludf.DUMMYFUNCTION("""COMPUTED_VALUE"""),2488.4)</f>
        <v>2488.4</v>
      </c>
      <c r="M3881" s="25">
        <f>IFERROR(__xludf.DUMMYFUNCTION("""COMPUTED_VALUE"""),6995815.0)</f>
        <v>6995815</v>
      </c>
    </row>
    <row r="3882">
      <c r="A3882" s="26">
        <f>IFERROR(__xludf.DUMMYFUNCTION("""COMPUTED_VALUE"""),44103.64583333333)</f>
        <v>44103.64583</v>
      </c>
      <c r="B3882" s="9">
        <f>IFERROR(__xludf.DUMMYFUNCTION("""COMPUTED_VALUE"""),1018.0)</f>
        <v>1018</v>
      </c>
      <c r="C3882" s="9">
        <f>IFERROR(__xludf.DUMMYFUNCTION("""COMPUTED_VALUE"""),1028.0)</f>
        <v>1028</v>
      </c>
      <c r="D3882" s="9">
        <f>IFERROR(__xludf.DUMMYFUNCTION("""COMPUTED_VALUE"""),1004.1)</f>
        <v>1004.1</v>
      </c>
      <c r="E3882" s="9">
        <f>IFERROR(__xludf.DUMMYFUNCTION("""COMPUTED_VALUE"""),1009.0)</f>
        <v>1009</v>
      </c>
      <c r="F3882" s="9">
        <f>IFERROR(__xludf.DUMMYFUNCTION("""COMPUTED_VALUE"""),8708572.0)</f>
        <v>8708572</v>
      </c>
      <c r="H3882" s="27">
        <f>IFERROR(__xludf.DUMMYFUNCTION("""COMPUTED_VALUE"""),44104.64583333333)</f>
        <v>44104.64583</v>
      </c>
      <c r="I3882" s="25">
        <f>IFERROR(__xludf.DUMMYFUNCTION("""COMPUTED_VALUE"""),2489.0)</f>
        <v>2489</v>
      </c>
      <c r="J3882" s="25">
        <f>IFERROR(__xludf.DUMMYFUNCTION("""COMPUTED_VALUE"""),2505.0)</f>
        <v>2505</v>
      </c>
      <c r="K3882" s="25">
        <f>IFERROR(__xludf.DUMMYFUNCTION("""COMPUTED_VALUE"""),2460.0)</f>
        <v>2460</v>
      </c>
      <c r="L3882" s="25">
        <f>IFERROR(__xludf.DUMMYFUNCTION("""COMPUTED_VALUE"""),2492.3)</f>
        <v>2492.3</v>
      </c>
      <c r="M3882" s="25">
        <f>IFERROR(__xludf.DUMMYFUNCTION("""COMPUTED_VALUE"""),3917186.0)</f>
        <v>3917186</v>
      </c>
    </row>
    <row r="3883">
      <c r="A3883" s="26">
        <f>IFERROR(__xludf.DUMMYFUNCTION("""COMPUTED_VALUE"""),44104.64583333333)</f>
        <v>44104.64583</v>
      </c>
      <c r="B3883" s="9">
        <f>IFERROR(__xludf.DUMMYFUNCTION("""COMPUTED_VALUE"""),1009.0)</f>
        <v>1009</v>
      </c>
      <c r="C3883" s="9">
        <f>IFERROR(__xludf.DUMMYFUNCTION("""COMPUTED_VALUE"""),1023.95)</f>
        <v>1023.95</v>
      </c>
      <c r="D3883" s="9">
        <f>IFERROR(__xludf.DUMMYFUNCTION("""COMPUTED_VALUE"""),1005.0)</f>
        <v>1005</v>
      </c>
      <c r="E3883" s="9">
        <f>IFERROR(__xludf.DUMMYFUNCTION("""COMPUTED_VALUE"""),1008.25)</f>
        <v>1008.25</v>
      </c>
      <c r="F3883" s="9">
        <f>IFERROR(__xludf.DUMMYFUNCTION("""COMPUTED_VALUE"""),8049899.0)</f>
        <v>8049899</v>
      </c>
      <c r="H3883" s="27">
        <f>IFERROR(__xludf.DUMMYFUNCTION("""COMPUTED_VALUE"""),44105.64583333333)</f>
        <v>44105.64583</v>
      </c>
      <c r="I3883" s="25">
        <f>IFERROR(__xludf.DUMMYFUNCTION("""COMPUTED_VALUE"""),2510.0)</f>
        <v>2510</v>
      </c>
      <c r="J3883" s="25">
        <f>IFERROR(__xludf.DUMMYFUNCTION("""COMPUTED_VALUE"""),2540.0)</f>
        <v>2540</v>
      </c>
      <c r="K3883" s="25">
        <f>IFERROR(__xludf.DUMMYFUNCTION("""COMPUTED_VALUE"""),2492.3)</f>
        <v>2492.3</v>
      </c>
      <c r="L3883" s="25">
        <f>IFERROR(__xludf.DUMMYFUNCTION("""COMPUTED_VALUE"""),2523.45)</f>
        <v>2523.45</v>
      </c>
      <c r="M3883" s="25">
        <f>IFERROR(__xludf.DUMMYFUNCTION("""COMPUTED_VALUE"""),2610338.0)</f>
        <v>2610338</v>
      </c>
    </row>
    <row r="3884">
      <c r="A3884" s="26">
        <f>IFERROR(__xludf.DUMMYFUNCTION("""COMPUTED_VALUE"""),44105.64583333333)</f>
        <v>44105.64583</v>
      </c>
      <c r="B3884" s="9">
        <f>IFERROR(__xludf.DUMMYFUNCTION("""COMPUTED_VALUE"""),1020.6)</f>
        <v>1020.6</v>
      </c>
      <c r="C3884" s="9">
        <f>IFERROR(__xludf.DUMMYFUNCTION("""COMPUTED_VALUE"""),1026.5)</f>
        <v>1026.5</v>
      </c>
      <c r="D3884" s="9">
        <f>IFERROR(__xludf.DUMMYFUNCTION("""COMPUTED_VALUE"""),1011.75)</f>
        <v>1011.75</v>
      </c>
      <c r="E3884" s="9">
        <f>IFERROR(__xludf.DUMMYFUNCTION("""COMPUTED_VALUE"""),1017.65)</f>
        <v>1017.65</v>
      </c>
      <c r="F3884" s="9">
        <f>IFERROR(__xludf.DUMMYFUNCTION("""COMPUTED_VALUE"""),5563432.0)</f>
        <v>5563432</v>
      </c>
      <c r="H3884" s="27">
        <f>IFERROR(__xludf.DUMMYFUNCTION("""COMPUTED_VALUE"""),44109.64583333333)</f>
        <v>44109.64583</v>
      </c>
      <c r="I3884" s="25">
        <f>IFERROR(__xludf.DUMMYFUNCTION("""COMPUTED_VALUE"""),2620.0)</f>
        <v>2620</v>
      </c>
      <c r="J3884" s="25">
        <f>IFERROR(__xludf.DUMMYFUNCTION("""COMPUTED_VALUE"""),2728.1)</f>
        <v>2728.1</v>
      </c>
      <c r="K3884" s="25">
        <f>IFERROR(__xludf.DUMMYFUNCTION("""COMPUTED_VALUE"""),2603.05)</f>
        <v>2603.05</v>
      </c>
      <c r="L3884" s="25">
        <f>IFERROR(__xludf.DUMMYFUNCTION("""COMPUTED_VALUE"""),2705.8)</f>
        <v>2705.8</v>
      </c>
      <c r="M3884" s="25">
        <f>IFERROR(__xludf.DUMMYFUNCTION("""COMPUTED_VALUE"""),1.7412119E7)</f>
        <v>17412119</v>
      </c>
    </row>
    <row r="3885">
      <c r="A3885" s="26">
        <f>IFERROR(__xludf.DUMMYFUNCTION("""COMPUTED_VALUE"""),44109.64583333333)</f>
        <v>44109.64583</v>
      </c>
      <c r="B3885" s="9">
        <f>IFERROR(__xludf.DUMMYFUNCTION("""COMPUTED_VALUE"""),1018.05)</f>
        <v>1018.05</v>
      </c>
      <c r="C3885" s="9">
        <f>IFERROR(__xludf.DUMMYFUNCTION("""COMPUTED_VALUE"""),1054.9)</f>
        <v>1054.9</v>
      </c>
      <c r="D3885" s="9">
        <f>IFERROR(__xludf.DUMMYFUNCTION("""COMPUTED_VALUE"""),1018.05)</f>
        <v>1018.05</v>
      </c>
      <c r="E3885" s="9">
        <f>IFERROR(__xludf.DUMMYFUNCTION("""COMPUTED_VALUE"""),1048.7)</f>
        <v>1048.7</v>
      </c>
      <c r="F3885" s="9">
        <f>IFERROR(__xludf.DUMMYFUNCTION("""COMPUTED_VALUE"""),1.421256E7)</f>
        <v>14212560</v>
      </c>
      <c r="H3885" s="27">
        <f>IFERROR(__xludf.DUMMYFUNCTION("""COMPUTED_VALUE"""),44110.64583333333)</f>
        <v>44110.64583</v>
      </c>
      <c r="I3885" s="25">
        <f>IFERROR(__xludf.DUMMYFUNCTION("""COMPUTED_VALUE"""),2736.0)</f>
        <v>2736</v>
      </c>
      <c r="J3885" s="25">
        <f>IFERROR(__xludf.DUMMYFUNCTION("""COMPUTED_VALUE"""),2736.0)</f>
        <v>2736</v>
      </c>
      <c r="K3885" s="25">
        <f>IFERROR(__xludf.DUMMYFUNCTION("""COMPUTED_VALUE"""),2650.1)</f>
        <v>2650.1</v>
      </c>
      <c r="L3885" s="25">
        <f>IFERROR(__xludf.DUMMYFUNCTION("""COMPUTED_VALUE"""),2714.3)</f>
        <v>2714.3</v>
      </c>
      <c r="M3885" s="25">
        <f>IFERROR(__xludf.DUMMYFUNCTION("""COMPUTED_VALUE"""),9846376.0)</f>
        <v>9846376</v>
      </c>
    </row>
    <row r="3886">
      <c r="A3886" s="26">
        <f>IFERROR(__xludf.DUMMYFUNCTION("""COMPUTED_VALUE"""),44110.64583333333)</f>
        <v>44110.64583</v>
      </c>
      <c r="B3886" s="9">
        <f>IFERROR(__xludf.DUMMYFUNCTION("""COMPUTED_VALUE"""),1055.0)</f>
        <v>1055</v>
      </c>
      <c r="C3886" s="9">
        <f>IFERROR(__xludf.DUMMYFUNCTION("""COMPUTED_VALUE"""),1060.0)</f>
        <v>1060</v>
      </c>
      <c r="D3886" s="9">
        <f>IFERROR(__xludf.DUMMYFUNCTION("""COMPUTED_VALUE"""),1031.35)</f>
        <v>1031.35</v>
      </c>
      <c r="E3886" s="9">
        <f>IFERROR(__xludf.DUMMYFUNCTION("""COMPUTED_VALUE"""),1055.75)</f>
        <v>1055.75</v>
      </c>
      <c r="F3886" s="9">
        <f>IFERROR(__xludf.DUMMYFUNCTION("""COMPUTED_VALUE"""),9090819.0)</f>
        <v>9090819</v>
      </c>
      <c r="H3886" s="27">
        <f>IFERROR(__xludf.DUMMYFUNCTION("""COMPUTED_VALUE"""),44111.64583333333)</f>
        <v>44111.64583</v>
      </c>
      <c r="I3886" s="25">
        <f>IFERROR(__xludf.DUMMYFUNCTION("""COMPUTED_VALUE"""),2742.0)</f>
        <v>2742</v>
      </c>
      <c r="J3886" s="25">
        <f>IFERROR(__xludf.DUMMYFUNCTION("""COMPUTED_VALUE"""),2770.0)</f>
        <v>2770</v>
      </c>
      <c r="K3886" s="25">
        <f>IFERROR(__xludf.DUMMYFUNCTION("""COMPUTED_VALUE"""),2703.0)</f>
        <v>2703</v>
      </c>
      <c r="L3886" s="25">
        <f>IFERROR(__xludf.DUMMYFUNCTION("""COMPUTED_VALUE"""),2735.95)</f>
        <v>2735.95</v>
      </c>
      <c r="M3886" s="25">
        <f>IFERROR(__xludf.DUMMYFUNCTION("""COMPUTED_VALUE"""),9656167.0)</f>
        <v>9656167</v>
      </c>
    </row>
    <row r="3887">
      <c r="A3887" s="26">
        <f>IFERROR(__xludf.DUMMYFUNCTION("""COMPUTED_VALUE"""),44111.64583333333)</f>
        <v>44111.64583</v>
      </c>
      <c r="B3887" s="9">
        <f>IFERROR(__xludf.DUMMYFUNCTION("""COMPUTED_VALUE"""),1044.9)</f>
        <v>1044.9</v>
      </c>
      <c r="C3887" s="9">
        <f>IFERROR(__xludf.DUMMYFUNCTION("""COMPUTED_VALUE"""),1072.0)</f>
        <v>1072</v>
      </c>
      <c r="D3887" s="9">
        <f>IFERROR(__xludf.DUMMYFUNCTION("""COMPUTED_VALUE"""),1035.5)</f>
        <v>1035.5</v>
      </c>
      <c r="E3887" s="9">
        <f>IFERROR(__xludf.DUMMYFUNCTION("""COMPUTED_VALUE"""),1066.55)</f>
        <v>1066.55</v>
      </c>
      <c r="F3887" s="9">
        <f>IFERROR(__xludf.DUMMYFUNCTION("""COMPUTED_VALUE"""),9284060.0)</f>
        <v>9284060</v>
      </c>
      <c r="H3887" s="27">
        <f>IFERROR(__xludf.DUMMYFUNCTION("""COMPUTED_VALUE"""),44112.64583333333)</f>
        <v>44112.64583</v>
      </c>
      <c r="I3887" s="25">
        <f>IFERROR(__xludf.DUMMYFUNCTION("""COMPUTED_VALUE"""),2800.0)</f>
        <v>2800</v>
      </c>
      <c r="J3887" s="25">
        <f>IFERROR(__xludf.DUMMYFUNCTION("""COMPUTED_VALUE"""),2885.0)</f>
        <v>2885</v>
      </c>
      <c r="K3887" s="25">
        <f>IFERROR(__xludf.DUMMYFUNCTION("""COMPUTED_VALUE"""),2800.0)</f>
        <v>2800</v>
      </c>
      <c r="L3887" s="25">
        <f>IFERROR(__xludf.DUMMYFUNCTION("""COMPUTED_VALUE"""),2825.7)</f>
        <v>2825.7</v>
      </c>
      <c r="M3887" s="25">
        <f>IFERROR(__xludf.DUMMYFUNCTION("""COMPUTED_VALUE"""),1.9839826E7)</f>
        <v>19839826</v>
      </c>
    </row>
    <row r="3888">
      <c r="A3888" s="26">
        <f>IFERROR(__xludf.DUMMYFUNCTION("""COMPUTED_VALUE"""),44112.64583333333)</f>
        <v>44112.64583</v>
      </c>
      <c r="B3888" s="9">
        <f>IFERROR(__xludf.DUMMYFUNCTION("""COMPUTED_VALUE"""),1090.0)</f>
        <v>1090</v>
      </c>
      <c r="C3888" s="9">
        <f>IFERROR(__xludf.DUMMYFUNCTION("""COMPUTED_VALUE"""),1124.0)</f>
        <v>1124</v>
      </c>
      <c r="D3888" s="9">
        <f>IFERROR(__xludf.DUMMYFUNCTION("""COMPUTED_VALUE"""),1088.4)</f>
        <v>1088.4</v>
      </c>
      <c r="E3888" s="9">
        <f>IFERROR(__xludf.DUMMYFUNCTION("""COMPUTED_VALUE"""),1093.7)</f>
        <v>1093.7</v>
      </c>
      <c r="F3888" s="9">
        <f>IFERROR(__xludf.DUMMYFUNCTION("""COMPUTED_VALUE"""),2.1483024E7)</f>
        <v>21483024</v>
      </c>
      <c r="H3888" s="27">
        <f>IFERROR(__xludf.DUMMYFUNCTION("""COMPUTED_VALUE"""),44113.64583333333)</f>
        <v>44113.64583</v>
      </c>
      <c r="I3888" s="25">
        <f>IFERROR(__xludf.DUMMYFUNCTION("""COMPUTED_VALUE"""),2810.0)</f>
        <v>2810</v>
      </c>
      <c r="J3888" s="25">
        <f>IFERROR(__xludf.DUMMYFUNCTION("""COMPUTED_VALUE"""),2829.85)</f>
        <v>2829.85</v>
      </c>
      <c r="K3888" s="25">
        <f>IFERROR(__xludf.DUMMYFUNCTION("""COMPUTED_VALUE"""),2780.0)</f>
        <v>2780</v>
      </c>
      <c r="L3888" s="25">
        <f>IFERROR(__xludf.DUMMYFUNCTION("""COMPUTED_VALUE"""),2812.95)</f>
        <v>2812.95</v>
      </c>
      <c r="M3888" s="25">
        <f>IFERROR(__xludf.DUMMYFUNCTION("""COMPUTED_VALUE"""),7739375.0)</f>
        <v>7739375</v>
      </c>
    </row>
    <row r="3889">
      <c r="A3889" s="26">
        <f>IFERROR(__xludf.DUMMYFUNCTION("""COMPUTED_VALUE"""),44113.64583333333)</f>
        <v>44113.64583</v>
      </c>
      <c r="B3889" s="9">
        <f>IFERROR(__xludf.DUMMYFUNCTION("""COMPUTED_VALUE"""),1095.1)</f>
        <v>1095.1</v>
      </c>
      <c r="C3889" s="9">
        <f>IFERROR(__xludf.DUMMYFUNCTION("""COMPUTED_VALUE"""),1113.3)</f>
        <v>1113.3</v>
      </c>
      <c r="D3889" s="9">
        <f>IFERROR(__xludf.DUMMYFUNCTION("""COMPUTED_VALUE"""),1088.45)</f>
        <v>1088.45</v>
      </c>
      <c r="E3889" s="9">
        <f>IFERROR(__xludf.DUMMYFUNCTION("""COMPUTED_VALUE"""),1106.8)</f>
        <v>1106.8</v>
      </c>
      <c r="F3889" s="9">
        <f>IFERROR(__xludf.DUMMYFUNCTION("""COMPUTED_VALUE"""),1.0567955E7)</f>
        <v>10567955</v>
      </c>
      <c r="H3889" s="27">
        <f>IFERROR(__xludf.DUMMYFUNCTION("""COMPUTED_VALUE"""),44116.64583333333)</f>
        <v>44116.64583</v>
      </c>
      <c r="I3889" s="25">
        <f>IFERROR(__xludf.DUMMYFUNCTION("""COMPUTED_VALUE"""),2815.5)</f>
        <v>2815.5</v>
      </c>
      <c r="J3889" s="25">
        <f>IFERROR(__xludf.DUMMYFUNCTION("""COMPUTED_VALUE"""),2854.0)</f>
        <v>2854</v>
      </c>
      <c r="K3889" s="25">
        <f>IFERROR(__xludf.DUMMYFUNCTION("""COMPUTED_VALUE"""),2800.75)</f>
        <v>2800.75</v>
      </c>
      <c r="L3889" s="25">
        <f>IFERROR(__xludf.DUMMYFUNCTION("""COMPUTED_VALUE"""),2830.0)</f>
        <v>2830</v>
      </c>
      <c r="M3889" s="25">
        <f>IFERROR(__xludf.DUMMYFUNCTION("""COMPUTED_VALUE"""),4623211.0)</f>
        <v>4623211</v>
      </c>
    </row>
    <row r="3890">
      <c r="A3890" s="26">
        <f>IFERROR(__xludf.DUMMYFUNCTION("""COMPUTED_VALUE"""),44116.64583333333)</f>
        <v>44116.64583</v>
      </c>
      <c r="B3890" s="9">
        <f>IFERROR(__xludf.DUMMYFUNCTION("""COMPUTED_VALUE"""),1123.0)</f>
        <v>1123</v>
      </c>
      <c r="C3890" s="9">
        <f>IFERROR(__xludf.DUMMYFUNCTION("""COMPUTED_VALUE"""),1140.0)</f>
        <v>1140</v>
      </c>
      <c r="D3890" s="9">
        <f>IFERROR(__xludf.DUMMYFUNCTION("""COMPUTED_VALUE"""),1112.1)</f>
        <v>1112.1</v>
      </c>
      <c r="E3890" s="9">
        <f>IFERROR(__xludf.DUMMYFUNCTION("""COMPUTED_VALUE"""),1132.1)</f>
        <v>1132.1</v>
      </c>
      <c r="F3890" s="9">
        <f>IFERROR(__xludf.DUMMYFUNCTION("""COMPUTED_VALUE"""),1.463378E7)</f>
        <v>14633780</v>
      </c>
      <c r="H3890" s="27">
        <f>IFERROR(__xludf.DUMMYFUNCTION("""COMPUTED_VALUE"""),44117.64583333333)</f>
        <v>44117.64583</v>
      </c>
      <c r="I3890" s="25">
        <f>IFERROR(__xludf.DUMMYFUNCTION("""COMPUTED_VALUE"""),2845.0)</f>
        <v>2845</v>
      </c>
      <c r="J3890" s="25">
        <f>IFERROR(__xludf.DUMMYFUNCTION("""COMPUTED_VALUE"""),2854.9)</f>
        <v>2854.9</v>
      </c>
      <c r="K3890" s="25">
        <f>IFERROR(__xludf.DUMMYFUNCTION("""COMPUTED_VALUE"""),2812.2)</f>
        <v>2812.2</v>
      </c>
      <c r="L3890" s="25">
        <f>IFERROR(__xludf.DUMMYFUNCTION("""COMPUTED_VALUE"""),2826.55)</f>
        <v>2826.55</v>
      </c>
      <c r="M3890" s="25">
        <f>IFERROR(__xludf.DUMMYFUNCTION("""COMPUTED_VALUE"""),4209905.0)</f>
        <v>4209905</v>
      </c>
    </row>
    <row r="3891">
      <c r="A3891" s="26">
        <f>IFERROR(__xludf.DUMMYFUNCTION("""COMPUTED_VALUE"""),44117.64583333333)</f>
        <v>44117.64583</v>
      </c>
      <c r="B3891" s="9">
        <f>IFERROR(__xludf.DUMMYFUNCTION("""COMPUTED_VALUE"""),1135.55)</f>
        <v>1135.55</v>
      </c>
      <c r="C3891" s="9">
        <f>IFERROR(__xludf.DUMMYFUNCTION("""COMPUTED_VALUE"""),1166.05)</f>
        <v>1166.05</v>
      </c>
      <c r="D3891" s="9">
        <f>IFERROR(__xludf.DUMMYFUNCTION("""COMPUTED_VALUE"""),1135.55)</f>
        <v>1135.55</v>
      </c>
      <c r="E3891" s="9">
        <f>IFERROR(__xludf.DUMMYFUNCTION("""COMPUTED_VALUE"""),1157.8)</f>
        <v>1157.8</v>
      </c>
      <c r="F3891" s="9">
        <f>IFERROR(__xludf.DUMMYFUNCTION("""COMPUTED_VALUE"""),1.7524137E7)</f>
        <v>17524137</v>
      </c>
      <c r="H3891" s="27">
        <f>IFERROR(__xludf.DUMMYFUNCTION("""COMPUTED_VALUE"""),44118.64583333333)</f>
        <v>44118.64583</v>
      </c>
      <c r="I3891" s="25">
        <f>IFERROR(__xludf.DUMMYFUNCTION("""COMPUTED_VALUE"""),2842.0)</f>
        <v>2842</v>
      </c>
      <c r="J3891" s="25">
        <f>IFERROR(__xludf.DUMMYFUNCTION("""COMPUTED_VALUE"""),2842.0)</f>
        <v>2842</v>
      </c>
      <c r="K3891" s="25">
        <f>IFERROR(__xludf.DUMMYFUNCTION("""COMPUTED_VALUE"""),2787.55)</f>
        <v>2787.55</v>
      </c>
      <c r="L3891" s="25">
        <f>IFERROR(__xludf.DUMMYFUNCTION("""COMPUTED_VALUE"""),2809.6)</f>
        <v>2809.6</v>
      </c>
      <c r="M3891" s="25">
        <f>IFERROR(__xludf.DUMMYFUNCTION("""COMPUTED_VALUE"""),4395979.0)</f>
        <v>4395979</v>
      </c>
    </row>
    <row r="3892">
      <c r="A3892" s="26">
        <f>IFERROR(__xludf.DUMMYFUNCTION("""COMPUTED_VALUE"""),44118.64583333333)</f>
        <v>44118.64583</v>
      </c>
      <c r="B3892" s="9">
        <f>IFERROR(__xludf.DUMMYFUNCTION("""COMPUTED_VALUE"""),1162.0)</f>
        <v>1162</v>
      </c>
      <c r="C3892" s="9">
        <f>IFERROR(__xludf.DUMMYFUNCTION("""COMPUTED_VALUE"""),1164.9)</f>
        <v>1164.9</v>
      </c>
      <c r="D3892" s="9">
        <f>IFERROR(__xludf.DUMMYFUNCTION("""COMPUTED_VALUE"""),1131.1)</f>
        <v>1131.1</v>
      </c>
      <c r="E3892" s="9">
        <f>IFERROR(__xludf.DUMMYFUNCTION("""COMPUTED_VALUE"""),1137.0)</f>
        <v>1137</v>
      </c>
      <c r="F3892" s="9">
        <f>IFERROR(__xludf.DUMMYFUNCTION("""COMPUTED_VALUE"""),1.6649731E7)</f>
        <v>16649731</v>
      </c>
      <c r="H3892" s="27">
        <f>IFERROR(__xludf.DUMMYFUNCTION("""COMPUTED_VALUE"""),44119.64583333333)</f>
        <v>44119.64583</v>
      </c>
      <c r="I3892" s="25">
        <f>IFERROR(__xludf.DUMMYFUNCTION("""COMPUTED_VALUE"""),2811.0)</f>
        <v>2811</v>
      </c>
      <c r="J3892" s="25">
        <f>IFERROR(__xludf.DUMMYFUNCTION("""COMPUTED_VALUE"""),2827.75)</f>
        <v>2827.75</v>
      </c>
      <c r="K3892" s="25">
        <f>IFERROR(__xludf.DUMMYFUNCTION("""COMPUTED_VALUE"""),2727.0)</f>
        <v>2727</v>
      </c>
      <c r="L3892" s="25">
        <f>IFERROR(__xludf.DUMMYFUNCTION("""COMPUTED_VALUE"""),2740.6)</f>
        <v>2740.6</v>
      </c>
      <c r="M3892" s="25">
        <f>IFERROR(__xludf.DUMMYFUNCTION("""COMPUTED_VALUE"""),6629395.0)</f>
        <v>6629395</v>
      </c>
    </row>
    <row r="3893">
      <c r="A3893" s="26">
        <f>IFERROR(__xludf.DUMMYFUNCTION("""COMPUTED_VALUE"""),44119.64583333333)</f>
        <v>44119.64583</v>
      </c>
      <c r="B3893" s="9">
        <f>IFERROR(__xludf.DUMMYFUNCTION("""COMPUTED_VALUE"""),1180.0)</f>
        <v>1180</v>
      </c>
      <c r="C3893" s="9">
        <f>IFERROR(__xludf.DUMMYFUNCTION("""COMPUTED_VALUE"""),1186.0)</f>
        <v>1186</v>
      </c>
      <c r="D3893" s="9">
        <f>IFERROR(__xludf.DUMMYFUNCTION("""COMPUTED_VALUE"""),1092.5)</f>
        <v>1092.5</v>
      </c>
      <c r="E3893" s="9">
        <f>IFERROR(__xludf.DUMMYFUNCTION("""COMPUTED_VALUE"""),1108.25)</f>
        <v>1108.25</v>
      </c>
      <c r="F3893" s="9">
        <f>IFERROR(__xludf.DUMMYFUNCTION("""COMPUTED_VALUE"""),4.4288566E7)</f>
        <v>44288566</v>
      </c>
      <c r="H3893" s="27">
        <f>IFERROR(__xludf.DUMMYFUNCTION("""COMPUTED_VALUE"""),44120.64583333333)</f>
        <v>44120.64583</v>
      </c>
      <c r="I3893" s="25">
        <f>IFERROR(__xludf.DUMMYFUNCTION("""COMPUTED_VALUE"""),2750.1)</f>
        <v>2750.1</v>
      </c>
      <c r="J3893" s="25">
        <f>IFERROR(__xludf.DUMMYFUNCTION("""COMPUTED_VALUE"""),2771.65)</f>
        <v>2771.65</v>
      </c>
      <c r="K3893" s="25">
        <f>IFERROR(__xludf.DUMMYFUNCTION("""COMPUTED_VALUE"""),2731.3)</f>
        <v>2731.3</v>
      </c>
      <c r="L3893" s="25">
        <f>IFERROR(__xludf.DUMMYFUNCTION("""COMPUTED_VALUE"""),2763.3)</f>
        <v>2763.3</v>
      </c>
      <c r="M3893" s="25">
        <f>IFERROR(__xludf.DUMMYFUNCTION("""COMPUTED_VALUE"""),5273773.0)</f>
        <v>5273773</v>
      </c>
    </row>
    <row r="3894">
      <c r="A3894" s="26">
        <f>IFERROR(__xludf.DUMMYFUNCTION("""COMPUTED_VALUE"""),44120.64583333333)</f>
        <v>44120.64583</v>
      </c>
      <c r="B3894" s="9">
        <f>IFERROR(__xludf.DUMMYFUNCTION("""COMPUTED_VALUE"""),1113.85)</f>
        <v>1113.85</v>
      </c>
      <c r="C3894" s="9">
        <f>IFERROR(__xludf.DUMMYFUNCTION("""COMPUTED_VALUE"""),1135.95)</f>
        <v>1135.95</v>
      </c>
      <c r="D3894" s="9">
        <f>IFERROR(__xludf.DUMMYFUNCTION("""COMPUTED_VALUE"""),1096.9)</f>
        <v>1096.9</v>
      </c>
      <c r="E3894" s="9">
        <f>IFERROR(__xludf.DUMMYFUNCTION("""COMPUTED_VALUE"""),1127.5)</f>
        <v>1127.5</v>
      </c>
      <c r="F3894" s="9">
        <f>IFERROR(__xludf.DUMMYFUNCTION("""COMPUTED_VALUE"""),1.8366133E7)</f>
        <v>18366133</v>
      </c>
      <c r="H3894" s="27">
        <f>IFERROR(__xludf.DUMMYFUNCTION("""COMPUTED_VALUE"""),44123.64583333333)</f>
        <v>44123.64583</v>
      </c>
      <c r="I3894" s="25">
        <f>IFERROR(__xludf.DUMMYFUNCTION("""COMPUTED_VALUE"""),2774.0)</f>
        <v>2774</v>
      </c>
      <c r="J3894" s="25">
        <f>IFERROR(__xludf.DUMMYFUNCTION("""COMPUTED_VALUE"""),2774.0)</f>
        <v>2774</v>
      </c>
      <c r="K3894" s="25">
        <f>IFERROR(__xludf.DUMMYFUNCTION("""COMPUTED_VALUE"""),2706.6)</f>
        <v>2706.6</v>
      </c>
      <c r="L3894" s="25">
        <f>IFERROR(__xludf.DUMMYFUNCTION("""COMPUTED_VALUE"""),2711.55)</f>
        <v>2711.55</v>
      </c>
      <c r="M3894" s="25">
        <f>IFERROR(__xludf.DUMMYFUNCTION("""COMPUTED_VALUE"""),3331194.0)</f>
        <v>3331194</v>
      </c>
    </row>
    <row r="3895">
      <c r="A3895" s="26">
        <f>IFERROR(__xludf.DUMMYFUNCTION("""COMPUTED_VALUE"""),44123.64583333333)</f>
        <v>44123.64583</v>
      </c>
      <c r="B3895" s="9">
        <f>IFERROR(__xludf.DUMMYFUNCTION("""COMPUTED_VALUE"""),1135.0)</f>
        <v>1135</v>
      </c>
      <c r="C3895" s="9">
        <f>IFERROR(__xludf.DUMMYFUNCTION("""COMPUTED_VALUE"""),1139.0)</f>
        <v>1139</v>
      </c>
      <c r="D3895" s="9">
        <f>IFERROR(__xludf.DUMMYFUNCTION("""COMPUTED_VALUE"""),1115.3)</f>
        <v>1115.3</v>
      </c>
      <c r="E3895" s="9">
        <f>IFERROR(__xludf.DUMMYFUNCTION("""COMPUTED_VALUE"""),1125.9)</f>
        <v>1125.9</v>
      </c>
      <c r="F3895" s="9">
        <f>IFERROR(__xludf.DUMMYFUNCTION("""COMPUTED_VALUE"""),1.2902146E7)</f>
        <v>12902146</v>
      </c>
      <c r="H3895" s="27">
        <f>IFERROR(__xludf.DUMMYFUNCTION("""COMPUTED_VALUE"""),44124.64583333333)</f>
        <v>44124.64583</v>
      </c>
      <c r="I3895" s="25">
        <f>IFERROR(__xludf.DUMMYFUNCTION("""COMPUTED_VALUE"""),2725.0)</f>
        <v>2725</v>
      </c>
      <c r="J3895" s="25">
        <f>IFERROR(__xludf.DUMMYFUNCTION("""COMPUTED_VALUE"""),2759.9)</f>
        <v>2759.9</v>
      </c>
      <c r="K3895" s="25">
        <f>IFERROR(__xludf.DUMMYFUNCTION("""COMPUTED_VALUE"""),2717.95)</f>
        <v>2717.95</v>
      </c>
      <c r="L3895" s="25">
        <f>IFERROR(__xludf.DUMMYFUNCTION("""COMPUTED_VALUE"""),2739.0)</f>
        <v>2739</v>
      </c>
      <c r="M3895" s="25">
        <f>IFERROR(__xludf.DUMMYFUNCTION("""COMPUTED_VALUE"""),3406298.0)</f>
        <v>3406298</v>
      </c>
    </row>
    <row r="3896">
      <c r="A3896" s="26">
        <f>IFERROR(__xludf.DUMMYFUNCTION("""COMPUTED_VALUE"""),44124.64583333333)</f>
        <v>44124.64583</v>
      </c>
      <c r="B3896" s="9">
        <f>IFERROR(__xludf.DUMMYFUNCTION("""COMPUTED_VALUE"""),1118.9)</f>
        <v>1118.9</v>
      </c>
      <c r="C3896" s="9">
        <f>IFERROR(__xludf.DUMMYFUNCTION("""COMPUTED_VALUE"""),1144.7)</f>
        <v>1144.7</v>
      </c>
      <c r="D3896" s="9">
        <f>IFERROR(__xludf.DUMMYFUNCTION("""COMPUTED_VALUE"""),1110.0)</f>
        <v>1110</v>
      </c>
      <c r="E3896" s="9">
        <f>IFERROR(__xludf.DUMMYFUNCTION("""COMPUTED_VALUE"""),1137.5)</f>
        <v>1137.5</v>
      </c>
      <c r="F3896" s="9">
        <f>IFERROR(__xludf.DUMMYFUNCTION("""COMPUTED_VALUE"""),1.0448852E7)</f>
        <v>10448852</v>
      </c>
      <c r="H3896" s="27">
        <f>IFERROR(__xludf.DUMMYFUNCTION("""COMPUTED_VALUE"""),44125.64583333333)</f>
        <v>44125.64583</v>
      </c>
      <c r="I3896" s="25">
        <f>IFERROR(__xludf.DUMMYFUNCTION("""COMPUTED_VALUE"""),2739.0)</f>
        <v>2739</v>
      </c>
      <c r="J3896" s="25">
        <f>IFERROR(__xludf.DUMMYFUNCTION("""COMPUTED_VALUE"""),2749.0)</f>
        <v>2749</v>
      </c>
      <c r="K3896" s="25">
        <f>IFERROR(__xludf.DUMMYFUNCTION("""COMPUTED_VALUE"""),2663.05)</f>
        <v>2663.05</v>
      </c>
      <c r="L3896" s="25">
        <f>IFERROR(__xludf.DUMMYFUNCTION("""COMPUTED_VALUE"""),2675.4)</f>
        <v>2675.4</v>
      </c>
      <c r="M3896" s="25">
        <f>IFERROR(__xludf.DUMMYFUNCTION("""COMPUTED_VALUE"""),4570175.0)</f>
        <v>4570175</v>
      </c>
    </row>
    <row r="3897">
      <c r="A3897" s="26">
        <f>IFERROR(__xludf.DUMMYFUNCTION("""COMPUTED_VALUE"""),44125.64583333333)</f>
        <v>44125.64583</v>
      </c>
      <c r="B3897" s="9">
        <f>IFERROR(__xludf.DUMMYFUNCTION("""COMPUTED_VALUE"""),1141.15)</f>
        <v>1141.15</v>
      </c>
      <c r="C3897" s="9">
        <f>IFERROR(__xludf.DUMMYFUNCTION("""COMPUTED_VALUE"""),1154.35)</f>
        <v>1154.35</v>
      </c>
      <c r="D3897" s="9">
        <f>IFERROR(__xludf.DUMMYFUNCTION("""COMPUTED_VALUE"""),1135.0)</f>
        <v>1135</v>
      </c>
      <c r="E3897" s="9">
        <f>IFERROR(__xludf.DUMMYFUNCTION("""COMPUTED_VALUE"""),1148.35)</f>
        <v>1148.35</v>
      </c>
      <c r="F3897" s="9">
        <f>IFERROR(__xludf.DUMMYFUNCTION("""COMPUTED_VALUE"""),1.9811809E7)</f>
        <v>19811809</v>
      </c>
      <c r="H3897" s="27">
        <f>IFERROR(__xludf.DUMMYFUNCTION("""COMPUTED_VALUE"""),44126.64583333333)</f>
        <v>44126.64583</v>
      </c>
      <c r="I3897" s="25">
        <f>IFERROR(__xludf.DUMMYFUNCTION("""COMPUTED_VALUE"""),2661.0)</f>
        <v>2661</v>
      </c>
      <c r="J3897" s="25">
        <f>IFERROR(__xludf.DUMMYFUNCTION("""COMPUTED_VALUE"""),2686.65)</f>
        <v>2686.65</v>
      </c>
      <c r="K3897" s="25">
        <f>IFERROR(__xludf.DUMMYFUNCTION("""COMPUTED_VALUE"""),2638.1)</f>
        <v>2638.1</v>
      </c>
      <c r="L3897" s="25">
        <f>IFERROR(__xludf.DUMMYFUNCTION("""COMPUTED_VALUE"""),2671.15)</f>
        <v>2671.15</v>
      </c>
      <c r="M3897" s="25">
        <f>IFERROR(__xludf.DUMMYFUNCTION("""COMPUTED_VALUE"""),5262311.0)</f>
        <v>5262311</v>
      </c>
    </row>
    <row r="3898">
      <c r="A3898" s="26">
        <f>IFERROR(__xludf.DUMMYFUNCTION("""COMPUTED_VALUE"""),44126.64583333333)</f>
        <v>44126.64583</v>
      </c>
      <c r="B3898" s="9">
        <f>IFERROR(__xludf.DUMMYFUNCTION("""COMPUTED_VALUE"""),1142.0)</f>
        <v>1142</v>
      </c>
      <c r="C3898" s="9">
        <f>IFERROR(__xludf.DUMMYFUNCTION("""COMPUTED_VALUE"""),1158.0)</f>
        <v>1158</v>
      </c>
      <c r="D3898" s="9">
        <f>IFERROR(__xludf.DUMMYFUNCTION("""COMPUTED_VALUE"""),1123.8)</f>
        <v>1123.8</v>
      </c>
      <c r="E3898" s="9">
        <f>IFERROR(__xludf.DUMMYFUNCTION("""COMPUTED_VALUE"""),1129.05)</f>
        <v>1129.05</v>
      </c>
      <c r="F3898" s="9">
        <f>IFERROR(__xludf.DUMMYFUNCTION("""COMPUTED_VALUE"""),1.1271538E7)</f>
        <v>11271538</v>
      </c>
      <c r="H3898" s="27">
        <f>IFERROR(__xludf.DUMMYFUNCTION("""COMPUTED_VALUE"""),44127.64583333333)</f>
        <v>44127.64583</v>
      </c>
      <c r="I3898" s="25">
        <f>IFERROR(__xludf.DUMMYFUNCTION("""COMPUTED_VALUE"""),2687.8)</f>
        <v>2687.8</v>
      </c>
      <c r="J3898" s="25">
        <f>IFERROR(__xludf.DUMMYFUNCTION("""COMPUTED_VALUE"""),2702.0)</f>
        <v>2702</v>
      </c>
      <c r="K3898" s="25">
        <f>IFERROR(__xludf.DUMMYFUNCTION("""COMPUTED_VALUE"""),2670.1)</f>
        <v>2670.1</v>
      </c>
      <c r="L3898" s="25">
        <f>IFERROR(__xludf.DUMMYFUNCTION("""COMPUTED_VALUE"""),2686.8)</f>
        <v>2686.8</v>
      </c>
      <c r="M3898" s="25">
        <f>IFERROR(__xludf.DUMMYFUNCTION("""COMPUTED_VALUE"""),3499372.0)</f>
        <v>3499372</v>
      </c>
    </row>
    <row r="3899">
      <c r="A3899" s="26">
        <f>IFERROR(__xludf.DUMMYFUNCTION("""COMPUTED_VALUE"""),44127.64583333333)</f>
        <v>44127.64583</v>
      </c>
      <c r="B3899" s="9">
        <f>IFERROR(__xludf.DUMMYFUNCTION("""COMPUTED_VALUE"""),1133.0)</f>
        <v>1133</v>
      </c>
      <c r="C3899" s="9">
        <f>IFERROR(__xludf.DUMMYFUNCTION("""COMPUTED_VALUE"""),1135.0)</f>
        <v>1135</v>
      </c>
      <c r="D3899" s="9">
        <f>IFERROR(__xludf.DUMMYFUNCTION("""COMPUTED_VALUE"""),1120.15)</f>
        <v>1120.15</v>
      </c>
      <c r="E3899" s="9">
        <f>IFERROR(__xludf.DUMMYFUNCTION("""COMPUTED_VALUE"""),1122.5)</f>
        <v>1122.5</v>
      </c>
      <c r="F3899" s="9">
        <f>IFERROR(__xludf.DUMMYFUNCTION("""COMPUTED_VALUE"""),9070121.0)</f>
        <v>9070121</v>
      </c>
      <c r="H3899" s="27">
        <f>IFERROR(__xludf.DUMMYFUNCTION("""COMPUTED_VALUE"""),44130.64583333333)</f>
        <v>44130.64583</v>
      </c>
      <c r="I3899" s="25">
        <f>IFERROR(__xludf.DUMMYFUNCTION("""COMPUTED_VALUE"""),2689.95)</f>
        <v>2689.95</v>
      </c>
      <c r="J3899" s="25">
        <f>IFERROR(__xludf.DUMMYFUNCTION("""COMPUTED_VALUE"""),2709.95)</f>
        <v>2709.95</v>
      </c>
      <c r="K3899" s="25">
        <f>IFERROR(__xludf.DUMMYFUNCTION("""COMPUTED_VALUE"""),2670.5)</f>
        <v>2670.5</v>
      </c>
      <c r="L3899" s="25">
        <f>IFERROR(__xludf.DUMMYFUNCTION("""COMPUTED_VALUE"""),2688.2)</f>
        <v>2688.2</v>
      </c>
      <c r="M3899" s="25">
        <f>IFERROR(__xludf.DUMMYFUNCTION("""COMPUTED_VALUE"""),2672766.0)</f>
        <v>2672766</v>
      </c>
    </row>
    <row r="3900">
      <c r="A3900" s="26">
        <f>IFERROR(__xludf.DUMMYFUNCTION("""COMPUTED_VALUE"""),44130.64583333333)</f>
        <v>44130.64583</v>
      </c>
      <c r="B3900" s="9">
        <f>IFERROR(__xludf.DUMMYFUNCTION("""COMPUTED_VALUE"""),1122.25)</f>
        <v>1122.25</v>
      </c>
      <c r="C3900" s="9">
        <f>IFERROR(__xludf.DUMMYFUNCTION("""COMPUTED_VALUE"""),1129.6)</f>
        <v>1129.6</v>
      </c>
      <c r="D3900" s="9">
        <f>IFERROR(__xludf.DUMMYFUNCTION("""COMPUTED_VALUE"""),1103.15)</f>
        <v>1103.15</v>
      </c>
      <c r="E3900" s="9">
        <f>IFERROR(__xludf.DUMMYFUNCTION("""COMPUTED_VALUE"""),1112.45)</f>
        <v>1112.45</v>
      </c>
      <c r="F3900" s="9">
        <f>IFERROR(__xludf.DUMMYFUNCTION("""COMPUTED_VALUE"""),6309643.0)</f>
        <v>6309643</v>
      </c>
      <c r="H3900" s="27">
        <f>IFERROR(__xludf.DUMMYFUNCTION("""COMPUTED_VALUE"""),44131.64583333333)</f>
        <v>44131.64583</v>
      </c>
      <c r="I3900" s="25">
        <f>IFERROR(__xludf.DUMMYFUNCTION("""COMPUTED_VALUE"""),2699.75)</f>
        <v>2699.75</v>
      </c>
      <c r="J3900" s="25">
        <f>IFERROR(__xludf.DUMMYFUNCTION("""COMPUTED_VALUE"""),2718.15)</f>
        <v>2718.15</v>
      </c>
      <c r="K3900" s="25">
        <f>IFERROR(__xludf.DUMMYFUNCTION("""COMPUTED_VALUE"""),2624.1)</f>
        <v>2624.1</v>
      </c>
      <c r="L3900" s="25">
        <f>IFERROR(__xludf.DUMMYFUNCTION("""COMPUTED_VALUE"""),2630.15)</f>
        <v>2630.15</v>
      </c>
      <c r="M3900" s="25">
        <f>IFERROR(__xludf.DUMMYFUNCTION("""COMPUTED_VALUE"""),3537594.0)</f>
        <v>3537594</v>
      </c>
    </row>
    <row r="3901">
      <c r="A3901" s="26">
        <f>IFERROR(__xludf.DUMMYFUNCTION("""COMPUTED_VALUE"""),44131.64583333333)</f>
        <v>44131.64583</v>
      </c>
      <c r="B3901" s="9">
        <f>IFERROR(__xludf.DUMMYFUNCTION("""COMPUTED_VALUE"""),1105.7)</f>
        <v>1105.7</v>
      </c>
      <c r="C3901" s="9">
        <f>IFERROR(__xludf.DUMMYFUNCTION("""COMPUTED_VALUE"""),1109.7)</f>
        <v>1109.7</v>
      </c>
      <c r="D3901" s="9">
        <f>IFERROR(__xludf.DUMMYFUNCTION("""COMPUTED_VALUE"""),1077.15)</f>
        <v>1077.15</v>
      </c>
      <c r="E3901" s="9">
        <f>IFERROR(__xludf.DUMMYFUNCTION("""COMPUTED_VALUE"""),1090.85)</f>
        <v>1090.85</v>
      </c>
      <c r="F3901" s="9">
        <f>IFERROR(__xludf.DUMMYFUNCTION("""COMPUTED_VALUE"""),1.017253E7)</f>
        <v>10172530</v>
      </c>
      <c r="H3901" s="27">
        <f>IFERROR(__xludf.DUMMYFUNCTION("""COMPUTED_VALUE"""),44132.64583333333)</f>
        <v>44132.64583</v>
      </c>
      <c r="I3901" s="25">
        <f>IFERROR(__xludf.DUMMYFUNCTION("""COMPUTED_VALUE"""),2650.0)</f>
        <v>2650</v>
      </c>
      <c r="J3901" s="25">
        <f>IFERROR(__xludf.DUMMYFUNCTION("""COMPUTED_VALUE"""),2655.95)</f>
        <v>2655.95</v>
      </c>
      <c r="K3901" s="25">
        <f>IFERROR(__xludf.DUMMYFUNCTION("""COMPUTED_VALUE"""),2606.0)</f>
        <v>2606</v>
      </c>
      <c r="L3901" s="25">
        <f>IFERROR(__xludf.DUMMYFUNCTION("""COMPUTED_VALUE"""),2622.2)</f>
        <v>2622.2</v>
      </c>
      <c r="M3901" s="25">
        <f>IFERROR(__xludf.DUMMYFUNCTION("""COMPUTED_VALUE"""),3569515.0)</f>
        <v>3569515</v>
      </c>
    </row>
    <row r="3902">
      <c r="A3902" s="26">
        <f>IFERROR(__xludf.DUMMYFUNCTION("""COMPUTED_VALUE"""),44132.64583333333)</f>
        <v>44132.64583</v>
      </c>
      <c r="B3902" s="9">
        <f>IFERROR(__xludf.DUMMYFUNCTION("""COMPUTED_VALUE"""),1095.5)</f>
        <v>1095.5</v>
      </c>
      <c r="C3902" s="9">
        <f>IFERROR(__xludf.DUMMYFUNCTION("""COMPUTED_VALUE"""),1104.75)</f>
        <v>1104.75</v>
      </c>
      <c r="D3902" s="9">
        <f>IFERROR(__xludf.DUMMYFUNCTION("""COMPUTED_VALUE"""),1070.05)</f>
        <v>1070.05</v>
      </c>
      <c r="E3902" s="9">
        <f>IFERROR(__xludf.DUMMYFUNCTION("""COMPUTED_VALUE"""),1076.55)</f>
        <v>1076.55</v>
      </c>
      <c r="F3902" s="9">
        <f>IFERROR(__xludf.DUMMYFUNCTION("""COMPUTED_VALUE"""),7608413.0)</f>
        <v>7608413</v>
      </c>
      <c r="H3902" s="27">
        <f>IFERROR(__xludf.DUMMYFUNCTION("""COMPUTED_VALUE"""),44133.64583333333)</f>
        <v>44133.64583</v>
      </c>
      <c r="I3902" s="25">
        <f>IFERROR(__xludf.DUMMYFUNCTION("""COMPUTED_VALUE"""),2608.0)</f>
        <v>2608</v>
      </c>
      <c r="J3902" s="25">
        <f>IFERROR(__xludf.DUMMYFUNCTION("""COMPUTED_VALUE"""),2655.0)</f>
        <v>2655</v>
      </c>
      <c r="K3902" s="25">
        <f>IFERROR(__xludf.DUMMYFUNCTION("""COMPUTED_VALUE"""),2600.25)</f>
        <v>2600.25</v>
      </c>
      <c r="L3902" s="25">
        <f>IFERROR(__xludf.DUMMYFUNCTION("""COMPUTED_VALUE"""),2632.65)</f>
        <v>2632.65</v>
      </c>
      <c r="M3902" s="25">
        <f>IFERROR(__xludf.DUMMYFUNCTION("""COMPUTED_VALUE"""),3105970.0)</f>
        <v>3105970</v>
      </c>
    </row>
    <row r="3903">
      <c r="A3903" s="26">
        <f>IFERROR(__xludf.DUMMYFUNCTION("""COMPUTED_VALUE"""),44133.64583333333)</f>
        <v>44133.64583</v>
      </c>
      <c r="B3903" s="9">
        <f>IFERROR(__xludf.DUMMYFUNCTION("""COMPUTED_VALUE"""),1070.0)</f>
        <v>1070</v>
      </c>
      <c r="C3903" s="9">
        <f>IFERROR(__xludf.DUMMYFUNCTION("""COMPUTED_VALUE"""),1082.0)</f>
        <v>1082</v>
      </c>
      <c r="D3903" s="9">
        <f>IFERROR(__xludf.DUMMYFUNCTION("""COMPUTED_VALUE"""),1060.1)</f>
        <v>1060.1</v>
      </c>
      <c r="E3903" s="9">
        <f>IFERROR(__xludf.DUMMYFUNCTION("""COMPUTED_VALUE"""),1074.85)</f>
        <v>1074.85</v>
      </c>
      <c r="F3903" s="9">
        <f>IFERROR(__xludf.DUMMYFUNCTION("""COMPUTED_VALUE"""),6935804.0)</f>
        <v>6935804</v>
      </c>
      <c r="H3903" s="27">
        <f>IFERROR(__xludf.DUMMYFUNCTION("""COMPUTED_VALUE"""),44134.64583333333)</f>
        <v>44134.64583</v>
      </c>
      <c r="I3903" s="25">
        <f>IFERROR(__xludf.DUMMYFUNCTION("""COMPUTED_VALUE"""),2636.1)</f>
        <v>2636.1</v>
      </c>
      <c r="J3903" s="25">
        <f>IFERROR(__xludf.DUMMYFUNCTION("""COMPUTED_VALUE"""),2674.35)</f>
        <v>2674.35</v>
      </c>
      <c r="K3903" s="25">
        <f>IFERROR(__xludf.DUMMYFUNCTION("""COMPUTED_VALUE"""),2621.6)</f>
        <v>2621.6</v>
      </c>
      <c r="L3903" s="25">
        <f>IFERROR(__xludf.DUMMYFUNCTION("""COMPUTED_VALUE"""),2664.85)</f>
        <v>2664.85</v>
      </c>
      <c r="M3903" s="25">
        <f>IFERROR(__xludf.DUMMYFUNCTION("""COMPUTED_VALUE"""),3427003.0)</f>
        <v>3427003</v>
      </c>
    </row>
    <row r="3904">
      <c r="A3904" s="26">
        <f>IFERROR(__xludf.DUMMYFUNCTION("""COMPUTED_VALUE"""),44134.64583333333)</f>
        <v>44134.64583</v>
      </c>
      <c r="B3904" s="9">
        <f>IFERROR(__xludf.DUMMYFUNCTION("""COMPUTED_VALUE"""),1072.0)</f>
        <v>1072</v>
      </c>
      <c r="C3904" s="9">
        <f>IFERROR(__xludf.DUMMYFUNCTION("""COMPUTED_VALUE"""),1083.6)</f>
        <v>1083.6</v>
      </c>
      <c r="D3904" s="9">
        <f>IFERROR(__xludf.DUMMYFUNCTION("""COMPUTED_VALUE"""),1052.35)</f>
        <v>1052.35</v>
      </c>
      <c r="E3904" s="9">
        <f>IFERROR(__xludf.DUMMYFUNCTION("""COMPUTED_VALUE"""),1060.6)</f>
        <v>1060.6</v>
      </c>
      <c r="F3904" s="9">
        <f>IFERROR(__xludf.DUMMYFUNCTION("""COMPUTED_VALUE"""),8800436.0)</f>
        <v>8800436</v>
      </c>
      <c r="H3904" s="27">
        <f>IFERROR(__xludf.DUMMYFUNCTION("""COMPUTED_VALUE"""),44137.64583333333)</f>
        <v>44137.64583</v>
      </c>
      <c r="I3904" s="25">
        <f>IFERROR(__xludf.DUMMYFUNCTION("""COMPUTED_VALUE"""),2660.0)</f>
        <v>2660</v>
      </c>
      <c r="J3904" s="25">
        <f>IFERROR(__xludf.DUMMYFUNCTION("""COMPUTED_VALUE"""),2664.85)</f>
        <v>2664.85</v>
      </c>
      <c r="K3904" s="25">
        <f>IFERROR(__xludf.DUMMYFUNCTION("""COMPUTED_VALUE"""),2600.05)</f>
        <v>2600.05</v>
      </c>
      <c r="L3904" s="25">
        <f>IFERROR(__xludf.DUMMYFUNCTION("""COMPUTED_VALUE"""),2604.6)</f>
        <v>2604.6</v>
      </c>
      <c r="M3904" s="25">
        <f>IFERROR(__xludf.DUMMYFUNCTION("""COMPUTED_VALUE"""),2571196.0)</f>
        <v>2571196</v>
      </c>
    </row>
    <row r="3905">
      <c r="A3905" s="26">
        <f>IFERROR(__xludf.DUMMYFUNCTION("""COMPUTED_VALUE"""),44137.64583333333)</f>
        <v>44137.64583</v>
      </c>
      <c r="B3905" s="9">
        <f>IFERROR(__xludf.DUMMYFUNCTION("""COMPUTED_VALUE"""),1065.0)</f>
        <v>1065</v>
      </c>
      <c r="C3905" s="9">
        <f>IFERROR(__xludf.DUMMYFUNCTION("""COMPUTED_VALUE"""),1079.95)</f>
        <v>1079.95</v>
      </c>
      <c r="D3905" s="9">
        <f>IFERROR(__xludf.DUMMYFUNCTION("""COMPUTED_VALUE"""),1051.1)</f>
        <v>1051.1</v>
      </c>
      <c r="E3905" s="9">
        <f>IFERROR(__xludf.DUMMYFUNCTION("""COMPUTED_VALUE"""),1072.3)</f>
        <v>1072.3</v>
      </c>
      <c r="F3905" s="9">
        <f>IFERROR(__xludf.DUMMYFUNCTION("""COMPUTED_VALUE"""),7183119.0)</f>
        <v>7183119</v>
      </c>
      <c r="H3905" s="27">
        <f>IFERROR(__xludf.DUMMYFUNCTION("""COMPUTED_VALUE"""),44138.64583333333)</f>
        <v>44138.64583</v>
      </c>
      <c r="I3905" s="25">
        <f>IFERROR(__xludf.DUMMYFUNCTION("""COMPUTED_VALUE"""),2604.0)</f>
        <v>2604</v>
      </c>
      <c r="J3905" s="25">
        <f>IFERROR(__xludf.DUMMYFUNCTION("""COMPUTED_VALUE"""),2665.0)</f>
        <v>2665</v>
      </c>
      <c r="K3905" s="25">
        <f>IFERROR(__xludf.DUMMYFUNCTION("""COMPUTED_VALUE"""),2601.05)</f>
        <v>2601.05</v>
      </c>
      <c r="L3905" s="25">
        <f>IFERROR(__xludf.DUMMYFUNCTION("""COMPUTED_VALUE"""),2633.6)</f>
        <v>2633.6</v>
      </c>
      <c r="M3905" s="25">
        <f>IFERROR(__xludf.DUMMYFUNCTION("""COMPUTED_VALUE"""),2879269.0)</f>
        <v>2879269</v>
      </c>
    </row>
    <row r="3906">
      <c r="A3906" s="26">
        <f>IFERROR(__xludf.DUMMYFUNCTION("""COMPUTED_VALUE"""),44138.64583333333)</f>
        <v>44138.64583</v>
      </c>
      <c r="B3906" s="9">
        <f>IFERROR(__xludf.DUMMYFUNCTION("""COMPUTED_VALUE"""),1072.0)</f>
        <v>1072</v>
      </c>
      <c r="C3906" s="9">
        <f>IFERROR(__xludf.DUMMYFUNCTION("""COMPUTED_VALUE"""),1079.4)</f>
        <v>1079.4</v>
      </c>
      <c r="D3906" s="9">
        <f>IFERROR(__xludf.DUMMYFUNCTION("""COMPUTED_VALUE"""),1057.5)</f>
        <v>1057.5</v>
      </c>
      <c r="E3906" s="9">
        <f>IFERROR(__xludf.DUMMYFUNCTION("""COMPUTED_VALUE"""),1062.55)</f>
        <v>1062.55</v>
      </c>
      <c r="F3906" s="9">
        <f>IFERROR(__xludf.DUMMYFUNCTION("""COMPUTED_VALUE"""),7204782.0)</f>
        <v>7204782</v>
      </c>
      <c r="H3906" s="27">
        <f>IFERROR(__xludf.DUMMYFUNCTION("""COMPUTED_VALUE"""),44139.64583333333)</f>
        <v>44139.64583</v>
      </c>
      <c r="I3906" s="25">
        <f>IFERROR(__xludf.DUMMYFUNCTION("""COMPUTED_VALUE"""),2610.0)</f>
        <v>2610</v>
      </c>
      <c r="J3906" s="25">
        <f>IFERROR(__xludf.DUMMYFUNCTION("""COMPUTED_VALUE"""),2721.85)</f>
        <v>2721.85</v>
      </c>
      <c r="K3906" s="25">
        <f>IFERROR(__xludf.DUMMYFUNCTION("""COMPUTED_VALUE"""),2610.0)</f>
        <v>2610</v>
      </c>
      <c r="L3906" s="25">
        <f>IFERROR(__xludf.DUMMYFUNCTION("""COMPUTED_VALUE"""),2653.15)</f>
        <v>2653.15</v>
      </c>
      <c r="M3906" s="25">
        <f>IFERROR(__xludf.DUMMYFUNCTION("""COMPUTED_VALUE"""),4893928.0)</f>
        <v>4893928</v>
      </c>
    </row>
    <row r="3907">
      <c r="A3907" s="26">
        <f>IFERROR(__xludf.DUMMYFUNCTION("""COMPUTED_VALUE"""),44139.64583333333)</f>
        <v>44139.64583</v>
      </c>
      <c r="B3907" s="9">
        <f>IFERROR(__xludf.DUMMYFUNCTION("""COMPUTED_VALUE"""),1068.0)</f>
        <v>1068</v>
      </c>
      <c r="C3907" s="9">
        <f>IFERROR(__xludf.DUMMYFUNCTION("""COMPUTED_VALUE"""),1116.0)</f>
        <v>1116</v>
      </c>
      <c r="D3907" s="9">
        <f>IFERROR(__xludf.DUMMYFUNCTION("""COMPUTED_VALUE"""),1066.8)</f>
        <v>1066.8</v>
      </c>
      <c r="E3907" s="9">
        <f>IFERROR(__xludf.DUMMYFUNCTION("""COMPUTED_VALUE"""),1093.95)</f>
        <v>1093.95</v>
      </c>
      <c r="F3907" s="9">
        <f>IFERROR(__xludf.DUMMYFUNCTION("""COMPUTED_VALUE"""),1.570269E7)</f>
        <v>15702690</v>
      </c>
      <c r="H3907" s="27">
        <f>IFERROR(__xludf.DUMMYFUNCTION("""COMPUTED_VALUE"""),44140.64583333333)</f>
        <v>44140.64583</v>
      </c>
      <c r="I3907" s="25">
        <f>IFERROR(__xludf.DUMMYFUNCTION("""COMPUTED_VALUE"""),2685.0)</f>
        <v>2685</v>
      </c>
      <c r="J3907" s="25">
        <f>IFERROR(__xludf.DUMMYFUNCTION("""COMPUTED_VALUE"""),2710.0)</f>
        <v>2710</v>
      </c>
      <c r="K3907" s="25">
        <f>IFERROR(__xludf.DUMMYFUNCTION("""COMPUTED_VALUE"""),2667.0)</f>
        <v>2667</v>
      </c>
      <c r="L3907" s="25">
        <f>IFERROR(__xludf.DUMMYFUNCTION("""COMPUTED_VALUE"""),2685.7)</f>
        <v>2685.7</v>
      </c>
      <c r="M3907" s="25">
        <f>IFERROR(__xludf.DUMMYFUNCTION("""COMPUTED_VALUE"""),2816502.0)</f>
        <v>2816502</v>
      </c>
    </row>
    <row r="3908">
      <c r="A3908" s="26">
        <f>IFERROR(__xludf.DUMMYFUNCTION("""COMPUTED_VALUE"""),44140.64583333333)</f>
        <v>44140.64583</v>
      </c>
      <c r="B3908" s="9">
        <f>IFERROR(__xludf.DUMMYFUNCTION("""COMPUTED_VALUE"""),1109.9)</f>
        <v>1109.9</v>
      </c>
      <c r="C3908" s="9">
        <f>IFERROR(__xludf.DUMMYFUNCTION("""COMPUTED_VALUE"""),1123.0)</f>
        <v>1123</v>
      </c>
      <c r="D3908" s="9">
        <f>IFERROR(__xludf.DUMMYFUNCTION("""COMPUTED_VALUE"""),1099.0)</f>
        <v>1099</v>
      </c>
      <c r="E3908" s="9">
        <f>IFERROR(__xludf.DUMMYFUNCTION("""COMPUTED_VALUE"""),1104.0)</f>
        <v>1104</v>
      </c>
      <c r="F3908" s="9">
        <f>IFERROR(__xludf.DUMMYFUNCTION("""COMPUTED_VALUE"""),9568890.0)</f>
        <v>9568890</v>
      </c>
      <c r="H3908" s="27">
        <f>IFERROR(__xludf.DUMMYFUNCTION("""COMPUTED_VALUE"""),44141.64583333333)</f>
        <v>44141.64583</v>
      </c>
      <c r="I3908" s="25">
        <f>IFERROR(__xludf.DUMMYFUNCTION("""COMPUTED_VALUE"""),2699.0)</f>
        <v>2699</v>
      </c>
      <c r="J3908" s="25">
        <f>IFERROR(__xludf.DUMMYFUNCTION("""COMPUTED_VALUE"""),2713.25)</f>
        <v>2713.25</v>
      </c>
      <c r="K3908" s="25">
        <f>IFERROR(__xludf.DUMMYFUNCTION("""COMPUTED_VALUE"""),2681.3)</f>
        <v>2681.3</v>
      </c>
      <c r="L3908" s="25">
        <f>IFERROR(__xludf.DUMMYFUNCTION("""COMPUTED_VALUE"""),2707.45)</f>
        <v>2707.45</v>
      </c>
      <c r="M3908" s="25">
        <f>IFERROR(__xludf.DUMMYFUNCTION("""COMPUTED_VALUE"""),3884421.0)</f>
        <v>3884421</v>
      </c>
    </row>
    <row r="3909">
      <c r="A3909" s="26">
        <f>IFERROR(__xludf.DUMMYFUNCTION("""COMPUTED_VALUE"""),44141.64583333333)</f>
        <v>44141.64583</v>
      </c>
      <c r="B3909" s="9">
        <f>IFERROR(__xludf.DUMMYFUNCTION("""COMPUTED_VALUE"""),1108.0)</f>
        <v>1108</v>
      </c>
      <c r="C3909" s="9">
        <f>IFERROR(__xludf.DUMMYFUNCTION("""COMPUTED_VALUE"""),1121.1)</f>
        <v>1121.1</v>
      </c>
      <c r="D3909" s="9">
        <f>IFERROR(__xludf.DUMMYFUNCTION("""COMPUTED_VALUE"""),1091.7)</f>
        <v>1091.7</v>
      </c>
      <c r="E3909" s="9">
        <f>IFERROR(__xludf.DUMMYFUNCTION("""COMPUTED_VALUE"""),1112.75)</f>
        <v>1112.75</v>
      </c>
      <c r="F3909" s="9">
        <f>IFERROR(__xludf.DUMMYFUNCTION("""COMPUTED_VALUE"""),8807127.0)</f>
        <v>8807127</v>
      </c>
      <c r="H3909" s="27">
        <f>IFERROR(__xludf.DUMMYFUNCTION("""COMPUTED_VALUE"""),44144.64583333333)</f>
        <v>44144.64583</v>
      </c>
      <c r="I3909" s="25">
        <f>IFERROR(__xludf.DUMMYFUNCTION("""COMPUTED_VALUE"""),2731.1)</f>
        <v>2731.1</v>
      </c>
      <c r="J3909" s="25">
        <f>IFERROR(__xludf.DUMMYFUNCTION("""COMPUTED_VALUE"""),2744.0)</f>
        <v>2744</v>
      </c>
      <c r="K3909" s="25">
        <f>IFERROR(__xludf.DUMMYFUNCTION("""COMPUTED_VALUE"""),2695.1)</f>
        <v>2695.1</v>
      </c>
      <c r="L3909" s="25">
        <f>IFERROR(__xludf.DUMMYFUNCTION("""COMPUTED_VALUE"""),2726.6)</f>
        <v>2726.6</v>
      </c>
      <c r="M3909" s="25">
        <f>IFERROR(__xludf.DUMMYFUNCTION("""COMPUTED_VALUE"""),3646592.0)</f>
        <v>3646592</v>
      </c>
    </row>
    <row r="3910">
      <c r="A3910" s="26">
        <f>IFERROR(__xludf.DUMMYFUNCTION("""COMPUTED_VALUE"""),44144.64583333333)</f>
        <v>44144.64583</v>
      </c>
      <c r="B3910" s="9">
        <f>IFERROR(__xludf.DUMMYFUNCTION("""COMPUTED_VALUE"""),1129.3)</f>
        <v>1129.3</v>
      </c>
      <c r="C3910" s="9">
        <f>IFERROR(__xludf.DUMMYFUNCTION("""COMPUTED_VALUE"""),1146.0)</f>
        <v>1146</v>
      </c>
      <c r="D3910" s="9">
        <f>IFERROR(__xludf.DUMMYFUNCTION("""COMPUTED_VALUE"""),1121.15)</f>
        <v>1121.15</v>
      </c>
      <c r="E3910" s="9">
        <f>IFERROR(__xludf.DUMMYFUNCTION("""COMPUTED_VALUE"""),1136.55)</f>
        <v>1136.55</v>
      </c>
      <c r="F3910" s="9">
        <f>IFERROR(__xludf.DUMMYFUNCTION("""COMPUTED_VALUE"""),1.016032E7)</f>
        <v>10160320</v>
      </c>
      <c r="H3910" s="27">
        <f>IFERROR(__xludf.DUMMYFUNCTION("""COMPUTED_VALUE"""),44145.64583333333)</f>
        <v>44145.64583</v>
      </c>
      <c r="I3910" s="25">
        <f>IFERROR(__xludf.DUMMYFUNCTION("""COMPUTED_VALUE"""),2697.2)</f>
        <v>2697.2</v>
      </c>
      <c r="J3910" s="25">
        <f>IFERROR(__xludf.DUMMYFUNCTION("""COMPUTED_VALUE"""),2713.15)</f>
        <v>2713.15</v>
      </c>
      <c r="K3910" s="25">
        <f>IFERROR(__xludf.DUMMYFUNCTION("""COMPUTED_VALUE"""),2638.35)</f>
        <v>2638.35</v>
      </c>
      <c r="L3910" s="25">
        <f>IFERROR(__xludf.DUMMYFUNCTION("""COMPUTED_VALUE"""),2649.6)</f>
        <v>2649.6</v>
      </c>
      <c r="M3910" s="25">
        <f>IFERROR(__xludf.DUMMYFUNCTION("""COMPUTED_VALUE"""),4760020.0)</f>
        <v>4760020</v>
      </c>
    </row>
    <row r="3911">
      <c r="A3911" s="26">
        <f>IFERROR(__xludf.DUMMYFUNCTION("""COMPUTED_VALUE"""),44145.64583333333)</f>
        <v>44145.64583</v>
      </c>
      <c r="B3911" s="9">
        <f>IFERROR(__xludf.DUMMYFUNCTION("""COMPUTED_VALUE"""),1113.85)</f>
        <v>1113.85</v>
      </c>
      <c r="C3911" s="9">
        <f>IFERROR(__xludf.DUMMYFUNCTION("""COMPUTED_VALUE"""),1113.85)</f>
        <v>1113.85</v>
      </c>
      <c r="D3911" s="9">
        <f>IFERROR(__xludf.DUMMYFUNCTION("""COMPUTED_VALUE"""),1078.0)</f>
        <v>1078</v>
      </c>
      <c r="E3911" s="9">
        <f>IFERROR(__xludf.DUMMYFUNCTION("""COMPUTED_VALUE"""),1091.05)</f>
        <v>1091.05</v>
      </c>
      <c r="F3911" s="9">
        <f>IFERROR(__xludf.DUMMYFUNCTION("""COMPUTED_VALUE"""),1.5622869E7)</f>
        <v>15622869</v>
      </c>
      <c r="H3911" s="27">
        <f>IFERROR(__xludf.DUMMYFUNCTION("""COMPUTED_VALUE"""),44146.64583333333)</f>
        <v>44146.64583</v>
      </c>
      <c r="I3911" s="25">
        <f>IFERROR(__xludf.DUMMYFUNCTION("""COMPUTED_VALUE"""),2667.95)</f>
        <v>2667.95</v>
      </c>
      <c r="J3911" s="25">
        <f>IFERROR(__xludf.DUMMYFUNCTION("""COMPUTED_VALUE"""),2692.8)</f>
        <v>2692.8</v>
      </c>
      <c r="K3911" s="25">
        <f>IFERROR(__xludf.DUMMYFUNCTION("""COMPUTED_VALUE"""),2643.4)</f>
        <v>2643.4</v>
      </c>
      <c r="L3911" s="25">
        <f>IFERROR(__xludf.DUMMYFUNCTION("""COMPUTED_VALUE"""),2687.8)</f>
        <v>2687.8</v>
      </c>
      <c r="M3911" s="25">
        <f>IFERROR(__xludf.DUMMYFUNCTION("""COMPUTED_VALUE"""),3242441.0)</f>
        <v>3242441</v>
      </c>
    </row>
    <row r="3912">
      <c r="A3912" s="26">
        <f>IFERROR(__xludf.DUMMYFUNCTION("""COMPUTED_VALUE"""),44146.64583333333)</f>
        <v>44146.64583</v>
      </c>
      <c r="B3912" s="9">
        <f>IFERROR(__xludf.DUMMYFUNCTION("""COMPUTED_VALUE"""),1096.0)</f>
        <v>1096</v>
      </c>
      <c r="C3912" s="9">
        <f>IFERROR(__xludf.DUMMYFUNCTION("""COMPUTED_VALUE"""),1126.35)</f>
        <v>1126.35</v>
      </c>
      <c r="D3912" s="9">
        <f>IFERROR(__xludf.DUMMYFUNCTION("""COMPUTED_VALUE"""),1087.0)</f>
        <v>1087</v>
      </c>
      <c r="E3912" s="9">
        <f>IFERROR(__xludf.DUMMYFUNCTION("""COMPUTED_VALUE"""),1122.5)</f>
        <v>1122.5</v>
      </c>
      <c r="F3912" s="9">
        <f>IFERROR(__xludf.DUMMYFUNCTION("""COMPUTED_VALUE"""),1.25148E7)</f>
        <v>12514800</v>
      </c>
      <c r="H3912" s="27">
        <f>IFERROR(__xludf.DUMMYFUNCTION("""COMPUTED_VALUE"""),44147.64583333333)</f>
        <v>44147.64583</v>
      </c>
      <c r="I3912" s="25">
        <f>IFERROR(__xludf.DUMMYFUNCTION("""COMPUTED_VALUE"""),2686.0)</f>
        <v>2686</v>
      </c>
      <c r="J3912" s="25">
        <f>IFERROR(__xludf.DUMMYFUNCTION("""COMPUTED_VALUE"""),2713.0)</f>
        <v>2713</v>
      </c>
      <c r="K3912" s="25">
        <f>IFERROR(__xludf.DUMMYFUNCTION("""COMPUTED_VALUE"""),2661.75)</f>
        <v>2661.75</v>
      </c>
      <c r="L3912" s="25">
        <f>IFERROR(__xludf.DUMMYFUNCTION("""COMPUTED_VALUE"""),2671.05)</f>
        <v>2671.05</v>
      </c>
      <c r="M3912" s="25">
        <f>IFERROR(__xludf.DUMMYFUNCTION("""COMPUTED_VALUE"""),2437505.0)</f>
        <v>2437505</v>
      </c>
    </row>
    <row r="3913">
      <c r="A3913" s="26">
        <f>IFERROR(__xludf.DUMMYFUNCTION("""COMPUTED_VALUE"""),44147.64583333333)</f>
        <v>44147.64583</v>
      </c>
      <c r="B3913" s="9">
        <f>IFERROR(__xludf.DUMMYFUNCTION("""COMPUTED_VALUE"""),1128.1)</f>
        <v>1128.1</v>
      </c>
      <c r="C3913" s="9">
        <f>IFERROR(__xludf.DUMMYFUNCTION("""COMPUTED_VALUE"""),1142.0)</f>
        <v>1142</v>
      </c>
      <c r="D3913" s="9">
        <f>IFERROR(__xludf.DUMMYFUNCTION("""COMPUTED_VALUE"""),1113.75)</f>
        <v>1113.75</v>
      </c>
      <c r="E3913" s="9">
        <f>IFERROR(__xludf.DUMMYFUNCTION("""COMPUTED_VALUE"""),1117.75)</f>
        <v>1117.75</v>
      </c>
      <c r="F3913" s="9">
        <f>IFERROR(__xludf.DUMMYFUNCTION("""COMPUTED_VALUE"""),9180976.0)</f>
        <v>9180976</v>
      </c>
      <c r="H3913" s="27">
        <f>IFERROR(__xludf.DUMMYFUNCTION("""COMPUTED_VALUE"""),44148.64583333333)</f>
        <v>44148.64583</v>
      </c>
      <c r="I3913" s="25">
        <f>IFERROR(__xludf.DUMMYFUNCTION("""COMPUTED_VALUE"""),2655.75)</f>
        <v>2655.75</v>
      </c>
      <c r="J3913" s="25">
        <f>IFERROR(__xludf.DUMMYFUNCTION("""COMPUTED_VALUE"""),2664.9)</f>
        <v>2664.9</v>
      </c>
      <c r="K3913" s="25">
        <f>IFERROR(__xludf.DUMMYFUNCTION("""COMPUTED_VALUE"""),2636.0)</f>
        <v>2636</v>
      </c>
      <c r="L3913" s="25">
        <f>IFERROR(__xludf.DUMMYFUNCTION("""COMPUTED_VALUE"""),2656.85)</f>
        <v>2656.85</v>
      </c>
      <c r="M3913" s="25">
        <f>IFERROR(__xludf.DUMMYFUNCTION("""COMPUTED_VALUE"""),2548093.0)</f>
        <v>2548093</v>
      </c>
    </row>
    <row r="3914">
      <c r="A3914" s="26">
        <f>IFERROR(__xludf.DUMMYFUNCTION("""COMPUTED_VALUE"""),44148.64583333333)</f>
        <v>44148.64583</v>
      </c>
      <c r="B3914" s="9">
        <f>IFERROR(__xludf.DUMMYFUNCTION("""COMPUTED_VALUE"""),1120.0)</f>
        <v>1120</v>
      </c>
      <c r="C3914" s="9">
        <f>IFERROR(__xludf.DUMMYFUNCTION("""COMPUTED_VALUE"""),1133.0)</f>
        <v>1133</v>
      </c>
      <c r="D3914" s="9">
        <f>IFERROR(__xludf.DUMMYFUNCTION("""COMPUTED_VALUE"""),1117.0)</f>
        <v>1117</v>
      </c>
      <c r="E3914" s="9">
        <f>IFERROR(__xludf.DUMMYFUNCTION("""COMPUTED_VALUE"""),1124.2)</f>
        <v>1124.2</v>
      </c>
      <c r="F3914" s="9">
        <f>IFERROR(__xludf.DUMMYFUNCTION("""COMPUTED_VALUE"""),6363212.0)</f>
        <v>6363212</v>
      </c>
      <c r="H3914" s="27">
        <f>IFERROR(__xludf.DUMMYFUNCTION("""COMPUTED_VALUE"""),44152.64583333333)</f>
        <v>44152.64583</v>
      </c>
      <c r="I3914" s="25">
        <f>IFERROR(__xludf.DUMMYFUNCTION("""COMPUTED_VALUE"""),2695.0)</f>
        <v>2695</v>
      </c>
      <c r="J3914" s="25">
        <f>IFERROR(__xludf.DUMMYFUNCTION("""COMPUTED_VALUE"""),2695.0)</f>
        <v>2695</v>
      </c>
      <c r="K3914" s="25">
        <f>IFERROR(__xludf.DUMMYFUNCTION("""COMPUTED_VALUE"""),2650.05)</f>
        <v>2650.05</v>
      </c>
      <c r="L3914" s="25">
        <f>IFERROR(__xludf.DUMMYFUNCTION("""COMPUTED_VALUE"""),2666.05)</f>
        <v>2666.05</v>
      </c>
      <c r="M3914" s="25">
        <f>IFERROR(__xludf.DUMMYFUNCTION("""COMPUTED_VALUE"""),2827273.0)</f>
        <v>2827273</v>
      </c>
    </row>
    <row r="3915">
      <c r="A3915" s="26">
        <f>IFERROR(__xludf.DUMMYFUNCTION("""COMPUTED_VALUE"""),44152.64583333333)</f>
        <v>44152.64583</v>
      </c>
      <c r="B3915" s="9">
        <f>IFERROR(__xludf.DUMMYFUNCTION("""COMPUTED_VALUE"""),1144.75)</f>
        <v>1144.75</v>
      </c>
      <c r="C3915" s="9">
        <f>IFERROR(__xludf.DUMMYFUNCTION("""COMPUTED_VALUE"""),1145.0)</f>
        <v>1145</v>
      </c>
      <c r="D3915" s="9">
        <f>IFERROR(__xludf.DUMMYFUNCTION("""COMPUTED_VALUE"""),1112.65)</f>
        <v>1112.65</v>
      </c>
      <c r="E3915" s="9">
        <f>IFERROR(__xludf.DUMMYFUNCTION("""COMPUTED_VALUE"""),1123.7)</f>
        <v>1123.7</v>
      </c>
      <c r="F3915" s="9">
        <f>IFERROR(__xludf.DUMMYFUNCTION("""COMPUTED_VALUE"""),1.2813968E7)</f>
        <v>12813968</v>
      </c>
      <c r="H3915" s="27">
        <f>IFERROR(__xludf.DUMMYFUNCTION("""COMPUTED_VALUE"""),44153.64583333333)</f>
        <v>44153.64583</v>
      </c>
      <c r="I3915" s="25">
        <f>IFERROR(__xludf.DUMMYFUNCTION("""COMPUTED_VALUE"""),2661.0)</f>
        <v>2661</v>
      </c>
      <c r="J3915" s="25">
        <f>IFERROR(__xludf.DUMMYFUNCTION("""COMPUTED_VALUE"""),2664.2)</f>
        <v>2664.2</v>
      </c>
      <c r="K3915" s="25">
        <f>IFERROR(__xludf.DUMMYFUNCTION("""COMPUTED_VALUE"""),2607.05)</f>
        <v>2607.05</v>
      </c>
      <c r="L3915" s="25">
        <f>IFERROR(__xludf.DUMMYFUNCTION("""COMPUTED_VALUE"""),2626.65)</f>
        <v>2626.65</v>
      </c>
      <c r="M3915" s="25">
        <f>IFERROR(__xludf.DUMMYFUNCTION("""COMPUTED_VALUE"""),2893762.0)</f>
        <v>2893762</v>
      </c>
    </row>
    <row r="3916">
      <c r="A3916" s="26">
        <f>IFERROR(__xludf.DUMMYFUNCTION("""COMPUTED_VALUE"""),44153.64583333333)</f>
        <v>44153.64583</v>
      </c>
      <c r="B3916" s="9">
        <f>IFERROR(__xludf.DUMMYFUNCTION("""COMPUTED_VALUE"""),1128.5)</f>
        <v>1128.5</v>
      </c>
      <c r="C3916" s="9">
        <f>IFERROR(__xludf.DUMMYFUNCTION("""COMPUTED_VALUE"""),1132.7)</f>
        <v>1132.7</v>
      </c>
      <c r="D3916" s="9">
        <f>IFERROR(__xludf.DUMMYFUNCTION("""COMPUTED_VALUE"""),1101.45)</f>
        <v>1101.45</v>
      </c>
      <c r="E3916" s="9">
        <f>IFERROR(__xludf.DUMMYFUNCTION("""COMPUTED_VALUE"""),1110.55)</f>
        <v>1110.55</v>
      </c>
      <c r="F3916" s="9">
        <f>IFERROR(__xludf.DUMMYFUNCTION("""COMPUTED_VALUE"""),9839468.0)</f>
        <v>9839468</v>
      </c>
      <c r="H3916" s="27">
        <f>IFERROR(__xludf.DUMMYFUNCTION("""COMPUTED_VALUE"""),44154.64583333333)</f>
        <v>44154.64583</v>
      </c>
      <c r="I3916" s="25">
        <f>IFERROR(__xludf.DUMMYFUNCTION("""COMPUTED_VALUE"""),2637.0)</f>
        <v>2637</v>
      </c>
      <c r="J3916" s="25">
        <f>IFERROR(__xludf.DUMMYFUNCTION("""COMPUTED_VALUE"""),2676.15)</f>
        <v>2676.15</v>
      </c>
      <c r="K3916" s="25">
        <f>IFERROR(__xludf.DUMMYFUNCTION("""COMPUTED_VALUE"""),2630.85)</f>
        <v>2630.85</v>
      </c>
      <c r="L3916" s="25">
        <f>IFERROR(__xludf.DUMMYFUNCTION("""COMPUTED_VALUE"""),2636.9)</f>
        <v>2636.9</v>
      </c>
      <c r="M3916" s="25">
        <f>IFERROR(__xludf.DUMMYFUNCTION("""COMPUTED_VALUE"""),4167501.0)</f>
        <v>4167501</v>
      </c>
    </row>
    <row r="3917">
      <c r="A3917" s="26">
        <f>IFERROR(__xludf.DUMMYFUNCTION("""COMPUTED_VALUE"""),44154.64583333333)</f>
        <v>44154.64583</v>
      </c>
      <c r="B3917" s="9">
        <f>IFERROR(__xludf.DUMMYFUNCTION("""COMPUTED_VALUE"""),1100.0)</f>
        <v>1100</v>
      </c>
      <c r="C3917" s="9">
        <f>IFERROR(__xludf.DUMMYFUNCTION("""COMPUTED_VALUE"""),1114.7)</f>
        <v>1114.7</v>
      </c>
      <c r="D3917" s="9">
        <f>IFERROR(__xludf.DUMMYFUNCTION("""COMPUTED_VALUE"""),1093.8)</f>
        <v>1093.8</v>
      </c>
      <c r="E3917" s="9">
        <f>IFERROR(__xludf.DUMMYFUNCTION("""COMPUTED_VALUE"""),1096.75)</f>
        <v>1096.75</v>
      </c>
      <c r="F3917" s="9">
        <f>IFERROR(__xludf.DUMMYFUNCTION("""COMPUTED_VALUE"""),1.0092343E7)</f>
        <v>10092343</v>
      </c>
      <c r="H3917" s="27">
        <f>IFERROR(__xludf.DUMMYFUNCTION("""COMPUTED_VALUE"""),44155.64583333333)</f>
        <v>44155.64583</v>
      </c>
      <c r="I3917" s="25">
        <f>IFERROR(__xludf.DUMMYFUNCTION("""COMPUTED_VALUE"""),2655.0)</f>
        <v>2655</v>
      </c>
      <c r="J3917" s="25">
        <f>IFERROR(__xludf.DUMMYFUNCTION("""COMPUTED_VALUE"""),2676.0)</f>
        <v>2676</v>
      </c>
      <c r="K3917" s="25">
        <f>IFERROR(__xludf.DUMMYFUNCTION("""COMPUTED_VALUE"""),2627.55)</f>
        <v>2627.55</v>
      </c>
      <c r="L3917" s="25">
        <f>IFERROR(__xludf.DUMMYFUNCTION("""COMPUTED_VALUE"""),2660.25)</f>
        <v>2660.25</v>
      </c>
      <c r="M3917" s="25">
        <f>IFERROR(__xludf.DUMMYFUNCTION("""COMPUTED_VALUE"""),2711471.0)</f>
        <v>2711471</v>
      </c>
    </row>
    <row r="3918">
      <c r="A3918" s="26">
        <f>IFERROR(__xludf.DUMMYFUNCTION("""COMPUTED_VALUE"""),44155.64583333333)</f>
        <v>44155.64583</v>
      </c>
      <c r="B3918" s="9">
        <f>IFERROR(__xludf.DUMMYFUNCTION("""COMPUTED_VALUE"""),1106.0)</f>
        <v>1106</v>
      </c>
      <c r="C3918" s="9">
        <f>IFERROR(__xludf.DUMMYFUNCTION("""COMPUTED_VALUE"""),1109.0)</f>
        <v>1109</v>
      </c>
      <c r="D3918" s="9">
        <f>IFERROR(__xludf.DUMMYFUNCTION("""COMPUTED_VALUE"""),1091.1)</f>
        <v>1091.1</v>
      </c>
      <c r="E3918" s="9">
        <f>IFERROR(__xludf.DUMMYFUNCTION("""COMPUTED_VALUE"""),1103.35)</f>
        <v>1103.35</v>
      </c>
      <c r="F3918" s="9">
        <f>IFERROR(__xludf.DUMMYFUNCTION("""COMPUTED_VALUE"""),8063554.0)</f>
        <v>8063554</v>
      </c>
      <c r="H3918" s="27">
        <f>IFERROR(__xludf.DUMMYFUNCTION("""COMPUTED_VALUE"""),44158.64583333333)</f>
        <v>44158.64583</v>
      </c>
      <c r="I3918" s="25">
        <f>IFERROR(__xludf.DUMMYFUNCTION("""COMPUTED_VALUE"""),2690.0)</f>
        <v>2690</v>
      </c>
      <c r="J3918" s="25">
        <f>IFERROR(__xludf.DUMMYFUNCTION("""COMPUTED_VALUE"""),2730.0)</f>
        <v>2730</v>
      </c>
      <c r="K3918" s="25">
        <f>IFERROR(__xludf.DUMMYFUNCTION("""COMPUTED_VALUE"""),2665.0)</f>
        <v>2665</v>
      </c>
      <c r="L3918" s="25">
        <f>IFERROR(__xludf.DUMMYFUNCTION("""COMPUTED_VALUE"""),2724.25)</f>
        <v>2724.25</v>
      </c>
      <c r="M3918" s="25">
        <f>IFERROR(__xludf.DUMMYFUNCTION("""COMPUTED_VALUE"""),3706418.0)</f>
        <v>3706418</v>
      </c>
    </row>
    <row r="3919">
      <c r="A3919" s="26">
        <f>IFERROR(__xludf.DUMMYFUNCTION("""COMPUTED_VALUE"""),44158.64583333333)</f>
        <v>44158.64583</v>
      </c>
      <c r="B3919" s="9">
        <f>IFERROR(__xludf.DUMMYFUNCTION("""COMPUTED_VALUE"""),1105.0)</f>
        <v>1105</v>
      </c>
      <c r="C3919" s="9">
        <f>IFERROR(__xludf.DUMMYFUNCTION("""COMPUTED_VALUE"""),1144.8)</f>
        <v>1144.8</v>
      </c>
      <c r="D3919" s="9">
        <f>IFERROR(__xludf.DUMMYFUNCTION("""COMPUTED_VALUE"""),1101.95)</f>
        <v>1101.95</v>
      </c>
      <c r="E3919" s="9">
        <f>IFERROR(__xludf.DUMMYFUNCTION("""COMPUTED_VALUE"""),1139.85)</f>
        <v>1139.85</v>
      </c>
      <c r="F3919" s="9">
        <f>IFERROR(__xludf.DUMMYFUNCTION("""COMPUTED_VALUE"""),1.0546363E7)</f>
        <v>10546363</v>
      </c>
      <c r="H3919" s="27">
        <f>IFERROR(__xludf.DUMMYFUNCTION("""COMPUTED_VALUE"""),44159.64583333333)</f>
        <v>44159.64583</v>
      </c>
      <c r="I3919" s="25">
        <f>IFERROR(__xludf.DUMMYFUNCTION("""COMPUTED_VALUE"""),2734.4)</f>
        <v>2734.4</v>
      </c>
      <c r="J3919" s="25">
        <f>IFERROR(__xludf.DUMMYFUNCTION("""COMPUTED_VALUE"""),2743.0)</f>
        <v>2743</v>
      </c>
      <c r="K3919" s="25">
        <f>IFERROR(__xludf.DUMMYFUNCTION("""COMPUTED_VALUE"""),2705.0)</f>
        <v>2705</v>
      </c>
      <c r="L3919" s="25">
        <f>IFERROR(__xludf.DUMMYFUNCTION("""COMPUTED_VALUE"""),2722.05)</f>
        <v>2722.05</v>
      </c>
      <c r="M3919" s="25">
        <f>IFERROR(__xludf.DUMMYFUNCTION("""COMPUTED_VALUE"""),3120516.0)</f>
        <v>3120516</v>
      </c>
    </row>
    <row r="3920">
      <c r="A3920" s="26">
        <f>IFERROR(__xludf.DUMMYFUNCTION("""COMPUTED_VALUE"""),44159.64583333333)</f>
        <v>44159.64583</v>
      </c>
      <c r="B3920" s="9">
        <f>IFERROR(__xludf.DUMMYFUNCTION("""COMPUTED_VALUE"""),1145.0)</f>
        <v>1145</v>
      </c>
      <c r="C3920" s="9">
        <f>IFERROR(__xludf.DUMMYFUNCTION("""COMPUTED_VALUE"""),1154.9)</f>
        <v>1154.9</v>
      </c>
      <c r="D3920" s="9">
        <f>IFERROR(__xludf.DUMMYFUNCTION("""COMPUTED_VALUE"""),1133.35)</f>
        <v>1133.35</v>
      </c>
      <c r="E3920" s="9">
        <f>IFERROR(__xludf.DUMMYFUNCTION("""COMPUTED_VALUE"""),1140.05)</f>
        <v>1140.05</v>
      </c>
      <c r="F3920" s="9">
        <f>IFERROR(__xludf.DUMMYFUNCTION("""COMPUTED_VALUE"""),8515426.0)</f>
        <v>8515426</v>
      </c>
      <c r="H3920" s="27">
        <f>IFERROR(__xludf.DUMMYFUNCTION("""COMPUTED_VALUE"""),44160.64583333333)</f>
        <v>44160.64583</v>
      </c>
      <c r="I3920" s="25">
        <f>IFERROR(__xludf.DUMMYFUNCTION("""COMPUTED_VALUE"""),2729.0)</f>
        <v>2729</v>
      </c>
      <c r="J3920" s="25">
        <f>IFERROR(__xludf.DUMMYFUNCTION("""COMPUTED_VALUE"""),2732.95)</f>
        <v>2732.95</v>
      </c>
      <c r="K3920" s="25">
        <f>IFERROR(__xludf.DUMMYFUNCTION("""COMPUTED_VALUE"""),2688.2)</f>
        <v>2688.2</v>
      </c>
      <c r="L3920" s="25">
        <f>IFERROR(__xludf.DUMMYFUNCTION("""COMPUTED_VALUE"""),2701.3)</f>
        <v>2701.3</v>
      </c>
      <c r="M3920" s="25">
        <f>IFERROR(__xludf.DUMMYFUNCTION("""COMPUTED_VALUE"""),3302249.0)</f>
        <v>3302249</v>
      </c>
    </row>
    <row r="3921">
      <c r="A3921" s="26">
        <f>IFERROR(__xludf.DUMMYFUNCTION("""COMPUTED_VALUE"""),44160.64583333333)</f>
        <v>44160.64583</v>
      </c>
      <c r="B3921" s="9">
        <f>IFERROR(__xludf.DUMMYFUNCTION("""COMPUTED_VALUE"""),1137.0)</f>
        <v>1137</v>
      </c>
      <c r="C3921" s="9">
        <f>IFERROR(__xludf.DUMMYFUNCTION("""COMPUTED_VALUE"""),1143.5)</f>
        <v>1143.5</v>
      </c>
      <c r="D3921" s="9">
        <f>IFERROR(__xludf.DUMMYFUNCTION("""COMPUTED_VALUE"""),1111.25)</f>
        <v>1111.25</v>
      </c>
      <c r="E3921" s="9">
        <f>IFERROR(__xludf.DUMMYFUNCTION("""COMPUTED_VALUE"""),1115.65)</f>
        <v>1115.65</v>
      </c>
      <c r="F3921" s="9">
        <f>IFERROR(__xludf.DUMMYFUNCTION("""COMPUTED_VALUE"""),8958701.0)</f>
        <v>8958701</v>
      </c>
      <c r="H3921" s="27">
        <f>IFERROR(__xludf.DUMMYFUNCTION("""COMPUTED_VALUE"""),44161.64583333333)</f>
        <v>44161.64583</v>
      </c>
      <c r="I3921" s="25">
        <f>IFERROR(__xludf.DUMMYFUNCTION("""COMPUTED_VALUE"""),2686.0)</f>
        <v>2686</v>
      </c>
      <c r="J3921" s="25">
        <f>IFERROR(__xludf.DUMMYFUNCTION("""COMPUTED_VALUE"""),2730.95)</f>
        <v>2730.95</v>
      </c>
      <c r="K3921" s="25">
        <f>IFERROR(__xludf.DUMMYFUNCTION("""COMPUTED_VALUE"""),2680.0)</f>
        <v>2680</v>
      </c>
      <c r="L3921" s="25">
        <f>IFERROR(__xludf.DUMMYFUNCTION("""COMPUTED_VALUE"""),2720.6)</f>
        <v>2720.6</v>
      </c>
      <c r="M3921" s="25">
        <f>IFERROR(__xludf.DUMMYFUNCTION("""COMPUTED_VALUE"""),2341099.0)</f>
        <v>2341099</v>
      </c>
    </row>
    <row r="3922">
      <c r="A3922" s="26">
        <f>IFERROR(__xludf.DUMMYFUNCTION("""COMPUTED_VALUE"""),44161.64583333333)</f>
        <v>44161.64583</v>
      </c>
      <c r="B3922" s="9">
        <f>IFERROR(__xludf.DUMMYFUNCTION("""COMPUTED_VALUE"""),1119.95)</f>
        <v>1119.95</v>
      </c>
      <c r="C3922" s="9">
        <f>IFERROR(__xludf.DUMMYFUNCTION("""COMPUTED_VALUE"""),1119.95)</f>
        <v>1119.95</v>
      </c>
      <c r="D3922" s="9">
        <f>IFERROR(__xludf.DUMMYFUNCTION("""COMPUTED_VALUE"""),1098.3)</f>
        <v>1098.3</v>
      </c>
      <c r="E3922" s="9">
        <f>IFERROR(__xludf.DUMMYFUNCTION("""COMPUTED_VALUE"""),1113.2)</f>
        <v>1113.2</v>
      </c>
      <c r="F3922" s="9">
        <f>IFERROR(__xludf.DUMMYFUNCTION("""COMPUTED_VALUE"""),1.0962256E7)</f>
        <v>10962256</v>
      </c>
      <c r="H3922" s="27">
        <f>IFERROR(__xludf.DUMMYFUNCTION("""COMPUTED_VALUE"""),44162.64583333333)</f>
        <v>44162.64583</v>
      </c>
      <c r="I3922" s="25">
        <f>IFERROR(__xludf.DUMMYFUNCTION("""COMPUTED_VALUE"""),2705.0)</f>
        <v>2705</v>
      </c>
      <c r="J3922" s="25">
        <f>IFERROR(__xludf.DUMMYFUNCTION("""COMPUTED_VALUE"""),2717.7)</f>
        <v>2717.7</v>
      </c>
      <c r="K3922" s="25">
        <f>IFERROR(__xludf.DUMMYFUNCTION("""COMPUTED_VALUE"""),2669.05)</f>
        <v>2669.05</v>
      </c>
      <c r="L3922" s="25">
        <f>IFERROR(__xludf.DUMMYFUNCTION("""COMPUTED_VALUE"""),2679.65)</f>
        <v>2679.65</v>
      </c>
      <c r="M3922" s="25">
        <f>IFERROR(__xludf.DUMMYFUNCTION("""COMPUTED_VALUE"""),6086808.0)</f>
        <v>6086808</v>
      </c>
    </row>
    <row r="3923">
      <c r="A3923" s="26">
        <f>IFERROR(__xludf.DUMMYFUNCTION("""COMPUTED_VALUE"""),44162.64583333333)</f>
        <v>44162.64583</v>
      </c>
      <c r="B3923" s="9">
        <f>IFERROR(__xludf.DUMMYFUNCTION("""COMPUTED_VALUE"""),1118.0)</f>
        <v>1118</v>
      </c>
      <c r="C3923" s="9">
        <f>IFERROR(__xludf.DUMMYFUNCTION("""COMPUTED_VALUE"""),1121.0)</f>
        <v>1121</v>
      </c>
      <c r="D3923" s="9">
        <f>IFERROR(__xludf.DUMMYFUNCTION("""COMPUTED_VALUE"""),1091.0)</f>
        <v>1091</v>
      </c>
      <c r="E3923" s="9">
        <f>IFERROR(__xludf.DUMMYFUNCTION("""COMPUTED_VALUE"""),1100.0)</f>
        <v>1100</v>
      </c>
      <c r="F3923" s="9">
        <f>IFERROR(__xludf.DUMMYFUNCTION("""COMPUTED_VALUE"""),2.5306145E7)</f>
        <v>25306145</v>
      </c>
      <c r="H3923" s="27">
        <f>IFERROR(__xludf.DUMMYFUNCTION("""COMPUTED_VALUE"""),44166.64583333333)</f>
        <v>44166.64583</v>
      </c>
      <c r="I3923" s="25">
        <f>IFERROR(__xludf.DUMMYFUNCTION("""COMPUTED_VALUE"""),2679.0)</f>
        <v>2679</v>
      </c>
      <c r="J3923" s="25">
        <f>IFERROR(__xludf.DUMMYFUNCTION("""COMPUTED_VALUE"""),2735.9)</f>
        <v>2735.9</v>
      </c>
      <c r="K3923" s="25">
        <f>IFERROR(__xludf.DUMMYFUNCTION("""COMPUTED_VALUE"""),2624.45)</f>
        <v>2624.45</v>
      </c>
      <c r="L3923" s="25">
        <f>IFERROR(__xludf.DUMMYFUNCTION("""COMPUTED_VALUE"""),2726.8)</f>
        <v>2726.8</v>
      </c>
      <c r="M3923" s="25">
        <f>IFERROR(__xludf.DUMMYFUNCTION("""COMPUTED_VALUE"""),3605017.0)</f>
        <v>3605017</v>
      </c>
    </row>
    <row r="3924">
      <c r="A3924" s="26">
        <f>IFERROR(__xludf.DUMMYFUNCTION("""COMPUTED_VALUE"""),44166.64583333333)</f>
        <v>44166.64583</v>
      </c>
      <c r="B3924" s="9">
        <f>IFERROR(__xludf.DUMMYFUNCTION("""COMPUTED_VALUE"""),1105.05)</f>
        <v>1105.05</v>
      </c>
      <c r="C3924" s="9">
        <f>IFERROR(__xludf.DUMMYFUNCTION("""COMPUTED_VALUE"""),1140.25)</f>
        <v>1140.25</v>
      </c>
      <c r="D3924" s="9">
        <f>IFERROR(__xludf.DUMMYFUNCTION("""COMPUTED_VALUE"""),1105.05)</f>
        <v>1105.05</v>
      </c>
      <c r="E3924" s="9">
        <f>IFERROR(__xludf.DUMMYFUNCTION("""COMPUTED_VALUE"""),1137.85)</f>
        <v>1137.85</v>
      </c>
      <c r="F3924" s="9">
        <f>IFERROR(__xludf.DUMMYFUNCTION("""COMPUTED_VALUE"""),8933802.0)</f>
        <v>8933802</v>
      </c>
      <c r="H3924" s="27">
        <f>IFERROR(__xludf.DUMMYFUNCTION("""COMPUTED_VALUE"""),44167.64583333333)</f>
        <v>44167.64583</v>
      </c>
      <c r="I3924" s="25">
        <f>IFERROR(__xludf.DUMMYFUNCTION("""COMPUTED_VALUE"""),2719.0)</f>
        <v>2719</v>
      </c>
      <c r="J3924" s="25">
        <f>IFERROR(__xludf.DUMMYFUNCTION("""COMPUTED_VALUE"""),2754.7)</f>
        <v>2754.7</v>
      </c>
      <c r="K3924" s="25">
        <f>IFERROR(__xludf.DUMMYFUNCTION("""COMPUTED_VALUE"""),2702.45)</f>
        <v>2702.45</v>
      </c>
      <c r="L3924" s="25">
        <f>IFERROR(__xludf.DUMMYFUNCTION("""COMPUTED_VALUE"""),2749.55)</f>
        <v>2749.55</v>
      </c>
      <c r="M3924" s="25">
        <f>IFERROR(__xludf.DUMMYFUNCTION("""COMPUTED_VALUE"""),2509032.0)</f>
        <v>2509032</v>
      </c>
    </row>
    <row r="3925">
      <c r="A3925" s="26">
        <f>IFERROR(__xludf.DUMMYFUNCTION("""COMPUTED_VALUE"""),44167.64583333333)</f>
        <v>44167.64583</v>
      </c>
      <c r="B3925" s="9">
        <f>IFERROR(__xludf.DUMMYFUNCTION("""COMPUTED_VALUE"""),1134.0)</f>
        <v>1134</v>
      </c>
      <c r="C3925" s="9">
        <f>IFERROR(__xludf.DUMMYFUNCTION("""COMPUTED_VALUE"""),1147.45)</f>
        <v>1147.45</v>
      </c>
      <c r="D3925" s="9">
        <f>IFERROR(__xludf.DUMMYFUNCTION("""COMPUTED_VALUE"""),1121.0)</f>
        <v>1121</v>
      </c>
      <c r="E3925" s="9">
        <f>IFERROR(__xludf.DUMMYFUNCTION("""COMPUTED_VALUE"""),1140.9)</f>
        <v>1140.9</v>
      </c>
      <c r="F3925" s="9">
        <f>IFERROR(__xludf.DUMMYFUNCTION("""COMPUTED_VALUE"""),6741637.0)</f>
        <v>6741637</v>
      </c>
      <c r="H3925" s="27">
        <f>IFERROR(__xludf.DUMMYFUNCTION("""COMPUTED_VALUE"""),44168.64583333333)</f>
        <v>44168.64583</v>
      </c>
      <c r="I3925" s="25">
        <f>IFERROR(__xludf.DUMMYFUNCTION("""COMPUTED_VALUE"""),2773.9)</f>
        <v>2773.9</v>
      </c>
      <c r="J3925" s="25">
        <f>IFERROR(__xludf.DUMMYFUNCTION("""COMPUTED_VALUE"""),2773.9)</f>
        <v>2773.9</v>
      </c>
      <c r="K3925" s="25">
        <f>IFERROR(__xludf.DUMMYFUNCTION("""COMPUTED_VALUE"""),2700.8)</f>
        <v>2700.8</v>
      </c>
      <c r="L3925" s="25">
        <f>IFERROR(__xludf.DUMMYFUNCTION("""COMPUTED_VALUE"""),2709.45)</f>
        <v>2709.45</v>
      </c>
      <c r="M3925" s="25">
        <f>IFERROR(__xludf.DUMMYFUNCTION("""COMPUTED_VALUE"""),2852548.0)</f>
        <v>2852548</v>
      </c>
    </row>
    <row r="3926">
      <c r="A3926" s="26">
        <f>IFERROR(__xludf.DUMMYFUNCTION("""COMPUTED_VALUE"""),44168.64583333333)</f>
        <v>44168.64583</v>
      </c>
      <c r="B3926" s="9">
        <f>IFERROR(__xludf.DUMMYFUNCTION("""COMPUTED_VALUE"""),1147.0)</f>
        <v>1147</v>
      </c>
      <c r="C3926" s="9">
        <f>IFERROR(__xludf.DUMMYFUNCTION("""COMPUTED_VALUE"""),1147.0)</f>
        <v>1147</v>
      </c>
      <c r="D3926" s="9">
        <f>IFERROR(__xludf.DUMMYFUNCTION("""COMPUTED_VALUE"""),1122.7)</f>
        <v>1122.7</v>
      </c>
      <c r="E3926" s="9">
        <f>IFERROR(__xludf.DUMMYFUNCTION("""COMPUTED_VALUE"""),1126.45)</f>
        <v>1126.45</v>
      </c>
      <c r="F3926" s="9">
        <f>IFERROR(__xludf.DUMMYFUNCTION("""COMPUTED_VALUE"""),1.6212632E7)</f>
        <v>16212632</v>
      </c>
      <c r="H3926" s="27">
        <f>IFERROR(__xludf.DUMMYFUNCTION("""COMPUTED_VALUE"""),44169.64583333333)</f>
        <v>44169.64583</v>
      </c>
      <c r="I3926" s="25">
        <f>IFERROR(__xludf.DUMMYFUNCTION("""COMPUTED_VALUE"""),2710.8)</f>
        <v>2710.8</v>
      </c>
      <c r="J3926" s="25">
        <f>IFERROR(__xludf.DUMMYFUNCTION("""COMPUTED_VALUE"""),2738.85)</f>
        <v>2738.85</v>
      </c>
      <c r="K3926" s="25">
        <f>IFERROR(__xludf.DUMMYFUNCTION("""COMPUTED_VALUE"""),2699.0)</f>
        <v>2699</v>
      </c>
      <c r="L3926" s="25">
        <f>IFERROR(__xludf.DUMMYFUNCTION("""COMPUTED_VALUE"""),2727.55)</f>
        <v>2727.55</v>
      </c>
      <c r="M3926" s="25">
        <f>IFERROR(__xludf.DUMMYFUNCTION("""COMPUTED_VALUE"""),2686527.0)</f>
        <v>2686527</v>
      </c>
    </row>
    <row r="3927">
      <c r="A3927" s="26">
        <f>IFERROR(__xludf.DUMMYFUNCTION("""COMPUTED_VALUE"""),44169.64583333333)</f>
        <v>44169.64583</v>
      </c>
      <c r="B3927" s="9">
        <f>IFERROR(__xludf.DUMMYFUNCTION("""COMPUTED_VALUE"""),1125.0)</f>
        <v>1125</v>
      </c>
      <c r="C3927" s="9">
        <f>IFERROR(__xludf.DUMMYFUNCTION("""COMPUTED_VALUE"""),1137.0)</f>
        <v>1137</v>
      </c>
      <c r="D3927" s="9">
        <f>IFERROR(__xludf.DUMMYFUNCTION("""COMPUTED_VALUE"""),1115.0)</f>
        <v>1115</v>
      </c>
      <c r="E3927" s="9">
        <f>IFERROR(__xludf.DUMMYFUNCTION("""COMPUTED_VALUE"""),1134.65)</f>
        <v>1134.65</v>
      </c>
      <c r="F3927" s="9">
        <f>IFERROR(__xludf.DUMMYFUNCTION("""COMPUTED_VALUE"""),1.0564055E7)</f>
        <v>10564055</v>
      </c>
      <c r="H3927" s="27">
        <f>IFERROR(__xludf.DUMMYFUNCTION("""COMPUTED_VALUE"""),44172.64583333333)</f>
        <v>44172.64583</v>
      </c>
      <c r="I3927" s="25">
        <f>IFERROR(__xludf.DUMMYFUNCTION("""COMPUTED_VALUE"""),2715.0)</f>
        <v>2715</v>
      </c>
      <c r="J3927" s="25">
        <f>IFERROR(__xludf.DUMMYFUNCTION("""COMPUTED_VALUE"""),2744.0)</f>
        <v>2744</v>
      </c>
      <c r="K3927" s="25">
        <f>IFERROR(__xludf.DUMMYFUNCTION("""COMPUTED_VALUE"""),2706.15)</f>
        <v>2706.15</v>
      </c>
      <c r="L3927" s="25">
        <f>IFERROR(__xludf.DUMMYFUNCTION("""COMPUTED_VALUE"""),2737.7)</f>
        <v>2737.7</v>
      </c>
      <c r="M3927" s="25">
        <f>IFERROR(__xludf.DUMMYFUNCTION("""COMPUTED_VALUE"""),1996400.0)</f>
        <v>1996400</v>
      </c>
    </row>
    <row r="3928">
      <c r="A3928" s="26">
        <f>IFERROR(__xludf.DUMMYFUNCTION("""COMPUTED_VALUE"""),44172.64583333333)</f>
        <v>44172.64583</v>
      </c>
      <c r="B3928" s="9">
        <f>IFERROR(__xludf.DUMMYFUNCTION("""COMPUTED_VALUE"""),1147.3)</f>
        <v>1147.3</v>
      </c>
      <c r="C3928" s="9">
        <f>IFERROR(__xludf.DUMMYFUNCTION("""COMPUTED_VALUE"""),1153.0)</f>
        <v>1153</v>
      </c>
      <c r="D3928" s="9">
        <f>IFERROR(__xludf.DUMMYFUNCTION("""COMPUTED_VALUE"""),1136.0)</f>
        <v>1136</v>
      </c>
      <c r="E3928" s="9">
        <f>IFERROR(__xludf.DUMMYFUNCTION("""COMPUTED_VALUE"""),1143.5)</f>
        <v>1143.5</v>
      </c>
      <c r="F3928" s="9">
        <f>IFERROR(__xludf.DUMMYFUNCTION("""COMPUTED_VALUE"""),7792141.0)</f>
        <v>7792141</v>
      </c>
      <c r="H3928" s="27">
        <f>IFERROR(__xludf.DUMMYFUNCTION("""COMPUTED_VALUE"""),44173.64583333333)</f>
        <v>44173.64583</v>
      </c>
      <c r="I3928" s="25">
        <f>IFERROR(__xludf.DUMMYFUNCTION("""COMPUTED_VALUE"""),2740.0)</f>
        <v>2740</v>
      </c>
      <c r="J3928" s="25">
        <f>IFERROR(__xludf.DUMMYFUNCTION("""COMPUTED_VALUE"""),2805.55)</f>
        <v>2805.55</v>
      </c>
      <c r="K3928" s="25">
        <f>IFERROR(__xludf.DUMMYFUNCTION("""COMPUTED_VALUE"""),2732.45)</f>
        <v>2732.45</v>
      </c>
      <c r="L3928" s="25">
        <f>IFERROR(__xludf.DUMMYFUNCTION("""COMPUTED_VALUE"""),2797.3)</f>
        <v>2797.3</v>
      </c>
      <c r="M3928" s="25">
        <f>IFERROR(__xludf.DUMMYFUNCTION("""COMPUTED_VALUE"""),4277818.0)</f>
        <v>4277818</v>
      </c>
    </row>
    <row r="3929">
      <c r="A3929" s="26">
        <f>IFERROR(__xludf.DUMMYFUNCTION("""COMPUTED_VALUE"""),44173.64583333333)</f>
        <v>44173.64583</v>
      </c>
      <c r="B3929" s="9">
        <f>IFERROR(__xludf.DUMMYFUNCTION("""COMPUTED_VALUE"""),1145.0)</f>
        <v>1145</v>
      </c>
      <c r="C3929" s="9">
        <f>IFERROR(__xludf.DUMMYFUNCTION("""COMPUTED_VALUE"""),1167.0)</f>
        <v>1167</v>
      </c>
      <c r="D3929" s="9">
        <f>IFERROR(__xludf.DUMMYFUNCTION("""COMPUTED_VALUE"""),1145.0)</f>
        <v>1145</v>
      </c>
      <c r="E3929" s="9">
        <f>IFERROR(__xludf.DUMMYFUNCTION("""COMPUTED_VALUE"""),1153.35)</f>
        <v>1153.35</v>
      </c>
      <c r="F3929" s="9">
        <f>IFERROR(__xludf.DUMMYFUNCTION("""COMPUTED_VALUE"""),1.230833E7)</f>
        <v>12308330</v>
      </c>
      <c r="H3929" s="27">
        <f>IFERROR(__xludf.DUMMYFUNCTION("""COMPUTED_VALUE"""),44174.64583333333)</f>
        <v>44174.64583</v>
      </c>
      <c r="I3929" s="25">
        <f>IFERROR(__xludf.DUMMYFUNCTION("""COMPUTED_VALUE"""),2815.0)</f>
        <v>2815</v>
      </c>
      <c r="J3929" s="25">
        <f>IFERROR(__xludf.DUMMYFUNCTION("""COMPUTED_VALUE"""),2840.0)</f>
        <v>2840</v>
      </c>
      <c r="K3929" s="25">
        <f>IFERROR(__xludf.DUMMYFUNCTION("""COMPUTED_VALUE"""),2793.15)</f>
        <v>2793.15</v>
      </c>
      <c r="L3929" s="25">
        <f>IFERROR(__xludf.DUMMYFUNCTION("""COMPUTED_VALUE"""),2810.8)</f>
        <v>2810.8</v>
      </c>
      <c r="M3929" s="25">
        <f>IFERROR(__xludf.DUMMYFUNCTION("""COMPUTED_VALUE"""),3659996.0)</f>
        <v>3659996</v>
      </c>
    </row>
    <row r="3930">
      <c r="A3930" s="26">
        <f>IFERROR(__xludf.DUMMYFUNCTION("""COMPUTED_VALUE"""),44174.64583333333)</f>
        <v>44174.64583</v>
      </c>
      <c r="B3930" s="9">
        <f>IFERROR(__xludf.DUMMYFUNCTION("""COMPUTED_VALUE"""),1168.05)</f>
        <v>1168.05</v>
      </c>
      <c r="C3930" s="9">
        <f>IFERROR(__xludf.DUMMYFUNCTION("""COMPUTED_VALUE"""),1179.5)</f>
        <v>1179.5</v>
      </c>
      <c r="D3930" s="9">
        <f>IFERROR(__xludf.DUMMYFUNCTION("""COMPUTED_VALUE"""),1157.0)</f>
        <v>1157</v>
      </c>
      <c r="E3930" s="9">
        <f>IFERROR(__xludf.DUMMYFUNCTION("""COMPUTED_VALUE"""),1175.2)</f>
        <v>1175.2</v>
      </c>
      <c r="F3930" s="9">
        <f>IFERROR(__xludf.DUMMYFUNCTION("""COMPUTED_VALUE"""),1.0039346E7)</f>
        <v>10039346</v>
      </c>
      <c r="H3930" s="27">
        <f>IFERROR(__xludf.DUMMYFUNCTION("""COMPUTED_VALUE"""),44175.64583333333)</f>
        <v>44175.64583</v>
      </c>
      <c r="I3930" s="25">
        <f>IFERROR(__xludf.DUMMYFUNCTION("""COMPUTED_VALUE"""),2818.0)</f>
        <v>2818</v>
      </c>
      <c r="J3930" s="25">
        <f>IFERROR(__xludf.DUMMYFUNCTION("""COMPUTED_VALUE"""),2827.3)</f>
        <v>2827.3</v>
      </c>
      <c r="K3930" s="25">
        <f>IFERROR(__xludf.DUMMYFUNCTION("""COMPUTED_VALUE"""),2780.25)</f>
        <v>2780.25</v>
      </c>
      <c r="L3930" s="25">
        <f>IFERROR(__xludf.DUMMYFUNCTION("""COMPUTED_VALUE"""),2784.3)</f>
        <v>2784.3</v>
      </c>
      <c r="M3930" s="25">
        <f>IFERROR(__xludf.DUMMYFUNCTION("""COMPUTED_VALUE"""),2127801.0)</f>
        <v>2127801</v>
      </c>
    </row>
    <row r="3931">
      <c r="A3931" s="26">
        <f>IFERROR(__xludf.DUMMYFUNCTION("""COMPUTED_VALUE"""),44175.64583333333)</f>
        <v>44175.64583</v>
      </c>
      <c r="B3931" s="9">
        <f>IFERROR(__xludf.DUMMYFUNCTION("""COMPUTED_VALUE"""),1157.4)</f>
        <v>1157.4</v>
      </c>
      <c r="C3931" s="9">
        <f>IFERROR(__xludf.DUMMYFUNCTION("""COMPUTED_VALUE"""),1171.65)</f>
        <v>1171.65</v>
      </c>
      <c r="D3931" s="9">
        <f>IFERROR(__xludf.DUMMYFUNCTION("""COMPUTED_VALUE"""),1150.0)</f>
        <v>1150</v>
      </c>
      <c r="E3931" s="9">
        <f>IFERROR(__xludf.DUMMYFUNCTION("""COMPUTED_VALUE"""),1167.75)</f>
        <v>1167.75</v>
      </c>
      <c r="F3931" s="9">
        <f>IFERROR(__xludf.DUMMYFUNCTION("""COMPUTED_VALUE"""),9488782.0)</f>
        <v>9488782</v>
      </c>
      <c r="H3931" s="27">
        <f>IFERROR(__xludf.DUMMYFUNCTION("""COMPUTED_VALUE"""),44176.64583333333)</f>
        <v>44176.64583</v>
      </c>
      <c r="I3931" s="25">
        <f>IFERROR(__xludf.DUMMYFUNCTION("""COMPUTED_VALUE"""),2792.7)</f>
        <v>2792.7</v>
      </c>
      <c r="J3931" s="25">
        <f>IFERROR(__xludf.DUMMYFUNCTION("""COMPUTED_VALUE"""),2807.7)</f>
        <v>2807.7</v>
      </c>
      <c r="K3931" s="25">
        <f>IFERROR(__xludf.DUMMYFUNCTION("""COMPUTED_VALUE"""),2764.55)</f>
        <v>2764.55</v>
      </c>
      <c r="L3931" s="25">
        <f>IFERROR(__xludf.DUMMYFUNCTION("""COMPUTED_VALUE"""),2783.6)</f>
        <v>2783.6</v>
      </c>
      <c r="M3931" s="25">
        <f>IFERROR(__xludf.DUMMYFUNCTION("""COMPUTED_VALUE"""),1795408.0)</f>
        <v>1795408</v>
      </c>
    </row>
    <row r="3932">
      <c r="A3932" s="26">
        <f>IFERROR(__xludf.DUMMYFUNCTION("""COMPUTED_VALUE"""),44176.64583333333)</f>
        <v>44176.64583</v>
      </c>
      <c r="B3932" s="9">
        <f>IFERROR(__xludf.DUMMYFUNCTION("""COMPUTED_VALUE"""),1159.7)</f>
        <v>1159.7</v>
      </c>
      <c r="C3932" s="9">
        <f>IFERROR(__xludf.DUMMYFUNCTION("""COMPUTED_VALUE"""),1171.95)</f>
        <v>1171.95</v>
      </c>
      <c r="D3932" s="9">
        <f>IFERROR(__xludf.DUMMYFUNCTION("""COMPUTED_VALUE"""),1155.25)</f>
        <v>1155.25</v>
      </c>
      <c r="E3932" s="9">
        <f>IFERROR(__xludf.DUMMYFUNCTION("""COMPUTED_VALUE"""),1163.2)</f>
        <v>1163.2</v>
      </c>
      <c r="F3932" s="9">
        <f>IFERROR(__xludf.DUMMYFUNCTION("""COMPUTED_VALUE"""),1.0574009E7)</f>
        <v>10574009</v>
      </c>
      <c r="H3932" s="27">
        <f>IFERROR(__xludf.DUMMYFUNCTION("""COMPUTED_VALUE"""),44179.64583333333)</f>
        <v>44179.64583</v>
      </c>
      <c r="I3932" s="25">
        <f>IFERROR(__xludf.DUMMYFUNCTION("""COMPUTED_VALUE"""),2802.0)</f>
        <v>2802</v>
      </c>
      <c r="J3932" s="25">
        <f>IFERROR(__xludf.DUMMYFUNCTION("""COMPUTED_VALUE"""),2804.0)</f>
        <v>2804</v>
      </c>
      <c r="K3932" s="25">
        <f>IFERROR(__xludf.DUMMYFUNCTION("""COMPUTED_VALUE"""),2756.25)</f>
        <v>2756.25</v>
      </c>
      <c r="L3932" s="25">
        <f>IFERROR(__xludf.DUMMYFUNCTION("""COMPUTED_VALUE"""),2797.7)</f>
        <v>2797.7</v>
      </c>
      <c r="M3932" s="25">
        <f>IFERROR(__xludf.DUMMYFUNCTION("""COMPUTED_VALUE"""),2483658.0)</f>
        <v>2483658</v>
      </c>
    </row>
    <row r="3933">
      <c r="A3933" s="26">
        <f>IFERROR(__xludf.DUMMYFUNCTION("""COMPUTED_VALUE"""),44179.64583333333)</f>
        <v>44179.64583</v>
      </c>
      <c r="B3933" s="9">
        <f>IFERROR(__xludf.DUMMYFUNCTION("""COMPUTED_VALUE"""),1169.4)</f>
        <v>1169.4</v>
      </c>
      <c r="C3933" s="9">
        <f>IFERROR(__xludf.DUMMYFUNCTION("""COMPUTED_VALUE"""),1172.6)</f>
        <v>1172.6</v>
      </c>
      <c r="D3933" s="9">
        <f>IFERROR(__xludf.DUMMYFUNCTION("""COMPUTED_VALUE"""),1148.2)</f>
        <v>1148.2</v>
      </c>
      <c r="E3933" s="9">
        <f>IFERROR(__xludf.DUMMYFUNCTION("""COMPUTED_VALUE"""),1164.55)</f>
        <v>1164.55</v>
      </c>
      <c r="F3933" s="9">
        <f>IFERROR(__xludf.DUMMYFUNCTION("""COMPUTED_VALUE"""),6728187.0)</f>
        <v>6728187</v>
      </c>
      <c r="H3933" s="27">
        <f>IFERROR(__xludf.DUMMYFUNCTION("""COMPUTED_VALUE"""),44180.64583333333)</f>
        <v>44180.64583</v>
      </c>
      <c r="I3933" s="25">
        <f>IFERROR(__xludf.DUMMYFUNCTION("""COMPUTED_VALUE"""),2786.0)</f>
        <v>2786</v>
      </c>
      <c r="J3933" s="25">
        <f>IFERROR(__xludf.DUMMYFUNCTION("""COMPUTED_VALUE"""),2794.7)</f>
        <v>2794.7</v>
      </c>
      <c r="K3933" s="25">
        <f>IFERROR(__xludf.DUMMYFUNCTION("""COMPUTED_VALUE"""),2755.0)</f>
        <v>2755</v>
      </c>
      <c r="L3933" s="25">
        <f>IFERROR(__xludf.DUMMYFUNCTION("""COMPUTED_VALUE"""),2761.55)</f>
        <v>2761.55</v>
      </c>
      <c r="M3933" s="25">
        <f>IFERROR(__xludf.DUMMYFUNCTION("""COMPUTED_VALUE"""),2365509.0)</f>
        <v>2365509</v>
      </c>
    </row>
    <row r="3934">
      <c r="A3934" s="26">
        <f>IFERROR(__xludf.DUMMYFUNCTION("""COMPUTED_VALUE"""),44180.64583333333)</f>
        <v>44180.64583</v>
      </c>
      <c r="B3934" s="9">
        <f>IFERROR(__xludf.DUMMYFUNCTION("""COMPUTED_VALUE"""),1156.0)</f>
        <v>1156</v>
      </c>
      <c r="C3934" s="9">
        <f>IFERROR(__xludf.DUMMYFUNCTION("""COMPUTED_VALUE"""),1163.7)</f>
        <v>1163.7</v>
      </c>
      <c r="D3934" s="9">
        <f>IFERROR(__xludf.DUMMYFUNCTION("""COMPUTED_VALUE"""),1152.0)</f>
        <v>1152</v>
      </c>
      <c r="E3934" s="9">
        <f>IFERROR(__xludf.DUMMYFUNCTION("""COMPUTED_VALUE"""),1154.6)</f>
        <v>1154.6</v>
      </c>
      <c r="F3934" s="9">
        <f>IFERROR(__xludf.DUMMYFUNCTION("""COMPUTED_VALUE"""),6905926.0)</f>
        <v>6905926</v>
      </c>
      <c r="H3934" s="27">
        <f>IFERROR(__xludf.DUMMYFUNCTION("""COMPUTED_VALUE"""),44181.64583333333)</f>
        <v>44181.64583</v>
      </c>
      <c r="I3934" s="25">
        <f>IFERROR(__xludf.DUMMYFUNCTION("""COMPUTED_VALUE"""),2779.0)</f>
        <v>2779</v>
      </c>
      <c r="J3934" s="25">
        <f>IFERROR(__xludf.DUMMYFUNCTION("""COMPUTED_VALUE"""),2819.8)</f>
        <v>2819.8</v>
      </c>
      <c r="K3934" s="25">
        <f>IFERROR(__xludf.DUMMYFUNCTION("""COMPUTED_VALUE"""),2760.45)</f>
        <v>2760.45</v>
      </c>
      <c r="L3934" s="25">
        <f>IFERROR(__xludf.DUMMYFUNCTION("""COMPUTED_VALUE"""),2814.2)</f>
        <v>2814.2</v>
      </c>
      <c r="M3934" s="25">
        <f>IFERROR(__xludf.DUMMYFUNCTION("""COMPUTED_VALUE"""),2565149.0)</f>
        <v>2565149</v>
      </c>
    </row>
    <row r="3935">
      <c r="A3935" s="26">
        <f>IFERROR(__xludf.DUMMYFUNCTION("""COMPUTED_VALUE"""),44181.64583333333)</f>
        <v>44181.64583</v>
      </c>
      <c r="B3935" s="9">
        <f>IFERROR(__xludf.DUMMYFUNCTION("""COMPUTED_VALUE"""),1160.0)</f>
        <v>1160</v>
      </c>
      <c r="C3935" s="9">
        <f>IFERROR(__xludf.DUMMYFUNCTION("""COMPUTED_VALUE"""),1168.9)</f>
        <v>1168.9</v>
      </c>
      <c r="D3935" s="9">
        <f>IFERROR(__xludf.DUMMYFUNCTION("""COMPUTED_VALUE"""),1153.6)</f>
        <v>1153.6</v>
      </c>
      <c r="E3935" s="9">
        <f>IFERROR(__xludf.DUMMYFUNCTION("""COMPUTED_VALUE"""),1165.7)</f>
        <v>1165.7</v>
      </c>
      <c r="F3935" s="9">
        <f>IFERROR(__xludf.DUMMYFUNCTION("""COMPUTED_VALUE"""),7788404.0)</f>
        <v>7788404</v>
      </c>
      <c r="H3935" s="27">
        <f>IFERROR(__xludf.DUMMYFUNCTION("""COMPUTED_VALUE"""),44182.64583333333)</f>
        <v>44182.64583</v>
      </c>
      <c r="I3935" s="25">
        <f>IFERROR(__xludf.DUMMYFUNCTION("""COMPUTED_VALUE"""),2811.0)</f>
        <v>2811</v>
      </c>
      <c r="J3935" s="25">
        <f>IFERROR(__xludf.DUMMYFUNCTION("""COMPUTED_VALUE"""),2853.7)</f>
        <v>2853.7</v>
      </c>
      <c r="K3935" s="25">
        <f>IFERROR(__xludf.DUMMYFUNCTION("""COMPUTED_VALUE"""),2805.0)</f>
        <v>2805</v>
      </c>
      <c r="L3935" s="25">
        <f>IFERROR(__xludf.DUMMYFUNCTION("""COMPUTED_VALUE"""),2838.2)</f>
        <v>2838.2</v>
      </c>
      <c r="M3935" s="25">
        <f>IFERROR(__xludf.DUMMYFUNCTION("""COMPUTED_VALUE"""),2863460.0)</f>
        <v>2863460</v>
      </c>
    </row>
    <row r="3936">
      <c r="A3936" s="26">
        <f>IFERROR(__xludf.DUMMYFUNCTION("""COMPUTED_VALUE"""),44182.64583333333)</f>
        <v>44182.64583</v>
      </c>
      <c r="B3936" s="9">
        <f>IFERROR(__xludf.DUMMYFUNCTION("""COMPUTED_VALUE"""),1165.9)</f>
        <v>1165.9</v>
      </c>
      <c r="C3936" s="9">
        <f>IFERROR(__xludf.DUMMYFUNCTION("""COMPUTED_VALUE"""),1168.9)</f>
        <v>1168.9</v>
      </c>
      <c r="D3936" s="9">
        <f>IFERROR(__xludf.DUMMYFUNCTION("""COMPUTED_VALUE"""),1156.2)</f>
        <v>1156.2</v>
      </c>
      <c r="E3936" s="9">
        <f>IFERROR(__xludf.DUMMYFUNCTION("""COMPUTED_VALUE"""),1159.2)</f>
        <v>1159.2</v>
      </c>
      <c r="F3936" s="9">
        <f>IFERROR(__xludf.DUMMYFUNCTION("""COMPUTED_VALUE"""),6658153.0)</f>
        <v>6658153</v>
      </c>
      <c r="H3936" s="27">
        <f>IFERROR(__xludf.DUMMYFUNCTION("""COMPUTED_VALUE"""),44183.64583333333)</f>
        <v>44183.64583</v>
      </c>
      <c r="I3936" s="25">
        <f>IFERROR(__xludf.DUMMYFUNCTION("""COMPUTED_VALUE"""),2868.0)</f>
        <v>2868</v>
      </c>
      <c r="J3936" s="25">
        <f>IFERROR(__xludf.DUMMYFUNCTION("""COMPUTED_VALUE"""),2898.0)</f>
        <v>2898</v>
      </c>
      <c r="K3936" s="25">
        <f>IFERROR(__xludf.DUMMYFUNCTION("""COMPUTED_VALUE"""),2846.2)</f>
        <v>2846.2</v>
      </c>
      <c r="L3936" s="25">
        <f>IFERROR(__xludf.DUMMYFUNCTION("""COMPUTED_VALUE"""),2861.0)</f>
        <v>2861</v>
      </c>
      <c r="M3936" s="25">
        <f>IFERROR(__xludf.DUMMYFUNCTION("""COMPUTED_VALUE"""),6076692.0)</f>
        <v>6076692</v>
      </c>
    </row>
    <row r="3937">
      <c r="A3937" s="26">
        <f>IFERROR(__xludf.DUMMYFUNCTION("""COMPUTED_VALUE"""),44183.64583333333)</f>
        <v>44183.64583</v>
      </c>
      <c r="B3937" s="9">
        <f>IFERROR(__xludf.DUMMYFUNCTION("""COMPUTED_VALUE"""),1182.85)</f>
        <v>1182.85</v>
      </c>
      <c r="C3937" s="9">
        <f>IFERROR(__xludf.DUMMYFUNCTION("""COMPUTED_VALUE"""),1195.0)</f>
        <v>1195</v>
      </c>
      <c r="D3937" s="9">
        <f>IFERROR(__xludf.DUMMYFUNCTION("""COMPUTED_VALUE"""),1175.6)</f>
        <v>1175.6</v>
      </c>
      <c r="E3937" s="9">
        <f>IFERROR(__xludf.DUMMYFUNCTION("""COMPUTED_VALUE"""),1189.8)</f>
        <v>1189.8</v>
      </c>
      <c r="F3937" s="9">
        <f>IFERROR(__xludf.DUMMYFUNCTION("""COMPUTED_VALUE"""),1.5995676E7)</f>
        <v>15995676</v>
      </c>
      <c r="H3937" s="27">
        <f>IFERROR(__xludf.DUMMYFUNCTION("""COMPUTED_VALUE"""),44186.64583333333)</f>
        <v>44186.64583</v>
      </c>
      <c r="I3937" s="25">
        <f>IFERROR(__xludf.DUMMYFUNCTION("""COMPUTED_VALUE"""),2861.0)</f>
        <v>2861</v>
      </c>
      <c r="J3937" s="25">
        <f>IFERROR(__xludf.DUMMYFUNCTION("""COMPUTED_VALUE"""),2886.5)</f>
        <v>2886.5</v>
      </c>
      <c r="K3937" s="25">
        <f>IFERROR(__xludf.DUMMYFUNCTION("""COMPUTED_VALUE"""),2785.0)</f>
        <v>2785</v>
      </c>
      <c r="L3937" s="25">
        <f>IFERROR(__xludf.DUMMYFUNCTION("""COMPUTED_VALUE"""),2820.15)</f>
        <v>2820.15</v>
      </c>
      <c r="M3937" s="25">
        <f>IFERROR(__xludf.DUMMYFUNCTION("""COMPUTED_VALUE"""),2705195.0)</f>
        <v>2705195</v>
      </c>
    </row>
    <row r="3938">
      <c r="A3938" s="26">
        <f>IFERROR(__xludf.DUMMYFUNCTION("""COMPUTED_VALUE"""),44186.64583333333)</f>
        <v>44186.64583</v>
      </c>
      <c r="B3938" s="9">
        <f>IFERROR(__xludf.DUMMYFUNCTION("""COMPUTED_VALUE"""),1188.0)</f>
        <v>1188</v>
      </c>
      <c r="C3938" s="9">
        <f>IFERROR(__xludf.DUMMYFUNCTION("""COMPUTED_VALUE"""),1209.75)</f>
        <v>1209.75</v>
      </c>
      <c r="D3938" s="9">
        <f>IFERROR(__xludf.DUMMYFUNCTION("""COMPUTED_VALUE"""),1152.05)</f>
        <v>1152.05</v>
      </c>
      <c r="E3938" s="9">
        <f>IFERROR(__xludf.DUMMYFUNCTION("""COMPUTED_VALUE"""),1177.3)</f>
        <v>1177.3</v>
      </c>
      <c r="F3938" s="9">
        <f>IFERROR(__xludf.DUMMYFUNCTION("""COMPUTED_VALUE"""),1.0858352E7)</f>
        <v>10858352</v>
      </c>
      <c r="H3938" s="27">
        <f>IFERROR(__xludf.DUMMYFUNCTION("""COMPUTED_VALUE"""),44187.64583333333)</f>
        <v>44187.64583</v>
      </c>
      <c r="I3938" s="25">
        <f>IFERROR(__xludf.DUMMYFUNCTION("""COMPUTED_VALUE"""),2834.0)</f>
        <v>2834</v>
      </c>
      <c r="J3938" s="25">
        <f>IFERROR(__xludf.DUMMYFUNCTION("""COMPUTED_VALUE"""),2883.65)</f>
        <v>2883.65</v>
      </c>
      <c r="K3938" s="25">
        <f>IFERROR(__xludf.DUMMYFUNCTION("""COMPUTED_VALUE"""),2818.65)</f>
        <v>2818.65</v>
      </c>
      <c r="L3938" s="25">
        <f>IFERROR(__xludf.DUMMYFUNCTION("""COMPUTED_VALUE"""),2872.5)</f>
        <v>2872.5</v>
      </c>
      <c r="M3938" s="25">
        <f>IFERROR(__xludf.DUMMYFUNCTION("""COMPUTED_VALUE"""),2881737.0)</f>
        <v>2881737</v>
      </c>
    </row>
    <row r="3939">
      <c r="A3939" s="26">
        <f>IFERROR(__xludf.DUMMYFUNCTION("""COMPUTED_VALUE"""),44187.64583333333)</f>
        <v>44187.64583</v>
      </c>
      <c r="B3939" s="9">
        <f>IFERROR(__xludf.DUMMYFUNCTION("""COMPUTED_VALUE"""),1182.0)</f>
        <v>1182</v>
      </c>
      <c r="C3939" s="9">
        <f>IFERROR(__xludf.DUMMYFUNCTION("""COMPUTED_VALUE"""),1223.85)</f>
        <v>1223.85</v>
      </c>
      <c r="D3939" s="9">
        <f>IFERROR(__xludf.DUMMYFUNCTION("""COMPUTED_VALUE"""),1176.1)</f>
        <v>1176.1</v>
      </c>
      <c r="E3939" s="9">
        <f>IFERROR(__xludf.DUMMYFUNCTION("""COMPUTED_VALUE"""),1220.5)</f>
        <v>1220.5</v>
      </c>
      <c r="F3939" s="9">
        <f>IFERROR(__xludf.DUMMYFUNCTION("""COMPUTED_VALUE"""),1.0901851E7)</f>
        <v>10901851</v>
      </c>
      <c r="H3939" s="27">
        <f>IFERROR(__xludf.DUMMYFUNCTION("""COMPUTED_VALUE"""),44188.64583333333)</f>
        <v>44188.64583</v>
      </c>
      <c r="I3939" s="25">
        <f>IFERROR(__xludf.DUMMYFUNCTION("""COMPUTED_VALUE"""),2876.05)</f>
        <v>2876.05</v>
      </c>
      <c r="J3939" s="25">
        <f>IFERROR(__xludf.DUMMYFUNCTION("""COMPUTED_VALUE"""),2919.0)</f>
        <v>2919</v>
      </c>
      <c r="K3939" s="25">
        <f>IFERROR(__xludf.DUMMYFUNCTION("""COMPUTED_VALUE"""),2865.45)</f>
        <v>2865.45</v>
      </c>
      <c r="L3939" s="25">
        <f>IFERROR(__xludf.DUMMYFUNCTION("""COMPUTED_VALUE"""),2908.75)</f>
        <v>2908.75</v>
      </c>
      <c r="M3939" s="25">
        <f>IFERROR(__xludf.DUMMYFUNCTION("""COMPUTED_VALUE"""),2790988.0)</f>
        <v>2790988</v>
      </c>
    </row>
    <row r="3940">
      <c r="A3940" s="26">
        <f>IFERROR(__xludf.DUMMYFUNCTION("""COMPUTED_VALUE"""),44188.64583333333)</f>
        <v>44188.64583</v>
      </c>
      <c r="B3940" s="9">
        <f>IFERROR(__xludf.DUMMYFUNCTION("""COMPUTED_VALUE"""),1238.0)</f>
        <v>1238</v>
      </c>
      <c r="C3940" s="9">
        <f>IFERROR(__xludf.DUMMYFUNCTION("""COMPUTED_VALUE"""),1258.85)</f>
        <v>1258.85</v>
      </c>
      <c r="D3940" s="9">
        <f>IFERROR(__xludf.DUMMYFUNCTION("""COMPUTED_VALUE"""),1230.55)</f>
        <v>1230.55</v>
      </c>
      <c r="E3940" s="9">
        <f>IFERROR(__xludf.DUMMYFUNCTION("""COMPUTED_VALUE"""),1253.05)</f>
        <v>1253.05</v>
      </c>
      <c r="F3940" s="9">
        <f>IFERROR(__xludf.DUMMYFUNCTION("""COMPUTED_VALUE"""),1.5878346E7)</f>
        <v>15878346</v>
      </c>
      <c r="H3940" s="27">
        <f>IFERROR(__xludf.DUMMYFUNCTION("""COMPUTED_VALUE"""),44189.64583333333)</f>
        <v>44189.64583</v>
      </c>
      <c r="I3940" s="25">
        <f>IFERROR(__xludf.DUMMYFUNCTION("""COMPUTED_VALUE"""),2909.0)</f>
        <v>2909</v>
      </c>
      <c r="J3940" s="25">
        <f>IFERROR(__xludf.DUMMYFUNCTION("""COMPUTED_VALUE"""),2921.35)</f>
        <v>2921.35</v>
      </c>
      <c r="K3940" s="25">
        <f>IFERROR(__xludf.DUMMYFUNCTION("""COMPUTED_VALUE"""),2883.2)</f>
        <v>2883.2</v>
      </c>
      <c r="L3940" s="25">
        <f>IFERROR(__xludf.DUMMYFUNCTION("""COMPUTED_VALUE"""),2909.35)</f>
        <v>2909.35</v>
      </c>
      <c r="M3940" s="25">
        <f>IFERROR(__xludf.DUMMYFUNCTION("""COMPUTED_VALUE"""),1807144.0)</f>
        <v>1807144</v>
      </c>
    </row>
    <row r="3941">
      <c r="A3941" s="26">
        <f>IFERROR(__xludf.DUMMYFUNCTION("""COMPUTED_VALUE"""),44189.64583333333)</f>
        <v>44189.64583</v>
      </c>
      <c r="B3941" s="9">
        <f>IFERROR(__xludf.DUMMYFUNCTION("""COMPUTED_VALUE"""),1249.9)</f>
        <v>1249.9</v>
      </c>
      <c r="C3941" s="9">
        <f>IFERROR(__xludf.DUMMYFUNCTION("""COMPUTED_VALUE"""),1249.9)</f>
        <v>1249.9</v>
      </c>
      <c r="D3941" s="9">
        <f>IFERROR(__xludf.DUMMYFUNCTION("""COMPUTED_VALUE"""),1226.0)</f>
        <v>1226</v>
      </c>
      <c r="E3941" s="9">
        <f>IFERROR(__xludf.DUMMYFUNCTION("""COMPUTED_VALUE"""),1236.05)</f>
        <v>1236.05</v>
      </c>
      <c r="F3941" s="9">
        <f>IFERROR(__xludf.DUMMYFUNCTION("""COMPUTED_VALUE"""),7313885.0)</f>
        <v>7313885</v>
      </c>
      <c r="H3941" s="27">
        <f>IFERROR(__xludf.DUMMYFUNCTION("""COMPUTED_VALUE"""),44193.64583333333)</f>
        <v>44193.64583</v>
      </c>
      <c r="I3941" s="25">
        <f>IFERROR(__xludf.DUMMYFUNCTION("""COMPUTED_VALUE"""),2910.0)</f>
        <v>2910</v>
      </c>
      <c r="J3941" s="25">
        <f>IFERROR(__xludf.DUMMYFUNCTION("""COMPUTED_VALUE"""),2949.7)</f>
        <v>2949.7</v>
      </c>
      <c r="K3941" s="25">
        <f>IFERROR(__xludf.DUMMYFUNCTION("""COMPUTED_VALUE"""),2902.0)</f>
        <v>2902</v>
      </c>
      <c r="L3941" s="25">
        <f>IFERROR(__xludf.DUMMYFUNCTION("""COMPUTED_VALUE"""),2929.4)</f>
        <v>2929.4</v>
      </c>
      <c r="M3941" s="25">
        <f>IFERROR(__xludf.DUMMYFUNCTION("""COMPUTED_VALUE"""),2108994.0)</f>
        <v>2108994</v>
      </c>
    </row>
    <row r="3942">
      <c r="A3942" s="26">
        <f>IFERROR(__xludf.DUMMYFUNCTION("""COMPUTED_VALUE"""),44193.64583333333)</f>
        <v>44193.64583</v>
      </c>
      <c r="B3942" s="9">
        <f>IFERROR(__xludf.DUMMYFUNCTION("""COMPUTED_VALUE"""),1238.45)</f>
        <v>1238.45</v>
      </c>
      <c r="C3942" s="9">
        <f>IFERROR(__xludf.DUMMYFUNCTION("""COMPUTED_VALUE"""),1248.0)</f>
        <v>1248</v>
      </c>
      <c r="D3942" s="9">
        <f>IFERROR(__xludf.DUMMYFUNCTION("""COMPUTED_VALUE"""),1236.0)</f>
        <v>1236</v>
      </c>
      <c r="E3942" s="9">
        <f>IFERROR(__xludf.DUMMYFUNCTION("""COMPUTED_VALUE"""),1240.3)</f>
        <v>1240.3</v>
      </c>
      <c r="F3942" s="9">
        <f>IFERROR(__xludf.DUMMYFUNCTION("""COMPUTED_VALUE"""),4607051.0)</f>
        <v>4607051</v>
      </c>
      <c r="H3942" s="27">
        <f>IFERROR(__xludf.DUMMYFUNCTION("""COMPUTED_VALUE"""),44194.64583333333)</f>
        <v>44194.64583</v>
      </c>
      <c r="I3942" s="25">
        <f>IFERROR(__xludf.DUMMYFUNCTION("""COMPUTED_VALUE"""),2920.0)</f>
        <v>2920</v>
      </c>
      <c r="J3942" s="25">
        <f>IFERROR(__xludf.DUMMYFUNCTION("""COMPUTED_VALUE"""),2952.0)</f>
        <v>2952</v>
      </c>
      <c r="K3942" s="25">
        <f>IFERROR(__xludf.DUMMYFUNCTION("""COMPUTED_VALUE"""),2920.0)</f>
        <v>2920</v>
      </c>
      <c r="L3942" s="25">
        <f>IFERROR(__xludf.DUMMYFUNCTION("""COMPUTED_VALUE"""),2930.5)</f>
        <v>2930.5</v>
      </c>
      <c r="M3942" s="25">
        <f>IFERROR(__xludf.DUMMYFUNCTION("""COMPUTED_VALUE"""),1994151.0)</f>
        <v>1994151</v>
      </c>
    </row>
    <row r="3943">
      <c r="A3943" s="26">
        <f>IFERROR(__xludf.DUMMYFUNCTION("""COMPUTED_VALUE"""),44194.64583333333)</f>
        <v>44194.64583</v>
      </c>
      <c r="B3943" s="9">
        <f>IFERROR(__xludf.DUMMYFUNCTION("""COMPUTED_VALUE"""),1235.0)</f>
        <v>1235</v>
      </c>
      <c r="C3943" s="9">
        <f>IFERROR(__xludf.DUMMYFUNCTION("""COMPUTED_VALUE"""),1254.45)</f>
        <v>1254.45</v>
      </c>
      <c r="D3943" s="9">
        <f>IFERROR(__xludf.DUMMYFUNCTION("""COMPUTED_VALUE"""),1235.0)</f>
        <v>1235</v>
      </c>
      <c r="E3943" s="9">
        <f>IFERROR(__xludf.DUMMYFUNCTION("""COMPUTED_VALUE"""),1250.3)</f>
        <v>1250.3</v>
      </c>
      <c r="F3943" s="9">
        <f>IFERROR(__xludf.DUMMYFUNCTION("""COMPUTED_VALUE"""),6878105.0)</f>
        <v>6878105</v>
      </c>
      <c r="H3943" s="27">
        <f>IFERROR(__xludf.DUMMYFUNCTION("""COMPUTED_VALUE"""),44195.64583333333)</f>
        <v>44195.64583</v>
      </c>
      <c r="I3943" s="25">
        <f>IFERROR(__xludf.DUMMYFUNCTION("""COMPUTED_VALUE"""),2934.4)</f>
        <v>2934.4</v>
      </c>
      <c r="J3943" s="25">
        <f>IFERROR(__xludf.DUMMYFUNCTION("""COMPUTED_VALUE"""),2947.7)</f>
        <v>2947.7</v>
      </c>
      <c r="K3943" s="25">
        <f>IFERROR(__xludf.DUMMYFUNCTION("""COMPUTED_VALUE"""),2902.0)</f>
        <v>2902</v>
      </c>
      <c r="L3943" s="25">
        <f>IFERROR(__xludf.DUMMYFUNCTION("""COMPUTED_VALUE"""),2909.3)</f>
        <v>2909.3</v>
      </c>
      <c r="M3943" s="25">
        <f>IFERROR(__xludf.DUMMYFUNCTION("""COMPUTED_VALUE"""),2637968.0)</f>
        <v>2637968</v>
      </c>
    </row>
    <row r="3944">
      <c r="A3944" s="26">
        <f>IFERROR(__xludf.DUMMYFUNCTION("""COMPUTED_VALUE"""),44195.64583333333)</f>
        <v>44195.64583</v>
      </c>
      <c r="B3944" s="9">
        <f>IFERROR(__xludf.DUMMYFUNCTION("""COMPUTED_VALUE"""),1253.0)</f>
        <v>1253</v>
      </c>
      <c r="C3944" s="9">
        <f>IFERROR(__xludf.DUMMYFUNCTION("""COMPUTED_VALUE"""),1253.3)</f>
        <v>1253.3</v>
      </c>
      <c r="D3944" s="9">
        <f>IFERROR(__xludf.DUMMYFUNCTION("""COMPUTED_VALUE"""),1238.15)</f>
        <v>1238.15</v>
      </c>
      <c r="E3944" s="9">
        <f>IFERROR(__xludf.DUMMYFUNCTION("""COMPUTED_VALUE"""),1246.8)</f>
        <v>1246.8</v>
      </c>
      <c r="F3944" s="9">
        <f>IFERROR(__xludf.DUMMYFUNCTION("""COMPUTED_VALUE"""),5194690.0)</f>
        <v>5194690</v>
      </c>
      <c r="H3944" s="27">
        <f>IFERROR(__xludf.DUMMYFUNCTION("""COMPUTED_VALUE"""),44196.64583333333)</f>
        <v>44196.64583</v>
      </c>
      <c r="I3944" s="25">
        <f>IFERROR(__xludf.DUMMYFUNCTION("""COMPUTED_VALUE"""),2900.0)</f>
        <v>2900</v>
      </c>
      <c r="J3944" s="25">
        <f>IFERROR(__xludf.DUMMYFUNCTION("""COMPUTED_VALUE"""),2905.0)</f>
        <v>2905</v>
      </c>
      <c r="K3944" s="25">
        <f>IFERROR(__xludf.DUMMYFUNCTION("""COMPUTED_VALUE"""),2845.0)</f>
        <v>2845</v>
      </c>
      <c r="L3944" s="25">
        <f>IFERROR(__xludf.DUMMYFUNCTION("""COMPUTED_VALUE"""),2862.75)</f>
        <v>2862.75</v>
      </c>
      <c r="M3944" s="25">
        <f>IFERROR(__xludf.DUMMYFUNCTION("""COMPUTED_VALUE"""),4040956.0)</f>
        <v>4040956</v>
      </c>
    </row>
    <row r="3945">
      <c r="A3945" s="26">
        <f>IFERROR(__xludf.DUMMYFUNCTION("""COMPUTED_VALUE"""),44196.64583333333)</f>
        <v>44196.64583</v>
      </c>
      <c r="B3945" s="9">
        <f>IFERROR(__xludf.DUMMYFUNCTION("""COMPUTED_VALUE"""),1243.0)</f>
        <v>1243</v>
      </c>
      <c r="C3945" s="9">
        <f>IFERROR(__xludf.DUMMYFUNCTION("""COMPUTED_VALUE"""),1258.4)</f>
        <v>1258.4</v>
      </c>
      <c r="D3945" s="9">
        <f>IFERROR(__xludf.DUMMYFUNCTION("""COMPUTED_VALUE"""),1239.0)</f>
        <v>1239</v>
      </c>
      <c r="E3945" s="9">
        <f>IFERROR(__xludf.DUMMYFUNCTION("""COMPUTED_VALUE"""),1255.8)</f>
        <v>1255.8</v>
      </c>
      <c r="F3945" s="9">
        <f>IFERROR(__xludf.DUMMYFUNCTION("""COMPUTED_VALUE"""),7430470.0)</f>
        <v>7430470</v>
      </c>
      <c r="H3945" s="27">
        <f>IFERROR(__xludf.DUMMYFUNCTION("""COMPUTED_VALUE"""),44197.64583333333)</f>
        <v>44197.64583</v>
      </c>
      <c r="I3945" s="25">
        <f>IFERROR(__xludf.DUMMYFUNCTION("""COMPUTED_VALUE"""),2880.0)</f>
        <v>2880</v>
      </c>
      <c r="J3945" s="25">
        <f>IFERROR(__xludf.DUMMYFUNCTION("""COMPUTED_VALUE"""),2940.0)</f>
        <v>2940</v>
      </c>
      <c r="K3945" s="25">
        <f>IFERROR(__xludf.DUMMYFUNCTION("""COMPUTED_VALUE"""),2879.0)</f>
        <v>2879</v>
      </c>
      <c r="L3945" s="25">
        <f>IFERROR(__xludf.DUMMYFUNCTION("""COMPUTED_VALUE"""),2928.25)</f>
        <v>2928.25</v>
      </c>
      <c r="M3945" s="25">
        <f>IFERROR(__xludf.DUMMYFUNCTION("""COMPUTED_VALUE"""),2681440.0)</f>
        <v>2681440</v>
      </c>
    </row>
    <row r="3946">
      <c r="A3946" s="26">
        <f>IFERROR(__xludf.DUMMYFUNCTION("""COMPUTED_VALUE"""),44197.64583333333)</f>
        <v>44197.64583</v>
      </c>
      <c r="B3946" s="9">
        <f>IFERROR(__xludf.DUMMYFUNCTION("""COMPUTED_VALUE"""),1257.9)</f>
        <v>1257.9</v>
      </c>
      <c r="C3946" s="9">
        <f>IFERROR(__xludf.DUMMYFUNCTION("""COMPUTED_VALUE"""),1265.5)</f>
        <v>1265.5</v>
      </c>
      <c r="D3946" s="9">
        <f>IFERROR(__xludf.DUMMYFUNCTION("""COMPUTED_VALUE"""),1255.8)</f>
        <v>1255.8</v>
      </c>
      <c r="E3946" s="9">
        <f>IFERROR(__xludf.DUMMYFUNCTION("""COMPUTED_VALUE"""),1260.45)</f>
        <v>1260.45</v>
      </c>
      <c r="F3946" s="9">
        <f>IFERROR(__xludf.DUMMYFUNCTION("""COMPUTED_VALUE"""),4253550.0)</f>
        <v>4253550</v>
      </c>
      <c r="H3946" s="27">
        <f>IFERROR(__xludf.DUMMYFUNCTION("""COMPUTED_VALUE"""),44200.64583333333)</f>
        <v>44200.64583</v>
      </c>
      <c r="I3946" s="25">
        <f>IFERROR(__xludf.DUMMYFUNCTION("""COMPUTED_VALUE"""),2950.0)</f>
        <v>2950</v>
      </c>
      <c r="J3946" s="25">
        <f>IFERROR(__xludf.DUMMYFUNCTION("""COMPUTED_VALUE"""),3050.75)</f>
        <v>3050.75</v>
      </c>
      <c r="K3946" s="25">
        <f>IFERROR(__xludf.DUMMYFUNCTION("""COMPUTED_VALUE"""),2940.95)</f>
        <v>2940.95</v>
      </c>
      <c r="L3946" s="25">
        <f>IFERROR(__xludf.DUMMYFUNCTION("""COMPUTED_VALUE"""),3039.45)</f>
        <v>3039.45</v>
      </c>
      <c r="M3946" s="25">
        <f>IFERROR(__xludf.DUMMYFUNCTION("""COMPUTED_VALUE"""),5113293.0)</f>
        <v>5113293</v>
      </c>
    </row>
    <row r="3947">
      <c r="A3947" s="26">
        <f>IFERROR(__xludf.DUMMYFUNCTION("""COMPUTED_VALUE"""),44200.64583333333)</f>
        <v>44200.64583</v>
      </c>
      <c r="B3947" s="9">
        <f>IFERROR(__xludf.DUMMYFUNCTION("""COMPUTED_VALUE"""),1269.0)</f>
        <v>1269</v>
      </c>
      <c r="C3947" s="9">
        <f>IFERROR(__xludf.DUMMYFUNCTION("""COMPUTED_VALUE"""),1290.0)</f>
        <v>1290</v>
      </c>
      <c r="D3947" s="9">
        <f>IFERROR(__xludf.DUMMYFUNCTION("""COMPUTED_VALUE"""),1261.15)</f>
        <v>1261.15</v>
      </c>
      <c r="E3947" s="9">
        <f>IFERROR(__xludf.DUMMYFUNCTION("""COMPUTED_VALUE"""),1288.25)</f>
        <v>1288.25</v>
      </c>
      <c r="F3947" s="9">
        <f>IFERROR(__xludf.DUMMYFUNCTION("""COMPUTED_VALUE"""),7208454.0)</f>
        <v>7208454</v>
      </c>
      <c r="H3947" s="27">
        <f>IFERROR(__xludf.DUMMYFUNCTION("""COMPUTED_VALUE"""),44201.64583333333)</f>
        <v>44201.64583</v>
      </c>
      <c r="I3947" s="25">
        <f>IFERROR(__xludf.DUMMYFUNCTION("""COMPUTED_VALUE"""),3039.6)</f>
        <v>3039.6</v>
      </c>
      <c r="J3947" s="25">
        <f>IFERROR(__xludf.DUMMYFUNCTION("""COMPUTED_VALUE"""),3114.25)</f>
        <v>3114.25</v>
      </c>
      <c r="K3947" s="25">
        <f>IFERROR(__xludf.DUMMYFUNCTION("""COMPUTED_VALUE"""),3039.6)</f>
        <v>3039.6</v>
      </c>
      <c r="L3947" s="25">
        <f>IFERROR(__xludf.DUMMYFUNCTION("""COMPUTED_VALUE"""),3093.0)</f>
        <v>3093</v>
      </c>
      <c r="M3947" s="25">
        <f>IFERROR(__xludf.DUMMYFUNCTION("""COMPUTED_VALUE"""),5801309.0)</f>
        <v>5801309</v>
      </c>
    </row>
    <row r="3948">
      <c r="A3948" s="26">
        <f>IFERROR(__xludf.DUMMYFUNCTION("""COMPUTED_VALUE"""),44201.64583333333)</f>
        <v>44201.64583</v>
      </c>
      <c r="B3948" s="9">
        <f>IFERROR(__xludf.DUMMYFUNCTION("""COMPUTED_VALUE"""),1282.0)</f>
        <v>1282</v>
      </c>
      <c r="C3948" s="9">
        <f>IFERROR(__xludf.DUMMYFUNCTION("""COMPUTED_VALUE"""),1299.0)</f>
        <v>1299</v>
      </c>
      <c r="D3948" s="9">
        <f>IFERROR(__xludf.DUMMYFUNCTION("""COMPUTED_VALUE"""),1275.05)</f>
        <v>1275.05</v>
      </c>
      <c r="E3948" s="9">
        <f>IFERROR(__xludf.DUMMYFUNCTION("""COMPUTED_VALUE"""),1293.8)</f>
        <v>1293.8</v>
      </c>
      <c r="F3948" s="9">
        <f>IFERROR(__xludf.DUMMYFUNCTION("""COMPUTED_VALUE"""),8145280.0)</f>
        <v>8145280</v>
      </c>
      <c r="H3948" s="27">
        <f>IFERROR(__xludf.DUMMYFUNCTION("""COMPUTED_VALUE"""),44202.64583333333)</f>
        <v>44202.64583</v>
      </c>
      <c r="I3948" s="25">
        <f>IFERROR(__xludf.DUMMYFUNCTION("""COMPUTED_VALUE"""),3100.0)</f>
        <v>3100</v>
      </c>
      <c r="J3948" s="25">
        <f>IFERROR(__xludf.DUMMYFUNCTION("""COMPUTED_VALUE"""),3113.5)</f>
        <v>3113.5</v>
      </c>
      <c r="K3948" s="25">
        <f>IFERROR(__xludf.DUMMYFUNCTION("""COMPUTED_VALUE"""),3037.2)</f>
        <v>3037.2</v>
      </c>
      <c r="L3948" s="25">
        <f>IFERROR(__xludf.DUMMYFUNCTION("""COMPUTED_VALUE"""),3051.5)</f>
        <v>3051.5</v>
      </c>
      <c r="M3948" s="25">
        <f>IFERROR(__xludf.DUMMYFUNCTION("""COMPUTED_VALUE"""),3726716.0)</f>
        <v>3726716</v>
      </c>
    </row>
    <row r="3949">
      <c r="A3949" s="26">
        <f>IFERROR(__xludf.DUMMYFUNCTION("""COMPUTED_VALUE"""),44202.64583333333)</f>
        <v>44202.64583</v>
      </c>
      <c r="B3949" s="9">
        <f>IFERROR(__xludf.DUMMYFUNCTION("""COMPUTED_VALUE"""),1300.0)</f>
        <v>1300</v>
      </c>
      <c r="C3949" s="9">
        <f>IFERROR(__xludf.DUMMYFUNCTION("""COMPUTED_VALUE"""),1302.0)</f>
        <v>1302</v>
      </c>
      <c r="D3949" s="9">
        <f>IFERROR(__xludf.DUMMYFUNCTION("""COMPUTED_VALUE"""),1268.05)</f>
        <v>1268.05</v>
      </c>
      <c r="E3949" s="9">
        <f>IFERROR(__xludf.DUMMYFUNCTION("""COMPUTED_VALUE"""),1282.1)</f>
        <v>1282.1</v>
      </c>
      <c r="F3949" s="9">
        <f>IFERROR(__xludf.DUMMYFUNCTION("""COMPUTED_VALUE"""),7161715.0)</f>
        <v>7161715</v>
      </c>
      <c r="H3949" s="27">
        <f>IFERROR(__xludf.DUMMYFUNCTION("""COMPUTED_VALUE"""),44203.64583333333)</f>
        <v>44203.64583</v>
      </c>
      <c r="I3949" s="25">
        <f>IFERROR(__xludf.DUMMYFUNCTION("""COMPUTED_VALUE"""),3075.0)</f>
        <v>3075</v>
      </c>
      <c r="J3949" s="25">
        <f>IFERROR(__xludf.DUMMYFUNCTION("""COMPUTED_VALUE"""),3080.85)</f>
        <v>3080.85</v>
      </c>
      <c r="K3949" s="25">
        <f>IFERROR(__xludf.DUMMYFUNCTION("""COMPUTED_VALUE"""),3000.25)</f>
        <v>3000.25</v>
      </c>
      <c r="L3949" s="25">
        <f>IFERROR(__xludf.DUMMYFUNCTION("""COMPUTED_VALUE"""),3032.8)</f>
        <v>3032.8</v>
      </c>
      <c r="M3949" s="25">
        <f>IFERROR(__xludf.DUMMYFUNCTION("""COMPUTED_VALUE"""),3717827.0)</f>
        <v>3717827</v>
      </c>
    </row>
    <row r="3950">
      <c r="A3950" s="26">
        <f>IFERROR(__xludf.DUMMYFUNCTION("""COMPUTED_VALUE"""),44203.64583333333)</f>
        <v>44203.64583</v>
      </c>
      <c r="B3950" s="9">
        <f>IFERROR(__xludf.DUMMYFUNCTION("""COMPUTED_VALUE"""),1296.0)</f>
        <v>1296</v>
      </c>
      <c r="C3950" s="9">
        <f>IFERROR(__xludf.DUMMYFUNCTION("""COMPUTED_VALUE"""),1297.65)</f>
        <v>1297.65</v>
      </c>
      <c r="D3950" s="9">
        <f>IFERROR(__xludf.DUMMYFUNCTION("""COMPUTED_VALUE"""),1255.5)</f>
        <v>1255.5</v>
      </c>
      <c r="E3950" s="9">
        <f>IFERROR(__xludf.DUMMYFUNCTION("""COMPUTED_VALUE"""),1262.15)</f>
        <v>1262.15</v>
      </c>
      <c r="F3950" s="9">
        <f>IFERROR(__xludf.DUMMYFUNCTION("""COMPUTED_VALUE"""),1.0954918E7)</f>
        <v>10954918</v>
      </c>
      <c r="H3950" s="27">
        <f>IFERROR(__xludf.DUMMYFUNCTION("""COMPUTED_VALUE"""),44204.64583333333)</f>
        <v>44204.64583</v>
      </c>
      <c r="I3950" s="25">
        <f>IFERROR(__xludf.DUMMYFUNCTION("""COMPUTED_VALUE"""),3090.0)</f>
        <v>3090</v>
      </c>
      <c r="J3950" s="25">
        <f>IFERROR(__xludf.DUMMYFUNCTION("""COMPUTED_VALUE"""),3128.0)</f>
        <v>3128</v>
      </c>
      <c r="K3950" s="25">
        <f>IFERROR(__xludf.DUMMYFUNCTION("""COMPUTED_VALUE"""),3060.0)</f>
        <v>3060</v>
      </c>
      <c r="L3950" s="25">
        <f>IFERROR(__xludf.DUMMYFUNCTION("""COMPUTED_VALUE"""),3120.9)</f>
        <v>3120.9</v>
      </c>
      <c r="M3950" s="25">
        <f>IFERROR(__xludf.DUMMYFUNCTION("""COMPUTED_VALUE"""),5879039.0)</f>
        <v>5879039</v>
      </c>
    </row>
    <row r="3951">
      <c r="A3951" s="26">
        <f>IFERROR(__xludf.DUMMYFUNCTION("""COMPUTED_VALUE"""),44204.64583333333)</f>
        <v>44204.64583</v>
      </c>
      <c r="B3951" s="9">
        <f>IFERROR(__xludf.DUMMYFUNCTION("""COMPUTED_VALUE"""),1278.25)</f>
        <v>1278.25</v>
      </c>
      <c r="C3951" s="9">
        <f>IFERROR(__xludf.DUMMYFUNCTION("""COMPUTED_VALUE"""),1316.8)</f>
        <v>1316.8</v>
      </c>
      <c r="D3951" s="9">
        <f>IFERROR(__xludf.DUMMYFUNCTION("""COMPUTED_VALUE"""),1278.25)</f>
        <v>1278.25</v>
      </c>
      <c r="E3951" s="9">
        <f>IFERROR(__xludf.DUMMYFUNCTION("""COMPUTED_VALUE"""),1312.1)</f>
        <v>1312.1</v>
      </c>
      <c r="F3951" s="9">
        <f>IFERROR(__xludf.DUMMYFUNCTION("""COMPUTED_VALUE"""),1.3186251E7)</f>
        <v>13186251</v>
      </c>
      <c r="H3951" s="27">
        <f>IFERROR(__xludf.DUMMYFUNCTION("""COMPUTED_VALUE"""),44207.64583333333)</f>
        <v>44207.64583</v>
      </c>
      <c r="I3951" s="25">
        <f>IFERROR(__xludf.DUMMYFUNCTION("""COMPUTED_VALUE"""),3230.0)</f>
        <v>3230</v>
      </c>
      <c r="J3951" s="25">
        <f>IFERROR(__xludf.DUMMYFUNCTION("""COMPUTED_VALUE"""),3230.0)</f>
        <v>3230</v>
      </c>
      <c r="K3951" s="25">
        <f>IFERROR(__xludf.DUMMYFUNCTION("""COMPUTED_VALUE"""),3146.55)</f>
        <v>3146.55</v>
      </c>
      <c r="L3951" s="25">
        <f>IFERROR(__xludf.DUMMYFUNCTION("""COMPUTED_VALUE"""),3176.45)</f>
        <v>3176.45</v>
      </c>
      <c r="M3951" s="25">
        <f>IFERROR(__xludf.DUMMYFUNCTION("""COMPUTED_VALUE"""),9508039.0)</f>
        <v>9508039</v>
      </c>
    </row>
    <row r="3952">
      <c r="A3952" s="26">
        <f>IFERROR(__xludf.DUMMYFUNCTION("""COMPUTED_VALUE"""),44207.64583333333)</f>
        <v>44207.64583</v>
      </c>
      <c r="B3952" s="9">
        <f>IFERROR(__xludf.DUMMYFUNCTION("""COMPUTED_VALUE"""),1342.1)</f>
        <v>1342.1</v>
      </c>
      <c r="C3952" s="9">
        <f>IFERROR(__xludf.DUMMYFUNCTION("""COMPUTED_VALUE"""),1383.35)</f>
        <v>1383.35</v>
      </c>
      <c r="D3952" s="9">
        <f>IFERROR(__xludf.DUMMYFUNCTION("""COMPUTED_VALUE"""),1340.0)</f>
        <v>1340</v>
      </c>
      <c r="E3952" s="9">
        <f>IFERROR(__xludf.DUMMYFUNCTION("""COMPUTED_VALUE"""),1376.2)</f>
        <v>1376.2</v>
      </c>
      <c r="F3952" s="9">
        <f>IFERROR(__xludf.DUMMYFUNCTION("""COMPUTED_VALUE"""),2.0528626E7)</f>
        <v>20528626</v>
      </c>
      <c r="H3952" s="27">
        <f>IFERROR(__xludf.DUMMYFUNCTION("""COMPUTED_VALUE"""),44208.64583333333)</f>
        <v>44208.64583</v>
      </c>
      <c r="I3952" s="25">
        <f>IFERROR(__xludf.DUMMYFUNCTION("""COMPUTED_VALUE"""),3176.45)</f>
        <v>3176.45</v>
      </c>
      <c r="J3952" s="25">
        <f>IFERROR(__xludf.DUMMYFUNCTION("""COMPUTED_VALUE"""),3210.0)</f>
        <v>3210</v>
      </c>
      <c r="K3952" s="25">
        <f>IFERROR(__xludf.DUMMYFUNCTION("""COMPUTED_VALUE"""),3150.0)</f>
        <v>3150</v>
      </c>
      <c r="L3952" s="25">
        <f>IFERROR(__xludf.DUMMYFUNCTION("""COMPUTED_VALUE"""),3174.85)</f>
        <v>3174.85</v>
      </c>
      <c r="M3952" s="25">
        <f>IFERROR(__xludf.DUMMYFUNCTION("""COMPUTED_VALUE"""),3611458.0)</f>
        <v>3611458</v>
      </c>
    </row>
    <row r="3953">
      <c r="A3953" s="26">
        <f>IFERROR(__xludf.DUMMYFUNCTION("""COMPUTED_VALUE"""),44208.64583333333)</f>
        <v>44208.64583</v>
      </c>
      <c r="B3953" s="9">
        <f>IFERROR(__xludf.DUMMYFUNCTION("""COMPUTED_VALUE"""),1378.0)</f>
        <v>1378</v>
      </c>
      <c r="C3953" s="9">
        <f>IFERROR(__xludf.DUMMYFUNCTION("""COMPUTED_VALUE"""),1378.0)</f>
        <v>1378</v>
      </c>
      <c r="D3953" s="9">
        <f>IFERROR(__xludf.DUMMYFUNCTION("""COMPUTED_VALUE"""),1360.0)</f>
        <v>1360</v>
      </c>
      <c r="E3953" s="9">
        <f>IFERROR(__xludf.DUMMYFUNCTION("""COMPUTED_VALUE"""),1371.75)</f>
        <v>1371.75</v>
      </c>
      <c r="F3953" s="9">
        <f>IFERROR(__xludf.DUMMYFUNCTION("""COMPUTED_VALUE"""),8309868.0)</f>
        <v>8309868</v>
      </c>
      <c r="H3953" s="27">
        <f>IFERROR(__xludf.DUMMYFUNCTION("""COMPUTED_VALUE"""),44209.64583333333)</f>
        <v>44209.64583</v>
      </c>
      <c r="I3953" s="25">
        <f>IFERROR(__xludf.DUMMYFUNCTION("""COMPUTED_VALUE"""),3175.0)</f>
        <v>3175</v>
      </c>
      <c r="J3953" s="25">
        <f>IFERROR(__xludf.DUMMYFUNCTION("""COMPUTED_VALUE"""),3177.0)</f>
        <v>3177</v>
      </c>
      <c r="K3953" s="25">
        <f>IFERROR(__xludf.DUMMYFUNCTION("""COMPUTED_VALUE"""),3126.25)</f>
        <v>3126.25</v>
      </c>
      <c r="L3953" s="25">
        <f>IFERROR(__xludf.DUMMYFUNCTION("""COMPUTED_VALUE"""),3158.95)</f>
        <v>3158.95</v>
      </c>
      <c r="M3953" s="25">
        <f>IFERROR(__xludf.DUMMYFUNCTION("""COMPUTED_VALUE"""),3572801.0)</f>
        <v>3572801</v>
      </c>
    </row>
    <row r="3954">
      <c r="A3954" s="26">
        <f>IFERROR(__xludf.DUMMYFUNCTION("""COMPUTED_VALUE"""),44209.64583333333)</f>
        <v>44209.64583</v>
      </c>
      <c r="B3954" s="9">
        <f>IFERROR(__xludf.DUMMYFUNCTION("""COMPUTED_VALUE"""),1373.85)</f>
        <v>1373.85</v>
      </c>
      <c r="C3954" s="9">
        <f>IFERROR(__xludf.DUMMYFUNCTION("""COMPUTED_VALUE"""),1392.8)</f>
        <v>1392.8</v>
      </c>
      <c r="D3954" s="9">
        <f>IFERROR(__xludf.DUMMYFUNCTION("""COMPUTED_VALUE"""),1360.0)</f>
        <v>1360</v>
      </c>
      <c r="E3954" s="9">
        <f>IFERROR(__xludf.DUMMYFUNCTION("""COMPUTED_VALUE"""),1387.15)</f>
        <v>1387.15</v>
      </c>
      <c r="F3954" s="9">
        <f>IFERROR(__xludf.DUMMYFUNCTION("""COMPUTED_VALUE"""),1.4442997E7)</f>
        <v>14442997</v>
      </c>
      <c r="H3954" s="27">
        <f>IFERROR(__xludf.DUMMYFUNCTION("""COMPUTED_VALUE"""),44210.64583333333)</f>
        <v>44210.64583</v>
      </c>
      <c r="I3954" s="25">
        <f>IFERROR(__xludf.DUMMYFUNCTION("""COMPUTED_VALUE"""),3155.0)</f>
        <v>3155</v>
      </c>
      <c r="J3954" s="25">
        <f>IFERROR(__xludf.DUMMYFUNCTION("""COMPUTED_VALUE"""),3266.5)</f>
        <v>3266.5</v>
      </c>
      <c r="K3954" s="25">
        <f>IFERROR(__xludf.DUMMYFUNCTION("""COMPUTED_VALUE"""),3120.4)</f>
        <v>3120.4</v>
      </c>
      <c r="L3954" s="25">
        <f>IFERROR(__xludf.DUMMYFUNCTION("""COMPUTED_VALUE"""),3250.7)</f>
        <v>3250.7</v>
      </c>
      <c r="M3954" s="25">
        <f>IFERROR(__xludf.DUMMYFUNCTION("""COMPUTED_VALUE"""),6931542.0)</f>
        <v>6931542</v>
      </c>
    </row>
    <row r="3955">
      <c r="A3955" s="26">
        <f>IFERROR(__xludf.DUMMYFUNCTION("""COMPUTED_VALUE"""),44210.64583333333)</f>
        <v>44210.64583</v>
      </c>
      <c r="B3955" s="9">
        <f>IFERROR(__xludf.DUMMYFUNCTION("""COMPUTED_VALUE"""),1360.0)</f>
        <v>1360</v>
      </c>
      <c r="C3955" s="9">
        <f>IFERROR(__xludf.DUMMYFUNCTION("""COMPUTED_VALUE"""),1384.0)</f>
        <v>1384</v>
      </c>
      <c r="D3955" s="9">
        <f>IFERROR(__xludf.DUMMYFUNCTION("""COMPUTED_VALUE"""),1318.45)</f>
        <v>1318.45</v>
      </c>
      <c r="E3955" s="9">
        <f>IFERROR(__xludf.DUMMYFUNCTION("""COMPUTED_VALUE"""),1370.5)</f>
        <v>1370.5</v>
      </c>
      <c r="F3955" s="9">
        <f>IFERROR(__xludf.DUMMYFUNCTION("""COMPUTED_VALUE"""),2.7521697E7)</f>
        <v>27521697</v>
      </c>
      <c r="H3955" s="27">
        <f>IFERROR(__xludf.DUMMYFUNCTION("""COMPUTED_VALUE"""),44211.64583333333)</f>
        <v>44211.64583</v>
      </c>
      <c r="I3955" s="25">
        <f>IFERROR(__xludf.DUMMYFUNCTION("""COMPUTED_VALUE"""),3235.0)</f>
        <v>3235</v>
      </c>
      <c r="J3955" s="25">
        <f>IFERROR(__xludf.DUMMYFUNCTION("""COMPUTED_VALUE"""),3274.0)</f>
        <v>3274</v>
      </c>
      <c r="K3955" s="25">
        <f>IFERROR(__xludf.DUMMYFUNCTION("""COMPUTED_VALUE"""),3210.0)</f>
        <v>3210</v>
      </c>
      <c r="L3955" s="25">
        <f>IFERROR(__xludf.DUMMYFUNCTION("""COMPUTED_VALUE"""),3233.35)</f>
        <v>3233.35</v>
      </c>
      <c r="M3955" s="25">
        <f>IFERROR(__xludf.DUMMYFUNCTION("""COMPUTED_VALUE"""),4131692.0)</f>
        <v>4131692</v>
      </c>
    </row>
    <row r="3956">
      <c r="A3956" s="26">
        <f>IFERROR(__xludf.DUMMYFUNCTION("""COMPUTED_VALUE"""),44211.64583333333)</f>
        <v>44211.64583</v>
      </c>
      <c r="B3956" s="9">
        <f>IFERROR(__xludf.DUMMYFUNCTION("""COMPUTED_VALUE"""),1360.0)</f>
        <v>1360</v>
      </c>
      <c r="C3956" s="9">
        <f>IFERROR(__xludf.DUMMYFUNCTION("""COMPUTED_VALUE"""),1364.45)</f>
        <v>1364.45</v>
      </c>
      <c r="D3956" s="9">
        <f>IFERROR(__xludf.DUMMYFUNCTION("""COMPUTED_VALUE"""),1340.0)</f>
        <v>1340</v>
      </c>
      <c r="E3956" s="9">
        <f>IFERROR(__xludf.DUMMYFUNCTION("""COMPUTED_VALUE"""),1344.95)</f>
        <v>1344.95</v>
      </c>
      <c r="F3956" s="9">
        <f>IFERROR(__xludf.DUMMYFUNCTION("""COMPUTED_VALUE"""),1.5018441E7)</f>
        <v>15018441</v>
      </c>
      <c r="H3956" s="27">
        <f>IFERROR(__xludf.DUMMYFUNCTION("""COMPUTED_VALUE"""),44214.64583333333)</f>
        <v>44214.64583</v>
      </c>
      <c r="I3956" s="25">
        <f>IFERROR(__xludf.DUMMYFUNCTION("""COMPUTED_VALUE"""),3250.0)</f>
        <v>3250</v>
      </c>
      <c r="J3956" s="25">
        <f>IFERROR(__xludf.DUMMYFUNCTION("""COMPUTED_VALUE"""),3256.75)</f>
        <v>3256.75</v>
      </c>
      <c r="K3956" s="25">
        <f>IFERROR(__xludf.DUMMYFUNCTION("""COMPUTED_VALUE"""),3187.4)</f>
        <v>3187.4</v>
      </c>
      <c r="L3956" s="25">
        <f>IFERROR(__xludf.DUMMYFUNCTION("""COMPUTED_VALUE"""),3221.75)</f>
        <v>3221.75</v>
      </c>
      <c r="M3956" s="25">
        <f>IFERROR(__xludf.DUMMYFUNCTION("""COMPUTED_VALUE"""),4160906.0)</f>
        <v>4160906</v>
      </c>
    </row>
    <row r="3957">
      <c r="A3957" s="26">
        <f>IFERROR(__xludf.DUMMYFUNCTION("""COMPUTED_VALUE"""),44214.64583333333)</f>
        <v>44214.64583</v>
      </c>
      <c r="B3957" s="9">
        <f>IFERROR(__xludf.DUMMYFUNCTION("""COMPUTED_VALUE"""),1338.0)</f>
        <v>1338</v>
      </c>
      <c r="C3957" s="9">
        <f>IFERROR(__xludf.DUMMYFUNCTION("""COMPUTED_VALUE"""),1340.0)</f>
        <v>1340</v>
      </c>
      <c r="D3957" s="9">
        <f>IFERROR(__xludf.DUMMYFUNCTION("""COMPUTED_VALUE"""),1306.0)</f>
        <v>1306</v>
      </c>
      <c r="E3957" s="9">
        <f>IFERROR(__xludf.DUMMYFUNCTION("""COMPUTED_VALUE"""),1312.05)</f>
        <v>1312.05</v>
      </c>
      <c r="F3957" s="9">
        <f>IFERROR(__xludf.DUMMYFUNCTION("""COMPUTED_VALUE"""),8861765.0)</f>
        <v>8861765</v>
      </c>
      <c r="H3957" s="27">
        <f>IFERROR(__xludf.DUMMYFUNCTION("""COMPUTED_VALUE"""),44215.64583333333)</f>
        <v>44215.64583</v>
      </c>
      <c r="I3957" s="25">
        <f>IFERROR(__xludf.DUMMYFUNCTION("""COMPUTED_VALUE"""),3233.0)</f>
        <v>3233</v>
      </c>
      <c r="J3957" s="25">
        <f>IFERROR(__xludf.DUMMYFUNCTION("""COMPUTED_VALUE"""),3279.0)</f>
        <v>3279</v>
      </c>
      <c r="K3957" s="25">
        <f>IFERROR(__xludf.DUMMYFUNCTION("""COMPUTED_VALUE"""),3232.0)</f>
        <v>3232</v>
      </c>
      <c r="L3957" s="25">
        <f>IFERROR(__xludf.DUMMYFUNCTION("""COMPUTED_VALUE"""),3260.7)</f>
        <v>3260.7</v>
      </c>
      <c r="M3957" s="25">
        <f>IFERROR(__xludf.DUMMYFUNCTION("""COMPUTED_VALUE"""),2975735.0)</f>
        <v>2975735</v>
      </c>
    </row>
    <row r="3958">
      <c r="A3958" s="26">
        <f>IFERROR(__xludf.DUMMYFUNCTION("""COMPUTED_VALUE"""),44215.64583333333)</f>
        <v>44215.64583</v>
      </c>
      <c r="B3958" s="9">
        <f>IFERROR(__xludf.DUMMYFUNCTION("""COMPUTED_VALUE"""),1320.0)</f>
        <v>1320</v>
      </c>
      <c r="C3958" s="9">
        <f>IFERROR(__xludf.DUMMYFUNCTION("""COMPUTED_VALUE"""),1331.0)</f>
        <v>1331</v>
      </c>
      <c r="D3958" s="9">
        <f>IFERROR(__xludf.DUMMYFUNCTION("""COMPUTED_VALUE"""),1312.0)</f>
        <v>1312</v>
      </c>
      <c r="E3958" s="9">
        <f>IFERROR(__xludf.DUMMYFUNCTION("""COMPUTED_VALUE"""),1316.65)</f>
        <v>1316.65</v>
      </c>
      <c r="F3958" s="9">
        <f>IFERROR(__xludf.DUMMYFUNCTION("""COMPUTED_VALUE"""),5585744.0)</f>
        <v>5585744</v>
      </c>
      <c r="H3958" s="27">
        <f>IFERROR(__xludf.DUMMYFUNCTION("""COMPUTED_VALUE"""),44216.64583333333)</f>
        <v>44216.64583</v>
      </c>
      <c r="I3958" s="25">
        <f>IFERROR(__xludf.DUMMYFUNCTION("""COMPUTED_VALUE"""),3270.0)</f>
        <v>3270</v>
      </c>
      <c r="J3958" s="25">
        <f>IFERROR(__xludf.DUMMYFUNCTION("""COMPUTED_VALUE"""),3327.95)</f>
        <v>3327.95</v>
      </c>
      <c r="K3958" s="25">
        <f>IFERROR(__xludf.DUMMYFUNCTION("""COMPUTED_VALUE"""),3267.1)</f>
        <v>3267.1</v>
      </c>
      <c r="L3958" s="25">
        <f>IFERROR(__xludf.DUMMYFUNCTION("""COMPUTED_VALUE"""),3308.8)</f>
        <v>3308.8</v>
      </c>
      <c r="M3958" s="25">
        <f>IFERROR(__xludf.DUMMYFUNCTION("""COMPUTED_VALUE"""),3453446.0)</f>
        <v>3453446</v>
      </c>
    </row>
    <row r="3959">
      <c r="A3959" s="26">
        <f>IFERROR(__xludf.DUMMYFUNCTION("""COMPUTED_VALUE"""),44216.64583333333)</f>
        <v>44216.64583</v>
      </c>
      <c r="B3959" s="9">
        <f>IFERROR(__xludf.DUMMYFUNCTION("""COMPUTED_VALUE"""),1320.55)</f>
        <v>1320.55</v>
      </c>
      <c r="C3959" s="9">
        <f>IFERROR(__xludf.DUMMYFUNCTION("""COMPUTED_VALUE"""),1348.4)</f>
        <v>1348.4</v>
      </c>
      <c r="D3959" s="9">
        <f>IFERROR(__xludf.DUMMYFUNCTION("""COMPUTED_VALUE"""),1320.55)</f>
        <v>1320.55</v>
      </c>
      <c r="E3959" s="9">
        <f>IFERROR(__xludf.DUMMYFUNCTION("""COMPUTED_VALUE"""),1339.45)</f>
        <v>1339.45</v>
      </c>
      <c r="F3959" s="9">
        <f>IFERROR(__xludf.DUMMYFUNCTION("""COMPUTED_VALUE"""),8225838.0)</f>
        <v>8225838</v>
      </c>
      <c r="H3959" s="27">
        <f>IFERROR(__xludf.DUMMYFUNCTION("""COMPUTED_VALUE"""),44217.64583333333)</f>
        <v>44217.64583</v>
      </c>
      <c r="I3959" s="25">
        <f>IFERROR(__xludf.DUMMYFUNCTION("""COMPUTED_VALUE"""),3305.0)</f>
        <v>3305</v>
      </c>
      <c r="J3959" s="25">
        <f>IFERROR(__xludf.DUMMYFUNCTION("""COMPUTED_VALUE"""),3309.15)</f>
        <v>3309.15</v>
      </c>
      <c r="K3959" s="25">
        <f>IFERROR(__xludf.DUMMYFUNCTION("""COMPUTED_VALUE"""),3262.1)</f>
        <v>3262.1</v>
      </c>
      <c r="L3959" s="25">
        <f>IFERROR(__xludf.DUMMYFUNCTION("""COMPUTED_VALUE"""),3273.85)</f>
        <v>3273.85</v>
      </c>
      <c r="M3959" s="25">
        <f>IFERROR(__xludf.DUMMYFUNCTION("""COMPUTED_VALUE"""),2778546.0)</f>
        <v>2778546</v>
      </c>
    </row>
    <row r="3960">
      <c r="A3960" s="26">
        <f>IFERROR(__xludf.DUMMYFUNCTION("""COMPUTED_VALUE"""),44217.64583333333)</f>
        <v>44217.64583</v>
      </c>
      <c r="B3960" s="9">
        <f>IFERROR(__xludf.DUMMYFUNCTION("""COMPUTED_VALUE"""),1350.0)</f>
        <v>1350</v>
      </c>
      <c r="C3960" s="9">
        <f>IFERROR(__xludf.DUMMYFUNCTION("""COMPUTED_VALUE"""),1361.05)</f>
        <v>1361.05</v>
      </c>
      <c r="D3960" s="9">
        <f>IFERROR(__xludf.DUMMYFUNCTION("""COMPUTED_VALUE"""),1335.0)</f>
        <v>1335</v>
      </c>
      <c r="E3960" s="9">
        <f>IFERROR(__xludf.DUMMYFUNCTION("""COMPUTED_VALUE"""),1339.7)</f>
        <v>1339.7</v>
      </c>
      <c r="F3960" s="9">
        <f>IFERROR(__xludf.DUMMYFUNCTION("""COMPUTED_VALUE"""),6142421.0)</f>
        <v>6142421</v>
      </c>
      <c r="H3960" s="27">
        <f>IFERROR(__xludf.DUMMYFUNCTION("""COMPUTED_VALUE"""),44218.64583333333)</f>
        <v>44218.64583</v>
      </c>
      <c r="I3960" s="25">
        <f>IFERROR(__xludf.DUMMYFUNCTION("""COMPUTED_VALUE"""),3241.9)</f>
        <v>3241.9</v>
      </c>
      <c r="J3960" s="25">
        <f>IFERROR(__xludf.DUMMYFUNCTION("""COMPUTED_VALUE"""),3325.0)</f>
        <v>3325</v>
      </c>
      <c r="K3960" s="25">
        <f>IFERROR(__xludf.DUMMYFUNCTION("""COMPUTED_VALUE"""),3241.9)</f>
        <v>3241.9</v>
      </c>
      <c r="L3960" s="25">
        <f>IFERROR(__xludf.DUMMYFUNCTION("""COMPUTED_VALUE"""),3303.1)</f>
        <v>3303.1</v>
      </c>
      <c r="M3960" s="25">
        <f>IFERROR(__xludf.DUMMYFUNCTION("""COMPUTED_VALUE"""),3052459.0)</f>
        <v>3052459</v>
      </c>
    </row>
    <row r="3961">
      <c r="A3961" s="26">
        <f>IFERROR(__xludf.DUMMYFUNCTION("""COMPUTED_VALUE"""),44218.64583333333)</f>
        <v>44218.64583</v>
      </c>
      <c r="B3961" s="9">
        <f>IFERROR(__xludf.DUMMYFUNCTION("""COMPUTED_VALUE"""),1327.0)</f>
        <v>1327</v>
      </c>
      <c r="C3961" s="9">
        <f>IFERROR(__xludf.DUMMYFUNCTION("""COMPUTED_VALUE"""),1356.0)</f>
        <v>1356</v>
      </c>
      <c r="D3961" s="9">
        <f>IFERROR(__xludf.DUMMYFUNCTION("""COMPUTED_VALUE"""),1326.55)</f>
        <v>1326.55</v>
      </c>
      <c r="E3961" s="9">
        <f>IFERROR(__xludf.DUMMYFUNCTION("""COMPUTED_VALUE"""),1340.85)</f>
        <v>1340.85</v>
      </c>
      <c r="F3961" s="9">
        <f>IFERROR(__xludf.DUMMYFUNCTION("""COMPUTED_VALUE"""),9646591.0)</f>
        <v>9646591</v>
      </c>
      <c r="H3961" s="27">
        <f>IFERROR(__xludf.DUMMYFUNCTION("""COMPUTED_VALUE"""),44221.64583333333)</f>
        <v>44221.64583</v>
      </c>
      <c r="I3961" s="25">
        <f>IFERROR(__xludf.DUMMYFUNCTION("""COMPUTED_VALUE"""),3308.95)</f>
        <v>3308.95</v>
      </c>
      <c r="J3961" s="25">
        <f>IFERROR(__xludf.DUMMYFUNCTION("""COMPUTED_VALUE"""),3339.8)</f>
        <v>3339.8</v>
      </c>
      <c r="K3961" s="25">
        <f>IFERROR(__xludf.DUMMYFUNCTION("""COMPUTED_VALUE"""),3278.65)</f>
        <v>3278.65</v>
      </c>
      <c r="L3961" s="25">
        <f>IFERROR(__xludf.DUMMYFUNCTION("""COMPUTED_VALUE"""),3291.3)</f>
        <v>3291.3</v>
      </c>
      <c r="M3961" s="25">
        <f>IFERROR(__xludf.DUMMYFUNCTION("""COMPUTED_VALUE"""),2272887.0)</f>
        <v>2272887</v>
      </c>
    </row>
    <row r="3962">
      <c r="A3962" s="26">
        <f>IFERROR(__xludf.DUMMYFUNCTION("""COMPUTED_VALUE"""),44221.64583333333)</f>
        <v>44221.64583</v>
      </c>
      <c r="B3962" s="9">
        <f>IFERROR(__xludf.DUMMYFUNCTION("""COMPUTED_VALUE"""),1345.0)</f>
        <v>1345</v>
      </c>
      <c r="C3962" s="9">
        <f>IFERROR(__xludf.DUMMYFUNCTION("""COMPUTED_VALUE"""),1347.9)</f>
        <v>1347.9</v>
      </c>
      <c r="D3962" s="9">
        <f>IFERROR(__xludf.DUMMYFUNCTION("""COMPUTED_VALUE"""),1313.0)</f>
        <v>1313</v>
      </c>
      <c r="E3962" s="9">
        <f>IFERROR(__xludf.DUMMYFUNCTION("""COMPUTED_VALUE"""),1325.1)</f>
        <v>1325.1</v>
      </c>
      <c r="F3962" s="9">
        <f>IFERROR(__xludf.DUMMYFUNCTION("""COMPUTED_VALUE"""),6542611.0)</f>
        <v>6542611</v>
      </c>
      <c r="H3962" s="27">
        <f>IFERROR(__xludf.DUMMYFUNCTION("""COMPUTED_VALUE"""),44223.64583333333)</f>
        <v>44223.64583</v>
      </c>
      <c r="I3962" s="25">
        <f>IFERROR(__xludf.DUMMYFUNCTION("""COMPUTED_VALUE"""),3300.0)</f>
        <v>3300</v>
      </c>
      <c r="J3962" s="25">
        <f>IFERROR(__xludf.DUMMYFUNCTION("""COMPUTED_VALUE"""),3306.45)</f>
        <v>3306.45</v>
      </c>
      <c r="K3962" s="25">
        <f>IFERROR(__xludf.DUMMYFUNCTION("""COMPUTED_VALUE"""),3227.0)</f>
        <v>3227</v>
      </c>
      <c r="L3962" s="25">
        <f>IFERROR(__xludf.DUMMYFUNCTION("""COMPUTED_VALUE"""),3261.05)</f>
        <v>3261.05</v>
      </c>
      <c r="M3962" s="25">
        <f>IFERROR(__xludf.DUMMYFUNCTION("""COMPUTED_VALUE"""),2786662.0)</f>
        <v>2786662</v>
      </c>
    </row>
    <row r="3963">
      <c r="A3963" s="26">
        <f>IFERROR(__xludf.DUMMYFUNCTION("""COMPUTED_VALUE"""),44223.64583333333)</f>
        <v>44223.64583</v>
      </c>
      <c r="B3963" s="9">
        <f>IFERROR(__xludf.DUMMYFUNCTION("""COMPUTED_VALUE"""),1319.6)</f>
        <v>1319.6</v>
      </c>
      <c r="C3963" s="9">
        <f>IFERROR(__xludf.DUMMYFUNCTION("""COMPUTED_VALUE"""),1327.55)</f>
        <v>1327.55</v>
      </c>
      <c r="D3963" s="9">
        <f>IFERROR(__xludf.DUMMYFUNCTION("""COMPUTED_VALUE"""),1285.1)</f>
        <v>1285.1</v>
      </c>
      <c r="E3963" s="9">
        <f>IFERROR(__xludf.DUMMYFUNCTION("""COMPUTED_VALUE"""),1301.0)</f>
        <v>1301</v>
      </c>
      <c r="F3963" s="9">
        <f>IFERROR(__xludf.DUMMYFUNCTION("""COMPUTED_VALUE"""),8133665.0)</f>
        <v>8133665</v>
      </c>
      <c r="H3963" s="27">
        <f>IFERROR(__xludf.DUMMYFUNCTION("""COMPUTED_VALUE"""),44224.64583333333)</f>
        <v>44224.64583</v>
      </c>
      <c r="I3963" s="25">
        <f>IFERROR(__xludf.DUMMYFUNCTION("""COMPUTED_VALUE"""),3230.0)</f>
        <v>3230</v>
      </c>
      <c r="J3963" s="25">
        <f>IFERROR(__xludf.DUMMYFUNCTION("""COMPUTED_VALUE"""),3275.0)</f>
        <v>3275</v>
      </c>
      <c r="K3963" s="25">
        <f>IFERROR(__xludf.DUMMYFUNCTION("""COMPUTED_VALUE"""),3183.8)</f>
        <v>3183.8</v>
      </c>
      <c r="L3963" s="25">
        <f>IFERROR(__xludf.DUMMYFUNCTION("""COMPUTED_VALUE"""),3196.55)</f>
        <v>3196.55</v>
      </c>
      <c r="M3963" s="25">
        <f>IFERROR(__xludf.DUMMYFUNCTION("""COMPUTED_VALUE"""),3083938.0)</f>
        <v>3083938</v>
      </c>
    </row>
    <row r="3964">
      <c r="A3964" s="26">
        <f>IFERROR(__xludf.DUMMYFUNCTION("""COMPUTED_VALUE"""),44224.64583333333)</f>
        <v>44224.64583</v>
      </c>
      <c r="B3964" s="9">
        <f>IFERROR(__xludf.DUMMYFUNCTION("""COMPUTED_VALUE"""),1291.8)</f>
        <v>1291.8</v>
      </c>
      <c r="C3964" s="9">
        <f>IFERROR(__xludf.DUMMYFUNCTION("""COMPUTED_VALUE"""),1296.45)</f>
        <v>1296.45</v>
      </c>
      <c r="D3964" s="9">
        <f>IFERROR(__xludf.DUMMYFUNCTION("""COMPUTED_VALUE"""),1272.55)</f>
        <v>1272.55</v>
      </c>
      <c r="E3964" s="9">
        <f>IFERROR(__xludf.DUMMYFUNCTION("""COMPUTED_VALUE"""),1276.2)</f>
        <v>1276.2</v>
      </c>
      <c r="F3964" s="9">
        <f>IFERROR(__xludf.DUMMYFUNCTION("""COMPUTED_VALUE"""),4660690.0)</f>
        <v>4660690</v>
      </c>
      <c r="H3964" s="27">
        <f>IFERROR(__xludf.DUMMYFUNCTION("""COMPUTED_VALUE"""),44225.64583333333)</f>
        <v>44225.64583</v>
      </c>
      <c r="I3964" s="25">
        <f>IFERROR(__xludf.DUMMYFUNCTION("""COMPUTED_VALUE"""),3210.05)</f>
        <v>3210.05</v>
      </c>
      <c r="J3964" s="25">
        <f>IFERROR(__xludf.DUMMYFUNCTION("""COMPUTED_VALUE"""),3216.85)</f>
        <v>3216.85</v>
      </c>
      <c r="K3964" s="25">
        <f>IFERROR(__xludf.DUMMYFUNCTION("""COMPUTED_VALUE"""),3100.0)</f>
        <v>3100</v>
      </c>
      <c r="L3964" s="25">
        <f>IFERROR(__xludf.DUMMYFUNCTION("""COMPUTED_VALUE"""),3111.35)</f>
        <v>3111.35</v>
      </c>
      <c r="M3964" s="25">
        <f>IFERROR(__xludf.DUMMYFUNCTION("""COMPUTED_VALUE"""),5445659.0)</f>
        <v>5445659</v>
      </c>
    </row>
    <row r="3965">
      <c r="A3965" s="26">
        <f>IFERROR(__xludf.DUMMYFUNCTION("""COMPUTED_VALUE"""),44225.64583333333)</f>
        <v>44225.64583</v>
      </c>
      <c r="B3965" s="9">
        <f>IFERROR(__xludf.DUMMYFUNCTION("""COMPUTED_VALUE"""),1286.25)</f>
        <v>1286.25</v>
      </c>
      <c r="C3965" s="9">
        <f>IFERROR(__xludf.DUMMYFUNCTION("""COMPUTED_VALUE"""),1291.15)</f>
        <v>1291.15</v>
      </c>
      <c r="D3965" s="9">
        <f>IFERROR(__xludf.DUMMYFUNCTION("""COMPUTED_VALUE"""),1231.0)</f>
        <v>1231</v>
      </c>
      <c r="E3965" s="9">
        <f>IFERROR(__xludf.DUMMYFUNCTION("""COMPUTED_VALUE"""),1239.05)</f>
        <v>1239.05</v>
      </c>
      <c r="F3965" s="9">
        <f>IFERROR(__xludf.DUMMYFUNCTION("""COMPUTED_VALUE"""),1.2183519E7)</f>
        <v>12183519</v>
      </c>
      <c r="H3965" s="27">
        <f>IFERROR(__xludf.DUMMYFUNCTION("""COMPUTED_VALUE"""),44228.64583333333)</f>
        <v>44228.64583</v>
      </c>
      <c r="I3965" s="25">
        <f>IFERROR(__xludf.DUMMYFUNCTION("""COMPUTED_VALUE"""),3100.0)</f>
        <v>3100</v>
      </c>
      <c r="J3965" s="25">
        <f>IFERROR(__xludf.DUMMYFUNCTION("""COMPUTED_VALUE"""),3165.0)</f>
        <v>3165</v>
      </c>
      <c r="K3965" s="25">
        <f>IFERROR(__xludf.DUMMYFUNCTION("""COMPUTED_VALUE"""),3044.1)</f>
        <v>3044.1</v>
      </c>
      <c r="L3965" s="25">
        <f>IFERROR(__xludf.DUMMYFUNCTION("""COMPUTED_VALUE"""),3139.35)</f>
        <v>3139.35</v>
      </c>
      <c r="M3965" s="25">
        <f>IFERROR(__xludf.DUMMYFUNCTION("""COMPUTED_VALUE"""),3985846.0)</f>
        <v>3985846</v>
      </c>
    </row>
    <row r="3966">
      <c r="A3966" s="26">
        <f>IFERROR(__xludf.DUMMYFUNCTION("""COMPUTED_VALUE"""),44228.64583333333)</f>
        <v>44228.64583</v>
      </c>
      <c r="B3966" s="9">
        <f>IFERROR(__xludf.DUMMYFUNCTION("""COMPUTED_VALUE"""),1250.55)</f>
        <v>1250.55</v>
      </c>
      <c r="C3966" s="9">
        <f>IFERROR(__xludf.DUMMYFUNCTION("""COMPUTED_VALUE"""),1277.95)</f>
        <v>1277.95</v>
      </c>
      <c r="D3966" s="9">
        <f>IFERROR(__xludf.DUMMYFUNCTION("""COMPUTED_VALUE"""),1241.0)</f>
        <v>1241</v>
      </c>
      <c r="E3966" s="9">
        <f>IFERROR(__xludf.DUMMYFUNCTION("""COMPUTED_VALUE"""),1260.9)</f>
        <v>1260.9</v>
      </c>
      <c r="F3966" s="9">
        <f>IFERROR(__xludf.DUMMYFUNCTION("""COMPUTED_VALUE"""),8880279.0)</f>
        <v>8880279</v>
      </c>
      <c r="H3966" s="27">
        <f>IFERROR(__xludf.DUMMYFUNCTION("""COMPUTED_VALUE"""),44229.64583333333)</f>
        <v>44229.64583</v>
      </c>
      <c r="I3966" s="25">
        <f>IFERROR(__xludf.DUMMYFUNCTION("""COMPUTED_VALUE"""),3174.0)</f>
        <v>3174</v>
      </c>
      <c r="J3966" s="25">
        <f>IFERROR(__xludf.DUMMYFUNCTION("""COMPUTED_VALUE"""),3224.0)</f>
        <v>3224</v>
      </c>
      <c r="K3966" s="25">
        <f>IFERROR(__xludf.DUMMYFUNCTION("""COMPUTED_VALUE"""),3150.0)</f>
        <v>3150</v>
      </c>
      <c r="L3966" s="25">
        <f>IFERROR(__xludf.DUMMYFUNCTION("""COMPUTED_VALUE"""),3203.45)</f>
        <v>3203.45</v>
      </c>
      <c r="M3966" s="25">
        <f>IFERROR(__xludf.DUMMYFUNCTION("""COMPUTED_VALUE"""),2881837.0)</f>
        <v>2881837</v>
      </c>
    </row>
    <row r="3967">
      <c r="A3967" s="26">
        <f>IFERROR(__xludf.DUMMYFUNCTION("""COMPUTED_VALUE"""),44229.64583333333)</f>
        <v>44229.64583</v>
      </c>
      <c r="B3967" s="9">
        <f>IFERROR(__xludf.DUMMYFUNCTION("""COMPUTED_VALUE"""),1280.0)</f>
        <v>1280</v>
      </c>
      <c r="C3967" s="9">
        <f>IFERROR(__xludf.DUMMYFUNCTION("""COMPUTED_VALUE"""),1294.4)</f>
        <v>1294.4</v>
      </c>
      <c r="D3967" s="9">
        <f>IFERROR(__xludf.DUMMYFUNCTION("""COMPUTED_VALUE"""),1263.6)</f>
        <v>1263.6</v>
      </c>
      <c r="E3967" s="9">
        <f>IFERROR(__xludf.DUMMYFUNCTION("""COMPUTED_VALUE"""),1271.25)</f>
        <v>1271.25</v>
      </c>
      <c r="F3967" s="9">
        <f>IFERROR(__xludf.DUMMYFUNCTION("""COMPUTED_VALUE"""),6892490.0)</f>
        <v>6892490</v>
      </c>
      <c r="H3967" s="27">
        <f>IFERROR(__xludf.DUMMYFUNCTION("""COMPUTED_VALUE"""),44230.64583333333)</f>
        <v>44230.64583</v>
      </c>
      <c r="I3967" s="25">
        <f>IFERROR(__xludf.DUMMYFUNCTION("""COMPUTED_VALUE"""),3213.0)</f>
        <v>3213</v>
      </c>
      <c r="J3967" s="25">
        <f>IFERROR(__xludf.DUMMYFUNCTION("""COMPUTED_VALUE"""),3236.0)</f>
        <v>3236</v>
      </c>
      <c r="K3967" s="25">
        <f>IFERROR(__xludf.DUMMYFUNCTION("""COMPUTED_VALUE"""),3162.65)</f>
        <v>3162.65</v>
      </c>
      <c r="L3967" s="25">
        <f>IFERROR(__xludf.DUMMYFUNCTION("""COMPUTED_VALUE"""),3200.05)</f>
        <v>3200.05</v>
      </c>
      <c r="M3967" s="25">
        <f>IFERROR(__xludf.DUMMYFUNCTION("""COMPUTED_VALUE"""),2505866.0)</f>
        <v>2505866</v>
      </c>
    </row>
    <row r="3968">
      <c r="A3968" s="26">
        <f>IFERROR(__xludf.DUMMYFUNCTION("""COMPUTED_VALUE"""),44230.64583333333)</f>
        <v>44230.64583</v>
      </c>
      <c r="B3968" s="9">
        <f>IFERROR(__xludf.DUMMYFUNCTION("""COMPUTED_VALUE"""),1277.65)</f>
        <v>1277.65</v>
      </c>
      <c r="C3968" s="9">
        <f>IFERROR(__xludf.DUMMYFUNCTION("""COMPUTED_VALUE"""),1304.0)</f>
        <v>1304</v>
      </c>
      <c r="D3968" s="9">
        <f>IFERROR(__xludf.DUMMYFUNCTION("""COMPUTED_VALUE"""),1273.0)</f>
        <v>1273</v>
      </c>
      <c r="E3968" s="9">
        <f>IFERROR(__xludf.DUMMYFUNCTION("""COMPUTED_VALUE"""),1284.65)</f>
        <v>1284.65</v>
      </c>
      <c r="F3968" s="9">
        <f>IFERROR(__xludf.DUMMYFUNCTION("""COMPUTED_VALUE"""),8182968.0)</f>
        <v>8182968</v>
      </c>
      <c r="H3968" s="27">
        <f>IFERROR(__xludf.DUMMYFUNCTION("""COMPUTED_VALUE"""),44231.64583333333)</f>
        <v>44231.64583</v>
      </c>
      <c r="I3968" s="25">
        <f>IFERROR(__xludf.DUMMYFUNCTION("""COMPUTED_VALUE"""),3216.05)</f>
        <v>3216.05</v>
      </c>
      <c r="J3968" s="25">
        <f>IFERROR(__xludf.DUMMYFUNCTION("""COMPUTED_VALUE"""),3237.85)</f>
        <v>3237.85</v>
      </c>
      <c r="K3968" s="25">
        <f>IFERROR(__xludf.DUMMYFUNCTION("""COMPUTED_VALUE"""),3176.0)</f>
        <v>3176</v>
      </c>
      <c r="L3968" s="25">
        <f>IFERROR(__xludf.DUMMYFUNCTION("""COMPUTED_VALUE"""),3188.45)</f>
        <v>3188.45</v>
      </c>
      <c r="M3968" s="25">
        <f>IFERROR(__xludf.DUMMYFUNCTION("""COMPUTED_VALUE"""),2057261.0)</f>
        <v>2057261</v>
      </c>
    </row>
    <row r="3969">
      <c r="A3969" s="26">
        <f>IFERROR(__xludf.DUMMYFUNCTION("""COMPUTED_VALUE"""),44231.64583333333)</f>
        <v>44231.64583</v>
      </c>
      <c r="B3969" s="9">
        <f>IFERROR(__xludf.DUMMYFUNCTION("""COMPUTED_VALUE"""),1285.0)</f>
        <v>1285</v>
      </c>
      <c r="C3969" s="9">
        <f>IFERROR(__xludf.DUMMYFUNCTION("""COMPUTED_VALUE"""),1293.4)</f>
        <v>1293.4</v>
      </c>
      <c r="D3969" s="9">
        <f>IFERROR(__xludf.DUMMYFUNCTION("""COMPUTED_VALUE"""),1272.05)</f>
        <v>1272.05</v>
      </c>
      <c r="E3969" s="9">
        <f>IFERROR(__xludf.DUMMYFUNCTION("""COMPUTED_VALUE"""),1279.35)</f>
        <v>1279.35</v>
      </c>
      <c r="F3969" s="9">
        <f>IFERROR(__xludf.DUMMYFUNCTION("""COMPUTED_VALUE"""),5032240.0)</f>
        <v>5032240</v>
      </c>
      <c r="H3969" s="27">
        <f>IFERROR(__xludf.DUMMYFUNCTION("""COMPUTED_VALUE"""),44232.64583333333)</f>
        <v>44232.64583</v>
      </c>
      <c r="I3969" s="25">
        <f>IFERROR(__xludf.DUMMYFUNCTION("""COMPUTED_VALUE"""),3198.95)</f>
        <v>3198.95</v>
      </c>
      <c r="J3969" s="25">
        <f>IFERROR(__xludf.DUMMYFUNCTION("""COMPUTED_VALUE"""),3205.85)</f>
        <v>3205.85</v>
      </c>
      <c r="K3969" s="25">
        <f>IFERROR(__xludf.DUMMYFUNCTION("""COMPUTED_VALUE"""),3129.0)</f>
        <v>3129</v>
      </c>
      <c r="L3969" s="25">
        <f>IFERROR(__xludf.DUMMYFUNCTION("""COMPUTED_VALUE"""),3157.95)</f>
        <v>3157.95</v>
      </c>
      <c r="M3969" s="25">
        <f>IFERROR(__xludf.DUMMYFUNCTION("""COMPUTED_VALUE"""),2366135.0)</f>
        <v>2366135</v>
      </c>
    </row>
    <row r="3970">
      <c r="A3970" s="26">
        <f>IFERROR(__xludf.DUMMYFUNCTION("""COMPUTED_VALUE"""),44232.64583333333)</f>
        <v>44232.64583</v>
      </c>
      <c r="B3970" s="9">
        <f>IFERROR(__xludf.DUMMYFUNCTION("""COMPUTED_VALUE"""),1286.4)</f>
        <v>1286.4</v>
      </c>
      <c r="C3970" s="9">
        <f>IFERROR(__xludf.DUMMYFUNCTION("""COMPUTED_VALUE"""),1288.75)</f>
        <v>1288.75</v>
      </c>
      <c r="D3970" s="9">
        <f>IFERROR(__xludf.DUMMYFUNCTION("""COMPUTED_VALUE"""),1262.0)</f>
        <v>1262</v>
      </c>
      <c r="E3970" s="9">
        <f>IFERROR(__xludf.DUMMYFUNCTION("""COMPUTED_VALUE"""),1272.1)</f>
        <v>1272.1</v>
      </c>
      <c r="F3970" s="9">
        <f>IFERROR(__xludf.DUMMYFUNCTION("""COMPUTED_VALUE"""),5477481.0)</f>
        <v>5477481</v>
      </c>
      <c r="H3970" s="27">
        <f>IFERROR(__xludf.DUMMYFUNCTION("""COMPUTED_VALUE"""),44235.64583333333)</f>
        <v>44235.64583</v>
      </c>
      <c r="I3970" s="25">
        <f>IFERROR(__xludf.DUMMYFUNCTION("""COMPUTED_VALUE"""),3189.5)</f>
        <v>3189.5</v>
      </c>
      <c r="J3970" s="25">
        <f>IFERROR(__xludf.DUMMYFUNCTION("""COMPUTED_VALUE"""),3226.0)</f>
        <v>3226</v>
      </c>
      <c r="K3970" s="25">
        <f>IFERROR(__xludf.DUMMYFUNCTION("""COMPUTED_VALUE"""),3155.15)</f>
        <v>3155.15</v>
      </c>
      <c r="L3970" s="25">
        <f>IFERROR(__xludf.DUMMYFUNCTION("""COMPUTED_VALUE"""),3214.1)</f>
        <v>3214.1</v>
      </c>
      <c r="M3970" s="25">
        <f>IFERROR(__xludf.DUMMYFUNCTION("""COMPUTED_VALUE"""),2526592.0)</f>
        <v>2526592</v>
      </c>
    </row>
    <row r="3971">
      <c r="A3971" s="26">
        <f>IFERROR(__xludf.DUMMYFUNCTION("""COMPUTED_VALUE"""),44235.64583333333)</f>
        <v>44235.64583</v>
      </c>
      <c r="B3971" s="9">
        <f>IFERROR(__xludf.DUMMYFUNCTION("""COMPUTED_VALUE"""),1285.5)</f>
        <v>1285.5</v>
      </c>
      <c r="C3971" s="9">
        <f>IFERROR(__xludf.DUMMYFUNCTION("""COMPUTED_VALUE"""),1310.0)</f>
        <v>1310</v>
      </c>
      <c r="D3971" s="9">
        <f>IFERROR(__xludf.DUMMYFUNCTION("""COMPUTED_VALUE"""),1275.5)</f>
        <v>1275.5</v>
      </c>
      <c r="E3971" s="9">
        <f>IFERROR(__xludf.DUMMYFUNCTION("""COMPUTED_VALUE"""),1303.55)</f>
        <v>1303.55</v>
      </c>
      <c r="F3971" s="9">
        <f>IFERROR(__xludf.DUMMYFUNCTION("""COMPUTED_VALUE"""),6921922.0)</f>
        <v>6921922</v>
      </c>
      <c r="H3971" s="27">
        <f>IFERROR(__xludf.DUMMYFUNCTION("""COMPUTED_VALUE"""),44236.64583333333)</f>
        <v>44236.64583</v>
      </c>
      <c r="I3971" s="25">
        <f>IFERROR(__xludf.DUMMYFUNCTION("""COMPUTED_VALUE"""),3195.0)</f>
        <v>3195</v>
      </c>
      <c r="J3971" s="25">
        <f>IFERROR(__xludf.DUMMYFUNCTION("""COMPUTED_VALUE"""),3245.8)</f>
        <v>3245.8</v>
      </c>
      <c r="K3971" s="25">
        <f>IFERROR(__xludf.DUMMYFUNCTION("""COMPUTED_VALUE"""),3164.0)</f>
        <v>3164</v>
      </c>
      <c r="L3971" s="25">
        <f>IFERROR(__xludf.DUMMYFUNCTION("""COMPUTED_VALUE"""),3176.9)</f>
        <v>3176.9</v>
      </c>
      <c r="M3971" s="25">
        <f>IFERROR(__xludf.DUMMYFUNCTION("""COMPUTED_VALUE"""),2658751.0)</f>
        <v>2658751</v>
      </c>
    </row>
    <row r="3972">
      <c r="A3972" s="26">
        <f>IFERROR(__xludf.DUMMYFUNCTION("""COMPUTED_VALUE"""),44236.64583333333)</f>
        <v>44236.64583</v>
      </c>
      <c r="B3972" s="9">
        <f>IFERROR(__xludf.DUMMYFUNCTION("""COMPUTED_VALUE"""),1306.9)</f>
        <v>1306.9</v>
      </c>
      <c r="C3972" s="9">
        <f>IFERROR(__xludf.DUMMYFUNCTION("""COMPUTED_VALUE"""),1332.0)</f>
        <v>1332</v>
      </c>
      <c r="D3972" s="9">
        <f>IFERROR(__xludf.DUMMYFUNCTION("""COMPUTED_VALUE"""),1297.85)</f>
        <v>1297.85</v>
      </c>
      <c r="E3972" s="9">
        <f>IFERROR(__xludf.DUMMYFUNCTION("""COMPUTED_VALUE"""),1305.55)</f>
        <v>1305.55</v>
      </c>
      <c r="F3972" s="9">
        <f>IFERROR(__xludf.DUMMYFUNCTION("""COMPUTED_VALUE"""),7965949.0)</f>
        <v>7965949</v>
      </c>
      <c r="H3972" s="27">
        <f>IFERROR(__xludf.DUMMYFUNCTION("""COMPUTED_VALUE"""),44237.64583333333)</f>
        <v>44237.64583</v>
      </c>
      <c r="I3972" s="25">
        <f>IFERROR(__xludf.DUMMYFUNCTION("""COMPUTED_VALUE"""),3185.0)</f>
        <v>3185</v>
      </c>
      <c r="J3972" s="25">
        <f>IFERROR(__xludf.DUMMYFUNCTION("""COMPUTED_VALUE"""),3219.4)</f>
        <v>3219.4</v>
      </c>
      <c r="K3972" s="25">
        <f>IFERROR(__xludf.DUMMYFUNCTION("""COMPUTED_VALUE"""),3157.3)</f>
        <v>3157.3</v>
      </c>
      <c r="L3972" s="25">
        <f>IFERROR(__xludf.DUMMYFUNCTION("""COMPUTED_VALUE"""),3213.3)</f>
        <v>3213.3</v>
      </c>
      <c r="M3972" s="25">
        <f>IFERROR(__xludf.DUMMYFUNCTION("""COMPUTED_VALUE"""),2127983.0)</f>
        <v>2127983</v>
      </c>
    </row>
    <row r="3973">
      <c r="A3973" s="26">
        <f>IFERROR(__xludf.DUMMYFUNCTION("""COMPUTED_VALUE"""),44237.64583333333)</f>
        <v>44237.64583</v>
      </c>
      <c r="B3973" s="9">
        <f>IFERROR(__xludf.DUMMYFUNCTION("""COMPUTED_VALUE"""),1295.8)</f>
        <v>1295.8</v>
      </c>
      <c r="C3973" s="9">
        <f>IFERROR(__xludf.DUMMYFUNCTION("""COMPUTED_VALUE"""),1304.35)</f>
        <v>1304.35</v>
      </c>
      <c r="D3973" s="9">
        <f>IFERROR(__xludf.DUMMYFUNCTION("""COMPUTED_VALUE"""),1283.6)</f>
        <v>1283.6</v>
      </c>
      <c r="E3973" s="9">
        <f>IFERROR(__xludf.DUMMYFUNCTION("""COMPUTED_VALUE"""),1296.5)</f>
        <v>1296.5</v>
      </c>
      <c r="F3973" s="9">
        <f>IFERROR(__xludf.DUMMYFUNCTION("""COMPUTED_VALUE"""),5951207.0)</f>
        <v>5951207</v>
      </c>
      <c r="H3973" s="27">
        <f>IFERROR(__xludf.DUMMYFUNCTION("""COMPUTED_VALUE"""),44238.64583333333)</f>
        <v>44238.64583</v>
      </c>
      <c r="I3973" s="25">
        <f>IFERROR(__xludf.DUMMYFUNCTION("""COMPUTED_VALUE"""),3215.0)</f>
        <v>3215</v>
      </c>
      <c r="J3973" s="25">
        <f>IFERROR(__xludf.DUMMYFUNCTION("""COMPUTED_VALUE"""),3219.3)</f>
        <v>3219.3</v>
      </c>
      <c r="K3973" s="25">
        <f>IFERROR(__xludf.DUMMYFUNCTION("""COMPUTED_VALUE"""),3185.05)</f>
        <v>3185.05</v>
      </c>
      <c r="L3973" s="25">
        <f>IFERROR(__xludf.DUMMYFUNCTION("""COMPUTED_VALUE"""),3206.0)</f>
        <v>3206</v>
      </c>
      <c r="M3973" s="25">
        <f>IFERROR(__xludf.DUMMYFUNCTION("""COMPUTED_VALUE"""),1165882.0)</f>
        <v>1165882</v>
      </c>
    </row>
    <row r="3974">
      <c r="A3974" s="26">
        <f>IFERROR(__xludf.DUMMYFUNCTION("""COMPUTED_VALUE"""),44238.64583333333)</f>
        <v>44238.64583</v>
      </c>
      <c r="B3974" s="9">
        <f>IFERROR(__xludf.DUMMYFUNCTION("""COMPUTED_VALUE"""),1289.0)</f>
        <v>1289</v>
      </c>
      <c r="C3974" s="9">
        <f>IFERROR(__xludf.DUMMYFUNCTION("""COMPUTED_VALUE"""),1296.0)</f>
        <v>1296</v>
      </c>
      <c r="D3974" s="9">
        <f>IFERROR(__xludf.DUMMYFUNCTION("""COMPUTED_VALUE"""),1283.05)</f>
        <v>1283.05</v>
      </c>
      <c r="E3974" s="9">
        <f>IFERROR(__xludf.DUMMYFUNCTION("""COMPUTED_VALUE"""),1292.65)</f>
        <v>1292.65</v>
      </c>
      <c r="F3974" s="9">
        <f>IFERROR(__xludf.DUMMYFUNCTION("""COMPUTED_VALUE"""),4673317.0)</f>
        <v>4673317</v>
      </c>
      <c r="H3974" s="27">
        <f>IFERROR(__xludf.DUMMYFUNCTION("""COMPUTED_VALUE"""),44239.64583333333)</f>
        <v>44239.64583</v>
      </c>
      <c r="I3974" s="25">
        <f>IFERROR(__xludf.DUMMYFUNCTION("""COMPUTED_VALUE"""),3184.2)</f>
        <v>3184.2</v>
      </c>
      <c r="J3974" s="25">
        <f>IFERROR(__xludf.DUMMYFUNCTION("""COMPUTED_VALUE"""),3245.5)</f>
        <v>3245.5</v>
      </c>
      <c r="K3974" s="25">
        <f>IFERROR(__xludf.DUMMYFUNCTION("""COMPUTED_VALUE"""),3182.0)</f>
        <v>3182</v>
      </c>
      <c r="L3974" s="25">
        <f>IFERROR(__xludf.DUMMYFUNCTION("""COMPUTED_VALUE"""),3190.8)</f>
        <v>3190.8</v>
      </c>
      <c r="M3974" s="25">
        <f>IFERROR(__xludf.DUMMYFUNCTION("""COMPUTED_VALUE"""),2777404.0)</f>
        <v>2777404</v>
      </c>
    </row>
    <row r="3975">
      <c r="A3975" s="26">
        <f>IFERROR(__xludf.DUMMYFUNCTION("""COMPUTED_VALUE"""),44239.64583333333)</f>
        <v>44239.64583</v>
      </c>
      <c r="B3975" s="9">
        <f>IFERROR(__xludf.DUMMYFUNCTION("""COMPUTED_VALUE"""),1305.0)</f>
        <v>1305</v>
      </c>
      <c r="C3975" s="9">
        <f>IFERROR(__xludf.DUMMYFUNCTION("""COMPUTED_VALUE"""),1323.75)</f>
        <v>1323.75</v>
      </c>
      <c r="D3975" s="9">
        <f>IFERROR(__xludf.DUMMYFUNCTION("""COMPUTED_VALUE"""),1301.55)</f>
        <v>1301.55</v>
      </c>
      <c r="E3975" s="9">
        <f>IFERROR(__xludf.DUMMYFUNCTION("""COMPUTED_VALUE"""),1309.8)</f>
        <v>1309.8</v>
      </c>
      <c r="F3975" s="9">
        <f>IFERROR(__xludf.DUMMYFUNCTION("""COMPUTED_VALUE"""),5797875.0)</f>
        <v>5797875</v>
      </c>
      <c r="H3975" s="27">
        <f>IFERROR(__xludf.DUMMYFUNCTION("""COMPUTED_VALUE"""),44242.64583333333)</f>
        <v>44242.64583</v>
      </c>
      <c r="I3975" s="25">
        <f>IFERROR(__xludf.DUMMYFUNCTION("""COMPUTED_VALUE"""),3209.0)</f>
        <v>3209</v>
      </c>
      <c r="J3975" s="25">
        <f>IFERROR(__xludf.DUMMYFUNCTION("""COMPUTED_VALUE"""),3209.0)</f>
        <v>3209</v>
      </c>
      <c r="K3975" s="25">
        <f>IFERROR(__xludf.DUMMYFUNCTION("""COMPUTED_VALUE"""),3131.55)</f>
        <v>3131.55</v>
      </c>
      <c r="L3975" s="25">
        <f>IFERROR(__xludf.DUMMYFUNCTION("""COMPUTED_VALUE"""),3139.85)</f>
        <v>3139.85</v>
      </c>
      <c r="M3975" s="25">
        <f>IFERROR(__xludf.DUMMYFUNCTION("""COMPUTED_VALUE"""),2630853.0)</f>
        <v>2630853</v>
      </c>
    </row>
    <row r="3976">
      <c r="A3976" s="26">
        <f>IFERROR(__xludf.DUMMYFUNCTION("""COMPUTED_VALUE"""),44242.64583333333)</f>
        <v>44242.64583</v>
      </c>
      <c r="B3976" s="9">
        <f>IFERROR(__xludf.DUMMYFUNCTION("""COMPUTED_VALUE"""),1320.0)</f>
        <v>1320</v>
      </c>
      <c r="C3976" s="9">
        <f>IFERROR(__xludf.DUMMYFUNCTION("""COMPUTED_VALUE"""),1328.4)</f>
        <v>1328.4</v>
      </c>
      <c r="D3976" s="9">
        <f>IFERROR(__xludf.DUMMYFUNCTION("""COMPUTED_VALUE"""),1307.1)</f>
        <v>1307.1</v>
      </c>
      <c r="E3976" s="9">
        <f>IFERROR(__xludf.DUMMYFUNCTION("""COMPUTED_VALUE"""),1309.65)</f>
        <v>1309.65</v>
      </c>
      <c r="F3976" s="9">
        <f>IFERROR(__xludf.DUMMYFUNCTION("""COMPUTED_VALUE"""),4363513.0)</f>
        <v>4363513</v>
      </c>
      <c r="H3976" s="27">
        <f>IFERROR(__xludf.DUMMYFUNCTION("""COMPUTED_VALUE"""),44243.64583333333)</f>
        <v>44243.64583</v>
      </c>
      <c r="I3976" s="25">
        <f>IFERROR(__xludf.DUMMYFUNCTION("""COMPUTED_VALUE"""),3150.0)</f>
        <v>3150</v>
      </c>
      <c r="J3976" s="25">
        <f>IFERROR(__xludf.DUMMYFUNCTION("""COMPUTED_VALUE"""),3167.65)</f>
        <v>3167.65</v>
      </c>
      <c r="K3976" s="25">
        <f>IFERROR(__xludf.DUMMYFUNCTION("""COMPUTED_VALUE"""),3100.0)</f>
        <v>3100</v>
      </c>
      <c r="L3976" s="25">
        <f>IFERROR(__xludf.DUMMYFUNCTION("""COMPUTED_VALUE"""),3108.8)</f>
        <v>3108.8</v>
      </c>
      <c r="M3976" s="25">
        <f>IFERROR(__xludf.DUMMYFUNCTION("""COMPUTED_VALUE"""),3435770.0)</f>
        <v>3435770</v>
      </c>
    </row>
    <row r="3977">
      <c r="A3977" s="26">
        <f>IFERROR(__xludf.DUMMYFUNCTION("""COMPUTED_VALUE"""),44243.64583333333)</f>
        <v>44243.64583</v>
      </c>
      <c r="B3977" s="9">
        <f>IFERROR(__xludf.DUMMYFUNCTION("""COMPUTED_VALUE"""),1314.0)</f>
        <v>1314</v>
      </c>
      <c r="C3977" s="9">
        <f>IFERROR(__xludf.DUMMYFUNCTION("""COMPUTED_VALUE"""),1319.75)</f>
        <v>1319.75</v>
      </c>
      <c r="D3977" s="9">
        <f>IFERROR(__xludf.DUMMYFUNCTION("""COMPUTED_VALUE"""),1286.0)</f>
        <v>1286</v>
      </c>
      <c r="E3977" s="9">
        <f>IFERROR(__xludf.DUMMYFUNCTION("""COMPUTED_VALUE"""),1290.4)</f>
        <v>1290.4</v>
      </c>
      <c r="F3977" s="9">
        <f>IFERROR(__xludf.DUMMYFUNCTION("""COMPUTED_VALUE"""),6896421.0)</f>
        <v>6896421</v>
      </c>
      <c r="H3977" s="27">
        <f>IFERROR(__xludf.DUMMYFUNCTION("""COMPUTED_VALUE"""),44244.64583333333)</f>
        <v>44244.64583</v>
      </c>
      <c r="I3977" s="25">
        <f>IFERROR(__xludf.DUMMYFUNCTION("""COMPUTED_VALUE"""),3105.1)</f>
        <v>3105.1</v>
      </c>
      <c r="J3977" s="25">
        <f>IFERROR(__xludf.DUMMYFUNCTION("""COMPUTED_VALUE"""),3132.85)</f>
        <v>3132.85</v>
      </c>
      <c r="K3977" s="25">
        <f>IFERROR(__xludf.DUMMYFUNCTION("""COMPUTED_VALUE"""),3045.55)</f>
        <v>3045.55</v>
      </c>
      <c r="L3977" s="25">
        <f>IFERROR(__xludf.DUMMYFUNCTION("""COMPUTED_VALUE"""),3073.1)</f>
        <v>3073.1</v>
      </c>
      <c r="M3977" s="25">
        <f>IFERROR(__xludf.DUMMYFUNCTION("""COMPUTED_VALUE"""),3678426.0)</f>
        <v>3678426</v>
      </c>
    </row>
    <row r="3978">
      <c r="A3978" s="26">
        <f>IFERROR(__xludf.DUMMYFUNCTION("""COMPUTED_VALUE"""),44244.64583333333)</f>
        <v>44244.64583</v>
      </c>
      <c r="B3978" s="9">
        <f>IFERROR(__xludf.DUMMYFUNCTION("""COMPUTED_VALUE"""),1290.4)</f>
        <v>1290.4</v>
      </c>
      <c r="C3978" s="9">
        <f>IFERROR(__xludf.DUMMYFUNCTION("""COMPUTED_VALUE"""),1294.5)</f>
        <v>1294.5</v>
      </c>
      <c r="D3978" s="9">
        <f>IFERROR(__xludf.DUMMYFUNCTION("""COMPUTED_VALUE"""),1275.0)</f>
        <v>1275</v>
      </c>
      <c r="E3978" s="9">
        <f>IFERROR(__xludf.DUMMYFUNCTION("""COMPUTED_VALUE"""),1281.3)</f>
        <v>1281.3</v>
      </c>
      <c r="F3978" s="9">
        <f>IFERROR(__xludf.DUMMYFUNCTION("""COMPUTED_VALUE"""),4575741.0)</f>
        <v>4575741</v>
      </c>
      <c r="H3978" s="27">
        <f>IFERROR(__xludf.DUMMYFUNCTION("""COMPUTED_VALUE"""),44245.64583333333)</f>
        <v>44245.64583</v>
      </c>
      <c r="I3978" s="25">
        <f>IFERROR(__xludf.DUMMYFUNCTION("""COMPUTED_VALUE"""),3065.0)</f>
        <v>3065</v>
      </c>
      <c r="J3978" s="25">
        <f>IFERROR(__xludf.DUMMYFUNCTION("""COMPUTED_VALUE"""),3097.9)</f>
        <v>3097.9</v>
      </c>
      <c r="K3978" s="25">
        <f>IFERROR(__xludf.DUMMYFUNCTION("""COMPUTED_VALUE"""),3031.0)</f>
        <v>3031</v>
      </c>
      <c r="L3978" s="25">
        <f>IFERROR(__xludf.DUMMYFUNCTION("""COMPUTED_VALUE"""),3057.35)</f>
        <v>3057.35</v>
      </c>
      <c r="M3978" s="25">
        <f>IFERROR(__xludf.DUMMYFUNCTION("""COMPUTED_VALUE"""),4189909.0)</f>
        <v>4189909</v>
      </c>
    </row>
    <row r="3979">
      <c r="A3979" s="26">
        <f>IFERROR(__xludf.DUMMYFUNCTION("""COMPUTED_VALUE"""),44245.64583333333)</f>
        <v>44245.64583</v>
      </c>
      <c r="B3979" s="9">
        <f>IFERROR(__xludf.DUMMYFUNCTION("""COMPUTED_VALUE"""),1276.0)</f>
        <v>1276</v>
      </c>
      <c r="C3979" s="9">
        <f>IFERROR(__xludf.DUMMYFUNCTION("""COMPUTED_VALUE"""),1306.0)</f>
        <v>1306</v>
      </c>
      <c r="D3979" s="9">
        <f>IFERROR(__xludf.DUMMYFUNCTION("""COMPUTED_VALUE"""),1275.0)</f>
        <v>1275</v>
      </c>
      <c r="E3979" s="9">
        <f>IFERROR(__xludf.DUMMYFUNCTION("""COMPUTED_VALUE"""),1292.45)</f>
        <v>1292.45</v>
      </c>
      <c r="F3979" s="9">
        <f>IFERROR(__xludf.DUMMYFUNCTION("""COMPUTED_VALUE"""),6437551.0)</f>
        <v>6437551</v>
      </c>
      <c r="H3979" s="27">
        <f>IFERROR(__xludf.DUMMYFUNCTION("""COMPUTED_VALUE"""),44246.64583333333)</f>
        <v>44246.64583</v>
      </c>
      <c r="I3979" s="25">
        <f>IFERROR(__xludf.DUMMYFUNCTION("""COMPUTED_VALUE"""),3058.0)</f>
        <v>3058</v>
      </c>
      <c r="J3979" s="25">
        <f>IFERROR(__xludf.DUMMYFUNCTION("""COMPUTED_VALUE"""),3087.15)</f>
        <v>3087.15</v>
      </c>
      <c r="K3979" s="25">
        <f>IFERROR(__xludf.DUMMYFUNCTION("""COMPUTED_VALUE"""),3016.15)</f>
        <v>3016.15</v>
      </c>
      <c r="L3979" s="25">
        <f>IFERROR(__xludf.DUMMYFUNCTION("""COMPUTED_VALUE"""),3071.85)</f>
        <v>3071.85</v>
      </c>
      <c r="M3979" s="25">
        <f>IFERROR(__xludf.DUMMYFUNCTION("""COMPUTED_VALUE"""),3725028.0)</f>
        <v>3725028</v>
      </c>
    </row>
    <row r="3980">
      <c r="A3980" s="26">
        <f>IFERROR(__xludf.DUMMYFUNCTION("""COMPUTED_VALUE"""),44246.64583333333)</f>
        <v>44246.64583</v>
      </c>
      <c r="B3980" s="9">
        <f>IFERROR(__xludf.DUMMYFUNCTION("""COMPUTED_VALUE"""),1296.1)</f>
        <v>1296.1</v>
      </c>
      <c r="C3980" s="9">
        <f>IFERROR(__xludf.DUMMYFUNCTION("""COMPUTED_VALUE"""),1299.5)</f>
        <v>1299.5</v>
      </c>
      <c r="D3980" s="9">
        <f>IFERROR(__xludf.DUMMYFUNCTION("""COMPUTED_VALUE"""),1276.8)</f>
        <v>1276.8</v>
      </c>
      <c r="E3980" s="9">
        <f>IFERROR(__xludf.DUMMYFUNCTION("""COMPUTED_VALUE"""),1291.3)</f>
        <v>1291.3</v>
      </c>
      <c r="F3980" s="9">
        <f>IFERROR(__xludf.DUMMYFUNCTION("""COMPUTED_VALUE"""),5389696.0)</f>
        <v>5389696</v>
      </c>
      <c r="H3980" s="27">
        <f>IFERROR(__xludf.DUMMYFUNCTION("""COMPUTED_VALUE"""),44249.64583333333)</f>
        <v>44249.64583</v>
      </c>
      <c r="I3980" s="25">
        <f>IFERROR(__xludf.DUMMYFUNCTION("""COMPUTED_VALUE"""),3096.0)</f>
        <v>3096</v>
      </c>
      <c r="J3980" s="25">
        <f>IFERROR(__xludf.DUMMYFUNCTION("""COMPUTED_VALUE"""),3096.0)</f>
        <v>3096</v>
      </c>
      <c r="K3980" s="25">
        <f>IFERROR(__xludf.DUMMYFUNCTION("""COMPUTED_VALUE"""),2943.15)</f>
        <v>2943.15</v>
      </c>
      <c r="L3980" s="25">
        <f>IFERROR(__xludf.DUMMYFUNCTION("""COMPUTED_VALUE"""),2958.45)</f>
        <v>2958.45</v>
      </c>
      <c r="M3980" s="25">
        <f>IFERROR(__xludf.DUMMYFUNCTION("""COMPUTED_VALUE"""),5366696.0)</f>
        <v>5366696</v>
      </c>
    </row>
    <row r="3981">
      <c r="A3981" s="26">
        <f>IFERROR(__xludf.DUMMYFUNCTION("""COMPUTED_VALUE"""),44249.64583333333)</f>
        <v>44249.64583</v>
      </c>
      <c r="B3981" s="9">
        <f>IFERROR(__xludf.DUMMYFUNCTION("""COMPUTED_VALUE"""),1295.0)</f>
        <v>1295</v>
      </c>
      <c r="C3981" s="9">
        <f>IFERROR(__xludf.DUMMYFUNCTION("""COMPUTED_VALUE"""),1308.55)</f>
        <v>1308.55</v>
      </c>
      <c r="D3981" s="9">
        <f>IFERROR(__xludf.DUMMYFUNCTION("""COMPUTED_VALUE"""),1260.0)</f>
        <v>1260</v>
      </c>
      <c r="E3981" s="9">
        <f>IFERROR(__xludf.DUMMYFUNCTION("""COMPUTED_VALUE"""),1265.2)</f>
        <v>1265.2</v>
      </c>
      <c r="F3981" s="9">
        <f>IFERROR(__xludf.DUMMYFUNCTION("""COMPUTED_VALUE"""),7371303.0)</f>
        <v>7371303</v>
      </c>
      <c r="H3981" s="27">
        <f>IFERROR(__xludf.DUMMYFUNCTION("""COMPUTED_VALUE"""),44250.64583333333)</f>
        <v>44250.64583</v>
      </c>
      <c r="I3981" s="25">
        <f>IFERROR(__xludf.DUMMYFUNCTION("""COMPUTED_VALUE"""),2970.0)</f>
        <v>2970</v>
      </c>
      <c r="J3981" s="25">
        <f>IFERROR(__xludf.DUMMYFUNCTION("""COMPUTED_VALUE"""),3028.0)</f>
        <v>3028</v>
      </c>
      <c r="K3981" s="25">
        <f>IFERROR(__xludf.DUMMYFUNCTION("""COMPUTED_VALUE"""),2968.0)</f>
        <v>2968</v>
      </c>
      <c r="L3981" s="25">
        <f>IFERROR(__xludf.DUMMYFUNCTION("""COMPUTED_VALUE"""),2980.2)</f>
        <v>2980.2</v>
      </c>
      <c r="M3981" s="25">
        <f>IFERROR(__xludf.DUMMYFUNCTION("""COMPUTED_VALUE"""),3832829.0)</f>
        <v>3832829</v>
      </c>
    </row>
    <row r="3982">
      <c r="A3982" s="26">
        <f>IFERROR(__xludf.DUMMYFUNCTION("""COMPUTED_VALUE"""),44250.64583333333)</f>
        <v>44250.64583</v>
      </c>
      <c r="B3982" s="9">
        <f>IFERROR(__xludf.DUMMYFUNCTION("""COMPUTED_VALUE"""),1271.15)</f>
        <v>1271.15</v>
      </c>
      <c r="C3982" s="9">
        <f>IFERROR(__xludf.DUMMYFUNCTION("""COMPUTED_VALUE"""),1291.0)</f>
        <v>1291</v>
      </c>
      <c r="D3982" s="9">
        <f>IFERROR(__xludf.DUMMYFUNCTION("""COMPUTED_VALUE"""),1257.55)</f>
        <v>1257.55</v>
      </c>
      <c r="E3982" s="9">
        <f>IFERROR(__xludf.DUMMYFUNCTION("""COMPUTED_VALUE"""),1266.35)</f>
        <v>1266.35</v>
      </c>
      <c r="F3982" s="9">
        <f>IFERROR(__xludf.DUMMYFUNCTION("""COMPUTED_VALUE"""),6612942.0)</f>
        <v>6612942</v>
      </c>
      <c r="H3982" s="27">
        <f>IFERROR(__xludf.DUMMYFUNCTION("""COMPUTED_VALUE"""),44251.64583333333)</f>
        <v>44251.64583</v>
      </c>
      <c r="I3982" s="25">
        <f>IFERROR(__xludf.DUMMYFUNCTION("""COMPUTED_VALUE"""),2972.0)</f>
        <v>2972</v>
      </c>
      <c r="J3982" s="25">
        <f>IFERROR(__xludf.DUMMYFUNCTION("""COMPUTED_VALUE"""),3003.35)</f>
        <v>3003.35</v>
      </c>
      <c r="K3982" s="25">
        <f>IFERROR(__xludf.DUMMYFUNCTION("""COMPUTED_VALUE"""),2921.15)</f>
        <v>2921.15</v>
      </c>
      <c r="L3982" s="25">
        <f>IFERROR(__xludf.DUMMYFUNCTION("""COMPUTED_VALUE"""),2948.1)</f>
        <v>2948.1</v>
      </c>
      <c r="M3982" s="25">
        <f>IFERROR(__xludf.DUMMYFUNCTION("""COMPUTED_VALUE"""),3774549.0)</f>
        <v>3774549</v>
      </c>
    </row>
    <row r="3983">
      <c r="A3983" s="26">
        <f>IFERROR(__xludf.DUMMYFUNCTION("""COMPUTED_VALUE"""),44251.64583333333)</f>
        <v>44251.64583</v>
      </c>
      <c r="B3983" s="9">
        <f>IFERROR(__xludf.DUMMYFUNCTION("""COMPUTED_VALUE"""),1260.05)</f>
        <v>1260.05</v>
      </c>
      <c r="C3983" s="9">
        <f>IFERROR(__xludf.DUMMYFUNCTION("""COMPUTED_VALUE"""),1276.6)</f>
        <v>1276.6</v>
      </c>
      <c r="D3983" s="9">
        <f>IFERROR(__xludf.DUMMYFUNCTION("""COMPUTED_VALUE"""),1252.0)</f>
        <v>1252</v>
      </c>
      <c r="E3983" s="9">
        <f>IFERROR(__xludf.DUMMYFUNCTION("""COMPUTED_VALUE"""),1274.3)</f>
        <v>1274.3</v>
      </c>
      <c r="F3983" s="9">
        <f>IFERROR(__xludf.DUMMYFUNCTION("""COMPUTED_VALUE"""),4537258.0)</f>
        <v>4537258</v>
      </c>
      <c r="H3983" s="27">
        <f>IFERROR(__xludf.DUMMYFUNCTION("""COMPUTED_VALUE"""),44252.64583333333)</f>
        <v>44252.64583</v>
      </c>
      <c r="I3983" s="25">
        <f>IFERROR(__xludf.DUMMYFUNCTION("""COMPUTED_VALUE"""),2974.0)</f>
        <v>2974</v>
      </c>
      <c r="J3983" s="25">
        <f>IFERROR(__xludf.DUMMYFUNCTION("""COMPUTED_VALUE"""),3029.9)</f>
        <v>3029.9</v>
      </c>
      <c r="K3983" s="25">
        <f>IFERROR(__xludf.DUMMYFUNCTION("""COMPUTED_VALUE"""),2968.45)</f>
        <v>2968.45</v>
      </c>
      <c r="L3983" s="25">
        <f>IFERROR(__xludf.DUMMYFUNCTION("""COMPUTED_VALUE"""),2995.3)</f>
        <v>2995.3</v>
      </c>
      <c r="M3983" s="25">
        <f>IFERROR(__xludf.DUMMYFUNCTION("""COMPUTED_VALUE"""),4224073.0)</f>
        <v>4224073</v>
      </c>
    </row>
    <row r="3984">
      <c r="A3984" s="26">
        <f>IFERROR(__xludf.DUMMYFUNCTION("""COMPUTED_VALUE"""),44252.64583333333)</f>
        <v>44252.64583</v>
      </c>
      <c r="B3984" s="9">
        <f>IFERROR(__xludf.DUMMYFUNCTION("""COMPUTED_VALUE"""),1288.45)</f>
        <v>1288.45</v>
      </c>
      <c r="C3984" s="9">
        <f>IFERROR(__xludf.DUMMYFUNCTION("""COMPUTED_VALUE"""),1299.75)</f>
        <v>1299.75</v>
      </c>
      <c r="D3984" s="9">
        <f>IFERROR(__xludf.DUMMYFUNCTION("""COMPUTED_VALUE"""),1272.0)</f>
        <v>1272</v>
      </c>
      <c r="E3984" s="9">
        <f>IFERROR(__xludf.DUMMYFUNCTION("""COMPUTED_VALUE"""),1274.55)</f>
        <v>1274.55</v>
      </c>
      <c r="F3984" s="9">
        <f>IFERROR(__xludf.DUMMYFUNCTION("""COMPUTED_VALUE"""),8788221.0)</f>
        <v>8788221</v>
      </c>
      <c r="H3984" s="27">
        <f>IFERROR(__xludf.DUMMYFUNCTION("""COMPUTED_VALUE"""),44253.64583333333)</f>
        <v>44253.64583</v>
      </c>
      <c r="I3984" s="25">
        <f>IFERROR(__xludf.DUMMYFUNCTION("""COMPUTED_VALUE"""),2960.0)</f>
        <v>2960</v>
      </c>
      <c r="J3984" s="25">
        <f>IFERROR(__xludf.DUMMYFUNCTION("""COMPUTED_VALUE"""),2972.35)</f>
        <v>2972.35</v>
      </c>
      <c r="K3984" s="25">
        <f>IFERROR(__xludf.DUMMYFUNCTION("""COMPUTED_VALUE"""),2880.0)</f>
        <v>2880</v>
      </c>
      <c r="L3984" s="25">
        <f>IFERROR(__xludf.DUMMYFUNCTION("""COMPUTED_VALUE"""),2894.3)</f>
        <v>2894.3</v>
      </c>
      <c r="M3984" s="25">
        <f>IFERROR(__xludf.DUMMYFUNCTION("""COMPUTED_VALUE"""),5553153.0)</f>
        <v>5553153</v>
      </c>
    </row>
    <row r="3985">
      <c r="A3985" s="26">
        <f>IFERROR(__xludf.DUMMYFUNCTION("""COMPUTED_VALUE"""),44253.64583333333)</f>
        <v>44253.64583</v>
      </c>
      <c r="B3985" s="9">
        <f>IFERROR(__xludf.DUMMYFUNCTION("""COMPUTED_VALUE"""),1269.0)</f>
        <v>1269</v>
      </c>
      <c r="C3985" s="9">
        <f>IFERROR(__xludf.DUMMYFUNCTION("""COMPUTED_VALUE"""),1274.3)</f>
        <v>1274.3</v>
      </c>
      <c r="D3985" s="9">
        <f>IFERROR(__xludf.DUMMYFUNCTION("""COMPUTED_VALUE"""),1244.75)</f>
        <v>1244.75</v>
      </c>
      <c r="E3985" s="9">
        <f>IFERROR(__xludf.DUMMYFUNCTION("""COMPUTED_VALUE"""),1253.3)</f>
        <v>1253.3</v>
      </c>
      <c r="F3985" s="9">
        <f>IFERROR(__xludf.DUMMYFUNCTION("""COMPUTED_VALUE"""),1.5132388E7)</f>
        <v>15132388</v>
      </c>
      <c r="H3985" s="27">
        <f>IFERROR(__xludf.DUMMYFUNCTION("""COMPUTED_VALUE"""),44256.64583333333)</f>
        <v>44256.64583</v>
      </c>
      <c r="I3985" s="25">
        <f>IFERROR(__xludf.DUMMYFUNCTION("""COMPUTED_VALUE"""),2926.0)</f>
        <v>2926</v>
      </c>
      <c r="J3985" s="25">
        <f>IFERROR(__xludf.DUMMYFUNCTION("""COMPUTED_VALUE"""),2965.0)</f>
        <v>2965</v>
      </c>
      <c r="K3985" s="25">
        <f>IFERROR(__xludf.DUMMYFUNCTION("""COMPUTED_VALUE"""),2901.8)</f>
        <v>2901.8</v>
      </c>
      <c r="L3985" s="25">
        <f>IFERROR(__xludf.DUMMYFUNCTION("""COMPUTED_VALUE"""),2924.2)</f>
        <v>2924.2</v>
      </c>
      <c r="M3985" s="25">
        <f>IFERROR(__xludf.DUMMYFUNCTION("""COMPUTED_VALUE"""),3265871.0)</f>
        <v>3265871</v>
      </c>
    </row>
    <row r="3986">
      <c r="A3986" s="26">
        <f>IFERROR(__xludf.DUMMYFUNCTION("""COMPUTED_VALUE"""),44256.64583333333)</f>
        <v>44256.64583</v>
      </c>
      <c r="B3986" s="9">
        <f>IFERROR(__xludf.DUMMYFUNCTION("""COMPUTED_VALUE"""),1263.3)</f>
        <v>1263.3</v>
      </c>
      <c r="C3986" s="9">
        <f>IFERROR(__xludf.DUMMYFUNCTION("""COMPUTED_VALUE"""),1284.5)</f>
        <v>1284.5</v>
      </c>
      <c r="D3986" s="9">
        <f>IFERROR(__xludf.DUMMYFUNCTION("""COMPUTED_VALUE"""),1259.0)</f>
        <v>1259</v>
      </c>
      <c r="E3986" s="9">
        <f>IFERROR(__xludf.DUMMYFUNCTION("""COMPUTED_VALUE"""),1267.0)</f>
        <v>1267</v>
      </c>
      <c r="F3986" s="9">
        <f>IFERROR(__xludf.DUMMYFUNCTION("""COMPUTED_VALUE"""),5756286.0)</f>
        <v>5756286</v>
      </c>
      <c r="H3986" s="27">
        <f>IFERROR(__xludf.DUMMYFUNCTION("""COMPUTED_VALUE"""),44257.64583333333)</f>
        <v>44257.64583</v>
      </c>
      <c r="I3986" s="25">
        <f>IFERROR(__xludf.DUMMYFUNCTION("""COMPUTED_VALUE"""),2960.0)</f>
        <v>2960</v>
      </c>
      <c r="J3986" s="25">
        <f>IFERROR(__xludf.DUMMYFUNCTION("""COMPUTED_VALUE"""),3025.0)</f>
        <v>3025</v>
      </c>
      <c r="K3986" s="25">
        <f>IFERROR(__xludf.DUMMYFUNCTION("""COMPUTED_VALUE"""),2948.0)</f>
        <v>2948</v>
      </c>
      <c r="L3986" s="25">
        <f>IFERROR(__xludf.DUMMYFUNCTION("""COMPUTED_VALUE"""),3006.35)</f>
        <v>3006.35</v>
      </c>
      <c r="M3986" s="25">
        <f>IFERROR(__xludf.DUMMYFUNCTION("""COMPUTED_VALUE"""),3306469.0)</f>
        <v>3306469</v>
      </c>
    </row>
    <row r="3987">
      <c r="A3987" s="26">
        <f>IFERROR(__xludf.DUMMYFUNCTION("""COMPUTED_VALUE"""),44257.64583333333)</f>
        <v>44257.64583</v>
      </c>
      <c r="B3987" s="9">
        <f>IFERROR(__xludf.DUMMYFUNCTION("""COMPUTED_VALUE"""),1282.25)</f>
        <v>1282.25</v>
      </c>
      <c r="C3987" s="9">
        <f>IFERROR(__xludf.DUMMYFUNCTION("""COMPUTED_VALUE"""),1310.0)</f>
        <v>1310</v>
      </c>
      <c r="D3987" s="9">
        <f>IFERROR(__xludf.DUMMYFUNCTION("""COMPUTED_VALUE"""),1279.2)</f>
        <v>1279.2</v>
      </c>
      <c r="E3987" s="9">
        <f>IFERROR(__xludf.DUMMYFUNCTION("""COMPUTED_VALUE"""),1304.5)</f>
        <v>1304.5</v>
      </c>
      <c r="F3987" s="9">
        <f>IFERROR(__xludf.DUMMYFUNCTION("""COMPUTED_VALUE"""),1.0461434E7)</f>
        <v>10461434</v>
      </c>
      <c r="H3987" s="27">
        <f>IFERROR(__xludf.DUMMYFUNCTION("""COMPUTED_VALUE"""),44258.64583333333)</f>
        <v>44258.64583</v>
      </c>
      <c r="I3987" s="25">
        <f>IFERROR(__xludf.DUMMYFUNCTION("""COMPUTED_VALUE"""),3035.0)</f>
        <v>3035</v>
      </c>
      <c r="J3987" s="25">
        <f>IFERROR(__xludf.DUMMYFUNCTION("""COMPUTED_VALUE"""),3064.0)</f>
        <v>3064</v>
      </c>
      <c r="K3987" s="25">
        <f>IFERROR(__xludf.DUMMYFUNCTION("""COMPUTED_VALUE"""),2996.9)</f>
        <v>2996.9</v>
      </c>
      <c r="L3987" s="25">
        <f>IFERROR(__xludf.DUMMYFUNCTION("""COMPUTED_VALUE"""),3059.1)</f>
        <v>3059.1</v>
      </c>
      <c r="M3987" s="25">
        <f>IFERROR(__xludf.DUMMYFUNCTION("""COMPUTED_VALUE"""),3509857.0)</f>
        <v>3509857</v>
      </c>
    </row>
    <row r="3988">
      <c r="A3988" s="26">
        <f>IFERROR(__xludf.DUMMYFUNCTION("""COMPUTED_VALUE"""),44258.64583333333)</f>
        <v>44258.64583</v>
      </c>
      <c r="B3988" s="9">
        <f>IFERROR(__xludf.DUMMYFUNCTION("""COMPUTED_VALUE"""),1319.2)</f>
        <v>1319.2</v>
      </c>
      <c r="C3988" s="9">
        <f>IFERROR(__xludf.DUMMYFUNCTION("""COMPUTED_VALUE"""),1347.0)</f>
        <v>1347</v>
      </c>
      <c r="D3988" s="9">
        <f>IFERROR(__xludf.DUMMYFUNCTION("""COMPUTED_VALUE"""),1308.0)</f>
        <v>1308</v>
      </c>
      <c r="E3988" s="9">
        <f>IFERROR(__xludf.DUMMYFUNCTION("""COMPUTED_VALUE"""),1343.55)</f>
        <v>1343.55</v>
      </c>
      <c r="F3988" s="9">
        <f>IFERROR(__xludf.DUMMYFUNCTION("""COMPUTED_VALUE"""),9056399.0)</f>
        <v>9056399</v>
      </c>
      <c r="H3988" s="27">
        <f>IFERROR(__xludf.DUMMYFUNCTION("""COMPUTED_VALUE"""),44259.64583333333)</f>
        <v>44259.64583</v>
      </c>
      <c r="I3988" s="25">
        <f>IFERROR(__xludf.DUMMYFUNCTION("""COMPUTED_VALUE"""),3023.0)</f>
        <v>3023</v>
      </c>
      <c r="J3988" s="25">
        <f>IFERROR(__xludf.DUMMYFUNCTION("""COMPUTED_VALUE"""),3081.45)</f>
        <v>3081.45</v>
      </c>
      <c r="K3988" s="25">
        <f>IFERROR(__xludf.DUMMYFUNCTION("""COMPUTED_VALUE"""),3016.05)</f>
        <v>3016.05</v>
      </c>
      <c r="L3988" s="25">
        <f>IFERROR(__xludf.DUMMYFUNCTION("""COMPUTED_VALUE"""),3049.7)</f>
        <v>3049.7</v>
      </c>
      <c r="M3988" s="25">
        <f>IFERROR(__xludf.DUMMYFUNCTION("""COMPUTED_VALUE"""),3916760.0)</f>
        <v>3916760</v>
      </c>
    </row>
    <row r="3989">
      <c r="A3989" s="26">
        <f>IFERROR(__xludf.DUMMYFUNCTION("""COMPUTED_VALUE"""),44259.64583333333)</f>
        <v>44259.64583</v>
      </c>
      <c r="B3989" s="9">
        <f>IFERROR(__xludf.DUMMYFUNCTION("""COMPUTED_VALUE"""),1335.0)</f>
        <v>1335</v>
      </c>
      <c r="C3989" s="9">
        <f>IFERROR(__xludf.DUMMYFUNCTION("""COMPUTED_VALUE"""),1363.85)</f>
        <v>1363.85</v>
      </c>
      <c r="D3989" s="9">
        <f>IFERROR(__xludf.DUMMYFUNCTION("""COMPUTED_VALUE"""),1325.9)</f>
        <v>1325.9</v>
      </c>
      <c r="E3989" s="9">
        <f>IFERROR(__xludf.DUMMYFUNCTION("""COMPUTED_VALUE"""),1330.35)</f>
        <v>1330.35</v>
      </c>
      <c r="F3989" s="9">
        <f>IFERROR(__xludf.DUMMYFUNCTION("""COMPUTED_VALUE"""),1.2041941E7)</f>
        <v>12041941</v>
      </c>
      <c r="H3989" s="27">
        <f>IFERROR(__xludf.DUMMYFUNCTION("""COMPUTED_VALUE"""),44260.64583333333)</f>
        <v>44260.64583</v>
      </c>
      <c r="I3989" s="25">
        <f>IFERROR(__xludf.DUMMYFUNCTION("""COMPUTED_VALUE"""),3016.1)</f>
        <v>3016.1</v>
      </c>
      <c r="J3989" s="25">
        <f>IFERROR(__xludf.DUMMYFUNCTION("""COMPUTED_VALUE"""),3063.2)</f>
        <v>3063.2</v>
      </c>
      <c r="K3989" s="25">
        <f>IFERROR(__xludf.DUMMYFUNCTION("""COMPUTED_VALUE"""),2996.6)</f>
        <v>2996.6</v>
      </c>
      <c r="L3989" s="25">
        <f>IFERROR(__xludf.DUMMYFUNCTION("""COMPUTED_VALUE"""),3008.05)</f>
        <v>3008.05</v>
      </c>
      <c r="M3989" s="25">
        <f>IFERROR(__xludf.DUMMYFUNCTION("""COMPUTED_VALUE"""),3203686.0)</f>
        <v>3203686</v>
      </c>
    </row>
    <row r="3990">
      <c r="A3990" s="26">
        <f>IFERROR(__xludf.DUMMYFUNCTION("""COMPUTED_VALUE"""),44260.64583333333)</f>
        <v>44260.64583</v>
      </c>
      <c r="B3990" s="9">
        <f>IFERROR(__xludf.DUMMYFUNCTION("""COMPUTED_VALUE"""),1328.5)</f>
        <v>1328.5</v>
      </c>
      <c r="C3990" s="9">
        <f>IFERROR(__xludf.DUMMYFUNCTION("""COMPUTED_VALUE"""),1340.0)</f>
        <v>1340</v>
      </c>
      <c r="D3990" s="9">
        <f>IFERROR(__xludf.DUMMYFUNCTION("""COMPUTED_VALUE"""),1305.05)</f>
        <v>1305.05</v>
      </c>
      <c r="E3990" s="9">
        <f>IFERROR(__xludf.DUMMYFUNCTION("""COMPUTED_VALUE"""),1316.7)</f>
        <v>1316.7</v>
      </c>
      <c r="F3990" s="9">
        <f>IFERROR(__xludf.DUMMYFUNCTION("""COMPUTED_VALUE"""),6486176.0)</f>
        <v>6486176</v>
      </c>
      <c r="H3990" s="27">
        <f>IFERROR(__xludf.DUMMYFUNCTION("""COMPUTED_VALUE"""),44263.64583333333)</f>
        <v>44263.64583</v>
      </c>
      <c r="I3990" s="25">
        <f>IFERROR(__xludf.DUMMYFUNCTION("""COMPUTED_VALUE"""),3016.0)</f>
        <v>3016</v>
      </c>
      <c r="J3990" s="25">
        <f>IFERROR(__xludf.DUMMYFUNCTION("""COMPUTED_VALUE"""),3033.0)</f>
        <v>3033</v>
      </c>
      <c r="K3990" s="25">
        <f>IFERROR(__xludf.DUMMYFUNCTION("""COMPUTED_VALUE"""),2996.0)</f>
        <v>2996</v>
      </c>
      <c r="L3990" s="25">
        <f>IFERROR(__xludf.DUMMYFUNCTION("""COMPUTED_VALUE"""),3006.95)</f>
        <v>3006.95</v>
      </c>
      <c r="M3990" s="25">
        <f>IFERROR(__xludf.DUMMYFUNCTION("""COMPUTED_VALUE"""),2003125.0)</f>
        <v>2003125</v>
      </c>
    </row>
    <row r="3991">
      <c r="A3991" s="26">
        <f>IFERROR(__xludf.DUMMYFUNCTION("""COMPUTED_VALUE"""),44263.64583333333)</f>
        <v>44263.64583</v>
      </c>
      <c r="B3991" s="9">
        <f>IFERROR(__xludf.DUMMYFUNCTION("""COMPUTED_VALUE"""),1324.8)</f>
        <v>1324.8</v>
      </c>
      <c r="C3991" s="9">
        <f>IFERROR(__xludf.DUMMYFUNCTION("""COMPUTED_VALUE"""),1346.1)</f>
        <v>1346.1</v>
      </c>
      <c r="D3991" s="9">
        <f>IFERROR(__xludf.DUMMYFUNCTION("""COMPUTED_VALUE"""),1317.2)</f>
        <v>1317.2</v>
      </c>
      <c r="E3991" s="9">
        <f>IFERROR(__xludf.DUMMYFUNCTION("""COMPUTED_VALUE"""),1335.75)</f>
        <v>1335.75</v>
      </c>
      <c r="F3991" s="9">
        <f>IFERROR(__xludf.DUMMYFUNCTION("""COMPUTED_VALUE"""),5119392.0)</f>
        <v>5119392</v>
      </c>
      <c r="H3991" s="27">
        <f>IFERROR(__xludf.DUMMYFUNCTION("""COMPUTED_VALUE"""),44264.64583333333)</f>
        <v>44264.64583</v>
      </c>
      <c r="I3991" s="25">
        <f>IFERROR(__xludf.DUMMYFUNCTION("""COMPUTED_VALUE"""),3006.95)</f>
        <v>3006.95</v>
      </c>
      <c r="J3991" s="25">
        <f>IFERROR(__xludf.DUMMYFUNCTION("""COMPUTED_VALUE"""),3066.9)</f>
        <v>3066.9</v>
      </c>
      <c r="K3991" s="25">
        <f>IFERROR(__xludf.DUMMYFUNCTION("""COMPUTED_VALUE"""),2992.1)</f>
        <v>2992.1</v>
      </c>
      <c r="L3991" s="25">
        <f>IFERROR(__xludf.DUMMYFUNCTION("""COMPUTED_VALUE"""),3050.95)</f>
        <v>3050.95</v>
      </c>
      <c r="M3991" s="25">
        <f>IFERROR(__xludf.DUMMYFUNCTION("""COMPUTED_VALUE"""),1942397.0)</f>
        <v>1942397</v>
      </c>
    </row>
    <row r="3992">
      <c r="A3992" s="26">
        <f>IFERROR(__xludf.DUMMYFUNCTION("""COMPUTED_VALUE"""),44264.64583333333)</f>
        <v>44264.64583</v>
      </c>
      <c r="B3992" s="9">
        <f>IFERROR(__xludf.DUMMYFUNCTION("""COMPUTED_VALUE"""),1329.5)</f>
        <v>1329.5</v>
      </c>
      <c r="C3992" s="9">
        <f>IFERROR(__xludf.DUMMYFUNCTION("""COMPUTED_VALUE"""),1350.45)</f>
        <v>1350.45</v>
      </c>
      <c r="D3992" s="9">
        <f>IFERROR(__xludf.DUMMYFUNCTION("""COMPUTED_VALUE"""),1318.75)</f>
        <v>1318.75</v>
      </c>
      <c r="E3992" s="9">
        <f>IFERROR(__xludf.DUMMYFUNCTION("""COMPUTED_VALUE"""),1345.55)</f>
        <v>1345.55</v>
      </c>
      <c r="F3992" s="9">
        <f>IFERROR(__xludf.DUMMYFUNCTION("""COMPUTED_VALUE"""),6518173.0)</f>
        <v>6518173</v>
      </c>
      <c r="H3992" s="27">
        <f>IFERROR(__xludf.DUMMYFUNCTION("""COMPUTED_VALUE"""),44265.64583333333)</f>
        <v>44265.64583</v>
      </c>
      <c r="I3992" s="25">
        <f>IFERROR(__xludf.DUMMYFUNCTION("""COMPUTED_VALUE"""),3075.0)</f>
        <v>3075</v>
      </c>
      <c r="J3992" s="25">
        <f>IFERROR(__xludf.DUMMYFUNCTION("""COMPUTED_VALUE"""),3093.2)</f>
        <v>3093.2</v>
      </c>
      <c r="K3992" s="25">
        <f>IFERROR(__xludf.DUMMYFUNCTION("""COMPUTED_VALUE"""),3060.0)</f>
        <v>3060</v>
      </c>
      <c r="L3992" s="25">
        <f>IFERROR(__xludf.DUMMYFUNCTION("""COMPUTED_VALUE"""),3070.95)</f>
        <v>3070.95</v>
      </c>
      <c r="M3992" s="25">
        <f>IFERROR(__xludf.DUMMYFUNCTION("""COMPUTED_VALUE"""),3053778.0)</f>
        <v>3053778</v>
      </c>
    </row>
    <row r="3993">
      <c r="A3993" s="26">
        <f>IFERROR(__xludf.DUMMYFUNCTION("""COMPUTED_VALUE"""),44265.64583333333)</f>
        <v>44265.64583</v>
      </c>
      <c r="B3993" s="9">
        <f>IFERROR(__xludf.DUMMYFUNCTION("""COMPUTED_VALUE"""),1356.9)</f>
        <v>1356.9</v>
      </c>
      <c r="C3993" s="9">
        <f>IFERROR(__xludf.DUMMYFUNCTION("""COMPUTED_VALUE"""),1374.0)</f>
        <v>1374</v>
      </c>
      <c r="D3993" s="9">
        <f>IFERROR(__xludf.DUMMYFUNCTION("""COMPUTED_VALUE"""),1355.0)</f>
        <v>1355</v>
      </c>
      <c r="E3993" s="9">
        <f>IFERROR(__xludf.DUMMYFUNCTION("""COMPUTED_VALUE"""),1368.15)</f>
        <v>1368.15</v>
      </c>
      <c r="F3993" s="9">
        <f>IFERROR(__xludf.DUMMYFUNCTION("""COMPUTED_VALUE"""),7925984.0)</f>
        <v>7925984</v>
      </c>
      <c r="H3993" s="27">
        <f>IFERROR(__xludf.DUMMYFUNCTION("""COMPUTED_VALUE"""),44267.64583333333)</f>
        <v>44267.64583</v>
      </c>
      <c r="I3993" s="25">
        <f>IFERROR(__xludf.DUMMYFUNCTION("""COMPUTED_VALUE"""),3075.0)</f>
        <v>3075</v>
      </c>
      <c r="J3993" s="25">
        <f>IFERROR(__xludf.DUMMYFUNCTION("""COMPUTED_VALUE"""),3117.0)</f>
        <v>3117</v>
      </c>
      <c r="K3993" s="25">
        <f>IFERROR(__xludf.DUMMYFUNCTION("""COMPUTED_VALUE"""),3041.35)</f>
        <v>3041.35</v>
      </c>
      <c r="L3993" s="25">
        <f>IFERROR(__xludf.DUMMYFUNCTION("""COMPUTED_VALUE"""),3057.95)</f>
        <v>3057.95</v>
      </c>
      <c r="M3993" s="25">
        <f>IFERROR(__xludf.DUMMYFUNCTION("""COMPUTED_VALUE"""),2938317.0)</f>
        <v>2938317</v>
      </c>
    </row>
    <row r="3994">
      <c r="A3994" s="26">
        <f>IFERROR(__xludf.DUMMYFUNCTION("""COMPUTED_VALUE"""),44267.64583333333)</f>
        <v>44267.64583</v>
      </c>
      <c r="B3994" s="9">
        <f>IFERROR(__xludf.DUMMYFUNCTION("""COMPUTED_VALUE"""),1373.0)</f>
        <v>1373</v>
      </c>
      <c r="C3994" s="9">
        <f>IFERROR(__xludf.DUMMYFUNCTION("""COMPUTED_VALUE"""),1391.7)</f>
        <v>1391.7</v>
      </c>
      <c r="D3994" s="9">
        <f>IFERROR(__xludf.DUMMYFUNCTION("""COMPUTED_VALUE"""),1370.05)</f>
        <v>1370.05</v>
      </c>
      <c r="E3994" s="9">
        <f>IFERROR(__xludf.DUMMYFUNCTION("""COMPUTED_VALUE"""),1374.85)</f>
        <v>1374.85</v>
      </c>
      <c r="F3994" s="9">
        <f>IFERROR(__xludf.DUMMYFUNCTION("""COMPUTED_VALUE"""),9462061.0)</f>
        <v>9462061</v>
      </c>
      <c r="H3994" s="27">
        <f>IFERROR(__xludf.DUMMYFUNCTION("""COMPUTED_VALUE"""),44270.64583333333)</f>
        <v>44270.64583</v>
      </c>
      <c r="I3994" s="25">
        <f>IFERROR(__xludf.DUMMYFUNCTION("""COMPUTED_VALUE"""),3041.0)</f>
        <v>3041</v>
      </c>
      <c r="J3994" s="25">
        <f>IFERROR(__xludf.DUMMYFUNCTION("""COMPUTED_VALUE"""),3099.0)</f>
        <v>3099</v>
      </c>
      <c r="K3994" s="25">
        <f>IFERROR(__xludf.DUMMYFUNCTION("""COMPUTED_VALUE"""),3041.0)</f>
        <v>3041</v>
      </c>
      <c r="L3994" s="25">
        <f>IFERROR(__xludf.DUMMYFUNCTION("""COMPUTED_VALUE"""),3066.15)</f>
        <v>3066.15</v>
      </c>
      <c r="M3994" s="25">
        <f>IFERROR(__xludf.DUMMYFUNCTION("""COMPUTED_VALUE"""),3097140.0)</f>
        <v>3097140</v>
      </c>
    </row>
    <row r="3995">
      <c r="A3995" s="26">
        <f>IFERROR(__xludf.DUMMYFUNCTION("""COMPUTED_VALUE"""),44270.64583333333)</f>
        <v>44270.64583</v>
      </c>
      <c r="B3995" s="9">
        <f>IFERROR(__xludf.DUMMYFUNCTION("""COMPUTED_VALUE"""),1370.0)</f>
        <v>1370</v>
      </c>
      <c r="C3995" s="9">
        <f>IFERROR(__xludf.DUMMYFUNCTION("""COMPUTED_VALUE"""),1379.9)</f>
        <v>1379.9</v>
      </c>
      <c r="D3995" s="9">
        <f>IFERROR(__xludf.DUMMYFUNCTION("""COMPUTED_VALUE"""),1358.5)</f>
        <v>1358.5</v>
      </c>
      <c r="E3995" s="9">
        <f>IFERROR(__xludf.DUMMYFUNCTION("""COMPUTED_VALUE"""),1373.6)</f>
        <v>1373.6</v>
      </c>
      <c r="F3995" s="9">
        <f>IFERROR(__xludf.DUMMYFUNCTION("""COMPUTED_VALUE"""),6658665.0)</f>
        <v>6658665</v>
      </c>
      <c r="H3995" s="27">
        <f>IFERROR(__xludf.DUMMYFUNCTION("""COMPUTED_VALUE"""),44271.64583333333)</f>
        <v>44271.64583</v>
      </c>
      <c r="I3995" s="25">
        <f>IFERROR(__xludf.DUMMYFUNCTION("""COMPUTED_VALUE"""),3060.0)</f>
        <v>3060</v>
      </c>
      <c r="J3995" s="25">
        <f>IFERROR(__xludf.DUMMYFUNCTION("""COMPUTED_VALUE"""),3141.0)</f>
        <v>3141</v>
      </c>
      <c r="K3995" s="25">
        <f>IFERROR(__xludf.DUMMYFUNCTION("""COMPUTED_VALUE"""),3060.0)</f>
        <v>3060</v>
      </c>
      <c r="L3995" s="25">
        <f>IFERROR(__xludf.DUMMYFUNCTION("""COMPUTED_VALUE"""),3110.05)</f>
        <v>3110.05</v>
      </c>
      <c r="M3995" s="25">
        <f>IFERROR(__xludf.DUMMYFUNCTION("""COMPUTED_VALUE"""),4894756.0)</f>
        <v>4894756</v>
      </c>
    </row>
    <row r="3996">
      <c r="A3996" s="26">
        <f>IFERROR(__xludf.DUMMYFUNCTION("""COMPUTED_VALUE"""),44271.64583333333)</f>
        <v>44271.64583</v>
      </c>
      <c r="B3996" s="9">
        <f>IFERROR(__xludf.DUMMYFUNCTION("""COMPUTED_VALUE"""),1386.05)</f>
        <v>1386.05</v>
      </c>
      <c r="C3996" s="9">
        <f>IFERROR(__xludf.DUMMYFUNCTION("""COMPUTED_VALUE"""),1406.0)</f>
        <v>1406</v>
      </c>
      <c r="D3996" s="9">
        <f>IFERROR(__xludf.DUMMYFUNCTION("""COMPUTED_VALUE"""),1380.5)</f>
        <v>1380.5</v>
      </c>
      <c r="E3996" s="9">
        <f>IFERROR(__xludf.DUMMYFUNCTION("""COMPUTED_VALUE"""),1384.0)</f>
        <v>1384</v>
      </c>
      <c r="F3996" s="9">
        <f>IFERROR(__xludf.DUMMYFUNCTION("""COMPUTED_VALUE"""),9352771.0)</f>
        <v>9352771</v>
      </c>
      <c r="H3996" s="27">
        <f>IFERROR(__xludf.DUMMYFUNCTION("""COMPUTED_VALUE"""),44272.64583333333)</f>
        <v>44272.64583</v>
      </c>
      <c r="I3996" s="25">
        <f>IFERROR(__xludf.DUMMYFUNCTION("""COMPUTED_VALUE"""),3105.0)</f>
        <v>3105</v>
      </c>
      <c r="J3996" s="25">
        <f>IFERROR(__xludf.DUMMYFUNCTION("""COMPUTED_VALUE"""),3155.0)</f>
        <v>3155</v>
      </c>
      <c r="K3996" s="25">
        <f>IFERROR(__xludf.DUMMYFUNCTION("""COMPUTED_VALUE"""),3085.3)</f>
        <v>3085.3</v>
      </c>
      <c r="L3996" s="25">
        <f>IFERROR(__xludf.DUMMYFUNCTION("""COMPUTED_VALUE"""),3112.95)</f>
        <v>3112.95</v>
      </c>
      <c r="M3996" s="25">
        <f>IFERROR(__xludf.DUMMYFUNCTION("""COMPUTED_VALUE"""),3838390.0)</f>
        <v>3838390</v>
      </c>
    </row>
    <row r="3997">
      <c r="A3997" s="26">
        <f>IFERROR(__xludf.DUMMYFUNCTION("""COMPUTED_VALUE"""),44272.64583333333)</f>
        <v>44272.64583</v>
      </c>
      <c r="B3997" s="9">
        <f>IFERROR(__xludf.DUMMYFUNCTION("""COMPUTED_VALUE"""),1392.25)</f>
        <v>1392.25</v>
      </c>
      <c r="C3997" s="9">
        <f>IFERROR(__xludf.DUMMYFUNCTION("""COMPUTED_VALUE"""),1400.0)</f>
        <v>1400</v>
      </c>
      <c r="D3997" s="9">
        <f>IFERROR(__xludf.DUMMYFUNCTION("""COMPUTED_VALUE"""),1382.0)</f>
        <v>1382</v>
      </c>
      <c r="E3997" s="9">
        <f>IFERROR(__xludf.DUMMYFUNCTION("""COMPUTED_VALUE"""),1387.0)</f>
        <v>1387</v>
      </c>
      <c r="F3997" s="9">
        <f>IFERROR(__xludf.DUMMYFUNCTION("""COMPUTED_VALUE"""),7626744.0)</f>
        <v>7626744</v>
      </c>
      <c r="H3997" s="27">
        <f>IFERROR(__xludf.DUMMYFUNCTION("""COMPUTED_VALUE"""),44273.64583333333)</f>
        <v>44273.64583</v>
      </c>
      <c r="I3997" s="25">
        <f>IFERROR(__xludf.DUMMYFUNCTION("""COMPUTED_VALUE"""),3125.95)</f>
        <v>3125.95</v>
      </c>
      <c r="J3997" s="25">
        <f>IFERROR(__xludf.DUMMYFUNCTION("""COMPUTED_VALUE"""),3146.45)</f>
        <v>3146.45</v>
      </c>
      <c r="K3997" s="25">
        <f>IFERROR(__xludf.DUMMYFUNCTION("""COMPUTED_VALUE"""),2987.05)</f>
        <v>2987.05</v>
      </c>
      <c r="L3997" s="25">
        <f>IFERROR(__xludf.DUMMYFUNCTION("""COMPUTED_VALUE"""),3036.5)</f>
        <v>3036.5</v>
      </c>
      <c r="M3997" s="25">
        <f>IFERROR(__xludf.DUMMYFUNCTION("""COMPUTED_VALUE"""),3656306.0)</f>
        <v>3656306</v>
      </c>
    </row>
    <row r="3998">
      <c r="A3998" s="26">
        <f>IFERROR(__xludf.DUMMYFUNCTION("""COMPUTED_VALUE"""),44273.64583333333)</f>
        <v>44273.64583</v>
      </c>
      <c r="B3998" s="9">
        <f>IFERROR(__xludf.DUMMYFUNCTION("""COMPUTED_VALUE"""),1393.75)</f>
        <v>1393.75</v>
      </c>
      <c r="C3998" s="9">
        <f>IFERROR(__xludf.DUMMYFUNCTION("""COMPUTED_VALUE"""),1393.75)</f>
        <v>1393.75</v>
      </c>
      <c r="D3998" s="9">
        <f>IFERROR(__xludf.DUMMYFUNCTION("""COMPUTED_VALUE"""),1313.5)</f>
        <v>1313.5</v>
      </c>
      <c r="E3998" s="9">
        <f>IFERROR(__xludf.DUMMYFUNCTION("""COMPUTED_VALUE"""),1337.1)</f>
        <v>1337.1</v>
      </c>
      <c r="F3998" s="9">
        <f>IFERROR(__xludf.DUMMYFUNCTION("""COMPUTED_VALUE"""),1.0961755E7)</f>
        <v>10961755</v>
      </c>
      <c r="H3998" s="27">
        <f>IFERROR(__xludf.DUMMYFUNCTION("""COMPUTED_VALUE"""),44274.64583333333)</f>
        <v>44274.64583</v>
      </c>
      <c r="I3998" s="25">
        <f>IFERROR(__xludf.DUMMYFUNCTION("""COMPUTED_VALUE"""),3030.0)</f>
        <v>3030</v>
      </c>
      <c r="J3998" s="25">
        <f>IFERROR(__xludf.DUMMYFUNCTION("""COMPUTED_VALUE"""),3099.0)</f>
        <v>3099</v>
      </c>
      <c r="K3998" s="25">
        <f>IFERROR(__xludf.DUMMYFUNCTION("""COMPUTED_VALUE"""),3005.0)</f>
        <v>3005</v>
      </c>
      <c r="L3998" s="25">
        <f>IFERROR(__xludf.DUMMYFUNCTION("""COMPUTED_VALUE"""),3050.2)</f>
        <v>3050.2</v>
      </c>
      <c r="M3998" s="25">
        <f>IFERROR(__xludf.DUMMYFUNCTION("""COMPUTED_VALUE"""),5776626.0)</f>
        <v>5776626</v>
      </c>
    </row>
    <row r="3999">
      <c r="A3999" s="26">
        <f>IFERROR(__xludf.DUMMYFUNCTION("""COMPUTED_VALUE"""),44274.64583333333)</f>
        <v>44274.64583</v>
      </c>
      <c r="B3999" s="9">
        <f>IFERROR(__xludf.DUMMYFUNCTION("""COMPUTED_VALUE"""),1330.0)</f>
        <v>1330</v>
      </c>
      <c r="C3999" s="9">
        <f>IFERROR(__xludf.DUMMYFUNCTION("""COMPUTED_VALUE"""),1355.2)</f>
        <v>1355.2</v>
      </c>
      <c r="D3999" s="9">
        <f>IFERROR(__xludf.DUMMYFUNCTION("""COMPUTED_VALUE"""),1318.0)</f>
        <v>1318</v>
      </c>
      <c r="E3999" s="9">
        <f>IFERROR(__xludf.DUMMYFUNCTION("""COMPUTED_VALUE"""),1344.45)</f>
        <v>1344.45</v>
      </c>
      <c r="F3999" s="9">
        <f>IFERROR(__xludf.DUMMYFUNCTION("""COMPUTED_VALUE"""),1.2767112E7)</f>
        <v>12767112</v>
      </c>
      <c r="H3999" s="27">
        <f>IFERROR(__xludf.DUMMYFUNCTION("""COMPUTED_VALUE"""),44277.64583333333)</f>
        <v>44277.64583</v>
      </c>
      <c r="I3999" s="25">
        <f>IFERROR(__xludf.DUMMYFUNCTION("""COMPUTED_VALUE"""),3048.7)</f>
        <v>3048.7</v>
      </c>
      <c r="J3999" s="25">
        <f>IFERROR(__xludf.DUMMYFUNCTION("""COMPUTED_VALUE"""),3139.45)</f>
        <v>3139.45</v>
      </c>
      <c r="K3999" s="25">
        <f>IFERROR(__xludf.DUMMYFUNCTION("""COMPUTED_VALUE"""),3018.65)</f>
        <v>3018.65</v>
      </c>
      <c r="L3999" s="25">
        <f>IFERROR(__xludf.DUMMYFUNCTION("""COMPUTED_VALUE"""),3129.65)</f>
        <v>3129.65</v>
      </c>
      <c r="M3999" s="25">
        <f>IFERROR(__xludf.DUMMYFUNCTION("""COMPUTED_VALUE"""),2821646.0)</f>
        <v>2821646</v>
      </c>
    </row>
    <row r="4000">
      <c r="A4000" s="26">
        <f>IFERROR(__xludf.DUMMYFUNCTION("""COMPUTED_VALUE"""),44277.64583333333)</f>
        <v>44277.64583</v>
      </c>
      <c r="B4000" s="9">
        <f>IFERROR(__xludf.DUMMYFUNCTION("""COMPUTED_VALUE"""),1350.1)</f>
        <v>1350.1</v>
      </c>
      <c r="C4000" s="9">
        <f>IFERROR(__xludf.DUMMYFUNCTION("""COMPUTED_VALUE"""),1376.0)</f>
        <v>1376</v>
      </c>
      <c r="D4000" s="9">
        <f>IFERROR(__xludf.DUMMYFUNCTION("""COMPUTED_VALUE"""),1336.1)</f>
        <v>1336.1</v>
      </c>
      <c r="E4000" s="9">
        <f>IFERROR(__xludf.DUMMYFUNCTION("""COMPUTED_VALUE"""),1370.8)</f>
        <v>1370.8</v>
      </c>
      <c r="F4000" s="9">
        <f>IFERROR(__xludf.DUMMYFUNCTION("""COMPUTED_VALUE"""),4862758.0)</f>
        <v>4862758</v>
      </c>
      <c r="H4000" s="27">
        <f>IFERROR(__xludf.DUMMYFUNCTION("""COMPUTED_VALUE"""),44278.64583333333)</f>
        <v>44278.64583</v>
      </c>
      <c r="I4000" s="25">
        <f>IFERROR(__xludf.DUMMYFUNCTION("""COMPUTED_VALUE"""),3140.0)</f>
        <v>3140</v>
      </c>
      <c r="J4000" s="25">
        <f>IFERROR(__xludf.DUMMYFUNCTION("""COMPUTED_VALUE"""),3169.0)</f>
        <v>3169</v>
      </c>
      <c r="K4000" s="25">
        <f>IFERROR(__xludf.DUMMYFUNCTION("""COMPUTED_VALUE"""),3122.85)</f>
        <v>3122.85</v>
      </c>
      <c r="L4000" s="25">
        <f>IFERROR(__xludf.DUMMYFUNCTION("""COMPUTED_VALUE"""),3142.6)</f>
        <v>3142.6</v>
      </c>
      <c r="M4000" s="25">
        <f>IFERROR(__xludf.DUMMYFUNCTION("""COMPUTED_VALUE"""),3305973.0)</f>
        <v>3305973</v>
      </c>
    </row>
    <row r="4001">
      <c r="A4001" s="26">
        <f>IFERROR(__xludf.DUMMYFUNCTION("""COMPUTED_VALUE"""),44278.64583333333)</f>
        <v>44278.64583</v>
      </c>
      <c r="B4001" s="9">
        <f>IFERROR(__xludf.DUMMYFUNCTION("""COMPUTED_VALUE"""),1372.45)</f>
        <v>1372.45</v>
      </c>
      <c r="C4001" s="9">
        <f>IFERROR(__xludf.DUMMYFUNCTION("""COMPUTED_VALUE"""),1383.25)</f>
        <v>1383.25</v>
      </c>
      <c r="D4001" s="9">
        <f>IFERROR(__xludf.DUMMYFUNCTION("""COMPUTED_VALUE"""),1359.6)</f>
        <v>1359.6</v>
      </c>
      <c r="E4001" s="9">
        <f>IFERROR(__xludf.DUMMYFUNCTION("""COMPUTED_VALUE"""),1371.55)</f>
        <v>1371.55</v>
      </c>
      <c r="F4001" s="9">
        <f>IFERROR(__xludf.DUMMYFUNCTION("""COMPUTED_VALUE"""),7165335.0)</f>
        <v>7165335</v>
      </c>
      <c r="H4001" s="27">
        <f>IFERROR(__xludf.DUMMYFUNCTION("""COMPUTED_VALUE"""),44279.64583333333)</f>
        <v>44279.64583</v>
      </c>
      <c r="I4001" s="25">
        <f>IFERROR(__xludf.DUMMYFUNCTION("""COMPUTED_VALUE"""),3111.2)</f>
        <v>3111.2</v>
      </c>
      <c r="J4001" s="25">
        <f>IFERROR(__xludf.DUMMYFUNCTION("""COMPUTED_VALUE"""),3152.3)</f>
        <v>3152.3</v>
      </c>
      <c r="K4001" s="25">
        <f>IFERROR(__xludf.DUMMYFUNCTION("""COMPUTED_VALUE"""),3111.15)</f>
        <v>3111.15</v>
      </c>
      <c r="L4001" s="25">
        <f>IFERROR(__xludf.DUMMYFUNCTION("""COMPUTED_VALUE"""),3121.1)</f>
        <v>3121.1</v>
      </c>
      <c r="M4001" s="25">
        <f>IFERROR(__xludf.DUMMYFUNCTION("""COMPUTED_VALUE"""),2207104.0)</f>
        <v>2207104</v>
      </c>
    </row>
    <row r="4002">
      <c r="A4002" s="26">
        <f>IFERROR(__xludf.DUMMYFUNCTION("""COMPUTED_VALUE"""),44279.64583333333)</f>
        <v>44279.64583</v>
      </c>
      <c r="B4002" s="9">
        <f>IFERROR(__xludf.DUMMYFUNCTION("""COMPUTED_VALUE"""),1357.85)</f>
        <v>1357.85</v>
      </c>
      <c r="C4002" s="9">
        <f>IFERROR(__xludf.DUMMYFUNCTION("""COMPUTED_VALUE"""),1370.45)</f>
        <v>1370.45</v>
      </c>
      <c r="D4002" s="9">
        <f>IFERROR(__xludf.DUMMYFUNCTION("""COMPUTED_VALUE"""),1346.25)</f>
        <v>1346.25</v>
      </c>
      <c r="E4002" s="9">
        <f>IFERROR(__xludf.DUMMYFUNCTION("""COMPUTED_VALUE"""),1353.75)</f>
        <v>1353.75</v>
      </c>
      <c r="F4002" s="9">
        <f>IFERROR(__xludf.DUMMYFUNCTION("""COMPUTED_VALUE"""),6134303.0)</f>
        <v>6134303</v>
      </c>
      <c r="H4002" s="27">
        <f>IFERROR(__xludf.DUMMYFUNCTION("""COMPUTED_VALUE"""),44280.64583333333)</f>
        <v>44280.64583</v>
      </c>
      <c r="I4002" s="25">
        <f>IFERROR(__xludf.DUMMYFUNCTION("""COMPUTED_VALUE"""),3112.2)</f>
        <v>3112.2</v>
      </c>
      <c r="J4002" s="25">
        <f>IFERROR(__xludf.DUMMYFUNCTION("""COMPUTED_VALUE"""),3130.85)</f>
        <v>3130.85</v>
      </c>
      <c r="K4002" s="25">
        <f>IFERROR(__xludf.DUMMYFUNCTION("""COMPUTED_VALUE"""),3050.0)</f>
        <v>3050</v>
      </c>
      <c r="L4002" s="25">
        <f>IFERROR(__xludf.DUMMYFUNCTION("""COMPUTED_VALUE"""),3064.85)</f>
        <v>3064.85</v>
      </c>
      <c r="M4002" s="25">
        <f>IFERROR(__xludf.DUMMYFUNCTION("""COMPUTED_VALUE"""),3179786.0)</f>
        <v>3179786</v>
      </c>
    </row>
    <row r="4003">
      <c r="A4003" s="26">
        <f>IFERROR(__xludf.DUMMYFUNCTION("""COMPUTED_VALUE"""),44280.64583333333)</f>
        <v>44280.64583</v>
      </c>
      <c r="B4003" s="9">
        <f>IFERROR(__xludf.DUMMYFUNCTION("""COMPUTED_VALUE"""),1346.75)</f>
        <v>1346.75</v>
      </c>
      <c r="C4003" s="9">
        <f>IFERROR(__xludf.DUMMYFUNCTION("""COMPUTED_VALUE"""),1352.5)</f>
        <v>1352.5</v>
      </c>
      <c r="D4003" s="9">
        <f>IFERROR(__xludf.DUMMYFUNCTION("""COMPUTED_VALUE"""),1327.6)</f>
        <v>1327.6</v>
      </c>
      <c r="E4003" s="9">
        <f>IFERROR(__xludf.DUMMYFUNCTION("""COMPUTED_VALUE"""),1333.8)</f>
        <v>1333.8</v>
      </c>
      <c r="F4003" s="9">
        <f>IFERROR(__xludf.DUMMYFUNCTION("""COMPUTED_VALUE"""),8749994.0)</f>
        <v>8749994</v>
      </c>
      <c r="H4003" s="27">
        <f>IFERROR(__xludf.DUMMYFUNCTION("""COMPUTED_VALUE"""),44281.64583333333)</f>
        <v>44281.64583</v>
      </c>
      <c r="I4003" s="25">
        <f>IFERROR(__xludf.DUMMYFUNCTION("""COMPUTED_VALUE"""),3090.65)</f>
        <v>3090.65</v>
      </c>
      <c r="J4003" s="25">
        <f>IFERROR(__xludf.DUMMYFUNCTION("""COMPUTED_VALUE"""),3118.0)</f>
        <v>3118</v>
      </c>
      <c r="K4003" s="25">
        <f>IFERROR(__xludf.DUMMYFUNCTION("""COMPUTED_VALUE"""),3043.05)</f>
        <v>3043.05</v>
      </c>
      <c r="L4003" s="25">
        <f>IFERROR(__xludf.DUMMYFUNCTION("""COMPUTED_VALUE"""),3066.8)</f>
        <v>3066.8</v>
      </c>
      <c r="M4003" s="25">
        <f>IFERROR(__xludf.DUMMYFUNCTION("""COMPUTED_VALUE"""),3697370.0)</f>
        <v>3697370</v>
      </c>
    </row>
    <row r="4004">
      <c r="A4004" s="26">
        <f>IFERROR(__xludf.DUMMYFUNCTION("""COMPUTED_VALUE"""),44281.64583333333)</f>
        <v>44281.64583</v>
      </c>
      <c r="B4004" s="9">
        <f>IFERROR(__xludf.DUMMYFUNCTION("""COMPUTED_VALUE"""),1344.7)</f>
        <v>1344.7</v>
      </c>
      <c r="C4004" s="9">
        <f>IFERROR(__xludf.DUMMYFUNCTION("""COMPUTED_VALUE"""),1356.7)</f>
        <v>1356.7</v>
      </c>
      <c r="D4004" s="9">
        <f>IFERROR(__xludf.DUMMYFUNCTION("""COMPUTED_VALUE"""),1332.0)</f>
        <v>1332</v>
      </c>
      <c r="E4004" s="9">
        <f>IFERROR(__xludf.DUMMYFUNCTION("""COMPUTED_VALUE"""),1336.2)</f>
        <v>1336.2</v>
      </c>
      <c r="F4004" s="9">
        <f>IFERROR(__xludf.DUMMYFUNCTION("""COMPUTED_VALUE"""),4922071.0)</f>
        <v>4922071</v>
      </c>
      <c r="H4004" s="27">
        <f>IFERROR(__xludf.DUMMYFUNCTION("""COMPUTED_VALUE"""),44285.64583333333)</f>
        <v>44285.64583</v>
      </c>
      <c r="I4004" s="25">
        <f>IFERROR(__xludf.DUMMYFUNCTION("""COMPUTED_VALUE"""),3083.0)</f>
        <v>3083</v>
      </c>
      <c r="J4004" s="25">
        <f>IFERROR(__xludf.DUMMYFUNCTION("""COMPUTED_VALUE"""),3188.45)</f>
        <v>3188.45</v>
      </c>
      <c r="K4004" s="25">
        <f>IFERROR(__xludf.DUMMYFUNCTION("""COMPUTED_VALUE"""),3060.9)</f>
        <v>3060.9</v>
      </c>
      <c r="L4004" s="25">
        <f>IFERROR(__xludf.DUMMYFUNCTION("""COMPUTED_VALUE"""),3158.55)</f>
        <v>3158.55</v>
      </c>
      <c r="M4004" s="25">
        <f>IFERROR(__xludf.DUMMYFUNCTION("""COMPUTED_VALUE"""),4694261.0)</f>
        <v>4694261</v>
      </c>
    </row>
    <row r="4005">
      <c r="A4005" s="26">
        <f>IFERROR(__xludf.DUMMYFUNCTION("""COMPUTED_VALUE"""),44285.64583333333)</f>
        <v>44285.64583</v>
      </c>
      <c r="B4005" s="9">
        <f>IFERROR(__xludf.DUMMYFUNCTION("""COMPUTED_VALUE"""),1346.9)</f>
        <v>1346.9</v>
      </c>
      <c r="C4005" s="9">
        <f>IFERROR(__xludf.DUMMYFUNCTION("""COMPUTED_VALUE"""),1400.0)</f>
        <v>1400</v>
      </c>
      <c r="D4005" s="9">
        <f>IFERROR(__xludf.DUMMYFUNCTION("""COMPUTED_VALUE"""),1336.15)</f>
        <v>1336.15</v>
      </c>
      <c r="E4005" s="9">
        <f>IFERROR(__xludf.DUMMYFUNCTION("""COMPUTED_VALUE"""),1385.3)</f>
        <v>1385.3</v>
      </c>
      <c r="F4005" s="9">
        <f>IFERROR(__xludf.DUMMYFUNCTION("""COMPUTED_VALUE"""),1.0546919E7)</f>
        <v>10546919</v>
      </c>
      <c r="H4005" s="27">
        <f>IFERROR(__xludf.DUMMYFUNCTION("""COMPUTED_VALUE"""),44286.64583333333)</f>
        <v>44286.64583</v>
      </c>
      <c r="I4005" s="25">
        <f>IFERROR(__xludf.DUMMYFUNCTION("""COMPUTED_VALUE"""),3155.0)</f>
        <v>3155</v>
      </c>
      <c r="J4005" s="25">
        <f>IFERROR(__xludf.DUMMYFUNCTION("""COMPUTED_VALUE"""),3205.0)</f>
        <v>3205</v>
      </c>
      <c r="K4005" s="25">
        <f>IFERROR(__xludf.DUMMYFUNCTION("""COMPUTED_VALUE"""),3132.0)</f>
        <v>3132</v>
      </c>
      <c r="L4005" s="25">
        <f>IFERROR(__xludf.DUMMYFUNCTION("""COMPUTED_VALUE"""),3177.85)</f>
        <v>3177.85</v>
      </c>
      <c r="M4005" s="25">
        <f>IFERROR(__xludf.DUMMYFUNCTION("""COMPUTED_VALUE"""),3530069.0)</f>
        <v>3530069</v>
      </c>
    </row>
    <row r="4006">
      <c r="A4006" s="26">
        <f>IFERROR(__xludf.DUMMYFUNCTION("""COMPUTED_VALUE"""),44286.64583333333)</f>
        <v>44286.64583</v>
      </c>
      <c r="B4006" s="9">
        <f>IFERROR(__xludf.DUMMYFUNCTION("""COMPUTED_VALUE"""),1382.0)</f>
        <v>1382</v>
      </c>
      <c r="C4006" s="9">
        <f>IFERROR(__xludf.DUMMYFUNCTION("""COMPUTED_VALUE"""),1388.0)</f>
        <v>1388</v>
      </c>
      <c r="D4006" s="9">
        <f>IFERROR(__xludf.DUMMYFUNCTION("""COMPUTED_VALUE"""),1363.3)</f>
        <v>1363.3</v>
      </c>
      <c r="E4006" s="9">
        <f>IFERROR(__xludf.DUMMYFUNCTION("""COMPUTED_VALUE"""),1368.05)</f>
        <v>1368.05</v>
      </c>
      <c r="F4006" s="9">
        <f>IFERROR(__xludf.DUMMYFUNCTION("""COMPUTED_VALUE"""),8220987.0)</f>
        <v>8220987</v>
      </c>
      <c r="H4006" s="27">
        <f>IFERROR(__xludf.DUMMYFUNCTION("""COMPUTED_VALUE"""),44287.64583333333)</f>
        <v>44287.64583</v>
      </c>
      <c r="I4006" s="25">
        <f>IFERROR(__xludf.DUMMYFUNCTION("""COMPUTED_VALUE"""),3191.1)</f>
        <v>3191.1</v>
      </c>
      <c r="J4006" s="25">
        <f>IFERROR(__xludf.DUMMYFUNCTION("""COMPUTED_VALUE"""),3215.0)</f>
        <v>3215</v>
      </c>
      <c r="K4006" s="25">
        <f>IFERROR(__xludf.DUMMYFUNCTION("""COMPUTED_VALUE"""),3145.0)</f>
        <v>3145</v>
      </c>
      <c r="L4006" s="25">
        <f>IFERROR(__xludf.DUMMYFUNCTION("""COMPUTED_VALUE"""),3165.0)</f>
        <v>3165</v>
      </c>
      <c r="M4006" s="25">
        <f>IFERROR(__xludf.DUMMYFUNCTION("""COMPUTED_VALUE"""),4285076.0)</f>
        <v>4285076</v>
      </c>
    </row>
    <row r="4007">
      <c r="A4007" s="26">
        <f>IFERROR(__xludf.DUMMYFUNCTION("""COMPUTED_VALUE"""),44287.64583333333)</f>
        <v>44287.64583</v>
      </c>
      <c r="B4007" s="9">
        <f>IFERROR(__xludf.DUMMYFUNCTION("""COMPUTED_VALUE"""),1380.0)</f>
        <v>1380</v>
      </c>
      <c r="C4007" s="9">
        <f>IFERROR(__xludf.DUMMYFUNCTION("""COMPUTED_VALUE"""),1391.6)</f>
        <v>1391.6</v>
      </c>
      <c r="D4007" s="9">
        <f>IFERROR(__xludf.DUMMYFUNCTION("""COMPUTED_VALUE"""),1371.0)</f>
        <v>1371</v>
      </c>
      <c r="E4007" s="9">
        <f>IFERROR(__xludf.DUMMYFUNCTION("""COMPUTED_VALUE"""),1385.2)</f>
        <v>1385.2</v>
      </c>
      <c r="F4007" s="9">
        <f>IFERROR(__xludf.DUMMYFUNCTION("""COMPUTED_VALUE"""),5675155.0)</f>
        <v>5675155</v>
      </c>
      <c r="H4007" s="27">
        <f>IFERROR(__xludf.DUMMYFUNCTION("""COMPUTED_VALUE"""),44291.64583333333)</f>
        <v>44291.64583</v>
      </c>
      <c r="I4007" s="25">
        <f>IFERROR(__xludf.DUMMYFUNCTION("""COMPUTED_VALUE"""),3171.0)</f>
        <v>3171</v>
      </c>
      <c r="J4007" s="25">
        <f>IFERROR(__xludf.DUMMYFUNCTION("""COMPUTED_VALUE"""),3263.0)</f>
        <v>3263</v>
      </c>
      <c r="K4007" s="25">
        <f>IFERROR(__xludf.DUMMYFUNCTION("""COMPUTED_VALUE"""),3151.0)</f>
        <v>3151</v>
      </c>
      <c r="L4007" s="25">
        <f>IFERROR(__xludf.DUMMYFUNCTION("""COMPUTED_VALUE"""),3238.9)</f>
        <v>3238.9</v>
      </c>
      <c r="M4007" s="25">
        <f>IFERROR(__xludf.DUMMYFUNCTION("""COMPUTED_VALUE"""),5317862.0)</f>
        <v>5317862</v>
      </c>
    </row>
    <row r="4008">
      <c r="A4008" s="26">
        <f>IFERROR(__xludf.DUMMYFUNCTION("""COMPUTED_VALUE"""),44291.64583333333)</f>
        <v>44291.64583</v>
      </c>
      <c r="B4008" s="9">
        <f>IFERROR(__xludf.DUMMYFUNCTION("""COMPUTED_VALUE"""),1391.0)</f>
        <v>1391</v>
      </c>
      <c r="C4008" s="9">
        <f>IFERROR(__xludf.DUMMYFUNCTION("""COMPUTED_VALUE"""),1425.0)</f>
        <v>1425</v>
      </c>
      <c r="D4008" s="9">
        <f>IFERROR(__xludf.DUMMYFUNCTION("""COMPUTED_VALUE"""),1387.0)</f>
        <v>1387</v>
      </c>
      <c r="E4008" s="9">
        <f>IFERROR(__xludf.DUMMYFUNCTION("""COMPUTED_VALUE"""),1409.9)</f>
        <v>1409.9</v>
      </c>
      <c r="F4008" s="9">
        <f>IFERROR(__xludf.DUMMYFUNCTION("""COMPUTED_VALUE"""),9479572.0)</f>
        <v>9479572</v>
      </c>
      <c r="H4008" s="27">
        <f>IFERROR(__xludf.DUMMYFUNCTION("""COMPUTED_VALUE"""),44292.64583333333)</f>
        <v>44292.64583</v>
      </c>
      <c r="I4008" s="25">
        <f>IFERROR(__xludf.DUMMYFUNCTION("""COMPUTED_VALUE"""),3275.0)</f>
        <v>3275</v>
      </c>
      <c r="J4008" s="25">
        <f>IFERROR(__xludf.DUMMYFUNCTION("""COMPUTED_VALUE"""),3275.0)</f>
        <v>3275</v>
      </c>
      <c r="K4008" s="25">
        <f>IFERROR(__xludf.DUMMYFUNCTION("""COMPUTED_VALUE"""),3230.0)</f>
        <v>3230</v>
      </c>
      <c r="L4008" s="25">
        <f>IFERROR(__xludf.DUMMYFUNCTION("""COMPUTED_VALUE"""),3264.7)</f>
        <v>3264.7</v>
      </c>
      <c r="M4008" s="25">
        <f>IFERROR(__xludf.DUMMYFUNCTION("""COMPUTED_VALUE"""),2291562.0)</f>
        <v>2291562</v>
      </c>
    </row>
    <row r="4009">
      <c r="A4009" s="26">
        <f>IFERROR(__xludf.DUMMYFUNCTION("""COMPUTED_VALUE"""),44292.64583333333)</f>
        <v>44292.64583</v>
      </c>
      <c r="B4009" s="9">
        <f>IFERROR(__xludf.DUMMYFUNCTION("""COMPUTED_VALUE"""),1423.0)</f>
        <v>1423</v>
      </c>
      <c r="C4009" s="9">
        <f>IFERROR(__xludf.DUMMYFUNCTION("""COMPUTED_VALUE"""),1426.0)</f>
        <v>1426</v>
      </c>
      <c r="D4009" s="9">
        <f>IFERROR(__xludf.DUMMYFUNCTION("""COMPUTED_VALUE"""),1406.45)</f>
        <v>1406.45</v>
      </c>
      <c r="E4009" s="9">
        <f>IFERROR(__xludf.DUMMYFUNCTION("""COMPUTED_VALUE"""),1411.05)</f>
        <v>1411.05</v>
      </c>
      <c r="F4009" s="9">
        <f>IFERROR(__xludf.DUMMYFUNCTION("""COMPUTED_VALUE"""),5793571.0)</f>
        <v>5793571</v>
      </c>
      <c r="H4009" s="27">
        <f>IFERROR(__xludf.DUMMYFUNCTION("""COMPUTED_VALUE"""),44293.64583333333)</f>
        <v>44293.64583</v>
      </c>
      <c r="I4009" s="25">
        <f>IFERROR(__xludf.DUMMYFUNCTION("""COMPUTED_VALUE"""),3259.0)</f>
        <v>3259</v>
      </c>
      <c r="J4009" s="25">
        <f>IFERROR(__xludf.DUMMYFUNCTION("""COMPUTED_VALUE"""),3277.55)</f>
        <v>3277.55</v>
      </c>
      <c r="K4009" s="25">
        <f>IFERROR(__xludf.DUMMYFUNCTION("""COMPUTED_VALUE"""),3234.8)</f>
        <v>3234.8</v>
      </c>
      <c r="L4009" s="25">
        <f>IFERROR(__xludf.DUMMYFUNCTION("""COMPUTED_VALUE"""),3271.4)</f>
        <v>3271.4</v>
      </c>
      <c r="M4009" s="25">
        <f>IFERROR(__xludf.DUMMYFUNCTION("""COMPUTED_VALUE"""),2491268.0)</f>
        <v>2491268</v>
      </c>
    </row>
    <row r="4010">
      <c r="A4010" s="26">
        <f>IFERROR(__xludf.DUMMYFUNCTION("""COMPUTED_VALUE"""),44293.64583333333)</f>
        <v>44293.64583</v>
      </c>
      <c r="B4010" s="9">
        <f>IFERROR(__xludf.DUMMYFUNCTION("""COMPUTED_VALUE"""),1410.25)</f>
        <v>1410.25</v>
      </c>
      <c r="C4010" s="9">
        <f>IFERROR(__xludf.DUMMYFUNCTION("""COMPUTED_VALUE"""),1434.95)</f>
        <v>1434.95</v>
      </c>
      <c r="D4010" s="9">
        <f>IFERROR(__xludf.DUMMYFUNCTION("""COMPUTED_VALUE"""),1406.6)</f>
        <v>1406.6</v>
      </c>
      <c r="E4010" s="9">
        <f>IFERROR(__xludf.DUMMYFUNCTION("""COMPUTED_VALUE"""),1430.2)</f>
        <v>1430.2</v>
      </c>
      <c r="F4010" s="9">
        <f>IFERROR(__xludf.DUMMYFUNCTION("""COMPUTED_VALUE"""),5879234.0)</f>
        <v>5879234</v>
      </c>
      <c r="H4010" s="27">
        <f>IFERROR(__xludf.DUMMYFUNCTION("""COMPUTED_VALUE"""),44294.64583333333)</f>
        <v>44294.64583</v>
      </c>
      <c r="I4010" s="25">
        <f>IFERROR(__xludf.DUMMYFUNCTION("""COMPUTED_VALUE"""),3270.0)</f>
        <v>3270</v>
      </c>
      <c r="J4010" s="25">
        <f>IFERROR(__xludf.DUMMYFUNCTION("""COMPUTED_VALUE"""),3335.0)</f>
        <v>3335</v>
      </c>
      <c r="K4010" s="25">
        <f>IFERROR(__xludf.DUMMYFUNCTION("""COMPUTED_VALUE"""),3266.05)</f>
        <v>3266.05</v>
      </c>
      <c r="L4010" s="25">
        <f>IFERROR(__xludf.DUMMYFUNCTION("""COMPUTED_VALUE"""),3317.35)</f>
        <v>3317.35</v>
      </c>
      <c r="M4010" s="25">
        <f>IFERROR(__xludf.DUMMYFUNCTION("""COMPUTED_VALUE"""),2578118.0)</f>
        <v>2578118</v>
      </c>
    </row>
    <row r="4011">
      <c r="A4011" s="26">
        <f>IFERROR(__xludf.DUMMYFUNCTION("""COMPUTED_VALUE"""),44294.64583333333)</f>
        <v>44294.64583</v>
      </c>
      <c r="B4011" s="9">
        <f>IFERROR(__xludf.DUMMYFUNCTION("""COMPUTED_VALUE"""),1430.0)</f>
        <v>1430</v>
      </c>
      <c r="C4011" s="9">
        <f>IFERROR(__xludf.DUMMYFUNCTION("""COMPUTED_VALUE"""),1451.7)</f>
        <v>1451.7</v>
      </c>
      <c r="D4011" s="9">
        <f>IFERROR(__xludf.DUMMYFUNCTION("""COMPUTED_VALUE"""),1421.0)</f>
        <v>1421</v>
      </c>
      <c r="E4011" s="9">
        <f>IFERROR(__xludf.DUMMYFUNCTION("""COMPUTED_VALUE"""),1439.85)</f>
        <v>1439.85</v>
      </c>
      <c r="F4011" s="9">
        <f>IFERROR(__xludf.DUMMYFUNCTION("""COMPUTED_VALUE"""),5654434.0)</f>
        <v>5654434</v>
      </c>
      <c r="H4011" s="27">
        <f>IFERROR(__xludf.DUMMYFUNCTION("""COMPUTED_VALUE"""),44295.64583333333)</f>
        <v>44295.64583</v>
      </c>
      <c r="I4011" s="25">
        <f>IFERROR(__xludf.DUMMYFUNCTION("""COMPUTED_VALUE"""),3354.0)</f>
        <v>3354</v>
      </c>
      <c r="J4011" s="25">
        <f>IFERROR(__xludf.DUMMYFUNCTION("""COMPUTED_VALUE"""),3354.35)</f>
        <v>3354.35</v>
      </c>
      <c r="K4011" s="25">
        <f>IFERROR(__xludf.DUMMYFUNCTION("""COMPUTED_VALUE"""),3308.0)</f>
        <v>3308</v>
      </c>
      <c r="L4011" s="25">
        <f>IFERROR(__xludf.DUMMYFUNCTION("""COMPUTED_VALUE"""),3322.25)</f>
        <v>3322.25</v>
      </c>
      <c r="M4011" s="25">
        <f>IFERROR(__xludf.DUMMYFUNCTION("""COMPUTED_VALUE"""),2911129.0)</f>
        <v>2911129</v>
      </c>
    </row>
    <row r="4012">
      <c r="A4012" s="26">
        <f>IFERROR(__xludf.DUMMYFUNCTION("""COMPUTED_VALUE"""),44295.64583333333)</f>
        <v>44295.64583</v>
      </c>
      <c r="B4012" s="9">
        <f>IFERROR(__xludf.DUMMYFUNCTION("""COMPUTED_VALUE"""),1455.0)</f>
        <v>1455</v>
      </c>
      <c r="C4012" s="9">
        <f>IFERROR(__xludf.DUMMYFUNCTION("""COMPUTED_VALUE"""),1455.0)</f>
        <v>1455</v>
      </c>
      <c r="D4012" s="9">
        <f>IFERROR(__xludf.DUMMYFUNCTION("""COMPUTED_VALUE"""),1430.05)</f>
        <v>1430.05</v>
      </c>
      <c r="E4012" s="9">
        <f>IFERROR(__xludf.DUMMYFUNCTION("""COMPUTED_VALUE"""),1441.05)</f>
        <v>1441.05</v>
      </c>
      <c r="F4012" s="9">
        <f>IFERROR(__xludf.DUMMYFUNCTION("""COMPUTED_VALUE"""),6052712.0)</f>
        <v>6052712</v>
      </c>
      <c r="H4012" s="27">
        <f>IFERROR(__xludf.DUMMYFUNCTION("""COMPUTED_VALUE"""),44298.64583333333)</f>
        <v>44298.64583</v>
      </c>
      <c r="I4012" s="25">
        <f>IFERROR(__xludf.DUMMYFUNCTION("""COMPUTED_VALUE"""),3322.25)</f>
        <v>3322.25</v>
      </c>
      <c r="J4012" s="25">
        <f>IFERROR(__xludf.DUMMYFUNCTION("""COMPUTED_VALUE"""),3338.1)</f>
        <v>3338.1</v>
      </c>
      <c r="K4012" s="25">
        <f>IFERROR(__xludf.DUMMYFUNCTION("""COMPUTED_VALUE"""),3213.2)</f>
        <v>3213.2</v>
      </c>
      <c r="L4012" s="25">
        <f>IFERROR(__xludf.DUMMYFUNCTION("""COMPUTED_VALUE"""),3246.55)</f>
        <v>3246.55</v>
      </c>
      <c r="M4012" s="25">
        <f>IFERROR(__xludf.DUMMYFUNCTION("""COMPUTED_VALUE"""),3791828.0)</f>
        <v>3791828</v>
      </c>
    </row>
    <row r="4013">
      <c r="A4013" s="26">
        <f>IFERROR(__xludf.DUMMYFUNCTION("""COMPUTED_VALUE"""),44298.64583333333)</f>
        <v>44298.64583</v>
      </c>
      <c r="B4013" s="9">
        <f>IFERROR(__xludf.DUMMYFUNCTION("""COMPUTED_VALUE"""),1474.0)</f>
        <v>1474</v>
      </c>
      <c r="C4013" s="9">
        <f>IFERROR(__xludf.DUMMYFUNCTION("""COMPUTED_VALUE"""),1477.55)</f>
        <v>1477.55</v>
      </c>
      <c r="D4013" s="9">
        <f>IFERROR(__xludf.DUMMYFUNCTION("""COMPUTED_VALUE"""),1415.0)</f>
        <v>1415</v>
      </c>
      <c r="E4013" s="9">
        <f>IFERROR(__xludf.DUMMYFUNCTION("""COMPUTED_VALUE"""),1425.75)</f>
        <v>1425.75</v>
      </c>
      <c r="F4013" s="9">
        <f>IFERROR(__xludf.DUMMYFUNCTION("""COMPUTED_VALUE"""),2.0384532E7)</f>
        <v>20384532</v>
      </c>
      <c r="H4013" s="27">
        <f>IFERROR(__xludf.DUMMYFUNCTION("""COMPUTED_VALUE"""),44299.64583333333)</f>
        <v>44299.64583</v>
      </c>
      <c r="I4013" s="25">
        <f>IFERROR(__xludf.DUMMYFUNCTION("""COMPUTED_VALUE"""),3214.0)</f>
        <v>3214</v>
      </c>
      <c r="J4013" s="25">
        <f>IFERROR(__xludf.DUMMYFUNCTION("""COMPUTED_VALUE"""),3214.0)</f>
        <v>3214</v>
      </c>
      <c r="K4013" s="25">
        <f>IFERROR(__xludf.DUMMYFUNCTION("""COMPUTED_VALUE"""),3073.05)</f>
        <v>3073.05</v>
      </c>
      <c r="L4013" s="25">
        <f>IFERROR(__xludf.DUMMYFUNCTION("""COMPUTED_VALUE"""),3104.05)</f>
        <v>3104.05</v>
      </c>
      <c r="M4013" s="25">
        <f>IFERROR(__xludf.DUMMYFUNCTION("""COMPUTED_VALUE"""),8654596.0)</f>
        <v>8654596</v>
      </c>
    </row>
    <row r="4014">
      <c r="A4014" s="26">
        <f>IFERROR(__xludf.DUMMYFUNCTION("""COMPUTED_VALUE"""),44299.64583333333)</f>
        <v>44299.64583</v>
      </c>
      <c r="B4014" s="9">
        <f>IFERROR(__xludf.DUMMYFUNCTION("""COMPUTED_VALUE"""),1433.0)</f>
        <v>1433</v>
      </c>
      <c r="C4014" s="9">
        <f>IFERROR(__xludf.DUMMYFUNCTION("""COMPUTED_VALUE"""),1435.25)</f>
        <v>1435.25</v>
      </c>
      <c r="D4014" s="9">
        <f>IFERROR(__xludf.DUMMYFUNCTION("""COMPUTED_VALUE"""),1375.0)</f>
        <v>1375</v>
      </c>
      <c r="E4014" s="9">
        <f>IFERROR(__xludf.DUMMYFUNCTION("""COMPUTED_VALUE"""),1397.15)</f>
        <v>1397.15</v>
      </c>
      <c r="F4014" s="9">
        <f>IFERROR(__xludf.DUMMYFUNCTION("""COMPUTED_VALUE"""),1.4855206E7)</f>
        <v>14855206</v>
      </c>
      <c r="H4014" s="27">
        <f>IFERROR(__xludf.DUMMYFUNCTION("""COMPUTED_VALUE"""),44301.64583333333)</f>
        <v>44301.64583</v>
      </c>
      <c r="I4014" s="25">
        <f>IFERROR(__xludf.DUMMYFUNCTION("""COMPUTED_VALUE"""),3160.3)</f>
        <v>3160.3</v>
      </c>
      <c r="J4014" s="25">
        <f>IFERROR(__xludf.DUMMYFUNCTION("""COMPUTED_VALUE"""),3237.25)</f>
        <v>3237.25</v>
      </c>
      <c r="K4014" s="25">
        <f>IFERROR(__xludf.DUMMYFUNCTION("""COMPUTED_VALUE"""),3087.45)</f>
        <v>3087.45</v>
      </c>
      <c r="L4014" s="25">
        <f>IFERROR(__xludf.DUMMYFUNCTION("""COMPUTED_VALUE"""),3218.95)</f>
        <v>3218.95</v>
      </c>
      <c r="M4014" s="25">
        <f>IFERROR(__xludf.DUMMYFUNCTION("""COMPUTED_VALUE"""),6062760.0)</f>
        <v>6062760</v>
      </c>
    </row>
    <row r="4015">
      <c r="A4015" s="26">
        <f>IFERROR(__xludf.DUMMYFUNCTION("""COMPUTED_VALUE"""),44301.64583333333)</f>
        <v>44301.64583</v>
      </c>
      <c r="B4015" s="9">
        <f>IFERROR(__xludf.DUMMYFUNCTION("""COMPUTED_VALUE"""),1332.3)</f>
        <v>1332.3</v>
      </c>
      <c r="C4015" s="9">
        <f>IFERROR(__xludf.DUMMYFUNCTION("""COMPUTED_VALUE"""),1366.4)</f>
        <v>1366.4</v>
      </c>
      <c r="D4015" s="9">
        <f>IFERROR(__xludf.DUMMYFUNCTION("""COMPUTED_VALUE"""),1320.0)</f>
        <v>1320</v>
      </c>
      <c r="E4015" s="9">
        <f>IFERROR(__xludf.DUMMYFUNCTION("""COMPUTED_VALUE"""),1360.75)</f>
        <v>1360.75</v>
      </c>
      <c r="F4015" s="9">
        <f>IFERROR(__xludf.DUMMYFUNCTION("""COMPUTED_VALUE"""),2.5342491E7)</f>
        <v>25342491</v>
      </c>
      <c r="H4015" s="27">
        <f>IFERROR(__xludf.DUMMYFUNCTION("""COMPUTED_VALUE"""),44302.64583333333)</f>
        <v>44302.64583</v>
      </c>
      <c r="I4015" s="25">
        <f>IFERROR(__xludf.DUMMYFUNCTION("""COMPUTED_VALUE"""),3229.0)</f>
        <v>3229</v>
      </c>
      <c r="J4015" s="25">
        <f>IFERROR(__xludf.DUMMYFUNCTION("""COMPUTED_VALUE"""),3247.0)</f>
        <v>3247</v>
      </c>
      <c r="K4015" s="25">
        <f>IFERROR(__xludf.DUMMYFUNCTION("""COMPUTED_VALUE"""),3182.6)</f>
        <v>3182.6</v>
      </c>
      <c r="L4015" s="25">
        <f>IFERROR(__xludf.DUMMYFUNCTION("""COMPUTED_VALUE"""),3195.15)</f>
        <v>3195.15</v>
      </c>
      <c r="M4015" s="25">
        <f>IFERROR(__xludf.DUMMYFUNCTION("""COMPUTED_VALUE"""),3224657.0)</f>
        <v>3224657</v>
      </c>
    </row>
    <row r="4016">
      <c r="A4016" s="26">
        <f>IFERROR(__xludf.DUMMYFUNCTION("""COMPUTED_VALUE"""),44302.64583333333)</f>
        <v>44302.64583</v>
      </c>
      <c r="B4016" s="9">
        <f>IFERROR(__xludf.DUMMYFUNCTION("""COMPUTED_VALUE"""),1365.0)</f>
        <v>1365</v>
      </c>
      <c r="C4016" s="9">
        <f>IFERROR(__xludf.DUMMYFUNCTION("""COMPUTED_VALUE"""),1370.85)</f>
        <v>1370.85</v>
      </c>
      <c r="D4016" s="9">
        <f>IFERROR(__xludf.DUMMYFUNCTION("""COMPUTED_VALUE"""),1346.6)</f>
        <v>1346.6</v>
      </c>
      <c r="E4016" s="9">
        <f>IFERROR(__xludf.DUMMYFUNCTION("""COMPUTED_VALUE"""),1353.75)</f>
        <v>1353.75</v>
      </c>
      <c r="F4016" s="9">
        <f>IFERROR(__xludf.DUMMYFUNCTION("""COMPUTED_VALUE"""),1.0879878E7)</f>
        <v>10879878</v>
      </c>
      <c r="H4016" s="27">
        <f>IFERROR(__xludf.DUMMYFUNCTION("""COMPUTED_VALUE"""),44305.64583333333)</f>
        <v>44305.64583</v>
      </c>
      <c r="I4016" s="25">
        <f>IFERROR(__xludf.DUMMYFUNCTION("""COMPUTED_VALUE"""),3169.0)</f>
        <v>3169</v>
      </c>
      <c r="J4016" s="25">
        <f>IFERROR(__xludf.DUMMYFUNCTION("""COMPUTED_VALUE"""),3189.0)</f>
        <v>3189</v>
      </c>
      <c r="K4016" s="25">
        <f>IFERROR(__xludf.DUMMYFUNCTION("""COMPUTED_VALUE"""),3135.1)</f>
        <v>3135.1</v>
      </c>
      <c r="L4016" s="25">
        <f>IFERROR(__xludf.DUMMYFUNCTION("""COMPUTED_VALUE"""),3161.8)</f>
        <v>3161.8</v>
      </c>
      <c r="M4016" s="25">
        <f>IFERROR(__xludf.DUMMYFUNCTION("""COMPUTED_VALUE"""),2679106.0)</f>
        <v>2679106</v>
      </c>
    </row>
    <row r="4017">
      <c r="A4017" s="26">
        <f>IFERROR(__xludf.DUMMYFUNCTION("""COMPUTED_VALUE"""),44305.64583333333)</f>
        <v>44305.64583</v>
      </c>
      <c r="B4017" s="9">
        <f>IFERROR(__xludf.DUMMYFUNCTION("""COMPUTED_VALUE"""),1340.0)</f>
        <v>1340</v>
      </c>
      <c r="C4017" s="9">
        <f>IFERROR(__xludf.DUMMYFUNCTION("""COMPUTED_VALUE"""),1379.7)</f>
        <v>1379.7</v>
      </c>
      <c r="D4017" s="9">
        <f>IFERROR(__xludf.DUMMYFUNCTION("""COMPUTED_VALUE"""),1332.35)</f>
        <v>1332.35</v>
      </c>
      <c r="E4017" s="9">
        <f>IFERROR(__xludf.DUMMYFUNCTION("""COMPUTED_VALUE"""),1362.55)</f>
        <v>1362.55</v>
      </c>
      <c r="F4017" s="9">
        <f>IFERROR(__xludf.DUMMYFUNCTION("""COMPUTED_VALUE"""),1.2508028E7)</f>
        <v>12508028</v>
      </c>
      <c r="H4017" s="27">
        <f>IFERROR(__xludf.DUMMYFUNCTION("""COMPUTED_VALUE"""),44306.64583333333)</f>
        <v>44306.64583</v>
      </c>
      <c r="I4017" s="25">
        <f>IFERROR(__xludf.DUMMYFUNCTION("""COMPUTED_VALUE"""),3225.0)</f>
        <v>3225</v>
      </c>
      <c r="J4017" s="25">
        <f>IFERROR(__xludf.DUMMYFUNCTION("""COMPUTED_VALUE"""),3225.35)</f>
        <v>3225.35</v>
      </c>
      <c r="K4017" s="25">
        <f>IFERROR(__xludf.DUMMYFUNCTION("""COMPUTED_VALUE"""),3126.35)</f>
        <v>3126.35</v>
      </c>
      <c r="L4017" s="25">
        <f>IFERROR(__xludf.DUMMYFUNCTION("""COMPUTED_VALUE"""),3144.55)</f>
        <v>3144.55</v>
      </c>
      <c r="M4017" s="25">
        <f>IFERROR(__xludf.DUMMYFUNCTION("""COMPUTED_VALUE"""),3141893.0)</f>
        <v>3141893</v>
      </c>
    </row>
    <row r="4018">
      <c r="A4018" s="26">
        <f>IFERROR(__xludf.DUMMYFUNCTION("""COMPUTED_VALUE"""),44306.64583333333)</f>
        <v>44306.64583</v>
      </c>
      <c r="B4018" s="9">
        <f>IFERROR(__xludf.DUMMYFUNCTION("""COMPUTED_VALUE"""),1379.0)</f>
        <v>1379</v>
      </c>
      <c r="C4018" s="9">
        <f>IFERROR(__xludf.DUMMYFUNCTION("""COMPUTED_VALUE"""),1379.0)</f>
        <v>1379</v>
      </c>
      <c r="D4018" s="9">
        <f>IFERROR(__xludf.DUMMYFUNCTION("""COMPUTED_VALUE"""),1342.4)</f>
        <v>1342.4</v>
      </c>
      <c r="E4018" s="9">
        <f>IFERROR(__xludf.DUMMYFUNCTION("""COMPUTED_VALUE"""),1351.35)</f>
        <v>1351.35</v>
      </c>
      <c r="F4018" s="9">
        <f>IFERROR(__xludf.DUMMYFUNCTION("""COMPUTED_VALUE"""),8560766.0)</f>
        <v>8560766</v>
      </c>
      <c r="H4018" s="27">
        <f>IFERROR(__xludf.DUMMYFUNCTION("""COMPUTED_VALUE"""),44308.64583333333)</f>
        <v>44308.64583</v>
      </c>
      <c r="I4018" s="25">
        <f>IFERROR(__xludf.DUMMYFUNCTION("""COMPUTED_VALUE"""),3148.0)</f>
        <v>3148</v>
      </c>
      <c r="J4018" s="25">
        <f>IFERROR(__xludf.DUMMYFUNCTION("""COMPUTED_VALUE"""),3148.0)</f>
        <v>3148</v>
      </c>
      <c r="K4018" s="25">
        <f>IFERROR(__xludf.DUMMYFUNCTION("""COMPUTED_VALUE"""),3105.25)</f>
        <v>3105.25</v>
      </c>
      <c r="L4018" s="25">
        <f>IFERROR(__xludf.DUMMYFUNCTION("""COMPUTED_VALUE"""),3118.8)</f>
        <v>3118.8</v>
      </c>
      <c r="M4018" s="25">
        <f>IFERROR(__xludf.DUMMYFUNCTION("""COMPUTED_VALUE"""),1988980.0)</f>
        <v>1988980</v>
      </c>
    </row>
    <row r="4019">
      <c r="A4019" s="26">
        <f>IFERROR(__xludf.DUMMYFUNCTION("""COMPUTED_VALUE"""),44308.64583333333)</f>
        <v>44308.64583</v>
      </c>
      <c r="B4019" s="9">
        <f>IFERROR(__xludf.DUMMYFUNCTION("""COMPUTED_VALUE"""),1355.55)</f>
        <v>1355.55</v>
      </c>
      <c r="C4019" s="9">
        <f>IFERROR(__xludf.DUMMYFUNCTION("""COMPUTED_VALUE"""),1364.8)</f>
        <v>1364.8</v>
      </c>
      <c r="D4019" s="9">
        <f>IFERROR(__xludf.DUMMYFUNCTION("""COMPUTED_VALUE"""),1345.15)</f>
        <v>1345.15</v>
      </c>
      <c r="E4019" s="9">
        <f>IFERROR(__xludf.DUMMYFUNCTION("""COMPUTED_VALUE"""),1351.1)</f>
        <v>1351.1</v>
      </c>
      <c r="F4019" s="9">
        <f>IFERROR(__xludf.DUMMYFUNCTION("""COMPUTED_VALUE"""),6622446.0)</f>
        <v>6622446</v>
      </c>
      <c r="H4019" s="27">
        <f>IFERROR(__xludf.DUMMYFUNCTION("""COMPUTED_VALUE"""),44309.64583333333)</f>
        <v>44309.64583</v>
      </c>
      <c r="I4019" s="25">
        <f>IFERROR(__xludf.DUMMYFUNCTION("""COMPUTED_VALUE"""),3105.0)</f>
        <v>3105</v>
      </c>
      <c r="J4019" s="25">
        <f>IFERROR(__xludf.DUMMYFUNCTION("""COMPUTED_VALUE"""),3119.0)</f>
        <v>3119</v>
      </c>
      <c r="K4019" s="25">
        <f>IFERROR(__xludf.DUMMYFUNCTION("""COMPUTED_VALUE"""),3091.05)</f>
        <v>3091.05</v>
      </c>
      <c r="L4019" s="25">
        <f>IFERROR(__xludf.DUMMYFUNCTION("""COMPUTED_VALUE"""),3109.5)</f>
        <v>3109.5</v>
      </c>
      <c r="M4019" s="25">
        <f>IFERROR(__xludf.DUMMYFUNCTION("""COMPUTED_VALUE"""),1615309.0)</f>
        <v>1615309</v>
      </c>
    </row>
    <row r="4020">
      <c r="A4020" s="26">
        <f>IFERROR(__xludf.DUMMYFUNCTION("""COMPUTED_VALUE"""),44309.64583333333)</f>
        <v>44309.64583</v>
      </c>
      <c r="B4020" s="9">
        <f>IFERROR(__xludf.DUMMYFUNCTION("""COMPUTED_VALUE"""),1343.0)</f>
        <v>1343</v>
      </c>
      <c r="C4020" s="9">
        <f>IFERROR(__xludf.DUMMYFUNCTION("""COMPUTED_VALUE"""),1348.4)</f>
        <v>1348.4</v>
      </c>
      <c r="D4020" s="9">
        <f>IFERROR(__xludf.DUMMYFUNCTION("""COMPUTED_VALUE"""),1331.0)</f>
        <v>1331</v>
      </c>
      <c r="E4020" s="9">
        <f>IFERROR(__xludf.DUMMYFUNCTION("""COMPUTED_VALUE"""),1333.8)</f>
        <v>1333.8</v>
      </c>
      <c r="F4020" s="9">
        <f>IFERROR(__xludf.DUMMYFUNCTION("""COMPUTED_VALUE"""),7316262.0)</f>
        <v>7316262</v>
      </c>
      <c r="H4020" s="27">
        <f>IFERROR(__xludf.DUMMYFUNCTION("""COMPUTED_VALUE"""),44312.64583333333)</f>
        <v>44312.64583</v>
      </c>
      <c r="I4020" s="25">
        <f>IFERROR(__xludf.DUMMYFUNCTION("""COMPUTED_VALUE"""),3102.05)</f>
        <v>3102.05</v>
      </c>
      <c r="J4020" s="25">
        <f>IFERROR(__xludf.DUMMYFUNCTION("""COMPUTED_VALUE"""),3153.0)</f>
        <v>3153</v>
      </c>
      <c r="K4020" s="25">
        <f>IFERROR(__xludf.DUMMYFUNCTION("""COMPUTED_VALUE"""),3088.05)</f>
        <v>3088.05</v>
      </c>
      <c r="L4020" s="25">
        <f>IFERROR(__xludf.DUMMYFUNCTION("""COMPUTED_VALUE"""),3100.8)</f>
        <v>3100.8</v>
      </c>
      <c r="M4020" s="25">
        <f>IFERROR(__xludf.DUMMYFUNCTION("""COMPUTED_VALUE"""),2490260.0)</f>
        <v>2490260</v>
      </c>
    </row>
    <row r="4021">
      <c r="A4021" s="26">
        <f>IFERROR(__xludf.DUMMYFUNCTION("""COMPUTED_VALUE"""),44312.64583333333)</f>
        <v>44312.64583</v>
      </c>
      <c r="B4021" s="9">
        <f>IFERROR(__xludf.DUMMYFUNCTION("""COMPUTED_VALUE"""),1332.25)</f>
        <v>1332.25</v>
      </c>
      <c r="C4021" s="9">
        <f>IFERROR(__xludf.DUMMYFUNCTION("""COMPUTED_VALUE"""),1351.3)</f>
        <v>1351.3</v>
      </c>
      <c r="D4021" s="9">
        <f>IFERROR(__xludf.DUMMYFUNCTION("""COMPUTED_VALUE"""),1321.0)</f>
        <v>1321</v>
      </c>
      <c r="E4021" s="9">
        <f>IFERROR(__xludf.DUMMYFUNCTION("""COMPUTED_VALUE"""),1343.55)</f>
        <v>1343.55</v>
      </c>
      <c r="F4021" s="9">
        <f>IFERROR(__xludf.DUMMYFUNCTION("""COMPUTED_VALUE"""),7088606.0)</f>
        <v>7088606</v>
      </c>
      <c r="H4021" s="27">
        <f>IFERROR(__xludf.DUMMYFUNCTION("""COMPUTED_VALUE"""),44313.64583333333)</f>
        <v>44313.64583</v>
      </c>
      <c r="I4021" s="25">
        <f>IFERROR(__xludf.DUMMYFUNCTION("""COMPUTED_VALUE"""),3106.0)</f>
        <v>3106</v>
      </c>
      <c r="J4021" s="25">
        <f>IFERROR(__xludf.DUMMYFUNCTION("""COMPUTED_VALUE"""),3136.1)</f>
        <v>3136.1</v>
      </c>
      <c r="K4021" s="25">
        <f>IFERROR(__xludf.DUMMYFUNCTION("""COMPUTED_VALUE"""),3103.0)</f>
        <v>3103</v>
      </c>
      <c r="L4021" s="25">
        <f>IFERROR(__xludf.DUMMYFUNCTION("""COMPUTED_VALUE"""),3132.0)</f>
        <v>3132</v>
      </c>
      <c r="M4021" s="25">
        <f>IFERROR(__xludf.DUMMYFUNCTION("""COMPUTED_VALUE"""),1471417.0)</f>
        <v>1471417</v>
      </c>
    </row>
    <row r="4022">
      <c r="A4022" s="26">
        <f>IFERROR(__xludf.DUMMYFUNCTION("""COMPUTED_VALUE"""),44313.64583333333)</f>
        <v>44313.64583</v>
      </c>
      <c r="B4022" s="9">
        <f>IFERROR(__xludf.DUMMYFUNCTION("""COMPUTED_VALUE"""),1346.0)</f>
        <v>1346</v>
      </c>
      <c r="C4022" s="9">
        <f>IFERROR(__xludf.DUMMYFUNCTION("""COMPUTED_VALUE"""),1353.0)</f>
        <v>1353</v>
      </c>
      <c r="D4022" s="9">
        <f>IFERROR(__xludf.DUMMYFUNCTION("""COMPUTED_VALUE"""),1340.15)</f>
        <v>1340.15</v>
      </c>
      <c r="E4022" s="9">
        <f>IFERROR(__xludf.DUMMYFUNCTION("""COMPUTED_VALUE"""),1348.5)</f>
        <v>1348.5</v>
      </c>
      <c r="F4022" s="9">
        <f>IFERROR(__xludf.DUMMYFUNCTION("""COMPUTED_VALUE"""),3636115.0)</f>
        <v>3636115</v>
      </c>
      <c r="H4022" s="27">
        <f>IFERROR(__xludf.DUMMYFUNCTION("""COMPUTED_VALUE"""),44314.64583333333)</f>
        <v>44314.64583</v>
      </c>
      <c r="I4022" s="25">
        <f>IFERROR(__xludf.DUMMYFUNCTION("""COMPUTED_VALUE"""),3149.95)</f>
        <v>3149.95</v>
      </c>
      <c r="J4022" s="25">
        <f>IFERROR(__xludf.DUMMYFUNCTION("""COMPUTED_VALUE"""),3151.0)</f>
        <v>3151</v>
      </c>
      <c r="K4022" s="25">
        <f>IFERROR(__xludf.DUMMYFUNCTION("""COMPUTED_VALUE"""),3112.0)</f>
        <v>3112</v>
      </c>
      <c r="L4022" s="25">
        <f>IFERROR(__xludf.DUMMYFUNCTION("""COMPUTED_VALUE"""),3124.1)</f>
        <v>3124.1</v>
      </c>
      <c r="M4022" s="25">
        <f>IFERROR(__xludf.DUMMYFUNCTION("""COMPUTED_VALUE"""),1639037.0)</f>
        <v>1639037</v>
      </c>
    </row>
    <row r="4023">
      <c r="A4023" s="26">
        <f>IFERROR(__xludf.DUMMYFUNCTION("""COMPUTED_VALUE"""),44314.64583333333)</f>
        <v>44314.64583</v>
      </c>
      <c r="B4023" s="9">
        <f>IFERROR(__xludf.DUMMYFUNCTION("""COMPUTED_VALUE"""),1358.0)</f>
        <v>1358</v>
      </c>
      <c r="C4023" s="9">
        <f>IFERROR(__xludf.DUMMYFUNCTION("""COMPUTED_VALUE"""),1359.5)</f>
        <v>1359.5</v>
      </c>
      <c r="D4023" s="9">
        <f>IFERROR(__xludf.DUMMYFUNCTION("""COMPUTED_VALUE"""),1344.6)</f>
        <v>1344.6</v>
      </c>
      <c r="E4023" s="9">
        <f>IFERROR(__xludf.DUMMYFUNCTION("""COMPUTED_VALUE"""),1356.0)</f>
        <v>1356</v>
      </c>
      <c r="F4023" s="9">
        <f>IFERROR(__xludf.DUMMYFUNCTION("""COMPUTED_VALUE"""),4879234.0)</f>
        <v>4879234</v>
      </c>
      <c r="H4023" s="27">
        <f>IFERROR(__xludf.DUMMYFUNCTION("""COMPUTED_VALUE"""),44315.64583333333)</f>
        <v>44315.64583</v>
      </c>
      <c r="I4023" s="25">
        <f>IFERROR(__xludf.DUMMYFUNCTION("""COMPUTED_VALUE"""),3145.6)</f>
        <v>3145.6</v>
      </c>
      <c r="J4023" s="25">
        <f>IFERROR(__xludf.DUMMYFUNCTION("""COMPUTED_VALUE"""),3157.35)</f>
        <v>3157.35</v>
      </c>
      <c r="K4023" s="25">
        <f>IFERROR(__xludf.DUMMYFUNCTION("""COMPUTED_VALUE"""),3105.5)</f>
        <v>3105.5</v>
      </c>
      <c r="L4023" s="25">
        <f>IFERROR(__xludf.DUMMYFUNCTION("""COMPUTED_VALUE"""),3115.25)</f>
        <v>3115.25</v>
      </c>
      <c r="M4023" s="25">
        <f>IFERROR(__xludf.DUMMYFUNCTION("""COMPUTED_VALUE"""),1621395.0)</f>
        <v>1621395</v>
      </c>
    </row>
    <row r="4024">
      <c r="A4024" s="26">
        <f>IFERROR(__xludf.DUMMYFUNCTION("""COMPUTED_VALUE"""),44315.64583333333)</f>
        <v>44315.64583</v>
      </c>
      <c r="B4024" s="9">
        <f>IFERROR(__xludf.DUMMYFUNCTION("""COMPUTED_VALUE"""),1368.0)</f>
        <v>1368</v>
      </c>
      <c r="C4024" s="9">
        <f>IFERROR(__xludf.DUMMYFUNCTION("""COMPUTED_VALUE"""),1369.0)</f>
        <v>1369</v>
      </c>
      <c r="D4024" s="9">
        <f>IFERROR(__xludf.DUMMYFUNCTION("""COMPUTED_VALUE"""),1351.4)</f>
        <v>1351.4</v>
      </c>
      <c r="E4024" s="9">
        <f>IFERROR(__xludf.DUMMYFUNCTION("""COMPUTED_VALUE"""),1356.35)</f>
        <v>1356.35</v>
      </c>
      <c r="F4024" s="9">
        <f>IFERROR(__xludf.DUMMYFUNCTION("""COMPUTED_VALUE"""),5412357.0)</f>
        <v>5412357</v>
      </c>
      <c r="H4024" s="27">
        <f>IFERROR(__xludf.DUMMYFUNCTION("""COMPUTED_VALUE"""),44316.64583333333)</f>
        <v>44316.64583</v>
      </c>
      <c r="I4024" s="25">
        <f>IFERROR(__xludf.DUMMYFUNCTION("""COMPUTED_VALUE"""),3099.0)</f>
        <v>3099</v>
      </c>
      <c r="J4024" s="25">
        <f>IFERROR(__xludf.DUMMYFUNCTION("""COMPUTED_VALUE"""),3132.05)</f>
        <v>3132.05</v>
      </c>
      <c r="K4024" s="25">
        <f>IFERROR(__xludf.DUMMYFUNCTION("""COMPUTED_VALUE"""),3020.0)</f>
        <v>3020</v>
      </c>
      <c r="L4024" s="25">
        <f>IFERROR(__xludf.DUMMYFUNCTION("""COMPUTED_VALUE"""),3035.65)</f>
        <v>3035.65</v>
      </c>
      <c r="M4024" s="25">
        <f>IFERROR(__xludf.DUMMYFUNCTION("""COMPUTED_VALUE"""),3072305.0)</f>
        <v>3072305</v>
      </c>
    </row>
    <row r="4025">
      <c r="A4025" s="26">
        <f>IFERROR(__xludf.DUMMYFUNCTION("""COMPUTED_VALUE"""),44316.64583333333)</f>
        <v>44316.64583</v>
      </c>
      <c r="B4025" s="9">
        <f>IFERROR(__xludf.DUMMYFUNCTION("""COMPUTED_VALUE"""),1346.3)</f>
        <v>1346.3</v>
      </c>
      <c r="C4025" s="9">
        <f>IFERROR(__xludf.DUMMYFUNCTION("""COMPUTED_VALUE"""),1373.9)</f>
        <v>1373.9</v>
      </c>
      <c r="D4025" s="9">
        <f>IFERROR(__xludf.DUMMYFUNCTION("""COMPUTED_VALUE"""),1345.9)</f>
        <v>1345.9</v>
      </c>
      <c r="E4025" s="9">
        <f>IFERROR(__xludf.DUMMYFUNCTION("""COMPUTED_VALUE"""),1354.35)</f>
        <v>1354.35</v>
      </c>
      <c r="F4025" s="9">
        <f>IFERROR(__xludf.DUMMYFUNCTION("""COMPUTED_VALUE"""),8354677.0)</f>
        <v>8354677</v>
      </c>
      <c r="H4025" s="27">
        <f>IFERROR(__xludf.DUMMYFUNCTION("""COMPUTED_VALUE"""),44319.64583333333)</f>
        <v>44319.64583</v>
      </c>
      <c r="I4025" s="25">
        <f>IFERROR(__xludf.DUMMYFUNCTION("""COMPUTED_VALUE"""),3024.9)</f>
        <v>3024.9</v>
      </c>
      <c r="J4025" s="25">
        <f>IFERROR(__xludf.DUMMYFUNCTION("""COMPUTED_VALUE"""),3055.0)</f>
        <v>3055</v>
      </c>
      <c r="K4025" s="25">
        <f>IFERROR(__xludf.DUMMYFUNCTION("""COMPUTED_VALUE"""),3004.0)</f>
        <v>3004</v>
      </c>
      <c r="L4025" s="25">
        <f>IFERROR(__xludf.DUMMYFUNCTION("""COMPUTED_VALUE"""),3037.0)</f>
        <v>3037</v>
      </c>
      <c r="M4025" s="25">
        <f>IFERROR(__xludf.DUMMYFUNCTION("""COMPUTED_VALUE"""),1545831.0)</f>
        <v>1545831</v>
      </c>
    </row>
    <row r="4026">
      <c r="A4026" s="26">
        <f>IFERROR(__xludf.DUMMYFUNCTION("""COMPUTED_VALUE"""),44319.64583333333)</f>
        <v>44319.64583</v>
      </c>
      <c r="B4026" s="9">
        <f>IFERROR(__xludf.DUMMYFUNCTION("""COMPUTED_VALUE"""),1340.8)</f>
        <v>1340.8</v>
      </c>
      <c r="C4026" s="9">
        <f>IFERROR(__xludf.DUMMYFUNCTION("""COMPUTED_VALUE"""),1361.0)</f>
        <v>1361</v>
      </c>
      <c r="D4026" s="9">
        <f>IFERROR(__xludf.DUMMYFUNCTION("""COMPUTED_VALUE"""),1338.0)</f>
        <v>1338</v>
      </c>
      <c r="E4026" s="9">
        <f>IFERROR(__xludf.DUMMYFUNCTION("""COMPUTED_VALUE"""),1352.05)</f>
        <v>1352.05</v>
      </c>
      <c r="F4026" s="9">
        <f>IFERROR(__xludf.DUMMYFUNCTION("""COMPUTED_VALUE"""),4560337.0)</f>
        <v>4560337</v>
      </c>
      <c r="H4026" s="27">
        <f>IFERROR(__xludf.DUMMYFUNCTION("""COMPUTED_VALUE"""),44320.64583333333)</f>
        <v>44320.64583</v>
      </c>
      <c r="I4026" s="25">
        <f>IFERROR(__xludf.DUMMYFUNCTION("""COMPUTED_VALUE"""),3062.8)</f>
        <v>3062.8</v>
      </c>
      <c r="J4026" s="25">
        <f>IFERROR(__xludf.DUMMYFUNCTION("""COMPUTED_VALUE"""),3090.0)</f>
        <v>3090</v>
      </c>
      <c r="K4026" s="25">
        <f>IFERROR(__xludf.DUMMYFUNCTION("""COMPUTED_VALUE"""),3035.0)</f>
        <v>3035</v>
      </c>
      <c r="L4026" s="25">
        <f>IFERROR(__xludf.DUMMYFUNCTION("""COMPUTED_VALUE"""),3049.75)</f>
        <v>3049.75</v>
      </c>
      <c r="M4026" s="25">
        <f>IFERROR(__xludf.DUMMYFUNCTION("""COMPUTED_VALUE"""),1990777.0)</f>
        <v>1990777</v>
      </c>
    </row>
    <row r="4027">
      <c r="A4027" s="26">
        <f>IFERROR(__xludf.DUMMYFUNCTION("""COMPUTED_VALUE"""),44320.64583333333)</f>
        <v>44320.64583</v>
      </c>
      <c r="B4027" s="9">
        <f>IFERROR(__xludf.DUMMYFUNCTION("""COMPUTED_VALUE"""),1354.0)</f>
        <v>1354</v>
      </c>
      <c r="C4027" s="9">
        <f>IFERROR(__xludf.DUMMYFUNCTION("""COMPUTED_VALUE"""),1354.95)</f>
        <v>1354.95</v>
      </c>
      <c r="D4027" s="9">
        <f>IFERROR(__xludf.DUMMYFUNCTION("""COMPUTED_VALUE"""),1324.1)</f>
        <v>1324.1</v>
      </c>
      <c r="E4027" s="9">
        <f>IFERROR(__xludf.DUMMYFUNCTION("""COMPUTED_VALUE"""),1329.4)</f>
        <v>1329.4</v>
      </c>
      <c r="F4027" s="9">
        <f>IFERROR(__xludf.DUMMYFUNCTION("""COMPUTED_VALUE"""),4887060.0)</f>
        <v>4887060</v>
      </c>
      <c r="H4027" s="27">
        <f>IFERROR(__xludf.DUMMYFUNCTION("""COMPUTED_VALUE"""),44321.64583333333)</f>
        <v>44321.64583</v>
      </c>
      <c r="I4027" s="25">
        <f>IFERROR(__xludf.DUMMYFUNCTION("""COMPUTED_VALUE"""),3070.0)</f>
        <v>3070</v>
      </c>
      <c r="J4027" s="25">
        <f>IFERROR(__xludf.DUMMYFUNCTION("""COMPUTED_VALUE"""),3099.4)</f>
        <v>3099.4</v>
      </c>
      <c r="K4027" s="25">
        <f>IFERROR(__xludf.DUMMYFUNCTION("""COMPUTED_VALUE"""),3052.4)</f>
        <v>3052.4</v>
      </c>
      <c r="L4027" s="25">
        <f>IFERROR(__xludf.DUMMYFUNCTION("""COMPUTED_VALUE"""),3095.7)</f>
        <v>3095.7</v>
      </c>
      <c r="M4027" s="25">
        <f>IFERROR(__xludf.DUMMYFUNCTION("""COMPUTED_VALUE"""),1939289.0)</f>
        <v>1939289</v>
      </c>
    </row>
    <row r="4028">
      <c r="A4028" s="26">
        <f>IFERROR(__xludf.DUMMYFUNCTION("""COMPUTED_VALUE"""),44321.64583333333)</f>
        <v>44321.64583</v>
      </c>
      <c r="B4028" s="9">
        <f>IFERROR(__xludf.DUMMYFUNCTION("""COMPUTED_VALUE"""),1341.1)</f>
        <v>1341.1</v>
      </c>
      <c r="C4028" s="9">
        <f>IFERROR(__xludf.DUMMYFUNCTION("""COMPUTED_VALUE"""),1343.9)</f>
        <v>1343.9</v>
      </c>
      <c r="D4028" s="9">
        <f>IFERROR(__xludf.DUMMYFUNCTION("""COMPUTED_VALUE"""),1327.8)</f>
        <v>1327.8</v>
      </c>
      <c r="E4028" s="9">
        <f>IFERROR(__xludf.DUMMYFUNCTION("""COMPUTED_VALUE"""),1341.5)</f>
        <v>1341.5</v>
      </c>
      <c r="F4028" s="9">
        <f>IFERROR(__xludf.DUMMYFUNCTION("""COMPUTED_VALUE"""),3939788.0)</f>
        <v>3939788</v>
      </c>
      <c r="H4028" s="27">
        <f>IFERROR(__xludf.DUMMYFUNCTION("""COMPUTED_VALUE"""),44322.64583333333)</f>
        <v>44322.64583</v>
      </c>
      <c r="I4028" s="25">
        <f>IFERROR(__xludf.DUMMYFUNCTION("""COMPUTED_VALUE"""),3105.5)</f>
        <v>3105.5</v>
      </c>
      <c r="J4028" s="25">
        <f>IFERROR(__xludf.DUMMYFUNCTION("""COMPUTED_VALUE"""),3134.0)</f>
        <v>3134</v>
      </c>
      <c r="K4028" s="25">
        <f>IFERROR(__xludf.DUMMYFUNCTION("""COMPUTED_VALUE"""),3074.0)</f>
        <v>3074</v>
      </c>
      <c r="L4028" s="25">
        <f>IFERROR(__xludf.DUMMYFUNCTION("""COMPUTED_VALUE"""),3111.45)</f>
        <v>3111.45</v>
      </c>
      <c r="M4028" s="25">
        <f>IFERROR(__xludf.DUMMYFUNCTION("""COMPUTED_VALUE"""),1791671.0)</f>
        <v>1791671</v>
      </c>
    </row>
    <row r="4029">
      <c r="A4029" s="26">
        <f>IFERROR(__xludf.DUMMYFUNCTION("""COMPUTED_VALUE"""),44322.64583333333)</f>
        <v>44322.64583</v>
      </c>
      <c r="B4029" s="9">
        <f>IFERROR(__xludf.DUMMYFUNCTION("""COMPUTED_VALUE"""),1345.0)</f>
        <v>1345</v>
      </c>
      <c r="C4029" s="9">
        <f>IFERROR(__xludf.DUMMYFUNCTION("""COMPUTED_VALUE"""),1364.7)</f>
        <v>1364.7</v>
      </c>
      <c r="D4029" s="9">
        <f>IFERROR(__xludf.DUMMYFUNCTION("""COMPUTED_VALUE"""),1337.4)</f>
        <v>1337.4</v>
      </c>
      <c r="E4029" s="9">
        <f>IFERROR(__xludf.DUMMYFUNCTION("""COMPUTED_VALUE"""),1361.6)</f>
        <v>1361.6</v>
      </c>
      <c r="F4029" s="9">
        <f>IFERROR(__xludf.DUMMYFUNCTION("""COMPUTED_VALUE"""),4810090.0)</f>
        <v>4810090</v>
      </c>
      <c r="H4029" s="27">
        <f>IFERROR(__xludf.DUMMYFUNCTION("""COMPUTED_VALUE"""),44323.64583333333)</f>
        <v>44323.64583</v>
      </c>
      <c r="I4029" s="25">
        <f>IFERROR(__xludf.DUMMYFUNCTION("""COMPUTED_VALUE"""),3133.0)</f>
        <v>3133</v>
      </c>
      <c r="J4029" s="25">
        <f>IFERROR(__xludf.DUMMYFUNCTION("""COMPUTED_VALUE"""),3159.85)</f>
        <v>3159.85</v>
      </c>
      <c r="K4029" s="25">
        <f>IFERROR(__xludf.DUMMYFUNCTION("""COMPUTED_VALUE"""),3111.8)</f>
        <v>3111.8</v>
      </c>
      <c r="L4029" s="25">
        <f>IFERROR(__xludf.DUMMYFUNCTION("""COMPUTED_VALUE"""),3132.9)</f>
        <v>3132.9</v>
      </c>
      <c r="M4029" s="25">
        <f>IFERROR(__xludf.DUMMYFUNCTION("""COMPUTED_VALUE"""),1912540.0)</f>
        <v>1912540</v>
      </c>
    </row>
    <row r="4030">
      <c r="A4030" s="26">
        <f>IFERROR(__xludf.DUMMYFUNCTION("""COMPUTED_VALUE"""),44323.64583333333)</f>
        <v>44323.64583</v>
      </c>
      <c r="B4030" s="9">
        <f>IFERROR(__xludf.DUMMYFUNCTION("""COMPUTED_VALUE"""),1365.3)</f>
        <v>1365.3</v>
      </c>
      <c r="C4030" s="9">
        <f>IFERROR(__xludf.DUMMYFUNCTION("""COMPUTED_VALUE"""),1373.05)</f>
        <v>1373.05</v>
      </c>
      <c r="D4030" s="9">
        <f>IFERROR(__xludf.DUMMYFUNCTION("""COMPUTED_VALUE"""),1348.5)</f>
        <v>1348.5</v>
      </c>
      <c r="E4030" s="9">
        <f>IFERROR(__xludf.DUMMYFUNCTION("""COMPUTED_VALUE"""),1352.55)</f>
        <v>1352.55</v>
      </c>
      <c r="F4030" s="9">
        <f>IFERROR(__xludf.DUMMYFUNCTION("""COMPUTED_VALUE"""),4991435.0)</f>
        <v>4991435</v>
      </c>
      <c r="H4030" s="27">
        <f>IFERROR(__xludf.DUMMYFUNCTION("""COMPUTED_VALUE"""),44326.64583333333)</f>
        <v>44326.64583</v>
      </c>
      <c r="I4030" s="25">
        <f>IFERROR(__xludf.DUMMYFUNCTION("""COMPUTED_VALUE"""),3145.95)</f>
        <v>3145.95</v>
      </c>
      <c r="J4030" s="25">
        <f>IFERROR(__xludf.DUMMYFUNCTION("""COMPUTED_VALUE"""),3164.2)</f>
        <v>3164.2</v>
      </c>
      <c r="K4030" s="25">
        <f>IFERROR(__xludf.DUMMYFUNCTION("""COMPUTED_VALUE"""),3125.0)</f>
        <v>3125</v>
      </c>
      <c r="L4030" s="25">
        <f>IFERROR(__xludf.DUMMYFUNCTION("""COMPUTED_VALUE"""),3145.5)</f>
        <v>3145.5</v>
      </c>
      <c r="M4030" s="25">
        <f>IFERROR(__xludf.DUMMYFUNCTION("""COMPUTED_VALUE"""),2137153.0)</f>
        <v>2137153</v>
      </c>
    </row>
    <row r="4031">
      <c r="A4031" s="26">
        <f>IFERROR(__xludf.DUMMYFUNCTION("""COMPUTED_VALUE"""),44326.64583333333)</f>
        <v>44326.64583</v>
      </c>
      <c r="B4031" s="9">
        <f>IFERROR(__xludf.DUMMYFUNCTION("""COMPUTED_VALUE"""),1349.85)</f>
        <v>1349.85</v>
      </c>
      <c r="C4031" s="9">
        <f>IFERROR(__xludf.DUMMYFUNCTION("""COMPUTED_VALUE"""),1352.9)</f>
        <v>1352.9</v>
      </c>
      <c r="D4031" s="9">
        <f>IFERROR(__xludf.DUMMYFUNCTION("""COMPUTED_VALUE"""),1335.05)</f>
        <v>1335.05</v>
      </c>
      <c r="E4031" s="9">
        <f>IFERROR(__xludf.DUMMYFUNCTION("""COMPUTED_VALUE"""),1339.55)</f>
        <v>1339.55</v>
      </c>
      <c r="F4031" s="9">
        <f>IFERROR(__xludf.DUMMYFUNCTION("""COMPUTED_VALUE"""),7195348.0)</f>
        <v>7195348</v>
      </c>
      <c r="H4031" s="27">
        <f>IFERROR(__xludf.DUMMYFUNCTION("""COMPUTED_VALUE"""),44327.64583333333)</f>
        <v>44327.64583</v>
      </c>
      <c r="I4031" s="25">
        <f>IFERROR(__xludf.DUMMYFUNCTION("""COMPUTED_VALUE"""),3125.0)</f>
        <v>3125</v>
      </c>
      <c r="J4031" s="25">
        <f>IFERROR(__xludf.DUMMYFUNCTION("""COMPUTED_VALUE"""),3128.1)</f>
        <v>3128.1</v>
      </c>
      <c r="K4031" s="25">
        <f>IFERROR(__xludf.DUMMYFUNCTION("""COMPUTED_VALUE"""),3091.15)</f>
        <v>3091.15</v>
      </c>
      <c r="L4031" s="25">
        <f>IFERROR(__xludf.DUMMYFUNCTION("""COMPUTED_VALUE"""),3122.6)</f>
        <v>3122.6</v>
      </c>
      <c r="M4031" s="25">
        <f>IFERROR(__xludf.DUMMYFUNCTION("""COMPUTED_VALUE"""),2415625.0)</f>
        <v>2415625</v>
      </c>
    </row>
    <row r="4032">
      <c r="A4032" s="26">
        <f>IFERROR(__xludf.DUMMYFUNCTION("""COMPUTED_VALUE"""),44327.64583333333)</f>
        <v>44327.64583</v>
      </c>
      <c r="B4032" s="9">
        <f>IFERROR(__xludf.DUMMYFUNCTION("""COMPUTED_VALUE"""),1336.9)</f>
        <v>1336.9</v>
      </c>
      <c r="C4032" s="9">
        <f>IFERROR(__xludf.DUMMYFUNCTION("""COMPUTED_VALUE"""),1341.0)</f>
        <v>1341</v>
      </c>
      <c r="D4032" s="9">
        <f>IFERROR(__xludf.DUMMYFUNCTION("""COMPUTED_VALUE"""),1325.1)</f>
        <v>1325.1</v>
      </c>
      <c r="E4032" s="9">
        <f>IFERROR(__xludf.DUMMYFUNCTION("""COMPUTED_VALUE"""),1330.65)</f>
        <v>1330.65</v>
      </c>
      <c r="F4032" s="9">
        <f>IFERROR(__xludf.DUMMYFUNCTION("""COMPUTED_VALUE"""),6420988.0)</f>
        <v>6420988</v>
      </c>
      <c r="H4032" s="27">
        <f>IFERROR(__xludf.DUMMYFUNCTION("""COMPUTED_VALUE"""),44328.64583333333)</f>
        <v>44328.64583</v>
      </c>
      <c r="I4032" s="25">
        <f>IFERROR(__xludf.DUMMYFUNCTION("""COMPUTED_VALUE"""),3120.0)</f>
        <v>3120</v>
      </c>
      <c r="J4032" s="25">
        <f>IFERROR(__xludf.DUMMYFUNCTION("""COMPUTED_VALUE"""),3120.0)</f>
        <v>3120</v>
      </c>
      <c r="K4032" s="25">
        <f>IFERROR(__xludf.DUMMYFUNCTION("""COMPUTED_VALUE"""),3070.6)</f>
        <v>3070.6</v>
      </c>
      <c r="L4032" s="25">
        <f>IFERROR(__xludf.DUMMYFUNCTION("""COMPUTED_VALUE"""),3087.6)</f>
        <v>3087.6</v>
      </c>
      <c r="M4032" s="25">
        <f>IFERROR(__xludf.DUMMYFUNCTION("""COMPUTED_VALUE"""),1978558.0)</f>
        <v>1978558</v>
      </c>
    </row>
    <row r="4033">
      <c r="A4033" s="26">
        <f>IFERROR(__xludf.DUMMYFUNCTION("""COMPUTED_VALUE"""),44328.64583333333)</f>
        <v>44328.64583</v>
      </c>
      <c r="B4033" s="9">
        <f>IFERROR(__xludf.DUMMYFUNCTION("""COMPUTED_VALUE"""),1330.0)</f>
        <v>1330</v>
      </c>
      <c r="C4033" s="9">
        <f>IFERROR(__xludf.DUMMYFUNCTION("""COMPUTED_VALUE"""),1330.0)</f>
        <v>1330</v>
      </c>
      <c r="D4033" s="9">
        <f>IFERROR(__xludf.DUMMYFUNCTION("""COMPUTED_VALUE"""),1314.5)</f>
        <v>1314.5</v>
      </c>
      <c r="E4033" s="9">
        <f>IFERROR(__xludf.DUMMYFUNCTION("""COMPUTED_VALUE"""),1327.0)</f>
        <v>1327</v>
      </c>
      <c r="F4033" s="9">
        <f>IFERROR(__xludf.DUMMYFUNCTION("""COMPUTED_VALUE"""),5241898.0)</f>
        <v>5241898</v>
      </c>
      <c r="H4033" s="27">
        <f>IFERROR(__xludf.DUMMYFUNCTION("""COMPUTED_VALUE"""),44330.64583333333)</f>
        <v>44330.64583</v>
      </c>
      <c r="I4033" s="25">
        <f>IFERROR(__xludf.DUMMYFUNCTION("""COMPUTED_VALUE"""),3098.5)</f>
        <v>3098.5</v>
      </c>
      <c r="J4033" s="25">
        <f>IFERROR(__xludf.DUMMYFUNCTION("""COMPUTED_VALUE"""),3098.5)</f>
        <v>3098.5</v>
      </c>
      <c r="K4033" s="25">
        <f>IFERROR(__xludf.DUMMYFUNCTION("""COMPUTED_VALUE"""),3040.0)</f>
        <v>3040</v>
      </c>
      <c r="L4033" s="25">
        <f>IFERROR(__xludf.DUMMYFUNCTION("""COMPUTED_VALUE"""),3051.5)</f>
        <v>3051.5</v>
      </c>
      <c r="M4033" s="25">
        <f>IFERROR(__xludf.DUMMYFUNCTION("""COMPUTED_VALUE"""),2043935.0)</f>
        <v>2043935</v>
      </c>
    </row>
    <row r="4034">
      <c r="A4034" s="26">
        <f>IFERROR(__xludf.DUMMYFUNCTION("""COMPUTED_VALUE"""),44330.64583333333)</f>
        <v>44330.64583</v>
      </c>
      <c r="B4034" s="9">
        <f>IFERROR(__xludf.DUMMYFUNCTION("""COMPUTED_VALUE"""),1326.85)</f>
        <v>1326.85</v>
      </c>
      <c r="C4034" s="9">
        <f>IFERROR(__xludf.DUMMYFUNCTION("""COMPUTED_VALUE"""),1326.85)</f>
        <v>1326.85</v>
      </c>
      <c r="D4034" s="9">
        <f>IFERROR(__xludf.DUMMYFUNCTION("""COMPUTED_VALUE"""),1311.3)</f>
        <v>1311.3</v>
      </c>
      <c r="E4034" s="9">
        <f>IFERROR(__xludf.DUMMYFUNCTION("""COMPUTED_VALUE"""),1316.4)</f>
        <v>1316.4</v>
      </c>
      <c r="F4034" s="9">
        <f>IFERROR(__xludf.DUMMYFUNCTION("""COMPUTED_VALUE"""),4824609.0)</f>
        <v>4824609</v>
      </c>
      <c r="H4034" s="27">
        <f>IFERROR(__xludf.DUMMYFUNCTION("""COMPUTED_VALUE"""),44333.64583333333)</f>
        <v>44333.64583</v>
      </c>
      <c r="I4034" s="25">
        <f>IFERROR(__xludf.DUMMYFUNCTION("""COMPUTED_VALUE"""),3055.0)</f>
        <v>3055</v>
      </c>
      <c r="J4034" s="25">
        <f>IFERROR(__xludf.DUMMYFUNCTION("""COMPUTED_VALUE"""),3075.2)</f>
        <v>3075.2</v>
      </c>
      <c r="K4034" s="25">
        <f>IFERROR(__xludf.DUMMYFUNCTION("""COMPUTED_VALUE"""),3036.0)</f>
        <v>3036</v>
      </c>
      <c r="L4034" s="25">
        <f>IFERROR(__xludf.DUMMYFUNCTION("""COMPUTED_VALUE"""),3069.75)</f>
        <v>3069.75</v>
      </c>
      <c r="M4034" s="25">
        <f>IFERROR(__xludf.DUMMYFUNCTION("""COMPUTED_VALUE"""),2890462.0)</f>
        <v>2890462</v>
      </c>
    </row>
    <row r="4035">
      <c r="A4035" s="26">
        <f>IFERROR(__xludf.DUMMYFUNCTION("""COMPUTED_VALUE"""),44333.64583333333)</f>
        <v>44333.64583</v>
      </c>
      <c r="B4035" s="9">
        <f>IFERROR(__xludf.DUMMYFUNCTION("""COMPUTED_VALUE"""),1320.3)</f>
        <v>1320.3</v>
      </c>
      <c r="C4035" s="9">
        <f>IFERROR(__xludf.DUMMYFUNCTION("""COMPUTED_VALUE"""),1334.95)</f>
        <v>1334.95</v>
      </c>
      <c r="D4035" s="9">
        <f>IFERROR(__xludf.DUMMYFUNCTION("""COMPUTED_VALUE"""),1320.3)</f>
        <v>1320.3</v>
      </c>
      <c r="E4035" s="9">
        <f>IFERROR(__xludf.DUMMYFUNCTION("""COMPUTED_VALUE"""),1329.4)</f>
        <v>1329.4</v>
      </c>
      <c r="F4035" s="9">
        <f>IFERROR(__xludf.DUMMYFUNCTION("""COMPUTED_VALUE"""),5017129.0)</f>
        <v>5017129</v>
      </c>
      <c r="H4035" s="27">
        <f>IFERROR(__xludf.DUMMYFUNCTION("""COMPUTED_VALUE"""),44334.64583333333)</f>
        <v>44334.64583</v>
      </c>
      <c r="I4035" s="25">
        <f>IFERROR(__xludf.DUMMYFUNCTION("""COMPUTED_VALUE"""),3100.0)</f>
        <v>3100</v>
      </c>
      <c r="J4035" s="25">
        <f>IFERROR(__xludf.DUMMYFUNCTION("""COMPUTED_VALUE"""),3124.0)</f>
        <v>3124</v>
      </c>
      <c r="K4035" s="25">
        <f>IFERROR(__xludf.DUMMYFUNCTION("""COMPUTED_VALUE"""),3078.0)</f>
        <v>3078</v>
      </c>
      <c r="L4035" s="25">
        <f>IFERROR(__xludf.DUMMYFUNCTION("""COMPUTED_VALUE"""),3088.8)</f>
        <v>3088.8</v>
      </c>
      <c r="M4035" s="25">
        <f>IFERROR(__xludf.DUMMYFUNCTION("""COMPUTED_VALUE"""),2098538.0)</f>
        <v>2098538</v>
      </c>
    </row>
    <row r="4036">
      <c r="A4036" s="26">
        <f>IFERROR(__xludf.DUMMYFUNCTION("""COMPUTED_VALUE"""),44334.64583333333)</f>
        <v>44334.64583</v>
      </c>
      <c r="B4036" s="9">
        <f>IFERROR(__xludf.DUMMYFUNCTION("""COMPUTED_VALUE"""),1338.0)</f>
        <v>1338</v>
      </c>
      <c r="C4036" s="9">
        <f>IFERROR(__xludf.DUMMYFUNCTION("""COMPUTED_VALUE"""),1344.6)</f>
        <v>1344.6</v>
      </c>
      <c r="D4036" s="9">
        <f>IFERROR(__xludf.DUMMYFUNCTION("""COMPUTED_VALUE"""),1329.5)</f>
        <v>1329.5</v>
      </c>
      <c r="E4036" s="9">
        <f>IFERROR(__xludf.DUMMYFUNCTION("""COMPUTED_VALUE"""),1340.0)</f>
        <v>1340</v>
      </c>
      <c r="F4036" s="9">
        <f>IFERROR(__xludf.DUMMYFUNCTION("""COMPUTED_VALUE"""),5620150.0)</f>
        <v>5620150</v>
      </c>
      <c r="H4036" s="27">
        <f>IFERROR(__xludf.DUMMYFUNCTION("""COMPUTED_VALUE"""),44335.64583333333)</f>
        <v>44335.64583</v>
      </c>
      <c r="I4036" s="25">
        <f>IFERROR(__xludf.DUMMYFUNCTION("""COMPUTED_VALUE"""),3084.0)</f>
        <v>3084</v>
      </c>
      <c r="J4036" s="25">
        <f>IFERROR(__xludf.DUMMYFUNCTION("""COMPUTED_VALUE"""),3118.0)</f>
        <v>3118</v>
      </c>
      <c r="K4036" s="25">
        <f>IFERROR(__xludf.DUMMYFUNCTION("""COMPUTED_VALUE"""),3067.1)</f>
        <v>3067.1</v>
      </c>
      <c r="L4036" s="25">
        <f>IFERROR(__xludf.DUMMYFUNCTION("""COMPUTED_VALUE"""),3082.0)</f>
        <v>3082</v>
      </c>
      <c r="M4036" s="25">
        <f>IFERROR(__xludf.DUMMYFUNCTION("""COMPUTED_VALUE"""),1986041.0)</f>
        <v>1986041</v>
      </c>
    </row>
    <row r="4037">
      <c r="A4037" s="26">
        <f>IFERROR(__xludf.DUMMYFUNCTION("""COMPUTED_VALUE"""),44335.64583333333)</f>
        <v>44335.64583</v>
      </c>
      <c r="B4037" s="9">
        <f>IFERROR(__xludf.DUMMYFUNCTION("""COMPUTED_VALUE"""),1342.0)</f>
        <v>1342</v>
      </c>
      <c r="C4037" s="9">
        <f>IFERROR(__xludf.DUMMYFUNCTION("""COMPUTED_VALUE"""),1357.45)</f>
        <v>1357.45</v>
      </c>
      <c r="D4037" s="9">
        <f>IFERROR(__xludf.DUMMYFUNCTION("""COMPUTED_VALUE"""),1333.25)</f>
        <v>1333.25</v>
      </c>
      <c r="E4037" s="9">
        <f>IFERROR(__xludf.DUMMYFUNCTION("""COMPUTED_VALUE"""),1337.0)</f>
        <v>1337</v>
      </c>
      <c r="F4037" s="9">
        <f>IFERROR(__xludf.DUMMYFUNCTION("""COMPUTED_VALUE"""),4435878.0)</f>
        <v>4435878</v>
      </c>
      <c r="H4037" s="27">
        <f>IFERROR(__xludf.DUMMYFUNCTION("""COMPUTED_VALUE"""),44336.64583333333)</f>
        <v>44336.64583</v>
      </c>
      <c r="I4037" s="25">
        <f>IFERROR(__xludf.DUMMYFUNCTION("""COMPUTED_VALUE"""),3067.1)</f>
        <v>3067.1</v>
      </c>
      <c r="J4037" s="25">
        <f>IFERROR(__xludf.DUMMYFUNCTION("""COMPUTED_VALUE"""),3088.8)</f>
        <v>3088.8</v>
      </c>
      <c r="K4037" s="25">
        <f>IFERROR(__xludf.DUMMYFUNCTION("""COMPUTED_VALUE"""),3052.1)</f>
        <v>3052.1</v>
      </c>
      <c r="L4037" s="25">
        <f>IFERROR(__xludf.DUMMYFUNCTION("""COMPUTED_VALUE"""),3060.0)</f>
        <v>3060</v>
      </c>
      <c r="M4037" s="25">
        <f>IFERROR(__xludf.DUMMYFUNCTION("""COMPUTED_VALUE"""),2329027.0)</f>
        <v>2329027</v>
      </c>
    </row>
    <row r="4038">
      <c r="A4038" s="26">
        <f>IFERROR(__xludf.DUMMYFUNCTION("""COMPUTED_VALUE"""),44336.64583333333)</f>
        <v>44336.64583</v>
      </c>
      <c r="B4038" s="9">
        <f>IFERROR(__xludf.DUMMYFUNCTION("""COMPUTED_VALUE"""),1348.4)</f>
        <v>1348.4</v>
      </c>
      <c r="C4038" s="9">
        <f>IFERROR(__xludf.DUMMYFUNCTION("""COMPUTED_VALUE"""),1349.1)</f>
        <v>1349.1</v>
      </c>
      <c r="D4038" s="9">
        <f>IFERROR(__xludf.DUMMYFUNCTION("""COMPUTED_VALUE"""),1335.0)</f>
        <v>1335</v>
      </c>
      <c r="E4038" s="9">
        <f>IFERROR(__xludf.DUMMYFUNCTION("""COMPUTED_VALUE"""),1339.3)</f>
        <v>1339.3</v>
      </c>
      <c r="F4038" s="9">
        <f>IFERROR(__xludf.DUMMYFUNCTION("""COMPUTED_VALUE"""),4490092.0)</f>
        <v>4490092</v>
      </c>
      <c r="H4038" s="27">
        <f>IFERROR(__xludf.DUMMYFUNCTION("""COMPUTED_VALUE"""),44337.64583333333)</f>
        <v>44337.64583</v>
      </c>
      <c r="I4038" s="25">
        <f>IFERROR(__xludf.DUMMYFUNCTION("""COMPUTED_VALUE"""),3061.0)</f>
        <v>3061</v>
      </c>
      <c r="J4038" s="25">
        <f>IFERROR(__xludf.DUMMYFUNCTION("""COMPUTED_VALUE"""),3088.2)</f>
        <v>3088.2</v>
      </c>
      <c r="K4038" s="25">
        <f>IFERROR(__xludf.DUMMYFUNCTION("""COMPUTED_VALUE"""),3055.1)</f>
        <v>3055.1</v>
      </c>
      <c r="L4038" s="25">
        <f>IFERROR(__xludf.DUMMYFUNCTION("""COMPUTED_VALUE"""),3080.5)</f>
        <v>3080.5</v>
      </c>
      <c r="M4038" s="25">
        <f>IFERROR(__xludf.DUMMYFUNCTION("""COMPUTED_VALUE"""),1685566.0)</f>
        <v>1685566</v>
      </c>
    </row>
    <row r="4039">
      <c r="A4039" s="26">
        <f>IFERROR(__xludf.DUMMYFUNCTION("""COMPUTED_VALUE"""),44337.64583333333)</f>
        <v>44337.64583</v>
      </c>
      <c r="B4039" s="9">
        <f>IFERROR(__xludf.DUMMYFUNCTION("""COMPUTED_VALUE"""),1347.5)</f>
        <v>1347.5</v>
      </c>
      <c r="C4039" s="9">
        <f>IFERROR(__xludf.DUMMYFUNCTION("""COMPUTED_VALUE"""),1357.5)</f>
        <v>1357.5</v>
      </c>
      <c r="D4039" s="9">
        <f>IFERROR(__xludf.DUMMYFUNCTION("""COMPUTED_VALUE"""),1346.35)</f>
        <v>1346.35</v>
      </c>
      <c r="E4039" s="9">
        <f>IFERROR(__xludf.DUMMYFUNCTION("""COMPUTED_VALUE"""),1354.5)</f>
        <v>1354.5</v>
      </c>
      <c r="F4039" s="9">
        <f>IFERROR(__xludf.DUMMYFUNCTION("""COMPUTED_VALUE"""),4969733.0)</f>
        <v>4969733</v>
      </c>
      <c r="H4039" s="27">
        <f>IFERROR(__xludf.DUMMYFUNCTION("""COMPUTED_VALUE"""),44340.64583333333)</f>
        <v>44340.64583</v>
      </c>
      <c r="I4039" s="25">
        <f>IFERROR(__xludf.DUMMYFUNCTION("""COMPUTED_VALUE"""),3081.5)</f>
        <v>3081.5</v>
      </c>
      <c r="J4039" s="25">
        <f>IFERROR(__xludf.DUMMYFUNCTION("""COMPUTED_VALUE"""),3105.0)</f>
        <v>3105</v>
      </c>
      <c r="K4039" s="25">
        <f>IFERROR(__xludf.DUMMYFUNCTION("""COMPUTED_VALUE"""),3072.0)</f>
        <v>3072</v>
      </c>
      <c r="L4039" s="25">
        <f>IFERROR(__xludf.DUMMYFUNCTION("""COMPUTED_VALUE"""),3081.5)</f>
        <v>3081.5</v>
      </c>
      <c r="M4039" s="25">
        <f>IFERROR(__xludf.DUMMYFUNCTION("""COMPUTED_VALUE"""),1652260.0)</f>
        <v>1652260</v>
      </c>
    </row>
    <row r="4040">
      <c r="A4040" s="26">
        <f>IFERROR(__xludf.DUMMYFUNCTION("""COMPUTED_VALUE"""),44340.64583333333)</f>
        <v>44340.64583</v>
      </c>
      <c r="B4040" s="9">
        <f>IFERROR(__xludf.DUMMYFUNCTION("""COMPUTED_VALUE"""),1356.65)</f>
        <v>1356.65</v>
      </c>
      <c r="C4040" s="9">
        <f>IFERROR(__xludf.DUMMYFUNCTION("""COMPUTED_VALUE"""),1363.0)</f>
        <v>1363</v>
      </c>
      <c r="D4040" s="9">
        <f>IFERROR(__xludf.DUMMYFUNCTION("""COMPUTED_VALUE"""),1345.1)</f>
        <v>1345.1</v>
      </c>
      <c r="E4040" s="9">
        <f>IFERROR(__xludf.DUMMYFUNCTION("""COMPUTED_VALUE"""),1348.05)</f>
        <v>1348.05</v>
      </c>
      <c r="F4040" s="9">
        <f>IFERROR(__xludf.DUMMYFUNCTION("""COMPUTED_VALUE"""),4225371.0)</f>
        <v>4225371</v>
      </c>
      <c r="H4040" s="27">
        <f>IFERROR(__xludf.DUMMYFUNCTION("""COMPUTED_VALUE"""),44341.64583333333)</f>
        <v>44341.64583</v>
      </c>
      <c r="I4040" s="25">
        <f>IFERROR(__xludf.DUMMYFUNCTION("""COMPUTED_VALUE"""),3092.0)</f>
        <v>3092</v>
      </c>
      <c r="J4040" s="25">
        <f>IFERROR(__xludf.DUMMYFUNCTION("""COMPUTED_VALUE"""),3128.25)</f>
        <v>3128.25</v>
      </c>
      <c r="K4040" s="25">
        <f>IFERROR(__xludf.DUMMYFUNCTION("""COMPUTED_VALUE"""),3082.1)</f>
        <v>3082.1</v>
      </c>
      <c r="L4040" s="25">
        <f>IFERROR(__xludf.DUMMYFUNCTION("""COMPUTED_VALUE"""),3114.0)</f>
        <v>3114</v>
      </c>
      <c r="M4040" s="25">
        <f>IFERROR(__xludf.DUMMYFUNCTION("""COMPUTED_VALUE"""),1841613.0)</f>
        <v>1841613</v>
      </c>
    </row>
    <row r="4041">
      <c r="A4041" s="26">
        <f>IFERROR(__xludf.DUMMYFUNCTION("""COMPUTED_VALUE"""),44341.64583333333)</f>
        <v>44341.64583</v>
      </c>
      <c r="B4041" s="9">
        <f>IFERROR(__xludf.DUMMYFUNCTION("""COMPUTED_VALUE"""),1358.0)</f>
        <v>1358</v>
      </c>
      <c r="C4041" s="9">
        <f>IFERROR(__xludf.DUMMYFUNCTION("""COMPUTED_VALUE"""),1368.0)</f>
        <v>1368</v>
      </c>
      <c r="D4041" s="9">
        <f>IFERROR(__xludf.DUMMYFUNCTION("""COMPUTED_VALUE"""),1354.45)</f>
        <v>1354.45</v>
      </c>
      <c r="E4041" s="9">
        <f>IFERROR(__xludf.DUMMYFUNCTION("""COMPUTED_VALUE"""),1361.6)</f>
        <v>1361.6</v>
      </c>
      <c r="F4041" s="9">
        <f>IFERROR(__xludf.DUMMYFUNCTION("""COMPUTED_VALUE"""),4099340.0)</f>
        <v>4099340</v>
      </c>
      <c r="H4041" s="27">
        <f>IFERROR(__xludf.DUMMYFUNCTION("""COMPUTED_VALUE"""),44342.64583333333)</f>
        <v>44342.64583</v>
      </c>
      <c r="I4041" s="25">
        <f>IFERROR(__xludf.DUMMYFUNCTION("""COMPUTED_VALUE"""),3120.0)</f>
        <v>3120</v>
      </c>
      <c r="J4041" s="25">
        <f>IFERROR(__xludf.DUMMYFUNCTION("""COMPUTED_VALUE"""),3165.0)</f>
        <v>3165</v>
      </c>
      <c r="K4041" s="25">
        <f>IFERROR(__xludf.DUMMYFUNCTION("""COMPUTED_VALUE"""),3103.8)</f>
        <v>3103.8</v>
      </c>
      <c r="L4041" s="25">
        <f>IFERROR(__xludf.DUMMYFUNCTION("""COMPUTED_VALUE"""),3158.5)</f>
        <v>3158.5</v>
      </c>
      <c r="M4041" s="25">
        <f>IFERROR(__xludf.DUMMYFUNCTION("""COMPUTED_VALUE"""),1923753.0)</f>
        <v>1923753</v>
      </c>
    </row>
    <row r="4042">
      <c r="A4042" s="26">
        <f>IFERROR(__xludf.DUMMYFUNCTION("""COMPUTED_VALUE"""),44342.64583333333)</f>
        <v>44342.64583</v>
      </c>
      <c r="B4042" s="9">
        <f>IFERROR(__xludf.DUMMYFUNCTION("""COMPUTED_VALUE"""),1367.9)</f>
        <v>1367.9</v>
      </c>
      <c r="C4042" s="9">
        <f>IFERROR(__xludf.DUMMYFUNCTION("""COMPUTED_VALUE"""),1400.0)</f>
        <v>1400</v>
      </c>
      <c r="D4042" s="9">
        <f>IFERROR(__xludf.DUMMYFUNCTION("""COMPUTED_VALUE"""),1362.05)</f>
        <v>1362.05</v>
      </c>
      <c r="E4042" s="9">
        <f>IFERROR(__xludf.DUMMYFUNCTION("""COMPUTED_VALUE"""),1397.25)</f>
        <v>1397.25</v>
      </c>
      <c r="F4042" s="9">
        <f>IFERROR(__xludf.DUMMYFUNCTION("""COMPUTED_VALUE"""),6850024.0)</f>
        <v>6850024</v>
      </c>
      <c r="H4042" s="27">
        <f>IFERROR(__xludf.DUMMYFUNCTION("""COMPUTED_VALUE"""),44343.64583333333)</f>
        <v>44343.64583</v>
      </c>
      <c r="I4042" s="25">
        <f>IFERROR(__xludf.DUMMYFUNCTION("""COMPUTED_VALUE"""),3161.95)</f>
        <v>3161.95</v>
      </c>
      <c r="J4042" s="25">
        <f>IFERROR(__xludf.DUMMYFUNCTION("""COMPUTED_VALUE"""),3217.75)</f>
        <v>3217.75</v>
      </c>
      <c r="K4042" s="25">
        <f>IFERROR(__xludf.DUMMYFUNCTION("""COMPUTED_VALUE"""),3161.8)</f>
        <v>3161.8</v>
      </c>
      <c r="L4042" s="25">
        <f>IFERROR(__xludf.DUMMYFUNCTION("""COMPUTED_VALUE"""),3180.0)</f>
        <v>3180</v>
      </c>
      <c r="M4042" s="25">
        <f>IFERROR(__xludf.DUMMYFUNCTION("""COMPUTED_VALUE"""),5959785.0)</f>
        <v>5959785</v>
      </c>
    </row>
    <row r="4043">
      <c r="A4043" s="26">
        <f>IFERROR(__xludf.DUMMYFUNCTION("""COMPUTED_VALUE"""),44343.64583333333)</f>
        <v>44343.64583</v>
      </c>
      <c r="B4043" s="9">
        <f>IFERROR(__xludf.DUMMYFUNCTION("""COMPUTED_VALUE"""),1404.2)</f>
        <v>1404.2</v>
      </c>
      <c r="C4043" s="9">
        <f>IFERROR(__xludf.DUMMYFUNCTION("""COMPUTED_VALUE"""),1416.25)</f>
        <v>1416.25</v>
      </c>
      <c r="D4043" s="9">
        <f>IFERROR(__xludf.DUMMYFUNCTION("""COMPUTED_VALUE"""),1391.7)</f>
        <v>1391.7</v>
      </c>
      <c r="E4043" s="9">
        <f>IFERROR(__xludf.DUMMYFUNCTION("""COMPUTED_VALUE"""),1402.25)</f>
        <v>1402.25</v>
      </c>
      <c r="F4043" s="9">
        <f>IFERROR(__xludf.DUMMYFUNCTION("""COMPUTED_VALUE"""),1.5365391E7)</f>
        <v>15365391</v>
      </c>
      <c r="H4043" s="27">
        <f>IFERROR(__xludf.DUMMYFUNCTION("""COMPUTED_VALUE"""),44344.64583333333)</f>
        <v>44344.64583</v>
      </c>
      <c r="I4043" s="25">
        <f>IFERROR(__xludf.DUMMYFUNCTION("""COMPUTED_VALUE"""),3189.5)</f>
        <v>3189.5</v>
      </c>
      <c r="J4043" s="25">
        <f>IFERROR(__xludf.DUMMYFUNCTION("""COMPUTED_VALUE"""),3198.0)</f>
        <v>3198</v>
      </c>
      <c r="K4043" s="25">
        <f>IFERROR(__xludf.DUMMYFUNCTION("""COMPUTED_VALUE"""),3135.65)</f>
        <v>3135.65</v>
      </c>
      <c r="L4043" s="25">
        <f>IFERROR(__xludf.DUMMYFUNCTION("""COMPUTED_VALUE"""),3143.6)</f>
        <v>3143.6</v>
      </c>
      <c r="M4043" s="25">
        <f>IFERROR(__xludf.DUMMYFUNCTION("""COMPUTED_VALUE"""),1763701.0)</f>
        <v>1763701</v>
      </c>
    </row>
    <row r="4044">
      <c r="A4044" s="26">
        <f>IFERROR(__xludf.DUMMYFUNCTION("""COMPUTED_VALUE"""),44344.64583333333)</f>
        <v>44344.64583</v>
      </c>
      <c r="B4044" s="9">
        <f>IFERROR(__xludf.DUMMYFUNCTION("""COMPUTED_VALUE"""),1409.75)</f>
        <v>1409.75</v>
      </c>
      <c r="C4044" s="9">
        <f>IFERROR(__xludf.DUMMYFUNCTION("""COMPUTED_VALUE"""),1414.0)</f>
        <v>1414</v>
      </c>
      <c r="D4044" s="9">
        <f>IFERROR(__xludf.DUMMYFUNCTION("""COMPUTED_VALUE"""),1396.1)</f>
        <v>1396.1</v>
      </c>
      <c r="E4044" s="9">
        <f>IFERROR(__xludf.DUMMYFUNCTION("""COMPUTED_VALUE"""),1405.05)</f>
        <v>1405.05</v>
      </c>
      <c r="F4044" s="9">
        <f>IFERROR(__xludf.DUMMYFUNCTION("""COMPUTED_VALUE"""),4261312.0)</f>
        <v>4261312</v>
      </c>
      <c r="H4044" s="27">
        <f>IFERROR(__xludf.DUMMYFUNCTION("""COMPUTED_VALUE"""),44347.64583333333)</f>
        <v>44347.64583</v>
      </c>
      <c r="I4044" s="25">
        <f>IFERROR(__xludf.DUMMYFUNCTION("""COMPUTED_VALUE"""),3150.0)</f>
        <v>3150</v>
      </c>
      <c r="J4044" s="25">
        <f>IFERROR(__xludf.DUMMYFUNCTION("""COMPUTED_VALUE"""),3170.35)</f>
        <v>3170.35</v>
      </c>
      <c r="K4044" s="25">
        <f>IFERROR(__xludf.DUMMYFUNCTION("""COMPUTED_VALUE"""),3128.6)</f>
        <v>3128.6</v>
      </c>
      <c r="L4044" s="25">
        <f>IFERROR(__xludf.DUMMYFUNCTION("""COMPUTED_VALUE"""),3159.15)</f>
        <v>3159.15</v>
      </c>
      <c r="M4044" s="25">
        <f>IFERROR(__xludf.DUMMYFUNCTION("""COMPUTED_VALUE"""),1652799.0)</f>
        <v>1652799</v>
      </c>
    </row>
    <row r="4045">
      <c r="A4045" s="26">
        <f>IFERROR(__xludf.DUMMYFUNCTION("""COMPUTED_VALUE"""),44347.64583333333)</f>
        <v>44347.64583</v>
      </c>
      <c r="B4045" s="9">
        <f>IFERROR(__xludf.DUMMYFUNCTION("""COMPUTED_VALUE"""),1401.5)</f>
        <v>1401.5</v>
      </c>
      <c r="C4045" s="9">
        <f>IFERROR(__xludf.DUMMYFUNCTION("""COMPUTED_VALUE"""),1401.5)</f>
        <v>1401.5</v>
      </c>
      <c r="D4045" s="9">
        <f>IFERROR(__xludf.DUMMYFUNCTION("""COMPUTED_VALUE"""),1383.0)</f>
        <v>1383</v>
      </c>
      <c r="E4045" s="9">
        <f>IFERROR(__xludf.DUMMYFUNCTION("""COMPUTED_VALUE"""),1393.75)</f>
        <v>1393.75</v>
      </c>
      <c r="F4045" s="9">
        <f>IFERROR(__xludf.DUMMYFUNCTION("""COMPUTED_VALUE"""),4429904.0)</f>
        <v>4429904</v>
      </c>
      <c r="H4045" s="27">
        <f>IFERROR(__xludf.DUMMYFUNCTION("""COMPUTED_VALUE"""),44348.64583333333)</f>
        <v>44348.64583</v>
      </c>
      <c r="I4045" s="25">
        <f>IFERROR(__xludf.DUMMYFUNCTION("""COMPUTED_VALUE"""),3168.6)</f>
        <v>3168.6</v>
      </c>
      <c r="J4045" s="25">
        <f>IFERROR(__xludf.DUMMYFUNCTION("""COMPUTED_VALUE"""),3169.95)</f>
        <v>3169.95</v>
      </c>
      <c r="K4045" s="25">
        <f>IFERROR(__xludf.DUMMYFUNCTION("""COMPUTED_VALUE"""),3132.0)</f>
        <v>3132</v>
      </c>
      <c r="L4045" s="25">
        <f>IFERROR(__xludf.DUMMYFUNCTION("""COMPUTED_VALUE"""),3153.0)</f>
        <v>3153</v>
      </c>
      <c r="M4045" s="25">
        <f>IFERROR(__xludf.DUMMYFUNCTION("""COMPUTED_VALUE"""),1377441.0)</f>
        <v>1377441</v>
      </c>
    </row>
    <row r="4046">
      <c r="A4046" s="26">
        <f>IFERROR(__xludf.DUMMYFUNCTION("""COMPUTED_VALUE"""),44348.64583333333)</f>
        <v>44348.64583</v>
      </c>
      <c r="B4046" s="9">
        <f>IFERROR(__xludf.DUMMYFUNCTION("""COMPUTED_VALUE"""),1400.0)</f>
        <v>1400</v>
      </c>
      <c r="C4046" s="9">
        <f>IFERROR(__xludf.DUMMYFUNCTION("""COMPUTED_VALUE"""),1401.0)</f>
        <v>1401</v>
      </c>
      <c r="D4046" s="9">
        <f>IFERROR(__xludf.DUMMYFUNCTION("""COMPUTED_VALUE"""),1378.65)</f>
        <v>1378.65</v>
      </c>
      <c r="E4046" s="9">
        <f>IFERROR(__xludf.DUMMYFUNCTION("""COMPUTED_VALUE"""),1387.2)</f>
        <v>1387.2</v>
      </c>
      <c r="F4046" s="9">
        <f>IFERROR(__xludf.DUMMYFUNCTION("""COMPUTED_VALUE"""),4791325.0)</f>
        <v>4791325</v>
      </c>
      <c r="H4046" s="27">
        <f>IFERROR(__xludf.DUMMYFUNCTION("""COMPUTED_VALUE"""),44349.64583333333)</f>
        <v>44349.64583</v>
      </c>
      <c r="I4046" s="25">
        <f>IFERROR(__xludf.DUMMYFUNCTION("""COMPUTED_VALUE"""),3150.85)</f>
        <v>3150.85</v>
      </c>
      <c r="J4046" s="25">
        <f>IFERROR(__xludf.DUMMYFUNCTION("""COMPUTED_VALUE"""),3159.45)</f>
        <v>3159.45</v>
      </c>
      <c r="K4046" s="25">
        <f>IFERROR(__xludf.DUMMYFUNCTION("""COMPUTED_VALUE"""),3115.0)</f>
        <v>3115</v>
      </c>
      <c r="L4046" s="25">
        <f>IFERROR(__xludf.DUMMYFUNCTION("""COMPUTED_VALUE"""),3129.45)</f>
        <v>3129.45</v>
      </c>
      <c r="M4046" s="25">
        <f>IFERROR(__xludf.DUMMYFUNCTION("""COMPUTED_VALUE"""),2240078.0)</f>
        <v>2240078</v>
      </c>
    </row>
    <row r="4047">
      <c r="A4047" s="26">
        <f>IFERROR(__xludf.DUMMYFUNCTION("""COMPUTED_VALUE"""),44349.64583333333)</f>
        <v>44349.64583</v>
      </c>
      <c r="B4047" s="9">
        <f>IFERROR(__xludf.DUMMYFUNCTION("""COMPUTED_VALUE"""),1380.75)</f>
        <v>1380.75</v>
      </c>
      <c r="C4047" s="9">
        <f>IFERROR(__xludf.DUMMYFUNCTION("""COMPUTED_VALUE"""),1391.95)</f>
        <v>1391.95</v>
      </c>
      <c r="D4047" s="9">
        <f>IFERROR(__xludf.DUMMYFUNCTION("""COMPUTED_VALUE"""),1365.0)</f>
        <v>1365</v>
      </c>
      <c r="E4047" s="9">
        <f>IFERROR(__xludf.DUMMYFUNCTION("""COMPUTED_VALUE"""),1378.65)</f>
        <v>1378.65</v>
      </c>
      <c r="F4047" s="9">
        <f>IFERROR(__xludf.DUMMYFUNCTION("""COMPUTED_VALUE"""),9272276.0)</f>
        <v>9272276</v>
      </c>
      <c r="H4047" s="27">
        <f>IFERROR(__xludf.DUMMYFUNCTION("""COMPUTED_VALUE"""),44350.64583333333)</f>
        <v>44350.64583</v>
      </c>
      <c r="I4047" s="25">
        <f>IFERROR(__xludf.DUMMYFUNCTION("""COMPUTED_VALUE"""),3154.55)</f>
        <v>3154.55</v>
      </c>
      <c r="J4047" s="25">
        <f>IFERROR(__xludf.DUMMYFUNCTION("""COMPUTED_VALUE"""),3154.55)</f>
        <v>3154.55</v>
      </c>
      <c r="K4047" s="25">
        <f>IFERROR(__xludf.DUMMYFUNCTION("""COMPUTED_VALUE"""),3122.65)</f>
        <v>3122.65</v>
      </c>
      <c r="L4047" s="25">
        <f>IFERROR(__xludf.DUMMYFUNCTION("""COMPUTED_VALUE"""),3141.25)</f>
        <v>3141.25</v>
      </c>
      <c r="M4047" s="25">
        <f>IFERROR(__xludf.DUMMYFUNCTION("""COMPUTED_VALUE"""),1281706.0)</f>
        <v>1281706</v>
      </c>
    </row>
    <row r="4048">
      <c r="A4048" s="26">
        <f>IFERROR(__xludf.DUMMYFUNCTION("""COMPUTED_VALUE"""),44350.64583333333)</f>
        <v>44350.64583</v>
      </c>
      <c r="B4048" s="9">
        <f>IFERROR(__xludf.DUMMYFUNCTION("""COMPUTED_VALUE"""),1388.1)</f>
        <v>1388.1</v>
      </c>
      <c r="C4048" s="9">
        <f>IFERROR(__xludf.DUMMYFUNCTION("""COMPUTED_VALUE"""),1399.0)</f>
        <v>1399</v>
      </c>
      <c r="D4048" s="9">
        <f>IFERROR(__xludf.DUMMYFUNCTION("""COMPUTED_VALUE"""),1377.05)</f>
        <v>1377.05</v>
      </c>
      <c r="E4048" s="9">
        <f>IFERROR(__xludf.DUMMYFUNCTION("""COMPUTED_VALUE"""),1389.65)</f>
        <v>1389.65</v>
      </c>
      <c r="F4048" s="9">
        <f>IFERROR(__xludf.DUMMYFUNCTION("""COMPUTED_VALUE"""),5115645.0)</f>
        <v>5115645</v>
      </c>
      <c r="H4048" s="27">
        <f>IFERROR(__xludf.DUMMYFUNCTION("""COMPUTED_VALUE"""),44351.64583333333)</f>
        <v>44351.64583</v>
      </c>
      <c r="I4048" s="25">
        <f>IFERROR(__xludf.DUMMYFUNCTION("""COMPUTED_VALUE"""),3128.0)</f>
        <v>3128</v>
      </c>
      <c r="J4048" s="25">
        <f>IFERROR(__xludf.DUMMYFUNCTION("""COMPUTED_VALUE"""),3156.85)</f>
        <v>3156.85</v>
      </c>
      <c r="K4048" s="25">
        <f>IFERROR(__xludf.DUMMYFUNCTION("""COMPUTED_VALUE"""),3125.0)</f>
        <v>3125</v>
      </c>
      <c r="L4048" s="25">
        <f>IFERROR(__xludf.DUMMYFUNCTION("""COMPUTED_VALUE"""),3143.75)</f>
        <v>3143.75</v>
      </c>
      <c r="M4048" s="25">
        <f>IFERROR(__xludf.DUMMYFUNCTION("""COMPUTED_VALUE"""),1836060.0)</f>
        <v>1836060</v>
      </c>
    </row>
    <row r="4049">
      <c r="A4049" s="26">
        <f>IFERROR(__xludf.DUMMYFUNCTION("""COMPUTED_VALUE"""),44351.64583333333)</f>
        <v>44351.64583</v>
      </c>
      <c r="B4049" s="9">
        <f>IFERROR(__xludf.DUMMYFUNCTION("""COMPUTED_VALUE"""),1393.95)</f>
        <v>1393.95</v>
      </c>
      <c r="C4049" s="9">
        <f>IFERROR(__xludf.DUMMYFUNCTION("""COMPUTED_VALUE"""),1396.9)</f>
        <v>1396.9</v>
      </c>
      <c r="D4049" s="9">
        <f>IFERROR(__xludf.DUMMYFUNCTION("""COMPUTED_VALUE"""),1377.65)</f>
        <v>1377.65</v>
      </c>
      <c r="E4049" s="9">
        <f>IFERROR(__xludf.DUMMYFUNCTION("""COMPUTED_VALUE"""),1385.65)</f>
        <v>1385.65</v>
      </c>
      <c r="F4049" s="9">
        <f>IFERROR(__xludf.DUMMYFUNCTION("""COMPUTED_VALUE"""),4194328.0)</f>
        <v>4194328</v>
      </c>
      <c r="H4049" s="27">
        <f>IFERROR(__xludf.DUMMYFUNCTION("""COMPUTED_VALUE"""),44354.64583333333)</f>
        <v>44354.64583</v>
      </c>
      <c r="I4049" s="25">
        <f>IFERROR(__xludf.DUMMYFUNCTION("""COMPUTED_VALUE"""),3145.0)</f>
        <v>3145</v>
      </c>
      <c r="J4049" s="25">
        <f>IFERROR(__xludf.DUMMYFUNCTION("""COMPUTED_VALUE"""),3190.45)</f>
        <v>3190.45</v>
      </c>
      <c r="K4049" s="25">
        <f>IFERROR(__xludf.DUMMYFUNCTION("""COMPUTED_VALUE"""),3133.6)</f>
        <v>3133.6</v>
      </c>
      <c r="L4049" s="25">
        <f>IFERROR(__xludf.DUMMYFUNCTION("""COMPUTED_VALUE"""),3183.2)</f>
        <v>3183.2</v>
      </c>
      <c r="M4049" s="25">
        <f>IFERROR(__xludf.DUMMYFUNCTION("""COMPUTED_VALUE"""),2559821.0)</f>
        <v>2559821</v>
      </c>
    </row>
    <row r="4050">
      <c r="A4050" s="26">
        <f>IFERROR(__xludf.DUMMYFUNCTION("""COMPUTED_VALUE"""),44354.64583333333)</f>
        <v>44354.64583</v>
      </c>
      <c r="B4050" s="9">
        <f>IFERROR(__xludf.DUMMYFUNCTION("""COMPUTED_VALUE"""),1391.0)</f>
        <v>1391</v>
      </c>
      <c r="C4050" s="9">
        <f>IFERROR(__xludf.DUMMYFUNCTION("""COMPUTED_VALUE"""),1392.0)</f>
        <v>1392</v>
      </c>
      <c r="D4050" s="9">
        <f>IFERROR(__xludf.DUMMYFUNCTION("""COMPUTED_VALUE"""),1377.3)</f>
        <v>1377.3</v>
      </c>
      <c r="E4050" s="9">
        <f>IFERROR(__xludf.DUMMYFUNCTION("""COMPUTED_VALUE"""),1389.65)</f>
        <v>1389.65</v>
      </c>
      <c r="F4050" s="9">
        <f>IFERROR(__xludf.DUMMYFUNCTION("""COMPUTED_VALUE"""),5154576.0)</f>
        <v>5154576</v>
      </c>
      <c r="H4050" s="27">
        <f>IFERROR(__xludf.DUMMYFUNCTION("""COMPUTED_VALUE"""),44355.64583333333)</f>
        <v>44355.64583</v>
      </c>
      <c r="I4050" s="25">
        <f>IFERROR(__xludf.DUMMYFUNCTION("""COMPUTED_VALUE"""),3198.0)</f>
        <v>3198</v>
      </c>
      <c r="J4050" s="25">
        <f>IFERROR(__xludf.DUMMYFUNCTION("""COMPUTED_VALUE"""),3231.0)</f>
        <v>3231</v>
      </c>
      <c r="K4050" s="25">
        <f>IFERROR(__xludf.DUMMYFUNCTION("""COMPUTED_VALUE"""),3187.2)</f>
        <v>3187.2</v>
      </c>
      <c r="L4050" s="25">
        <f>IFERROR(__xludf.DUMMYFUNCTION("""COMPUTED_VALUE"""),3200.15)</f>
        <v>3200.15</v>
      </c>
      <c r="M4050" s="25">
        <f>IFERROR(__xludf.DUMMYFUNCTION("""COMPUTED_VALUE"""),2574057.0)</f>
        <v>2574057</v>
      </c>
    </row>
    <row r="4051">
      <c r="A4051" s="26">
        <f>IFERROR(__xludf.DUMMYFUNCTION("""COMPUTED_VALUE"""),44355.64583333333)</f>
        <v>44355.64583</v>
      </c>
      <c r="B4051" s="9">
        <f>IFERROR(__xludf.DUMMYFUNCTION("""COMPUTED_VALUE"""),1396.0)</f>
        <v>1396</v>
      </c>
      <c r="C4051" s="9">
        <f>IFERROR(__xludf.DUMMYFUNCTION("""COMPUTED_VALUE"""),1421.75)</f>
        <v>1421.75</v>
      </c>
      <c r="D4051" s="9">
        <f>IFERROR(__xludf.DUMMYFUNCTION("""COMPUTED_VALUE"""),1395.55)</f>
        <v>1395.55</v>
      </c>
      <c r="E4051" s="9">
        <f>IFERROR(__xludf.DUMMYFUNCTION("""COMPUTED_VALUE"""),1412.95)</f>
        <v>1412.95</v>
      </c>
      <c r="F4051" s="9">
        <f>IFERROR(__xludf.DUMMYFUNCTION("""COMPUTED_VALUE"""),7360630.0)</f>
        <v>7360630</v>
      </c>
      <c r="H4051" s="27">
        <f>IFERROR(__xludf.DUMMYFUNCTION("""COMPUTED_VALUE"""),44356.64583333333)</f>
        <v>44356.64583</v>
      </c>
      <c r="I4051" s="25">
        <f>IFERROR(__xludf.DUMMYFUNCTION("""COMPUTED_VALUE"""),3202.0)</f>
        <v>3202</v>
      </c>
      <c r="J4051" s="25">
        <f>IFERROR(__xludf.DUMMYFUNCTION("""COMPUTED_VALUE"""),3220.0)</f>
        <v>3220</v>
      </c>
      <c r="K4051" s="25">
        <f>IFERROR(__xludf.DUMMYFUNCTION("""COMPUTED_VALUE"""),3186.2)</f>
        <v>3186.2</v>
      </c>
      <c r="L4051" s="25">
        <f>IFERROR(__xludf.DUMMYFUNCTION("""COMPUTED_VALUE"""),3200.25)</f>
        <v>3200.25</v>
      </c>
      <c r="M4051" s="25">
        <f>IFERROR(__xludf.DUMMYFUNCTION("""COMPUTED_VALUE"""),1710925.0)</f>
        <v>1710925</v>
      </c>
    </row>
    <row r="4052">
      <c r="A4052" s="26">
        <f>IFERROR(__xludf.DUMMYFUNCTION("""COMPUTED_VALUE"""),44356.64583333333)</f>
        <v>44356.64583</v>
      </c>
      <c r="B4052" s="9">
        <f>IFERROR(__xludf.DUMMYFUNCTION("""COMPUTED_VALUE"""),1413.4)</f>
        <v>1413.4</v>
      </c>
      <c r="C4052" s="9">
        <f>IFERROR(__xludf.DUMMYFUNCTION("""COMPUTED_VALUE"""),1425.0)</f>
        <v>1425</v>
      </c>
      <c r="D4052" s="9">
        <f>IFERROR(__xludf.DUMMYFUNCTION("""COMPUTED_VALUE"""),1404.6)</f>
        <v>1404.6</v>
      </c>
      <c r="E4052" s="9">
        <f>IFERROR(__xludf.DUMMYFUNCTION("""COMPUTED_VALUE"""),1415.3)</f>
        <v>1415.3</v>
      </c>
      <c r="F4052" s="9">
        <f>IFERROR(__xludf.DUMMYFUNCTION("""COMPUTED_VALUE"""),5394317.0)</f>
        <v>5394317</v>
      </c>
      <c r="H4052" s="27">
        <f>IFERROR(__xludf.DUMMYFUNCTION("""COMPUTED_VALUE"""),44357.64583333333)</f>
        <v>44357.64583</v>
      </c>
      <c r="I4052" s="25">
        <f>IFERROR(__xludf.DUMMYFUNCTION("""COMPUTED_VALUE"""),3210.0)</f>
        <v>3210</v>
      </c>
      <c r="J4052" s="25">
        <f>IFERROR(__xludf.DUMMYFUNCTION("""COMPUTED_VALUE"""),3224.0)</f>
        <v>3224</v>
      </c>
      <c r="K4052" s="25">
        <f>IFERROR(__xludf.DUMMYFUNCTION("""COMPUTED_VALUE"""),3193.0)</f>
        <v>3193</v>
      </c>
      <c r="L4052" s="25">
        <f>IFERROR(__xludf.DUMMYFUNCTION("""COMPUTED_VALUE"""),3216.8)</f>
        <v>3216.8</v>
      </c>
      <c r="M4052" s="25">
        <f>IFERROR(__xludf.DUMMYFUNCTION("""COMPUTED_VALUE"""),1874324.0)</f>
        <v>1874324</v>
      </c>
    </row>
    <row r="4053">
      <c r="A4053" s="26">
        <f>IFERROR(__xludf.DUMMYFUNCTION("""COMPUTED_VALUE"""),44357.64583333333)</f>
        <v>44357.64583</v>
      </c>
      <c r="B4053" s="9">
        <f>IFERROR(__xludf.DUMMYFUNCTION("""COMPUTED_VALUE"""),1424.0)</f>
        <v>1424</v>
      </c>
      <c r="C4053" s="9">
        <f>IFERROR(__xludf.DUMMYFUNCTION("""COMPUTED_VALUE"""),1429.0)</f>
        <v>1429</v>
      </c>
      <c r="D4053" s="9">
        <f>IFERROR(__xludf.DUMMYFUNCTION("""COMPUTED_VALUE"""),1419.0)</f>
        <v>1419</v>
      </c>
      <c r="E4053" s="9">
        <f>IFERROR(__xludf.DUMMYFUNCTION("""COMPUTED_VALUE"""),1424.3)</f>
        <v>1424.3</v>
      </c>
      <c r="F4053" s="9">
        <f>IFERROR(__xludf.DUMMYFUNCTION("""COMPUTED_VALUE"""),3496575.0)</f>
        <v>3496575</v>
      </c>
      <c r="H4053" s="27">
        <f>IFERROR(__xludf.DUMMYFUNCTION("""COMPUTED_VALUE"""),44358.64583333333)</f>
        <v>44358.64583</v>
      </c>
      <c r="I4053" s="25">
        <f>IFERROR(__xludf.DUMMYFUNCTION("""COMPUTED_VALUE"""),3211.55)</f>
        <v>3211.55</v>
      </c>
      <c r="J4053" s="25">
        <f>IFERROR(__xludf.DUMMYFUNCTION("""COMPUTED_VALUE"""),3309.0)</f>
        <v>3309</v>
      </c>
      <c r="K4053" s="25">
        <f>IFERROR(__xludf.DUMMYFUNCTION("""COMPUTED_VALUE"""),3211.0)</f>
        <v>3211</v>
      </c>
      <c r="L4053" s="25">
        <f>IFERROR(__xludf.DUMMYFUNCTION("""COMPUTED_VALUE"""),3273.8)</f>
        <v>3273.8</v>
      </c>
      <c r="M4053" s="25">
        <f>IFERROR(__xludf.DUMMYFUNCTION("""COMPUTED_VALUE"""),3452954.0)</f>
        <v>3452954</v>
      </c>
    </row>
    <row r="4054">
      <c r="A4054" s="26">
        <f>IFERROR(__xludf.DUMMYFUNCTION("""COMPUTED_VALUE"""),44358.64583333333)</f>
        <v>44358.64583</v>
      </c>
      <c r="B4054" s="9">
        <f>IFERROR(__xludf.DUMMYFUNCTION("""COMPUTED_VALUE"""),1430.1)</f>
        <v>1430.1</v>
      </c>
      <c r="C4054" s="9">
        <f>IFERROR(__xludf.DUMMYFUNCTION("""COMPUTED_VALUE"""),1451.6)</f>
        <v>1451.6</v>
      </c>
      <c r="D4054" s="9">
        <f>IFERROR(__xludf.DUMMYFUNCTION("""COMPUTED_VALUE"""),1429.45)</f>
        <v>1429.45</v>
      </c>
      <c r="E4054" s="9">
        <f>IFERROR(__xludf.DUMMYFUNCTION("""COMPUTED_VALUE"""),1446.9)</f>
        <v>1446.9</v>
      </c>
      <c r="F4054" s="9">
        <f>IFERROR(__xludf.DUMMYFUNCTION("""COMPUTED_VALUE"""),6140828.0)</f>
        <v>6140828</v>
      </c>
      <c r="H4054" s="27">
        <f>IFERROR(__xludf.DUMMYFUNCTION("""COMPUTED_VALUE"""),44361.64583333333)</f>
        <v>44361.64583</v>
      </c>
      <c r="I4054" s="25">
        <f>IFERROR(__xludf.DUMMYFUNCTION("""COMPUTED_VALUE"""),3279.0)</f>
        <v>3279</v>
      </c>
      <c r="J4054" s="25">
        <f>IFERROR(__xludf.DUMMYFUNCTION("""COMPUTED_VALUE"""),3308.7)</f>
        <v>3308.7</v>
      </c>
      <c r="K4054" s="25">
        <f>IFERROR(__xludf.DUMMYFUNCTION("""COMPUTED_VALUE"""),3270.35)</f>
        <v>3270.35</v>
      </c>
      <c r="L4054" s="25">
        <f>IFERROR(__xludf.DUMMYFUNCTION("""COMPUTED_VALUE"""),3276.35)</f>
        <v>3276.35</v>
      </c>
      <c r="M4054" s="25">
        <f>IFERROR(__xludf.DUMMYFUNCTION("""COMPUTED_VALUE"""),1847360.0)</f>
        <v>1847360</v>
      </c>
    </row>
    <row r="4055">
      <c r="A4055" s="26">
        <f>IFERROR(__xludf.DUMMYFUNCTION("""COMPUTED_VALUE"""),44361.64583333333)</f>
        <v>44361.64583</v>
      </c>
      <c r="B4055" s="9">
        <f>IFERROR(__xludf.DUMMYFUNCTION("""COMPUTED_VALUE"""),1471.0)</f>
        <v>1471</v>
      </c>
      <c r="C4055" s="9">
        <f>IFERROR(__xludf.DUMMYFUNCTION("""COMPUTED_VALUE"""),1477.0)</f>
        <v>1477</v>
      </c>
      <c r="D4055" s="9">
        <f>IFERROR(__xludf.DUMMYFUNCTION("""COMPUTED_VALUE"""),1453.45)</f>
        <v>1453.45</v>
      </c>
      <c r="E4055" s="9">
        <f>IFERROR(__xludf.DUMMYFUNCTION("""COMPUTED_VALUE"""),1461.8)</f>
        <v>1461.8</v>
      </c>
      <c r="F4055" s="9">
        <f>IFERROR(__xludf.DUMMYFUNCTION("""COMPUTED_VALUE"""),7132294.0)</f>
        <v>7132294</v>
      </c>
      <c r="H4055" s="27">
        <f>IFERROR(__xludf.DUMMYFUNCTION("""COMPUTED_VALUE"""),44362.64583333333)</f>
        <v>44362.64583</v>
      </c>
      <c r="I4055" s="25">
        <f>IFERROR(__xludf.DUMMYFUNCTION("""COMPUTED_VALUE"""),3298.0)</f>
        <v>3298</v>
      </c>
      <c r="J4055" s="25">
        <f>IFERROR(__xludf.DUMMYFUNCTION("""COMPUTED_VALUE"""),3298.0)</f>
        <v>3298</v>
      </c>
      <c r="K4055" s="25">
        <f>IFERROR(__xludf.DUMMYFUNCTION("""COMPUTED_VALUE"""),3251.55)</f>
        <v>3251.55</v>
      </c>
      <c r="L4055" s="25">
        <f>IFERROR(__xludf.DUMMYFUNCTION("""COMPUTED_VALUE"""),3262.75)</f>
        <v>3262.75</v>
      </c>
      <c r="M4055" s="25">
        <f>IFERROR(__xludf.DUMMYFUNCTION("""COMPUTED_VALUE"""),1304985.0)</f>
        <v>1304985</v>
      </c>
    </row>
    <row r="4056">
      <c r="A4056" s="26">
        <f>IFERROR(__xludf.DUMMYFUNCTION("""COMPUTED_VALUE"""),44362.64583333333)</f>
        <v>44362.64583</v>
      </c>
      <c r="B4056" s="9">
        <f>IFERROR(__xludf.DUMMYFUNCTION("""COMPUTED_VALUE"""),1464.0)</f>
        <v>1464</v>
      </c>
      <c r="C4056" s="9">
        <f>IFERROR(__xludf.DUMMYFUNCTION("""COMPUTED_VALUE"""),1476.0)</f>
        <v>1476</v>
      </c>
      <c r="D4056" s="9">
        <f>IFERROR(__xludf.DUMMYFUNCTION("""COMPUTED_VALUE"""),1463.0)</f>
        <v>1463</v>
      </c>
      <c r="E4056" s="9">
        <f>IFERROR(__xludf.DUMMYFUNCTION("""COMPUTED_VALUE"""),1473.9)</f>
        <v>1473.9</v>
      </c>
      <c r="F4056" s="9">
        <f>IFERROR(__xludf.DUMMYFUNCTION("""COMPUTED_VALUE"""),5403104.0)</f>
        <v>5403104</v>
      </c>
      <c r="H4056" s="27">
        <f>IFERROR(__xludf.DUMMYFUNCTION("""COMPUTED_VALUE"""),44363.64583333333)</f>
        <v>44363.64583</v>
      </c>
      <c r="I4056" s="25">
        <f>IFERROR(__xludf.DUMMYFUNCTION("""COMPUTED_VALUE"""),3262.1)</f>
        <v>3262.1</v>
      </c>
      <c r="J4056" s="25">
        <f>IFERROR(__xludf.DUMMYFUNCTION("""COMPUTED_VALUE"""),3294.7)</f>
        <v>3294.7</v>
      </c>
      <c r="K4056" s="25">
        <f>IFERROR(__xludf.DUMMYFUNCTION("""COMPUTED_VALUE"""),3253.0)</f>
        <v>3253</v>
      </c>
      <c r="L4056" s="25">
        <f>IFERROR(__xludf.DUMMYFUNCTION("""COMPUTED_VALUE"""),3274.35)</f>
        <v>3274.35</v>
      </c>
      <c r="M4056" s="25">
        <f>IFERROR(__xludf.DUMMYFUNCTION("""COMPUTED_VALUE"""),1635552.0)</f>
        <v>1635552</v>
      </c>
    </row>
    <row r="4057">
      <c r="A4057" s="26">
        <f>IFERROR(__xludf.DUMMYFUNCTION("""COMPUTED_VALUE"""),44363.64583333333)</f>
        <v>44363.64583</v>
      </c>
      <c r="B4057" s="9">
        <f>IFERROR(__xludf.DUMMYFUNCTION("""COMPUTED_VALUE"""),1472.7)</f>
        <v>1472.7</v>
      </c>
      <c r="C4057" s="9">
        <f>IFERROR(__xludf.DUMMYFUNCTION("""COMPUTED_VALUE"""),1489.45)</f>
        <v>1489.45</v>
      </c>
      <c r="D4057" s="9">
        <f>IFERROR(__xludf.DUMMYFUNCTION("""COMPUTED_VALUE"""),1467.5)</f>
        <v>1467.5</v>
      </c>
      <c r="E4057" s="9">
        <f>IFERROR(__xludf.DUMMYFUNCTION("""COMPUTED_VALUE"""),1480.6)</f>
        <v>1480.6</v>
      </c>
      <c r="F4057" s="9">
        <f>IFERROR(__xludf.DUMMYFUNCTION("""COMPUTED_VALUE"""),7661710.0)</f>
        <v>7661710</v>
      </c>
      <c r="H4057" s="27">
        <f>IFERROR(__xludf.DUMMYFUNCTION("""COMPUTED_VALUE"""),44364.64583333333)</f>
        <v>44364.64583</v>
      </c>
      <c r="I4057" s="25">
        <f>IFERROR(__xludf.DUMMYFUNCTION("""COMPUTED_VALUE"""),3265.5)</f>
        <v>3265.5</v>
      </c>
      <c r="J4057" s="25">
        <f>IFERROR(__xludf.DUMMYFUNCTION("""COMPUTED_VALUE"""),3336.05)</f>
        <v>3336.05</v>
      </c>
      <c r="K4057" s="25">
        <f>IFERROR(__xludf.DUMMYFUNCTION("""COMPUTED_VALUE"""),3260.0)</f>
        <v>3260</v>
      </c>
      <c r="L4057" s="25">
        <f>IFERROR(__xludf.DUMMYFUNCTION("""COMPUTED_VALUE"""),3317.75)</f>
        <v>3317.75</v>
      </c>
      <c r="M4057" s="25">
        <f>IFERROR(__xludf.DUMMYFUNCTION("""COMPUTED_VALUE"""),2273413.0)</f>
        <v>2273413</v>
      </c>
    </row>
    <row r="4058">
      <c r="A4058" s="26">
        <f>IFERROR(__xludf.DUMMYFUNCTION("""COMPUTED_VALUE"""),44364.64583333333)</f>
        <v>44364.64583</v>
      </c>
      <c r="B4058" s="9">
        <f>IFERROR(__xludf.DUMMYFUNCTION("""COMPUTED_VALUE"""),1475.1)</f>
        <v>1475.1</v>
      </c>
      <c r="C4058" s="9">
        <f>IFERROR(__xludf.DUMMYFUNCTION("""COMPUTED_VALUE"""),1502.65)</f>
        <v>1502.65</v>
      </c>
      <c r="D4058" s="9">
        <f>IFERROR(__xludf.DUMMYFUNCTION("""COMPUTED_VALUE"""),1475.1)</f>
        <v>1475.1</v>
      </c>
      <c r="E4058" s="9">
        <f>IFERROR(__xludf.DUMMYFUNCTION("""COMPUTED_VALUE"""),1495.3)</f>
        <v>1495.3</v>
      </c>
      <c r="F4058" s="9">
        <f>IFERROR(__xludf.DUMMYFUNCTION("""COMPUTED_VALUE"""),7677951.0)</f>
        <v>7677951</v>
      </c>
      <c r="H4058" s="27">
        <f>IFERROR(__xludf.DUMMYFUNCTION("""COMPUTED_VALUE"""),44365.64583333333)</f>
        <v>44365.64583</v>
      </c>
      <c r="I4058" s="25">
        <f>IFERROR(__xludf.DUMMYFUNCTION("""COMPUTED_VALUE"""),3350.9)</f>
        <v>3350.9</v>
      </c>
      <c r="J4058" s="25">
        <f>IFERROR(__xludf.DUMMYFUNCTION("""COMPUTED_VALUE"""),3358.0)</f>
        <v>3358</v>
      </c>
      <c r="K4058" s="25">
        <f>IFERROR(__xludf.DUMMYFUNCTION("""COMPUTED_VALUE"""),3275.0)</f>
        <v>3275</v>
      </c>
      <c r="L4058" s="25">
        <f>IFERROR(__xludf.DUMMYFUNCTION("""COMPUTED_VALUE"""),3297.3)</f>
        <v>3297.3</v>
      </c>
      <c r="M4058" s="25">
        <f>IFERROR(__xludf.DUMMYFUNCTION("""COMPUTED_VALUE"""),3380431.0)</f>
        <v>3380431</v>
      </c>
    </row>
    <row r="4059">
      <c r="A4059" s="26">
        <f>IFERROR(__xludf.DUMMYFUNCTION("""COMPUTED_VALUE"""),44365.64583333333)</f>
        <v>44365.64583</v>
      </c>
      <c r="B4059" s="9">
        <f>IFERROR(__xludf.DUMMYFUNCTION("""COMPUTED_VALUE"""),1509.0)</f>
        <v>1509</v>
      </c>
      <c r="C4059" s="9">
        <f>IFERROR(__xludf.DUMMYFUNCTION("""COMPUTED_VALUE"""),1515.8)</f>
        <v>1515.8</v>
      </c>
      <c r="D4059" s="9">
        <f>IFERROR(__xludf.DUMMYFUNCTION("""COMPUTED_VALUE"""),1487.4)</f>
        <v>1487.4</v>
      </c>
      <c r="E4059" s="9">
        <f>IFERROR(__xludf.DUMMYFUNCTION("""COMPUTED_VALUE"""),1503.3)</f>
        <v>1503.3</v>
      </c>
      <c r="F4059" s="9">
        <f>IFERROR(__xludf.DUMMYFUNCTION("""COMPUTED_VALUE"""),1.3533974E7)</f>
        <v>13533974</v>
      </c>
      <c r="H4059" s="27">
        <f>IFERROR(__xludf.DUMMYFUNCTION("""COMPUTED_VALUE"""),44368.64583333333)</f>
        <v>44368.64583</v>
      </c>
      <c r="I4059" s="25">
        <f>IFERROR(__xludf.DUMMYFUNCTION("""COMPUTED_VALUE"""),3265.0)</f>
        <v>3265</v>
      </c>
      <c r="J4059" s="25">
        <f>IFERROR(__xludf.DUMMYFUNCTION("""COMPUTED_VALUE"""),3286.0)</f>
        <v>3286</v>
      </c>
      <c r="K4059" s="25">
        <f>IFERROR(__xludf.DUMMYFUNCTION("""COMPUTED_VALUE"""),3251.7)</f>
        <v>3251.7</v>
      </c>
      <c r="L4059" s="25">
        <f>IFERROR(__xludf.DUMMYFUNCTION("""COMPUTED_VALUE"""),3273.1)</f>
        <v>3273.1</v>
      </c>
      <c r="M4059" s="25">
        <f>IFERROR(__xludf.DUMMYFUNCTION("""COMPUTED_VALUE"""),1130569.0)</f>
        <v>1130569</v>
      </c>
    </row>
    <row r="4060">
      <c r="A4060" s="26">
        <f>IFERROR(__xludf.DUMMYFUNCTION("""COMPUTED_VALUE"""),44368.64583333333)</f>
        <v>44368.64583</v>
      </c>
      <c r="B4060" s="9">
        <f>IFERROR(__xludf.DUMMYFUNCTION("""COMPUTED_VALUE"""),1493.0)</f>
        <v>1493</v>
      </c>
      <c r="C4060" s="9">
        <f>IFERROR(__xludf.DUMMYFUNCTION("""COMPUTED_VALUE"""),1505.8)</f>
        <v>1505.8</v>
      </c>
      <c r="D4060" s="9">
        <f>IFERROR(__xludf.DUMMYFUNCTION("""COMPUTED_VALUE"""),1484.2)</f>
        <v>1484.2</v>
      </c>
      <c r="E4060" s="9">
        <f>IFERROR(__xludf.DUMMYFUNCTION("""COMPUTED_VALUE"""),1500.3)</f>
        <v>1500.3</v>
      </c>
      <c r="F4060" s="9">
        <f>IFERROR(__xludf.DUMMYFUNCTION("""COMPUTED_VALUE"""),5454052.0)</f>
        <v>5454052</v>
      </c>
      <c r="H4060" s="27">
        <f>IFERROR(__xludf.DUMMYFUNCTION("""COMPUTED_VALUE"""),44369.64583333333)</f>
        <v>44369.64583</v>
      </c>
      <c r="I4060" s="25">
        <f>IFERROR(__xludf.DUMMYFUNCTION("""COMPUTED_VALUE"""),3304.0)</f>
        <v>3304</v>
      </c>
      <c r="J4060" s="25">
        <f>IFERROR(__xludf.DUMMYFUNCTION("""COMPUTED_VALUE"""),3327.05)</f>
        <v>3327.05</v>
      </c>
      <c r="K4060" s="25">
        <f>IFERROR(__xludf.DUMMYFUNCTION("""COMPUTED_VALUE"""),3285.0)</f>
        <v>3285</v>
      </c>
      <c r="L4060" s="25">
        <f>IFERROR(__xludf.DUMMYFUNCTION("""COMPUTED_VALUE"""),3301.2)</f>
        <v>3301.2</v>
      </c>
      <c r="M4060" s="25">
        <f>IFERROR(__xludf.DUMMYFUNCTION("""COMPUTED_VALUE"""),1708688.0)</f>
        <v>1708688</v>
      </c>
    </row>
    <row r="4061">
      <c r="A4061" s="26">
        <f>IFERROR(__xludf.DUMMYFUNCTION("""COMPUTED_VALUE"""),44369.64583333333)</f>
        <v>44369.64583</v>
      </c>
      <c r="B4061" s="9">
        <f>IFERROR(__xludf.DUMMYFUNCTION("""COMPUTED_VALUE"""),1509.7)</f>
        <v>1509.7</v>
      </c>
      <c r="C4061" s="9">
        <f>IFERROR(__xludf.DUMMYFUNCTION("""COMPUTED_VALUE"""),1521.45)</f>
        <v>1521.45</v>
      </c>
      <c r="D4061" s="9">
        <f>IFERROR(__xludf.DUMMYFUNCTION("""COMPUTED_VALUE"""),1502.1)</f>
        <v>1502.1</v>
      </c>
      <c r="E4061" s="9">
        <f>IFERROR(__xludf.DUMMYFUNCTION("""COMPUTED_VALUE"""),1511.85)</f>
        <v>1511.85</v>
      </c>
      <c r="F4061" s="9">
        <f>IFERROR(__xludf.DUMMYFUNCTION("""COMPUTED_VALUE"""),6427862.0)</f>
        <v>6427862</v>
      </c>
      <c r="H4061" s="27">
        <f>IFERROR(__xludf.DUMMYFUNCTION("""COMPUTED_VALUE"""),44370.64583333333)</f>
        <v>44370.64583</v>
      </c>
      <c r="I4061" s="25">
        <f>IFERROR(__xludf.DUMMYFUNCTION("""COMPUTED_VALUE"""),3329.0)</f>
        <v>3329</v>
      </c>
      <c r="J4061" s="25">
        <f>IFERROR(__xludf.DUMMYFUNCTION("""COMPUTED_VALUE"""),3329.0)</f>
        <v>3329</v>
      </c>
      <c r="K4061" s="25">
        <f>IFERROR(__xludf.DUMMYFUNCTION("""COMPUTED_VALUE"""),3256.4)</f>
        <v>3256.4</v>
      </c>
      <c r="L4061" s="25">
        <f>IFERROR(__xludf.DUMMYFUNCTION("""COMPUTED_VALUE"""),3261.4)</f>
        <v>3261.4</v>
      </c>
      <c r="M4061" s="25">
        <f>IFERROR(__xludf.DUMMYFUNCTION("""COMPUTED_VALUE"""),1467104.0)</f>
        <v>1467104</v>
      </c>
    </row>
    <row r="4062">
      <c r="A4062" s="26">
        <f>IFERROR(__xludf.DUMMYFUNCTION("""COMPUTED_VALUE"""),44370.64583333333)</f>
        <v>44370.64583</v>
      </c>
      <c r="B4062" s="9">
        <f>IFERROR(__xludf.DUMMYFUNCTION("""COMPUTED_VALUE"""),1525.0)</f>
        <v>1525</v>
      </c>
      <c r="C4062" s="9">
        <f>IFERROR(__xludf.DUMMYFUNCTION("""COMPUTED_VALUE"""),1525.0)</f>
        <v>1525</v>
      </c>
      <c r="D4062" s="9">
        <f>IFERROR(__xludf.DUMMYFUNCTION("""COMPUTED_VALUE"""),1498.65)</f>
        <v>1498.65</v>
      </c>
      <c r="E4062" s="9">
        <f>IFERROR(__xludf.DUMMYFUNCTION("""COMPUTED_VALUE"""),1503.15)</f>
        <v>1503.15</v>
      </c>
      <c r="F4062" s="9">
        <f>IFERROR(__xludf.DUMMYFUNCTION("""COMPUTED_VALUE"""),5529809.0)</f>
        <v>5529809</v>
      </c>
      <c r="H4062" s="27">
        <f>IFERROR(__xludf.DUMMYFUNCTION("""COMPUTED_VALUE"""),44371.64583333333)</f>
        <v>44371.64583</v>
      </c>
      <c r="I4062" s="25">
        <f>IFERROR(__xludf.DUMMYFUNCTION("""COMPUTED_VALUE"""),3284.0)</f>
        <v>3284</v>
      </c>
      <c r="J4062" s="25">
        <f>IFERROR(__xludf.DUMMYFUNCTION("""COMPUTED_VALUE"""),3383.0)</f>
        <v>3383</v>
      </c>
      <c r="K4062" s="25">
        <f>IFERROR(__xludf.DUMMYFUNCTION("""COMPUTED_VALUE"""),3278.5)</f>
        <v>3278.5</v>
      </c>
      <c r="L4062" s="25">
        <f>IFERROR(__xludf.DUMMYFUNCTION("""COMPUTED_VALUE"""),3373.6)</f>
        <v>3373.6</v>
      </c>
      <c r="M4062" s="25">
        <f>IFERROR(__xludf.DUMMYFUNCTION("""COMPUTED_VALUE"""),4155204.0)</f>
        <v>4155204</v>
      </c>
    </row>
    <row r="4063">
      <c r="A4063" s="26">
        <f>IFERROR(__xludf.DUMMYFUNCTION("""COMPUTED_VALUE"""),44371.64583333333)</f>
        <v>44371.64583</v>
      </c>
      <c r="B4063" s="9">
        <f>IFERROR(__xludf.DUMMYFUNCTION("""COMPUTED_VALUE"""),1517.0)</f>
        <v>1517</v>
      </c>
      <c r="C4063" s="9">
        <f>IFERROR(__xludf.DUMMYFUNCTION("""COMPUTED_VALUE"""),1568.75)</f>
        <v>1568.75</v>
      </c>
      <c r="D4063" s="9">
        <f>IFERROR(__xludf.DUMMYFUNCTION("""COMPUTED_VALUE"""),1511.2)</f>
        <v>1511.2</v>
      </c>
      <c r="E4063" s="9">
        <f>IFERROR(__xludf.DUMMYFUNCTION("""COMPUTED_VALUE"""),1559.2)</f>
        <v>1559.2</v>
      </c>
      <c r="F4063" s="9">
        <f>IFERROR(__xludf.DUMMYFUNCTION("""COMPUTED_VALUE"""),1.0785137E7)</f>
        <v>10785137</v>
      </c>
      <c r="H4063" s="27">
        <f>IFERROR(__xludf.DUMMYFUNCTION("""COMPUTED_VALUE"""),44372.64583333333)</f>
        <v>44372.64583</v>
      </c>
      <c r="I4063" s="25">
        <f>IFERROR(__xludf.DUMMYFUNCTION("""COMPUTED_VALUE"""),3375.25)</f>
        <v>3375.25</v>
      </c>
      <c r="J4063" s="25">
        <f>IFERROR(__xludf.DUMMYFUNCTION("""COMPUTED_VALUE"""),3399.65)</f>
        <v>3399.65</v>
      </c>
      <c r="K4063" s="25">
        <f>IFERROR(__xludf.DUMMYFUNCTION("""COMPUTED_VALUE"""),3350.0)</f>
        <v>3350</v>
      </c>
      <c r="L4063" s="25">
        <f>IFERROR(__xludf.DUMMYFUNCTION("""COMPUTED_VALUE"""),3380.8)</f>
        <v>3380.8</v>
      </c>
      <c r="M4063" s="25">
        <f>IFERROR(__xludf.DUMMYFUNCTION("""COMPUTED_VALUE"""),2722861.0)</f>
        <v>2722861</v>
      </c>
    </row>
    <row r="4064">
      <c r="A4064" s="26">
        <f>IFERROR(__xludf.DUMMYFUNCTION("""COMPUTED_VALUE"""),44372.64583333333)</f>
        <v>44372.64583</v>
      </c>
      <c r="B4064" s="9">
        <f>IFERROR(__xludf.DUMMYFUNCTION("""COMPUTED_VALUE"""),1572.0)</f>
        <v>1572</v>
      </c>
      <c r="C4064" s="9">
        <f>IFERROR(__xludf.DUMMYFUNCTION("""COMPUTED_VALUE"""),1578.0)</f>
        <v>1578</v>
      </c>
      <c r="D4064" s="9">
        <f>IFERROR(__xludf.DUMMYFUNCTION("""COMPUTED_VALUE"""),1543.0)</f>
        <v>1543</v>
      </c>
      <c r="E4064" s="9">
        <f>IFERROR(__xludf.DUMMYFUNCTION("""COMPUTED_VALUE"""),1574.2)</f>
        <v>1574.2</v>
      </c>
      <c r="F4064" s="9">
        <f>IFERROR(__xludf.DUMMYFUNCTION("""COMPUTED_VALUE"""),9780240.0)</f>
        <v>9780240</v>
      </c>
      <c r="H4064" s="27">
        <f>IFERROR(__xludf.DUMMYFUNCTION("""COMPUTED_VALUE"""),44375.64583333333)</f>
        <v>44375.64583</v>
      </c>
      <c r="I4064" s="25">
        <f>IFERROR(__xludf.DUMMYFUNCTION("""COMPUTED_VALUE"""),3391.5)</f>
        <v>3391.5</v>
      </c>
      <c r="J4064" s="25">
        <f>IFERROR(__xludf.DUMMYFUNCTION("""COMPUTED_VALUE"""),3391.5)</f>
        <v>3391.5</v>
      </c>
      <c r="K4064" s="25">
        <f>IFERROR(__xludf.DUMMYFUNCTION("""COMPUTED_VALUE"""),3333.0)</f>
        <v>3333</v>
      </c>
      <c r="L4064" s="25">
        <f>IFERROR(__xludf.DUMMYFUNCTION("""COMPUTED_VALUE"""),3336.75)</f>
        <v>3336.75</v>
      </c>
      <c r="M4064" s="25">
        <f>IFERROR(__xludf.DUMMYFUNCTION("""COMPUTED_VALUE"""),1355238.0)</f>
        <v>1355238</v>
      </c>
    </row>
    <row r="4065">
      <c r="A4065" s="26">
        <f>IFERROR(__xludf.DUMMYFUNCTION("""COMPUTED_VALUE"""),44375.64583333333)</f>
        <v>44375.64583</v>
      </c>
      <c r="B4065" s="9">
        <f>IFERROR(__xludf.DUMMYFUNCTION("""COMPUTED_VALUE"""),1572.9)</f>
        <v>1572.9</v>
      </c>
      <c r="C4065" s="9">
        <f>IFERROR(__xludf.DUMMYFUNCTION("""COMPUTED_VALUE"""),1580.15)</f>
        <v>1580.15</v>
      </c>
      <c r="D4065" s="9">
        <f>IFERROR(__xludf.DUMMYFUNCTION("""COMPUTED_VALUE"""),1560.6)</f>
        <v>1560.6</v>
      </c>
      <c r="E4065" s="9">
        <f>IFERROR(__xludf.DUMMYFUNCTION("""COMPUTED_VALUE"""),1571.8)</f>
        <v>1571.8</v>
      </c>
      <c r="F4065" s="9">
        <f>IFERROR(__xludf.DUMMYFUNCTION("""COMPUTED_VALUE"""),5019178.0)</f>
        <v>5019178</v>
      </c>
      <c r="H4065" s="27">
        <f>IFERROR(__xludf.DUMMYFUNCTION("""COMPUTED_VALUE"""),44376.64583333333)</f>
        <v>44376.64583</v>
      </c>
      <c r="I4065" s="25">
        <f>IFERROR(__xludf.DUMMYFUNCTION("""COMPUTED_VALUE"""),3342.0)</f>
        <v>3342</v>
      </c>
      <c r="J4065" s="25">
        <f>IFERROR(__xludf.DUMMYFUNCTION("""COMPUTED_VALUE"""),3366.3)</f>
        <v>3366.3</v>
      </c>
      <c r="K4065" s="25">
        <f>IFERROR(__xludf.DUMMYFUNCTION("""COMPUTED_VALUE"""),3326.5)</f>
        <v>3326.5</v>
      </c>
      <c r="L4065" s="25">
        <f>IFERROR(__xludf.DUMMYFUNCTION("""COMPUTED_VALUE"""),3340.85)</f>
        <v>3340.85</v>
      </c>
      <c r="M4065" s="25">
        <f>IFERROR(__xludf.DUMMYFUNCTION("""COMPUTED_VALUE"""),1497322.0)</f>
        <v>1497322</v>
      </c>
    </row>
    <row r="4066">
      <c r="A4066" s="26">
        <f>IFERROR(__xludf.DUMMYFUNCTION("""COMPUTED_VALUE"""),44376.64583333333)</f>
        <v>44376.64583</v>
      </c>
      <c r="B4066" s="9">
        <f>IFERROR(__xludf.DUMMYFUNCTION("""COMPUTED_VALUE"""),1561.0)</f>
        <v>1561</v>
      </c>
      <c r="C4066" s="9">
        <f>IFERROR(__xludf.DUMMYFUNCTION("""COMPUTED_VALUE"""),1573.65)</f>
        <v>1573.65</v>
      </c>
      <c r="D4066" s="9">
        <f>IFERROR(__xludf.DUMMYFUNCTION("""COMPUTED_VALUE"""),1559.2)</f>
        <v>1559.2</v>
      </c>
      <c r="E4066" s="9">
        <f>IFERROR(__xludf.DUMMYFUNCTION("""COMPUTED_VALUE"""),1563.05)</f>
        <v>1563.05</v>
      </c>
      <c r="F4066" s="9">
        <f>IFERROR(__xludf.DUMMYFUNCTION("""COMPUTED_VALUE"""),5913567.0)</f>
        <v>5913567</v>
      </c>
      <c r="H4066" s="27">
        <f>IFERROR(__xludf.DUMMYFUNCTION("""COMPUTED_VALUE"""),44377.64583333333)</f>
        <v>44377.64583</v>
      </c>
      <c r="I4066" s="25">
        <f>IFERROR(__xludf.DUMMYFUNCTION("""COMPUTED_VALUE"""),3346.0)</f>
        <v>3346</v>
      </c>
      <c r="J4066" s="25">
        <f>IFERROR(__xludf.DUMMYFUNCTION("""COMPUTED_VALUE"""),3382.0)</f>
        <v>3382</v>
      </c>
      <c r="K4066" s="25">
        <f>IFERROR(__xludf.DUMMYFUNCTION("""COMPUTED_VALUE"""),3338.5)</f>
        <v>3338.5</v>
      </c>
      <c r="L4066" s="25">
        <f>IFERROR(__xludf.DUMMYFUNCTION("""COMPUTED_VALUE"""),3345.75)</f>
        <v>3345.75</v>
      </c>
      <c r="M4066" s="25">
        <f>IFERROR(__xludf.DUMMYFUNCTION("""COMPUTED_VALUE"""),1693146.0)</f>
        <v>1693146</v>
      </c>
    </row>
    <row r="4067">
      <c r="A4067" s="26">
        <f>IFERROR(__xludf.DUMMYFUNCTION("""COMPUTED_VALUE"""),44377.64583333333)</f>
        <v>44377.64583</v>
      </c>
      <c r="B4067" s="9">
        <f>IFERROR(__xludf.DUMMYFUNCTION("""COMPUTED_VALUE"""),1572.05)</f>
        <v>1572.05</v>
      </c>
      <c r="C4067" s="9">
        <f>IFERROR(__xludf.DUMMYFUNCTION("""COMPUTED_VALUE"""),1591.0)</f>
        <v>1591</v>
      </c>
      <c r="D4067" s="9">
        <f>IFERROR(__xludf.DUMMYFUNCTION("""COMPUTED_VALUE"""),1572.05)</f>
        <v>1572.05</v>
      </c>
      <c r="E4067" s="9">
        <f>IFERROR(__xludf.DUMMYFUNCTION("""COMPUTED_VALUE"""),1580.8)</f>
        <v>1580.8</v>
      </c>
      <c r="F4067" s="9">
        <f>IFERROR(__xludf.DUMMYFUNCTION("""COMPUTED_VALUE"""),6058722.0)</f>
        <v>6058722</v>
      </c>
      <c r="H4067" s="27">
        <f>IFERROR(__xludf.DUMMYFUNCTION("""COMPUTED_VALUE"""),44378.64583333333)</f>
        <v>44378.64583</v>
      </c>
      <c r="I4067" s="25">
        <f>IFERROR(__xludf.DUMMYFUNCTION("""COMPUTED_VALUE"""),3358.0)</f>
        <v>3358</v>
      </c>
      <c r="J4067" s="25">
        <f>IFERROR(__xludf.DUMMYFUNCTION("""COMPUTED_VALUE"""),3362.0)</f>
        <v>3362</v>
      </c>
      <c r="K4067" s="25">
        <f>IFERROR(__xludf.DUMMYFUNCTION("""COMPUTED_VALUE"""),3332.35)</f>
        <v>3332.35</v>
      </c>
      <c r="L4067" s="25">
        <f>IFERROR(__xludf.DUMMYFUNCTION("""COMPUTED_VALUE"""),3341.5)</f>
        <v>3341.5</v>
      </c>
      <c r="M4067" s="25">
        <f>IFERROR(__xludf.DUMMYFUNCTION("""COMPUTED_VALUE"""),990310.0)</f>
        <v>990310</v>
      </c>
    </row>
    <row r="4068">
      <c r="A4068" s="26">
        <f>IFERROR(__xludf.DUMMYFUNCTION("""COMPUTED_VALUE"""),44378.64583333333)</f>
        <v>44378.64583</v>
      </c>
      <c r="B4068" s="9">
        <f>IFERROR(__xludf.DUMMYFUNCTION("""COMPUTED_VALUE"""),1576.85)</f>
        <v>1576.85</v>
      </c>
      <c r="C4068" s="9">
        <f>IFERROR(__xludf.DUMMYFUNCTION("""COMPUTED_VALUE"""),1576.85)</f>
        <v>1576.85</v>
      </c>
      <c r="D4068" s="9">
        <f>IFERROR(__xludf.DUMMYFUNCTION("""COMPUTED_VALUE"""),1559.05)</f>
        <v>1559.05</v>
      </c>
      <c r="E4068" s="9">
        <f>IFERROR(__xludf.DUMMYFUNCTION("""COMPUTED_VALUE"""),1560.4)</f>
        <v>1560.4</v>
      </c>
      <c r="F4068" s="9">
        <f>IFERROR(__xludf.DUMMYFUNCTION("""COMPUTED_VALUE"""),4814317.0)</f>
        <v>4814317</v>
      </c>
      <c r="H4068" s="27">
        <f>IFERROR(__xludf.DUMMYFUNCTION("""COMPUTED_VALUE"""),44379.64583333333)</f>
        <v>44379.64583</v>
      </c>
      <c r="I4068" s="25">
        <f>IFERROR(__xludf.DUMMYFUNCTION("""COMPUTED_VALUE"""),3331.0)</f>
        <v>3331</v>
      </c>
      <c r="J4068" s="25">
        <f>IFERROR(__xludf.DUMMYFUNCTION("""COMPUTED_VALUE"""),3339.7)</f>
        <v>3339.7</v>
      </c>
      <c r="K4068" s="25">
        <f>IFERROR(__xludf.DUMMYFUNCTION("""COMPUTED_VALUE"""),3295.2)</f>
        <v>3295.2</v>
      </c>
      <c r="L4068" s="25">
        <f>IFERROR(__xludf.DUMMYFUNCTION("""COMPUTED_VALUE"""),3325.45)</f>
        <v>3325.45</v>
      </c>
      <c r="M4068" s="25">
        <f>IFERROR(__xludf.DUMMYFUNCTION("""COMPUTED_VALUE"""),1682274.0)</f>
        <v>1682274</v>
      </c>
    </row>
    <row r="4069">
      <c r="A4069" s="26">
        <f>IFERROR(__xludf.DUMMYFUNCTION("""COMPUTED_VALUE"""),44379.64583333333)</f>
        <v>44379.64583</v>
      </c>
      <c r="B4069" s="9">
        <f>IFERROR(__xludf.DUMMYFUNCTION("""COMPUTED_VALUE"""),1558.95)</f>
        <v>1558.95</v>
      </c>
      <c r="C4069" s="9">
        <f>IFERROR(__xludf.DUMMYFUNCTION("""COMPUTED_VALUE"""),1569.45)</f>
        <v>1569.45</v>
      </c>
      <c r="D4069" s="9">
        <f>IFERROR(__xludf.DUMMYFUNCTION("""COMPUTED_VALUE"""),1542.6)</f>
        <v>1542.6</v>
      </c>
      <c r="E4069" s="9">
        <f>IFERROR(__xludf.DUMMYFUNCTION("""COMPUTED_VALUE"""),1567.8)</f>
        <v>1567.8</v>
      </c>
      <c r="F4069" s="9">
        <f>IFERROR(__xludf.DUMMYFUNCTION("""COMPUTED_VALUE"""),5166064.0)</f>
        <v>5166064</v>
      </c>
      <c r="H4069" s="27">
        <f>IFERROR(__xludf.DUMMYFUNCTION("""COMPUTED_VALUE"""),44382.64583333333)</f>
        <v>44382.64583</v>
      </c>
      <c r="I4069" s="25">
        <f>IFERROR(__xludf.DUMMYFUNCTION("""COMPUTED_VALUE"""),3342.0)</f>
        <v>3342</v>
      </c>
      <c r="J4069" s="25">
        <f>IFERROR(__xludf.DUMMYFUNCTION("""COMPUTED_VALUE"""),3374.0)</f>
        <v>3374</v>
      </c>
      <c r="K4069" s="25">
        <f>IFERROR(__xludf.DUMMYFUNCTION("""COMPUTED_VALUE"""),3302.0)</f>
        <v>3302</v>
      </c>
      <c r="L4069" s="25">
        <f>IFERROR(__xludf.DUMMYFUNCTION("""COMPUTED_VALUE"""),3321.0)</f>
        <v>3321</v>
      </c>
      <c r="M4069" s="25">
        <f>IFERROR(__xludf.DUMMYFUNCTION("""COMPUTED_VALUE"""),1972858.0)</f>
        <v>1972858</v>
      </c>
    </row>
    <row r="4070">
      <c r="A4070" s="26">
        <f>IFERROR(__xludf.DUMMYFUNCTION("""COMPUTED_VALUE"""),44382.64583333333)</f>
        <v>44382.64583</v>
      </c>
      <c r="B4070" s="9">
        <f>IFERROR(__xludf.DUMMYFUNCTION("""COMPUTED_VALUE"""),1569.15)</f>
        <v>1569.15</v>
      </c>
      <c r="C4070" s="9">
        <f>IFERROR(__xludf.DUMMYFUNCTION("""COMPUTED_VALUE"""),1585.0)</f>
        <v>1585</v>
      </c>
      <c r="D4070" s="9">
        <f>IFERROR(__xludf.DUMMYFUNCTION("""COMPUTED_VALUE"""),1561.05)</f>
        <v>1561.05</v>
      </c>
      <c r="E4070" s="9">
        <f>IFERROR(__xludf.DUMMYFUNCTION("""COMPUTED_VALUE"""),1578.95)</f>
        <v>1578.95</v>
      </c>
      <c r="F4070" s="9">
        <f>IFERROR(__xludf.DUMMYFUNCTION("""COMPUTED_VALUE"""),4058338.0)</f>
        <v>4058338</v>
      </c>
      <c r="H4070" s="27">
        <f>IFERROR(__xludf.DUMMYFUNCTION("""COMPUTED_VALUE"""),44383.64583333333)</f>
        <v>44383.64583</v>
      </c>
      <c r="I4070" s="25">
        <f>IFERROR(__xludf.DUMMYFUNCTION("""COMPUTED_VALUE"""),3313.0)</f>
        <v>3313</v>
      </c>
      <c r="J4070" s="25">
        <f>IFERROR(__xludf.DUMMYFUNCTION("""COMPUTED_VALUE"""),3328.0)</f>
        <v>3328</v>
      </c>
      <c r="K4070" s="25">
        <f>IFERROR(__xludf.DUMMYFUNCTION("""COMPUTED_VALUE"""),3256.1)</f>
        <v>3256.1</v>
      </c>
      <c r="L4070" s="25">
        <f>IFERROR(__xludf.DUMMYFUNCTION("""COMPUTED_VALUE"""),3262.3)</f>
        <v>3262.3</v>
      </c>
      <c r="M4070" s="25">
        <f>IFERROR(__xludf.DUMMYFUNCTION("""COMPUTED_VALUE"""),2159420.0)</f>
        <v>2159420</v>
      </c>
    </row>
    <row r="4071">
      <c r="A4071" s="26">
        <f>IFERROR(__xludf.DUMMYFUNCTION("""COMPUTED_VALUE"""),44383.64583333333)</f>
        <v>44383.64583</v>
      </c>
      <c r="B4071" s="9">
        <f>IFERROR(__xludf.DUMMYFUNCTION("""COMPUTED_VALUE"""),1573.7)</f>
        <v>1573.7</v>
      </c>
      <c r="C4071" s="9">
        <f>IFERROR(__xludf.DUMMYFUNCTION("""COMPUTED_VALUE"""),1586.75)</f>
        <v>1586.75</v>
      </c>
      <c r="D4071" s="9">
        <f>IFERROR(__xludf.DUMMYFUNCTION("""COMPUTED_VALUE"""),1557.1)</f>
        <v>1557.1</v>
      </c>
      <c r="E4071" s="9">
        <f>IFERROR(__xludf.DUMMYFUNCTION("""COMPUTED_VALUE"""),1562.2)</f>
        <v>1562.2</v>
      </c>
      <c r="F4071" s="9">
        <f>IFERROR(__xludf.DUMMYFUNCTION("""COMPUTED_VALUE"""),4089574.0)</f>
        <v>4089574</v>
      </c>
      <c r="H4071" s="27">
        <f>IFERROR(__xludf.DUMMYFUNCTION("""COMPUTED_VALUE"""),44384.64583333333)</f>
        <v>44384.64583</v>
      </c>
      <c r="I4071" s="25">
        <f>IFERROR(__xludf.DUMMYFUNCTION("""COMPUTED_VALUE"""),3275.0)</f>
        <v>3275</v>
      </c>
      <c r="J4071" s="25">
        <f>IFERROR(__xludf.DUMMYFUNCTION("""COMPUTED_VALUE"""),3282.7)</f>
        <v>3282.7</v>
      </c>
      <c r="K4071" s="25">
        <f>IFERROR(__xludf.DUMMYFUNCTION("""COMPUTED_VALUE"""),3241.6)</f>
        <v>3241.6</v>
      </c>
      <c r="L4071" s="25">
        <f>IFERROR(__xludf.DUMMYFUNCTION("""COMPUTED_VALUE"""),3274.95)</f>
        <v>3274.95</v>
      </c>
      <c r="M4071" s="25">
        <f>IFERROR(__xludf.DUMMYFUNCTION("""COMPUTED_VALUE"""),2640710.0)</f>
        <v>2640710</v>
      </c>
    </row>
    <row r="4072">
      <c r="A4072" s="26">
        <f>IFERROR(__xludf.DUMMYFUNCTION("""COMPUTED_VALUE"""),44384.64583333333)</f>
        <v>44384.64583</v>
      </c>
      <c r="B4072" s="9">
        <f>IFERROR(__xludf.DUMMYFUNCTION("""COMPUTED_VALUE"""),1566.05)</f>
        <v>1566.05</v>
      </c>
      <c r="C4072" s="9">
        <f>IFERROR(__xludf.DUMMYFUNCTION("""COMPUTED_VALUE"""),1570.55)</f>
        <v>1570.55</v>
      </c>
      <c r="D4072" s="9">
        <f>IFERROR(__xludf.DUMMYFUNCTION("""COMPUTED_VALUE"""),1544.65)</f>
        <v>1544.65</v>
      </c>
      <c r="E4072" s="9">
        <f>IFERROR(__xludf.DUMMYFUNCTION("""COMPUTED_VALUE"""),1564.6)</f>
        <v>1564.6</v>
      </c>
      <c r="F4072" s="9">
        <f>IFERROR(__xludf.DUMMYFUNCTION("""COMPUTED_VALUE"""),4797120.0)</f>
        <v>4797120</v>
      </c>
      <c r="H4072" s="27">
        <f>IFERROR(__xludf.DUMMYFUNCTION("""COMPUTED_VALUE"""),44385.64583333333)</f>
        <v>44385.64583</v>
      </c>
      <c r="I4072" s="25">
        <f>IFERROR(__xludf.DUMMYFUNCTION("""COMPUTED_VALUE"""),3298.0)</f>
        <v>3298</v>
      </c>
      <c r="J4072" s="25">
        <f>IFERROR(__xludf.DUMMYFUNCTION("""COMPUTED_VALUE"""),3298.0)</f>
        <v>3298</v>
      </c>
      <c r="K4072" s="25">
        <f>IFERROR(__xludf.DUMMYFUNCTION("""COMPUTED_VALUE"""),3231.9)</f>
        <v>3231.9</v>
      </c>
      <c r="L4072" s="25">
        <f>IFERROR(__xludf.DUMMYFUNCTION("""COMPUTED_VALUE"""),3258.5)</f>
        <v>3258.5</v>
      </c>
      <c r="M4072" s="25">
        <f>IFERROR(__xludf.DUMMYFUNCTION("""COMPUTED_VALUE"""),2485811.0)</f>
        <v>2485811</v>
      </c>
    </row>
    <row r="4073">
      <c r="A4073" s="26">
        <f>IFERROR(__xludf.DUMMYFUNCTION("""COMPUTED_VALUE"""),44385.64583333333)</f>
        <v>44385.64583</v>
      </c>
      <c r="B4073" s="9">
        <f>IFERROR(__xludf.DUMMYFUNCTION("""COMPUTED_VALUE"""),1568.0)</f>
        <v>1568</v>
      </c>
      <c r="C4073" s="9">
        <f>IFERROR(__xludf.DUMMYFUNCTION("""COMPUTED_VALUE"""),1576.0)</f>
        <v>1576</v>
      </c>
      <c r="D4073" s="9">
        <f>IFERROR(__xludf.DUMMYFUNCTION("""COMPUTED_VALUE"""),1549.0)</f>
        <v>1549</v>
      </c>
      <c r="E4073" s="9">
        <f>IFERROR(__xludf.DUMMYFUNCTION("""COMPUTED_VALUE"""),1560.75)</f>
        <v>1560.75</v>
      </c>
      <c r="F4073" s="9">
        <f>IFERROR(__xludf.DUMMYFUNCTION("""COMPUTED_VALUE"""),3326813.0)</f>
        <v>3326813</v>
      </c>
      <c r="H4073" s="27">
        <f>IFERROR(__xludf.DUMMYFUNCTION("""COMPUTED_VALUE"""),44386.64583333333)</f>
        <v>44386.64583</v>
      </c>
      <c r="I4073" s="25">
        <f>IFERROR(__xludf.DUMMYFUNCTION("""COMPUTED_VALUE"""),3250.0)</f>
        <v>3250</v>
      </c>
      <c r="J4073" s="25">
        <f>IFERROR(__xludf.DUMMYFUNCTION("""COMPUTED_VALUE"""),3282.0)</f>
        <v>3282</v>
      </c>
      <c r="K4073" s="25">
        <f>IFERROR(__xludf.DUMMYFUNCTION("""COMPUTED_VALUE"""),3201.0)</f>
        <v>3201</v>
      </c>
      <c r="L4073" s="25">
        <f>IFERROR(__xludf.DUMMYFUNCTION("""COMPUTED_VALUE"""),3208.15)</f>
        <v>3208.15</v>
      </c>
      <c r="M4073" s="25">
        <f>IFERROR(__xludf.DUMMYFUNCTION("""COMPUTED_VALUE"""),6365067.0)</f>
        <v>6365067</v>
      </c>
    </row>
    <row r="4074">
      <c r="A4074" s="26">
        <f>IFERROR(__xludf.DUMMYFUNCTION("""COMPUTED_VALUE"""),44386.64583333333)</f>
        <v>44386.64583</v>
      </c>
      <c r="B4074" s="9">
        <f>IFERROR(__xludf.DUMMYFUNCTION("""COMPUTED_VALUE"""),1556.0)</f>
        <v>1556</v>
      </c>
      <c r="C4074" s="9">
        <f>IFERROR(__xludf.DUMMYFUNCTION("""COMPUTED_VALUE"""),1569.9)</f>
        <v>1569.9</v>
      </c>
      <c r="D4074" s="9">
        <f>IFERROR(__xludf.DUMMYFUNCTION("""COMPUTED_VALUE"""),1551.0)</f>
        <v>1551</v>
      </c>
      <c r="E4074" s="9">
        <f>IFERROR(__xludf.DUMMYFUNCTION("""COMPUTED_VALUE"""),1562.9)</f>
        <v>1562.9</v>
      </c>
      <c r="F4074" s="9">
        <f>IFERROR(__xludf.DUMMYFUNCTION("""COMPUTED_VALUE"""),3436594.0)</f>
        <v>3436594</v>
      </c>
      <c r="H4074" s="27">
        <f>IFERROR(__xludf.DUMMYFUNCTION("""COMPUTED_VALUE"""),44389.64583333333)</f>
        <v>44389.64583</v>
      </c>
      <c r="I4074" s="25">
        <f>IFERROR(__xludf.DUMMYFUNCTION("""COMPUTED_VALUE"""),3235.0)</f>
        <v>3235</v>
      </c>
      <c r="J4074" s="25">
        <f>IFERROR(__xludf.DUMMYFUNCTION("""COMPUTED_VALUE"""),3236.0)</f>
        <v>3236</v>
      </c>
      <c r="K4074" s="25">
        <f>IFERROR(__xludf.DUMMYFUNCTION("""COMPUTED_VALUE"""),3188.35)</f>
        <v>3188.35</v>
      </c>
      <c r="L4074" s="25">
        <f>IFERROR(__xludf.DUMMYFUNCTION("""COMPUTED_VALUE"""),3193.1)</f>
        <v>3193.1</v>
      </c>
      <c r="M4074" s="25">
        <f>IFERROR(__xludf.DUMMYFUNCTION("""COMPUTED_VALUE"""),1892226.0)</f>
        <v>1892226</v>
      </c>
    </row>
    <row r="4075">
      <c r="A4075" s="26">
        <f>IFERROR(__xludf.DUMMYFUNCTION("""COMPUTED_VALUE"""),44389.64583333333)</f>
        <v>44389.64583</v>
      </c>
      <c r="B4075" s="9">
        <f>IFERROR(__xludf.DUMMYFUNCTION("""COMPUTED_VALUE"""),1570.55)</f>
        <v>1570.55</v>
      </c>
      <c r="C4075" s="9">
        <f>IFERROR(__xludf.DUMMYFUNCTION("""COMPUTED_VALUE"""),1578.0)</f>
        <v>1578</v>
      </c>
      <c r="D4075" s="9">
        <f>IFERROR(__xludf.DUMMYFUNCTION("""COMPUTED_VALUE"""),1533.75)</f>
        <v>1533.75</v>
      </c>
      <c r="E4075" s="9">
        <f>IFERROR(__xludf.DUMMYFUNCTION("""COMPUTED_VALUE"""),1547.85)</f>
        <v>1547.85</v>
      </c>
      <c r="F4075" s="9">
        <f>IFERROR(__xludf.DUMMYFUNCTION("""COMPUTED_VALUE"""),4588982.0)</f>
        <v>4588982</v>
      </c>
      <c r="H4075" s="27">
        <f>IFERROR(__xludf.DUMMYFUNCTION("""COMPUTED_VALUE"""),44390.64583333333)</f>
        <v>44390.64583</v>
      </c>
      <c r="I4075" s="25">
        <f>IFERROR(__xludf.DUMMYFUNCTION("""COMPUTED_VALUE"""),3214.0)</f>
        <v>3214</v>
      </c>
      <c r="J4075" s="25">
        <f>IFERROR(__xludf.DUMMYFUNCTION("""COMPUTED_VALUE"""),3214.0)</f>
        <v>3214</v>
      </c>
      <c r="K4075" s="25">
        <f>IFERROR(__xludf.DUMMYFUNCTION("""COMPUTED_VALUE"""),3175.0)</f>
        <v>3175</v>
      </c>
      <c r="L4075" s="25">
        <f>IFERROR(__xludf.DUMMYFUNCTION("""COMPUTED_VALUE"""),3187.55)</f>
        <v>3187.55</v>
      </c>
      <c r="M4075" s="25">
        <f>IFERROR(__xludf.DUMMYFUNCTION("""COMPUTED_VALUE"""),1809339.0)</f>
        <v>1809339</v>
      </c>
    </row>
    <row r="4076">
      <c r="A4076" s="26">
        <f>IFERROR(__xludf.DUMMYFUNCTION("""COMPUTED_VALUE"""),44390.64583333333)</f>
        <v>44390.64583</v>
      </c>
      <c r="B4076" s="9">
        <f>IFERROR(__xludf.DUMMYFUNCTION("""COMPUTED_VALUE"""),1556.4)</f>
        <v>1556.4</v>
      </c>
      <c r="C4076" s="9">
        <f>IFERROR(__xludf.DUMMYFUNCTION("""COMPUTED_VALUE"""),1556.4)</f>
        <v>1556.4</v>
      </c>
      <c r="D4076" s="9">
        <f>IFERROR(__xludf.DUMMYFUNCTION("""COMPUTED_VALUE"""),1536.3)</f>
        <v>1536.3</v>
      </c>
      <c r="E4076" s="9">
        <f>IFERROR(__xludf.DUMMYFUNCTION("""COMPUTED_VALUE"""),1544.95)</f>
        <v>1544.95</v>
      </c>
      <c r="F4076" s="9">
        <f>IFERROR(__xludf.DUMMYFUNCTION("""COMPUTED_VALUE"""),4456160.0)</f>
        <v>4456160</v>
      </c>
      <c r="H4076" s="27">
        <f>IFERROR(__xludf.DUMMYFUNCTION("""COMPUTED_VALUE"""),44391.64583333333)</f>
        <v>44391.64583</v>
      </c>
      <c r="I4076" s="25">
        <f>IFERROR(__xludf.DUMMYFUNCTION("""COMPUTED_VALUE"""),3187.0)</f>
        <v>3187</v>
      </c>
      <c r="J4076" s="25">
        <f>IFERROR(__xludf.DUMMYFUNCTION("""COMPUTED_VALUE"""),3222.0)</f>
        <v>3222</v>
      </c>
      <c r="K4076" s="25">
        <f>IFERROR(__xludf.DUMMYFUNCTION("""COMPUTED_VALUE"""),3185.0)</f>
        <v>3185</v>
      </c>
      <c r="L4076" s="25">
        <f>IFERROR(__xludf.DUMMYFUNCTION("""COMPUTED_VALUE"""),3214.55)</f>
        <v>3214.55</v>
      </c>
      <c r="M4076" s="25">
        <f>IFERROR(__xludf.DUMMYFUNCTION("""COMPUTED_VALUE"""),2044279.0)</f>
        <v>2044279</v>
      </c>
    </row>
    <row r="4077">
      <c r="A4077" s="26">
        <f>IFERROR(__xludf.DUMMYFUNCTION("""COMPUTED_VALUE"""),44391.64583333333)</f>
        <v>44391.64583</v>
      </c>
      <c r="B4077" s="9">
        <f>IFERROR(__xludf.DUMMYFUNCTION("""COMPUTED_VALUE"""),1554.0)</f>
        <v>1554</v>
      </c>
      <c r="C4077" s="9">
        <f>IFERROR(__xludf.DUMMYFUNCTION("""COMPUTED_VALUE"""),1582.8)</f>
        <v>1582.8</v>
      </c>
      <c r="D4077" s="9">
        <f>IFERROR(__xludf.DUMMYFUNCTION("""COMPUTED_VALUE"""),1538.1)</f>
        <v>1538.1</v>
      </c>
      <c r="E4077" s="9">
        <f>IFERROR(__xludf.DUMMYFUNCTION("""COMPUTED_VALUE"""),1576.9)</f>
        <v>1576.9</v>
      </c>
      <c r="F4077" s="9">
        <f>IFERROR(__xludf.DUMMYFUNCTION("""COMPUTED_VALUE"""),5657716.0)</f>
        <v>5657716</v>
      </c>
      <c r="H4077" s="27">
        <f>IFERROR(__xludf.DUMMYFUNCTION("""COMPUTED_VALUE"""),44392.64583333333)</f>
        <v>44392.64583</v>
      </c>
      <c r="I4077" s="25">
        <f>IFERROR(__xludf.DUMMYFUNCTION("""COMPUTED_VALUE"""),3227.6)</f>
        <v>3227.6</v>
      </c>
      <c r="J4077" s="25">
        <f>IFERROR(__xludf.DUMMYFUNCTION("""COMPUTED_VALUE"""),3231.85)</f>
        <v>3231.85</v>
      </c>
      <c r="K4077" s="25">
        <f>IFERROR(__xludf.DUMMYFUNCTION("""COMPUTED_VALUE"""),3194.0)</f>
        <v>3194</v>
      </c>
      <c r="L4077" s="25">
        <f>IFERROR(__xludf.DUMMYFUNCTION("""COMPUTED_VALUE"""),3202.95)</f>
        <v>3202.95</v>
      </c>
      <c r="M4077" s="25">
        <f>IFERROR(__xludf.DUMMYFUNCTION("""COMPUTED_VALUE"""),2232968.0)</f>
        <v>2232968</v>
      </c>
    </row>
    <row r="4078">
      <c r="A4078" s="26">
        <f>IFERROR(__xludf.DUMMYFUNCTION("""COMPUTED_VALUE"""),44392.64583333333)</f>
        <v>44392.64583</v>
      </c>
      <c r="B4078" s="9">
        <f>IFERROR(__xludf.DUMMYFUNCTION("""COMPUTED_VALUE"""),1557.9)</f>
        <v>1557.9</v>
      </c>
      <c r="C4078" s="9">
        <f>IFERROR(__xludf.DUMMYFUNCTION("""COMPUTED_VALUE"""),1596.85)</f>
        <v>1596.85</v>
      </c>
      <c r="D4078" s="9">
        <f>IFERROR(__xludf.DUMMYFUNCTION("""COMPUTED_VALUE"""),1556.0)</f>
        <v>1556</v>
      </c>
      <c r="E4078" s="9">
        <f>IFERROR(__xludf.DUMMYFUNCTION("""COMPUTED_VALUE"""),1580.8)</f>
        <v>1580.8</v>
      </c>
      <c r="F4078" s="9">
        <f>IFERROR(__xludf.DUMMYFUNCTION("""COMPUTED_VALUE"""),1.0021355E7)</f>
        <v>10021355</v>
      </c>
      <c r="H4078" s="27">
        <f>IFERROR(__xludf.DUMMYFUNCTION("""COMPUTED_VALUE"""),44393.64583333333)</f>
        <v>44393.64583</v>
      </c>
      <c r="I4078" s="25">
        <f>IFERROR(__xludf.DUMMYFUNCTION("""COMPUTED_VALUE"""),3213.0)</f>
        <v>3213</v>
      </c>
      <c r="J4078" s="25">
        <f>IFERROR(__xludf.DUMMYFUNCTION("""COMPUTED_VALUE"""),3219.85)</f>
        <v>3219.85</v>
      </c>
      <c r="K4078" s="25">
        <f>IFERROR(__xludf.DUMMYFUNCTION("""COMPUTED_VALUE"""),3192.0)</f>
        <v>3192</v>
      </c>
      <c r="L4078" s="25">
        <f>IFERROR(__xludf.DUMMYFUNCTION("""COMPUTED_VALUE"""),3194.8)</f>
        <v>3194.8</v>
      </c>
      <c r="M4078" s="25">
        <f>IFERROR(__xludf.DUMMYFUNCTION("""COMPUTED_VALUE"""),1256526.0)</f>
        <v>1256526</v>
      </c>
    </row>
    <row r="4079">
      <c r="A4079" s="26">
        <f>IFERROR(__xludf.DUMMYFUNCTION("""COMPUTED_VALUE"""),44393.64583333333)</f>
        <v>44393.64583</v>
      </c>
      <c r="B4079" s="9">
        <f>IFERROR(__xludf.DUMMYFUNCTION("""COMPUTED_VALUE"""),1573.75)</f>
        <v>1573.75</v>
      </c>
      <c r="C4079" s="9">
        <f>IFERROR(__xludf.DUMMYFUNCTION("""COMPUTED_VALUE"""),1574.65)</f>
        <v>1574.65</v>
      </c>
      <c r="D4079" s="9">
        <f>IFERROR(__xludf.DUMMYFUNCTION("""COMPUTED_VALUE"""),1549.6)</f>
        <v>1549.6</v>
      </c>
      <c r="E4079" s="9">
        <f>IFERROR(__xludf.DUMMYFUNCTION("""COMPUTED_VALUE"""),1555.45)</f>
        <v>1555.45</v>
      </c>
      <c r="F4079" s="9">
        <f>IFERROR(__xludf.DUMMYFUNCTION("""COMPUTED_VALUE"""),6265593.0)</f>
        <v>6265593</v>
      </c>
      <c r="H4079" s="27">
        <f>IFERROR(__xludf.DUMMYFUNCTION("""COMPUTED_VALUE"""),44396.64583333333)</f>
        <v>44396.64583</v>
      </c>
      <c r="I4079" s="25">
        <f>IFERROR(__xludf.DUMMYFUNCTION("""COMPUTED_VALUE"""),3180.0)</f>
        <v>3180</v>
      </c>
      <c r="J4079" s="25">
        <f>IFERROR(__xludf.DUMMYFUNCTION("""COMPUTED_VALUE"""),3199.8)</f>
        <v>3199.8</v>
      </c>
      <c r="K4079" s="25">
        <f>IFERROR(__xludf.DUMMYFUNCTION("""COMPUTED_VALUE"""),3176.0)</f>
        <v>3176</v>
      </c>
      <c r="L4079" s="25">
        <f>IFERROR(__xludf.DUMMYFUNCTION("""COMPUTED_VALUE"""),3184.6)</f>
        <v>3184.6</v>
      </c>
      <c r="M4079" s="25">
        <f>IFERROR(__xludf.DUMMYFUNCTION("""COMPUTED_VALUE"""),1597058.0)</f>
        <v>1597058</v>
      </c>
    </row>
    <row r="4080">
      <c r="A4080" s="26">
        <f>IFERROR(__xludf.DUMMYFUNCTION("""COMPUTED_VALUE"""),44396.64583333333)</f>
        <v>44396.64583</v>
      </c>
      <c r="B4080" s="9">
        <f>IFERROR(__xludf.DUMMYFUNCTION("""COMPUTED_VALUE"""),1544.7)</f>
        <v>1544.7</v>
      </c>
      <c r="C4080" s="9">
        <f>IFERROR(__xludf.DUMMYFUNCTION("""COMPUTED_VALUE"""),1552.9)</f>
        <v>1552.9</v>
      </c>
      <c r="D4080" s="9">
        <f>IFERROR(__xludf.DUMMYFUNCTION("""COMPUTED_VALUE"""),1537.55)</f>
        <v>1537.55</v>
      </c>
      <c r="E4080" s="9">
        <f>IFERROR(__xludf.DUMMYFUNCTION("""COMPUTED_VALUE"""),1541.7)</f>
        <v>1541.7</v>
      </c>
      <c r="F4080" s="9">
        <f>IFERROR(__xludf.DUMMYFUNCTION("""COMPUTED_VALUE"""),5669162.0)</f>
        <v>5669162</v>
      </c>
      <c r="H4080" s="27">
        <f>IFERROR(__xludf.DUMMYFUNCTION("""COMPUTED_VALUE"""),44397.64583333333)</f>
        <v>44397.64583</v>
      </c>
      <c r="I4080" s="25">
        <f>IFERROR(__xludf.DUMMYFUNCTION("""COMPUTED_VALUE"""),3184.6)</f>
        <v>3184.6</v>
      </c>
      <c r="J4080" s="25">
        <f>IFERROR(__xludf.DUMMYFUNCTION("""COMPUTED_VALUE"""),3215.0)</f>
        <v>3215</v>
      </c>
      <c r="K4080" s="25">
        <f>IFERROR(__xludf.DUMMYFUNCTION("""COMPUTED_VALUE"""),3156.15)</f>
        <v>3156.15</v>
      </c>
      <c r="L4080" s="25">
        <f>IFERROR(__xludf.DUMMYFUNCTION("""COMPUTED_VALUE"""),3205.8)</f>
        <v>3205.8</v>
      </c>
      <c r="M4080" s="25">
        <f>IFERROR(__xludf.DUMMYFUNCTION("""COMPUTED_VALUE"""),1811945.0)</f>
        <v>1811945</v>
      </c>
    </row>
    <row r="4081">
      <c r="A4081" s="26">
        <f>IFERROR(__xludf.DUMMYFUNCTION("""COMPUTED_VALUE"""),44397.64583333333)</f>
        <v>44397.64583</v>
      </c>
      <c r="B4081" s="9">
        <f>IFERROR(__xludf.DUMMYFUNCTION("""COMPUTED_VALUE"""),1538.3)</f>
        <v>1538.3</v>
      </c>
      <c r="C4081" s="9">
        <f>IFERROR(__xludf.DUMMYFUNCTION("""COMPUTED_VALUE"""),1557.7)</f>
        <v>1557.7</v>
      </c>
      <c r="D4081" s="9">
        <f>IFERROR(__xludf.DUMMYFUNCTION("""COMPUTED_VALUE"""),1538.0)</f>
        <v>1538</v>
      </c>
      <c r="E4081" s="9">
        <f>IFERROR(__xludf.DUMMYFUNCTION("""COMPUTED_VALUE"""),1550.05)</f>
        <v>1550.05</v>
      </c>
      <c r="F4081" s="9">
        <f>IFERROR(__xludf.DUMMYFUNCTION("""COMPUTED_VALUE"""),5069939.0)</f>
        <v>5069939</v>
      </c>
      <c r="H4081" s="27">
        <f>IFERROR(__xludf.DUMMYFUNCTION("""COMPUTED_VALUE"""),44399.64583333333)</f>
        <v>44399.64583</v>
      </c>
      <c r="I4081" s="25">
        <f>IFERROR(__xludf.DUMMYFUNCTION("""COMPUTED_VALUE"""),3190.0)</f>
        <v>3190</v>
      </c>
      <c r="J4081" s="25">
        <f>IFERROR(__xludf.DUMMYFUNCTION("""COMPUTED_VALUE"""),3224.95)</f>
        <v>3224.95</v>
      </c>
      <c r="K4081" s="25">
        <f>IFERROR(__xludf.DUMMYFUNCTION("""COMPUTED_VALUE"""),3190.0)</f>
        <v>3190</v>
      </c>
      <c r="L4081" s="25">
        <f>IFERROR(__xludf.DUMMYFUNCTION("""COMPUTED_VALUE"""),3216.35)</f>
        <v>3216.35</v>
      </c>
      <c r="M4081" s="25">
        <f>IFERROR(__xludf.DUMMYFUNCTION("""COMPUTED_VALUE"""),2859334.0)</f>
        <v>2859334</v>
      </c>
    </row>
    <row r="4082">
      <c r="A4082" s="26">
        <f>IFERROR(__xludf.DUMMYFUNCTION("""COMPUTED_VALUE"""),44399.64583333333)</f>
        <v>44399.64583</v>
      </c>
      <c r="B4082" s="9">
        <f>IFERROR(__xludf.DUMMYFUNCTION("""COMPUTED_VALUE"""),1561.4)</f>
        <v>1561.4</v>
      </c>
      <c r="C4082" s="9">
        <f>IFERROR(__xludf.DUMMYFUNCTION("""COMPUTED_VALUE"""),1592.85)</f>
        <v>1592.85</v>
      </c>
      <c r="D4082" s="9">
        <f>IFERROR(__xludf.DUMMYFUNCTION("""COMPUTED_VALUE"""),1561.4)</f>
        <v>1561.4</v>
      </c>
      <c r="E4082" s="9">
        <f>IFERROR(__xludf.DUMMYFUNCTION("""COMPUTED_VALUE"""),1590.2)</f>
        <v>1590.2</v>
      </c>
      <c r="F4082" s="9">
        <f>IFERROR(__xludf.DUMMYFUNCTION("""COMPUTED_VALUE"""),7854575.0)</f>
        <v>7854575</v>
      </c>
      <c r="H4082" s="27">
        <f>IFERROR(__xludf.DUMMYFUNCTION("""COMPUTED_VALUE"""),44400.64583333333)</f>
        <v>44400.64583</v>
      </c>
      <c r="I4082" s="25">
        <f>IFERROR(__xludf.DUMMYFUNCTION("""COMPUTED_VALUE"""),3230.0)</f>
        <v>3230</v>
      </c>
      <c r="J4082" s="25">
        <f>IFERROR(__xludf.DUMMYFUNCTION("""COMPUTED_VALUE"""),3241.55)</f>
        <v>3241.55</v>
      </c>
      <c r="K4082" s="25">
        <f>IFERROR(__xludf.DUMMYFUNCTION("""COMPUTED_VALUE"""),3206.65)</f>
        <v>3206.65</v>
      </c>
      <c r="L4082" s="25">
        <f>IFERROR(__xludf.DUMMYFUNCTION("""COMPUTED_VALUE"""),3212.85)</f>
        <v>3212.85</v>
      </c>
      <c r="M4082" s="25">
        <f>IFERROR(__xludf.DUMMYFUNCTION("""COMPUTED_VALUE"""),1776193.0)</f>
        <v>1776193</v>
      </c>
    </row>
    <row r="4083">
      <c r="A4083" s="26">
        <f>IFERROR(__xludf.DUMMYFUNCTION("""COMPUTED_VALUE"""),44400.64583333333)</f>
        <v>44400.64583</v>
      </c>
      <c r="B4083" s="9">
        <f>IFERROR(__xludf.DUMMYFUNCTION("""COMPUTED_VALUE"""),1588.55)</f>
        <v>1588.55</v>
      </c>
      <c r="C4083" s="9">
        <f>IFERROR(__xludf.DUMMYFUNCTION("""COMPUTED_VALUE"""),1598.5)</f>
        <v>1598.5</v>
      </c>
      <c r="D4083" s="9">
        <f>IFERROR(__xludf.DUMMYFUNCTION("""COMPUTED_VALUE"""),1585.05)</f>
        <v>1585.05</v>
      </c>
      <c r="E4083" s="9">
        <f>IFERROR(__xludf.DUMMYFUNCTION("""COMPUTED_VALUE"""),1590.45)</f>
        <v>1590.45</v>
      </c>
      <c r="F4083" s="9">
        <f>IFERROR(__xludf.DUMMYFUNCTION("""COMPUTED_VALUE"""),4179719.0)</f>
        <v>4179719</v>
      </c>
      <c r="H4083" s="27">
        <f>IFERROR(__xludf.DUMMYFUNCTION("""COMPUTED_VALUE"""),44403.64583333333)</f>
        <v>44403.64583</v>
      </c>
      <c r="I4083" s="25">
        <f>IFERROR(__xludf.DUMMYFUNCTION("""COMPUTED_VALUE"""),3200.0)</f>
        <v>3200</v>
      </c>
      <c r="J4083" s="25">
        <f>IFERROR(__xludf.DUMMYFUNCTION("""COMPUTED_VALUE"""),3224.25)</f>
        <v>3224.25</v>
      </c>
      <c r="K4083" s="25">
        <f>IFERROR(__xludf.DUMMYFUNCTION("""COMPUTED_VALUE"""),3190.85)</f>
        <v>3190.85</v>
      </c>
      <c r="L4083" s="25">
        <f>IFERROR(__xludf.DUMMYFUNCTION("""COMPUTED_VALUE"""),3197.55)</f>
        <v>3197.55</v>
      </c>
      <c r="M4083" s="25">
        <f>IFERROR(__xludf.DUMMYFUNCTION("""COMPUTED_VALUE"""),1259611.0)</f>
        <v>1259611</v>
      </c>
    </row>
    <row r="4084">
      <c r="A4084" s="26">
        <f>IFERROR(__xludf.DUMMYFUNCTION("""COMPUTED_VALUE"""),44403.64583333333)</f>
        <v>44403.64583</v>
      </c>
      <c r="B4084" s="9">
        <f>IFERROR(__xludf.DUMMYFUNCTION("""COMPUTED_VALUE"""),1594.1)</f>
        <v>1594.1</v>
      </c>
      <c r="C4084" s="9">
        <f>IFERROR(__xludf.DUMMYFUNCTION("""COMPUTED_VALUE"""),1611.65)</f>
        <v>1611.65</v>
      </c>
      <c r="D4084" s="9">
        <f>IFERROR(__xludf.DUMMYFUNCTION("""COMPUTED_VALUE"""),1594.1)</f>
        <v>1594.1</v>
      </c>
      <c r="E4084" s="9">
        <f>IFERROR(__xludf.DUMMYFUNCTION("""COMPUTED_VALUE"""),1603.9)</f>
        <v>1603.9</v>
      </c>
      <c r="F4084" s="9">
        <f>IFERROR(__xludf.DUMMYFUNCTION("""COMPUTED_VALUE"""),4586710.0)</f>
        <v>4586710</v>
      </c>
      <c r="H4084" s="27">
        <f>IFERROR(__xludf.DUMMYFUNCTION("""COMPUTED_VALUE"""),44404.64583333333)</f>
        <v>44404.64583</v>
      </c>
      <c r="I4084" s="25">
        <f>IFERROR(__xludf.DUMMYFUNCTION("""COMPUTED_VALUE"""),3200.0)</f>
        <v>3200</v>
      </c>
      <c r="J4084" s="25">
        <f>IFERROR(__xludf.DUMMYFUNCTION("""COMPUTED_VALUE"""),3210.0)</f>
        <v>3210</v>
      </c>
      <c r="K4084" s="25">
        <f>IFERROR(__xludf.DUMMYFUNCTION("""COMPUTED_VALUE"""),3161.15)</f>
        <v>3161.15</v>
      </c>
      <c r="L4084" s="25">
        <f>IFERROR(__xludf.DUMMYFUNCTION("""COMPUTED_VALUE"""),3182.95)</f>
        <v>3182.95</v>
      </c>
      <c r="M4084" s="25">
        <f>IFERROR(__xludf.DUMMYFUNCTION("""COMPUTED_VALUE"""),1121367.0)</f>
        <v>1121367</v>
      </c>
    </row>
    <row r="4085">
      <c r="A4085" s="26">
        <f>IFERROR(__xludf.DUMMYFUNCTION("""COMPUTED_VALUE"""),44404.64583333333)</f>
        <v>44404.64583</v>
      </c>
      <c r="B4085" s="9">
        <f>IFERROR(__xludf.DUMMYFUNCTION("""COMPUTED_VALUE"""),1605.0)</f>
        <v>1605</v>
      </c>
      <c r="C4085" s="9">
        <f>IFERROR(__xludf.DUMMYFUNCTION("""COMPUTED_VALUE"""),1609.3)</f>
        <v>1609.3</v>
      </c>
      <c r="D4085" s="9">
        <f>IFERROR(__xludf.DUMMYFUNCTION("""COMPUTED_VALUE"""),1597.9)</f>
        <v>1597.9</v>
      </c>
      <c r="E4085" s="9">
        <f>IFERROR(__xludf.DUMMYFUNCTION("""COMPUTED_VALUE"""),1602.55)</f>
        <v>1602.55</v>
      </c>
      <c r="F4085" s="9">
        <f>IFERROR(__xludf.DUMMYFUNCTION("""COMPUTED_VALUE"""),5892859.0)</f>
        <v>5892859</v>
      </c>
      <c r="H4085" s="27">
        <f>IFERROR(__xludf.DUMMYFUNCTION("""COMPUTED_VALUE"""),44405.64583333333)</f>
        <v>44405.64583</v>
      </c>
      <c r="I4085" s="25">
        <f>IFERROR(__xludf.DUMMYFUNCTION("""COMPUTED_VALUE"""),3188.0)</f>
        <v>3188</v>
      </c>
      <c r="J4085" s="25">
        <f>IFERROR(__xludf.DUMMYFUNCTION("""COMPUTED_VALUE"""),3204.45)</f>
        <v>3204.45</v>
      </c>
      <c r="K4085" s="25">
        <f>IFERROR(__xludf.DUMMYFUNCTION("""COMPUTED_VALUE"""),3132.4)</f>
        <v>3132.4</v>
      </c>
      <c r="L4085" s="25">
        <f>IFERROR(__xludf.DUMMYFUNCTION("""COMPUTED_VALUE"""),3197.8)</f>
        <v>3197.8</v>
      </c>
      <c r="M4085" s="25">
        <f>IFERROR(__xludf.DUMMYFUNCTION("""COMPUTED_VALUE"""),1660654.0)</f>
        <v>1660654</v>
      </c>
    </row>
    <row r="4086">
      <c r="A4086" s="26">
        <f>IFERROR(__xludf.DUMMYFUNCTION("""COMPUTED_VALUE"""),44405.64583333333)</f>
        <v>44405.64583</v>
      </c>
      <c r="B4086" s="9">
        <f>IFERROR(__xludf.DUMMYFUNCTION("""COMPUTED_VALUE"""),1605.1)</f>
        <v>1605.1</v>
      </c>
      <c r="C4086" s="9">
        <f>IFERROR(__xludf.DUMMYFUNCTION("""COMPUTED_VALUE"""),1607.6)</f>
        <v>1607.6</v>
      </c>
      <c r="D4086" s="9">
        <f>IFERROR(__xludf.DUMMYFUNCTION("""COMPUTED_VALUE"""),1585.5)</f>
        <v>1585.5</v>
      </c>
      <c r="E4086" s="9">
        <f>IFERROR(__xludf.DUMMYFUNCTION("""COMPUTED_VALUE"""),1605.6)</f>
        <v>1605.6</v>
      </c>
      <c r="F4086" s="9">
        <f>IFERROR(__xludf.DUMMYFUNCTION("""COMPUTED_VALUE"""),4686788.0)</f>
        <v>4686788</v>
      </c>
      <c r="H4086" s="27">
        <f>IFERROR(__xludf.DUMMYFUNCTION("""COMPUTED_VALUE"""),44406.64583333333)</f>
        <v>44406.64583</v>
      </c>
      <c r="I4086" s="25">
        <f>IFERROR(__xludf.DUMMYFUNCTION("""COMPUTED_VALUE"""),3200.25)</f>
        <v>3200.25</v>
      </c>
      <c r="J4086" s="25">
        <f>IFERROR(__xludf.DUMMYFUNCTION("""COMPUTED_VALUE"""),3225.45)</f>
        <v>3225.45</v>
      </c>
      <c r="K4086" s="25">
        <f>IFERROR(__xludf.DUMMYFUNCTION("""COMPUTED_VALUE"""),3190.3)</f>
        <v>3190.3</v>
      </c>
      <c r="L4086" s="25">
        <f>IFERROR(__xludf.DUMMYFUNCTION("""COMPUTED_VALUE"""),3195.8)</f>
        <v>3195.8</v>
      </c>
      <c r="M4086" s="25">
        <f>IFERROR(__xludf.DUMMYFUNCTION("""COMPUTED_VALUE"""),1731997.0)</f>
        <v>1731997</v>
      </c>
    </row>
    <row r="4087">
      <c r="A4087" s="26">
        <f>IFERROR(__xludf.DUMMYFUNCTION("""COMPUTED_VALUE"""),44406.64583333333)</f>
        <v>44406.64583</v>
      </c>
      <c r="B4087" s="9">
        <f>IFERROR(__xludf.DUMMYFUNCTION("""COMPUTED_VALUE"""),1600.1)</f>
        <v>1600.1</v>
      </c>
      <c r="C4087" s="9">
        <f>IFERROR(__xludf.DUMMYFUNCTION("""COMPUTED_VALUE"""),1620.0)</f>
        <v>1620</v>
      </c>
      <c r="D4087" s="9">
        <f>IFERROR(__xludf.DUMMYFUNCTION("""COMPUTED_VALUE"""),1600.1)</f>
        <v>1600.1</v>
      </c>
      <c r="E4087" s="9">
        <f>IFERROR(__xludf.DUMMYFUNCTION("""COMPUTED_VALUE"""),1617.0)</f>
        <v>1617</v>
      </c>
      <c r="F4087" s="9">
        <f>IFERROR(__xludf.DUMMYFUNCTION("""COMPUTED_VALUE"""),4660873.0)</f>
        <v>4660873</v>
      </c>
      <c r="H4087" s="27">
        <f>IFERROR(__xludf.DUMMYFUNCTION("""COMPUTED_VALUE"""),44407.64583333333)</f>
        <v>44407.64583</v>
      </c>
      <c r="I4087" s="25">
        <f>IFERROR(__xludf.DUMMYFUNCTION("""COMPUTED_VALUE"""),3219.0)</f>
        <v>3219</v>
      </c>
      <c r="J4087" s="25">
        <f>IFERROR(__xludf.DUMMYFUNCTION("""COMPUTED_VALUE"""),3223.5)</f>
        <v>3223.5</v>
      </c>
      <c r="K4087" s="25">
        <f>IFERROR(__xludf.DUMMYFUNCTION("""COMPUTED_VALUE"""),3162.35)</f>
        <v>3162.35</v>
      </c>
      <c r="L4087" s="25">
        <f>IFERROR(__xludf.DUMMYFUNCTION("""COMPUTED_VALUE"""),3167.45)</f>
        <v>3167.45</v>
      </c>
      <c r="M4087" s="25">
        <f>IFERROR(__xludf.DUMMYFUNCTION("""COMPUTED_VALUE"""),2999943.0)</f>
        <v>2999943</v>
      </c>
    </row>
    <row r="4088">
      <c r="A4088" s="26">
        <f>IFERROR(__xludf.DUMMYFUNCTION("""COMPUTED_VALUE"""),44407.64583333333)</f>
        <v>44407.64583</v>
      </c>
      <c r="B4088" s="9">
        <f>IFERROR(__xludf.DUMMYFUNCTION("""COMPUTED_VALUE"""),1610.0)</f>
        <v>1610</v>
      </c>
      <c r="C4088" s="9">
        <f>IFERROR(__xludf.DUMMYFUNCTION("""COMPUTED_VALUE"""),1623.4)</f>
        <v>1623.4</v>
      </c>
      <c r="D4088" s="9">
        <f>IFERROR(__xludf.DUMMYFUNCTION("""COMPUTED_VALUE"""),1606.15)</f>
        <v>1606.15</v>
      </c>
      <c r="E4088" s="9">
        <f>IFERROR(__xludf.DUMMYFUNCTION("""COMPUTED_VALUE"""),1610.5)</f>
        <v>1610.5</v>
      </c>
      <c r="F4088" s="9">
        <f>IFERROR(__xludf.DUMMYFUNCTION("""COMPUTED_VALUE"""),6234257.0)</f>
        <v>6234257</v>
      </c>
      <c r="H4088" s="27">
        <f>IFERROR(__xludf.DUMMYFUNCTION("""COMPUTED_VALUE"""),44410.64583333333)</f>
        <v>44410.64583</v>
      </c>
      <c r="I4088" s="25">
        <f>IFERROR(__xludf.DUMMYFUNCTION("""COMPUTED_VALUE"""),3180.0)</f>
        <v>3180</v>
      </c>
      <c r="J4088" s="25">
        <f>IFERROR(__xludf.DUMMYFUNCTION("""COMPUTED_VALUE"""),3224.9)</f>
        <v>3224.9</v>
      </c>
      <c r="K4088" s="25">
        <f>IFERROR(__xludf.DUMMYFUNCTION("""COMPUTED_VALUE"""),3167.0)</f>
        <v>3167</v>
      </c>
      <c r="L4088" s="25">
        <f>IFERROR(__xludf.DUMMYFUNCTION("""COMPUTED_VALUE"""),3219.4)</f>
        <v>3219.4</v>
      </c>
      <c r="M4088" s="25">
        <f>IFERROR(__xludf.DUMMYFUNCTION("""COMPUTED_VALUE"""),2608669.0)</f>
        <v>2608669</v>
      </c>
    </row>
    <row r="4089">
      <c r="A4089" s="26">
        <f>IFERROR(__xludf.DUMMYFUNCTION("""COMPUTED_VALUE"""),44410.64583333333)</f>
        <v>44410.64583</v>
      </c>
      <c r="B4089" s="9">
        <f>IFERROR(__xludf.DUMMYFUNCTION("""COMPUTED_VALUE"""),1627.45)</f>
        <v>1627.45</v>
      </c>
      <c r="C4089" s="9">
        <f>IFERROR(__xludf.DUMMYFUNCTION("""COMPUTED_VALUE"""),1634.75)</f>
        <v>1634.75</v>
      </c>
      <c r="D4089" s="9">
        <f>IFERROR(__xludf.DUMMYFUNCTION("""COMPUTED_VALUE"""),1619.2)</f>
        <v>1619.2</v>
      </c>
      <c r="E4089" s="9">
        <f>IFERROR(__xludf.DUMMYFUNCTION("""COMPUTED_VALUE"""),1631.55)</f>
        <v>1631.55</v>
      </c>
      <c r="F4089" s="9">
        <f>IFERROR(__xludf.DUMMYFUNCTION("""COMPUTED_VALUE"""),5553389.0)</f>
        <v>5553389</v>
      </c>
      <c r="H4089" s="27">
        <f>IFERROR(__xludf.DUMMYFUNCTION("""COMPUTED_VALUE"""),44411.64583333333)</f>
        <v>44411.64583</v>
      </c>
      <c r="I4089" s="25">
        <f>IFERROR(__xludf.DUMMYFUNCTION("""COMPUTED_VALUE"""),3229.0)</f>
        <v>3229</v>
      </c>
      <c r="J4089" s="25">
        <f>IFERROR(__xludf.DUMMYFUNCTION("""COMPUTED_VALUE"""),3290.0)</f>
        <v>3290</v>
      </c>
      <c r="K4089" s="25">
        <f>IFERROR(__xludf.DUMMYFUNCTION("""COMPUTED_VALUE"""),3218.95)</f>
        <v>3218.95</v>
      </c>
      <c r="L4089" s="25">
        <f>IFERROR(__xludf.DUMMYFUNCTION("""COMPUTED_VALUE"""),3284.9)</f>
        <v>3284.9</v>
      </c>
      <c r="M4089" s="25">
        <f>IFERROR(__xludf.DUMMYFUNCTION("""COMPUTED_VALUE"""),3804735.0)</f>
        <v>3804735</v>
      </c>
    </row>
    <row r="4090">
      <c r="A4090" s="26">
        <f>IFERROR(__xludf.DUMMYFUNCTION("""COMPUTED_VALUE"""),44411.64583333333)</f>
        <v>44411.64583</v>
      </c>
      <c r="B4090" s="9">
        <f>IFERROR(__xludf.DUMMYFUNCTION("""COMPUTED_VALUE"""),1647.0)</f>
        <v>1647</v>
      </c>
      <c r="C4090" s="9">
        <f>IFERROR(__xludf.DUMMYFUNCTION("""COMPUTED_VALUE"""),1658.65)</f>
        <v>1658.65</v>
      </c>
      <c r="D4090" s="9">
        <f>IFERROR(__xludf.DUMMYFUNCTION("""COMPUTED_VALUE"""),1635.6)</f>
        <v>1635.6</v>
      </c>
      <c r="E4090" s="9">
        <f>IFERROR(__xludf.DUMMYFUNCTION("""COMPUTED_VALUE"""),1655.2)</f>
        <v>1655.2</v>
      </c>
      <c r="F4090" s="9">
        <f>IFERROR(__xludf.DUMMYFUNCTION("""COMPUTED_VALUE"""),5513668.0)</f>
        <v>5513668</v>
      </c>
      <c r="H4090" s="27">
        <f>IFERROR(__xludf.DUMMYFUNCTION("""COMPUTED_VALUE"""),44412.64583333333)</f>
        <v>44412.64583</v>
      </c>
      <c r="I4090" s="25">
        <f>IFERROR(__xludf.DUMMYFUNCTION("""COMPUTED_VALUE"""),3300.0)</f>
        <v>3300</v>
      </c>
      <c r="J4090" s="25">
        <f>IFERROR(__xludf.DUMMYFUNCTION("""COMPUTED_VALUE"""),3305.2)</f>
        <v>3305.2</v>
      </c>
      <c r="K4090" s="25">
        <f>IFERROR(__xludf.DUMMYFUNCTION("""COMPUTED_VALUE"""),3261.2)</f>
        <v>3261.2</v>
      </c>
      <c r="L4090" s="25">
        <f>IFERROR(__xludf.DUMMYFUNCTION("""COMPUTED_VALUE"""),3273.95)</f>
        <v>3273.95</v>
      </c>
      <c r="M4090" s="25">
        <f>IFERROR(__xludf.DUMMYFUNCTION("""COMPUTED_VALUE"""),2929598.0)</f>
        <v>2929598</v>
      </c>
    </row>
    <row r="4091">
      <c r="A4091" s="26">
        <f>IFERROR(__xludf.DUMMYFUNCTION("""COMPUTED_VALUE"""),44412.64583333333)</f>
        <v>44412.64583</v>
      </c>
      <c r="B4091" s="9">
        <f>IFERROR(__xludf.DUMMYFUNCTION("""COMPUTED_VALUE"""),1669.1)</f>
        <v>1669.1</v>
      </c>
      <c r="C4091" s="9">
        <f>IFERROR(__xludf.DUMMYFUNCTION("""COMPUTED_VALUE"""),1679.9)</f>
        <v>1679.9</v>
      </c>
      <c r="D4091" s="9">
        <f>IFERROR(__xludf.DUMMYFUNCTION("""COMPUTED_VALUE"""),1639.05)</f>
        <v>1639.05</v>
      </c>
      <c r="E4091" s="9">
        <f>IFERROR(__xludf.DUMMYFUNCTION("""COMPUTED_VALUE"""),1649.25)</f>
        <v>1649.25</v>
      </c>
      <c r="F4091" s="9">
        <f>IFERROR(__xludf.DUMMYFUNCTION("""COMPUTED_VALUE"""),6740391.0)</f>
        <v>6740391</v>
      </c>
      <c r="H4091" s="27">
        <f>IFERROR(__xludf.DUMMYFUNCTION("""COMPUTED_VALUE"""),44413.64583333333)</f>
        <v>44413.64583</v>
      </c>
      <c r="I4091" s="25">
        <f>IFERROR(__xludf.DUMMYFUNCTION("""COMPUTED_VALUE"""),3275.0)</f>
        <v>3275</v>
      </c>
      <c r="J4091" s="25">
        <f>IFERROR(__xludf.DUMMYFUNCTION("""COMPUTED_VALUE"""),3315.0)</f>
        <v>3315</v>
      </c>
      <c r="K4091" s="25">
        <f>IFERROR(__xludf.DUMMYFUNCTION("""COMPUTED_VALUE"""),3262.5)</f>
        <v>3262.5</v>
      </c>
      <c r="L4091" s="25">
        <f>IFERROR(__xludf.DUMMYFUNCTION("""COMPUTED_VALUE"""),3283.95)</f>
        <v>3283.95</v>
      </c>
      <c r="M4091" s="25">
        <f>IFERROR(__xludf.DUMMYFUNCTION("""COMPUTED_VALUE"""),2534521.0)</f>
        <v>2534521</v>
      </c>
    </row>
    <row r="4092">
      <c r="A4092" s="26">
        <f>IFERROR(__xludf.DUMMYFUNCTION("""COMPUTED_VALUE"""),44413.64583333333)</f>
        <v>44413.64583</v>
      </c>
      <c r="B4092" s="9">
        <f>IFERROR(__xludf.DUMMYFUNCTION("""COMPUTED_VALUE"""),1649.5)</f>
        <v>1649.5</v>
      </c>
      <c r="C4092" s="9">
        <f>IFERROR(__xludf.DUMMYFUNCTION("""COMPUTED_VALUE"""),1666.0)</f>
        <v>1666</v>
      </c>
      <c r="D4092" s="9">
        <f>IFERROR(__xludf.DUMMYFUNCTION("""COMPUTED_VALUE"""),1647.05)</f>
        <v>1647.05</v>
      </c>
      <c r="E4092" s="9">
        <f>IFERROR(__xludf.DUMMYFUNCTION("""COMPUTED_VALUE"""),1653.55)</f>
        <v>1653.55</v>
      </c>
      <c r="F4092" s="9">
        <f>IFERROR(__xludf.DUMMYFUNCTION("""COMPUTED_VALUE"""),5420536.0)</f>
        <v>5420536</v>
      </c>
      <c r="H4092" s="27">
        <f>IFERROR(__xludf.DUMMYFUNCTION("""COMPUTED_VALUE"""),44414.64583333333)</f>
        <v>44414.64583</v>
      </c>
      <c r="I4092" s="25">
        <f>IFERROR(__xludf.DUMMYFUNCTION("""COMPUTED_VALUE"""),3272.55)</f>
        <v>3272.55</v>
      </c>
      <c r="J4092" s="25">
        <f>IFERROR(__xludf.DUMMYFUNCTION("""COMPUTED_VALUE"""),3324.0)</f>
        <v>3324</v>
      </c>
      <c r="K4092" s="25">
        <f>IFERROR(__xludf.DUMMYFUNCTION("""COMPUTED_VALUE"""),3265.0)</f>
        <v>3265</v>
      </c>
      <c r="L4092" s="25">
        <f>IFERROR(__xludf.DUMMYFUNCTION("""COMPUTED_VALUE"""),3309.8)</f>
        <v>3309.8</v>
      </c>
      <c r="M4092" s="25">
        <f>IFERROR(__xludf.DUMMYFUNCTION("""COMPUTED_VALUE"""),2292362.0)</f>
        <v>2292362</v>
      </c>
    </row>
    <row r="4093">
      <c r="A4093" s="26">
        <f>IFERROR(__xludf.DUMMYFUNCTION("""COMPUTED_VALUE"""),44414.64583333333)</f>
        <v>44414.64583</v>
      </c>
      <c r="B4093" s="9">
        <f>IFERROR(__xludf.DUMMYFUNCTION("""COMPUTED_VALUE"""),1657.0)</f>
        <v>1657</v>
      </c>
      <c r="C4093" s="9">
        <f>IFERROR(__xludf.DUMMYFUNCTION("""COMPUTED_VALUE"""),1660.65)</f>
        <v>1660.65</v>
      </c>
      <c r="D4093" s="9">
        <f>IFERROR(__xludf.DUMMYFUNCTION("""COMPUTED_VALUE"""),1644.0)</f>
        <v>1644</v>
      </c>
      <c r="E4093" s="9">
        <f>IFERROR(__xludf.DUMMYFUNCTION("""COMPUTED_VALUE"""),1650.2)</f>
        <v>1650.2</v>
      </c>
      <c r="F4093" s="9">
        <f>IFERROR(__xludf.DUMMYFUNCTION("""COMPUTED_VALUE"""),3754855.0)</f>
        <v>3754855</v>
      </c>
      <c r="H4093" s="27">
        <f>IFERROR(__xludf.DUMMYFUNCTION("""COMPUTED_VALUE"""),44417.64583333333)</f>
        <v>44417.64583</v>
      </c>
      <c r="I4093" s="25">
        <f>IFERROR(__xludf.DUMMYFUNCTION("""COMPUTED_VALUE"""),3323.9)</f>
        <v>3323.9</v>
      </c>
      <c r="J4093" s="25">
        <f>IFERROR(__xludf.DUMMYFUNCTION("""COMPUTED_VALUE"""),3337.0)</f>
        <v>3337</v>
      </c>
      <c r="K4093" s="25">
        <f>IFERROR(__xludf.DUMMYFUNCTION("""COMPUTED_VALUE"""),3310.0)</f>
        <v>3310</v>
      </c>
      <c r="L4093" s="25">
        <f>IFERROR(__xludf.DUMMYFUNCTION("""COMPUTED_VALUE"""),3322.7)</f>
        <v>3322.7</v>
      </c>
      <c r="M4093" s="25">
        <f>IFERROR(__xludf.DUMMYFUNCTION("""COMPUTED_VALUE"""),1510489.0)</f>
        <v>1510489</v>
      </c>
    </row>
    <row r="4094">
      <c r="A4094" s="26">
        <f>IFERROR(__xludf.DUMMYFUNCTION("""COMPUTED_VALUE"""),44417.64583333333)</f>
        <v>44417.64583</v>
      </c>
      <c r="B4094" s="9">
        <f>IFERROR(__xludf.DUMMYFUNCTION("""COMPUTED_VALUE"""),1661.0)</f>
        <v>1661</v>
      </c>
      <c r="C4094" s="9">
        <f>IFERROR(__xludf.DUMMYFUNCTION("""COMPUTED_VALUE"""),1667.45)</f>
        <v>1667.45</v>
      </c>
      <c r="D4094" s="9">
        <f>IFERROR(__xludf.DUMMYFUNCTION("""COMPUTED_VALUE"""),1646.4)</f>
        <v>1646.4</v>
      </c>
      <c r="E4094" s="9">
        <f>IFERROR(__xludf.DUMMYFUNCTION("""COMPUTED_VALUE"""),1663.3)</f>
        <v>1663.3</v>
      </c>
      <c r="F4094" s="9">
        <f>IFERROR(__xludf.DUMMYFUNCTION("""COMPUTED_VALUE"""),5018477.0)</f>
        <v>5018477</v>
      </c>
      <c r="H4094" s="27">
        <f>IFERROR(__xludf.DUMMYFUNCTION("""COMPUTED_VALUE"""),44418.64583333333)</f>
        <v>44418.64583</v>
      </c>
      <c r="I4094" s="25">
        <f>IFERROR(__xludf.DUMMYFUNCTION("""COMPUTED_VALUE"""),3315.6)</f>
        <v>3315.6</v>
      </c>
      <c r="J4094" s="25">
        <f>IFERROR(__xludf.DUMMYFUNCTION("""COMPUTED_VALUE"""),3349.9)</f>
        <v>3349.9</v>
      </c>
      <c r="K4094" s="25">
        <f>IFERROR(__xludf.DUMMYFUNCTION("""COMPUTED_VALUE"""),3315.6)</f>
        <v>3315.6</v>
      </c>
      <c r="L4094" s="25">
        <f>IFERROR(__xludf.DUMMYFUNCTION("""COMPUTED_VALUE"""),3333.9)</f>
        <v>3333.9</v>
      </c>
      <c r="M4094" s="25">
        <f>IFERROR(__xludf.DUMMYFUNCTION("""COMPUTED_VALUE"""),2040777.0)</f>
        <v>2040777</v>
      </c>
    </row>
    <row r="4095">
      <c r="A4095" s="26">
        <f>IFERROR(__xludf.DUMMYFUNCTION("""COMPUTED_VALUE"""),44418.64583333333)</f>
        <v>44418.64583</v>
      </c>
      <c r="B4095" s="9">
        <f>IFERROR(__xludf.DUMMYFUNCTION("""COMPUTED_VALUE"""),1668.0)</f>
        <v>1668</v>
      </c>
      <c r="C4095" s="9">
        <f>IFERROR(__xludf.DUMMYFUNCTION("""COMPUTED_VALUE"""),1680.0)</f>
        <v>1680</v>
      </c>
      <c r="D4095" s="9">
        <f>IFERROR(__xludf.DUMMYFUNCTION("""COMPUTED_VALUE"""),1661.05)</f>
        <v>1661.05</v>
      </c>
      <c r="E4095" s="9">
        <f>IFERROR(__xludf.DUMMYFUNCTION("""COMPUTED_VALUE"""),1677.25)</f>
        <v>1677.25</v>
      </c>
      <c r="F4095" s="9">
        <f>IFERROR(__xludf.DUMMYFUNCTION("""COMPUTED_VALUE"""),6846517.0)</f>
        <v>6846517</v>
      </c>
      <c r="H4095" s="27">
        <f>IFERROR(__xludf.DUMMYFUNCTION("""COMPUTED_VALUE"""),44419.64583333333)</f>
        <v>44419.64583</v>
      </c>
      <c r="I4095" s="25">
        <f>IFERROR(__xludf.DUMMYFUNCTION("""COMPUTED_VALUE"""),3350.0)</f>
        <v>3350</v>
      </c>
      <c r="J4095" s="25">
        <f>IFERROR(__xludf.DUMMYFUNCTION("""COMPUTED_VALUE"""),3360.0)</f>
        <v>3360</v>
      </c>
      <c r="K4095" s="25">
        <f>IFERROR(__xludf.DUMMYFUNCTION("""COMPUTED_VALUE"""),3327.1)</f>
        <v>3327.1</v>
      </c>
      <c r="L4095" s="25">
        <f>IFERROR(__xludf.DUMMYFUNCTION("""COMPUTED_VALUE"""),3344.2)</f>
        <v>3344.2</v>
      </c>
      <c r="M4095" s="25">
        <f>IFERROR(__xludf.DUMMYFUNCTION("""COMPUTED_VALUE"""),1929707.0)</f>
        <v>1929707</v>
      </c>
    </row>
    <row r="4096">
      <c r="A4096" s="26">
        <f>IFERROR(__xludf.DUMMYFUNCTION("""COMPUTED_VALUE"""),44419.64583333333)</f>
        <v>44419.64583</v>
      </c>
      <c r="B4096" s="9">
        <f>IFERROR(__xludf.DUMMYFUNCTION("""COMPUTED_VALUE"""),1674.8)</f>
        <v>1674.8</v>
      </c>
      <c r="C4096" s="9">
        <f>IFERROR(__xludf.DUMMYFUNCTION("""COMPUTED_VALUE"""),1684.0)</f>
        <v>1684</v>
      </c>
      <c r="D4096" s="9">
        <f>IFERROR(__xludf.DUMMYFUNCTION("""COMPUTED_VALUE"""),1668.0)</f>
        <v>1668</v>
      </c>
      <c r="E4096" s="9">
        <f>IFERROR(__xludf.DUMMYFUNCTION("""COMPUTED_VALUE"""),1677.55)</f>
        <v>1677.55</v>
      </c>
      <c r="F4096" s="9">
        <f>IFERROR(__xludf.DUMMYFUNCTION("""COMPUTED_VALUE"""),4899639.0)</f>
        <v>4899639</v>
      </c>
      <c r="H4096" s="27">
        <f>IFERROR(__xludf.DUMMYFUNCTION("""COMPUTED_VALUE"""),44420.64583333333)</f>
        <v>44420.64583</v>
      </c>
      <c r="I4096" s="25">
        <f>IFERROR(__xludf.DUMMYFUNCTION("""COMPUTED_VALUE"""),3326.0)</f>
        <v>3326</v>
      </c>
      <c r="J4096" s="25">
        <f>IFERROR(__xludf.DUMMYFUNCTION("""COMPUTED_VALUE"""),3368.0)</f>
        <v>3368</v>
      </c>
      <c r="K4096" s="25">
        <f>IFERROR(__xludf.DUMMYFUNCTION("""COMPUTED_VALUE"""),3326.0)</f>
        <v>3326</v>
      </c>
      <c r="L4096" s="25">
        <f>IFERROR(__xludf.DUMMYFUNCTION("""COMPUTED_VALUE"""),3351.75)</f>
        <v>3351.75</v>
      </c>
      <c r="M4096" s="25">
        <f>IFERROR(__xludf.DUMMYFUNCTION("""COMPUTED_VALUE"""),1310205.0)</f>
        <v>1310205</v>
      </c>
    </row>
    <row r="4097">
      <c r="A4097" s="26">
        <f>IFERROR(__xludf.DUMMYFUNCTION("""COMPUTED_VALUE"""),44420.64583333333)</f>
        <v>44420.64583</v>
      </c>
      <c r="B4097" s="9">
        <f>IFERROR(__xludf.DUMMYFUNCTION("""COMPUTED_VALUE"""),1679.15)</f>
        <v>1679.15</v>
      </c>
      <c r="C4097" s="9">
        <f>IFERROR(__xludf.DUMMYFUNCTION("""COMPUTED_VALUE"""),1696.5)</f>
        <v>1696.5</v>
      </c>
      <c r="D4097" s="9">
        <f>IFERROR(__xludf.DUMMYFUNCTION("""COMPUTED_VALUE"""),1674.0)</f>
        <v>1674</v>
      </c>
      <c r="E4097" s="9">
        <f>IFERROR(__xludf.DUMMYFUNCTION("""COMPUTED_VALUE"""),1689.6)</f>
        <v>1689.6</v>
      </c>
      <c r="F4097" s="9">
        <f>IFERROR(__xludf.DUMMYFUNCTION("""COMPUTED_VALUE"""),5659579.0)</f>
        <v>5659579</v>
      </c>
      <c r="H4097" s="27">
        <f>IFERROR(__xludf.DUMMYFUNCTION("""COMPUTED_VALUE"""),44421.64583333333)</f>
        <v>44421.64583</v>
      </c>
      <c r="I4097" s="25">
        <f>IFERROR(__xludf.DUMMYFUNCTION("""COMPUTED_VALUE"""),3360.75)</f>
        <v>3360.75</v>
      </c>
      <c r="J4097" s="25">
        <f>IFERROR(__xludf.DUMMYFUNCTION("""COMPUTED_VALUE"""),3480.0)</f>
        <v>3480</v>
      </c>
      <c r="K4097" s="25">
        <f>IFERROR(__xludf.DUMMYFUNCTION("""COMPUTED_VALUE"""),3357.5)</f>
        <v>3357.5</v>
      </c>
      <c r="L4097" s="25">
        <f>IFERROR(__xludf.DUMMYFUNCTION("""COMPUTED_VALUE"""),3463.4)</f>
        <v>3463.4</v>
      </c>
      <c r="M4097" s="25">
        <f>IFERROR(__xludf.DUMMYFUNCTION("""COMPUTED_VALUE"""),4363584.0)</f>
        <v>4363584</v>
      </c>
    </row>
    <row r="4098">
      <c r="A4098" s="26">
        <f>IFERROR(__xludf.DUMMYFUNCTION("""COMPUTED_VALUE"""),44421.64583333333)</f>
        <v>44421.64583</v>
      </c>
      <c r="B4098" s="9">
        <f>IFERROR(__xludf.DUMMYFUNCTION("""COMPUTED_VALUE"""),1697.0)</f>
        <v>1697</v>
      </c>
      <c r="C4098" s="9">
        <f>IFERROR(__xludf.DUMMYFUNCTION("""COMPUTED_VALUE"""),1722.5)</f>
        <v>1722.5</v>
      </c>
      <c r="D4098" s="9">
        <f>IFERROR(__xludf.DUMMYFUNCTION("""COMPUTED_VALUE"""),1691.3)</f>
        <v>1691.3</v>
      </c>
      <c r="E4098" s="9">
        <f>IFERROR(__xludf.DUMMYFUNCTION("""COMPUTED_VALUE"""),1712.2)</f>
        <v>1712.2</v>
      </c>
      <c r="F4098" s="9">
        <f>IFERROR(__xludf.DUMMYFUNCTION("""COMPUTED_VALUE"""),5612790.0)</f>
        <v>5612790</v>
      </c>
      <c r="H4098" s="27">
        <f>IFERROR(__xludf.DUMMYFUNCTION("""COMPUTED_VALUE"""),44424.64583333333)</f>
        <v>44424.64583</v>
      </c>
      <c r="I4098" s="25">
        <f>IFERROR(__xludf.DUMMYFUNCTION("""COMPUTED_VALUE"""),3460.0)</f>
        <v>3460</v>
      </c>
      <c r="J4098" s="25">
        <f>IFERROR(__xludf.DUMMYFUNCTION("""COMPUTED_VALUE"""),3494.35)</f>
        <v>3494.35</v>
      </c>
      <c r="K4098" s="25">
        <f>IFERROR(__xludf.DUMMYFUNCTION("""COMPUTED_VALUE"""),3436.5)</f>
        <v>3436.5</v>
      </c>
      <c r="L4098" s="25">
        <f>IFERROR(__xludf.DUMMYFUNCTION("""COMPUTED_VALUE"""),3472.95)</f>
        <v>3472.95</v>
      </c>
      <c r="M4098" s="25">
        <f>IFERROR(__xludf.DUMMYFUNCTION("""COMPUTED_VALUE"""),2083489.0)</f>
        <v>2083489</v>
      </c>
    </row>
    <row r="4099">
      <c r="A4099" s="26">
        <f>IFERROR(__xludf.DUMMYFUNCTION("""COMPUTED_VALUE"""),44424.64583333333)</f>
        <v>44424.64583</v>
      </c>
      <c r="B4099" s="9">
        <f>IFERROR(__xludf.DUMMYFUNCTION("""COMPUTED_VALUE"""),1707.7)</f>
        <v>1707.7</v>
      </c>
      <c r="C4099" s="9">
        <f>IFERROR(__xludf.DUMMYFUNCTION("""COMPUTED_VALUE"""),1719.95)</f>
        <v>1719.95</v>
      </c>
      <c r="D4099" s="9">
        <f>IFERROR(__xludf.DUMMYFUNCTION("""COMPUTED_VALUE"""),1690.1)</f>
        <v>1690.1</v>
      </c>
      <c r="E4099" s="9">
        <f>IFERROR(__xludf.DUMMYFUNCTION("""COMPUTED_VALUE"""),1704.4)</f>
        <v>1704.4</v>
      </c>
      <c r="F4099" s="9">
        <f>IFERROR(__xludf.DUMMYFUNCTION("""COMPUTED_VALUE"""),4564109.0)</f>
        <v>4564109</v>
      </c>
      <c r="H4099" s="27">
        <f>IFERROR(__xludf.DUMMYFUNCTION("""COMPUTED_VALUE"""),44425.64583333333)</f>
        <v>44425.64583</v>
      </c>
      <c r="I4099" s="25">
        <f>IFERROR(__xludf.DUMMYFUNCTION("""COMPUTED_VALUE"""),3482.1)</f>
        <v>3482.1</v>
      </c>
      <c r="J4099" s="25">
        <f>IFERROR(__xludf.DUMMYFUNCTION("""COMPUTED_VALUE"""),3560.8)</f>
        <v>3560.8</v>
      </c>
      <c r="K4099" s="25">
        <f>IFERROR(__xludf.DUMMYFUNCTION("""COMPUTED_VALUE"""),3463.0)</f>
        <v>3463</v>
      </c>
      <c r="L4099" s="25">
        <f>IFERROR(__xludf.DUMMYFUNCTION("""COMPUTED_VALUE"""),3553.05)</f>
        <v>3553.05</v>
      </c>
      <c r="M4099" s="25">
        <f>IFERROR(__xludf.DUMMYFUNCTION("""COMPUTED_VALUE"""),4336019.0)</f>
        <v>4336019</v>
      </c>
    </row>
    <row r="4100">
      <c r="A4100" s="26">
        <f>IFERROR(__xludf.DUMMYFUNCTION("""COMPUTED_VALUE"""),44425.64583333333)</f>
        <v>44425.64583</v>
      </c>
      <c r="B4100" s="9">
        <f>IFERROR(__xludf.DUMMYFUNCTION("""COMPUTED_VALUE"""),1703.9)</f>
        <v>1703.9</v>
      </c>
      <c r="C4100" s="9">
        <f>IFERROR(__xludf.DUMMYFUNCTION("""COMPUTED_VALUE"""),1748.9)</f>
        <v>1748.9</v>
      </c>
      <c r="D4100" s="9">
        <f>IFERROR(__xludf.DUMMYFUNCTION("""COMPUTED_VALUE"""),1686.55)</f>
        <v>1686.55</v>
      </c>
      <c r="E4100" s="9">
        <f>IFERROR(__xludf.DUMMYFUNCTION("""COMPUTED_VALUE"""),1741.65)</f>
        <v>1741.65</v>
      </c>
      <c r="F4100" s="9">
        <f>IFERROR(__xludf.DUMMYFUNCTION("""COMPUTED_VALUE"""),9510390.0)</f>
        <v>9510390</v>
      </c>
      <c r="H4100" s="27">
        <f>IFERROR(__xludf.DUMMYFUNCTION("""COMPUTED_VALUE"""),44426.64583333333)</f>
        <v>44426.64583</v>
      </c>
      <c r="I4100" s="25">
        <f>IFERROR(__xludf.DUMMYFUNCTION("""COMPUTED_VALUE"""),3573.85)</f>
        <v>3573.85</v>
      </c>
      <c r="J4100" s="25">
        <f>IFERROR(__xludf.DUMMYFUNCTION("""COMPUTED_VALUE"""),3595.0)</f>
        <v>3595</v>
      </c>
      <c r="K4100" s="25">
        <f>IFERROR(__xludf.DUMMYFUNCTION("""COMPUTED_VALUE"""),3536.6)</f>
        <v>3536.6</v>
      </c>
      <c r="L4100" s="25">
        <f>IFERROR(__xludf.DUMMYFUNCTION("""COMPUTED_VALUE"""),3560.55)</f>
        <v>3560.55</v>
      </c>
      <c r="M4100" s="25">
        <f>IFERROR(__xludf.DUMMYFUNCTION("""COMPUTED_VALUE"""),2631309.0)</f>
        <v>2631309</v>
      </c>
    </row>
    <row r="4101">
      <c r="A4101" s="26">
        <f>IFERROR(__xludf.DUMMYFUNCTION("""COMPUTED_VALUE"""),44426.64583333333)</f>
        <v>44426.64583</v>
      </c>
      <c r="B4101" s="9">
        <f>IFERROR(__xludf.DUMMYFUNCTION("""COMPUTED_VALUE"""),1729.0)</f>
        <v>1729</v>
      </c>
      <c r="C4101" s="9">
        <f>IFERROR(__xludf.DUMMYFUNCTION("""COMPUTED_VALUE"""),1755.5)</f>
        <v>1755.5</v>
      </c>
      <c r="D4101" s="9">
        <f>IFERROR(__xludf.DUMMYFUNCTION("""COMPUTED_VALUE"""),1727.0)</f>
        <v>1727</v>
      </c>
      <c r="E4101" s="9">
        <f>IFERROR(__xludf.DUMMYFUNCTION("""COMPUTED_VALUE"""),1733.45)</f>
        <v>1733.45</v>
      </c>
      <c r="F4101" s="9">
        <f>IFERROR(__xludf.DUMMYFUNCTION("""COMPUTED_VALUE"""),6686090.0)</f>
        <v>6686090</v>
      </c>
      <c r="H4101" s="27">
        <f>IFERROR(__xludf.DUMMYFUNCTION("""COMPUTED_VALUE"""),44428.64583333333)</f>
        <v>44428.64583</v>
      </c>
      <c r="I4101" s="25">
        <f>IFERROR(__xludf.DUMMYFUNCTION("""COMPUTED_VALUE"""),3506.0)</f>
        <v>3506</v>
      </c>
      <c r="J4101" s="25">
        <f>IFERROR(__xludf.DUMMYFUNCTION("""COMPUTED_VALUE"""),3575.0)</f>
        <v>3575</v>
      </c>
      <c r="K4101" s="25">
        <f>IFERROR(__xludf.DUMMYFUNCTION("""COMPUTED_VALUE"""),3500.0)</f>
        <v>3500</v>
      </c>
      <c r="L4101" s="25">
        <f>IFERROR(__xludf.DUMMYFUNCTION("""COMPUTED_VALUE"""),3559.5)</f>
        <v>3559.5</v>
      </c>
      <c r="M4101" s="25">
        <f>IFERROR(__xludf.DUMMYFUNCTION("""COMPUTED_VALUE"""),2836148.0)</f>
        <v>2836148</v>
      </c>
    </row>
    <row r="4102">
      <c r="A4102" s="26">
        <f>IFERROR(__xludf.DUMMYFUNCTION("""COMPUTED_VALUE"""),44428.64583333333)</f>
        <v>44428.64583</v>
      </c>
      <c r="B4102" s="9">
        <f>IFERROR(__xludf.DUMMYFUNCTION("""COMPUTED_VALUE"""),1716.1)</f>
        <v>1716.1</v>
      </c>
      <c r="C4102" s="9">
        <f>IFERROR(__xludf.DUMMYFUNCTION("""COMPUTED_VALUE"""),1745.0)</f>
        <v>1745</v>
      </c>
      <c r="D4102" s="9">
        <f>IFERROR(__xludf.DUMMYFUNCTION("""COMPUTED_VALUE"""),1716.1)</f>
        <v>1716.1</v>
      </c>
      <c r="E4102" s="9">
        <f>IFERROR(__xludf.DUMMYFUNCTION("""COMPUTED_VALUE"""),1732.95)</f>
        <v>1732.95</v>
      </c>
      <c r="F4102" s="9">
        <f>IFERROR(__xludf.DUMMYFUNCTION("""COMPUTED_VALUE"""),6206972.0)</f>
        <v>6206972</v>
      </c>
      <c r="H4102" s="27">
        <f>IFERROR(__xludf.DUMMYFUNCTION("""COMPUTED_VALUE"""),44431.64583333333)</f>
        <v>44431.64583</v>
      </c>
      <c r="I4102" s="25">
        <f>IFERROR(__xludf.DUMMYFUNCTION("""COMPUTED_VALUE"""),3580.0)</f>
        <v>3580</v>
      </c>
      <c r="J4102" s="25">
        <f>IFERROR(__xludf.DUMMYFUNCTION("""COMPUTED_VALUE"""),3673.0)</f>
        <v>3673</v>
      </c>
      <c r="K4102" s="25">
        <f>IFERROR(__xludf.DUMMYFUNCTION("""COMPUTED_VALUE"""),3561.9)</f>
        <v>3561.9</v>
      </c>
      <c r="L4102" s="25">
        <f>IFERROR(__xludf.DUMMYFUNCTION("""COMPUTED_VALUE"""),3637.4)</f>
        <v>3637.4</v>
      </c>
      <c r="M4102" s="25">
        <f>IFERROR(__xludf.DUMMYFUNCTION("""COMPUTED_VALUE"""),3744176.0)</f>
        <v>3744176</v>
      </c>
    </row>
    <row r="4103">
      <c r="A4103" s="26">
        <f>IFERROR(__xludf.DUMMYFUNCTION("""COMPUTED_VALUE"""),44431.64583333333)</f>
        <v>44431.64583</v>
      </c>
      <c r="B4103" s="9">
        <f>IFERROR(__xludf.DUMMYFUNCTION("""COMPUTED_VALUE"""),1735.75)</f>
        <v>1735.75</v>
      </c>
      <c r="C4103" s="9">
        <f>IFERROR(__xludf.DUMMYFUNCTION("""COMPUTED_VALUE"""),1753.15)</f>
        <v>1753.15</v>
      </c>
      <c r="D4103" s="9">
        <f>IFERROR(__xludf.DUMMYFUNCTION("""COMPUTED_VALUE"""),1732.0)</f>
        <v>1732</v>
      </c>
      <c r="E4103" s="9">
        <f>IFERROR(__xludf.DUMMYFUNCTION("""COMPUTED_VALUE"""),1738.75)</f>
        <v>1738.75</v>
      </c>
      <c r="F4103" s="9">
        <f>IFERROR(__xludf.DUMMYFUNCTION("""COMPUTED_VALUE"""),6189051.0)</f>
        <v>6189051</v>
      </c>
      <c r="H4103" s="27">
        <f>IFERROR(__xludf.DUMMYFUNCTION("""COMPUTED_VALUE"""),44432.64583333333)</f>
        <v>44432.64583</v>
      </c>
      <c r="I4103" s="25">
        <f>IFERROR(__xludf.DUMMYFUNCTION("""COMPUTED_VALUE"""),3657.0)</f>
        <v>3657</v>
      </c>
      <c r="J4103" s="25">
        <f>IFERROR(__xludf.DUMMYFUNCTION("""COMPUTED_VALUE"""),3667.35)</f>
        <v>3667.35</v>
      </c>
      <c r="K4103" s="25">
        <f>IFERROR(__xludf.DUMMYFUNCTION("""COMPUTED_VALUE"""),3594.4)</f>
        <v>3594.4</v>
      </c>
      <c r="L4103" s="25">
        <f>IFERROR(__xludf.DUMMYFUNCTION("""COMPUTED_VALUE"""),3613.2)</f>
        <v>3613.2</v>
      </c>
      <c r="M4103" s="25">
        <f>IFERROR(__xludf.DUMMYFUNCTION("""COMPUTED_VALUE"""),2511141.0)</f>
        <v>2511141</v>
      </c>
    </row>
    <row r="4104">
      <c r="A4104" s="26">
        <f>IFERROR(__xludf.DUMMYFUNCTION("""COMPUTED_VALUE"""),44432.64583333333)</f>
        <v>44432.64583</v>
      </c>
      <c r="B4104" s="9">
        <f>IFERROR(__xludf.DUMMYFUNCTION("""COMPUTED_VALUE"""),1750.0)</f>
        <v>1750</v>
      </c>
      <c r="C4104" s="9">
        <f>IFERROR(__xludf.DUMMYFUNCTION("""COMPUTED_VALUE"""),1757.0)</f>
        <v>1757</v>
      </c>
      <c r="D4104" s="9">
        <f>IFERROR(__xludf.DUMMYFUNCTION("""COMPUTED_VALUE"""),1712.7)</f>
        <v>1712.7</v>
      </c>
      <c r="E4104" s="9">
        <f>IFERROR(__xludf.DUMMYFUNCTION("""COMPUTED_VALUE"""),1720.85)</f>
        <v>1720.85</v>
      </c>
      <c r="F4104" s="9">
        <f>IFERROR(__xludf.DUMMYFUNCTION("""COMPUTED_VALUE"""),7602939.0)</f>
        <v>7602939</v>
      </c>
      <c r="H4104" s="27">
        <f>IFERROR(__xludf.DUMMYFUNCTION("""COMPUTED_VALUE"""),44433.64583333333)</f>
        <v>44433.64583</v>
      </c>
      <c r="I4104" s="25">
        <f>IFERROR(__xludf.DUMMYFUNCTION("""COMPUTED_VALUE"""),3610.0)</f>
        <v>3610</v>
      </c>
      <c r="J4104" s="25">
        <f>IFERROR(__xludf.DUMMYFUNCTION("""COMPUTED_VALUE"""),3697.75)</f>
        <v>3697.75</v>
      </c>
      <c r="K4104" s="25">
        <f>IFERROR(__xludf.DUMMYFUNCTION("""COMPUTED_VALUE"""),3607.05)</f>
        <v>3607.05</v>
      </c>
      <c r="L4104" s="25">
        <f>IFERROR(__xludf.DUMMYFUNCTION("""COMPUTED_VALUE"""),3659.0)</f>
        <v>3659</v>
      </c>
      <c r="M4104" s="25">
        <f>IFERROR(__xludf.DUMMYFUNCTION("""COMPUTED_VALUE"""),2123263.0)</f>
        <v>2123263</v>
      </c>
    </row>
    <row r="4105">
      <c r="A4105" s="26">
        <f>IFERROR(__xludf.DUMMYFUNCTION("""COMPUTED_VALUE"""),44433.64583333333)</f>
        <v>44433.64583</v>
      </c>
      <c r="B4105" s="9">
        <f>IFERROR(__xludf.DUMMYFUNCTION("""COMPUTED_VALUE"""),1718.0)</f>
        <v>1718</v>
      </c>
      <c r="C4105" s="9">
        <f>IFERROR(__xludf.DUMMYFUNCTION("""COMPUTED_VALUE"""),1746.9)</f>
        <v>1746.9</v>
      </c>
      <c r="D4105" s="9">
        <f>IFERROR(__xludf.DUMMYFUNCTION("""COMPUTED_VALUE"""),1718.0)</f>
        <v>1718</v>
      </c>
      <c r="E4105" s="9">
        <f>IFERROR(__xludf.DUMMYFUNCTION("""COMPUTED_VALUE"""),1735.55)</f>
        <v>1735.55</v>
      </c>
      <c r="F4105" s="9">
        <f>IFERROR(__xludf.DUMMYFUNCTION("""COMPUTED_VALUE"""),6153253.0)</f>
        <v>6153253</v>
      </c>
      <c r="H4105" s="27">
        <f>IFERROR(__xludf.DUMMYFUNCTION("""COMPUTED_VALUE"""),44434.64583333333)</f>
        <v>44434.64583</v>
      </c>
      <c r="I4105" s="25">
        <f>IFERROR(__xludf.DUMMYFUNCTION("""COMPUTED_VALUE"""),3660.0)</f>
        <v>3660</v>
      </c>
      <c r="J4105" s="25">
        <f>IFERROR(__xludf.DUMMYFUNCTION("""COMPUTED_VALUE"""),3687.6)</f>
        <v>3687.6</v>
      </c>
      <c r="K4105" s="25">
        <f>IFERROR(__xludf.DUMMYFUNCTION("""COMPUTED_VALUE"""),3647.9)</f>
        <v>3647.9</v>
      </c>
      <c r="L4105" s="25">
        <f>IFERROR(__xludf.DUMMYFUNCTION("""COMPUTED_VALUE"""),3671.85)</f>
        <v>3671.85</v>
      </c>
      <c r="M4105" s="25">
        <f>IFERROR(__xludf.DUMMYFUNCTION("""COMPUTED_VALUE"""),1902533.0)</f>
        <v>1902533</v>
      </c>
    </row>
    <row r="4106">
      <c r="A4106" s="26">
        <f>IFERROR(__xludf.DUMMYFUNCTION("""COMPUTED_VALUE"""),44434.64583333333)</f>
        <v>44434.64583</v>
      </c>
      <c r="B4106" s="9">
        <f>IFERROR(__xludf.DUMMYFUNCTION("""COMPUTED_VALUE"""),1734.0)</f>
        <v>1734</v>
      </c>
      <c r="C4106" s="9">
        <f>IFERROR(__xludf.DUMMYFUNCTION("""COMPUTED_VALUE"""),1746.0)</f>
        <v>1746</v>
      </c>
      <c r="D4106" s="9">
        <f>IFERROR(__xludf.DUMMYFUNCTION("""COMPUTED_VALUE"""),1720.0)</f>
        <v>1720</v>
      </c>
      <c r="E4106" s="9">
        <f>IFERROR(__xludf.DUMMYFUNCTION("""COMPUTED_VALUE"""),1727.7)</f>
        <v>1727.7</v>
      </c>
      <c r="F4106" s="9">
        <f>IFERROR(__xludf.DUMMYFUNCTION("""COMPUTED_VALUE"""),5302248.0)</f>
        <v>5302248</v>
      </c>
      <c r="H4106" s="27">
        <f>IFERROR(__xludf.DUMMYFUNCTION("""COMPUTED_VALUE"""),44435.64583333333)</f>
        <v>44435.64583</v>
      </c>
      <c r="I4106" s="25">
        <f>IFERROR(__xludf.DUMMYFUNCTION("""COMPUTED_VALUE"""),3666.0)</f>
        <v>3666</v>
      </c>
      <c r="J4106" s="25">
        <f>IFERROR(__xludf.DUMMYFUNCTION("""COMPUTED_VALUE"""),3729.5)</f>
        <v>3729.5</v>
      </c>
      <c r="K4106" s="25">
        <f>IFERROR(__xludf.DUMMYFUNCTION("""COMPUTED_VALUE"""),3651.1)</f>
        <v>3651.1</v>
      </c>
      <c r="L4106" s="25">
        <f>IFERROR(__xludf.DUMMYFUNCTION("""COMPUTED_VALUE"""),3720.15)</f>
        <v>3720.15</v>
      </c>
      <c r="M4106" s="25">
        <f>IFERROR(__xludf.DUMMYFUNCTION("""COMPUTED_VALUE"""),3944728.0)</f>
        <v>3944728</v>
      </c>
    </row>
    <row r="4107">
      <c r="A4107" s="26">
        <f>IFERROR(__xludf.DUMMYFUNCTION("""COMPUTED_VALUE"""),44435.64583333333)</f>
        <v>44435.64583</v>
      </c>
      <c r="B4107" s="9">
        <f>IFERROR(__xludf.DUMMYFUNCTION("""COMPUTED_VALUE"""),1725.0)</f>
        <v>1725</v>
      </c>
      <c r="C4107" s="9">
        <f>IFERROR(__xludf.DUMMYFUNCTION("""COMPUTED_VALUE"""),1727.7)</f>
        <v>1727.7</v>
      </c>
      <c r="D4107" s="9">
        <f>IFERROR(__xludf.DUMMYFUNCTION("""COMPUTED_VALUE"""),1705.2)</f>
        <v>1705.2</v>
      </c>
      <c r="E4107" s="9">
        <f>IFERROR(__xludf.DUMMYFUNCTION("""COMPUTED_VALUE"""),1708.8)</f>
        <v>1708.8</v>
      </c>
      <c r="F4107" s="9">
        <f>IFERROR(__xludf.DUMMYFUNCTION("""COMPUTED_VALUE"""),6698514.0)</f>
        <v>6698514</v>
      </c>
      <c r="H4107" s="27">
        <f>IFERROR(__xludf.DUMMYFUNCTION("""COMPUTED_VALUE"""),44438.64583333333)</f>
        <v>44438.64583</v>
      </c>
      <c r="I4107" s="25">
        <f>IFERROR(__xludf.DUMMYFUNCTION("""COMPUTED_VALUE"""),3715.0)</f>
        <v>3715</v>
      </c>
      <c r="J4107" s="25">
        <f>IFERROR(__xludf.DUMMYFUNCTION("""COMPUTED_VALUE"""),3740.35)</f>
        <v>3740.35</v>
      </c>
      <c r="K4107" s="25">
        <f>IFERROR(__xludf.DUMMYFUNCTION("""COMPUTED_VALUE"""),3687.6)</f>
        <v>3687.6</v>
      </c>
      <c r="L4107" s="25">
        <f>IFERROR(__xludf.DUMMYFUNCTION("""COMPUTED_VALUE"""),3701.3)</f>
        <v>3701.3</v>
      </c>
      <c r="M4107" s="25">
        <f>IFERROR(__xludf.DUMMYFUNCTION("""COMPUTED_VALUE"""),2033114.0)</f>
        <v>2033114</v>
      </c>
    </row>
    <row r="4108">
      <c r="A4108" s="26">
        <f>IFERROR(__xludf.DUMMYFUNCTION("""COMPUTED_VALUE"""),44438.64583333333)</f>
        <v>44438.64583</v>
      </c>
      <c r="B4108" s="9">
        <f>IFERROR(__xludf.DUMMYFUNCTION("""COMPUTED_VALUE"""),1703.05)</f>
        <v>1703.05</v>
      </c>
      <c r="C4108" s="9">
        <f>IFERROR(__xludf.DUMMYFUNCTION("""COMPUTED_VALUE"""),1718.65)</f>
        <v>1718.65</v>
      </c>
      <c r="D4108" s="9">
        <f>IFERROR(__xludf.DUMMYFUNCTION("""COMPUTED_VALUE"""),1690.4)</f>
        <v>1690.4</v>
      </c>
      <c r="E4108" s="9">
        <f>IFERROR(__xludf.DUMMYFUNCTION("""COMPUTED_VALUE"""),1698.05)</f>
        <v>1698.05</v>
      </c>
      <c r="F4108" s="9">
        <f>IFERROR(__xludf.DUMMYFUNCTION("""COMPUTED_VALUE"""),6559667.0)</f>
        <v>6559667</v>
      </c>
      <c r="H4108" s="27">
        <f>IFERROR(__xludf.DUMMYFUNCTION("""COMPUTED_VALUE"""),44439.64583333333)</f>
        <v>44439.64583</v>
      </c>
      <c r="I4108" s="25">
        <f>IFERROR(__xludf.DUMMYFUNCTION("""COMPUTED_VALUE"""),3709.4)</f>
        <v>3709.4</v>
      </c>
      <c r="J4108" s="25">
        <f>IFERROR(__xludf.DUMMYFUNCTION("""COMPUTED_VALUE"""),3804.1)</f>
        <v>3804.1</v>
      </c>
      <c r="K4108" s="25">
        <f>IFERROR(__xludf.DUMMYFUNCTION("""COMPUTED_VALUE"""),3703.45)</f>
        <v>3703.45</v>
      </c>
      <c r="L4108" s="25">
        <f>IFERROR(__xludf.DUMMYFUNCTION("""COMPUTED_VALUE"""),3786.45)</f>
        <v>3786.45</v>
      </c>
      <c r="M4108" s="25">
        <f>IFERROR(__xludf.DUMMYFUNCTION("""COMPUTED_VALUE"""),3207480.0)</f>
        <v>3207480</v>
      </c>
    </row>
    <row r="4109">
      <c r="A4109" s="26">
        <f>IFERROR(__xludf.DUMMYFUNCTION("""COMPUTED_VALUE"""),44439.64583333333)</f>
        <v>44439.64583</v>
      </c>
      <c r="B4109" s="9">
        <f>IFERROR(__xludf.DUMMYFUNCTION("""COMPUTED_VALUE"""),1700.15)</f>
        <v>1700.15</v>
      </c>
      <c r="C4109" s="9">
        <f>IFERROR(__xludf.DUMMYFUNCTION("""COMPUTED_VALUE"""),1715.0)</f>
        <v>1715</v>
      </c>
      <c r="D4109" s="9">
        <f>IFERROR(__xludf.DUMMYFUNCTION("""COMPUTED_VALUE"""),1685.85)</f>
        <v>1685.85</v>
      </c>
      <c r="E4109" s="9">
        <f>IFERROR(__xludf.DUMMYFUNCTION("""COMPUTED_VALUE"""),1706.45)</f>
        <v>1706.45</v>
      </c>
      <c r="F4109" s="9">
        <f>IFERROR(__xludf.DUMMYFUNCTION("""COMPUTED_VALUE"""),1.2255438E7)</f>
        <v>12255438</v>
      </c>
      <c r="H4109" s="27">
        <f>IFERROR(__xludf.DUMMYFUNCTION("""COMPUTED_VALUE"""),44440.64583333333)</f>
        <v>44440.64583</v>
      </c>
      <c r="I4109" s="25">
        <f>IFERROR(__xludf.DUMMYFUNCTION("""COMPUTED_VALUE"""),3796.0)</f>
        <v>3796</v>
      </c>
      <c r="J4109" s="25">
        <f>IFERROR(__xludf.DUMMYFUNCTION("""COMPUTED_VALUE"""),3816.7)</f>
        <v>3816.7</v>
      </c>
      <c r="K4109" s="25">
        <f>IFERROR(__xludf.DUMMYFUNCTION("""COMPUTED_VALUE"""),3707.0)</f>
        <v>3707</v>
      </c>
      <c r="L4109" s="25">
        <f>IFERROR(__xludf.DUMMYFUNCTION("""COMPUTED_VALUE"""),3714.95)</f>
        <v>3714.95</v>
      </c>
      <c r="M4109" s="25">
        <f>IFERROR(__xludf.DUMMYFUNCTION("""COMPUTED_VALUE"""),2643336.0)</f>
        <v>2643336</v>
      </c>
    </row>
    <row r="4110">
      <c r="A4110" s="26">
        <f>IFERROR(__xludf.DUMMYFUNCTION("""COMPUTED_VALUE"""),44440.64583333333)</f>
        <v>44440.64583</v>
      </c>
      <c r="B4110" s="9">
        <f>IFERROR(__xludf.DUMMYFUNCTION("""COMPUTED_VALUE"""),1709.5)</f>
        <v>1709.5</v>
      </c>
      <c r="C4110" s="9">
        <f>IFERROR(__xludf.DUMMYFUNCTION("""COMPUTED_VALUE"""),1709.5)</f>
        <v>1709.5</v>
      </c>
      <c r="D4110" s="9">
        <f>IFERROR(__xludf.DUMMYFUNCTION("""COMPUTED_VALUE"""),1673.15)</f>
        <v>1673.15</v>
      </c>
      <c r="E4110" s="9">
        <f>IFERROR(__xludf.DUMMYFUNCTION("""COMPUTED_VALUE"""),1677.75)</f>
        <v>1677.75</v>
      </c>
      <c r="F4110" s="9">
        <f>IFERROR(__xludf.DUMMYFUNCTION("""COMPUTED_VALUE"""),7801974.0)</f>
        <v>7801974</v>
      </c>
      <c r="H4110" s="27">
        <f>IFERROR(__xludf.DUMMYFUNCTION("""COMPUTED_VALUE"""),44441.64583333333)</f>
        <v>44441.64583</v>
      </c>
      <c r="I4110" s="25">
        <f>IFERROR(__xludf.DUMMYFUNCTION("""COMPUTED_VALUE"""),3734.0)</f>
        <v>3734</v>
      </c>
      <c r="J4110" s="25">
        <f>IFERROR(__xludf.DUMMYFUNCTION("""COMPUTED_VALUE"""),3859.15)</f>
        <v>3859.15</v>
      </c>
      <c r="K4110" s="25">
        <f>IFERROR(__xludf.DUMMYFUNCTION("""COMPUTED_VALUE"""),3722.0)</f>
        <v>3722</v>
      </c>
      <c r="L4110" s="25">
        <f>IFERROR(__xludf.DUMMYFUNCTION("""COMPUTED_VALUE"""),3836.75)</f>
        <v>3836.75</v>
      </c>
      <c r="M4110" s="25">
        <f>IFERROR(__xludf.DUMMYFUNCTION("""COMPUTED_VALUE"""),3403717.0)</f>
        <v>3403717</v>
      </c>
    </row>
    <row r="4111">
      <c r="A4111" s="26">
        <f>IFERROR(__xludf.DUMMYFUNCTION("""COMPUTED_VALUE"""),44441.64583333333)</f>
        <v>44441.64583</v>
      </c>
      <c r="B4111" s="9">
        <f>IFERROR(__xludf.DUMMYFUNCTION("""COMPUTED_VALUE"""),1677.35)</f>
        <v>1677.35</v>
      </c>
      <c r="C4111" s="9">
        <f>IFERROR(__xludf.DUMMYFUNCTION("""COMPUTED_VALUE"""),1694.3)</f>
        <v>1694.3</v>
      </c>
      <c r="D4111" s="9">
        <f>IFERROR(__xludf.DUMMYFUNCTION("""COMPUTED_VALUE"""),1662.65)</f>
        <v>1662.65</v>
      </c>
      <c r="E4111" s="9">
        <f>IFERROR(__xludf.DUMMYFUNCTION("""COMPUTED_VALUE"""),1689.1)</f>
        <v>1689.1</v>
      </c>
      <c r="F4111" s="9">
        <f>IFERROR(__xludf.DUMMYFUNCTION("""COMPUTED_VALUE"""),6830050.0)</f>
        <v>6830050</v>
      </c>
      <c r="H4111" s="27">
        <f>IFERROR(__xludf.DUMMYFUNCTION("""COMPUTED_VALUE"""),44442.64583333333)</f>
        <v>44442.64583</v>
      </c>
      <c r="I4111" s="25">
        <f>IFERROR(__xludf.DUMMYFUNCTION("""COMPUTED_VALUE"""),3825.0)</f>
        <v>3825</v>
      </c>
      <c r="J4111" s="25">
        <f>IFERROR(__xludf.DUMMYFUNCTION("""COMPUTED_VALUE"""),3856.9)</f>
        <v>3856.9</v>
      </c>
      <c r="K4111" s="25">
        <f>IFERROR(__xludf.DUMMYFUNCTION("""COMPUTED_VALUE"""),3804.55)</f>
        <v>3804.55</v>
      </c>
      <c r="L4111" s="25">
        <f>IFERROR(__xludf.DUMMYFUNCTION("""COMPUTED_VALUE"""),3842.05)</f>
        <v>3842.05</v>
      </c>
      <c r="M4111" s="25">
        <f>IFERROR(__xludf.DUMMYFUNCTION("""COMPUTED_VALUE"""),1746812.0)</f>
        <v>1746812</v>
      </c>
    </row>
    <row r="4112">
      <c r="A4112" s="26">
        <f>IFERROR(__xludf.DUMMYFUNCTION("""COMPUTED_VALUE"""),44442.64583333333)</f>
        <v>44442.64583</v>
      </c>
      <c r="B4112" s="9">
        <f>IFERROR(__xludf.DUMMYFUNCTION("""COMPUTED_VALUE"""),1696.05)</f>
        <v>1696.05</v>
      </c>
      <c r="C4112" s="9">
        <f>IFERROR(__xludf.DUMMYFUNCTION("""COMPUTED_VALUE"""),1705.95)</f>
        <v>1705.95</v>
      </c>
      <c r="D4112" s="9">
        <f>IFERROR(__xludf.DUMMYFUNCTION("""COMPUTED_VALUE"""),1684.4)</f>
        <v>1684.4</v>
      </c>
      <c r="E4112" s="9">
        <f>IFERROR(__xludf.DUMMYFUNCTION("""COMPUTED_VALUE"""),1700.65)</f>
        <v>1700.65</v>
      </c>
      <c r="F4112" s="9">
        <f>IFERROR(__xludf.DUMMYFUNCTION("""COMPUTED_VALUE"""),5339139.0)</f>
        <v>5339139</v>
      </c>
      <c r="H4112" s="27">
        <f>IFERROR(__xludf.DUMMYFUNCTION("""COMPUTED_VALUE"""),44445.64583333333)</f>
        <v>44445.64583</v>
      </c>
      <c r="I4112" s="25">
        <f>IFERROR(__xludf.DUMMYFUNCTION("""COMPUTED_VALUE"""),3849.7)</f>
        <v>3849.7</v>
      </c>
      <c r="J4112" s="25">
        <f>IFERROR(__xludf.DUMMYFUNCTION("""COMPUTED_VALUE"""),3877.6)</f>
        <v>3877.6</v>
      </c>
      <c r="K4112" s="25">
        <f>IFERROR(__xludf.DUMMYFUNCTION("""COMPUTED_VALUE"""),3814.0)</f>
        <v>3814</v>
      </c>
      <c r="L4112" s="25">
        <f>IFERROR(__xludf.DUMMYFUNCTION("""COMPUTED_VALUE"""),3852.0)</f>
        <v>3852</v>
      </c>
      <c r="M4112" s="25">
        <f>IFERROR(__xludf.DUMMYFUNCTION("""COMPUTED_VALUE"""),1723693.0)</f>
        <v>1723693</v>
      </c>
    </row>
    <row r="4113">
      <c r="A4113" s="26">
        <f>IFERROR(__xludf.DUMMYFUNCTION("""COMPUTED_VALUE"""),44445.64583333333)</f>
        <v>44445.64583</v>
      </c>
      <c r="B4113" s="9">
        <f>IFERROR(__xludf.DUMMYFUNCTION("""COMPUTED_VALUE"""),1705.15)</f>
        <v>1705.15</v>
      </c>
      <c r="C4113" s="9">
        <f>IFERROR(__xludf.DUMMYFUNCTION("""COMPUTED_VALUE"""),1732.0)</f>
        <v>1732</v>
      </c>
      <c r="D4113" s="9">
        <f>IFERROR(__xludf.DUMMYFUNCTION("""COMPUTED_VALUE"""),1699.35)</f>
        <v>1699.35</v>
      </c>
      <c r="E4113" s="9">
        <f>IFERROR(__xludf.DUMMYFUNCTION("""COMPUTED_VALUE"""),1730.4)</f>
        <v>1730.4</v>
      </c>
      <c r="F4113" s="9">
        <f>IFERROR(__xludf.DUMMYFUNCTION("""COMPUTED_VALUE"""),4876026.0)</f>
        <v>4876026</v>
      </c>
      <c r="H4113" s="27">
        <f>IFERROR(__xludf.DUMMYFUNCTION("""COMPUTED_VALUE"""),44446.64583333333)</f>
        <v>44446.64583</v>
      </c>
      <c r="I4113" s="25">
        <f>IFERROR(__xludf.DUMMYFUNCTION("""COMPUTED_VALUE"""),3864.0)</f>
        <v>3864</v>
      </c>
      <c r="J4113" s="25">
        <f>IFERROR(__xludf.DUMMYFUNCTION("""COMPUTED_VALUE"""),3869.95)</f>
        <v>3869.95</v>
      </c>
      <c r="K4113" s="25">
        <f>IFERROR(__xludf.DUMMYFUNCTION("""COMPUTED_VALUE"""),3808.25)</f>
        <v>3808.25</v>
      </c>
      <c r="L4113" s="25">
        <f>IFERROR(__xludf.DUMMYFUNCTION("""COMPUTED_VALUE"""),3815.9)</f>
        <v>3815.9</v>
      </c>
      <c r="M4113" s="25">
        <f>IFERROR(__xludf.DUMMYFUNCTION("""COMPUTED_VALUE"""),1585039.0)</f>
        <v>1585039</v>
      </c>
    </row>
    <row r="4114">
      <c r="A4114" s="26">
        <f>IFERROR(__xludf.DUMMYFUNCTION("""COMPUTED_VALUE"""),44446.64583333333)</f>
        <v>44446.64583</v>
      </c>
      <c r="B4114" s="9">
        <f>IFERROR(__xludf.DUMMYFUNCTION("""COMPUTED_VALUE"""),1730.0)</f>
        <v>1730</v>
      </c>
      <c r="C4114" s="9">
        <f>IFERROR(__xludf.DUMMYFUNCTION("""COMPUTED_VALUE"""),1734.9)</f>
        <v>1734.9</v>
      </c>
      <c r="D4114" s="9">
        <f>IFERROR(__xludf.DUMMYFUNCTION("""COMPUTED_VALUE"""),1704.0)</f>
        <v>1704</v>
      </c>
      <c r="E4114" s="9">
        <f>IFERROR(__xludf.DUMMYFUNCTION("""COMPUTED_VALUE"""),1706.65)</f>
        <v>1706.65</v>
      </c>
      <c r="F4114" s="9">
        <f>IFERROR(__xludf.DUMMYFUNCTION("""COMPUTED_VALUE"""),3520341.0)</f>
        <v>3520341</v>
      </c>
      <c r="H4114" s="27">
        <f>IFERROR(__xludf.DUMMYFUNCTION("""COMPUTED_VALUE"""),44447.64583333333)</f>
        <v>44447.64583</v>
      </c>
      <c r="I4114" s="25">
        <f>IFERROR(__xludf.DUMMYFUNCTION("""COMPUTED_VALUE"""),3810.0)</f>
        <v>3810</v>
      </c>
      <c r="J4114" s="25">
        <f>IFERROR(__xludf.DUMMYFUNCTION("""COMPUTED_VALUE"""),3815.0)</f>
        <v>3815</v>
      </c>
      <c r="K4114" s="25">
        <f>IFERROR(__xludf.DUMMYFUNCTION("""COMPUTED_VALUE"""),3756.0)</f>
        <v>3756</v>
      </c>
      <c r="L4114" s="25">
        <f>IFERROR(__xludf.DUMMYFUNCTION("""COMPUTED_VALUE"""),3774.15)</f>
        <v>3774.15</v>
      </c>
      <c r="M4114" s="25">
        <f>IFERROR(__xludf.DUMMYFUNCTION("""COMPUTED_VALUE"""),4147175.0)</f>
        <v>4147175</v>
      </c>
    </row>
    <row r="4115">
      <c r="A4115" s="26">
        <f>IFERROR(__xludf.DUMMYFUNCTION("""COMPUTED_VALUE"""),44447.64583333333)</f>
        <v>44447.64583</v>
      </c>
      <c r="B4115" s="9">
        <f>IFERROR(__xludf.DUMMYFUNCTION("""COMPUTED_VALUE"""),1700.85)</f>
        <v>1700.85</v>
      </c>
      <c r="C4115" s="9">
        <f>IFERROR(__xludf.DUMMYFUNCTION("""COMPUTED_VALUE"""),1700.85)</f>
        <v>1700.85</v>
      </c>
      <c r="D4115" s="9">
        <f>IFERROR(__xludf.DUMMYFUNCTION("""COMPUTED_VALUE"""),1682.95)</f>
        <v>1682.95</v>
      </c>
      <c r="E4115" s="9">
        <f>IFERROR(__xludf.DUMMYFUNCTION("""COMPUTED_VALUE"""),1693.25)</f>
        <v>1693.25</v>
      </c>
      <c r="F4115" s="9">
        <f>IFERROR(__xludf.DUMMYFUNCTION("""COMPUTED_VALUE"""),4584896.0)</f>
        <v>4584896</v>
      </c>
      <c r="H4115" s="27">
        <f>IFERROR(__xludf.DUMMYFUNCTION("""COMPUTED_VALUE"""),44448.64583333333)</f>
        <v>44448.64583</v>
      </c>
      <c r="I4115" s="25">
        <f>IFERROR(__xludf.DUMMYFUNCTION("""COMPUTED_VALUE"""),3789.7)</f>
        <v>3789.7</v>
      </c>
      <c r="J4115" s="25">
        <f>IFERROR(__xludf.DUMMYFUNCTION("""COMPUTED_VALUE"""),3808.7)</f>
        <v>3808.7</v>
      </c>
      <c r="K4115" s="25">
        <f>IFERROR(__xludf.DUMMYFUNCTION("""COMPUTED_VALUE"""),3765.0)</f>
        <v>3765</v>
      </c>
      <c r="L4115" s="25">
        <f>IFERROR(__xludf.DUMMYFUNCTION("""COMPUTED_VALUE"""),3791.4)</f>
        <v>3791.4</v>
      </c>
      <c r="M4115" s="25">
        <f>IFERROR(__xludf.DUMMYFUNCTION("""COMPUTED_VALUE"""),1441148.0)</f>
        <v>1441148</v>
      </c>
    </row>
    <row r="4116">
      <c r="A4116" s="26">
        <f>IFERROR(__xludf.DUMMYFUNCTION("""COMPUTED_VALUE"""),44448.64583333333)</f>
        <v>44448.64583</v>
      </c>
      <c r="B4116" s="9">
        <f>IFERROR(__xludf.DUMMYFUNCTION("""COMPUTED_VALUE"""),1685.9)</f>
        <v>1685.9</v>
      </c>
      <c r="C4116" s="9">
        <f>IFERROR(__xludf.DUMMYFUNCTION("""COMPUTED_VALUE"""),1694.9)</f>
        <v>1694.9</v>
      </c>
      <c r="D4116" s="9">
        <f>IFERROR(__xludf.DUMMYFUNCTION("""COMPUTED_VALUE"""),1682.15)</f>
        <v>1682.15</v>
      </c>
      <c r="E4116" s="9">
        <f>IFERROR(__xludf.DUMMYFUNCTION("""COMPUTED_VALUE"""),1691.6)</f>
        <v>1691.6</v>
      </c>
      <c r="F4116" s="9">
        <f>IFERROR(__xludf.DUMMYFUNCTION("""COMPUTED_VALUE"""),3331674.0)</f>
        <v>3331674</v>
      </c>
      <c r="H4116" s="27">
        <f>IFERROR(__xludf.DUMMYFUNCTION("""COMPUTED_VALUE"""),44452.64583333333)</f>
        <v>44452.64583</v>
      </c>
      <c r="I4116" s="25">
        <f>IFERROR(__xludf.DUMMYFUNCTION("""COMPUTED_VALUE"""),3767.0)</f>
        <v>3767</v>
      </c>
      <c r="J4116" s="25">
        <f>IFERROR(__xludf.DUMMYFUNCTION("""COMPUTED_VALUE"""),3852.4)</f>
        <v>3852.4</v>
      </c>
      <c r="K4116" s="25">
        <f>IFERROR(__xludf.DUMMYFUNCTION("""COMPUTED_VALUE"""),3767.0)</f>
        <v>3767</v>
      </c>
      <c r="L4116" s="25">
        <f>IFERROR(__xludf.DUMMYFUNCTION("""COMPUTED_VALUE"""),3845.35)</f>
        <v>3845.35</v>
      </c>
      <c r="M4116" s="25">
        <f>IFERROR(__xludf.DUMMYFUNCTION("""COMPUTED_VALUE"""),1691473.0)</f>
        <v>1691473</v>
      </c>
    </row>
    <row r="4117">
      <c r="A4117" s="26">
        <f>IFERROR(__xludf.DUMMYFUNCTION("""COMPUTED_VALUE"""),44452.64583333333)</f>
        <v>44452.64583</v>
      </c>
      <c r="B4117" s="9">
        <f>IFERROR(__xludf.DUMMYFUNCTION("""COMPUTED_VALUE"""),1683.0)</f>
        <v>1683</v>
      </c>
      <c r="C4117" s="9">
        <f>IFERROR(__xludf.DUMMYFUNCTION("""COMPUTED_VALUE"""),1701.5)</f>
        <v>1701.5</v>
      </c>
      <c r="D4117" s="9">
        <f>IFERROR(__xludf.DUMMYFUNCTION("""COMPUTED_VALUE"""),1675.2)</f>
        <v>1675.2</v>
      </c>
      <c r="E4117" s="9">
        <f>IFERROR(__xludf.DUMMYFUNCTION("""COMPUTED_VALUE"""),1691.9)</f>
        <v>1691.9</v>
      </c>
      <c r="F4117" s="9">
        <f>IFERROR(__xludf.DUMMYFUNCTION("""COMPUTED_VALUE"""),4662374.0)</f>
        <v>4662374</v>
      </c>
      <c r="H4117" s="27">
        <f>IFERROR(__xludf.DUMMYFUNCTION("""COMPUTED_VALUE"""),44453.64583333333)</f>
        <v>44453.64583</v>
      </c>
      <c r="I4117" s="25">
        <f>IFERROR(__xludf.DUMMYFUNCTION("""COMPUTED_VALUE"""),3849.95)</f>
        <v>3849.95</v>
      </c>
      <c r="J4117" s="25">
        <f>IFERROR(__xludf.DUMMYFUNCTION("""COMPUTED_VALUE"""),3896.5)</f>
        <v>3896.5</v>
      </c>
      <c r="K4117" s="25">
        <f>IFERROR(__xludf.DUMMYFUNCTION("""COMPUTED_VALUE"""),3825.0)</f>
        <v>3825</v>
      </c>
      <c r="L4117" s="25">
        <f>IFERROR(__xludf.DUMMYFUNCTION("""COMPUTED_VALUE"""),3885.9)</f>
        <v>3885.9</v>
      </c>
      <c r="M4117" s="25">
        <f>IFERROR(__xludf.DUMMYFUNCTION("""COMPUTED_VALUE"""),1991188.0)</f>
        <v>1991188</v>
      </c>
    </row>
    <row r="4118">
      <c r="A4118" s="26">
        <f>IFERROR(__xludf.DUMMYFUNCTION("""COMPUTED_VALUE"""),44453.64583333333)</f>
        <v>44453.64583</v>
      </c>
      <c r="B4118" s="9">
        <f>IFERROR(__xludf.DUMMYFUNCTION("""COMPUTED_VALUE"""),1695.95)</f>
        <v>1695.95</v>
      </c>
      <c r="C4118" s="9">
        <f>IFERROR(__xludf.DUMMYFUNCTION("""COMPUTED_VALUE"""),1695.95)</f>
        <v>1695.95</v>
      </c>
      <c r="D4118" s="9">
        <f>IFERROR(__xludf.DUMMYFUNCTION("""COMPUTED_VALUE"""),1678.6)</f>
        <v>1678.6</v>
      </c>
      <c r="E4118" s="9">
        <f>IFERROR(__xludf.DUMMYFUNCTION("""COMPUTED_VALUE"""),1686.15)</f>
        <v>1686.15</v>
      </c>
      <c r="F4118" s="9">
        <f>IFERROR(__xludf.DUMMYFUNCTION("""COMPUTED_VALUE"""),4945167.0)</f>
        <v>4945167</v>
      </c>
      <c r="H4118" s="27">
        <f>IFERROR(__xludf.DUMMYFUNCTION("""COMPUTED_VALUE"""),44454.64583333333)</f>
        <v>44454.64583</v>
      </c>
      <c r="I4118" s="25">
        <f>IFERROR(__xludf.DUMMYFUNCTION("""COMPUTED_VALUE"""),3882.1)</f>
        <v>3882.1</v>
      </c>
      <c r="J4118" s="25">
        <f>IFERROR(__xludf.DUMMYFUNCTION("""COMPUTED_VALUE"""),3980.0)</f>
        <v>3980</v>
      </c>
      <c r="K4118" s="25">
        <f>IFERROR(__xludf.DUMMYFUNCTION("""COMPUTED_VALUE"""),3866.0)</f>
        <v>3866</v>
      </c>
      <c r="L4118" s="25">
        <f>IFERROR(__xludf.DUMMYFUNCTION("""COMPUTED_VALUE"""),3954.55)</f>
        <v>3954.55</v>
      </c>
      <c r="M4118" s="25">
        <f>IFERROR(__xludf.DUMMYFUNCTION("""COMPUTED_VALUE"""),2461369.0)</f>
        <v>2461369</v>
      </c>
    </row>
    <row r="4119">
      <c r="A4119" s="26">
        <f>IFERROR(__xludf.DUMMYFUNCTION("""COMPUTED_VALUE"""),44454.64583333333)</f>
        <v>44454.64583</v>
      </c>
      <c r="B4119" s="9">
        <f>IFERROR(__xludf.DUMMYFUNCTION("""COMPUTED_VALUE"""),1693.25)</f>
        <v>1693.25</v>
      </c>
      <c r="C4119" s="9">
        <f>IFERROR(__xludf.DUMMYFUNCTION("""COMPUTED_VALUE"""),1715.1)</f>
        <v>1715.1</v>
      </c>
      <c r="D4119" s="9">
        <f>IFERROR(__xludf.DUMMYFUNCTION("""COMPUTED_VALUE"""),1690.2)</f>
        <v>1690.2</v>
      </c>
      <c r="E4119" s="9">
        <f>IFERROR(__xludf.DUMMYFUNCTION("""COMPUTED_VALUE"""),1711.45)</f>
        <v>1711.45</v>
      </c>
      <c r="F4119" s="9">
        <f>IFERROR(__xludf.DUMMYFUNCTION("""COMPUTED_VALUE"""),4062344.0)</f>
        <v>4062344</v>
      </c>
      <c r="H4119" s="27">
        <f>IFERROR(__xludf.DUMMYFUNCTION("""COMPUTED_VALUE"""),44455.64583333333)</f>
        <v>44455.64583</v>
      </c>
      <c r="I4119" s="25">
        <f>IFERROR(__xludf.DUMMYFUNCTION("""COMPUTED_VALUE"""),3930.0)</f>
        <v>3930</v>
      </c>
      <c r="J4119" s="25">
        <f>IFERROR(__xludf.DUMMYFUNCTION("""COMPUTED_VALUE"""),3981.75)</f>
        <v>3981.75</v>
      </c>
      <c r="K4119" s="25">
        <f>IFERROR(__xludf.DUMMYFUNCTION("""COMPUTED_VALUE"""),3892.1)</f>
        <v>3892.1</v>
      </c>
      <c r="L4119" s="25">
        <f>IFERROR(__xludf.DUMMYFUNCTION("""COMPUTED_VALUE"""),3903.3)</f>
        <v>3903.3</v>
      </c>
      <c r="M4119" s="25">
        <f>IFERROR(__xludf.DUMMYFUNCTION("""COMPUTED_VALUE"""),2946666.0)</f>
        <v>2946666</v>
      </c>
    </row>
    <row r="4120">
      <c r="A4120" s="26">
        <f>IFERROR(__xludf.DUMMYFUNCTION("""COMPUTED_VALUE"""),44455.64583333333)</f>
        <v>44455.64583</v>
      </c>
      <c r="B4120" s="9">
        <f>IFERROR(__xludf.DUMMYFUNCTION("""COMPUTED_VALUE"""),1715.2)</f>
        <v>1715.2</v>
      </c>
      <c r="C4120" s="9">
        <f>IFERROR(__xludf.DUMMYFUNCTION("""COMPUTED_VALUE"""),1719.25)</f>
        <v>1719.25</v>
      </c>
      <c r="D4120" s="9">
        <f>IFERROR(__xludf.DUMMYFUNCTION("""COMPUTED_VALUE"""),1691.45)</f>
        <v>1691.45</v>
      </c>
      <c r="E4120" s="9">
        <f>IFERROR(__xludf.DUMMYFUNCTION("""COMPUTED_VALUE"""),1702.25)</f>
        <v>1702.25</v>
      </c>
      <c r="F4120" s="9">
        <f>IFERROR(__xludf.DUMMYFUNCTION("""COMPUTED_VALUE"""),3246568.0)</f>
        <v>3246568</v>
      </c>
      <c r="H4120" s="27">
        <f>IFERROR(__xludf.DUMMYFUNCTION("""COMPUTED_VALUE"""),44456.64583333333)</f>
        <v>44456.64583</v>
      </c>
      <c r="I4120" s="25">
        <f>IFERROR(__xludf.DUMMYFUNCTION("""COMPUTED_VALUE"""),3920.0)</f>
        <v>3920</v>
      </c>
      <c r="J4120" s="25">
        <f>IFERROR(__xludf.DUMMYFUNCTION("""COMPUTED_VALUE"""),3945.0)</f>
        <v>3945</v>
      </c>
      <c r="K4120" s="25">
        <f>IFERROR(__xludf.DUMMYFUNCTION("""COMPUTED_VALUE"""),3805.0)</f>
        <v>3805</v>
      </c>
      <c r="L4120" s="25">
        <f>IFERROR(__xludf.DUMMYFUNCTION("""COMPUTED_VALUE"""),3827.85)</f>
        <v>3827.85</v>
      </c>
      <c r="M4120" s="25">
        <f>IFERROR(__xludf.DUMMYFUNCTION("""COMPUTED_VALUE"""),6477148.0)</f>
        <v>6477148</v>
      </c>
    </row>
    <row r="4121">
      <c r="A4121" s="26">
        <f>IFERROR(__xludf.DUMMYFUNCTION("""COMPUTED_VALUE"""),44456.64583333333)</f>
        <v>44456.64583</v>
      </c>
      <c r="B4121" s="9">
        <f>IFERROR(__xludf.DUMMYFUNCTION("""COMPUTED_VALUE"""),1697.0)</f>
        <v>1697</v>
      </c>
      <c r="C4121" s="9">
        <f>IFERROR(__xludf.DUMMYFUNCTION("""COMPUTED_VALUE"""),1718.0)</f>
        <v>1718</v>
      </c>
      <c r="D4121" s="9">
        <f>IFERROR(__xludf.DUMMYFUNCTION("""COMPUTED_VALUE"""),1684.45)</f>
        <v>1684.45</v>
      </c>
      <c r="E4121" s="9">
        <f>IFERROR(__xludf.DUMMYFUNCTION("""COMPUTED_VALUE"""),1691.3)</f>
        <v>1691.3</v>
      </c>
      <c r="F4121" s="9">
        <f>IFERROR(__xludf.DUMMYFUNCTION("""COMPUTED_VALUE"""),7454864.0)</f>
        <v>7454864</v>
      </c>
      <c r="H4121" s="27">
        <f>IFERROR(__xludf.DUMMYFUNCTION("""COMPUTED_VALUE"""),44459.64583333333)</f>
        <v>44459.64583</v>
      </c>
      <c r="I4121" s="25">
        <f>IFERROR(__xludf.DUMMYFUNCTION("""COMPUTED_VALUE"""),3809.0)</f>
        <v>3809</v>
      </c>
      <c r="J4121" s="25">
        <f>IFERROR(__xludf.DUMMYFUNCTION("""COMPUTED_VALUE"""),3871.0)</f>
        <v>3871</v>
      </c>
      <c r="K4121" s="25">
        <f>IFERROR(__xludf.DUMMYFUNCTION("""COMPUTED_VALUE"""),3807.85)</f>
        <v>3807.85</v>
      </c>
      <c r="L4121" s="25">
        <f>IFERROR(__xludf.DUMMYFUNCTION("""COMPUTED_VALUE"""),3823.5)</f>
        <v>3823.5</v>
      </c>
      <c r="M4121" s="25">
        <f>IFERROR(__xludf.DUMMYFUNCTION("""COMPUTED_VALUE"""),2002008.0)</f>
        <v>2002008</v>
      </c>
    </row>
    <row r="4122">
      <c r="A4122" s="26">
        <f>IFERROR(__xludf.DUMMYFUNCTION("""COMPUTED_VALUE"""),44459.64583333333)</f>
        <v>44459.64583</v>
      </c>
      <c r="B4122" s="9">
        <f>IFERROR(__xludf.DUMMYFUNCTION("""COMPUTED_VALUE"""),1685.0)</f>
        <v>1685</v>
      </c>
      <c r="C4122" s="9">
        <f>IFERROR(__xludf.DUMMYFUNCTION("""COMPUTED_VALUE"""),1707.7)</f>
        <v>1707.7</v>
      </c>
      <c r="D4122" s="9">
        <f>IFERROR(__xludf.DUMMYFUNCTION("""COMPUTED_VALUE"""),1677.95)</f>
        <v>1677.95</v>
      </c>
      <c r="E4122" s="9">
        <f>IFERROR(__xludf.DUMMYFUNCTION("""COMPUTED_VALUE"""),1687.85)</f>
        <v>1687.85</v>
      </c>
      <c r="F4122" s="9">
        <f>IFERROR(__xludf.DUMMYFUNCTION("""COMPUTED_VALUE"""),5660743.0)</f>
        <v>5660743</v>
      </c>
      <c r="H4122" s="27">
        <f>IFERROR(__xludf.DUMMYFUNCTION("""COMPUTED_VALUE"""),44460.64583333333)</f>
        <v>44460.64583</v>
      </c>
      <c r="I4122" s="25">
        <f>IFERROR(__xludf.DUMMYFUNCTION("""COMPUTED_VALUE"""),3858.0)</f>
        <v>3858</v>
      </c>
      <c r="J4122" s="25">
        <f>IFERROR(__xludf.DUMMYFUNCTION("""COMPUTED_VALUE"""),3871.55)</f>
        <v>3871.55</v>
      </c>
      <c r="K4122" s="25">
        <f>IFERROR(__xludf.DUMMYFUNCTION("""COMPUTED_VALUE"""),3821.65)</f>
        <v>3821.65</v>
      </c>
      <c r="L4122" s="25">
        <f>IFERROR(__xludf.DUMMYFUNCTION("""COMPUTED_VALUE"""),3862.95)</f>
        <v>3862.95</v>
      </c>
      <c r="M4122" s="25">
        <f>IFERROR(__xludf.DUMMYFUNCTION("""COMPUTED_VALUE"""),1568129.0)</f>
        <v>1568129</v>
      </c>
    </row>
    <row r="4123">
      <c r="A4123" s="26">
        <f>IFERROR(__xludf.DUMMYFUNCTION("""COMPUTED_VALUE"""),44460.64583333333)</f>
        <v>44460.64583</v>
      </c>
      <c r="B4123" s="9">
        <f>IFERROR(__xludf.DUMMYFUNCTION("""COMPUTED_VALUE"""),1700.0)</f>
        <v>1700</v>
      </c>
      <c r="C4123" s="9">
        <f>IFERROR(__xludf.DUMMYFUNCTION("""COMPUTED_VALUE"""),1726.75)</f>
        <v>1726.75</v>
      </c>
      <c r="D4123" s="9">
        <f>IFERROR(__xludf.DUMMYFUNCTION("""COMPUTED_VALUE"""),1684.65)</f>
        <v>1684.65</v>
      </c>
      <c r="E4123" s="9">
        <f>IFERROR(__xludf.DUMMYFUNCTION("""COMPUTED_VALUE"""),1718.45)</f>
        <v>1718.45</v>
      </c>
      <c r="F4123" s="9">
        <f>IFERROR(__xludf.DUMMYFUNCTION("""COMPUTED_VALUE"""),4672222.0)</f>
        <v>4672222</v>
      </c>
      <c r="H4123" s="27">
        <f>IFERROR(__xludf.DUMMYFUNCTION("""COMPUTED_VALUE"""),44461.64583333333)</f>
        <v>44461.64583</v>
      </c>
      <c r="I4123" s="25">
        <f>IFERROR(__xludf.DUMMYFUNCTION("""COMPUTED_VALUE"""),3862.5)</f>
        <v>3862.5</v>
      </c>
      <c r="J4123" s="25">
        <f>IFERROR(__xludf.DUMMYFUNCTION("""COMPUTED_VALUE"""),3896.85)</f>
        <v>3896.85</v>
      </c>
      <c r="K4123" s="25">
        <f>IFERROR(__xludf.DUMMYFUNCTION("""COMPUTED_VALUE"""),3852.45)</f>
        <v>3852.45</v>
      </c>
      <c r="L4123" s="25">
        <f>IFERROR(__xludf.DUMMYFUNCTION("""COMPUTED_VALUE"""),3862.15)</f>
        <v>3862.15</v>
      </c>
      <c r="M4123" s="25">
        <f>IFERROR(__xludf.DUMMYFUNCTION("""COMPUTED_VALUE"""),1744067.0)</f>
        <v>1744067</v>
      </c>
    </row>
    <row r="4124">
      <c r="A4124" s="26">
        <f>IFERROR(__xludf.DUMMYFUNCTION("""COMPUTED_VALUE"""),44461.64583333333)</f>
        <v>44461.64583</v>
      </c>
      <c r="B4124" s="9">
        <f>IFERROR(__xludf.DUMMYFUNCTION("""COMPUTED_VALUE"""),1717.0)</f>
        <v>1717</v>
      </c>
      <c r="C4124" s="9">
        <f>IFERROR(__xludf.DUMMYFUNCTION("""COMPUTED_VALUE"""),1738.9)</f>
        <v>1738.9</v>
      </c>
      <c r="D4124" s="9">
        <f>IFERROR(__xludf.DUMMYFUNCTION("""COMPUTED_VALUE"""),1713.05)</f>
        <v>1713.05</v>
      </c>
      <c r="E4124" s="9">
        <f>IFERROR(__xludf.DUMMYFUNCTION("""COMPUTED_VALUE"""),1716.9)</f>
        <v>1716.9</v>
      </c>
      <c r="F4124" s="9">
        <f>IFERROR(__xludf.DUMMYFUNCTION("""COMPUTED_VALUE"""),4553892.0)</f>
        <v>4553892</v>
      </c>
      <c r="H4124" s="27">
        <f>IFERROR(__xludf.DUMMYFUNCTION("""COMPUTED_VALUE"""),44462.64583333333)</f>
        <v>44462.64583</v>
      </c>
      <c r="I4124" s="25">
        <f>IFERROR(__xludf.DUMMYFUNCTION("""COMPUTED_VALUE"""),3870.0)</f>
        <v>3870</v>
      </c>
      <c r="J4124" s="25">
        <f>IFERROR(__xludf.DUMMYFUNCTION("""COMPUTED_VALUE"""),3879.0)</f>
        <v>3879</v>
      </c>
      <c r="K4124" s="25">
        <f>IFERROR(__xludf.DUMMYFUNCTION("""COMPUTED_VALUE"""),3835.0)</f>
        <v>3835</v>
      </c>
      <c r="L4124" s="25">
        <f>IFERROR(__xludf.DUMMYFUNCTION("""COMPUTED_VALUE"""),3869.25)</f>
        <v>3869.25</v>
      </c>
      <c r="M4124" s="25">
        <f>IFERROR(__xludf.DUMMYFUNCTION("""COMPUTED_VALUE"""),2003869.0)</f>
        <v>2003869</v>
      </c>
    </row>
    <row r="4125">
      <c r="A4125" s="26">
        <f>IFERROR(__xludf.DUMMYFUNCTION("""COMPUTED_VALUE"""),44462.64583333333)</f>
        <v>44462.64583</v>
      </c>
      <c r="B4125" s="9">
        <f>IFERROR(__xludf.DUMMYFUNCTION("""COMPUTED_VALUE"""),1732.0)</f>
        <v>1732</v>
      </c>
      <c r="C4125" s="9">
        <f>IFERROR(__xludf.DUMMYFUNCTION("""COMPUTED_VALUE"""),1745.0)</f>
        <v>1745</v>
      </c>
      <c r="D4125" s="9">
        <f>IFERROR(__xludf.DUMMYFUNCTION("""COMPUTED_VALUE"""),1721.1)</f>
        <v>1721.1</v>
      </c>
      <c r="E4125" s="9">
        <f>IFERROR(__xludf.DUMMYFUNCTION("""COMPUTED_VALUE"""),1742.55)</f>
        <v>1742.55</v>
      </c>
      <c r="F4125" s="9">
        <f>IFERROR(__xludf.DUMMYFUNCTION("""COMPUTED_VALUE"""),3826090.0)</f>
        <v>3826090</v>
      </c>
      <c r="H4125" s="27">
        <f>IFERROR(__xludf.DUMMYFUNCTION("""COMPUTED_VALUE"""),44463.64583333333)</f>
        <v>44463.64583</v>
      </c>
      <c r="I4125" s="25">
        <f>IFERROR(__xludf.DUMMYFUNCTION("""COMPUTED_VALUE"""),3890.0)</f>
        <v>3890</v>
      </c>
      <c r="J4125" s="25">
        <f>IFERROR(__xludf.DUMMYFUNCTION("""COMPUTED_VALUE"""),3944.4)</f>
        <v>3944.4</v>
      </c>
      <c r="K4125" s="25">
        <f>IFERROR(__xludf.DUMMYFUNCTION("""COMPUTED_VALUE"""),3855.0)</f>
        <v>3855</v>
      </c>
      <c r="L4125" s="25">
        <f>IFERROR(__xludf.DUMMYFUNCTION("""COMPUTED_VALUE"""),3871.3)</f>
        <v>3871.3</v>
      </c>
      <c r="M4125" s="25">
        <f>IFERROR(__xludf.DUMMYFUNCTION("""COMPUTED_VALUE"""),2320754.0)</f>
        <v>2320754</v>
      </c>
    </row>
    <row r="4126">
      <c r="A4126" s="26">
        <f>IFERROR(__xludf.DUMMYFUNCTION("""COMPUTED_VALUE"""),44463.64583333333)</f>
        <v>44463.64583</v>
      </c>
      <c r="B4126" s="9">
        <f>IFERROR(__xludf.DUMMYFUNCTION("""COMPUTED_VALUE"""),1758.0)</f>
        <v>1758</v>
      </c>
      <c r="C4126" s="9">
        <f>IFERROR(__xludf.DUMMYFUNCTION("""COMPUTED_VALUE"""),1788.0)</f>
        <v>1788</v>
      </c>
      <c r="D4126" s="9">
        <f>IFERROR(__xludf.DUMMYFUNCTION("""COMPUTED_VALUE"""),1752.45)</f>
        <v>1752.45</v>
      </c>
      <c r="E4126" s="9">
        <f>IFERROR(__xludf.DUMMYFUNCTION("""COMPUTED_VALUE"""),1763.85)</f>
        <v>1763.85</v>
      </c>
      <c r="F4126" s="9">
        <f>IFERROR(__xludf.DUMMYFUNCTION("""COMPUTED_VALUE"""),8280446.0)</f>
        <v>8280446</v>
      </c>
      <c r="H4126" s="27">
        <f>IFERROR(__xludf.DUMMYFUNCTION("""COMPUTED_VALUE"""),44466.64583333333)</f>
        <v>44466.64583</v>
      </c>
      <c r="I4126" s="25">
        <f>IFERROR(__xludf.DUMMYFUNCTION("""COMPUTED_VALUE"""),3900.0)</f>
        <v>3900</v>
      </c>
      <c r="J4126" s="25">
        <f>IFERROR(__xludf.DUMMYFUNCTION("""COMPUTED_VALUE"""),3904.0)</f>
        <v>3904</v>
      </c>
      <c r="K4126" s="25">
        <f>IFERROR(__xludf.DUMMYFUNCTION("""COMPUTED_VALUE"""),3802.9)</f>
        <v>3802.9</v>
      </c>
      <c r="L4126" s="25">
        <f>IFERROR(__xludf.DUMMYFUNCTION("""COMPUTED_VALUE"""),3836.95)</f>
        <v>3836.95</v>
      </c>
      <c r="M4126" s="25">
        <f>IFERROR(__xludf.DUMMYFUNCTION("""COMPUTED_VALUE"""),1673362.0)</f>
        <v>1673362</v>
      </c>
    </row>
    <row r="4127">
      <c r="A4127" s="26">
        <f>IFERROR(__xludf.DUMMYFUNCTION("""COMPUTED_VALUE"""),44466.64583333333)</f>
        <v>44466.64583</v>
      </c>
      <c r="B4127" s="9">
        <f>IFERROR(__xludf.DUMMYFUNCTION("""COMPUTED_VALUE"""),1768.75)</f>
        <v>1768.75</v>
      </c>
      <c r="C4127" s="9">
        <f>IFERROR(__xludf.DUMMYFUNCTION("""COMPUTED_VALUE"""),1769.0)</f>
        <v>1769</v>
      </c>
      <c r="D4127" s="9">
        <f>IFERROR(__xludf.DUMMYFUNCTION("""COMPUTED_VALUE"""),1718.1)</f>
        <v>1718.1</v>
      </c>
      <c r="E4127" s="9">
        <f>IFERROR(__xludf.DUMMYFUNCTION("""COMPUTED_VALUE"""),1721.15)</f>
        <v>1721.15</v>
      </c>
      <c r="F4127" s="9">
        <f>IFERROR(__xludf.DUMMYFUNCTION("""COMPUTED_VALUE"""),5045337.0)</f>
        <v>5045337</v>
      </c>
      <c r="H4127" s="27">
        <f>IFERROR(__xludf.DUMMYFUNCTION("""COMPUTED_VALUE"""),44467.64583333333)</f>
        <v>44467.64583</v>
      </c>
      <c r="I4127" s="25">
        <f>IFERROR(__xludf.DUMMYFUNCTION("""COMPUTED_VALUE"""),3850.0)</f>
        <v>3850</v>
      </c>
      <c r="J4127" s="25">
        <f>IFERROR(__xludf.DUMMYFUNCTION("""COMPUTED_VALUE"""),3850.0)</f>
        <v>3850</v>
      </c>
      <c r="K4127" s="25">
        <f>IFERROR(__xludf.DUMMYFUNCTION("""COMPUTED_VALUE"""),3751.25)</f>
        <v>3751.25</v>
      </c>
      <c r="L4127" s="25">
        <f>IFERROR(__xludf.DUMMYFUNCTION("""COMPUTED_VALUE"""),3779.15)</f>
        <v>3779.15</v>
      </c>
      <c r="M4127" s="25">
        <f>IFERROR(__xludf.DUMMYFUNCTION("""COMPUTED_VALUE"""),2253075.0)</f>
        <v>2253075</v>
      </c>
    </row>
    <row r="4128">
      <c r="A4128" s="26">
        <f>IFERROR(__xludf.DUMMYFUNCTION("""COMPUTED_VALUE"""),44467.64583333333)</f>
        <v>44467.64583</v>
      </c>
      <c r="B4128" s="9">
        <f>IFERROR(__xludf.DUMMYFUNCTION("""COMPUTED_VALUE"""),1710.0)</f>
        <v>1710</v>
      </c>
      <c r="C4128" s="9">
        <f>IFERROR(__xludf.DUMMYFUNCTION("""COMPUTED_VALUE"""),1710.0)</f>
        <v>1710</v>
      </c>
      <c r="D4128" s="9">
        <f>IFERROR(__xludf.DUMMYFUNCTION("""COMPUTED_VALUE"""),1675.0)</f>
        <v>1675</v>
      </c>
      <c r="E4128" s="9">
        <f>IFERROR(__xludf.DUMMYFUNCTION("""COMPUTED_VALUE"""),1687.1)</f>
        <v>1687.1</v>
      </c>
      <c r="F4128" s="9">
        <f>IFERROR(__xludf.DUMMYFUNCTION("""COMPUTED_VALUE"""),6557197.0)</f>
        <v>6557197</v>
      </c>
      <c r="H4128" s="27">
        <f>IFERROR(__xludf.DUMMYFUNCTION("""COMPUTED_VALUE"""),44468.64583333333)</f>
        <v>44468.64583</v>
      </c>
      <c r="I4128" s="25">
        <f>IFERROR(__xludf.DUMMYFUNCTION("""COMPUTED_VALUE"""),3759.8)</f>
        <v>3759.8</v>
      </c>
      <c r="J4128" s="25">
        <f>IFERROR(__xludf.DUMMYFUNCTION("""COMPUTED_VALUE"""),3806.0)</f>
        <v>3806</v>
      </c>
      <c r="K4128" s="25">
        <f>IFERROR(__xludf.DUMMYFUNCTION("""COMPUTED_VALUE"""),3722.15)</f>
        <v>3722.15</v>
      </c>
      <c r="L4128" s="25">
        <f>IFERROR(__xludf.DUMMYFUNCTION("""COMPUTED_VALUE"""),3791.9)</f>
        <v>3791.9</v>
      </c>
      <c r="M4128" s="25">
        <f>IFERROR(__xludf.DUMMYFUNCTION("""COMPUTED_VALUE"""),2489161.0)</f>
        <v>2489161</v>
      </c>
    </row>
    <row r="4129">
      <c r="A4129" s="26">
        <f>IFERROR(__xludf.DUMMYFUNCTION("""COMPUTED_VALUE"""),44468.64583333333)</f>
        <v>44468.64583</v>
      </c>
      <c r="B4129" s="9">
        <f>IFERROR(__xludf.DUMMYFUNCTION("""COMPUTED_VALUE"""),1659.25)</f>
        <v>1659.25</v>
      </c>
      <c r="C4129" s="9">
        <f>IFERROR(__xludf.DUMMYFUNCTION("""COMPUTED_VALUE"""),1701.4)</f>
        <v>1701.4</v>
      </c>
      <c r="D4129" s="9">
        <f>IFERROR(__xludf.DUMMYFUNCTION("""COMPUTED_VALUE"""),1655.0)</f>
        <v>1655</v>
      </c>
      <c r="E4129" s="9">
        <f>IFERROR(__xludf.DUMMYFUNCTION("""COMPUTED_VALUE"""),1692.25)</f>
        <v>1692.25</v>
      </c>
      <c r="F4129" s="9">
        <f>IFERROR(__xludf.DUMMYFUNCTION("""COMPUTED_VALUE"""),7792548.0)</f>
        <v>7792548</v>
      </c>
      <c r="H4129" s="27">
        <f>IFERROR(__xludf.DUMMYFUNCTION("""COMPUTED_VALUE"""),44469.64583333333)</f>
        <v>44469.64583</v>
      </c>
      <c r="I4129" s="25">
        <f>IFERROR(__xludf.DUMMYFUNCTION("""COMPUTED_VALUE"""),3805.0)</f>
        <v>3805</v>
      </c>
      <c r="J4129" s="25">
        <f>IFERROR(__xludf.DUMMYFUNCTION("""COMPUTED_VALUE"""),3805.0)</f>
        <v>3805</v>
      </c>
      <c r="K4129" s="25">
        <f>IFERROR(__xludf.DUMMYFUNCTION("""COMPUTED_VALUE"""),3750.1)</f>
        <v>3750.1</v>
      </c>
      <c r="L4129" s="25">
        <f>IFERROR(__xludf.DUMMYFUNCTION("""COMPUTED_VALUE"""),3775.55)</f>
        <v>3775.55</v>
      </c>
      <c r="M4129" s="25">
        <f>IFERROR(__xludf.DUMMYFUNCTION("""COMPUTED_VALUE"""),2252412.0)</f>
        <v>2252412</v>
      </c>
    </row>
    <row r="4130">
      <c r="A4130" s="26">
        <f>IFERROR(__xludf.DUMMYFUNCTION("""COMPUTED_VALUE"""),44469.64583333333)</f>
        <v>44469.64583</v>
      </c>
      <c r="B4130" s="9">
        <f>IFERROR(__xludf.DUMMYFUNCTION("""COMPUTED_VALUE"""),1703.0)</f>
        <v>1703</v>
      </c>
      <c r="C4130" s="9">
        <f>IFERROR(__xludf.DUMMYFUNCTION("""COMPUTED_VALUE"""),1703.0)</f>
        <v>1703</v>
      </c>
      <c r="D4130" s="9">
        <f>IFERROR(__xludf.DUMMYFUNCTION("""COMPUTED_VALUE"""),1670.1)</f>
        <v>1670.1</v>
      </c>
      <c r="E4130" s="9">
        <f>IFERROR(__xludf.DUMMYFUNCTION("""COMPUTED_VALUE"""),1675.2)</f>
        <v>1675.2</v>
      </c>
      <c r="F4130" s="9">
        <f>IFERROR(__xludf.DUMMYFUNCTION("""COMPUTED_VALUE"""),6914031.0)</f>
        <v>6914031</v>
      </c>
      <c r="H4130" s="27">
        <f>IFERROR(__xludf.DUMMYFUNCTION("""COMPUTED_VALUE"""),44470.64583333333)</f>
        <v>44470.64583</v>
      </c>
      <c r="I4130" s="25">
        <f>IFERROR(__xludf.DUMMYFUNCTION("""COMPUTED_VALUE"""),3781.75)</f>
        <v>3781.75</v>
      </c>
      <c r="J4130" s="25">
        <f>IFERROR(__xludf.DUMMYFUNCTION("""COMPUTED_VALUE"""),3810.0)</f>
        <v>3810</v>
      </c>
      <c r="K4130" s="25">
        <f>IFERROR(__xludf.DUMMYFUNCTION("""COMPUTED_VALUE"""),3725.0)</f>
        <v>3725</v>
      </c>
      <c r="L4130" s="25">
        <f>IFERROR(__xludf.DUMMYFUNCTION("""COMPUTED_VALUE"""),3730.2)</f>
        <v>3730.2</v>
      </c>
      <c r="M4130" s="25">
        <f>IFERROR(__xludf.DUMMYFUNCTION("""COMPUTED_VALUE"""),1578374.0)</f>
        <v>1578374</v>
      </c>
    </row>
    <row r="4131">
      <c r="A4131" s="26">
        <f>IFERROR(__xludf.DUMMYFUNCTION("""COMPUTED_VALUE"""),44470.64583333333)</f>
        <v>44470.64583</v>
      </c>
      <c r="B4131" s="9">
        <f>IFERROR(__xludf.DUMMYFUNCTION("""COMPUTED_VALUE"""),1665.1)</f>
        <v>1665.1</v>
      </c>
      <c r="C4131" s="9">
        <f>IFERROR(__xludf.DUMMYFUNCTION("""COMPUTED_VALUE"""),1678.95)</f>
        <v>1678.95</v>
      </c>
      <c r="D4131" s="9">
        <f>IFERROR(__xludf.DUMMYFUNCTION("""COMPUTED_VALUE"""),1661.25)</f>
        <v>1661.25</v>
      </c>
      <c r="E4131" s="9">
        <f>IFERROR(__xludf.DUMMYFUNCTION("""COMPUTED_VALUE"""),1665.15)</f>
        <v>1665.15</v>
      </c>
      <c r="F4131" s="9">
        <f>IFERROR(__xludf.DUMMYFUNCTION("""COMPUTED_VALUE"""),5733906.0)</f>
        <v>5733906</v>
      </c>
      <c r="H4131" s="27">
        <f>IFERROR(__xludf.DUMMYFUNCTION("""COMPUTED_VALUE"""),44473.64583333333)</f>
        <v>44473.64583</v>
      </c>
      <c r="I4131" s="25">
        <f>IFERROR(__xludf.DUMMYFUNCTION("""COMPUTED_VALUE"""),3724.8)</f>
        <v>3724.8</v>
      </c>
      <c r="J4131" s="25">
        <f>IFERROR(__xludf.DUMMYFUNCTION("""COMPUTED_VALUE"""),3783.65)</f>
        <v>3783.65</v>
      </c>
      <c r="K4131" s="25">
        <f>IFERROR(__xludf.DUMMYFUNCTION("""COMPUTED_VALUE"""),3707.45)</f>
        <v>3707.45</v>
      </c>
      <c r="L4131" s="25">
        <f>IFERROR(__xludf.DUMMYFUNCTION("""COMPUTED_VALUE"""),3773.3)</f>
        <v>3773.3</v>
      </c>
      <c r="M4131" s="25">
        <f>IFERROR(__xludf.DUMMYFUNCTION("""COMPUTED_VALUE"""),1356860.0)</f>
        <v>1356860</v>
      </c>
    </row>
    <row r="4132">
      <c r="A4132" s="26">
        <f>IFERROR(__xludf.DUMMYFUNCTION("""COMPUTED_VALUE"""),44473.64583333333)</f>
        <v>44473.64583</v>
      </c>
      <c r="B4132" s="9">
        <f>IFERROR(__xludf.DUMMYFUNCTION("""COMPUTED_VALUE"""),1672.5)</f>
        <v>1672.5</v>
      </c>
      <c r="C4132" s="9">
        <f>IFERROR(__xludf.DUMMYFUNCTION("""COMPUTED_VALUE"""),1688.0)</f>
        <v>1688</v>
      </c>
      <c r="D4132" s="9">
        <f>IFERROR(__xludf.DUMMYFUNCTION("""COMPUTED_VALUE"""),1665.4)</f>
        <v>1665.4</v>
      </c>
      <c r="E4132" s="9">
        <f>IFERROR(__xludf.DUMMYFUNCTION("""COMPUTED_VALUE"""),1678.75)</f>
        <v>1678.75</v>
      </c>
      <c r="F4132" s="9">
        <f>IFERROR(__xludf.DUMMYFUNCTION("""COMPUTED_VALUE"""),2947154.0)</f>
        <v>2947154</v>
      </c>
      <c r="H4132" s="27">
        <f>IFERROR(__xludf.DUMMYFUNCTION("""COMPUTED_VALUE"""),44474.64583333333)</f>
        <v>44474.64583</v>
      </c>
      <c r="I4132" s="25">
        <f>IFERROR(__xludf.DUMMYFUNCTION("""COMPUTED_VALUE"""),3754.0)</f>
        <v>3754</v>
      </c>
      <c r="J4132" s="25">
        <f>IFERROR(__xludf.DUMMYFUNCTION("""COMPUTED_VALUE"""),3840.0)</f>
        <v>3840</v>
      </c>
      <c r="K4132" s="25">
        <f>IFERROR(__xludf.DUMMYFUNCTION("""COMPUTED_VALUE"""),3741.6)</f>
        <v>3741.6</v>
      </c>
      <c r="L4132" s="25">
        <f>IFERROR(__xludf.DUMMYFUNCTION("""COMPUTED_VALUE"""),3833.3)</f>
        <v>3833.3</v>
      </c>
      <c r="M4132" s="25">
        <f>IFERROR(__xludf.DUMMYFUNCTION("""COMPUTED_VALUE"""),1877966.0)</f>
        <v>1877966</v>
      </c>
    </row>
    <row r="4133">
      <c r="A4133" s="26">
        <f>IFERROR(__xludf.DUMMYFUNCTION("""COMPUTED_VALUE"""),44474.64583333333)</f>
        <v>44474.64583</v>
      </c>
      <c r="B4133" s="9">
        <f>IFERROR(__xludf.DUMMYFUNCTION("""COMPUTED_VALUE"""),1671.0)</f>
        <v>1671</v>
      </c>
      <c r="C4133" s="9">
        <f>IFERROR(__xludf.DUMMYFUNCTION("""COMPUTED_VALUE"""),1702.95)</f>
        <v>1702.95</v>
      </c>
      <c r="D4133" s="9">
        <f>IFERROR(__xludf.DUMMYFUNCTION("""COMPUTED_VALUE"""),1663.0)</f>
        <v>1663</v>
      </c>
      <c r="E4133" s="9">
        <f>IFERROR(__xludf.DUMMYFUNCTION("""COMPUTED_VALUE"""),1692.8)</f>
        <v>1692.8</v>
      </c>
      <c r="F4133" s="9">
        <f>IFERROR(__xludf.DUMMYFUNCTION("""COMPUTED_VALUE"""),4373310.0)</f>
        <v>4373310</v>
      </c>
      <c r="H4133" s="27">
        <f>IFERROR(__xludf.DUMMYFUNCTION("""COMPUTED_VALUE"""),44475.64583333333)</f>
        <v>44475.64583</v>
      </c>
      <c r="I4133" s="25">
        <f>IFERROR(__xludf.DUMMYFUNCTION("""COMPUTED_VALUE"""),3836.0)</f>
        <v>3836</v>
      </c>
      <c r="J4133" s="25">
        <f>IFERROR(__xludf.DUMMYFUNCTION("""COMPUTED_VALUE"""),3857.45)</f>
        <v>3857.45</v>
      </c>
      <c r="K4133" s="25">
        <f>IFERROR(__xludf.DUMMYFUNCTION("""COMPUTED_VALUE"""),3795.0)</f>
        <v>3795</v>
      </c>
      <c r="L4133" s="25">
        <f>IFERROR(__xludf.DUMMYFUNCTION("""COMPUTED_VALUE"""),3810.9)</f>
        <v>3810.9</v>
      </c>
      <c r="M4133" s="25">
        <f>IFERROR(__xludf.DUMMYFUNCTION("""COMPUTED_VALUE"""),1678154.0)</f>
        <v>1678154</v>
      </c>
    </row>
    <row r="4134">
      <c r="A4134" s="26">
        <f>IFERROR(__xludf.DUMMYFUNCTION("""COMPUTED_VALUE"""),44475.64583333333)</f>
        <v>44475.64583</v>
      </c>
      <c r="B4134" s="9">
        <f>IFERROR(__xludf.DUMMYFUNCTION("""COMPUTED_VALUE"""),1702.1)</f>
        <v>1702.1</v>
      </c>
      <c r="C4134" s="9">
        <f>IFERROR(__xludf.DUMMYFUNCTION("""COMPUTED_VALUE"""),1709.0)</f>
        <v>1709</v>
      </c>
      <c r="D4134" s="9">
        <f>IFERROR(__xludf.DUMMYFUNCTION("""COMPUTED_VALUE"""),1670.0)</f>
        <v>1670</v>
      </c>
      <c r="E4134" s="9">
        <f>IFERROR(__xludf.DUMMYFUNCTION("""COMPUTED_VALUE"""),1673.55)</f>
        <v>1673.55</v>
      </c>
      <c r="F4134" s="9">
        <f>IFERROR(__xludf.DUMMYFUNCTION("""COMPUTED_VALUE"""),4271698.0)</f>
        <v>4271698</v>
      </c>
      <c r="H4134" s="27">
        <f>IFERROR(__xludf.DUMMYFUNCTION("""COMPUTED_VALUE"""),44476.64583333333)</f>
        <v>44476.64583</v>
      </c>
      <c r="I4134" s="25">
        <f>IFERROR(__xludf.DUMMYFUNCTION("""COMPUTED_VALUE"""),3830.0)</f>
        <v>3830</v>
      </c>
      <c r="J4134" s="25">
        <f>IFERROR(__xludf.DUMMYFUNCTION("""COMPUTED_VALUE"""),3899.0)</f>
        <v>3899</v>
      </c>
      <c r="K4134" s="25">
        <f>IFERROR(__xludf.DUMMYFUNCTION("""COMPUTED_VALUE"""),3820.05)</f>
        <v>3820.05</v>
      </c>
      <c r="L4134" s="25">
        <f>IFERROR(__xludf.DUMMYFUNCTION("""COMPUTED_VALUE"""),3892.9)</f>
        <v>3892.9</v>
      </c>
      <c r="M4134" s="25">
        <f>IFERROR(__xludf.DUMMYFUNCTION("""COMPUTED_VALUE"""),1647233.0)</f>
        <v>1647233</v>
      </c>
    </row>
    <row r="4135">
      <c r="A4135" s="26">
        <f>IFERROR(__xludf.DUMMYFUNCTION("""COMPUTED_VALUE"""),44476.64583333333)</f>
        <v>44476.64583</v>
      </c>
      <c r="B4135" s="9">
        <f>IFERROR(__xludf.DUMMYFUNCTION("""COMPUTED_VALUE"""),1687.0)</f>
        <v>1687</v>
      </c>
      <c r="C4135" s="9">
        <f>IFERROR(__xludf.DUMMYFUNCTION("""COMPUTED_VALUE"""),1704.2)</f>
        <v>1704.2</v>
      </c>
      <c r="D4135" s="9">
        <f>IFERROR(__xludf.DUMMYFUNCTION("""COMPUTED_VALUE"""),1676.65)</f>
        <v>1676.65</v>
      </c>
      <c r="E4135" s="9">
        <f>IFERROR(__xludf.DUMMYFUNCTION("""COMPUTED_VALUE"""),1691.0)</f>
        <v>1691</v>
      </c>
      <c r="F4135" s="9">
        <f>IFERROR(__xludf.DUMMYFUNCTION("""COMPUTED_VALUE"""),5476108.0)</f>
        <v>5476108</v>
      </c>
      <c r="H4135" s="27">
        <f>IFERROR(__xludf.DUMMYFUNCTION("""COMPUTED_VALUE"""),44477.64583333333)</f>
        <v>44477.64583</v>
      </c>
      <c r="I4135" s="25">
        <f>IFERROR(__xludf.DUMMYFUNCTION("""COMPUTED_VALUE"""),3925.0)</f>
        <v>3925</v>
      </c>
      <c r="J4135" s="25">
        <f>IFERROR(__xludf.DUMMYFUNCTION("""COMPUTED_VALUE"""),3989.9)</f>
        <v>3989.9</v>
      </c>
      <c r="K4135" s="25">
        <f>IFERROR(__xludf.DUMMYFUNCTION("""COMPUTED_VALUE"""),3900.0)</f>
        <v>3900</v>
      </c>
      <c r="L4135" s="25">
        <f>IFERROR(__xludf.DUMMYFUNCTION("""COMPUTED_VALUE"""),3935.65)</f>
        <v>3935.65</v>
      </c>
      <c r="M4135" s="25">
        <f>IFERROR(__xludf.DUMMYFUNCTION("""COMPUTED_VALUE"""),2934339.0)</f>
        <v>2934339</v>
      </c>
    </row>
    <row r="4136">
      <c r="A4136" s="26">
        <f>IFERROR(__xludf.DUMMYFUNCTION("""COMPUTED_VALUE"""),44477.64583333333)</f>
        <v>44477.64583</v>
      </c>
      <c r="B4136" s="9">
        <f>IFERROR(__xludf.DUMMYFUNCTION("""COMPUTED_VALUE"""),1705.25)</f>
        <v>1705.25</v>
      </c>
      <c r="C4136" s="9">
        <f>IFERROR(__xludf.DUMMYFUNCTION("""COMPUTED_VALUE"""),1731.5)</f>
        <v>1731.5</v>
      </c>
      <c r="D4136" s="9">
        <f>IFERROR(__xludf.DUMMYFUNCTION("""COMPUTED_VALUE"""),1698.4)</f>
        <v>1698.4</v>
      </c>
      <c r="E4136" s="9">
        <f>IFERROR(__xludf.DUMMYFUNCTION("""COMPUTED_VALUE"""),1723.85)</f>
        <v>1723.85</v>
      </c>
      <c r="F4136" s="9">
        <f>IFERROR(__xludf.DUMMYFUNCTION("""COMPUTED_VALUE"""),4738376.0)</f>
        <v>4738376</v>
      </c>
      <c r="H4136" s="27">
        <f>IFERROR(__xludf.DUMMYFUNCTION("""COMPUTED_VALUE"""),44480.64583333333)</f>
        <v>44480.64583</v>
      </c>
      <c r="I4136" s="25">
        <f>IFERROR(__xludf.DUMMYFUNCTION("""COMPUTED_VALUE"""),3755.0)</f>
        <v>3755</v>
      </c>
      <c r="J4136" s="25">
        <f>IFERROR(__xludf.DUMMYFUNCTION("""COMPUTED_VALUE"""),3757.5)</f>
        <v>3757.5</v>
      </c>
      <c r="K4136" s="25">
        <f>IFERROR(__xludf.DUMMYFUNCTION("""COMPUTED_VALUE"""),3660.0)</f>
        <v>3660</v>
      </c>
      <c r="L4136" s="25">
        <f>IFERROR(__xludf.DUMMYFUNCTION("""COMPUTED_VALUE"""),3685.6)</f>
        <v>3685.6</v>
      </c>
      <c r="M4136" s="25">
        <f>IFERROR(__xludf.DUMMYFUNCTION("""COMPUTED_VALUE"""),1.1845402E7)</f>
        <v>11845402</v>
      </c>
    </row>
    <row r="4137">
      <c r="A4137" s="26">
        <f>IFERROR(__xludf.DUMMYFUNCTION("""COMPUTED_VALUE"""),44480.64583333333)</f>
        <v>44480.64583</v>
      </c>
      <c r="B4137" s="9">
        <f>IFERROR(__xludf.DUMMYFUNCTION("""COMPUTED_VALUE"""),1682.0)</f>
        <v>1682</v>
      </c>
      <c r="C4137" s="9">
        <f>IFERROR(__xludf.DUMMYFUNCTION("""COMPUTED_VALUE"""),1730.0)</f>
        <v>1730</v>
      </c>
      <c r="D4137" s="9">
        <f>IFERROR(__xludf.DUMMYFUNCTION("""COMPUTED_VALUE"""),1663.7)</f>
        <v>1663.7</v>
      </c>
      <c r="E4137" s="9">
        <f>IFERROR(__xludf.DUMMYFUNCTION("""COMPUTED_VALUE"""),1690.95)</f>
        <v>1690.95</v>
      </c>
      <c r="F4137" s="9">
        <f>IFERROR(__xludf.DUMMYFUNCTION("""COMPUTED_VALUE"""),8840633.0)</f>
        <v>8840633</v>
      </c>
      <c r="H4137" s="27">
        <f>IFERROR(__xludf.DUMMYFUNCTION("""COMPUTED_VALUE"""),44481.64583333333)</f>
        <v>44481.64583</v>
      </c>
      <c r="I4137" s="25">
        <f>IFERROR(__xludf.DUMMYFUNCTION("""COMPUTED_VALUE"""),3706.0)</f>
        <v>3706</v>
      </c>
      <c r="J4137" s="25">
        <f>IFERROR(__xludf.DUMMYFUNCTION("""COMPUTED_VALUE"""),3707.0)</f>
        <v>3707</v>
      </c>
      <c r="K4137" s="25">
        <f>IFERROR(__xludf.DUMMYFUNCTION("""COMPUTED_VALUE"""),3630.6)</f>
        <v>3630.6</v>
      </c>
      <c r="L4137" s="25">
        <f>IFERROR(__xludf.DUMMYFUNCTION("""COMPUTED_VALUE"""),3652.85)</f>
        <v>3652.85</v>
      </c>
      <c r="M4137" s="25">
        <f>IFERROR(__xludf.DUMMYFUNCTION("""COMPUTED_VALUE"""),5752877.0)</f>
        <v>5752877</v>
      </c>
    </row>
    <row r="4138">
      <c r="A4138" s="26">
        <f>IFERROR(__xludf.DUMMYFUNCTION("""COMPUTED_VALUE"""),44481.64583333333)</f>
        <v>44481.64583</v>
      </c>
      <c r="B4138" s="9">
        <f>IFERROR(__xludf.DUMMYFUNCTION("""COMPUTED_VALUE"""),1677.0)</f>
        <v>1677</v>
      </c>
      <c r="C4138" s="9">
        <f>IFERROR(__xludf.DUMMYFUNCTION("""COMPUTED_VALUE"""),1689.0)</f>
        <v>1689</v>
      </c>
      <c r="D4138" s="9">
        <f>IFERROR(__xludf.DUMMYFUNCTION("""COMPUTED_VALUE"""),1662.0)</f>
        <v>1662</v>
      </c>
      <c r="E4138" s="9">
        <f>IFERROR(__xludf.DUMMYFUNCTION("""COMPUTED_VALUE"""),1685.15)</f>
        <v>1685.15</v>
      </c>
      <c r="F4138" s="9">
        <f>IFERROR(__xludf.DUMMYFUNCTION("""COMPUTED_VALUE"""),7439300.0)</f>
        <v>7439300</v>
      </c>
      <c r="H4138" s="27">
        <f>IFERROR(__xludf.DUMMYFUNCTION("""COMPUTED_VALUE"""),44482.64583333333)</f>
        <v>44482.64583</v>
      </c>
      <c r="I4138" s="25">
        <f>IFERROR(__xludf.DUMMYFUNCTION("""COMPUTED_VALUE"""),3650.0)</f>
        <v>3650</v>
      </c>
      <c r="J4138" s="25">
        <f>IFERROR(__xludf.DUMMYFUNCTION("""COMPUTED_VALUE"""),3675.45)</f>
        <v>3675.45</v>
      </c>
      <c r="K4138" s="25">
        <f>IFERROR(__xludf.DUMMYFUNCTION("""COMPUTED_VALUE"""),3645.0)</f>
        <v>3645</v>
      </c>
      <c r="L4138" s="25">
        <f>IFERROR(__xludf.DUMMYFUNCTION("""COMPUTED_VALUE"""),3655.2)</f>
        <v>3655.2</v>
      </c>
      <c r="M4138" s="25">
        <f>IFERROR(__xludf.DUMMYFUNCTION("""COMPUTED_VALUE"""),3545655.0)</f>
        <v>3545655</v>
      </c>
    </row>
    <row r="4139">
      <c r="A4139" s="26">
        <f>IFERROR(__xludf.DUMMYFUNCTION("""COMPUTED_VALUE"""),44482.64583333333)</f>
        <v>44482.64583</v>
      </c>
      <c r="B4139" s="9">
        <f>IFERROR(__xludf.DUMMYFUNCTION("""COMPUTED_VALUE"""),1695.95)</f>
        <v>1695.95</v>
      </c>
      <c r="C4139" s="9">
        <f>IFERROR(__xludf.DUMMYFUNCTION("""COMPUTED_VALUE"""),1713.65)</f>
        <v>1713.65</v>
      </c>
      <c r="D4139" s="9">
        <f>IFERROR(__xludf.DUMMYFUNCTION("""COMPUTED_VALUE"""),1680.05)</f>
        <v>1680.05</v>
      </c>
      <c r="E4139" s="9">
        <f>IFERROR(__xludf.DUMMYFUNCTION("""COMPUTED_VALUE"""),1709.2)</f>
        <v>1709.2</v>
      </c>
      <c r="F4139" s="9">
        <f>IFERROR(__xludf.DUMMYFUNCTION("""COMPUTED_VALUE"""),7104171.0)</f>
        <v>7104171</v>
      </c>
      <c r="H4139" s="27">
        <f>IFERROR(__xludf.DUMMYFUNCTION("""COMPUTED_VALUE"""),44483.64583333333)</f>
        <v>44483.64583</v>
      </c>
      <c r="I4139" s="25">
        <f>IFERROR(__xludf.DUMMYFUNCTION("""COMPUTED_VALUE"""),3625.0)</f>
        <v>3625</v>
      </c>
      <c r="J4139" s="25">
        <f>IFERROR(__xludf.DUMMYFUNCTION("""COMPUTED_VALUE"""),3670.0)</f>
        <v>3670</v>
      </c>
      <c r="K4139" s="25">
        <f>IFERROR(__xludf.DUMMYFUNCTION("""COMPUTED_VALUE"""),3608.2)</f>
        <v>3608.2</v>
      </c>
      <c r="L4139" s="25">
        <f>IFERROR(__xludf.DUMMYFUNCTION("""COMPUTED_VALUE"""),3611.45)</f>
        <v>3611.45</v>
      </c>
      <c r="M4139" s="25">
        <f>IFERROR(__xludf.DUMMYFUNCTION("""COMPUTED_VALUE"""),6442299.0)</f>
        <v>6442299</v>
      </c>
    </row>
    <row r="4140">
      <c r="A4140" s="26">
        <f>IFERROR(__xludf.DUMMYFUNCTION("""COMPUTED_VALUE"""),44483.64583333333)</f>
        <v>44483.64583</v>
      </c>
      <c r="B4140" s="9">
        <f>IFERROR(__xludf.DUMMYFUNCTION("""COMPUTED_VALUE"""),1754.0)</f>
        <v>1754</v>
      </c>
      <c r="C4140" s="9">
        <f>IFERROR(__xludf.DUMMYFUNCTION("""COMPUTED_VALUE"""),1783.6)</f>
        <v>1783.6</v>
      </c>
      <c r="D4140" s="9">
        <f>IFERROR(__xludf.DUMMYFUNCTION("""COMPUTED_VALUE"""),1698.2)</f>
        <v>1698.2</v>
      </c>
      <c r="E4140" s="9">
        <f>IFERROR(__xludf.DUMMYFUNCTION("""COMPUTED_VALUE"""),1715.75)</f>
        <v>1715.75</v>
      </c>
      <c r="F4140" s="9">
        <f>IFERROR(__xludf.DUMMYFUNCTION("""COMPUTED_VALUE"""),1.9655776E7)</f>
        <v>19655776</v>
      </c>
      <c r="H4140" s="27">
        <f>IFERROR(__xludf.DUMMYFUNCTION("""COMPUTED_VALUE"""),44487.64583333333)</f>
        <v>44487.64583</v>
      </c>
      <c r="I4140" s="25">
        <f>IFERROR(__xludf.DUMMYFUNCTION("""COMPUTED_VALUE"""),3603.45)</f>
        <v>3603.45</v>
      </c>
      <c r="J4140" s="25">
        <f>IFERROR(__xludf.DUMMYFUNCTION("""COMPUTED_VALUE"""),3652.7)</f>
        <v>3652.7</v>
      </c>
      <c r="K4140" s="25">
        <f>IFERROR(__xludf.DUMMYFUNCTION("""COMPUTED_VALUE"""),3601.45)</f>
        <v>3601.45</v>
      </c>
      <c r="L4140" s="25">
        <f>IFERROR(__xludf.DUMMYFUNCTION("""COMPUTED_VALUE"""),3647.15)</f>
        <v>3647.15</v>
      </c>
      <c r="M4140" s="25">
        <f>IFERROR(__xludf.DUMMYFUNCTION("""COMPUTED_VALUE"""),3590107.0)</f>
        <v>3590107</v>
      </c>
    </row>
    <row r="4141">
      <c r="A4141" s="26">
        <f>IFERROR(__xludf.DUMMYFUNCTION("""COMPUTED_VALUE"""),44487.64583333333)</f>
        <v>44487.64583</v>
      </c>
      <c r="B4141" s="9">
        <f>IFERROR(__xludf.DUMMYFUNCTION("""COMPUTED_VALUE"""),1740.0)</f>
        <v>1740</v>
      </c>
      <c r="C4141" s="9">
        <f>IFERROR(__xludf.DUMMYFUNCTION("""COMPUTED_VALUE"""),1799.0)</f>
        <v>1799</v>
      </c>
      <c r="D4141" s="9">
        <f>IFERROR(__xludf.DUMMYFUNCTION("""COMPUTED_VALUE"""),1740.0)</f>
        <v>1740</v>
      </c>
      <c r="E4141" s="9">
        <f>IFERROR(__xludf.DUMMYFUNCTION("""COMPUTED_VALUE"""),1792.15)</f>
        <v>1792.15</v>
      </c>
      <c r="F4141" s="9">
        <f>IFERROR(__xludf.DUMMYFUNCTION("""COMPUTED_VALUE"""),1.3438109E7)</f>
        <v>13438109</v>
      </c>
      <c r="H4141" s="27">
        <f>IFERROR(__xludf.DUMMYFUNCTION("""COMPUTED_VALUE"""),44488.64583333333)</f>
        <v>44488.64583</v>
      </c>
      <c r="I4141" s="25">
        <f>IFERROR(__xludf.DUMMYFUNCTION("""COMPUTED_VALUE"""),3669.0)</f>
        <v>3669</v>
      </c>
      <c r="J4141" s="25">
        <f>IFERROR(__xludf.DUMMYFUNCTION("""COMPUTED_VALUE"""),3690.1)</f>
        <v>3690.1</v>
      </c>
      <c r="K4141" s="25">
        <f>IFERROR(__xludf.DUMMYFUNCTION("""COMPUTED_VALUE"""),3625.2)</f>
        <v>3625.2</v>
      </c>
      <c r="L4141" s="25">
        <f>IFERROR(__xludf.DUMMYFUNCTION("""COMPUTED_VALUE"""),3634.15)</f>
        <v>3634.15</v>
      </c>
      <c r="M4141" s="25">
        <f>IFERROR(__xludf.DUMMYFUNCTION("""COMPUTED_VALUE"""),3135441.0)</f>
        <v>3135441</v>
      </c>
    </row>
    <row r="4142">
      <c r="A4142" s="26">
        <f>IFERROR(__xludf.DUMMYFUNCTION("""COMPUTED_VALUE"""),44488.64583333333)</f>
        <v>44488.64583</v>
      </c>
      <c r="B4142" s="9">
        <f>IFERROR(__xludf.DUMMYFUNCTION("""COMPUTED_VALUE"""),1814.0)</f>
        <v>1814</v>
      </c>
      <c r="C4142" s="9">
        <f>IFERROR(__xludf.DUMMYFUNCTION("""COMPUTED_VALUE"""),1834.5)</f>
        <v>1834.5</v>
      </c>
      <c r="D4142" s="9">
        <f>IFERROR(__xludf.DUMMYFUNCTION("""COMPUTED_VALUE"""),1782.3)</f>
        <v>1782.3</v>
      </c>
      <c r="E4142" s="9">
        <f>IFERROR(__xludf.DUMMYFUNCTION("""COMPUTED_VALUE"""),1822.15)</f>
        <v>1822.15</v>
      </c>
      <c r="F4142" s="9">
        <f>IFERROR(__xludf.DUMMYFUNCTION("""COMPUTED_VALUE"""),1.032426E7)</f>
        <v>10324260</v>
      </c>
      <c r="H4142" s="27">
        <f>IFERROR(__xludf.DUMMYFUNCTION("""COMPUTED_VALUE"""),44489.64583333333)</f>
        <v>44489.64583</v>
      </c>
      <c r="I4142" s="25">
        <f>IFERROR(__xludf.DUMMYFUNCTION("""COMPUTED_VALUE"""),3612.0)</f>
        <v>3612</v>
      </c>
      <c r="J4142" s="25">
        <f>IFERROR(__xludf.DUMMYFUNCTION("""COMPUTED_VALUE"""),3630.0)</f>
        <v>3630</v>
      </c>
      <c r="K4142" s="25">
        <f>IFERROR(__xludf.DUMMYFUNCTION("""COMPUTED_VALUE"""),3578.3)</f>
        <v>3578.3</v>
      </c>
      <c r="L4142" s="25">
        <f>IFERROR(__xludf.DUMMYFUNCTION("""COMPUTED_VALUE"""),3608.85)</f>
        <v>3608.85</v>
      </c>
      <c r="M4142" s="25">
        <f>IFERROR(__xludf.DUMMYFUNCTION("""COMPUTED_VALUE"""),2933693.0)</f>
        <v>2933693</v>
      </c>
    </row>
    <row r="4143">
      <c r="A4143" s="26">
        <f>IFERROR(__xludf.DUMMYFUNCTION("""COMPUTED_VALUE"""),44489.64583333333)</f>
        <v>44489.64583</v>
      </c>
      <c r="B4143" s="9">
        <f>IFERROR(__xludf.DUMMYFUNCTION("""COMPUTED_VALUE"""),1829.4)</f>
        <v>1829.4</v>
      </c>
      <c r="C4143" s="9">
        <f>IFERROR(__xludf.DUMMYFUNCTION("""COMPUTED_VALUE"""),1848.0)</f>
        <v>1848</v>
      </c>
      <c r="D4143" s="9">
        <f>IFERROR(__xludf.DUMMYFUNCTION("""COMPUTED_VALUE"""),1794.05)</f>
        <v>1794.05</v>
      </c>
      <c r="E4143" s="9">
        <f>IFERROR(__xludf.DUMMYFUNCTION("""COMPUTED_VALUE"""),1802.35)</f>
        <v>1802.35</v>
      </c>
      <c r="F4143" s="9">
        <f>IFERROR(__xludf.DUMMYFUNCTION("""COMPUTED_VALUE"""),5876115.0)</f>
        <v>5876115</v>
      </c>
      <c r="H4143" s="27">
        <f>IFERROR(__xludf.DUMMYFUNCTION("""COMPUTED_VALUE"""),44490.64583333333)</f>
        <v>44490.64583</v>
      </c>
      <c r="I4143" s="25">
        <f>IFERROR(__xludf.DUMMYFUNCTION("""COMPUTED_VALUE"""),3604.1)</f>
        <v>3604.1</v>
      </c>
      <c r="J4143" s="25">
        <f>IFERROR(__xludf.DUMMYFUNCTION("""COMPUTED_VALUE"""),3607.45)</f>
        <v>3607.45</v>
      </c>
      <c r="K4143" s="25">
        <f>IFERROR(__xludf.DUMMYFUNCTION("""COMPUTED_VALUE"""),3511.25)</f>
        <v>3511.25</v>
      </c>
      <c r="L4143" s="25">
        <f>IFERROR(__xludf.DUMMYFUNCTION("""COMPUTED_VALUE"""),3532.5)</f>
        <v>3532.5</v>
      </c>
      <c r="M4143" s="25">
        <f>IFERROR(__xludf.DUMMYFUNCTION("""COMPUTED_VALUE"""),4871211.0)</f>
        <v>4871211</v>
      </c>
    </row>
    <row r="4144">
      <c r="A4144" s="26">
        <f>IFERROR(__xludf.DUMMYFUNCTION("""COMPUTED_VALUE"""),44490.64583333333)</f>
        <v>44490.64583</v>
      </c>
      <c r="B4144" s="9">
        <f>IFERROR(__xludf.DUMMYFUNCTION("""COMPUTED_VALUE"""),1814.0)</f>
        <v>1814</v>
      </c>
      <c r="C4144" s="9">
        <f>IFERROR(__xludf.DUMMYFUNCTION("""COMPUTED_VALUE"""),1814.0)</f>
        <v>1814</v>
      </c>
      <c r="D4144" s="9">
        <f>IFERROR(__xludf.DUMMYFUNCTION("""COMPUTED_VALUE"""),1746.85)</f>
        <v>1746.85</v>
      </c>
      <c r="E4144" s="9">
        <f>IFERROR(__xludf.DUMMYFUNCTION("""COMPUTED_VALUE"""),1753.65)</f>
        <v>1753.65</v>
      </c>
      <c r="F4144" s="9">
        <f>IFERROR(__xludf.DUMMYFUNCTION("""COMPUTED_VALUE"""),8779629.0)</f>
        <v>8779629</v>
      </c>
      <c r="H4144" s="27">
        <f>IFERROR(__xludf.DUMMYFUNCTION("""COMPUTED_VALUE"""),44491.64583333333)</f>
        <v>44491.64583</v>
      </c>
      <c r="I4144" s="25">
        <f>IFERROR(__xludf.DUMMYFUNCTION("""COMPUTED_VALUE"""),3560.0)</f>
        <v>3560</v>
      </c>
      <c r="J4144" s="25">
        <f>IFERROR(__xludf.DUMMYFUNCTION("""COMPUTED_VALUE"""),3561.6)</f>
        <v>3561.6</v>
      </c>
      <c r="K4144" s="25">
        <f>IFERROR(__xludf.DUMMYFUNCTION("""COMPUTED_VALUE"""),3485.0)</f>
        <v>3485</v>
      </c>
      <c r="L4144" s="25">
        <f>IFERROR(__xludf.DUMMYFUNCTION("""COMPUTED_VALUE"""),3498.85)</f>
        <v>3498.85</v>
      </c>
      <c r="M4144" s="25">
        <f>IFERROR(__xludf.DUMMYFUNCTION("""COMPUTED_VALUE"""),2691670.0)</f>
        <v>2691670</v>
      </c>
    </row>
    <row r="4145">
      <c r="A4145" s="26">
        <f>IFERROR(__xludf.DUMMYFUNCTION("""COMPUTED_VALUE"""),44491.64583333333)</f>
        <v>44491.64583</v>
      </c>
      <c r="B4145" s="9">
        <f>IFERROR(__xludf.DUMMYFUNCTION("""COMPUTED_VALUE"""),1749.9)</f>
        <v>1749.9</v>
      </c>
      <c r="C4145" s="9">
        <f>IFERROR(__xludf.DUMMYFUNCTION("""COMPUTED_VALUE"""),1763.2)</f>
        <v>1763.2</v>
      </c>
      <c r="D4145" s="9">
        <f>IFERROR(__xludf.DUMMYFUNCTION("""COMPUTED_VALUE"""),1707.0)</f>
        <v>1707</v>
      </c>
      <c r="E4145" s="9">
        <f>IFERROR(__xludf.DUMMYFUNCTION("""COMPUTED_VALUE"""),1719.8)</f>
        <v>1719.8</v>
      </c>
      <c r="F4145" s="9">
        <f>IFERROR(__xludf.DUMMYFUNCTION("""COMPUTED_VALUE"""),7369809.0)</f>
        <v>7369809</v>
      </c>
      <c r="H4145" s="27">
        <f>IFERROR(__xludf.DUMMYFUNCTION("""COMPUTED_VALUE"""),44494.64583333333)</f>
        <v>44494.64583</v>
      </c>
      <c r="I4145" s="25">
        <f>IFERROR(__xludf.DUMMYFUNCTION("""COMPUTED_VALUE"""),3503.0)</f>
        <v>3503</v>
      </c>
      <c r="J4145" s="25">
        <f>IFERROR(__xludf.DUMMYFUNCTION("""COMPUTED_VALUE"""),3514.55)</f>
        <v>3514.55</v>
      </c>
      <c r="K4145" s="25">
        <f>IFERROR(__xludf.DUMMYFUNCTION("""COMPUTED_VALUE"""),3450.0)</f>
        <v>3450</v>
      </c>
      <c r="L4145" s="25">
        <f>IFERROR(__xludf.DUMMYFUNCTION("""COMPUTED_VALUE"""),3492.95)</f>
        <v>3492.95</v>
      </c>
      <c r="M4145" s="25">
        <f>IFERROR(__xludf.DUMMYFUNCTION("""COMPUTED_VALUE"""),2595594.0)</f>
        <v>2595594</v>
      </c>
    </row>
    <row r="4146">
      <c r="A4146" s="26">
        <f>IFERROR(__xludf.DUMMYFUNCTION("""COMPUTED_VALUE"""),44494.64583333333)</f>
        <v>44494.64583</v>
      </c>
      <c r="B4146" s="9">
        <f>IFERROR(__xludf.DUMMYFUNCTION("""COMPUTED_VALUE"""),1722.05)</f>
        <v>1722.05</v>
      </c>
      <c r="C4146" s="9">
        <f>IFERROR(__xludf.DUMMYFUNCTION("""COMPUTED_VALUE"""),1729.75)</f>
        <v>1729.75</v>
      </c>
      <c r="D4146" s="9">
        <f>IFERROR(__xludf.DUMMYFUNCTION("""COMPUTED_VALUE"""),1687.2)</f>
        <v>1687.2</v>
      </c>
      <c r="E4146" s="9">
        <f>IFERROR(__xludf.DUMMYFUNCTION("""COMPUTED_VALUE"""),1707.55)</f>
        <v>1707.55</v>
      </c>
      <c r="F4146" s="9">
        <f>IFERROR(__xludf.DUMMYFUNCTION("""COMPUTED_VALUE"""),5905209.0)</f>
        <v>5905209</v>
      </c>
      <c r="H4146" s="27">
        <f>IFERROR(__xludf.DUMMYFUNCTION("""COMPUTED_VALUE"""),44495.64583333333)</f>
        <v>44495.64583</v>
      </c>
      <c r="I4146" s="25">
        <f>IFERROR(__xludf.DUMMYFUNCTION("""COMPUTED_VALUE"""),3494.5)</f>
        <v>3494.5</v>
      </c>
      <c r="J4146" s="25">
        <f>IFERROR(__xludf.DUMMYFUNCTION("""COMPUTED_VALUE"""),3529.0)</f>
        <v>3529</v>
      </c>
      <c r="K4146" s="25">
        <f>IFERROR(__xludf.DUMMYFUNCTION("""COMPUTED_VALUE"""),3475.0)</f>
        <v>3475</v>
      </c>
      <c r="L4146" s="25">
        <f>IFERROR(__xludf.DUMMYFUNCTION("""COMPUTED_VALUE"""),3482.6)</f>
        <v>3482.6</v>
      </c>
      <c r="M4146" s="25">
        <f>IFERROR(__xludf.DUMMYFUNCTION("""COMPUTED_VALUE"""),3878763.0)</f>
        <v>3878763</v>
      </c>
    </row>
    <row r="4147">
      <c r="A4147" s="26">
        <f>IFERROR(__xludf.DUMMYFUNCTION("""COMPUTED_VALUE"""),44495.64583333333)</f>
        <v>44495.64583</v>
      </c>
      <c r="B4147" s="9">
        <f>IFERROR(__xludf.DUMMYFUNCTION("""COMPUTED_VALUE"""),1710.05)</f>
        <v>1710.05</v>
      </c>
      <c r="C4147" s="9">
        <f>IFERROR(__xludf.DUMMYFUNCTION("""COMPUTED_VALUE"""),1726.6)</f>
        <v>1726.6</v>
      </c>
      <c r="D4147" s="9">
        <f>IFERROR(__xludf.DUMMYFUNCTION("""COMPUTED_VALUE"""),1695.9)</f>
        <v>1695.9</v>
      </c>
      <c r="E4147" s="9">
        <f>IFERROR(__xludf.DUMMYFUNCTION("""COMPUTED_VALUE"""),1703.7)</f>
        <v>1703.7</v>
      </c>
      <c r="F4147" s="9">
        <f>IFERROR(__xludf.DUMMYFUNCTION("""COMPUTED_VALUE"""),5871709.0)</f>
        <v>5871709</v>
      </c>
      <c r="H4147" s="27">
        <f>IFERROR(__xludf.DUMMYFUNCTION("""COMPUTED_VALUE"""),44496.64583333333)</f>
        <v>44496.64583</v>
      </c>
      <c r="I4147" s="25">
        <f>IFERROR(__xludf.DUMMYFUNCTION("""COMPUTED_VALUE"""),3483.0)</f>
        <v>3483</v>
      </c>
      <c r="J4147" s="25">
        <f>IFERROR(__xludf.DUMMYFUNCTION("""COMPUTED_VALUE"""),3511.25)</f>
        <v>3511.25</v>
      </c>
      <c r="K4147" s="25">
        <f>IFERROR(__xludf.DUMMYFUNCTION("""COMPUTED_VALUE"""),3483.0)</f>
        <v>3483</v>
      </c>
      <c r="L4147" s="25">
        <f>IFERROR(__xludf.DUMMYFUNCTION("""COMPUTED_VALUE"""),3489.75)</f>
        <v>3489.75</v>
      </c>
      <c r="M4147" s="25">
        <f>IFERROR(__xludf.DUMMYFUNCTION("""COMPUTED_VALUE"""),2510813.0)</f>
        <v>2510813</v>
      </c>
    </row>
    <row r="4148">
      <c r="A4148" s="26">
        <f>IFERROR(__xludf.DUMMYFUNCTION("""COMPUTED_VALUE"""),44496.64583333333)</f>
        <v>44496.64583</v>
      </c>
      <c r="B4148" s="9">
        <f>IFERROR(__xludf.DUMMYFUNCTION("""COMPUTED_VALUE"""),1709.1)</f>
        <v>1709.1</v>
      </c>
      <c r="C4148" s="9">
        <f>IFERROR(__xludf.DUMMYFUNCTION("""COMPUTED_VALUE"""),1734.15)</f>
        <v>1734.15</v>
      </c>
      <c r="D4148" s="9">
        <f>IFERROR(__xludf.DUMMYFUNCTION("""COMPUTED_VALUE"""),1701.15)</f>
        <v>1701.15</v>
      </c>
      <c r="E4148" s="9">
        <f>IFERROR(__xludf.DUMMYFUNCTION("""COMPUTED_VALUE"""),1728.95)</f>
        <v>1728.95</v>
      </c>
      <c r="F4148" s="9">
        <f>IFERROR(__xludf.DUMMYFUNCTION("""COMPUTED_VALUE"""),5090259.0)</f>
        <v>5090259</v>
      </c>
      <c r="H4148" s="27">
        <f>IFERROR(__xludf.DUMMYFUNCTION("""COMPUTED_VALUE"""),44497.64583333333)</f>
        <v>44497.64583</v>
      </c>
      <c r="I4148" s="25">
        <f>IFERROR(__xludf.DUMMYFUNCTION("""COMPUTED_VALUE"""),3518.0)</f>
        <v>3518</v>
      </c>
      <c r="J4148" s="25">
        <f>IFERROR(__xludf.DUMMYFUNCTION("""COMPUTED_VALUE"""),3518.0)</f>
        <v>3518</v>
      </c>
      <c r="K4148" s="25">
        <f>IFERROR(__xludf.DUMMYFUNCTION("""COMPUTED_VALUE"""),3415.0)</f>
        <v>3415</v>
      </c>
      <c r="L4148" s="25">
        <f>IFERROR(__xludf.DUMMYFUNCTION("""COMPUTED_VALUE"""),3421.65)</f>
        <v>3421.65</v>
      </c>
      <c r="M4148" s="25">
        <f>IFERROR(__xludf.DUMMYFUNCTION("""COMPUTED_VALUE"""),2424942.0)</f>
        <v>2424942</v>
      </c>
    </row>
    <row r="4149">
      <c r="A4149" s="26">
        <f>IFERROR(__xludf.DUMMYFUNCTION("""COMPUTED_VALUE"""),44497.64583333333)</f>
        <v>44497.64583</v>
      </c>
      <c r="B4149" s="9">
        <f>IFERROR(__xludf.DUMMYFUNCTION("""COMPUTED_VALUE"""),1719.35)</f>
        <v>1719.35</v>
      </c>
      <c r="C4149" s="9">
        <f>IFERROR(__xludf.DUMMYFUNCTION("""COMPUTED_VALUE"""),1724.75)</f>
        <v>1724.75</v>
      </c>
      <c r="D4149" s="9">
        <f>IFERROR(__xludf.DUMMYFUNCTION("""COMPUTED_VALUE"""),1692.05)</f>
        <v>1692.05</v>
      </c>
      <c r="E4149" s="9">
        <f>IFERROR(__xludf.DUMMYFUNCTION("""COMPUTED_VALUE"""),1703.9)</f>
        <v>1703.9</v>
      </c>
      <c r="F4149" s="9">
        <f>IFERROR(__xludf.DUMMYFUNCTION("""COMPUTED_VALUE"""),5329972.0)</f>
        <v>5329972</v>
      </c>
      <c r="H4149" s="27">
        <f>IFERROR(__xludf.DUMMYFUNCTION("""COMPUTED_VALUE"""),44498.64583333333)</f>
        <v>44498.64583</v>
      </c>
      <c r="I4149" s="25">
        <f>IFERROR(__xludf.DUMMYFUNCTION("""COMPUTED_VALUE"""),3400.05)</f>
        <v>3400.05</v>
      </c>
      <c r="J4149" s="25">
        <f>IFERROR(__xludf.DUMMYFUNCTION("""COMPUTED_VALUE"""),3461.0)</f>
        <v>3461</v>
      </c>
      <c r="K4149" s="25">
        <f>IFERROR(__xludf.DUMMYFUNCTION("""COMPUTED_VALUE"""),3385.95)</f>
        <v>3385.95</v>
      </c>
      <c r="L4149" s="25">
        <f>IFERROR(__xludf.DUMMYFUNCTION("""COMPUTED_VALUE"""),3397.75)</f>
        <v>3397.75</v>
      </c>
      <c r="M4149" s="25">
        <f>IFERROR(__xludf.DUMMYFUNCTION("""COMPUTED_VALUE"""),3960501.0)</f>
        <v>3960501</v>
      </c>
    </row>
    <row r="4150">
      <c r="A4150" s="26">
        <f>IFERROR(__xludf.DUMMYFUNCTION("""COMPUTED_VALUE"""),44498.64583333333)</f>
        <v>44498.64583</v>
      </c>
      <c r="B4150" s="9">
        <f>IFERROR(__xludf.DUMMYFUNCTION("""COMPUTED_VALUE"""),1699.0)</f>
        <v>1699</v>
      </c>
      <c r="C4150" s="9">
        <f>IFERROR(__xludf.DUMMYFUNCTION("""COMPUTED_VALUE"""),1712.6)</f>
        <v>1712.6</v>
      </c>
      <c r="D4150" s="9">
        <f>IFERROR(__xludf.DUMMYFUNCTION("""COMPUTED_VALUE"""),1661.05)</f>
        <v>1661.05</v>
      </c>
      <c r="E4150" s="9">
        <f>IFERROR(__xludf.DUMMYFUNCTION("""COMPUTED_VALUE"""),1667.75)</f>
        <v>1667.75</v>
      </c>
      <c r="F4150" s="9">
        <f>IFERROR(__xludf.DUMMYFUNCTION("""COMPUTED_VALUE"""),5875091.0)</f>
        <v>5875091</v>
      </c>
      <c r="H4150" s="27">
        <f>IFERROR(__xludf.DUMMYFUNCTION("""COMPUTED_VALUE"""),44501.64583333333)</f>
        <v>44501.64583</v>
      </c>
      <c r="I4150" s="25">
        <f>IFERROR(__xludf.DUMMYFUNCTION("""COMPUTED_VALUE"""),3437.95)</f>
        <v>3437.95</v>
      </c>
      <c r="J4150" s="25">
        <f>IFERROR(__xludf.DUMMYFUNCTION("""COMPUTED_VALUE"""),3487.0)</f>
        <v>3487</v>
      </c>
      <c r="K4150" s="25">
        <f>IFERROR(__xludf.DUMMYFUNCTION("""COMPUTED_VALUE"""),3412.95)</f>
        <v>3412.95</v>
      </c>
      <c r="L4150" s="25">
        <f>IFERROR(__xludf.DUMMYFUNCTION("""COMPUTED_VALUE"""),3476.4)</f>
        <v>3476.4</v>
      </c>
      <c r="M4150" s="25">
        <f>IFERROR(__xludf.DUMMYFUNCTION("""COMPUTED_VALUE"""),2020718.0)</f>
        <v>2020718</v>
      </c>
    </row>
    <row r="4151">
      <c r="A4151" s="26">
        <f>IFERROR(__xludf.DUMMYFUNCTION("""COMPUTED_VALUE"""),44501.64583333333)</f>
        <v>44501.64583</v>
      </c>
      <c r="B4151" s="9">
        <f>IFERROR(__xludf.DUMMYFUNCTION("""COMPUTED_VALUE"""),1677.5)</f>
        <v>1677.5</v>
      </c>
      <c r="C4151" s="9">
        <f>IFERROR(__xludf.DUMMYFUNCTION("""COMPUTED_VALUE"""),1707.2)</f>
        <v>1707.2</v>
      </c>
      <c r="D4151" s="9">
        <f>IFERROR(__xludf.DUMMYFUNCTION("""COMPUTED_VALUE"""),1676.0)</f>
        <v>1676</v>
      </c>
      <c r="E4151" s="9">
        <f>IFERROR(__xludf.DUMMYFUNCTION("""COMPUTED_VALUE"""),1700.05)</f>
        <v>1700.05</v>
      </c>
      <c r="F4151" s="9">
        <f>IFERROR(__xludf.DUMMYFUNCTION("""COMPUTED_VALUE"""),3636806.0)</f>
        <v>3636806</v>
      </c>
      <c r="H4151" s="27">
        <f>IFERROR(__xludf.DUMMYFUNCTION("""COMPUTED_VALUE"""),44502.64583333333)</f>
        <v>44502.64583</v>
      </c>
      <c r="I4151" s="25">
        <f>IFERROR(__xludf.DUMMYFUNCTION("""COMPUTED_VALUE"""),3494.0)</f>
        <v>3494</v>
      </c>
      <c r="J4151" s="25">
        <f>IFERROR(__xludf.DUMMYFUNCTION("""COMPUTED_VALUE"""),3513.6)</f>
        <v>3513.6</v>
      </c>
      <c r="K4151" s="25">
        <f>IFERROR(__xludf.DUMMYFUNCTION("""COMPUTED_VALUE"""),3469.75)</f>
        <v>3469.75</v>
      </c>
      <c r="L4151" s="25">
        <f>IFERROR(__xludf.DUMMYFUNCTION("""COMPUTED_VALUE"""),3484.2)</f>
        <v>3484.2</v>
      </c>
      <c r="M4151" s="25">
        <f>IFERROR(__xludf.DUMMYFUNCTION("""COMPUTED_VALUE"""),3087414.0)</f>
        <v>3087414</v>
      </c>
    </row>
    <row r="4152">
      <c r="A4152" s="26">
        <f>IFERROR(__xludf.DUMMYFUNCTION("""COMPUTED_VALUE"""),44502.64583333333)</f>
        <v>44502.64583</v>
      </c>
      <c r="B4152" s="9">
        <f>IFERROR(__xludf.DUMMYFUNCTION("""COMPUTED_VALUE"""),1695.0)</f>
        <v>1695</v>
      </c>
      <c r="C4152" s="9">
        <f>IFERROR(__xludf.DUMMYFUNCTION("""COMPUTED_VALUE"""),1706.45)</f>
        <v>1706.45</v>
      </c>
      <c r="D4152" s="9">
        <f>IFERROR(__xludf.DUMMYFUNCTION("""COMPUTED_VALUE"""),1686.35)</f>
        <v>1686.35</v>
      </c>
      <c r="E4152" s="9">
        <f>IFERROR(__xludf.DUMMYFUNCTION("""COMPUTED_VALUE"""),1697.9)</f>
        <v>1697.9</v>
      </c>
      <c r="F4152" s="9">
        <f>IFERROR(__xludf.DUMMYFUNCTION("""COMPUTED_VALUE"""),3471772.0)</f>
        <v>3471772</v>
      </c>
      <c r="H4152" s="27">
        <f>IFERROR(__xludf.DUMMYFUNCTION("""COMPUTED_VALUE"""),44503.64583333333)</f>
        <v>44503.64583</v>
      </c>
      <c r="I4152" s="25">
        <f>IFERROR(__xludf.DUMMYFUNCTION("""COMPUTED_VALUE"""),3504.2)</f>
        <v>3504.2</v>
      </c>
      <c r="J4152" s="25">
        <f>IFERROR(__xludf.DUMMYFUNCTION("""COMPUTED_VALUE"""),3519.9)</f>
        <v>3519.9</v>
      </c>
      <c r="K4152" s="25">
        <f>IFERROR(__xludf.DUMMYFUNCTION("""COMPUTED_VALUE"""),3466.05)</f>
        <v>3466.05</v>
      </c>
      <c r="L4152" s="25">
        <f>IFERROR(__xludf.DUMMYFUNCTION("""COMPUTED_VALUE"""),3492.25)</f>
        <v>3492.25</v>
      </c>
      <c r="M4152" s="25">
        <f>IFERROR(__xludf.DUMMYFUNCTION("""COMPUTED_VALUE"""),1537639.0)</f>
        <v>1537639</v>
      </c>
    </row>
    <row r="4153">
      <c r="A4153" s="26">
        <f>IFERROR(__xludf.DUMMYFUNCTION("""COMPUTED_VALUE"""),44503.64583333333)</f>
        <v>44503.64583</v>
      </c>
      <c r="B4153" s="9">
        <f>IFERROR(__xludf.DUMMYFUNCTION("""COMPUTED_VALUE"""),1709.0)</f>
        <v>1709</v>
      </c>
      <c r="C4153" s="9">
        <f>IFERROR(__xludf.DUMMYFUNCTION("""COMPUTED_VALUE"""),1717.45)</f>
        <v>1717.45</v>
      </c>
      <c r="D4153" s="9">
        <f>IFERROR(__xludf.DUMMYFUNCTION("""COMPUTED_VALUE"""),1699.0)</f>
        <v>1699</v>
      </c>
      <c r="E4153" s="9">
        <f>IFERROR(__xludf.DUMMYFUNCTION("""COMPUTED_VALUE"""),1702.5)</f>
        <v>1702.5</v>
      </c>
      <c r="F4153" s="9">
        <f>IFERROR(__xludf.DUMMYFUNCTION("""COMPUTED_VALUE"""),3530713.0)</f>
        <v>3530713</v>
      </c>
      <c r="H4153" s="27">
        <f>IFERROR(__xludf.DUMMYFUNCTION("""COMPUTED_VALUE"""),44504.80208333333)</f>
        <v>44504.80208</v>
      </c>
      <c r="I4153" s="25">
        <f>IFERROR(__xludf.DUMMYFUNCTION("""COMPUTED_VALUE"""),3512.95)</f>
        <v>3512.95</v>
      </c>
      <c r="J4153" s="25">
        <f>IFERROR(__xludf.DUMMYFUNCTION("""COMPUTED_VALUE"""),3513.25)</f>
        <v>3513.25</v>
      </c>
      <c r="K4153" s="25">
        <f>IFERROR(__xludf.DUMMYFUNCTION("""COMPUTED_VALUE"""),3505.0)</f>
        <v>3505</v>
      </c>
      <c r="L4153" s="25">
        <f>IFERROR(__xludf.DUMMYFUNCTION("""COMPUTED_VALUE"""),3508.65)</f>
        <v>3508.65</v>
      </c>
      <c r="M4153" s="25">
        <f>IFERROR(__xludf.DUMMYFUNCTION("""COMPUTED_VALUE"""),328991.0)</f>
        <v>328991</v>
      </c>
    </row>
    <row r="4154">
      <c r="A4154" s="26">
        <f>IFERROR(__xludf.DUMMYFUNCTION("""COMPUTED_VALUE"""),44504.80208333333)</f>
        <v>44504.80208</v>
      </c>
      <c r="B4154" s="9">
        <f>IFERROR(__xludf.DUMMYFUNCTION("""COMPUTED_VALUE"""),1715.0)</f>
        <v>1715</v>
      </c>
      <c r="C4154" s="9">
        <f>IFERROR(__xludf.DUMMYFUNCTION("""COMPUTED_VALUE"""),1717.0)</f>
        <v>1717</v>
      </c>
      <c r="D4154" s="9">
        <f>IFERROR(__xludf.DUMMYFUNCTION("""COMPUTED_VALUE"""),1705.0)</f>
        <v>1705</v>
      </c>
      <c r="E4154" s="9">
        <f>IFERROR(__xludf.DUMMYFUNCTION("""COMPUTED_VALUE"""),1708.7)</f>
        <v>1708.7</v>
      </c>
      <c r="F4154" s="9">
        <f>IFERROR(__xludf.DUMMYFUNCTION("""COMPUTED_VALUE"""),483407.0)</f>
        <v>483407</v>
      </c>
      <c r="H4154" s="27">
        <f>IFERROR(__xludf.DUMMYFUNCTION("""COMPUTED_VALUE"""),44508.64583333333)</f>
        <v>44508.64583</v>
      </c>
      <c r="I4154" s="25">
        <f>IFERROR(__xludf.DUMMYFUNCTION("""COMPUTED_VALUE"""),3548.0)</f>
        <v>3548</v>
      </c>
      <c r="J4154" s="25">
        <f>IFERROR(__xludf.DUMMYFUNCTION("""COMPUTED_VALUE"""),3548.0)</f>
        <v>3548</v>
      </c>
      <c r="K4154" s="25">
        <f>IFERROR(__xludf.DUMMYFUNCTION("""COMPUTED_VALUE"""),3481.2)</f>
        <v>3481.2</v>
      </c>
      <c r="L4154" s="25">
        <f>IFERROR(__xludf.DUMMYFUNCTION("""COMPUTED_VALUE"""),3502.75)</f>
        <v>3502.75</v>
      </c>
      <c r="M4154" s="25">
        <f>IFERROR(__xludf.DUMMYFUNCTION("""COMPUTED_VALUE"""),2526082.0)</f>
        <v>2526082</v>
      </c>
    </row>
    <row r="4155">
      <c r="A4155" s="26">
        <f>IFERROR(__xludf.DUMMYFUNCTION("""COMPUTED_VALUE"""),44508.64583333333)</f>
        <v>44508.64583</v>
      </c>
      <c r="B4155" s="9">
        <f>IFERROR(__xludf.DUMMYFUNCTION("""COMPUTED_VALUE"""),1730.0)</f>
        <v>1730</v>
      </c>
      <c r="C4155" s="9">
        <f>IFERROR(__xludf.DUMMYFUNCTION("""COMPUTED_VALUE"""),1741.0)</f>
        <v>1741</v>
      </c>
      <c r="D4155" s="9">
        <f>IFERROR(__xludf.DUMMYFUNCTION("""COMPUTED_VALUE"""),1703.0)</f>
        <v>1703</v>
      </c>
      <c r="E4155" s="9">
        <f>IFERROR(__xludf.DUMMYFUNCTION("""COMPUTED_VALUE"""),1737.5)</f>
        <v>1737.5</v>
      </c>
      <c r="F4155" s="9">
        <f>IFERROR(__xludf.DUMMYFUNCTION("""COMPUTED_VALUE"""),5245903.0)</f>
        <v>5245903</v>
      </c>
      <c r="H4155" s="27">
        <f>IFERROR(__xludf.DUMMYFUNCTION("""COMPUTED_VALUE"""),44509.64583333333)</f>
        <v>44509.64583</v>
      </c>
      <c r="I4155" s="25">
        <f>IFERROR(__xludf.DUMMYFUNCTION("""COMPUTED_VALUE"""),3508.0)</f>
        <v>3508</v>
      </c>
      <c r="J4155" s="25">
        <f>IFERROR(__xludf.DUMMYFUNCTION("""COMPUTED_VALUE"""),3535.0)</f>
        <v>3535</v>
      </c>
      <c r="K4155" s="25">
        <f>IFERROR(__xludf.DUMMYFUNCTION("""COMPUTED_VALUE"""),3496.0)</f>
        <v>3496</v>
      </c>
      <c r="L4155" s="25">
        <f>IFERROR(__xludf.DUMMYFUNCTION("""COMPUTED_VALUE"""),3505.7)</f>
        <v>3505.7</v>
      </c>
      <c r="M4155" s="25">
        <f>IFERROR(__xludf.DUMMYFUNCTION("""COMPUTED_VALUE"""),1782692.0)</f>
        <v>1782692</v>
      </c>
    </row>
    <row r="4156">
      <c r="A4156" s="26">
        <f>IFERROR(__xludf.DUMMYFUNCTION("""COMPUTED_VALUE"""),44509.64583333333)</f>
        <v>44509.64583</v>
      </c>
      <c r="B4156" s="9">
        <f>IFERROR(__xludf.DUMMYFUNCTION("""COMPUTED_VALUE"""),1734.75)</f>
        <v>1734.75</v>
      </c>
      <c r="C4156" s="9">
        <f>IFERROR(__xludf.DUMMYFUNCTION("""COMPUTED_VALUE"""),1750.0)</f>
        <v>1750</v>
      </c>
      <c r="D4156" s="9">
        <f>IFERROR(__xludf.DUMMYFUNCTION("""COMPUTED_VALUE"""),1726.0)</f>
        <v>1726</v>
      </c>
      <c r="E4156" s="9">
        <f>IFERROR(__xludf.DUMMYFUNCTION("""COMPUTED_VALUE"""),1742.5)</f>
        <v>1742.5</v>
      </c>
      <c r="F4156" s="9">
        <f>IFERROR(__xludf.DUMMYFUNCTION("""COMPUTED_VALUE"""),4016134.0)</f>
        <v>4016134</v>
      </c>
      <c r="H4156" s="27">
        <f>IFERROR(__xludf.DUMMYFUNCTION("""COMPUTED_VALUE"""),44510.64583333333)</f>
        <v>44510.64583</v>
      </c>
      <c r="I4156" s="25">
        <f>IFERROR(__xludf.DUMMYFUNCTION("""COMPUTED_VALUE"""),3498.0)</f>
        <v>3498</v>
      </c>
      <c r="J4156" s="25">
        <f>IFERROR(__xludf.DUMMYFUNCTION("""COMPUTED_VALUE"""),3519.7)</f>
        <v>3519.7</v>
      </c>
      <c r="K4156" s="25">
        <f>IFERROR(__xludf.DUMMYFUNCTION("""COMPUTED_VALUE"""),3480.2)</f>
        <v>3480.2</v>
      </c>
      <c r="L4156" s="25">
        <f>IFERROR(__xludf.DUMMYFUNCTION("""COMPUTED_VALUE"""),3484.3)</f>
        <v>3484.3</v>
      </c>
      <c r="M4156" s="25">
        <f>IFERROR(__xludf.DUMMYFUNCTION("""COMPUTED_VALUE"""),1516489.0)</f>
        <v>1516489</v>
      </c>
    </row>
    <row r="4157">
      <c r="A4157" s="26">
        <f>IFERROR(__xludf.DUMMYFUNCTION("""COMPUTED_VALUE"""),44510.64583333333)</f>
        <v>44510.64583</v>
      </c>
      <c r="B4157" s="9">
        <f>IFERROR(__xludf.DUMMYFUNCTION("""COMPUTED_VALUE"""),1726.0)</f>
        <v>1726</v>
      </c>
      <c r="C4157" s="9">
        <f>IFERROR(__xludf.DUMMYFUNCTION("""COMPUTED_VALUE"""),1750.95)</f>
        <v>1750.95</v>
      </c>
      <c r="D4157" s="9">
        <f>IFERROR(__xludf.DUMMYFUNCTION("""COMPUTED_VALUE"""),1721.95)</f>
        <v>1721.95</v>
      </c>
      <c r="E4157" s="9">
        <f>IFERROR(__xludf.DUMMYFUNCTION("""COMPUTED_VALUE"""),1740.15)</f>
        <v>1740.15</v>
      </c>
      <c r="F4157" s="9">
        <f>IFERROR(__xludf.DUMMYFUNCTION("""COMPUTED_VALUE"""),4780368.0)</f>
        <v>4780368</v>
      </c>
      <c r="H4157" s="27">
        <f>IFERROR(__xludf.DUMMYFUNCTION("""COMPUTED_VALUE"""),44511.64583333333)</f>
        <v>44511.64583</v>
      </c>
      <c r="I4157" s="25">
        <f>IFERROR(__xludf.DUMMYFUNCTION("""COMPUTED_VALUE"""),3480.0)</f>
        <v>3480</v>
      </c>
      <c r="J4157" s="25">
        <f>IFERROR(__xludf.DUMMYFUNCTION("""COMPUTED_VALUE"""),3510.05)</f>
        <v>3510.05</v>
      </c>
      <c r="K4157" s="25">
        <f>IFERROR(__xludf.DUMMYFUNCTION("""COMPUTED_VALUE"""),3436.0)</f>
        <v>3436</v>
      </c>
      <c r="L4157" s="25">
        <f>IFERROR(__xludf.DUMMYFUNCTION("""COMPUTED_VALUE"""),3488.2)</f>
        <v>3488.2</v>
      </c>
      <c r="M4157" s="25">
        <f>IFERROR(__xludf.DUMMYFUNCTION("""COMPUTED_VALUE"""),1284514.0)</f>
        <v>1284514</v>
      </c>
    </row>
    <row r="4158">
      <c r="A4158" s="26">
        <f>IFERROR(__xludf.DUMMYFUNCTION("""COMPUTED_VALUE"""),44511.64583333333)</f>
        <v>44511.64583</v>
      </c>
      <c r="B4158" s="9">
        <f>IFERROR(__xludf.DUMMYFUNCTION("""COMPUTED_VALUE"""),1732.95)</f>
        <v>1732.95</v>
      </c>
      <c r="C4158" s="9">
        <f>IFERROR(__xludf.DUMMYFUNCTION("""COMPUTED_VALUE"""),1739.75)</f>
        <v>1739.75</v>
      </c>
      <c r="D4158" s="9">
        <f>IFERROR(__xludf.DUMMYFUNCTION("""COMPUTED_VALUE"""),1709.0)</f>
        <v>1709</v>
      </c>
      <c r="E4158" s="9">
        <f>IFERROR(__xludf.DUMMYFUNCTION("""COMPUTED_VALUE"""),1733.3)</f>
        <v>1733.3</v>
      </c>
      <c r="F4158" s="9">
        <f>IFERROR(__xludf.DUMMYFUNCTION("""COMPUTED_VALUE"""),4731349.0)</f>
        <v>4731349</v>
      </c>
      <c r="H4158" s="27">
        <f>IFERROR(__xludf.DUMMYFUNCTION("""COMPUTED_VALUE"""),44512.64583333333)</f>
        <v>44512.64583</v>
      </c>
      <c r="I4158" s="25">
        <f>IFERROR(__xludf.DUMMYFUNCTION("""COMPUTED_VALUE"""),3506.0)</f>
        <v>3506</v>
      </c>
      <c r="J4158" s="25">
        <f>IFERROR(__xludf.DUMMYFUNCTION("""COMPUTED_VALUE"""),3534.15)</f>
        <v>3534.15</v>
      </c>
      <c r="K4158" s="25">
        <f>IFERROR(__xludf.DUMMYFUNCTION("""COMPUTED_VALUE"""),3485.7)</f>
        <v>3485.7</v>
      </c>
      <c r="L4158" s="25">
        <f>IFERROR(__xludf.DUMMYFUNCTION("""COMPUTED_VALUE"""),3526.05)</f>
        <v>3526.05</v>
      </c>
      <c r="M4158" s="25">
        <f>IFERROR(__xludf.DUMMYFUNCTION("""COMPUTED_VALUE"""),1747259.0)</f>
        <v>1747259</v>
      </c>
    </row>
    <row r="4159">
      <c r="A4159" s="26">
        <f>IFERROR(__xludf.DUMMYFUNCTION("""COMPUTED_VALUE"""),44512.64583333333)</f>
        <v>44512.64583</v>
      </c>
      <c r="B4159" s="9">
        <f>IFERROR(__xludf.DUMMYFUNCTION("""COMPUTED_VALUE"""),1743.0)</f>
        <v>1743</v>
      </c>
      <c r="C4159" s="9">
        <f>IFERROR(__xludf.DUMMYFUNCTION("""COMPUTED_VALUE"""),1782.85)</f>
        <v>1782.85</v>
      </c>
      <c r="D4159" s="9">
        <f>IFERROR(__xludf.DUMMYFUNCTION("""COMPUTED_VALUE"""),1738.05)</f>
        <v>1738.05</v>
      </c>
      <c r="E4159" s="9">
        <f>IFERROR(__xludf.DUMMYFUNCTION("""COMPUTED_VALUE"""),1780.2)</f>
        <v>1780.2</v>
      </c>
      <c r="F4159" s="9">
        <f>IFERROR(__xludf.DUMMYFUNCTION("""COMPUTED_VALUE"""),5069009.0)</f>
        <v>5069009</v>
      </c>
      <c r="H4159" s="27">
        <f>IFERROR(__xludf.DUMMYFUNCTION("""COMPUTED_VALUE"""),44515.64583333333)</f>
        <v>44515.64583</v>
      </c>
      <c r="I4159" s="25">
        <f>IFERROR(__xludf.DUMMYFUNCTION("""COMPUTED_VALUE"""),3528.0)</f>
        <v>3528</v>
      </c>
      <c r="J4159" s="25">
        <f>IFERROR(__xludf.DUMMYFUNCTION("""COMPUTED_VALUE"""),3569.6)</f>
        <v>3569.6</v>
      </c>
      <c r="K4159" s="25">
        <f>IFERROR(__xludf.DUMMYFUNCTION("""COMPUTED_VALUE"""),3528.0)</f>
        <v>3528</v>
      </c>
      <c r="L4159" s="25">
        <f>IFERROR(__xludf.DUMMYFUNCTION("""COMPUTED_VALUE"""),3553.3)</f>
        <v>3553.3</v>
      </c>
      <c r="M4159" s="25">
        <f>IFERROR(__xludf.DUMMYFUNCTION("""COMPUTED_VALUE"""),1809157.0)</f>
        <v>1809157</v>
      </c>
    </row>
    <row r="4160">
      <c r="A4160" s="26">
        <f>IFERROR(__xludf.DUMMYFUNCTION("""COMPUTED_VALUE"""),44515.64583333333)</f>
        <v>44515.64583</v>
      </c>
      <c r="B4160" s="9">
        <f>IFERROR(__xludf.DUMMYFUNCTION("""COMPUTED_VALUE"""),1782.1)</f>
        <v>1782.1</v>
      </c>
      <c r="C4160" s="9">
        <f>IFERROR(__xludf.DUMMYFUNCTION("""COMPUTED_VALUE"""),1800.0)</f>
        <v>1800</v>
      </c>
      <c r="D4160" s="9">
        <f>IFERROR(__xludf.DUMMYFUNCTION("""COMPUTED_VALUE"""),1775.5)</f>
        <v>1775.5</v>
      </c>
      <c r="E4160" s="9">
        <f>IFERROR(__xludf.DUMMYFUNCTION("""COMPUTED_VALUE"""),1787.15)</f>
        <v>1787.15</v>
      </c>
      <c r="F4160" s="9">
        <f>IFERROR(__xludf.DUMMYFUNCTION("""COMPUTED_VALUE"""),4354074.0)</f>
        <v>4354074</v>
      </c>
      <c r="H4160" s="27">
        <f>IFERROR(__xludf.DUMMYFUNCTION("""COMPUTED_VALUE"""),44516.64583333333)</f>
        <v>44516.64583</v>
      </c>
      <c r="I4160" s="25">
        <f>IFERROR(__xludf.DUMMYFUNCTION("""COMPUTED_VALUE"""),3569.0)</f>
        <v>3569</v>
      </c>
      <c r="J4160" s="25">
        <f>IFERROR(__xludf.DUMMYFUNCTION("""COMPUTED_VALUE"""),3575.55)</f>
        <v>3575.55</v>
      </c>
      <c r="K4160" s="25">
        <f>IFERROR(__xludf.DUMMYFUNCTION("""COMPUTED_VALUE"""),3542.0)</f>
        <v>3542</v>
      </c>
      <c r="L4160" s="25">
        <f>IFERROR(__xludf.DUMMYFUNCTION("""COMPUTED_VALUE"""),3556.4)</f>
        <v>3556.4</v>
      </c>
      <c r="M4160" s="25">
        <f>IFERROR(__xludf.DUMMYFUNCTION("""COMPUTED_VALUE"""),2013204.0)</f>
        <v>2013204</v>
      </c>
    </row>
    <row r="4161">
      <c r="A4161" s="26">
        <f>IFERROR(__xludf.DUMMYFUNCTION("""COMPUTED_VALUE"""),44516.64583333333)</f>
        <v>44516.64583</v>
      </c>
      <c r="B4161" s="9">
        <f>IFERROR(__xludf.DUMMYFUNCTION("""COMPUTED_VALUE"""),1790.0)</f>
        <v>1790</v>
      </c>
      <c r="C4161" s="9">
        <f>IFERROR(__xludf.DUMMYFUNCTION("""COMPUTED_VALUE"""),1808.95)</f>
        <v>1808.95</v>
      </c>
      <c r="D4161" s="9">
        <f>IFERROR(__xludf.DUMMYFUNCTION("""COMPUTED_VALUE"""),1777.0)</f>
        <v>1777</v>
      </c>
      <c r="E4161" s="9">
        <f>IFERROR(__xludf.DUMMYFUNCTION("""COMPUTED_VALUE"""),1792.3)</f>
        <v>1792.3</v>
      </c>
      <c r="F4161" s="9">
        <f>IFERROR(__xludf.DUMMYFUNCTION("""COMPUTED_VALUE"""),6034233.0)</f>
        <v>6034233</v>
      </c>
      <c r="H4161" s="27">
        <f>IFERROR(__xludf.DUMMYFUNCTION("""COMPUTED_VALUE"""),44517.64583333333)</f>
        <v>44517.64583</v>
      </c>
      <c r="I4161" s="25">
        <f>IFERROR(__xludf.DUMMYFUNCTION("""COMPUTED_VALUE"""),3550.6)</f>
        <v>3550.6</v>
      </c>
      <c r="J4161" s="25">
        <f>IFERROR(__xludf.DUMMYFUNCTION("""COMPUTED_VALUE"""),3562.85)</f>
        <v>3562.85</v>
      </c>
      <c r="K4161" s="25">
        <f>IFERROR(__xludf.DUMMYFUNCTION("""COMPUTED_VALUE"""),3506.4)</f>
        <v>3506.4</v>
      </c>
      <c r="L4161" s="25">
        <f>IFERROR(__xludf.DUMMYFUNCTION("""COMPUTED_VALUE"""),3521.9)</f>
        <v>3521.9</v>
      </c>
      <c r="M4161" s="25">
        <f>IFERROR(__xludf.DUMMYFUNCTION("""COMPUTED_VALUE"""),1632914.0)</f>
        <v>1632914</v>
      </c>
    </row>
    <row r="4162">
      <c r="A4162" s="26">
        <f>IFERROR(__xludf.DUMMYFUNCTION("""COMPUTED_VALUE"""),44517.64583333333)</f>
        <v>44517.64583</v>
      </c>
      <c r="B4162" s="9">
        <f>IFERROR(__xludf.DUMMYFUNCTION("""COMPUTED_VALUE"""),1792.55)</f>
        <v>1792.55</v>
      </c>
      <c r="C4162" s="9">
        <f>IFERROR(__xludf.DUMMYFUNCTION("""COMPUTED_VALUE"""),1802.0)</f>
        <v>1802</v>
      </c>
      <c r="D4162" s="9">
        <f>IFERROR(__xludf.DUMMYFUNCTION("""COMPUTED_VALUE"""),1780.7)</f>
        <v>1780.7</v>
      </c>
      <c r="E4162" s="9">
        <f>IFERROR(__xludf.DUMMYFUNCTION("""COMPUTED_VALUE"""),1787.45)</f>
        <v>1787.45</v>
      </c>
      <c r="F4162" s="9">
        <f>IFERROR(__xludf.DUMMYFUNCTION("""COMPUTED_VALUE"""),4732492.0)</f>
        <v>4732492</v>
      </c>
      <c r="H4162" s="27">
        <f>IFERROR(__xludf.DUMMYFUNCTION("""COMPUTED_VALUE"""),44518.64583333333)</f>
        <v>44518.64583</v>
      </c>
      <c r="I4162" s="25">
        <f>IFERROR(__xludf.DUMMYFUNCTION("""COMPUTED_VALUE"""),3515.15)</f>
        <v>3515.15</v>
      </c>
      <c r="J4162" s="25">
        <f>IFERROR(__xludf.DUMMYFUNCTION("""COMPUTED_VALUE"""),3520.85)</f>
        <v>3520.85</v>
      </c>
      <c r="K4162" s="25">
        <f>IFERROR(__xludf.DUMMYFUNCTION("""COMPUTED_VALUE"""),3451.6)</f>
        <v>3451.6</v>
      </c>
      <c r="L4162" s="25">
        <f>IFERROR(__xludf.DUMMYFUNCTION("""COMPUTED_VALUE"""),3475.7)</f>
        <v>3475.7</v>
      </c>
      <c r="M4162" s="25">
        <f>IFERROR(__xludf.DUMMYFUNCTION("""COMPUTED_VALUE"""),2136598.0)</f>
        <v>2136598</v>
      </c>
    </row>
    <row r="4163">
      <c r="A4163" s="26">
        <f>IFERROR(__xludf.DUMMYFUNCTION("""COMPUTED_VALUE"""),44518.64583333333)</f>
        <v>44518.64583</v>
      </c>
      <c r="B4163" s="9">
        <f>IFERROR(__xludf.DUMMYFUNCTION("""COMPUTED_VALUE"""),1781.6)</f>
        <v>1781.6</v>
      </c>
      <c r="C4163" s="9">
        <f>IFERROR(__xludf.DUMMYFUNCTION("""COMPUTED_VALUE"""),1789.45)</f>
        <v>1789.45</v>
      </c>
      <c r="D4163" s="9">
        <f>IFERROR(__xludf.DUMMYFUNCTION("""COMPUTED_VALUE"""),1759.0)</f>
        <v>1759</v>
      </c>
      <c r="E4163" s="9">
        <f>IFERROR(__xludf.DUMMYFUNCTION("""COMPUTED_VALUE"""),1779.4)</f>
        <v>1779.4</v>
      </c>
      <c r="F4163" s="9">
        <f>IFERROR(__xludf.DUMMYFUNCTION("""COMPUTED_VALUE"""),4326924.0)</f>
        <v>4326924</v>
      </c>
      <c r="H4163" s="27">
        <f>IFERROR(__xludf.DUMMYFUNCTION("""COMPUTED_VALUE"""),44522.64583333333)</f>
        <v>44522.64583</v>
      </c>
      <c r="I4163" s="25">
        <f>IFERROR(__xludf.DUMMYFUNCTION("""COMPUTED_VALUE"""),3478.4)</f>
        <v>3478.4</v>
      </c>
      <c r="J4163" s="25">
        <f>IFERROR(__xludf.DUMMYFUNCTION("""COMPUTED_VALUE"""),3515.95)</f>
        <v>3515.95</v>
      </c>
      <c r="K4163" s="25">
        <f>IFERROR(__xludf.DUMMYFUNCTION("""COMPUTED_VALUE"""),3440.3)</f>
        <v>3440.3</v>
      </c>
      <c r="L4163" s="25">
        <f>IFERROR(__xludf.DUMMYFUNCTION("""COMPUTED_VALUE"""),3458.4)</f>
        <v>3458.4</v>
      </c>
      <c r="M4163" s="25">
        <f>IFERROR(__xludf.DUMMYFUNCTION("""COMPUTED_VALUE"""),3167936.0)</f>
        <v>3167936</v>
      </c>
    </row>
    <row r="4164">
      <c r="A4164" s="26">
        <f>IFERROR(__xludf.DUMMYFUNCTION("""COMPUTED_VALUE"""),44522.64583333333)</f>
        <v>44522.64583</v>
      </c>
      <c r="B4164" s="9">
        <f>IFERROR(__xludf.DUMMYFUNCTION("""COMPUTED_VALUE"""),1784.0)</f>
        <v>1784</v>
      </c>
      <c r="C4164" s="9">
        <f>IFERROR(__xludf.DUMMYFUNCTION("""COMPUTED_VALUE"""),1785.4)</f>
        <v>1785.4</v>
      </c>
      <c r="D4164" s="9">
        <f>IFERROR(__xludf.DUMMYFUNCTION("""COMPUTED_VALUE"""),1751.15)</f>
        <v>1751.15</v>
      </c>
      <c r="E4164" s="9">
        <f>IFERROR(__xludf.DUMMYFUNCTION("""COMPUTED_VALUE"""),1759.4)</f>
        <v>1759.4</v>
      </c>
      <c r="F4164" s="9">
        <f>IFERROR(__xludf.DUMMYFUNCTION("""COMPUTED_VALUE"""),6621839.0)</f>
        <v>6621839</v>
      </c>
      <c r="H4164" s="27">
        <f>IFERROR(__xludf.DUMMYFUNCTION("""COMPUTED_VALUE"""),44523.64583333333)</f>
        <v>44523.64583</v>
      </c>
      <c r="I4164" s="25">
        <f>IFERROR(__xludf.DUMMYFUNCTION("""COMPUTED_VALUE"""),3445.0)</f>
        <v>3445</v>
      </c>
      <c r="J4164" s="25">
        <f>IFERROR(__xludf.DUMMYFUNCTION("""COMPUTED_VALUE"""),3480.95)</f>
        <v>3480.95</v>
      </c>
      <c r="K4164" s="25">
        <f>IFERROR(__xludf.DUMMYFUNCTION("""COMPUTED_VALUE"""),3407.8)</f>
        <v>3407.8</v>
      </c>
      <c r="L4164" s="25">
        <f>IFERROR(__xludf.DUMMYFUNCTION("""COMPUTED_VALUE"""),3464.25)</f>
        <v>3464.25</v>
      </c>
      <c r="M4164" s="25">
        <f>IFERROR(__xludf.DUMMYFUNCTION("""COMPUTED_VALUE"""),2153461.0)</f>
        <v>2153461</v>
      </c>
    </row>
    <row r="4165">
      <c r="A4165" s="26">
        <f>IFERROR(__xludf.DUMMYFUNCTION("""COMPUTED_VALUE"""),44523.64583333333)</f>
        <v>44523.64583</v>
      </c>
      <c r="B4165" s="9">
        <f>IFERROR(__xludf.DUMMYFUNCTION("""COMPUTED_VALUE"""),1735.1)</f>
        <v>1735.1</v>
      </c>
      <c r="C4165" s="9">
        <f>IFERROR(__xludf.DUMMYFUNCTION("""COMPUTED_VALUE"""),1747.25)</f>
        <v>1747.25</v>
      </c>
      <c r="D4165" s="9">
        <f>IFERROR(__xludf.DUMMYFUNCTION("""COMPUTED_VALUE"""),1710.0)</f>
        <v>1710</v>
      </c>
      <c r="E4165" s="9">
        <f>IFERROR(__xludf.DUMMYFUNCTION("""COMPUTED_VALUE"""),1736.9)</f>
        <v>1736.9</v>
      </c>
      <c r="F4165" s="9">
        <f>IFERROR(__xludf.DUMMYFUNCTION("""COMPUTED_VALUE"""),8436160.0)</f>
        <v>8436160</v>
      </c>
      <c r="H4165" s="27">
        <f>IFERROR(__xludf.DUMMYFUNCTION("""COMPUTED_VALUE"""),44524.64583333333)</f>
        <v>44524.64583</v>
      </c>
      <c r="I4165" s="25">
        <f>IFERROR(__xludf.DUMMYFUNCTION("""COMPUTED_VALUE"""),3472.2)</f>
        <v>3472.2</v>
      </c>
      <c r="J4165" s="25">
        <f>IFERROR(__xludf.DUMMYFUNCTION("""COMPUTED_VALUE"""),3493.05)</f>
        <v>3493.05</v>
      </c>
      <c r="K4165" s="25">
        <f>IFERROR(__xludf.DUMMYFUNCTION("""COMPUTED_VALUE"""),3424.0)</f>
        <v>3424</v>
      </c>
      <c r="L4165" s="25">
        <f>IFERROR(__xludf.DUMMYFUNCTION("""COMPUTED_VALUE"""),3443.3)</f>
        <v>3443.3</v>
      </c>
      <c r="M4165" s="25">
        <f>IFERROR(__xludf.DUMMYFUNCTION("""COMPUTED_VALUE"""),2161746.0)</f>
        <v>2161746</v>
      </c>
    </row>
    <row r="4166">
      <c r="A4166" s="26">
        <f>IFERROR(__xludf.DUMMYFUNCTION("""COMPUTED_VALUE"""),44524.64583333333)</f>
        <v>44524.64583</v>
      </c>
      <c r="B4166" s="9">
        <f>IFERROR(__xludf.DUMMYFUNCTION("""COMPUTED_VALUE"""),1740.0)</f>
        <v>1740</v>
      </c>
      <c r="C4166" s="9">
        <f>IFERROR(__xludf.DUMMYFUNCTION("""COMPUTED_VALUE"""),1740.5)</f>
        <v>1740.5</v>
      </c>
      <c r="D4166" s="9">
        <f>IFERROR(__xludf.DUMMYFUNCTION("""COMPUTED_VALUE"""),1688.0)</f>
        <v>1688</v>
      </c>
      <c r="E4166" s="9">
        <f>IFERROR(__xludf.DUMMYFUNCTION("""COMPUTED_VALUE"""),1696.0)</f>
        <v>1696</v>
      </c>
      <c r="F4166" s="9">
        <f>IFERROR(__xludf.DUMMYFUNCTION("""COMPUTED_VALUE"""),7333061.0)</f>
        <v>7333061</v>
      </c>
      <c r="H4166" s="27">
        <f>IFERROR(__xludf.DUMMYFUNCTION("""COMPUTED_VALUE"""),44525.64583333333)</f>
        <v>44525.64583</v>
      </c>
      <c r="I4166" s="25">
        <f>IFERROR(__xludf.DUMMYFUNCTION("""COMPUTED_VALUE"""),3443.9)</f>
        <v>3443.9</v>
      </c>
      <c r="J4166" s="25">
        <f>IFERROR(__xludf.DUMMYFUNCTION("""COMPUTED_VALUE"""),3463.0)</f>
        <v>3463</v>
      </c>
      <c r="K4166" s="25">
        <f>IFERROR(__xludf.DUMMYFUNCTION("""COMPUTED_VALUE"""),3434.05)</f>
        <v>3434.05</v>
      </c>
      <c r="L4166" s="25">
        <f>IFERROR(__xludf.DUMMYFUNCTION("""COMPUTED_VALUE"""),3445.9)</f>
        <v>3445.9</v>
      </c>
      <c r="M4166" s="25">
        <f>IFERROR(__xludf.DUMMYFUNCTION("""COMPUTED_VALUE"""),1849619.0)</f>
        <v>1849619</v>
      </c>
    </row>
    <row r="4167">
      <c r="A4167" s="26">
        <f>IFERROR(__xludf.DUMMYFUNCTION("""COMPUTED_VALUE"""),44525.64583333333)</f>
        <v>44525.64583</v>
      </c>
      <c r="B4167" s="9">
        <f>IFERROR(__xludf.DUMMYFUNCTION("""COMPUTED_VALUE"""),1700.0)</f>
        <v>1700</v>
      </c>
      <c r="C4167" s="9">
        <f>IFERROR(__xludf.DUMMYFUNCTION("""COMPUTED_VALUE"""),1726.2)</f>
        <v>1726.2</v>
      </c>
      <c r="D4167" s="9">
        <f>IFERROR(__xludf.DUMMYFUNCTION("""COMPUTED_VALUE"""),1696.95)</f>
        <v>1696.95</v>
      </c>
      <c r="E4167" s="9">
        <f>IFERROR(__xludf.DUMMYFUNCTION("""COMPUTED_VALUE"""),1722.4)</f>
        <v>1722.4</v>
      </c>
      <c r="F4167" s="9">
        <f>IFERROR(__xludf.DUMMYFUNCTION("""COMPUTED_VALUE"""),4476260.0)</f>
        <v>4476260</v>
      </c>
      <c r="H4167" s="27">
        <f>IFERROR(__xludf.DUMMYFUNCTION("""COMPUTED_VALUE"""),44526.64583333333)</f>
        <v>44526.64583</v>
      </c>
      <c r="I4167" s="25">
        <f>IFERROR(__xludf.DUMMYFUNCTION("""COMPUTED_VALUE"""),3425.0)</f>
        <v>3425</v>
      </c>
      <c r="J4167" s="25">
        <f>IFERROR(__xludf.DUMMYFUNCTION("""COMPUTED_VALUE"""),3490.0)</f>
        <v>3490</v>
      </c>
      <c r="K4167" s="25">
        <f>IFERROR(__xludf.DUMMYFUNCTION("""COMPUTED_VALUE"""),3411.9)</f>
        <v>3411.9</v>
      </c>
      <c r="L4167" s="25">
        <f>IFERROR(__xludf.DUMMYFUNCTION("""COMPUTED_VALUE"""),3446.85)</f>
        <v>3446.85</v>
      </c>
      <c r="M4167" s="25">
        <f>IFERROR(__xludf.DUMMYFUNCTION("""COMPUTED_VALUE"""),1941251.0)</f>
        <v>1941251</v>
      </c>
    </row>
    <row r="4168">
      <c r="A4168" s="26">
        <f>IFERROR(__xludf.DUMMYFUNCTION("""COMPUTED_VALUE"""),44526.64583333333)</f>
        <v>44526.64583</v>
      </c>
      <c r="B4168" s="9">
        <f>IFERROR(__xludf.DUMMYFUNCTION("""COMPUTED_VALUE"""),1702.55)</f>
        <v>1702.55</v>
      </c>
      <c r="C4168" s="9">
        <f>IFERROR(__xludf.DUMMYFUNCTION("""COMPUTED_VALUE"""),1718.35)</f>
        <v>1718.35</v>
      </c>
      <c r="D4168" s="9">
        <f>IFERROR(__xludf.DUMMYFUNCTION("""COMPUTED_VALUE"""),1684.0)</f>
        <v>1684</v>
      </c>
      <c r="E4168" s="9">
        <f>IFERROR(__xludf.DUMMYFUNCTION("""COMPUTED_VALUE"""),1691.65)</f>
        <v>1691.65</v>
      </c>
      <c r="F4168" s="9">
        <f>IFERROR(__xludf.DUMMYFUNCTION("""COMPUTED_VALUE"""),4494181.0)</f>
        <v>4494181</v>
      </c>
      <c r="H4168" s="27">
        <f>IFERROR(__xludf.DUMMYFUNCTION("""COMPUTED_VALUE"""),44529.64583333333)</f>
        <v>44529.64583</v>
      </c>
      <c r="I4168" s="25">
        <f>IFERROR(__xludf.DUMMYFUNCTION("""COMPUTED_VALUE"""),3447.15)</f>
        <v>3447.15</v>
      </c>
      <c r="J4168" s="25">
        <f>IFERROR(__xludf.DUMMYFUNCTION("""COMPUTED_VALUE"""),3529.35)</f>
        <v>3529.35</v>
      </c>
      <c r="K4168" s="25">
        <f>IFERROR(__xludf.DUMMYFUNCTION("""COMPUTED_VALUE"""),3406.45)</f>
        <v>3406.45</v>
      </c>
      <c r="L4168" s="25">
        <f>IFERROR(__xludf.DUMMYFUNCTION("""COMPUTED_VALUE"""),3502.0)</f>
        <v>3502</v>
      </c>
      <c r="M4168" s="25">
        <f>IFERROR(__xludf.DUMMYFUNCTION("""COMPUTED_VALUE"""),2981745.0)</f>
        <v>2981745</v>
      </c>
    </row>
    <row r="4169">
      <c r="A4169" s="26">
        <f>IFERROR(__xludf.DUMMYFUNCTION("""COMPUTED_VALUE"""),44529.64583333333)</f>
        <v>44529.64583</v>
      </c>
      <c r="B4169" s="9">
        <f>IFERROR(__xludf.DUMMYFUNCTION("""COMPUTED_VALUE"""),1691.0)</f>
        <v>1691</v>
      </c>
      <c r="C4169" s="9">
        <f>IFERROR(__xludf.DUMMYFUNCTION("""COMPUTED_VALUE"""),1712.0)</f>
        <v>1712</v>
      </c>
      <c r="D4169" s="9">
        <f>IFERROR(__xludf.DUMMYFUNCTION("""COMPUTED_VALUE"""),1669.15)</f>
        <v>1669.15</v>
      </c>
      <c r="E4169" s="9">
        <f>IFERROR(__xludf.DUMMYFUNCTION("""COMPUTED_VALUE"""),1696.35)</f>
        <v>1696.35</v>
      </c>
      <c r="F4169" s="9">
        <f>IFERROR(__xludf.DUMMYFUNCTION("""COMPUTED_VALUE"""),3942776.0)</f>
        <v>3942776</v>
      </c>
      <c r="H4169" s="27">
        <f>IFERROR(__xludf.DUMMYFUNCTION("""COMPUTED_VALUE"""),44530.64583333333)</f>
        <v>44530.64583</v>
      </c>
      <c r="I4169" s="25">
        <f>IFERROR(__xludf.DUMMYFUNCTION("""COMPUTED_VALUE"""),3491.0)</f>
        <v>3491</v>
      </c>
      <c r="J4169" s="25">
        <f>IFERROR(__xludf.DUMMYFUNCTION("""COMPUTED_VALUE"""),3563.75)</f>
        <v>3563.75</v>
      </c>
      <c r="K4169" s="25">
        <f>IFERROR(__xludf.DUMMYFUNCTION("""COMPUTED_VALUE"""),3491.0)</f>
        <v>3491</v>
      </c>
      <c r="L4169" s="25">
        <f>IFERROR(__xludf.DUMMYFUNCTION("""COMPUTED_VALUE"""),3529.15)</f>
        <v>3529.15</v>
      </c>
      <c r="M4169" s="25">
        <f>IFERROR(__xludf.DUMMYFUNCTION("""COMPUTED_VALUE"""),5588446.0)</f>
        <v>5588446</v>
      </c>
    </row>
    <row r="4170">
      <c r="A4170" s="26">
        <f>IFERROR(__xludf.DUMMYFUNCTION("""COMPUTED_VALUE"""),44530.64583333333)</f>
        <v>44530.64583</v>
      </c>
      <c r="B4170" s="9">
        <f>IFERROR(__xludf.DUMMYFUNCTION("""COMPUTED_VALUE"""),1704.55)</f>
        <v>1704.55</v>
      </c>
      <c r="C4170" s="9">
        <f>IFERROR(__xludf.DUMMYFUNCTION("""COMPUTED_VALUE"""),1729.9)</f>
        <v>1729.9</v>
      </c>
      <c r="D4170" s="9">
        <f>IFERROR(__xludf.DUMMYFUNCTION("""COMPUTED_VALUE"""),1700.05)</f>
        <v>1700.05</v>
      </c>
      <c r="E4170" s="9">
        <f>IFERROR(__xludf.DUMMYFUNCTION("""COMPUTED_VALUE"""),1712.65)</f>
        <v>1712.65</v>
      </c>
      <c r="F4170" s="9">
        <f>IFERROR(__xludf.DUMMYFUNCTION("""COMPUTED_VALUE"""),1.4808963E7)</f>
        <v>14808963</v>
      </c>
      <c r="H4170" s="27">
        <f>IFERROR(__xludf.DUMMYFUNCTION("""COMPUTED_VALUE"""),44531.64583333333)</f>
        <v>44531.64583</v>
      </c>
      <c r="I4170" s="25">
        <f>IFERROR(__xludf.DUMMYFUNCTION("""COMPUTED_VALUE"""),3535.0)</f>
        <v>3535</v>
      </c>
      <c r="J4170" s="25">
        <f>IFERROR(__xludf.DUMMYFUNCTION("""COMPUTED_VALUE"""),3590.0)</f>
        <v>3590</v>
      </c>
      <c r="K4170" s="25">
        <f>IFERROR(__xludf.DUMMYFUNCTION("""COMPUTED_VALUE"""),3535.0)</f>
        <v>3535</v>
      </c>
      <c r="L4170" s="25">
        <f>IFERROR(__xludf.DUMMYFUNCTION("""COMPUTED_VALUE"""),3577.8)</f>
        <v>3577.8</v>
      </c>
      <c r="M4170" s="25">
        <f>IFERROR(__xludf.DUMMYFUNCTION("""COMPUTED_VALUE"""),2102118.0)</f>
        <v>2102118</v>
      </c>
    </row>
    <row r="4171">
      <c r="A4171" s="26">
        <f>IFERROR(__xludf.DUMMYFUNCTION("""COMPUTED_VALUE"""),44531.64583333333)</f>
        <v>44531.64583</v>
      </c>
      <c r="B4171" s="9">
        <f>IFERROR(__xludf.DUMMYFUNCTION("""COMPUTED_VALUE"""),1715.0)</f>
        <v>1715</v>
      </c>
      <c r="C4171" s="9">
        <f>IFERROR(__xludf.DUMMYFUNCTION("""COMPUTED_VALUE"""),1741.9)</f>
        <v>1741.9</v>
      </c>
      <c r="D4171" s="9">
        <f>IFERROR(__xludf.DUMMYFUNCTION("""COMPUTED_VALUE"""),1713.0)</f>
        <v>1713</v>
      </c>
      <c r="E4171" s="9">
        <f>IFERROR(__xludf.DUMMYFUNCTION("""COMPUTED_VALUE"""),1714.9)</f>
        <v>1714.9</v>
      </c>
      <c r="F4171" s="9">
        <f>IFERROR(__xludf.DUMMYFUNCTION("""COMPUTED_VALUE"""),5193264.0)</f>
        <v>5193264</v>
      </c>
      <c r="H4171" s="27">
        <f>IFERROR(__xludf.DUMMYFUNCTION("""COMPUTED_VALUE"""),44532.64583333333)</f>
        <v>44532.64583</v>
      </c>
      <c r="I4171" s="25">
        <f>IFERROR(__xludf.DUMMYFUNCTION("""COMPUTED_VALUE"""),3589.2)</f>
        <v>3589.2</v>
      </c>
      <c r="J4171" s="25">
        <f>IFERROR(__xludf.DUMMYFUNCTION("""COMPUTED_VALUE"""),3648.0)</f>
        <v>3648</v>
      </c>
      <c r="K4171" s="25">
        <f>IFERROR(__xludf.DUMMYFUNCTION("""COMPUTED_VALUE"""),3574.1)</f>
        <v>3574.1</v>
      </c>
      <c r="L4171" s="25">
        <f>IFERROR(__xludf.DUMMYFUNCTION("""COMPUTED_VALUE"""),3642.9)</f>
        <v>3642.9</v>
      </c>
      <c r="M4171" s="25">
        <f>IFERROR(__xludf.DUMMYFUNCTION("""COMPUTED_VALUE"""),3152938.0)</f>
        <v>3152938</v>
      </c>
    </row>
    <row r="4172">
      <c r="A4172" s="26">
        <f>IFERROR(__xludf.DUMMYFUNCTION("""COMPUTED_VALUE"""),44532.64583333333)</f>
        <v>44532.64583</v>
      </c>
      <c r="B4172" s="9">
        <f>IFERROR(__xludf.DUMMYFUNCTION("""COMPUTED_VALUE"""),1715.0)</f>
        <v>1715</v>
      </c>
      <c r="C4172" s="9">
        <f>IFERROR(__xludf.DUMMYFUNCTION("""COMPUTED_VALUE"""),1750.5)</f>
        <v>1750.5</v>
      </c>
      <c r="D4172" s="9">
        <f>IFERROR(__xludf.DUMMYFUNCTION("""COMPUTED_VALUE"""),1711.35)</f>
        <v>1711.35</v>
      </c>
      <c r="E4172" s="9">
        <f>IFERROR(__xludf.DUMMYFUNCTION("""COMPUTED_VALUE"""),1748.25)</f>
        <v>1748.25</v>
      </c>
      <c r="F4172" s="9">
        <f>IFERROR(__xludf.DUMMYFUNCTION("""COMPUTED_VALUE"""),5559574.0)</f>
        <v>5559574</v>
      </c>
      <c r="H4172" s="27">
        <f>IFERROR(__xludf.DUMMYFUNCTION("""COMPUTED_VALUE"""),44533.64583333333)</f>
        <v>44533.64583</v>
      </c>
      <c r="I4172" s="25">
        <f>IFERROR(__xludf.DUMMYFUNCTION("""COMPUTED_VALUE"""),3646.45)</f>
        <v>3646.45</v>
      </c>
      <c r="J4172" s="25">
        <f>IFERROR(__xludf.DUMMYFUNCTION("""COMPUTED_VALUE"""),3665.95)</f>
        <v>3665.95</v>
      </c>
      <c r="K4172" s="25">
        <f>IFERROR(__xludf.DUMMYFUNCTION("""COMPUTED_VALUE"""),3630.85)</f>
        <v>3630.85</v>
      </c>
      <c r="L4172" s="25">
        <f>IFERROR(__xludf.DUMMYFUNCTION("""COMPUTED_VALUE"""),3640.45)</f>
        <v>3640.45</v>
      </c>
      <c r="M4172" s="25">
        <f>IFERROR(__xludf.DUMMYFUNCTION("""COMPUTED_VALUE"""),2486263.0)</f>
        <v>2486263</v>
      </c>
    </row>
    <row r="4173">
      <c r="A4173" s="26">
        <f>IFERROR(__xludf.DUMMYFUNCTION("""COMPUTED_VALUE"""),44533.64583333333)</f>
        <v>44533.64583</v>
      </c>
      <c r="B4173" s="9">
        <f>IFERROR(__xludf.DUMMYFUNCTION("""COMPUTED_VALUE"""),1771.1)</f>
        <v>1771.1</v>
      </c>
      <c r="C4173" s="9">
        <f>IFERROR(__xludf.DUMMYFUNCTION("""COMPUTED_VALUE"""),1786.65)</f>
        <v>1786.65</v>
      </c>
      <c r="D4173" s="9">
        <f>IFERROR(__xludf.DUMMYFUNCTION("""COMPUTED_VALUE"""),1732.55)</f>
        <v>1732.55</v>
      </c>
      <c r="E4173" s="9">
        <f>IFERROR(__xludf.DUMMYFUNCTION("""COMPUTED_VALUE"""),1735.55)</f>
        <v>1735.55</v>
      </c>
      <c r="F4173" s="9">
        <f>IFERROR(__xludf.DUMMYFUNCTION("""COMPUTED_VALUE"""),6754012.0)</f>
        <v>6754012</v>
      </c>
      <c r="H4173" s="27">
        <f>IFERROR(__xludf.DUMMYFUNCTION("""COMPUTED_VALUE"""),44536.64583333333)</f>
        <v>44536.64583</v>
      </c>
      <c r="I4173" s="25">
        <f>IFERROR(__xludf.DUMMYFUNCTION("""COMPUTED_VALUE"""),3640.45)</f>
        <v>3640.45</v>
      </c>
      <c r="J4173" s="25">
        <f>IFERROR(__xludf.DUMMYFUNCTION("""COMPUTED_VALUE"""),3658.0)</f>
        <v>3658</v>
      </c>
      <c r="K4173" s="25">
        <f>IFERROR(__xludf.DUMMYFUNCTION("""COMPUTED_VALUE"""),3522.0)</f>
        <v>3522</v>
      </c>
      <c r="L4173" s="25">
        <f>IFERROR(__xludf.DUMMYFUNCTION("""COMPUTED_VALUE"""),3536.4)</f>
        <v>3536.4</v>
      </c>
      <c r="M4173" s="25">
        <f>IFERROR(__xludf.DUMMYFUNCTION("""COMPUTED_VALUE"""),1849642.0)</f>
        <v>1849642</v>
      </c>
    </row>
    <row r="4174">
      <c r="A4174" s="26">
        <f>IFERROR(__xludf.DUMMYFUNCTION("""COMPUTED_VALUE"""),44536.64583333333)</f>
        <v>44536.64583</v>
      </c>
      <c r="B4174" s="9">
        <f>IFERROR(__xludf.DUMMYFUNCTION("""COMPUTED_VALUE"""),1730.0)</f>
        <v>1730</v>
      </c>
      <c r="C4174" s="9">
        <f>IFERROR(__xludf.DUMMYFUNCTION("""COMPUTED_VALUE"""),1733.95)</f>
        <v>1733.95</v>
      </c>
      <c r="D4174" s="9">
        <f>IFERROR(__xludf.DUMMYFUNCTION("""COMPUTED_VALUE"""),1691.5)</f>
        <v>1691.5</v>
      </c>
      <c r="E4174" s="9">
        <f>IFERROR(__xludf.DUMMYFUNCTION("""COMPUTED_VALUE"""),1695.3)</f>
        <v>1695.3</v>
      </c>
      <c r="F4174" s="9">
        <f>IFERROR(__xludf.DUMMYFUNCTION("""COMPUTED_VALUE"""),3991449.0)</f>
        <v>3991449</v>
      </c>
      <c r="H4174" s="27">
        <f>IFERROR(__xludf.DUMMYFUNCTION("""COMPUTED_VALUE"""),44537.64583333333)</f>
        <v>44537.64583</v>
      </c>
      <c r="I4174" s="25">
        <f>IFERROR(__xludf.DUMMYFUNCTION("""COMPUTED_VALUE"""),3562.5)</f>
        <v>3562.5</v>
      </c>
      <c r="J4174" s="25">
        <f>IFERROR(__xludf.DUMMYFUNCTION("""COMPUTED_VALUE"""),3598.0)</f>
        <v>3598</v>
      </c>
      <c r="K4174" s="25">
        <f>IFERROR(__xludf.DUMMYFUNCTION("""COMPUTED_VALUE"""),3524.3)</f>
        <v>3524.3</v>
      </c>
      <c r="L4174" s="25">
        <f>IFERROR(__xludf.DUMMYFUNCTION("""COMPUTED_VALUE"""),3584.5)</f>
        <v>3584.5</v>
      </c>
      <c r="M4174" s="25">
        <f>IFERROR(__xludf.DUMMYFUNCTION("""COMPUTED_VALUE"""),1484458.0)</f>
        <v>1484458</v>
      </c>
    </row>
    <row r="4175">
      <c r="A4175" s="26">
        <f>IFERROR(__xludf.DUMMYFUNCTION("""COMPUTED_VALUE"""),44537.64583333333)</f>
        <v>44537.64583</v>
      </c>
      <c r="B4175" s="9">
        <f>IFERROR(__xludf.DUMMYFUNCTION("""COMPUTED_VALUE"""),1701.1)</f>
        <v>1701.1</v>
      </c>
      <c r="C4175" s="9">
        <f>IFERROR(__xludf.DUMMYFUNCTION("""COMPUTED_VALUE"""),1724.9)</f>
        <v>1724.9</v>
      </c>
      <c r="D4175" s="9">
        <f>IFERROR(__xludf.DUMMYFUNCTION("""COMPUTED_VALUE"""),1694.0)</f>
        <v>1694</v>
      </c>
      <c r="E4175" s="9">
        <f>IFERROR(__xludf.DUMMYFUNCTION("""COMPUTED_VALUE"""),1711.65)</f>
        <v>1711.65</v>
      </c>
      <c r="F4175" s="9">
        <f>IFERROR(__xludf.DUMMYFUNCTION("""COMPUTED_VALUE"""),4202122.0)</f>
        <v>4202122</v>
      </c>
      <c r="H4175" s="27">
        <f>IFERROR(__xludf.DUMMYFUNCTION("""COMPUTED_VALUE"""),44538.64583333333)</f>
        <v>44538.64583</v>
      </c>
      <c r="I4175" s="25">
        <f>IFERROR(__xludf.DUMMYFUNCTION("""COMPUTED_VALUE"""),3601.0)</f>
        <v>3601</v>
      </c>
      <c r="J4175" s="25">
        <f>IFERROR(__xludf.DUMMYFUNCTION("""COMPUTED_VALUE"""),3646.45)</f>
        <v>3646.45</v>
      </c>
      <c r="K4175" s="25">
        <f>IFERROR(__xludf.DUMMYFUNCTION("""COMPUTED_VALUE"""),3601.0)</f>
        <v>3601</v>
      </c>
      <c r="L4175" s="25">
        <f>IFERROR(__xludf.DUMMYFUNCTION("""COMPUTED_VALUE"""),3626.9)</f>
        <v>3626.9</v>
      </c>
      <c r="M4175" s="25">
        <f>IFERROR(__xludf.DUMMYFUNCTION("""COMPUTED_VALUE"""),1428660.0)</f>
        <v>1428660</v>
      </c>
    </row>
    <row r="4176">
      <c r="A4176" s="26">
        <f>IFERROR(__xludf.DUMMYFUNCTION("""COMPUTED_VALUE"""),44538.64583333333)</f>
        <v>44538.64583</v>
      </c>
      <c r="B4176" s="9">
        <f>IFERROR(__xludf.DUMMYFUNCTION("""COMPUTED_VALUE"""),1733.0)</f>
        <v>1733</v>
      </c>
      <c r="C4176" s="9">
        <f>IFERROR(__xludf.DUMMYFUNCTION("""COMPUTED_VALUE"""),1759.8)</f>
        <v>1759.8</v>
      </c>
      <c r="D4176" s="9">
        <f>IFERROR(__xludf.DUMMYFUNCTION("""COMPUTED_VALUE"""),1732.6)</f>
        <v>1732.6</v>
      </c>
      <c r="E4176" s="9">
        <f>IFERROR(__xludf.DUMMYFUNCTION("""COMPUTED_VALUE"""),1753.35)</f>
        <v>1753.35</v>
      </c>
      <c r="F4176" s="9">
        <f>IFERROR(__xludf.DUMMYFUNCTION("""COMPUTED_VALUE"""),3029169.0)</f>
        <v>3029169</v>
      </c>
      <c r="H4176" s="27">
        <f>IFERROR(__xludf.DUMMYFUNCTION("""COMPUTED_VALUE"""),44539.64583333333)</f>
        <v>44539.64583</v>
      </c>
      <c r="I4176" s="25">
        <f>IFERROR(__xludf.DUMMYFUNCTION("""COMPUTED_VALUE"""),3610.0)</f>
        <v>3610</v>
      </c>
      <c r="J4176" s="25">
        <f>IFERROR(__xludf.DUMMYFUNCTION("""COMPUTED_VALUE"""),3634.75)</f>
        <v>3634.75</v>
      </c>
      <c r="K4176" s="25">
        <f>IFERROR(__xludf.DUMMYFUNCTION("""COMPUTED_VALUE"""),3566.0)</f>
        <v>3566</v>
      </c>
      <c r="L4176" s="25">
        <f>IFERROR(__xludf.DUMMYFUNCTION("""COMPUTED_VALUE"""),3601.75)</f>
        <v>3601.75</v>
      </c>
      <c r="M4176" s="25">
        <f>IFERROR(__xludf.DUMMYFUNCTION("""COMPUTED_VALUE"""),1567957.0)</f>
        <v>1567957</v>
      </c>
    </row>
    <row r="4177">
      <c r="A4177" s="26">
        <f>IFERROR(__xludf.DUMMYFUNCTION("""COMPUTED_VALUE"""),44539.64583333333)</f>
        <v>44539.64583</v>
      </c>
      <c r="B4177" s="9">
        <f>IFERROR(__xludf.DUMMYFUNCTION("""COMPUTED_VALUE"""),1759.0)</f>
        <v>1759</v>
      </c>
      <c r="C4177" s="9">
        <f>IFERROR(__xludf.DUMMYFUNCTION("""COMPUTED_VALUE"""),1769.4)</f>
        <v>1769.4</v>
      </c>
      <c r="D4177" s="9">
        <f>IFERROR(__xludf.DUMMYFUNCTION("""COMPUTED_VALUE"""),1742.0)</f>
        <v>1742</v>
      </c>
      <c r="E4177" s="9">
        <f>IFERROR(__xludf.DUMMYFUNCTION("""COMPUTED_VALUE"""),1763.45)</f>
        <v>1763.45</v>
      </c>
      <c r="F4177" s="9">
        <f>IFERROR(__xludf.DUMMYFUNCTION("""COMPUTED_VALUE"""),2082171.0)</f>
        <v>2082171</v>
      </c>
      <c r="H4177" s="27">
        <f>IFERROR(__xludf.DUMMYFUNCTION("""COMPUTED_VALUE"""),44540.64583333333)</f>
        <v>44540.64583</v>
      </c>
      <c r="I4177" s="25">
        <f>IFERROR(__xludf.DUMMYFUNCTION("""COMPUTED_VALUE"""),3585.0)</f>
        <v>3585</v>
      </c>
      <c r="J4177" s="25">
        <f>IFERROR(__xludf.DUMMYFUNCTION("""COMPUTED_VALUE"""),3642.0)</f>
        <v>3642</v>
      </c>
      <c r="K4177" s="25">
        <f>IFERROR(__xludf.DUMMYFUNCTION("""COMPUTED_VALUE"""),3575.1)</f>
        <v>3575.1</v>
      </c>
      <c r="L4177" s="25">
        <f>IFERROR(__xludf.DUMMYFUNCTION("""COMPUTED_VALUE"""),3636.8)</f>
        <v>3636.8</v>
      </c>
      <c r="M4177" s="25">
        <f>IFERROR(__xludf.DUMMYFUNCTION("""COMPUTED_VALUE"""),1510718.0)</f>
        <v>1510718</v>
      </c>
    </row>
    <row r="4178">
      <c r="A4178" s="26">
        <f>IFERROR(__xludf.DUMMYFUNCTION("""COMPUTED_VALUE"""),44540.64583333333)</f>
        <v>44540.64583</v>
      </c>
      <c r="B4178" s="9">
        <f>IFERROR(__xludf.DUMMYFUNCTION("""COMPUTED_VALUE"""),1760.0)</f>
        <v>1760</v>
      </c>
      <c r="C4178" s="9">
        <f>IFERROR(__xludf.DUMMYFUNCTION("""COMPUTED_VALUE"""),1763.75)</f>
        <v>1763.75</v>
      </c>
      <c r="D4178" s="9">
        <f>IFERROR(__xludf.DUMMYFUNCTION("""COMPUTED_VALUE"""),1746.0)</f>
        <v>1746</v>
      </c>
      <c r="E4178" s="9">
        <f>IFERROR(__xludf.DUMMYFUNCTION("""COMPUTED_VALUE"""),1759.25)</f>
        <v>1759.25</v>
      </c>
      <c r="F4178" s="9">
        <f>IFERROR(__xludf.DUMMYFUNCTION("""COMPUTED_VALUE"""),1823469.0)</f>
        <v>1823469</v>
      </c>
      <c r="H4178" s="27">
        <f>IFERROR(__xludf.DUMMYFUNCTION("""COMPUTED_VALUE"""),44543.64583333333)</f>
        <v>44543.64583</v>
      </c>
      <c r="I4178" s="25">
        <f>IFERROR(__xludf.DUMMYFUNCTION("""COMPUTED_VALUE"""),3650.0)</f>
        <v>3650</v>
      </c>
      <c r="J4178" s="25">
        <f>IFERROR(__xludf.DUMMYFUNCTION("""COMPUTED_VALUE"""),3662.0)</f>
        <v>3662</v>
      </c>
      <c r="K4178" s="25">
        <f>IFERROR(__xludf.DUMMYFUNCTION("""COMPUTED_VALUE"""),3601.7)</f>
        <v>3601.7</v>
      </c>
      <c r="L4178" s="25">
        <f>IFERROR(__xludf.DUMMYFUNCTION("""COMPUTED_VALUE"""),3609.65)</f>
        <v>3609.65</v>
      </c>
      <c r="M4178" s="25">
        <f>IFERROR(__xludf.DUMMYFUNCTION("""COMPUTED_VALUE"""),1883864.0)</f>
        <v>1883864</v>
      </c>
    </row>
    <row r="4179">
      <c r="A4179" s="26">
        <f>IFERROR(__xludf.DUMMYFUNCTION("""COMPUTED_VALUE"""),44543.64583333333)</f>
        <v>44543.64583</v>
      </c>
      <c r="B4179" s="9">
        <f>IFERROR(__xludf.DUMMYFUNCTION("""COMPUTED_VALUE"""),1767.05)</f>
        <v>1767.05</v>
      </c>
      <c r="C4179" s="9">
        <f>IFERROR(__xludf.DUMMYFUNCTION("""COMPUTED_VALUE"""),1771.35)</f>
        <v>1771.35</v>
      </c>
      <c r="D4179" s="9">
        <f>IFERROR(__xludf.DUMMYFUNCTION("""COMPUTED_VALUE"""),1738.8)</f>
        <v>1738.8</v>
      </c>
      <c r="E4179" s="9">
        <f>IFERROR(__xludf.DUMMYFUNCTION("""COMPUTED_VALUE"""),1744.65)</f>
        <v>1744.65</v>
      </c>
      <c r="F4179" s="9">
        <f>IFERROR(__xludf.DUMMYFUNCTION("""COMPUTED_VALUE"""),4040584.0)</f>
        <v>4040584</v>
      </c>
      <c r="H4179" s="27">
        <f>IFERROR(__xludf.DUMMYFUNCTION("""COMPUTED_VALUE"""),44544.64583333333)</f>
        <v>44544.64583</v>
      </c>
      <c r="I4179" s="25">
        <f>IFERROR(__xludf.DUMMYFUNCTION("""COMPUTED_VALUE"""),3605.0)</f>
        <v>3605</v>
      </c>
      <c r="J4179" s="25">
        <f>IFERROR(__xludf.DUMMYFUNCTION("""COMPUTED_VALUE"""),3635.0)</f>
        <v>3635</v>
      </c>
      <c r="K4179" s="25">
        <f>IFERROR(__xludf.DUMMYFUNCTION("""COMPUTED_VALUE"""),3576.7)</f>
        <v>3576.7</v>
      </c>
      <c r="L4179" s="25">
        <f>IFERROR(__xludf.DUMMYFUNCTION("""COMPUTED_VALUE"""),3623.8)</f>
        <v>3623.8</v>
      </c>
      <c r="M4179" s="25">
        <f>IFERROR(__xludf.DUMMYFUNCTION("""COMPUTED_VALUE"""),1747007.0)</f>
        <v>1747007</v>
      </c>
    </row>
    <row r="4180">
      <c r="A4180" s="26">
        <f>IFERROR(__xludf.DUMMYFUNCTION("""COMPUTED_VALUE"""),44544.64583333333)</f>
        <v>44544.64583</v>
      </c>
      <c r="B4180" s="9">
        <f>IFERROR(__xludf.DUMMYFUNCTION("""COMPUTED_VALUE"""),1730.9)</f>
        <v>1730.9</v>
      </c>
      <c r="C4180" s="9">
        <f>IFERROR(__xludf.DUMMYFUNCTION("""COMPUTED_VALUE"""),1763.0)</f>
        <v>1763</v>
      </c>
      <c r="D4180" s="9">
        <f>IFERROR(__xludf.DUMMYFUNCTION("""COMPUTED_VALUE"""),1710.35)</f>
        <v>1710.35</v>
      </c>
      <c r="E4180" s="9">
        <f>IFERROR(__xludf.DUMMYFUNCTION("""COMPUTED_VALUE"""),1752.15)</f>
        <v>1752.15</v>
      </c>
      <c r="F4180" s="9">
        <f>IFERROR(__xludf.DUMMYFUNCTION("""COMPUTED_VALUE"""),4768144.0)</f>
        <v>4768144</v>
      </c>
      <c r="H4180" s="27">
        <f>IFERROR(__xludf.DUMMYFUNCTION("""COMPUTED_VALUE"""),44545.64583333333)</f>
        <v>44545.64583</v>
      </c>
      <c r="I4180" s="25">
        <f>IFERROR(__xludf.DUMMYFUNCTION("""COMPUTED_VALUE"""),3620.0)</f>
        <v>3620</v>
      </c>
      <c r="J4180" s="25">
        <f>IFERROR(__xludf.DUMMYFUNCTION("""COMPUTED_VALUE"""),3623.0)</f>
        <v>3623</v>
      </c>
      <c r="K4180" s="25">
        <f>IFERROR(__xludf.DUMMYFUNCTION("""COMPUTED_VALUE"""),3558.15)</f>
        <v>3558.15</v>
      </c>
      <c r="L4180" s="25">
        <f>IFERROR(__xludf.DUMMYFUNCTION("""COMPUTED_VALUE"""),3570.35)</f>
        <v>3570.35</v>
      </c>
      <c r="M4180" s="25">
        <f>IFERROR(__xludf.DUMMYFUNCTION("""COMPUTED_VALUE"""),1603233.0)</f>
        <v>1603233</v>
      </c>
    </row>
    <row r="4181">
      <c r="A4181" s="26">
        <f>IFERROR(__xludf.DUMMYFUNCTION("""COMPUTED_VALUE"""),44545.64583333333)</f>
        <v>44545.64583</v>
      </c>
      <c r="B4181" s="9">
        <f>IFERROR(__xludf.DUMMYFUNCTION("""COMPUTED_VALUE"""),1745.0)</f>
        <v>1745</v>
      </c>
      <c r="C4181" s="9">
        <f>IFERROR(__xludf.DUMMYFUNCTION("""COMPUTED_VALUE"""),1747.95)</f>
        <v>1747.95</v>
      </c>
      <c r="D4181" s="9">
        <f>IFERROR(__xludf.DUMMYFUNCTION("""COMPUTED_VALUE"""),1721.2)</f>
        <v>1721.2</v>
      </c>
      <c r="E4181" s="9">
        <f>IFERROR(__xludf.DUMMYFUNCTION("""COMPUTED_VALUE"""),1734.2)</f>
        <v>1734.2</v>
      </c>
      <c r="F4181" s="9">
        <f>IFERROR(__xludf.DUMMYFUNCTION("""COMPUTED_VALUE"""),3053149.0)</f>
        <v>3053149</v>
      </c>
      <c r="H4181" s="27">
        <f>IFERROR(__xludf.DUMMYFUNCTION("""COMPUTED_VALUE"""),44546.64583333333)</f>
        <v>44546.64583</v>
      </c>
      <c r="I4181" s="25">
        <f>IFERROR(__xludf.DUMMYFUNCTION("""COMPUTED_VALUE"""),3582.0)</f>
        <v>3582</v>
      </c>
      <c r="J4181" s="25">
        <f>IFERROR(__xludf.DUMMYFUNCTION("""COMPUTED_VALUE"""),3608.45)</f>
        <v>3608.45</v>
      </c>
      <c r="K4181" s="25">
        <f>IFERROR(__xludf.DUMMYFUNCTION("""COMPUTED_VALUE"""),3570.0)</f>
        <v>3570</v>
      </c>
      <c r="L4181" s="25">
        <f>IFERROR(__xludf.DUMMYFUNCTION("""COMPUTED_VALUE"""),3581.6)</f>
        <v>3581.6</v>
      </c>
      <c r="M4181" s="25">
        <f>IFERROR(__xludf.DUMMYFUNCTION("""COMPUTED_VALUE"""),2072320.0)</f>
        <v>2072320</v>
      </c>
    </row>
    <row r="4182">
      <c r="A4182" s="26">
        <f>IFERROR(__xludf.DUMMYFUNCTION("""COMPUTED_VALUE"""),44546.64583333333)</f>
        <v>44546.64583</v>
      </c>
      <c r="B4182" s="9">
        <f>IFERROR(__xludf.DUMMYFUNCTION("""COMPUTED_VALUE"""),1762.65)</f>
        <v>1762.65</v>
      </c>
      <c r="C4182" s="9">
        <f>IFERROR(__xludf.DUMMYFUNCTION("""COMPUTED_VALUE"""),1777.6)</f>
        <v>1777.6</v>
      </c>
      <c r="D4182" s="9">
        <f>IFERROR(__xludf.DUMMYFUNCTION("""COMPUTED_VALUE"""),1758.0)</f>
        <v>1758</v>
      </c>
      <c r="E4182" s="9">
        <f>IFERROR(__xludf.DUMMYFUNCTION("""COMPUTED_VALUE"""),1771.6)</f>
        <v>1771.6</v>
      </c>
      <c r="F4182" s="9">
        <f>IFERROR(__xludf.DUMMYFUNCTION("""COMPUTED_VALUE"""),4481031.0)</f>
        <v>4481031</v>
      </c>
      <c r="H4182" s="27">
        <f>IFERROR(__xludf.DUMMYFUNCTION("""COMPUTED_VALUE"""),44547.64583333333)</f>
        <v>44547.64583</v>
      </c>
      <c r="I4182" s="25">
        <f>IFERROR(__xludf.DUMMYFUNCTION("""COMPUTED_VALUE"""),3602.5)</f>
        <v>3602.5</v>
      </c>
      <c r="J4182" s="25">
        <f>IFERROR(__xludf.DUMMYFUNCTION("""COMPUTED_VALUE"""),3651.35)</f>
        <v>3651.35</v>
      </c>
      <c r="K4182" s="25">
        <f>IFERROR(__xludf.DUMMYFUNCTION("""COMPUTED_VALUE"""),3573.7)</f>
        <v>3573.7</v>
      </c>
      <c r="L4182" s="25">
        <f>IFERROR(__xludf.DUMMYFUNCTION("""COMPUTED_VALUE"""),3584.35)</f>
        <v>3584.35</v>
      </c>
      <c r="M4182" s="25">
        <f>IFERROR(__xludf.DUMMYFUNCTION("""COMPUTED_VALUE"""),4333992.0)</f>
        <v>4333992</v>
      </c>
    </row>
    <row r="4183">
      <c r="A4183" s="26">
        <f>IFERROR(__xludf.DUMMYFUNCTION("""COMPUTED_VALUE"""),44547.64583333333)</f>
        <v>44547.64583</v>
      </c>
      <c r="B4183" s="9">
        <f>IFERROR(__xludf.DUMMYFUNCTION("""COMPUTED_VALUE"""),1820.0)</f>
        <v>1820</v>
      </c>
      <c r="C4183" s="9">
        <f>IFERROR(__xludf.DUMMYFUNCTION("""COMPUTED_VALUE"""),1842.0)</f>
        <v>1842</v>
      </c>
      <c r="D4183" s="9">
        <f>IFERROR(__xludf.DUMMYFUNCTION("""COMPUTED_VALUE"""),1806.75)</f>
        <v>1806.75</v>
      </c>
      <c r="E4183" s="9">
        <f>IFERROR(__xludf.DUMMYFUNCTION("""COMPUTED_VALUE"""),1820.85)</f>
        <v>1820.85</v>
      </c>
      <c r="F4183" s="9">
        <f>IFERROR(__xludf.DUMMYFUNCTION("""COMPUTED_VALUE"""),1.8887243E7)</f>
        <v>18887243</v>
      </c>
      <c r="H4183" s="27">
        <f>IFERROR(__xludf.DUMMYFUNCTION("""COMPUTED_VALUE"""),44550.64583333333)</f>
        <v>44550.64583</v>
      </c>
      <c r="I4183" s="25">
        <f>IFERROR(__xludf.DUMMYFUNCTION("""COMPUTED_VALUE"""),3589.0)</f>
        <v>3589</v>
      </c>
      <c r="J4183" s="25">
        <f>IFERROR(__xludf.DUMMYFUNCTION("""COMPUTED_VALUE"""),3606.0)</f>
        <v>3606</v>
      </c>
      <c r="K4183" s="25">
        <f>IFERROR(__xludf.DUMMYFUNCTION("""COMPUTED_VALUE"""),3510.15)</f>
        <v>3510.15</v>
      </c>
      <c r="L4183" s="25">
        <f>IFERROR(__xludf.DUMMYFUNCTION("""COMPUTED_VALUE"""),3556.9)</f>
        <v>3556.9</v>
      </c>
      <c r="M4183" s="25">
        <f>IFERROR(__xludf.DUMMYFUNCTION("""COMPUTED_VALUE"""),2312310.0)</f>
        <v>2312310</v>
      </c>
    </row>
    <row r="4184">
      <c r="A4184" s="26">
        <f>IFERROR(__xludf.DUMMYFUNCTION("""COMPUTED_VALUE"""),44550.64583333333)</f>
        <v>44550.64583</v>
      </c>
      <c r="B4184" s="9">
        <f>IFERROR(__xludf.DUMMYFUNCTION("""COMPUTED_VALUE"""),1801.7)</f>
        <v>1801.7</v>
      </c>
      <c r="C4184" s="9">
        <f>IFERROR(__xludf.DUMMYFUNCTION("""COMPUTED_VALUE"""),1829.65)</f>
        <v>1829.65</v>
      </c>
      <c r="D4184" s="9">
        <f>IFERROR(__xludf.DUMMYFUNCTION("""COMPUTED_VALUE"""),1787.3)</f>
        <v>1787.3</v>
      </c>
      <c r="E4184" s="9">
        <f>IFERROR(__xludf.DUMMYFUNCTION("""COMPUTED_VALUE"""),1798.9)</f>
        <v>1798.9</v>
      </c>
      <c r="F4184" s="9">
        <f>IFERROR(__xludf.DUMMYFUNCTION("""COMPUTED_VALUE"""),5773891.0)</f>
        <v>5773891</v>
      </c>
      <c r="H4184" s="27">
        <f>IFERROR(__xludf.DUMMYFUNCTION("""COMPUTED_VALUE"""),44551.64583333333)</f>
        <v>44551.64583</v>
      </c>
      <c r="I4184" s="25">
        <f>IFERROR(__xludf.DUMMYFUNCTION("""COMPUTED_VALUE"""),3582.65)</f>
        <v>3582.65</v>
      </c>
      <c r="J4184" s="25">
        <f>IFERROR(__xludf.DUMMYFUNCTION("""COMPUTED_VALUE"""),3641.2)</f>
        <v>3641.2</v>
      </c>
      <c r="K4184" s="25">
        <f>IFERROR(__xludf.DUMMYFUNCTION("""COMPUTED_VALUE"""),3566.4)</f>
        <v>3566.4</v>
      </c>
      <c r="L4184" s="25">
        <f>IFERROR(__xludf.DUMMYFUNCTION("""COMPUTED_VALUE"""),3608.3)</f>
        <v>3608.3</v>
      </c>
      <c r="M4184" s="25">
        <f>IFERROR(__xludf.DUMMYFUNCTION("""COMPUTED_VALUE"""),2340989.0)</f>
        <v>2340989</v>
      </c>
    </row>
    <row r="4185">
      <c r="A4185" s="26">
        <f>IFERROR(__xludf.DUMMYFUNCTION("""COMPUTED_VALUE"""),44551.64583333333)</f>
        <v>44551.64583</v>
      </c>
      <c r="B4185" s="9">
        <f>IFERROR(__xludf.DUMMYFUNCTION("""COMPUTED_VALUE"""),1801.0)</f>
        <v>1801</v>
      </c>
      <c r="C4185" s="9">
        <f>IFERROR(__xludf.DUMMYFUNCTION("""COMPUTED_VALUE"""),1838.0)</f>
        <v>1838</v>
      </c>
      <c r="D4185" s="9">
        <f>IFERROR(__xludf.DUMMYFUNCTION("""COMPUTED_VALUE"""),1801.0)</f>
        <v>1801</v>
      </c>
      <c r="E4185" s="9">
        <f>IFERROR(__xludf.DUMMYFUNCTION("""COMPUTED_VALUE"""),1811.6)</f>
        <v>1811.6</v>
      </c>
      <c r="F4185" s="9">
        <f>IFERROR(__xludf.DUMMYFUNCTION("""COMPUTED_VALUE"""),5353584.0)</f>
        <v>5353584</v>
      </c>
      <c r="H4185" s="27">
        <f>IFERROR(__xludf.DUMMYFUNCTION("""COMPUTED_VALUE"""),44552.64583333333)</f>
        <v>44552.64583</v>
      </c>
      <c r="I4185" s="25">
        <f>IFERROR(__xludf.DUMMYFUNCTION("""COMPUTED_VALUE"""),3624.0)</f>
        <v>3624</v>
      </c>
      <c r="J4185" s="25">
        <f>IFERROR(__xludf.DUMMYFUNCTION("""COMPUTED_VALUE"""),3636.8)</f>
        <v>3636.8</v>
      </c>
      <c r="K4185" s="25">
        <f>IFERROR(__xludf.DUMMYFUNCTION("""COMPUTED_VALUE"""),3606.25)</f>
        <v>3606.25</v>
      </c>
      <c r="L4185" s="25">
        <f>IFERROR(__xludf.DUMMYFUNCTION("""COMPUTED_VALUE"""),3630.75)</f>
        <v>3630.75</v>
      </c>
      <c r="M4185" s="25">
        <f>IFERROR(__xludf.DUMMYFUNCTION("""COMPUTED_VALUE"""),1224328.0)</f>
        <v>1224328</v>
      </c>
    </row>
    <row r="4186">
      <c r="A4186" s="26">
        <f>IFERROR(__xludf.DUMMYFUNCTION("""COMPUTED_VALUE"""),44552.64583333333)</f>
        <v>44552.64583</v>
      </c>
      <c r="B4186" s="9">
        <f>IFERROR(__xludf.DUMMYFUNCTION("""COMPUTED_VALUE"""),1825.0)</f>
        <v>1825</v>
      </c>
      <c r="C4186" s="9">
        <f>IFERROR(__xludf.DUMMYFUNCTION("""COMPUTED_VALUE"""),1829.15)</f>
        <v>1829.15</v>
      </c>
      <c r="D4186" s="9">
        <f>IFERROR(__xludf.DUMMYFUNCTION("""COMPUTED_VALUE"""),1812.35)</f>
        <v>1812.35</v>
      </c>
      <c r="E4186" s="9">
        <f>IFERROR(__xludf.DUMMYFUNCTION("""COMPUTED_VALUE"""),1824.7)</f>
        <v>1824.7</v>
      </c>
      <c r="F4186" s="9">
        <f>IFERROR(__xludf.DUMMYFUNCTION("""COMPUTED_VALUE"""),4156428.0)</f>
        <v>4156428</v>
      </c>
      <c r="H4186" s="27">
        <f>IFERROR(__xludf.DUMMYFUNCTION("""COMPUTED_VALUE"""),44553.64583333333)</f>
        <v>44553.64583</v>
      </c>
      <c r="I4186" s="25">
        <f>IFERROR(__xludf.DUMMYFUNCTION("""COMPUTED_VALUE"""),3648.0)</f>
        <v>3648</v>
      </c>
      <c r="J4186" s="25">
        <f>IFERROR(__xludf.DUMMYFUNCTION("""COMPUTED_VALUE"""),3670.5)</f>
        <v>3670.5</v>
      </c>
      <c r="K4186" s="25">
        <f>IFERROR(__xludf.DUMMYFUNCTION("""COMPUTED_VALUE"""),3630.0)</f>
        <v>3630</v>
      </c>
      <c r="L4186" s="25">
        <f>IFERROR(__xludf.DUMMYFUNCTION("""COMPUTED_VALUE"""),3662.7)</f>
        <v>3662.7</v>
      </c>
      <c r="M4186" s="25">
        <f>IFERROR(__xludf.DUMMYFUNCTION("""COMPUTED_VALUE"""),1792861.0)</f>
        <v>1792861</v>
      </c>
    </row>
    <row r="4187">
      <c r="A4187" s="26">
        <f>IFERROR(__xludf.DUMMYFUNCTION("""COMPUTED_VALUE"""),44553.64583333333)</f>
        <v>44553.64583</v>
      </c>
      <c r="B4187" s="9">
        <f>IFERROR(__xludf.DUMMYFUNCTION("""COMPUTED_VALUE"""),1831.25)</f>
        <v>1831.25</v>
      </c>
      <c r="C4187" s="9">
        <f>IFERROR(__xludf.DUMMYFUNCTION("""COMPUTED_VALUE"""),1861.6)</f>
        <v>1861.6</v>
      </c>
      <c r="D4187" s="9">
        <f>IFERROR(__xludf.DUMMYFUNCTION("""COMPUTED_VALUE"""),1827.0)</f>
        <v>1827</v>
      </c>
      <c r="E4187" s="9">
        <f>IFERROR(__xludf.DUMMYFUNCTION("""COMPUTED_VALUE"""),1857.6)</f>
        <v>1857.6</v>
      </c>
      <c r="F4187" s="9">
        <f>IFERROR(__xludf.DUMMYFUNCTION("""COMPUTED_VALUE"""),4112933.0)</f>
        <v>4112933</v>
      </c>
      <c r="H4187" s="27">
        <f>IFERROR(__xludf.DUMMYFUNCTION("""COMPUTED_VALUE"""),44554.64583333333)</f>
        <v>44554.64583</v>
      </c>
      <c r="I4187" s="25">
        <f>IFERROR(__xludf.DUMMYFUNCTION("""COMPUTED_VALUE"""),3685.0)</f>
        <v>3685</v>
      </c>
      <c r="J4187" s="25">
        <f>IFERROR(__xludf.DUMMYFUNCTION("""COMPUTED_VALUE"""),3705.0)</f>
        <v>3705</v>
      </c>
      <c r="K4187" s="25">
        <f>IFERROR(__xludf.DUMMYFUNCTION("""COMPUTED_VALUE"""),3644.8)</f>
        <v>3644.8</v>
      </c>
      <c r="L4187" s="25">
        <f>IFERROR(__xludf.DUMMYFUNCTION("""COMPUTED_VALUE"""),3670.9)</f>
        <v>3670.9</v>
      </c>
      <c r="M4187" s="25">
        <f>IFERROR(__xludf.DUMMYFUNCTION("""COMPUTED_VALUE"""),2209923.0)</f>
        <v>2209923</v>
      </c>
    </row>
    <row r="4188">
      <c r="A4188" s="26">
        <f>IFERROR(__xludf.DUMMYFUNCTION("""COMPUTED_VALUE"""),44554.64583333333)</f>
        <v>44554.64583</v>
      </c>
      <c r="B4188" s="9">
        <f>IFERROR(__xludf.DUMMYFUNCTION("""COMPUTED_VALUE"""),1872.95)</f>
        <v>1872.95</v>
      </c>
      <c r="C4188" s="9">
        <f>IFERROR(__xludf.DUMMYFUNCTION("""COMPUTED_VALUE"""),1875.75)</f>
        <v>1875.75</v>
      </c>
      <c r="D4188" s="9">
        <f>IFERROR(__xludf.DUMMYFUNCTION("""COMPUTED_VALUE"""),1854.0)</f>
        <v>1854</v>
      </c>
      <c r="E4188" s="9">
        <f>IFERROR(__xludf.DUMMYFUNCTION("""COMPUTED_VALUE"""),1863.5)</f>
        <v>1863.5</v>
      </c>
      <c r="F4188" s="9">
        <f>IFERROR(__xludf.DUMMYFUNCTION("""COMPUTED_VALUE"""),3780347.0)</f>
        <v>3780347</v>
      </c>
      <c r="H4188" s="27">
        <f>IFERROR(__xludf.DUMMYFUNCTION("""COMPUTED_VALUE"""),44557.64583333333)</f>
        <v>44557.64583</v>
      </c>
      <c r="I4188" s="25">
        <f>IFERROR(__xludf.DUMMYFUNCTION("""COMPUTED_VALUE"""),3671.0)</f>
        <v>3671</v>
      </c>
      <c r="J4188" s="25">
        <f>IFERROR(__xludf.DUMMYFUNCTION("""COMPUTED_VALUE"""),3700.0)</f>
        <v>3700</v>
      </c>
      <c r="K4188" s="25">
        <f>IFERROR(__xludf.DUMMYFUNCTION("""COMPUTED_VALUE"""),3653.1)</f>
        <v>3653.1</v>
      </c>
      <c r="L4188" s="25">
        <f>IFERROR(__xludf.DUMMYFUNCTION("""COMPUTED_VALUE"""),3696.1)</f>
        <v>3696.1</v>
      </c>
      <c r="M4188" s="25">
        <f>IFERROR(__xludf.DUMMYFUNCTION("""COMPUTED_VALUE"""),1534135.0)</f>
        <v>1534135</v>
      </c>
    </row>
    <row r="4189">
      <c r="A4189" s="26">
        <f>IFERROR(__xludf.DUMMYFUNCTION("""COMPUTED_VALUE"""),44557.64583333333)</f>
        <v>44557.64583</v>
      </c>
      <c r="B4189" s="9">
        <f>IFERROR(__xludf.DUMMYFUNCTION("""COMPUTED_VALUE"""),1860.0)</f>
        <v>1860</v>
      </c>
      <c r="C4189" s="9">
        <f>IFERROR(__xludf.DUMMYFUNCTION("""COMPUTED_VALUE"""),1874.5)</f>
        <v>1874.5</v>
      </c>
      <c r="D4189" s="9">
        <f>IFERROR(__xludf.DUMMYFUNCTION("""COMPUTED_VALUE"""),1845.05)</f>
        <v>1845.05</v>
      </c>
      <c r="E4189" s="9">
        <f>IFERROR(__xludf.DUMMYFUNCTION("""COMPUTED_VALUE"""),1866.15)</f>
        <v>1866.15</v>
      </c>
      <c r="F4189" s="9">
        <f>IFERROR(__xludf.DUMMYFUNCTION("""COMPUTED_VALUE"""),2647733.0)</f>
        <v>2647733</v>
      </c>
      <c r="H4189" s="27">
        <f>IFERROR(__xludf.DUMMYFUNCTION("""COMPUTED_VALUE"""),44558.64583333333)</f>
        <v>44558.64583</v>
      </c>
      <c r="I4189" s="25">
        <f>IFERROR(__xludf.DUMMYFUNCTION("""COMPUTED_VALUE"""),3710.0)</f>
        <v>3710</v>
      </c>
      <c r="J4189" s="25">
        <f>IFERROR(__xludf.DUMMYFUNCTION("""COMPUTED_VALUE"""),3725.0)</f>
        <v>3725</v>
      </c>
      <c r="K4189" s="25">
        <f>IFERROR(__xludf.DUMMYFUNCTION("""COMPUTED_VALUE"""),3693.85)</f>
        <v>3693.85</v>
      </c>
      <c r="L4189" s="25">
        <f>IFERROR(__xludf.DUMMYFUNCTION("""COMPUTED_VALUE"""),3706.55)</f>
        <v>3706.55</v>
      </c>
      <c r="M4189" s="25">
        <f>IFERROR(__xludf.DUMMYFUNCTION("""COMPUTED_VALUE"""),1456218.0)</f>
        <v>1456218</v>
      </c>
    </row>
    <row r="4190">
      <c r="A4190" s="26">
        <f>IFERROR(__xludf.DUMMYFUNCTION("""COMPUTED_VALUE"""),44558.64583333333)</f>
        <v>44558.64583</v>
      </c>
      <c r="B4190" s="9">
        <f>IFERROR(__xludf.DUMMYFUNCTION("""COMPUTED_VALUE"""),1880.7)</f>
        <v>1880.7</v>
      </c>
      <c r="C4190" s="9">
        <f>IFERROR(__xludf.DUMMYFUNCTION("""COMPUTED_VALUE"""),1895.9)</f>
        <v>1895.9</v>
      </c>
      <c r="D4190" s="9">
        <f>IFERROR(__xludf.DUMMYFUNCTION("""COMPUTED_VALUE"""),1878.4)</f>
        <v>1878.4</v>
      </c>
      <c r="E4190" s="9">
        <f>IFERROR(__xludf.DUMMYFUNCTION("""COMPUTED_VALUE"""),1888.0)</f>
        <v>1888</v>
      </c>
      <c r="F4190" s="9">
        <f>IFERROR(__xludf.DUMMYFUNCTION("""COMPUTED_VALUE"""),3340933.0)</f>
        <v>3340933</v>
      </c>
      <c r="H4190" s="27">
        <f>IFERROR(__xludf.DUMMYFUNCTION("""COMPUTED_VALUE"""),44559.64583333333)</f>
        <v>44559.64583</v>
      </c>
      <c r="I4190" s="25">
        <f>IFERROR(__xludf.DUMMYFUNCTION("""COMPUTED_VALUE"""),3692.25)</f>
        <v>3692.25</v>
      </c>
      <c r="J4190" s="25">
        <f>IFERROR(__xludf.DUMMYFUNCTION("""COMPUTED_VALUE"""),3719.95)</f>
        <v>3719.95</v>
      </c>
      <c r="K4190" s="25">
        <f>IFERROR(__xludf.DUMMYFUNCTION("""COMPUTED_VALUE"""),3685.0)</f>
        <v>3685</v>
      </c>
      <c r="L4190" s="25">
        <f>IFERROR(__xludf.DUMMYFUNCTION("""COMPUTED_VALUE"""),3694.7)</f>
        <v>3694.7</v>
      </c>
      <c r="M4190" s="25">
        <f>IFERROR(__xludf.DUMMYFUNCTION("""COMPUTED_VALUE"""),1456923.0)</f>
        <v>1456923</v>
      </c>
    </row>
    <row r="4191">
      <c r="A4191" s="26">
        <f>IFERROR(__xludf.DUMMYFUNCTION("""COMPUTED_VALUE"""),44559.64583333333)</f>
        <v>44559.64583</v>
      </c>
      <c r="B4191" s="9">
        <f>IFERROR(__xludf.DUMMYFUNCTION("""COMPUTED_VALUE"""),1883.5)</f>
        <v>1883.5</v>
      </c>
      <c r="C4191" s="9">
        <f>IFERROR(__xludf.DUMMYFUNCTION("""COMPUTED_VALUE"""),1893.8)</f>
        <v>1893.8</v>
      </c>
      <c r="D4191" s="9">
        <f>IFERROR(__xludf.DUMMYFUNCTION("""COMPUTED_VALUE"""),1876.4)</f>
        <v>1876.4</v>
      </c>
      <c r="E4191" s="9">
        <f>IFERROR(__xludf.DUMMYFUNCTION("""COMPUTED_VALUE"""),1885.55)</f>
        <v>1885.55</v>
      </c>
      <c r="F4191" s="9">
        <f>IFERROR(__xludf.DUMMYFUNCTION("""COMPUTED_VALUE"""),3236635.0)</f>
        <v>3236635</v>
      </c>
      <c r="H4191" s="27">
        <f>IFERROR(__xludf.DUMMYFUNCTION("""COMPUTED_VALUE"""),44560.64583333333)</f>
        <v>44560.64583</v>
      </c>
      <c r="I4191" s="25">
        <f>IFERROR(__xludf.DUMMYFUNCTION("""COMPUTED_VALUE"""),3681.35)</f>
        <v>3681.35</v>
      </c>
      <c r="J4191" s="25">
        <f>IFERROR(__xludf.DUMMYFUNCTION("""COMPUTED_VALUE"""),3740.0)</f>
        <v>3740</v>
      </c>
      <c r="K4191" s="25">
        <f>IFERROR(__xludf.DUMMYFUNCTION("""COMPUTED_VALUE"""),3680.0)</f>
        <v>3680</v>
      </c>
      <c r="L4191" s="25">
        <f>IFERROR(__xludf.DUMMYFUNCTION("""COMPUTED_VALUE"""),3733.75)</f>
        <v>3733.75</v>
      </c>
      <c r="M4191" s="25">
        <f>IFERROR(__xludf.DUMMYFUNCTION("""COMPUTED_VALUE"""),1966475.0)</f>
        <v>1966475</v>
      </c>
    </row>
    <row r="4192">
      <c r="A4192" s="26">
        <f>IFERROR(__xludf.DUMMYFUNCTION("""COMPUTED_VALUE"""),44560.64583333333)</f>
        <v>44560.64583</v>
      </c>
      <c r="B4192" s="9">
        <f>IFERROR(__xludf.DUMMYFUNCTION("""COMPUTED_VALUE"""),1884.5)</f>
        <v>1884.5</v>
      </c>
      <c r="C4192" s="9">
        <f>IFERROR(__xludf.DUMMYFUNCTION("""COMPUTED_VALUE"""),1909.8)</f>
        <v>1909.8</v>
      </c>
      <c r="D4192" s="9">
        <f>IFERROR(__xludf.DUMMYFUNCTION("""COMPUTED_VALUE"""),1874.35)</f>
        <v>1874.35</v>
      </c>
      <c r="E4192" s="9">
        <f>IFERROR(__xludf.DUMMYFUNCTION("""COMPUTED_VALUE"""),1892.85)</f>
        <v>1892.85</v>
      </c>
      <c r="F4192" s="9">
        <f>IFERROR(__xludf.DUMMYFUNCTION("""COMPUTED_VALUE"""),4584738.0)</f>
        <v>4584738</v>
      </c>
      <c r="H4192" s="27">
        <f>IFERROR(__xludf.DUMMYFUNCTION("""COMPUTED_VALUE"""),44561.64583333333)</f>
        <v>44561.64583</v>
      </c>
      <c r="I4192" s="25">
        <f>IFERROR(__xludf.DUMMYFUNCTION("""COMPUTED_VALUE"""),3742.8)</f>
        <v>3742.8</v>
      </c>
      <c r="J4192" s="25">
        <f>IFERROR(__xludf.DUMMYFUNCTION("""COMPUTED_VALUE"""),3760.0)</f>
        <v>3760</v>
      </c>
      <c r="K4192" s="25">
        <f>IFERROR(__xludf.DUMMYFUNCTION("""COMPUTED_VALUE"""),3731.3)</f>
        <v>3731.3</v>
      </c>
      <c r="L4192" s="25">
        <f>IFERROR(__xludf.DUMMYFUNCTION("""COMPUTED_VALUE"""),3738.35)</f>
        <v>3738.35</v>
      </c>
      <c r="M4192" s="25">
        <f>IFERROR(__xludf.DUMMYFUNCTION("""COMPUTED_VALUE"""),1207141.0)</f>
        <v>1207141</v>
      </c>
    </row>
    <row r="4193">
      <c r="A4193" s="26">
        <f>IFERROR(__xludf.DUMMYFUNCTION("""COMPUTED_VALUE"""),44561.64583333333)</f>
        <v>44561.64583</v>
      </c>
      <c r="B4193" s="9">
        <f>IFERROR(__xludf.DUMMYFUNCTION("""COMPUTED_VALUE"""),1890.0)</f>
        <v>1890</v>
      </c>
      <c r="C4193" s="9">
        <f>IFERROR(__xludf.DUMMYFUNCTION("""COMPUTED_VALUE"""),1898.35)</f>
        <v>1898.35</v>
      </c>
      <c r="D4193" s="9">
        <f>IFERROR(__xludf.DUMMYFUNCTION("""COMPUTED_VALUE"""),1871.65)</f>
        <v>1871.65</v>
      </c>
      <c r="E4193" s="9">
        <f>IFERROR(__xludf.DUMMYFUNCTION("""COMPUTED_VALUE"""),1887.75)</f>
        <v>1887.75</v>
      </c>
      <c r="F4193" s="9">
        <f>IFERROR(__xludf.DUMMYFUNCTION("""COMPUTED_VALUE"""),4619420.0)</f>
        <v>4619420</v>
      </c>
      <c r="H4193" s="27">
        <f>IFERROR(__xludf.DUMMYFUNCTION("""COMPUTED_VALUE"""),44564.64583333333)</f>
        <v>44564.64583</v>
      </c>
      <c r="I4193" s="25">
        <f>IFERROR(__xludf.DUMMYFUNCTION("""COMPUTED_VALUE"""),3750.0)</f>
        <v>3750</v>
      </c>
      <c r="J4193" s="25">
        <f>IFERROR(__xludf.DUMMYFUNCTION("""COMPUTED_VALUE"""),3830.0)</f>
        <v>3830</v>
      </c>
      <c r="K4193" s="25">
        <f>IFERROR(__xludf.DUMMYFUNCTION("""COMPUTED_VALUE"""),3745.0)</f>
        <v>3745</v>
      </c>
      <c r="L4193" s="25">
        <f>IFERROR(__xludf.DUMMYFUNCTION("""COMPUTED_VALUE"""),3817.75)</f>
        <v>3817.75</v>
      </c>
      <c r="M4193" s="25">
        <f>IFERROR(__xludf.DUMMYFUNCTION("""COMPUTED_VALUE"""),2346158.0)</f>
        <v>2346158</v>
      </c>
    </row>
    <row r="4194">
      <c r="A4194" s="26">
        <f>IFERROR(__xludf.DUMMYFUNCTION("""COMPUTED_VALUE"""),44564.64583333333)</f>
        <v>44564.64583</v>
      </c>
      <c r="B4194" s="9">
        <f>IFERROR(__xludf.DUMMYFUNCTION("""COMPUTED_VALUE"""),1887.75)</f>
        <v>1887.75</v>
      </c>
      <c r="C4194" s="9">
        <f>IFERROR(__xludf.DUMMYFUNCTION("""COMPUTED_VALUE"""),1914.05)</f>
        <v>1914.05</v>
      </c>
      <c r="D4194" s="9">
        <f>IFERROR(__xludf.DUMMYFUNCTION("""COMPUTED_VALUE"""),1887.75)</f>
        <v>1887.75</v>
      </c>
      <c r="E4194" s="9">
        <f>IFERROR(__xludf.DUMMYFUNCTION("""COMPUTED_VALUE"""),1898.45)</f>
        <v>1898.45</v>
      </c>
      <c r="F4194" s="9">
        <f>IFERROR(__xludf.DUMMYFUNCTION("""COMPUTED_VALUE"""),3329616.0)</f>
        <v>3329616</v>
      </c>
      <c r="H4194" s="27">
        <f>IFERROR(__xludf.DUMMYFUNCTION("""COMPUTED_VALUE"""),44565.64583333333)</f>
        <v>44565.64583</v>
      </c>
      <c r="I4194" s="25">
        <f>IFERROR(__xludf.DUMMYFUNCTION("""COMPUTED_VALUE"""),3831.1)</f>
        <v>3831.1</v>
      </c>
      <c r="J4194" s="25">
        <f>IFERROR(__xludf.DUMMYFUNCTION("""COMPUTED_VALUE"""),3889.15)</f>
        <v>3889.15</v>
      </c>
      <c r="K4194" s="25">
        <f>IFERROR(__xludf.DUMMYFUNCTION("""COMPUTED_VALUE"""),3811.7)</f>
        <v>3811.7</v>
      </c>
      <c r="L4194" s="25">
        <f>IFERROR(__xludf.DUMMYFUNCTION("""COMPUTED_VALUE"""),3884.75)</f>
        <v>3884.75</v>
      </c>
      <c r="M4194" s="25">
        <f>IFERROR(__xludf.DUMMYFUNCTION("""COMPUTED_VALUE"""),2488606.0)</f>
        <v>2488606</v>
      </c>
    </row>
    <row r="4195">
      <c r="A4195" s="26">
        <f>IFERROR(__xludf.DUMMYFUNCTION("""COMPUTED_VALUE"""),44565.64583333333)</f>
        <v>44565.64583</v>
      </c>
      <c r="B4195" s="9">
        <f>IFERROR(__xludf.DUMMYFUNCTION("""COMPUTED_VALUE"""),1898.45)</f>
        <v>1898.45</v>
      </c>
      <c r="C4195" s="9">
        <f>IFERROR(__xludf.DUMMYFUNCTION("""COMPUTED_VALUE"""),1906.65)</f>
        <v>1906.65</v>
      </c>
      <c r="D4195" s="9">
        <f>IFERROR(__xludf.DUMMYFUNCTION("""COMPUTED_VALUE"""),1878.0)</f>
        <v>1878</v>
      </c>
      <c r="E4195" s="9">
        <f>IFERROR(__xludf.DUMMYFUNCTION("""COMPUTED_VALUE"""),1899.15)</f>
        <v>1899.15</v>
      </c>
      <c r="F4195" s="9">
        <f>IFERROR(__xludf.DUMMYFUNCTION("""COMPUTED_VALUE"""),3921999.0)</f>
        <v>3921999</v>
      </c>
      <c r="H4195" s="27">
        <f>IFERROR(__xludf.DUMMYFUNCTION("""COMPUTED_VALUE"""),44566.64583333333)</f>
        <v>44566.64583</v>
      </c>
      <c r="I4195" s="25">
        <f>IFERROR(__xludf.DUMMYFUNCTION("""COMPUTED_VALUE"""),3865.0)</f>
        <v>3865</v>
      </c>
      <c r="J4195" s="25">
        <f>IFERROR(__xludf.DUMMYFUNCTION("""COMPUTED_VALUE"""),3870.0)</f>
        <v>3870</v>
      </c>
      <c r="K4195" s="25">
        <f>IFERROR(__xludf.DUMMYFUNCTION("""COMPUTED_VALUE"""),3812.4)</f>
        <v>3812.4</v>
      </c>
      <c r="L4195" s="25">
        <f>IFERROR(__xludf.DUMMYFUNCTION("""COMPUTED_VALUE"""),3860.95)</f>
        <v>3860.95</v>
      </c>
      <c r="M4195" s="25">
        <f>IFERROR(__xludf.DUMMYFUNCTION("""COMPUTED_VALUE"""),1733031.0)</f>
        <v>1733031</v>
      </c>
    </row>
    <row r="4196">
      <c r="A4196" s="26">
        <f>IFERROR(__xludf.DUMMYFUNCTION("""COMPUTED_VALUE"""),44566.64583333333)</f>
        <v>44566.64583</v>
      </c>
      <c r="B4196" s="9">
        <f>IFERROR(__xludf.DUMMYFUNCTION("""COMPUTED_VALUE"""),1900.0)</f>
        <v>1900</v>
      </c>
      <c r="C4196" s="9">
        <f>IFERROR(__xludf.DUMMYFUNCTION("""COMPUTED_VALUE"""),1902.9)</f>
        <v>1902.9</v>
      </c>
      <c r="D4196" s="9">
        <f>IFERROR(__xludf.DUMMYFUNCTION("""COMPUTED_VALUE"""),1840.0)</f>
        <v>1840</v>
      </c>
      <c r="E4196" s="9">
        <f>IFERROR(__xludf.DUMMYFUNCTION("""COMPUTED_VALUE"""),1844.65)</f>
        <v>1844.65</v>
      </c>
      <c r="F4196" s="9">
        <f>IFERROR(__xludf.DUMMYFUNCTION("""COMPUTED_VALUE"""),6995719.0)</f>
        <v>6995719</v>
      </c>
      <c r="H4196" s="27">
        <f>IFERROR(__xludf.DUMMYFUNCTION("""COMPUTED_VALUE"""),44567.64583333333)</f>
        <v>44567.64583</v>
      </c>
      <c r="I4196" s="25">
        <f>IFERROR(__xludf.DUMMYFUNCTION("""COMPUTED_VALUE"""),3812.0)</f>
        <v>3812</v>
      </c>
      <c r="J4196" s="25">
        <f>IFERROR(__xludf.DUMMYFUNCTION("""COMPUTED_VALUE"""),3835.0)</f>
        <v>3835</v>
      </c>
      <c r="K4196" s="25">
        <f>IFERROR(__xludf.DUMMYFUNCTION("""COMPUTED_VALUE"""),3772.0)</f>
        <v>3772</v>
      </c>
      <c r="L4196" s="25">
        <f>IFERROR(__xludf.DUMMYFUNCTION("""COMPUTED_VALUE"""),3807.45)</f>
        <v>3807.45</v>
      </c>
      <c r="M4196" s="25">
        <f>IFERROR(__xludf.DUMMYFUNCTION("""COMPUTED_VALUE"""),1810293.0)</f>
        <v>1810293</v>
      </c>
    </row>
    <row r="4197">
      <c r="A4197" s="26">
        <f>IFERROR(__xludf.DUMMYFUNCTION("""COMPUTED_VALUE"""),44567.64583333333)</f>
        <v>44567.64583</v>
      </c>
      <c r="B4197" s="9">
        <f>IFERROR(__xludf.DUMMYFUNCTION("""COMPUTED_VALUE"""),1828.0)</f>
        <v>1828</v>
      </c>
      <c r="C4197" s="9">
        <f>IFERROR(__xludf.DUMMYFUNCTION("""COMPUTED_VALUE"""),1828.0)</f>
        <v>1828</v>
      </c>
      <c r="D4197" s="9">
        <f>IFERROR(__xludf.DUMMYFUNCTION("""COMPUTED_VALUE"""),1800.0)</f>
        <v>1800</v>
      </c>
      <c r="E4197" s="9">
        <f>IFERROR(__xludf.DUMMYFUNCTION("""COMPUTED_VALUE"""),1817.8)</f>
        <v>1817.8</v>
      </c>
      <c r="F4197" s="9">
        <f>IFERROR(__xludf.DUMMYFUNCTION("""COMPUTED_VALUE"""),6449205.0)</f>
        <v>6449205</v>
      </c>
      <c r="H4197" s="27">
        <f>IFERROR(__xludf.DUMMYFUNCTION("""COMPUTED_VALUE"""),44568.64583333333)</f>
        <v>44568.64583</v>
      </c>
      <c r="I4197" s="25">
        <f>IFERROR(__xludf.DUMMYFUNCTION("""COMPUTED_VALUE"""),3820.0)</f>
        <v>3820</v>
      </c>
      <c r="J4197" s="25">
        <f>IFERROR(__xludf.DUMMYFUNCTION("""COMPUTED_VALUE"""),3864.9)</f>
        <v>3864.9</v>
      </c>
      <c r="K4197" s="25">
        <f>IFERROR(__xludf.DUMMYFUNCTION("""COMPUTED_VALUE"""),3796.4)</f>
        <v>3796.4</v>
      </c>
      <c r="L4197" s="25">
        <f>IFERROR(__xludf.DUMMYFUNCTION("""COMPUTED_VALUE"""),3853.5)</f>
        <v>3853.5</v>
      </c>
      <c r="M4197" s="25">
        <f>IFERROR(__xludf.DUMMYFUNCTION("""COMPUTED_VALUE"""),2460591.0)</f>
        <v>2460591</v>
      </c>
    </row>
    <row r="4198">
      <c r="A4198" s="26">
        <f>IFERROR(__xludf.DUMMYFUNCTION("""COMPUTED_VALUE"""),44568.64583333333)</f>
        <v>44568.64583</v>
      </c>
      <c r="B4198" s="9">
        <f>IFERROR(__xludf.DUMMYFUNCTION("""COMPUTED_VALUE"""),1815.45)</f>
        <v>1815.45</v>
      </c>
      <c r="C4198" s="9">
        <f>IFERROR(__xludf.DUMMYFUNCTION("""COMPUTED_VALUE"""),1836.0)</f>
        <v>1836</v>
      </c>
      <c r="D4198" s="9">
        <f>IFERROR(__xludf.DUMMYFUNCTION("""COMPUTED_VALUE"""),1806.8)</f>
        <v>1806.8</v>
      </c>
      <c r="E4198" s="9">
        <f>IFERROR(__xludf.DUMMYFUNCTION("""COMPUTED_VALUE"""),1814.3)</f>
        <v>1814.3</v>
      </c>
      <c r="F4198" s="9">
        <f>IFERROR(__xludf.DUMMYFUNCTION("""COMPUTED_VALUE"""),4834389.0)</f>
        <v>4834389</v>
      </c>
      <c r="H4198" s="27">
        <f>IFERROR(__xludf.DUMMYFUNCTION("""COMPUTED_VALUE"""),44571.64583333333)</f>
        <v>44571.64583</v>
      </c>
      <c r="I4198" s="25">
        <f>IFERROR(__xludf.DUMMYFUNCTION("""COMPUTED_VALUE"""),3978.0)</f>
        <v>3978</v>
      </c>
      <c r="J4198" s="25">
        <f>IFERROR(__xludf.DUMMYFUNCTION("""COMPUTED_VALUE"""),3978.0)</f>
        <v>3978</v>
      </c>
      <c r="K4198" s="25">
        <f>IFERROR(__xludf.DUMMYFUNCTION("""COMPUTED_VALUE"""),3861.0)</f>
        <v>3861</v>
      </c>
      <c r="L4198" s="25">
        <f>IFERROR(__xludf.DUMMYFUNCTION("""COMPUTED_VALUE"""),3879.85)</f>
        <v>3879.85</v>
      </c>
      <c r="M4198" s="25">
        <f>IFERROR(__xludf.DUMMYFUNCTION("""COMPUTED_VALUE"""),3937092.0)</f>
        <v>3937092</v>
      </c>
    </row>
    <row r="4199">
      <c r="A4199" s="26">
        <f>IFERROR(__xludf.DUMMYFUNCTION("""COMPUTED_VALUE"""),44571.64583333333)</f>
        <v>44571.64583</v>
      </c>
      <c r="B4199" s="9">
        <f>IFERROR(__xludf.DUMMYFUNCTION("""COMPUTED_VALUE"""),1815.0)</f>
        <v>1815</v>
      </c>
      <c r="C4199" s="9">
        <f>IFERROR(__xludf.DUMMYFUNCTION("""COMPUTED_VALUE"""),1869.9)</f>
        <v>1869.9</v>
      </c>
      <c r="D4199" s="9">
        <f>IFERROR(__xludf.DUMMYFUNCTION("""COMPUTED_VALUE"""),1813.0)</f>
        <v>1813</v>
      </c>
      <c r="E4199" s="9">
        <f>IFERROR(__xludf.DUMMYFUNCTION("""COMPUTED_VALUE"""),1850.75)</f>
        <v>1850.75</v>
      </c>
      <c r="F4199" s="9">
        <f>IFERROR(__xludf.DUMMYFUNCTION("""COMPUTED_VALUE"""),7857560.0)</f>
        <v>7857560</v>
      </c>
      <c r="H4199" s="27">
        <f>IFERROR(__xludf.DUMMYFUNCTION("""COMPUTED_VALUE"""),44572.64583333333)</f>
        <v>44572.64583</v>
      </c>
      <c r="I4199" s="25">
        <f>IFERROR(__xludf.DUMMYFUNCTION("""COMPUTED_VALUE"""),3856.0)</f>
        <v>3856</v>
      </c>
      <c r="J4199" s="25">
        <f>IFERROR(__xludf.DUMMYFUNCTION("""COMPUTED_VALUE"""),3925.0)</f>
        <v>3925</v>
      </c>
      <c r="K4199" s="25">
        <f>IFERROR(__xludf.DUMMYFUNCTION("""COMPUTED_VALUE"""),3856.0)</f>
        <v>3856</v>
      </c>
      <c r="L4199" s="25">
        <f>IFERROR(__xludf.DUMMYFUNCTION("""COMPUTED_VALUE"""),3915.9)</f>
        <v>3915.9</v>
      </c>
      <c r="M4199" s="25">
        <f>IFERROR(__xludf.DUMMYFUNCTION("""COMPUTED_VALUE"""),1906106.0)</f>
        <v>1906106</v>
      </c>
    </row>
    <row r="4200">
      <c r="A4200" s="26">
        <f>IFERROR(__xludf.DUMMYFUNCTION("""COMPUTED_VALUE"""),44572.64583333333)</f>
        <v>44572.64583</v>
      </c>
      <c r="B4200" s="9">
        <f>IFERROR(__xludf.DUMMYFUNCTION("""COMPUTED_VALUE"""),1855.0)</f>
        <v>1855</v>
      </c>
      <c r="C4200" s="9">
        <f>IFERROR(__xludf.DUMMYFUNCTION("""COMPUTED_VALUE"""),1870.0)</f>
        <v>1870</v>
      </c>
      <c r="D4200" s="9">
        <f>IFERROR(__xludf.DUMMYFUNCTION("""COMPUTED_VALUE"""),1850.15)</f>
        <v>1850.15</v>
      </c>
      <c r="E4200" s="9">
        <f>IFERROR(__xludf.DUMMYFUNCTION("""COMPUTED_VALUE"""),1855.6)</f>
        <v>1855.6</v>
      </c>
      <c r="F4200" s="9">
        <f>IFERROR(__xludf.DUMMYFUNCTION("""COMPUTED_VALUE"""),5142287.0)</f>
        <v>5142287</v>
      </c>
      <c r="H4200" s="27">
        <f>IFERROR(__xludf.DUMMYFUNCTION("""COMPUTED_VALUE"""),44573.64583333333)</f>
        <v>44573.64583</v>
      </c>
      <c r="I4200" s="25">
        <f>IFERROR(__xludf.DUMMYFUNCTION("""COMPUTED_VALUE"""),3925.0)</f>
        <v>3925</v>
      </c>
      <c r="J4200" s="25">
        <f>IFERROR(__xludf.DUMMYFUNCTION("""COMPUTED_VALUE"""),3929.0)</f>
        <v>3929</v>
      </c>
      <c r="K4200" s="25">
        <f>IFERROR(__xludf.DUMMYFUNCTION("""COMPUTED_VALUE"""),3836.55)</f>
        <v>3836.55</v>
      </c>
      <c r="L4200" s="25">
        <f>IFERROR(__xludf.DUMMYFUNCTION("""COMPUTED_VALUE"""),3859.9)</f>
        <v>3859.9</v>
      </c>
      <c r="M4200" s="25">
        <f>IFERROR(__xludf.DUMMYFUNCTION("""COMPUTED_VALUE"""),3203744.0)</f>
        <v>3203744</v>
      </c>
    </row>
    <row r="4201">
      <c r="A4201" s="26">
        <f>IFERROR(__xludf.DUMMYFUNCTION("""COMPUTED_VALUE"""),44573.64583333333)</f>
        <v>44573.64583</v>
      </c>
      <c r="B4201" s="9">
        <f>IFERROR(__xludf.DUMMYFUNCTION("""COMPUTED_VALUE"""),1868.9)</f>
        <v>1868.9</v>
      </c>
      <c r="C4201" s="9">
        <f>IFERROR(__xludf.DUMMYFUNCTION("""COMPUTED_VALUE"""),1889.0)</f>
        <v>1889</v>
      </c>
      <c r="D4201" s="9">
        <f>IFERROR(__xludf.DUMMYFUNCTION("""COMPUTED_VALUE"""),1860.0)</f>
        <v>1860</v>
      </c>
      <c r="E4201" s="9">
        <f>IFERROR(__xludf.DUMMYFUNCTION("""COMPUTED_VALUE"""),1877.45)</f>
        <v>1877.45</v>
      </c>
      <c r="F4201" s="9">
        <f>IFERROR(__xludf.DUMMYFUNCTION("""COMPUTED_VALUE"""),5362535.0)</f>
        <v>5362535</v>
      </c>
      <c r="H4201" s="27">
        <f>IFERROR(__xludf.DUMMYFUNCTION("""COMPUTED_VALUE"""),44574.64583333333)</f>
        <v>44574.64583</v>
      </c>
      <c r="I4201" s="25">
        <f>IFERROR(__xludf.DUMMYFUNCTION("""COMPUTED_VALUE"""),3918.0)</f>
        <v>3918</v>
      </c>
      <c r="J4201" s="25">
        <f>IFERROR(__xludf.DUMMYFUNCTION("""COMPUTED_VALUE"""),3923.0)</f>
        <v>3923</v>
      </c>
      <c r="K4201" s="25">
        <f>IFERROR(__xludf.DUMMYFUNCTION("""COMPUTED_VALUE"""),3857.0)</f>
        <v>3857</v>
      </c>
      <c r="L4201" s="25">
        <f>IFERROR(__xludf.DUMMYFUNCTION("""COMPUTED_VALUE"""),3897.9)</f>
        <v>3897.9</v>
      </c>
      <c r="M4201" s="25">
        <f>IFERROR(__xludf.DUMMYFUNCTION("""COMPUTED_VALUE"""),6684507.0)</f>
        <v>6684507</v>
      </c>
    </row>
    <row r="4202">
      <c r="A4202" s="26">
        <f>IFERROR(__xludf.DUMMYFUNCTION("""COMPUTED_VALUE"""),44574.64583333333)</f>
        <v>44574.64583</v>
      </c>
      <c r="B4202" s="9">
        <f>IFERROR(__xludf.DUMMYFUNCTION("""COMPUTED_VALUE"""),1905.0)</f>
        <v>1905</v>
      </c>
      <c r="C4202" s="9">
        <f>IFERROR(__xludf.DUMMYFUNCTION("""COMPUTED_VALUE"""),1912.5)</f>
        <v>1912.5</v>
      </c>
      <c r="D4202" s="9">
        <f>IFERROR(__xludf.DUMMYFUNCTION("""COMPUTED_VALUE"""),1866.35)</f>
        <v>1866.35</v>
      </c>
      <c r="E4202" s="9">
        <f>IFERROR(__xludf.DUMMYFUNCTION("""COMPUTED_VALUE"""),1896.8)</f>
        <v>1896.8</v>
      </c>
      <c r="F4202" s="9">
        <f>IFERROR(__xludf.DUMMYFUNCTION("""COMPUTED_VALUE"""),1.427763E7)</f>
        <v>14277630</v>
      </c>
      <c r="H4202" s="27">
        <f>IFERROR(__xludf.DUMMYFUNCTION("""COMPUTED_VALUE"""),44575.64583333333)</f>
        <v>44575.64583</v>
      </c>
      <c r="I4202" s="25">
        <f>IFERROR(__xludf.DUMMYFUNCTION("""COMPUTED_VALUE"""),3877.85)</f>
        <v>3877.85</v>
      </c>
      <c r="J4202" s="25">
        <f>IFERROR(__xludf.DUMMYFUNCTION("""COMPUTED_VALUE"""),3977.0)</f>
        <v>3977</v>
      </c>
      <c r="K4202" s="25">
        <f>IFERROR(__xludf.DUMMYFUNCTION("""COMPUTED_VALUE"""),3860.05)</f>
        <v>3860.05</v>
      </c>
      <c r="L4202" s="25">
        <f>IFERROR(__xludf.DUMMYFUNCTION("""COMPUTED_VALUE"""),3968.15)</f>
        <v>3968.15</v>
      </c>
      <c r="M4202" s="25">
        <f>IFERROR(__xludf.DUMMYFUNCTION("""COMPUTED_VALUE"""),3348123.0)</f>
        <v>3348123</v>
      </c>
    </row>
    <row r="4203">
      <c r="A4203" s="26">
        <f>IFERROR(__xludf.DUMMYFUNCTION("""COMPUTED_VALUE"""),44575.64583333333)</f>
        <v>44575.64583</v>
      </c>
      <c r="B4203" s="9">
        <f>IFERROR(__xludf.DUMMYFUNCTION("""COMPUTED_VALUE"""),1882.0)</f>
        <v>1882</v>
      </c>
      <c r="C4203" s="9">
        <f>IFERROR(__xludf.DUMMYFUNCTION("""COMPUTED_VALUE"""),1933.0)</f>
        <v>1933</v>
      </c>
      <c r="D4203" s="9">
        <f>IFERROR(__xludf.DUMMYFUNCTION("""COMPUTED_VALUE"""),1881.0)</f>
        <v>1881</v>
      </c>
      <c r="E4203" s="9">
        <f>IFERROR(__xludf.DUMMYFUNCTION("""COMPUTED_VALUE"""),1929.35)</f>
        <v>1929.35</v>
      </c>
      <c r="F4203" s="9">
        <f>IFERROR(__xludf.DUMMYFUNCTION("""COMPUTED_VALUE"""),7688506.0)</f>
        <v>7688506</v>
      </c>
      <c r="H4203" s="27">
        <f>IFERROR(__xludf.DUMMYFUNCTION("""COMPUTED_VALUE"""),44578.64583333333)</f>
        <v>44578.64583</v>
      </c>
      <c r="I4203" s="25">
        <f>IFERROR(__xludf.DUMMYFUNCTION("""COMPUTED_VALUE"""),3992.7)</f>
        <v>3992.7</v>
      </c>
      <c r="J4203" s="25">
        <f>IFERROR(__xludf.DUMMYFUNCTION("""COMPUTED_VALUE"""),4043.0)</f>
        <v>4043</v>
      </c>
      <c r="K4203" s="25">
        <f>IFERROR(__xludf.DUMMYFUNCTION("""COMPUTED_VALUE"""),3962.3)</f>
        <v>3962.3</v>
      </c>
      <c r="L4203" s="25">
        <f>IFERROR(__xludf.DUMMYFUNCTION("""COMPUTED_VALUE"""),4019.15)</f>
        <v>4019.15</v>
      </c>
      <c r="M4203" s="25">
        <f>IFERROR(__xludf.DUMMYFUNCTION("""COMPUTED_VALUE"""),3442604.0)</f>
        <v>3442604</v>
      </c>
    </row>
    <row r="4204">
      <c r="A4204" s="26">
        <f>IFERROR(__xludf.DUMMYFUNCTION("""COMPUTED_VALUE"""),44578.64583333333)</f>
        <v>44578.64583</v>
      </c>
      <c r="B4204" s="9">
        <f>IFERROR(__xludf.DUMMYFUNCTION("""COMPUTED_VALUE"""),1938.55)</f>
        <v>1938.55</v>
      </c>
      <c r="C4204" s="9">
        <f>IFERROR(__xludf.DUMMYFUNCTION("""COMPUTED_VALUE"""),1953.9)</f>
        <v>1953.9</v>
      </c>
      <c r="D4204" s="9">
        <f>IFERROR(__xludf.DUMMYFUNCTION("""COMPUTED_VALUE"""),1930.5)</f>
        <v>1930.5</v>
      </c>
      <c r="E4204" s="9">
        <f>IFERROR(__xludf.DUMMYFUNCTION("""COMPUTED_VALUE"""),1939.5)</f>
        <v>1939.5</v>
      </c>
      <c r="F4204" s="9">
        <f>IFERROR(__xludf.DUMMYFUNCTION("""COMPUTED_VALUE"""),5262464.0)</f>
        <v>5262464</v>
      </c>
      <c r="H4204" s="27">
        <f>IFERROR(__xludf.DUMMYFUNCTION("""COMPUTED_VALUE"""),44579.64583333333)</f>
        <v>44579.64583</v>
      </c>
      <c r="I4204" s="25">
        <f>IFERROR(__xludf.DUMMYFUNCTION("""COMPUTED_VALUE"""),4033.95)</f>
        <v>4033.95</v>
      </c>
      <c r="J4204" s="25">
        <f>IFERROR(__xludf.DUMMYFUNCTION("""COMPUTED_VALUE"""),4041.7)</f>
        <v>4041.7</v>
      </c>
      <c r="K4204" s="25">
        <f>IFERROR(__xludf.DUMMYFUNCTION("""COMPUTED_VALUE"""),3980.0)</f>
        <v>3980</v>
      </c>
      <c r="L4204" s="25">
        <f>IFERROR(__xludf.DUMMYFUNCTION("""COMPUTED_VALUE"""),3990.6)</f>
        <v>3990.6</v>
      </c>
      <c r="M4204" s="25">
        <f>IFERROR(__xludf.DUMMYFUNCTION("""COMPUTED_VALUE"""),2389041.0)</f>
        <v>2389041</v>
      </c>
    </row>
    <row r="4205">
      <c r="A4205" s="26">
        <f>IFERROR(__xludf.DUMMYFUNCTION("""COMPUTED_VALUE"""),44579.64583333333)</f>
        <v>44579.64583</v>
      </c>
      <c r="B4205" s="9">
        <f>IFERROR(__xludf.DUMMYFUNCTION("""COMPUTED_VALUE"""),1922.1)</f>
        <v>1922.1</v>
      </c>
      <c r="C4205" s="9">
        <f>IFERROR(__xludf.DUMMYFUNCTION("""COMPUTED_VALUE"""),1945.0)</f>
        <v>1945</v>
      </c>
      <c r="D4205" s="9">
        <f>IFERROR(__xludf.DUMMYFUNCTION("""COMPUTED_VALUE"""),1911.45)</f>
        <v>1911.45</v>
      </c>
      <c r="E4205" s="9">
        <f>IFERROR(__xludf.DUMMYFUNCTION("""COMPUTED_VALUE"""),1920.75)</f>
        <v>1920.75</v>
      </c>
      <c r="F4205" s="9">
        <f>IFERROR(__xludf.DUMMYFUNCTION("""COMPUTED_VALUE"""),3690315.0)</f>
        <v>3690315</v>
      </c>
      <c r="H4205" s="27">
        <f>IFERROR(__xludf.DUMMYFUNCTION("""COMPUTED_VALUE"""),44580.64583333333)</f>
        <v>44580.64583</v>
      </c>
      <c r="I4205" s="25">
        <f>IFERROR(__xludf.DUMMYFUNCTION("""COMPUTED_VALUE"""),4012.0)</f>
        <v>4012</v>
      </c>
      <c r="J4205" s="25">
        <f>IFERROR(__xludf.DUMMYFUNCTION("""COMPUTED_VALUE"""),4012.0)</f>
        <v>4012</v>
      </c>
      <c r="K4205" s="25">
        <f>IFERROR(__xludf.DUMMYFUNCTION("""COMPUTED_VALUE"""),3910.5)</f>
        <v>3910.5</v>
      </c>
      <c r="L4205" s="25">
        <f>IFERROR(__xludf.DUMMYFUNCTION("""COMPUTED_VALUE"""),3914.65)</f>
        <v>3914.65</v>
      </c>
      <c r="M4205" s="25">
        <f>IFERROR(__xludf.DUMMYFUNCTION("""COMPUTED_VALUE"""),3102539.0)</f>
        <v>3102539</v>
      </c>
    </row>
    <row r="4206">
      <c r="A4206" s="26">
        <f>IFERROR(__xludf.DUMMYFUNCTION("""COMPUTED_VALUE"""),44580.64583333333)</f>
        <v>44580.64583</v>
      </c>
      <c r="B4206" s="9">
        <f>IFERROR(__xludf.DUMMYFUNCTION("""COMPUTED_VALUE"""),1916.0)</f>
        <v>1916</v>
      </c>
      <c r="C4206" s="9">
        <f>IFERROR(__xludf.DUMMYFUNCTION("""COMPUTED_VALUE"""),1916.0)</f>
        <v>1916</v>
      </c>
      <c r="D4206" s="9">
        <f>IFERROR(__xludf.DUMMYFUNCTION("""COMPUTED_VALUE"""),1862.85)</f>
        <v>1862.85</v>
      </c>
      <c r="E4206" s="9">
        <f>IFERROR(__xludf.DUMMYFUNCTION("""COMPUTED_VALUE"""),1867.05)</f>
        <v>1867.05</v>
      </c>
      <c r="F4206" s="9">
        <f>IFERROR(__xludf.DUMMYFUNCTION("""COMPUTED_VALUE"""),5747770.0)</f>
        <v>5747770</v>
      </c>
      <c r="H4206" s="27">
        <f>IFERROR(__xludf.DUMMYFUNCTION("""COMPUTED_VALUE"""),44581.64583333333)</f>
        <v>44581.64583</v>
      </c>
      <c r="I4206" s="25">
        <f>IFERROR(__xludf.DUMMYFUNCTION("""COMPUTED_VALUE"""),3910.0)</f>
        <v>3910</v>
      </c>
      <c r="J4206" s="25">
        <f>IFERROR(__xludf.DUMMYFUNCTION("""COMPUTED_VALUE"""),3920.0)</f>
        <v>3920</v>
      </c>
      <c r="K4206" s="25">
        <f>IFERROR(__xludf.DUMMYFUNCTION("""COMPUTED_VALUE"""),3811.0)</f>
        <v>3811</v>
      </c>
      <c r="L4206" s="25">
        <f>IFERROR(__xludf.DUMMYFUNCTION("""COMPUTED_VALUE"""),3826.55)</f>
        <v>3826.55</v>
      </c>
      <c r="M4206" s="25">
        <f>IFERROR(__xludf.DUMMYFUNCTION("""COMPUTED_VALUE"""),6176776.0)</f>
        <v>6176776</v>
      </c>
    </row>
    <row r="4207">
      <c r="A4207" s="26">
        <f>IFERROR(__xludf.DUMMYFUNCTION("""COMPUTED_VALUE"""),44581.64583333333)</f>
        <v>44581.64583</v>
      </c>
      <c r="B4207" s="9">
        <f>IFERROR(__xludf.DUMMYFUNCTION("""COMPUTED_VALUE"""),1844.0)</f>
        <v>1844</v>
      </c>
      <c r="C4207" s="9">
        <f>IFERROR(__xludf.DUMMYFUNCTION("""COMPUTED_VALUE"""),1848.0)</f>
        <v>1848</v>
      </c>
      <c r="D4207" s="9">
        <f>IFERROR(__xludf.DUMMYFUNCTION("""COMPUTED_VALUE"""),1815.5)</f>
        <v>1815.5</v>
      </c>
      <c r="E4207" s="9">
        <f>IFERROR(__xludf.DUMMYFUNCTION("""COMPUTED_VALUE"""),1823.7)</f>
        <v>1823.7</v>
      </c>
      <c r="F4207" s="9">
        <f>IFERROR(__xludf.DUMMYFUNCTION("""COMPUTED_VALUE"""),5533463.0)</f>
        <v>5533463</v>
      </c>
      <c r="H4207" s="27">
        <f>IFERROR(__xludf.DUMMYFUNCTION("""COMPUTED_VALUE"""),44582.64583333333)</f>
        <v>44582.64583</v>
      </c>
      <c r="I4207" s="25">
        <f>IFERROR(__xludf.DUMMYFUNCTION("""COMPUTED_VALUE"""),3807.0)</f>
        <v>3807</v>
      </c>
      <c r="J4207" s="25">
        <f>IFERROR(__xludf.DUMMYFUNCTION("""COMPUTED_VALUE"""),3851.55)</f>
        <v>3851.55</v>
      </c>
      <c r="K4207" s="25">
        <f>IFERROR(__xludf.DUMMYFUNCTION("""COMPUTED_VALUE"""),3771.1)</f>
        <v>3771.1</v>
      </c>
      <c r="L4207" s="25">
        <f>IFERROR(__xludf.DUMMYFUNCTION("""COMPUTED_VALUE"""),3833.5)</f>
        <v>3833.5</v>
      </c>
      <c r="M4207" s="25">
        <f>IFERROR(__xludf.DUMMYFUNCTION("""COMPUTED_VALUE"""),3112358.0)</f>
        <v>3112358</v>
      </c>
    </row>
    <row r="4208">
      <c r="A4208" s="26">
        <f>IFERROR(__xludf.DUMMYFUNCTION("""COMPUTED_VALUE"""),44582.64583333333)</f>
        <v>44582.64583</v>
      </c>
      <c r="B4208" s="9">
        <f>IFERROR(__xludf.DUMMYFUNCTION("""COMPUTED_VALUE"""),1795.0)</f>
        <v>1795</v>
      </c>
      <c r="C4208" s="9">
        <f>IFERROR(__xludf.DUMMYFUNCTION("""COMPUTED_VALUE"""),1808.0)</f>
        <v>1808</v>
      </c>
      <c r="D4208" s="9">
        <f>IFERROR(__xludf.DUMMYFUNCTION("""COMPUTED_VALUE"""),1776.0)</f>
        <v>1776</v>
      </c>
      <c r="E4208" s="9">
        <f>IFERROR(__xludf.DUMMYFUNCTION("""COMPUTED_VALUE"""),1785.7)</f>
        <v>1785.7</v>
      </c>
      <c r="F4208" s="9">
        <f>IFERROR(__xludf.DUMMYFUNCTION("""COMPUTED_VALUE"""),8252758.0)</f>
        <v>8252758</v>
      </c>
      <c r="H4208" s="27">
        <f>IFERROR(__xludf.DUMMYFUNCTION("""COMPUTED_VALUE"""),44585.64583333333)</f>
        <v>44585.64583</v>
      </c>
      <c r="I4208" s="25">
        <f>IFERROR(__xludf.DUMMYFUNCTION("""COMPUTED_VALUE"""),3840.0)</f>
        <v>3840</v>
      </c>
      <c r="J4208" s="25">
        <f>IFERROR(__xludf.DUMMYFUNCTION("""COMPUTED_VALUE"""),3849.65)</f>
        <v>3849.65</v>
      </c>
      <c r="K4208" s="25">
        <f>IFERROR(__xludf.DUMMYFUNCTION("""COMPUTED_VALUE"""),3740.1)</f>
        <v>3740.1</v>
      </c>
      <c r="L4208" s="25">
        <f>IFERROR(__xludf.DUMMYFUNCTION("""COMPUTED_VALUE"""),3771.35)</f>
        <v>3771.35</v>
      </c>
      <c r="M4208" s="25">
        <f>IFERROR(__xludf.DUMMYFUNCTION("""COMPUTED_VALUE"""),3258414.0)</f>
        <v>3258414</v>
      </c>
    </row>
    <row r="4209">
      <c r="A4209" s="26">
        <f>IFERROR(__xludf.DUMMYFUNCTION("""COMPUTED_VALUE"""),44585.64583333333)</f>
        <v>44585.64583</v>
      </c>
      <c r="B4209" s="9">
        <f>IFERROR(__xludf.DUMMYFUNCTION("""COMPUTED_VALUE"""),1765.0)</f>
        <v>1765</v>
      </c>
      <c r="C4209" s="9">
        <f>IFERROR(__xludf.DUMMYFUNCTION("""COMPUTED_VALUE"""),1768.65)</f>
        <v>1768.65</v>
      </c>
      <c r="D4209" s="9">
        <f>IFERROR(__xludf.DUMMYFUNCTION("""COMPUTED_VALUE"""),1728.0)</f>
        <v>1728</v>
      </c>
      <c r="E4209" s="9">
        <f>IFERROR(__xludf.DUMMYFUNCTION("""COMPUTED_VALUE"""),1736.8)</f>
        <v>1736.8</v>
      </c>
      <c r="F4209" s="9">
        <f>IFERROR(__xludf.DUMMYFUNCTION("""COMPUTED_VALUE"""),7116712.0)</f>
        <v>7116712</v>
      </c>
      <c r="H4209" s="27">
        <f>IFERROR(__xludf.DUMMYFUNCTION("""COMPUTED_VALUE"""),44586.64583333333)</f>
        <v>44586.64583</v>
      </c>
      <c r="I4209" s="25">
        <f>IFERROR(__xludf.DUMMYFUNCTION("""COMPUTED_VALUE"""),3769.5)</f>
        <v>3769.5</v>
      </c>
      <c r="J4209" s="25">
        <f>IFERROR(__xludf.DUMMYFUNCTION("""COMPUTED_VALUE"""),3809.4)</f>
        <v>3809.4</v>
      </c>
      <c r="K4209" s="25">
        <f>IFERROR(__xludf.DUMMYFUNCTION("""COMPUTED_VALUE"""),3722.2)</f>
        <v>3722.2</v>
      </c>
      <c r="L4209" s="25">
        <f>IFERROR(__xludf.DUMMYFUNCTION("""COMPUTED_VALUE"""),3769.9)</f>
        <v>3769.9</v>
      </c>
      <c r="M4209" s="25">
        <f>IFERROR(__xludf.DUMMYFUNCTION("""COMPUTED_VALUE"""),3330501.0)</f>
        <v>3330501</v>
      </c>
    </row>
    <row r="4210">
      <c r="A4210" s="26">
        <f>IFERROR(__xludf.DUMMYFUNCTION("""COMPUTED_VALUE"""),44586.64583333333)</f>
        <v>44586.64583</v>
      </c>
      <c r="B4210" s="9">
        <f>IFERROR(__xludf.DUMMYFUNCTION("""COMPUTED_VALUE"""),1726.6)</f>
        <v>1726.6</v>
      </c>
      <c r="C4210" s="9">
        <f>IFERROR(__xludf.DUMMYFUNCTION("""COMPUTED_VALUE"""),1740.0)</f>
        <v>1740</v>
      </c>
      <c r="D4210" s="9">
        <f>IFERROR(__xludf.DUMMYFUNCTION("""COMPUTED_VALUE"""),1700.5)</f>
        <v>1700.5</v>
      </c>
      <c r="E4210" s="9">
        <f>IFERROR(__xludf.DUMMYFUNCTION("""COMPUTED_VALUE"""),1722.15)</f>
        <v>1722.15</v>
      </c>
      <c r="F4210" s="9">
        <f>IFERROR(__xludf.DUMMYFUNCTION("""COMPUTED_VALUE"""),9137653.0)</f>
        <v>9137653</v>
      </c>
      <c r="H4210" s="27">
        <f>IFERROR(__xludf.DUMMYFUNCTION("""COMPUTED_VALUE"""),44588.64583333333)</f>
        <v>44588.64583</v>
      </c>
      <c r="I4210" s="25">
        <f>IFERROR(__xludf.DUMMYFUNCTION("""COMPUTED_VALUE"""),3731.0)</f>
        <v>3731</v>
      </c>
      <c r="J4210" s="25">
        <f>IFERROR(__xludf.DUMMYFUNCTION("""COMPUTED_VALUE"""),3733.4)</f>
        <v>3733.4</v>
      </c>
      <c r="K4210" s="25">
        <f>IFERROR(__xludf.DUMMYFUNCTION("""COMPUTED_VALUE"""),3625.1)</f>
        <v>3625.1</v>
      </c>
      <c r="L4210" s="25">
        <f>IFERROR(__xludf.DUMMYFUNCTION("""COMPUTED_VALUE"""),3649.25)</f>
        <v>3649.25</v>
      </c>
      <c r="M4210" s="25">
        <f>IFERROR(__xludf.DUMMYFUNCTION("""COMPUTED_VALUE"""),5718297.0)</f>
        <v>5718297</v>
      </c>
    </row>
    <row r="4211">
      <c r="A4211" s="26">
        <f>IFERROR(__xludf.DUMMYFUNCTION("""COMPUTED_VALUE"""),44588.64583333333)</f>
        <v>44588.64583</v>
      </c>
      <c r="B4211" s="9">
        <f>IFERROR(__xludf.DUMMYFUNCTION("""COMPUTED_VALUE"""),1702.0)</f>
        <v>1702</v>
      </c>
      <c r="C4211" s="9">
        <f>IFERROR(__xludf.DUMMYFUNCTION("""COMPUTED_VALUE"""),1709.7)</f>
        <v>1709.7</v>
      </c>
      <c r="D4211" s="9">
        <f>IFERROR(__xludf.DUMMYFUNCTION("""COMPUTED_VALUE"""),1665.0)</f>
        <v>1665</v>
      </c>
      <c r="E4211" s="9">
        <f>IFERROR(__xludf.DUMMYFUNCTION("""COMPUTED_VALUE"""),1678.6)</f>
        <v>1678.6</v>
      </c>
      <c r="F4211" s="9">
        <f>IFERROR(__xludf.DUMMYFUNCTION("""COMPUTED_VALUE"""),1.1231734E7)</f>
        <v>11231734</v>
      </c>
      <c r="H4211" s="27">
        <f>IFERROR(__xludf.DUMMYFUNCTION("""COMPUTED_VALUE"""),44589.64583333333)</f>
        <v>44589.64583</v>
      </c>
      <c r="I4211" s="25">
        <f>IFERROR(__xludf.DUMMYFUNCTION("""COMPUTED_VALUE"""),3646.0)</f>
        <v>3646</v>
      </c>
      <c r="J4211" s="25">
        <f>IFERROR(__xludf.DUMMYFUNCTION("""COMPUTED_VALUE"""),3729.8)</f>
        <v>3729.8</v>
      </c>
      <c r="K4211" s="25">
        <f>IFERROR(__xludf.DUMMYFUNCTION("""COMPUTED_VALUE"""),3646.0)</f>
        <v>3646</v>
      </c>
      <c r="L4211" s="25">
        <f>IFERROR(__xludf.DUMMYFUNCTION("""COMPUTED_VALUE"""),3690.05)</f>
        <v>3690.05</v>
      </c>
      <c r="M4211" s="25">
        <f>IFERROR(__xludf.DUMMYFUNCTION("""COMPUTED_VALUE"""),3143862.0)</f>
        <v>3143862</v>
      </c>
    </row>
    <row r="4212">
      <c r="A4212" s="26">
        <f>IFERROR(__xludf.DUMMYFUNCTION("""COMPUTED_VALUE"""),44589.64583333333)</f>
        <v>44589.64583</v>
      </c>
      <c r="B4212" s="9">
        <f>IFERROR(__xludf.DUMMYFUNCTION("""COMPUTED_VALUE"""),1681.0)</f>
        <v>1681</v>
      </c>
      <c r="C4212" s="9">
        <f>IFERROR(__xludf.DUMMYFUNCTION("""COMPUTED_VALUE"""),1727.55)</f>
        <v>1727.55</v>
      </c>
      <c r="D4212" s="9">
        <f>IFERROR(__xludf.DUMMYFUNCTION("""COMPUTED_VALUE"""),1679.5)</f>
        <v>1679.5</v>
      </c>
      <c r="E4212" s="9">
        <f>IFERROR(__xludf.DUMMYFUNCTION("""COMPUTED_VALUE"""),1686.2)</f>
        <v>1686.2</v>
      </c>
      <c r="F4212" s="9">
        <f>IFERROR(__xludf.DUMMYFUNCTION("""COMPUTED_VALUE"""),1.0998502E7)</f>
        <v>10998502</v>
      </c>
      <c r="H4212" s="27">
        <f>IFERROR(__xludf.DUMMYFUNCTION("""COMPUTED_VALUE"""),44592.64583333333)</f>
        <v>44592.64583</v>
      </c>
      <c r="I4212" s="25">
        <f>IFERROR(__xludf.DUMMYFUNCTION("""COMPUTED_VALUE"""),3749.0)</f>
        <v>3749</v>
      </c>
      <c r="J4212" s="25">
        <f>IFERROR(__xludf.DUMMYFUNCTION("""COMPUTED_VALUE"""),3758.0)</f>
        <v>3758</v>
      </c>
      <c r="K4212" s="25">
        <f>IFERROR(__xludf.DUMMYFUNCTION("""COMPUTED_VALUE"""),3721.4)</f>
        <v>3721.4</v>
      </c>
      <c r="L4212" s="25">
        <f>IFERROR(__xludf.DUMMYFUNCTION("""COMPUTED_VALUE"""),3736.25)</f>
        <v>3736.25</v>
      </c>
      <c r="M4212" s="25">
        <f>IFERROR(__xludf.DUMMYFUNCTION("""COMPUTED_VALUE"""),2739393.0)</f>
        <v>2739393</v>
      </c>
    </row>
    <row r="4213">
      <c r="A4213" s="26">
        <f>IFERROR(__xludf.DUMMYFUNCTION("""COMPUTED_VALUE"""),44592.64583333333)</f>
        <v>44592.64583</v>
      </c>
      <c r="B4213" s="9">
        <f>IFERROR(__xludf.DUMMYFUNCTION("""COMPUTED_VALUE"""),1718.0)</f>
        <v>1718</v>
      </c>
      <c r="C4213" s="9">
        <f>IFERROR(__xludf.DUMMYFUNCTION("""COMPUTED_VALUE"""),1749.5)</f>
        <v>1749.5</v>
      </c>
      <c r="D4213" s="9">
        <f>IFERROR(__xludf.DUMMYFUNCTION("""COMPUTED_VALUE"""),1715.35)</f>
        <v>1715.35</v>
      </c>
      <c r="E4213" s="9">
        <f>IFERROR(__xludf.DUMMYFUNCTION("""COMPUTED_VALUE"""),1736.2)</f>
        <v>1736.2</v>
      </c>
      <c r="F4213" s="9">
        <f>IFERROR(__xludf.DUMMYFUNCTION("""COMPUTED_VALUE"""),8788872.0)</f>
        <v>8788872</v>
      </c>
      <c r="H4213" s="27">
        <f>IFERROR(__xludf.DUMMYFUNCTION("""COMPUTED_VALUE"""),44593.64583333333)</f>
        <v>44593.64583</v>
      </c>
      <c r="I4213" s="25">
        <f>IFERROR(__xludf.DUMMYFUNCTION("""COMPUTED_VALUE"""),3770.0)</f>
        <v>3770</v>
      </c>
      <c r="J4213" s="25">
        <f>IFERROR(__xludf.DUMMYFUNCTION("""COMPUTED_VALUE"""),3808.0)</f>
        <v>3808</v>
      </c>
      <c r="K4213" s="25">
        <f>IFERROR(__xludf.DUMMYFUNCTION("""COMPUTED_VALUE"""),3736.4)</f>
        <v>3736.4</v>
      </c>
      <c r="L4213" s="25">
        <f>IFERROR(__xludf.DUMMYFUNCTION("""COMPUTED_VALUE"""),3800.65)</f>
        <v>3800.65</v>
      </c>
      <c r="M4213" s="25">
        <f>IFERROR(__xludf.DUMMYFUNCTION("""COMPUTED_VALUE"""),2105169.0)</f>
        <v>2105169</v>
      </c>
    </row>
    <row r="4214">
      <c r="A4214" s="26">
        <f>IFERROR(__xludf.DUMMYFUNCTION("""COMPUTED_VALUE"""),44593.64583333333)</f>
        <v>44593.64583</v>
      </c>
      <c r="B4214" s="9">
        <f>IFERROR(__xludf.DUMMYFUNCTION("""COMPUTED_VALUE"""),1766.1)</f>
        <v>1766.1</v>
      </c>
      <c r="C4214" s="9">
        <f>IFERROR(__xludf.DUMMYFUNCTION("""COMPUTED_VALUE"""),1780.0)</f>
        <v>1780</v>
      </c>
      <c r="D4214" s="9">
        <f>IFERROR(__xludf.DUMMYFUNCTION("""COMPUTED_VALUE"""),1734.7)</f>
        <v>1734.7</v>
      </c>
      <c r="E4214" s="9">
        <f>IFERROR(__xludf.DUMMYFUNCTION("""COMPUTED_VALUE"""),1772.05)</f>
        <v>1772.05</v>
      </c>
      <c r="F4214" s="9">
        <f>IFERROR(__xludf.DUMMYFUNCTION("""COMPUTED_VALUE"""),5119935.0)</f>
        <v>5119935</v>
      </c>
      <c r="H4214" s="27">
        <f>IFERROR(__xludf.DUMMYFUNCTION("""COMPUTED_VALUE"""),44594.64583333333)</f>
        <v>44594.64583</v>
      </c>
      <c r="I4214" s="25">
        <f>IFERROR(__xludf.DUMMYFUNCTION("""COMPUTED_VALUE"""),3827.9)</f>
        <v>3827.9</v>
      </c>
      <c r="J4214" s="25">
        <f>IFERROR(__xludf.DUMMYFUNCTION("""COMPUTED_VALUE"""),3864.0)</f>
        <v>3864</v>
      </c>
      <c r="K4214" s="25">
        <f>IFERROR(__xludf.DUMMYFUNCTION("""COMPUTED_VALUE"""),3800.65)</f>
        <v>3800.65</v>
      </c>
      <c r="L4214" s="25">
        <f>IFERROR(__xludf.DUMMYFUNCTION("""COMPUTED_VALUE"""),3856.2)</f>
        <v>3856.2</v>
      </c>
      <c r="M4214" s="25">
        <f>IFERROR(__xludf.DUMMYFUNCTION("""COMPUTED_VALUE"""),1984212.0)</f>
        <v>1984212</v>
      </c>
    </row>
    <row r="4215">
      <c r="A4215" s="26">
        <f>IFERROR(__xludf.DUMMYFUNCTION("""COMPUTED_VALUE"""),44594.64583333333)</f>
        <v>44594.64583</v>
      </c>
      <c r="B4215" s="9">
        <f>IFERROR(__xludf.DUMMYFUNCTION("""COMPUTED_VALUE"""),1789.0)</f>
        <v>1789</v>
      </c>
      <c r="C4215" s="9">
        <f>IFERROR(__xludf.DUMMYFUNCTION("""COMPUTED_VALUE"""),1792.8)</f>
        <v>1792.8</v>
      </c>
      <c r="D4215" s="9">
        <f>IFERROR(__xludf.DUMMYFUNCTION("""COMPUTED_VALUE"""),1772.0)</f>
        <v>1772</v>
      </c>
      <c r="E4215" s="9">
        <f>IFERROR(__xludf.DUMMYFUNCTION("""COMPUTED_VALUE"""),1787.1)</f>
        <v>1787.1</v>
      </c>
      <c r="F4215" s="9">
        <f>IFERROR(__xludf.DUMMYFUNCTION("""COMPUTED_VALUE"""),4253717.0)</f>
        <v>4253717</v>
      </c>
      <c r="H4215" s="27">
        <f>IFERROR(__xludf.DUMMYFUNCTION("""COMPUTED_VALUE"""),44595.64583333333)</f>
        <v>44595.64583</v>
      </c>
      <c r="I4215" s="25">
        <f>IFERROR(__xludf.DUMMYFUNCTION("""COMPUTED_VALUE"""),3851.0)</f>
        <v>3851</v>
      </c>
      <c r="J4215" s="25">
        <f>IFERROR(__xludf.DUMMYFUNCTION("""COMPUTED_VALUE"""),3882.5)</f>
        <v>3882.5</v>
      </c>
      <c r="K4215" s="25">
        <f>IFERROR(__xludf.DUMMYFUNCTION("""COMPUTED_VALUE"""),3816.05)</f>
        <v>3816.05</v>
      </c>
      <c r="L4215" s="25">
        <f>IFERROR(__xludf.DUMMYFUNCTION("""COMPUTED_VALUE"""),3824.6)</f>
        <v>3824.6</v>
      </c>
      <c r="M4215" s="25">
        <f>IFERROR(__xludf.DUMMYFUNCTION("""COMPUTED_VALUE"""),1960538.0)</f>
        <v>1960538</v>
      </c>
    </row>
    <row r="4216">
      <c r="A4216" s="26">
        <f>IFERROR(__xludf.DUMMYFUNCTION("""COMPUTED_VALUE"""),44595.64583333333)</f>
        <v>44595.64583</v>
      </c>
      <c r="B4216" s="9">
        <f>IFERROR(__xludf.DUMMYFUNCTION("""COMPUTED_VALUE"""),1779.0)</f>
        <v>1779</v>
      </c>
      <c r="C4216" s="9">
        <f>IFERROR(__xludf.DUMMYFUNCTION("""COMPUTED_VALUE"""),1779.0)</f>
        <v>1779</v>
      </c>
      <c r="D4216" s="9">
        <f>IFERROR(__xludf.DUMMYFUNCTION("""COMPUTED_VALUE"""),1734.0)</f>
        <v>1734</v>
      </c>
      <c r="E4216" s="9">
        <f>IFERROR(__xludf.DUMMYFUNCTION("""COMPUTED_VALUE"""),1738.55)</f>
        <v>1738.55</v>
      </c>
      <c r="F4216" s="9">
        <f>IFERROR(__xludf.DUMMYFUNCTION("""COMPUTED_VALUE"""),3832922.0)</f>
        <v>3832922</v>
      </c>
      <c r="H4216" s="27">
        <f>IFERROR(__xludf.DUMMYFUNCTION("""COMPUTED_VALUE"""),44596.64583333333)</f>
        <v>44596.64583</v>
      </c>
      <c r="I4216" s="25">
        <f>IFERROR(__xludf.DUMMYFUNCTION("""COMPUTED_VALUE"""),3815.3)</f>
        <v>3815.3</v>
      </c>
      <c r="J4216" s="25">
        <f>IFERROR(__xludf.DUMMYFUNCTION("""COMPUTED_VALUE"""),3824.7)</f>
        <v>3824.7</v>
      </c>
      <c r="K4216" s="25">
        <f>IFERROR(__xludf.DUMMYFUNCTION("""COMPUTED_VALUE"""),3769.0)</f>
        <v>3769</v>
      </c>
      <c r="L4216" s="25">
        <f>IFERROR(__xludf.DUMMYFUNCTION("""COMPUTED_VALUE"""),3814.9)</f>
        <v>3814.9</v>
      </c>
      <c r="M4216" s="25">
        <f>IFERROR(__xludf.DUMMYFUNCTION("""COMPUTED_VALUE"""),2307366.0)</f>
        <v>2307366</v>
      </c>
    </row>
    <row r="4217">
      <c r="A4217" s="26">
        <f>IFERROR(__xludf.DUMMYFUNCTION("""COMPUTED_VALUE"""),44596.64583333333)</f>
        <v>44596.64583</v>
      </c>
      <c r="B4217" s="9">
        <f>IFERROR(__xludf.DUMMYFUNCTION("""COMPUTED_VALUE"""),1732.0)</f>
        <v>1732</v>
      </c>
      <c r="C4217" s="9">
        <f>IFERROR(__xludf.DUMMYFUNCTION("""COMPUTED_VALUE"""),1753.95)</f>
        <v>1753.95</v>
      </c>
      <c r="D4217" s="9">
        <f>IFERROR(__xludf.DUMMYFUNCTION("""COMPUTED_VALUE"""),1710.15)</f>
        <v>1710.15</v>
      </c>
      <c r="E4217" s="9">
        <f>IFERROR(__xludf.DUMMYFUNCTION("""COMPUTED_VALUE"""),1741.1)</f>
        <v>1741.1</v>
      </c>
      <c r="F4217" s="9">
        <f>IFERROR(__xludf.DUMMYFUNCTION("""COMPUTED_VALUE"""),4700077.0)</f>
        <v>4700077</v>
      </c>
      <c r="H4217" s="27">
        <f>IFERROR(__xludf.DUMMYFUNCTION("""COMPUTED_VALUE"""),44599.64583333333)</f>
        <v>44599.64583</v>
      </c>
      <c r="I4217" s="25">
        <f>IFERROR(__xludf.DUMMYFUNCTION("""COMPUTED_VALUE"""),3791.0)</f>
        <v>3791</v>
      </c>
      <c r="J4217" s="25">
        <f>IFERROR(__xludf.DUMMYFUNCTION("""COMPUTED_VALUE"""),3831.8)</f>
        <v>3831.8</v>
      </c>
      <c r="K4217" s="25">
        <f>IFERROR(__xludf.DUMMYFUNCTION("""COMPUTED_VALUE"""),3756.15)</f>
        <v>3756.15</v>
      </c>
      <c r="L4217" s="25">
        <f>IFERROR(__xludf.DUMMYFUNCTION("""COMPUTED_VALUE"""),3779.0)</f>
        <v>3779</v>
      </c>
      <c r="M4217" s="25">
        <f>IFERROR(__xludf.DUMMYFUNCTION("""COMPUTED_VALUE"""),1919149.0)</f>
        <v>1919149</v>
      </c>
    </row>
    <row r="4218">
      <c r="A4218" s="26">
        <f>IFERROR(__xludf.DUMMYFUNCTION("""COMPUTED_VALUE"""),44599.64583333333)</f>
        <v>44599.64583</v>
      </c>
      <c r="B4218" s="9">
        <f>IFERROR(__xludf.DUMMYFUNCTION("""COMPUTED_VALUE"""),1722.2)</f>
        <v>1722.2</v>
      </c>
      <c r="C4218" s="9">
        <f>IFERROR(__xludf.DUMMYFUNCTION("""COMPUTED_VALUE"""),1732.0)</f>
        <v>1732</v>
      </c>
      <c r="D4218" s="9">
        <f>IFERROR(__xludf.DUMMYFUNCTION("""COMPUTED_VALUE"""),1695.4)</f>
        <v>1695.4</v>
      </c>
      <c r="E4218" s="9">
        <f>IFERROR(__xludf.DUMMYFUNCTION("""COMPUTED_VALUE"""),1715.0)</f>
        <v>1715</v>
      </c>
      <c r="F4218" s="9">
        <f>IFERROR(__xludf.DUMMYFUNCTION("""COMPUTED_VALUE"""),4310209.0)</f>
        <v>4310209</v>
      </c>
      <c r="H4218" s="27">
        <f>IFERROR(__xludf.DUMMYFUNCTION("""COMPUTED_VALUE"""),44600.64583333333)</f>
        <v>44600.64583</v>
      </c>
      <c r="I4218" s="25">
        <f>IFERROR(__xludf.DUMMYFUNCTION("""COMPUTED_VALUE"""),3791.55)</f>
        <v>3791.55</v>
      </c>
      <c r="J4218" s="25">
        <f>IFERROR(__xludf.DUMMYFUNCTION("""COMPUTED_VALUE"""),3799.7)</f>
        <v>3799.7</v>
      </c>
      <c r="K4218" s="25">
        <f>IFERROR(__xludf.DUMMYFUNCTION("""COMPUTED_VALUE"""),3721.0)</f>
        <v>3721</v>
      </c>
      <c r="L4218" s="25">
        <f>IFERROR(__xludf.DUMMYFUNCTION("""COMPUTED_VALUE"""),3743.45)</f>
        <v>3743.45</v>
      </c>
      <c r="M4218" s="25">
        <f>IFERROR(__xludf.DUMMYFUNCTION("""COMPUTED_VALUE"""),2946443.0)</f>
        <v>2946443</v>
      </c>
    </row>
    <row r="4219">
      <c r="A4219" s="26">
        <f>IFERROR(__xludf.DUMMYFUNCTION("""COMPUTED_VALUE"""),44600.64583333333)</f>
        <v>44600.64583</v>
      </c>
      <c r="B4219" s="9">
        <f>IFERROR(__xludf.DUMMYFUNCTION("""COMPUTED_VALUE"""),1710.0)</f>
        <v>1710</v>
      </c>
      <c r="C4219" s="9">
        <f>IFERROR(__xludf.DUMMYFUNCTION("""COMPUTED_VALUE"""),1725.0)</f>
        <v>1725</v>
      </c>
      <c r="D4219" s="9">
        <f>IFERROR(__xludf.DUMMYFUNCTION("""COMPUTED_VALUE"""),1696.0)</f>
        <v>1696</v>
      </c>
      <c r="E4219" s="9">
        <f>IFERROR(__xludf.DUMMYFUNCTION("""COMPUTED_VALUE"""),1717.3)</f>
        <v>1717.3</v>
      </c>
      <c r="F4219" s="9">
        <f>IFERROR(__xludf.DUMMYFUNCTION("""COMPUTED_VALUE"""),6053401.0)</f>
        <v>6053401</v>
      </c>
      <c r="H4219" s="27">
        <f>IFERROR(__xludf.DUMMYFUNCTION("""COMPUTED_VALUE"""),44601.64583333333)</f>
        <v>44601.64583</v>
      </c>
      <c r="I4219" s="25">
        <f>IFERROR(__xludf.DUMMYFUNCTION("""COMPUTED_VALUE"""),3750.0)</f>
        <v>3750</v>
      </c>
      <c r="J4219" s="25">
        <f>IFERROR(__xludf.DUMMYFUNCTION("""COMPUTED_VALUE"""),3777.95)</f>
        <v>3777.95</v>
      </c>
      <c r="K4219" s="25">
        <f>IFERROR(__xludf.DUMMYFUNCTION("""COMPUTED_VALUE"""),3746.1)</f>
        <v>3746.1</v>
      </c>
      <c r="L4219" s="25">
        <f>IFERROR(__xludf.DUMMYFUNCTION("""COMPUTED_VALUE"""),3760.55)</f>
        <v>3760.55</v>
      </c>
      <c r="M4219" s="25">
        <f>IFERROR(__xludf.DUMMYFUNCTION("""COMPUTED_VALUE"""),1638721.0)</f>
        <v>1638721</v>
      </c>
    </row>
    <row r="4220">
      <c r="A4220" s="26">
        <f>IFERROR(__xludf.DUMMYFUNCTION("""COMPUTED_VALUE"""),44601.64583333333)</f>
        <v>44601.64583</v>
      </c>
      <c r="B4220" s="9">
        <f>IFERROR(__xludf.DUMMYFUNCTION("""COMPUTED_VALUE"""),1735.0)</f>
        <v>1735</v>
      </c>
      <c r="C4220" s="9">
        <f>IFERROR(__xludf.DUMMYFUNCTION("""COMPUTED_VALUE"""),1743.0)</f>
        <v>1743</v>
      </c>
      <c r="D4220" s="9">
        <f>IFERROR(__xludf.DUMMYFUNCTION("""COMPUTED_VALUE"""),1725.0)</f>
        <v>1725</v>
      </c>
      <c r="E4220" s="9">
        <f>IFERROR(__xludf.DUMMYFUNCTION("""COMPUTED_VALUE"""),1737.3)</f>
        <v>1737.3</v>
      </c>
      <c r="F4220" s="9">
        <f>IFERROR(__xludf.DUMMYFUNCTION("""COMPUTED_VALUE"""),3867244.0)</f>
        <v>3867244</v>
      </c>
      <c r="H4220" s="27">
        <f>IFERROR(__xludf.DUMMYFUNCTION("""COMPUTED_VALUE"""),44602.64583333333)</f>
        <v>44602.64583</v>
      </c>
      <c r="I4220" s="25">
        <f>IFERROR(__xludf.DUMMYFUNCTION("""COMPUTED_VALUE"""),3789.8)</f>
        <v>3789.8</v>
      </c>
      <c r="J4220" s="25">
        <f>IFERROR(__xludf.DUMMYFUNCTION("""COMPUTED_VALUE"""),3789.8)</f>
        <v>3789.8</v>
      </c>
      <c r="K4220" s="25">
        <f>IFERROR(__xludf.DUMMYFUNCTION("""COMPUTED_VALUE"""),3758.0)</f>
        <v>3758</v>
      </c>
      <c r="L4220" s="25">
        <f>IFERROR(__xludf.DUMMYFUNCTION("""COMPUTED_VALUE"""),3770.35)</f>
        <v>3770.35</v>
      </c>
      <c r="M4220" s="25">
        <f>IFERROR(__xludf.DUMMYFUNCTION("""COMPUTED_VALUE"""),2112459.0)</f>
        <v>2112459</v>
      </c>
    </row>
    <row r="4221">
      <c r="A4221" s="26">
        <f>IFERROR(__xludf.DUMMYFUNCTION("""COMPUTED_VALUE"""),44602.64583333333)</f>
        <v>44602.64583</v>
      </c>
      <c r="B4221" s="9">
        <f>IFERROR(__xludf.DUMMYFUNCTION("""COMPUTED_VALUE"""),1755.65)</f>
        <v>1755.65</v>
      </c>
      <c r="C4221" s="9">
        <f>IFERROR(__xludf.DUMMYFUNCTION("""COMPUTED_VALUE"""),1773.9)</f>
        <v>1773.9</v>
      </c>
      <c r="D4221" s="9">
        <f>IFERROR(__xludf.DUMMYFUNCTION("""COMPUTED_VALUE"""),1748.75)</f>
        <v>1748.75</v>
      </c>
      <c r="E4221" s="9">
        <f>IFERROR(__xludf.DUMMYFUNCTION("""COMPUTED_VALUE"""),1769.6)</f>
        <v>1769.6</v>
      </c>
      <c r="F4221" s="9">
        <f>IFERROR(__xludf.DUMMYFUNCTION("""COMPUTED_VALUE"""),4334630.0)</f>
        <v>4334630</v>
      </c>
      <c r="H4221" s="27">
        <f>IFERROR(__xludf.DUMMYFUNCTION("""COMPUTED_VALUE"""),44603.64583333333)</f>
        <v>44603.64583</v>
      </c>
      <c r="I4221" s="25">
        <f>IFERROR(__xludf.DUMMYFUNCTION("""COMPUTED_VALUE"""),3752.5)</f>
        <v>3752.5</v>
      </c>
      <c r="J4221" s="25">
        <f>IFERROR(__xludf.DUMMYFUNCTION("""COMPUTED_VALUE"""),3752.5)</f>
        <v>3752.5</v>
      </c>
      <c r="K4221" s="25">
        <f>IFERROR(__xludf.DUMMYFUNCTION("""COMPUTED_VALUE"""),3690.0)</f>
        <v>3690</v>
      </c>
      <c r="L4221" s="25">
        <f>IFERROR(__xludf.DUMMYFUNCTION("""COMPUTED_VALUE"""),3694.95)</f>
        <v>3694.95</v>
      </c>
      <c r="M4221" s="25">
        <f>IFERROR(__xludf.DUMMYFUNCTION("""COMPUTED_VALUE"""),3851488.0)</f>
        <v>3851488</v>
      </c>
    </row>
    <row r="4222">
      <c r="A4222" s="26">
        <f>IFERROR(__xludf.DUMMYFUNCTION("""COMPUTED_VALUE"""),44603.64583333333)</f>
        <v>44603.64583</v>
      </c>
      <c r="B4222" s="9">
        <f>IFERROR(__xludf.DUMMYFUNCTION("""COMPUTED_VALUE"""),1740.0)</f>
        <v>1740</v>
      </c>
      <c r="C4222" s="9">
        <f>IFERROR(__xludf.DUMMYFUNCTION("""COMPUTED_VALUE"""),1745.95)</f>
        <v>1745.95</v>
      </c>
      <c r="D4222" s="9">
        <f>IFERROR(__xludf.DUMMYFUNCTION("""COMPUTED_VALUE"""),1713.0)</f>
        <v>1713</v>
      </c>
      <c r="E4222" s="9">
        <f>IFERROR(__xludf.DUMMYFUNCTION("""COMPUTED_VALUE"""),1721.35)</f>
        <v>1721.35</v>
      </c>
      <c r="F4222" s="9">
        <f>IFERROR(__xludf.DUMMYFUNCTION("""COMPUTED_VALUE"""),7551371.0)</f>
        <v>7551371</v>
      </c>
      <c r="H4222" s="27">
        <f>IFERROR(__xludf.DUMMYFUNCTION("""COMPUTED_VALUE"""),44606.64583333333)</f>
        <v>44606.64583</v>
      </c>
      <c r="I4222" s="25">
        <f>IFERROR(__xludf.DUMMYFUNCTION("""COMPUTED_VALUE"""),3724.0)</f>
        <v>3724</v>
      </c>
      <c r="J4222" s="25">
        <f>IFERROR(__xludf.DUMMYFUNCTION("""COMPUTED_VALUE"""),3793.25)</f>
        <v>3793.25</v>
      </c>
      <c r="K4222" s="25">
        <f>IFERROR(__xludf.DUMMYFUNCTION("""COMPUTED_VALUE"""),3710.0)</f>
        <v>3710</v>
      </c>
      <c r="L4222" s="25">
        <f>IFERROR(__xludf.DUMMYFUNCTION("""COMPUTED_VALUE"""),3733.75)</f>
        <v>3733.75</v>
      </c>
      <c r="M4222" s="25">
        <f>IFERROR(__xludf.DUMMYFUNCTION("""COMPUTED_VALUE"""),5951745.0)</f>
        <v>5951745</v>
      </c>
    </row>
    <row r="4223">
      <c r="A4223" s="26">
        <f>IFERROR(__xludf.DUMMYFUNCTION("""COMPUTED_VALUE"""),44606.64583333333)</f>
        <v>44606.64583</v>
      </c>
      <c r="B4223" s="9">
        <f>IFERROR(__xludf.DUMMYFUNCTION("""COMPUTED_VALUE"""),1690.0)</f>
        <v>1690</v>
      </c>
      <c r="C4223" s="9">
        <f>IFERROR(__xludf.DUMMYFUNCTION("""COMPUTED_VALUE"""),1718.55)</f>
        <v>1718.55</v>
      </c>
      <c r="D4223" s="9">
        <f>IFERROR(__xludf.DUMMYFUNCTION("""COMPUTED_VALUE"""),1678.25)</f>
        <v>1678.25</v>
      </c>
      <c r="E4223" s="9">
        <f>IFERROR(__xludf.DUMMYFUNCTION("""COMPUTED_VALUE"""),1682.2)</f>
        <v>1682.2</v>
      </c>
      <c r="F4223" s="9">
        <f>IFERROR(__xludf.DUMMYFUNCTION("""COMPUTED_VALUE"""),7459637.0)</f>
        <v>7459637</v>
      </c>
      <c r="H4223" s="27">
        <f>IFERROR(__xludf.DUMMYFUNCTION("""COMPUTED_VALUE"""),44607.64583333333)</f>
        <v>44607.64583</v>
      </c>
      <c r="I4223" s="25">
        <f>IFERROR(__xludf.DUMMYFUNCTION("""COMPUTED_VALUE"""),3786.0)</f>
        <v>3786</v>
      </c>
      <c r="J4223" s="25">
        <f>IFERROR(__xludf.DUMMYFUNCTION("""COMPUTED_VALUE"""),3835.0)</f>
        <v>3835</v>
      </c>
      <c r="K4223" s="25">
        <f>IFERROR(__xludf.DUMMYFUNCTION("""COMPUTED_VALUE"""),3748.0)</f>
        <v>3748</v>
      </c>
      <c r="L4223" s="25">
        <f>IFERROR(__xludf.DUMMYFUNCTION("""COMPUTED_VALUE"""),3817.8)</f>
        <v>3817.8</v>
      </c>
      <c r="M4223" s="25">
        <f>IFERROR(__xludf.DUMMYFUNCTION("""COMPUTED_VALUE"""),3931683.0)</f>
        <v>3931683</v>
      </c>
    </row>
    <row r="4224">
      <c r="A4224" s="26">
        <f>IFERROR(__xludf.DUMMYFUNCTION("""COMPUTED_VALUE"""),44607.64583333333)</f>
        <v>44607.64583</v>
      </c>
      <c r="B4224" s="9">
        <f>IFERROR(__xludf.DUMMYFUNCTION("""COMPUTED_VALUE"""),1699.0)</f>
        <v>1699</v>
      </c>
      <c r="C4224" s="9">
        <f>IFERROR(__xludf.DUMMYFUNCTION("""COMPUTED_VALUE"""),1746.75)</f>
        <v>1746.75</v>
      </c>
      <c r="D4224" s="9">
        <f>IFERROR(__xludf.DUMMYFUNCTION("""COMPUTED_VALUE"""),1690.45)</f>
        <v>1690.45</v>
      </c>
      <c r="E4224" s="9">
        <f>IFERROR(__xludf.DUMMYFUNCTION("""COMPUTED_VALUE"""),1738.25)</f>
        <v>1738.25</v>
      </c>
      <c r="F4224" s="9">
        <f>IFERROR(__xludf.DUMMYFUNCTION("""COMPUTED_VALUE"""),4669915.0)</f>
        <v>4669915</v>
      </c>
      <c r="H4224" s="27">
        <f>IFERROR(__xludf.DUMMYFUNCTION("""COMPUTED_VALUE"""),44608.64583333333)</f>
        <v>44608.64583</v>
      </c>
      <c r="I4224" s="25">
        <f>IFERROR(__xludf.DUMMYFUNCTION("""COMPUTED_VALUE"""),3844.0)</f>
        <v>3844</v>
      </c>
      <c r="J4224" s="25">
        <f>IFERROR(__xludf.DUMMYFUNCTION("""COMPUTED_VALUE"""),3854.1)</f>
        <v>3854.1</v>
      </c>
      <c r="K4224" s="25">
        <f>IFERROR(__xludf.DUMMYFUNCTION("""COMPUTED_VALUE"""),3806.0)</f>
        <v>3806</v>
      </c>
      <c r="L4224" s="25">
        <f>IFERROR(__xludf.DUMMYFUNCTION("""COMPUTED_VALUE"""),3813.1)</f>
        <v>3813.1</v>
      </c>
      <c r="M4224" s="25">
        <f>IFERROR(__xludf.DUMMYFUNCTION("""COMPUTED_VALUE"""),3256906.0)</f>
        <v>3256906</v>
      </c>
    </row>
    <row r="4225">
      <c r="A4225" s="26">
        <f>IFERROR(__xludf.DUMMYFUNCTION("""COMPUTED_VALUE"""),44608.64583333333)</f>
        <v>44608.64583</v>
      </c>
      <c r="B4225" s="9">
        <f>IFERROR(__xludf.DUMMYFUNCTION("""COMPUTED_VALUE"""),1738.25)</f>
        <v>1738.25</v>
      </c>
      <c r="C4225" s="9">
        <f>IFERROR(__xludf.DUMMYFUNCTION("""COMPUTED_VALUE"""),1755.45)</f>
        <v>1755.45</v>
      </c>
      <c r="D4225" s="9">
        <f>IFERROR(__xludf.DUMMYFUNCTION("""COMPUTED_VALUE"""),1726.85)</f>
        <v>1726.85</v>
      </c>
      <c r="E4225" s="9">
        <f>IFERROR(__xludf.DUMMYFUNCTION("""COMPUTED_VALUE"""),1733.3)</f>
        <v>1733.3</v>
      </c>
      <c r="F4225" s="9">
        <f>IFERROR(__xludf.DUMMYFUNCTION("""COMPUTED_VALUE"""),5350642.0)</f>
        <v>5350642</v>
      </c>
      <c r="H4225" s="27">
        <f>IFERROR(__xludf.DUMMYFUNCTION("""COMPUTED_VALUE"""),44609.64583333333)</f>
        <v>44609.64583</v>
      </c>
      <c r="I4225" s="25">
        <f>IFERROR(__xludf.DUMMYFUNCTION("""COMPUTED_VALUE"""),3825.0)</f>
        <v>3825</v>
      </c>
      <c r="J4225" s="25">
        <f>IFERROR(__xludf.DUMMYFUNCTION("""COMPUTED_VALUE"""),3835.0)</f>
        <v>3835</v>
      </c>
      <c r="K4225" s="25">
        <f>IFERROR(__xludf.DUMMYFUNCTION("""COMPUTED_VALUE"""),3779.0)</f>
        <v>3779</v>
      </c>
      <c r="L4225" s="25">
        <f>IFERROR(__xludf.DUMMYFUNCTION("""COMPUTED_VALUE"""),3784.2)</f>
        <v>3784.2</v>
      </c>
      <c r="M4225" s="25">
        <f>IFERROR(__xludf.DUMMYFUNCTION("""COMPUTED_VALUE"""),3134372.0)</f>
        <v>3134372</v>
      </c>
    </row>
    <row r="4226">
      <c r="A4226" s="26">
        <f>IFERROR(__xludf.DUMMYFUNCTION("""COMPUTED_VALUE"""),44609.64583333333)</f>
        <v>44609.64583</v>
      </c>
      <c r="B4226" s="9">
        <f>IFERROR(__xludf.DUMMYFUNCTION("""COMPUTED_VALUE"""),1744.0)</f>
        <v>1744</v>
      </c>
      <c r="C4226" s="9">
        <f>IFERROR(__xludf.DUMMYFUNCTION("""COMPUTED_VALUE"""),1749.0)</f>
        <v>1749</v>
      </c>
      <c r="D4226" s="9">
        <f>IFERROR(__xludf.DUMMYFUNCTION("""COMPUTED_VALUE"""),1720.3)</f>
        <v>1720.3</v>
      </c>
      <c r="E4226" s="9">
        <f>IFERROR(__xludf.DUMMYFUNCTION("""COMPUTED_VALUE"""),1724.8)</f>
        <v>1724.8</v>
      </c>
      <c r="F4226" s="9">
        <f>IFERROR(__xludf.DUMMYFUNCTION("""COMPUTED_VALUE"""),3937950.0)</f>
        <v>3937950</v>
      </c>
      <c r="H4226" s="27">
        <f>IFERROR(__xludf.DUMMYFUNCTION("""COMPUTED_VALUE"""),44610.64583333333)</f>
        <v>44610.64583</v>
      </c>
      <c r="I4226" s="25">
        <f>IFERROR(__xludf.DUMMYFUNCTION("""COMPUTED_VALUE"""),3769.0)</f>
        <v>3769</v>
      </c>
      <c r="J4226" s="25">
        <f>IFERROR(__xludf.DUMMYFUNCTION("""COMPUTED_VALUE"""),3815.95)</f>
        <v>3815.95</v>
      </c>
      <c r="K4226" s="25">
        <f>IFERROR(__xludf.DUMMYFUNCTION("""COMPUTED_VALUE"""),3757.6)</f>
        <v>3757.6</v>
      </c>
      <c r="L4226" s="25">
        <f>IFERROR(__xludf.DUMMYFUNCTION("""COMPUTED_VALUE"""),3793.9)</f>
        <v>3793.9</v>
      </c>
      <c r="M4226" s="25">
        <f>IFERROR(__xludf.DUMMYFUNCTION("""COMPUTED_VALUE"""),3688883.0)</f>
        <v>3688883</v>
      </c>
    </row>
    <row r="4227">
      <c r="A4227" s="26">
        <f>IFERROR(__xludf.DUMMYFUNCTION("""COMPUTED_VALUE"""),44610.64583333333)</f>
        <v>44610.64583</v>
      </c>
      <c r="B4227" s="9">
        <f>IFERROR(__xludf.DUMMYFUNCTION("""COMPUTED_VALUE"""),1710.0)</f>
        <v>1710</v>
      </c>
      <c r="C4227" s="9">
        <f>IFERROR(__xludf.DUMMYFUNCTION("""COMPUTED_VALUE"""),1722.5)</f>
        <v>1722.5</v>
      </c>
      <c r="D4227" s="9">
        <f>IFERROR(__xludf.DUMMYFUNCTION("""COMPUTED_VALUE"""),1703.5)</f>
        <v>1703.5</v>
      </c>
      <c r="E4227" s="9">
        <f>IFERROR(__xludf.DUMMYFUNCTION("""COMPUTED_VALUE"""),1706.95)</f>
        <v>1706.95</v>
      </c>
      <c r="F4227" s="9">
        <f>IFERROR(__xludf.DUMMYFUNCTION("""COMPUTED_VALUE"""),5602215.0)</f>
        <v>5602215</v>
      </c>
      <c r="H4227" s="27">
        <f>IFERROR(__xludf.DUMMYFUNCTION("""COMPUTED_VALUE"""),44613.64583333333)</f>
        <v>44613.64583</v>
      </c>
      <c r="I4227" s="25">
        <f>IFERROR(__xludf.DUMMYFUNCTION("""COMPUTED_VALUE"""),3810.0)</f>
        <v>3810</v>
      </c>
      <c r="J4227" s="25">
        <f>IFERROR(__xludf.DUMMYFUNCTION("""COMPUTED_VALUE"""),3827.8)</f>
        <v>3827.8</v>
      </c>
      <c r="K4227" s="25">
        <f>IFERROR(__xludf.DUMMYFUNCTION("""COMPUTED_VALUE"""),3705.55)</f>
        <v>3705.55</v>
      </c>
      <c r="L4227" s="25">
        <f>IFERROR(__xludf.DUMMYFUNCTION("""COMPUTED_VALUE"""),3719.4)</f>
        <v>3719.4</v>
      </c>
      <c r="M4227" s="25">
        <f>IFERROR(__xludf.DUMMYFUNCTION("""COMPUTED_VALUE"""),7465922.0)</f>
        <v>7465922</v>
      </c>
    </row>
    <row r="4228">
      <c r="A4228" s="26">
        <f>IFERROR(__xludf.DUMMYFUNCTION("""COMPUTED_VALUE"""),44613.64583333333)</f>
        <v>44613.64583</v>
      </c>
      <c r="B4228" s="9">
        <f>IFERROR(__xludf.DUMMYFUNCTION("""COMPUTED_VALUE"""),1701.0)</f>
        <v>1701</v>
      </c>
      <c r="C4228" s="9">
        <f>IFERROR(__xludf.DUMMYFUNCTION("""COMPUTED_VALUE"""),1737.3)</f>
        <v>1737.3</v>
      </c>
      <c r="D4228" s="9">
        <f>IFERROR(__xludf.DUMMYFUNCTION("""COMPUTED_VALUE"""),1691.5)</f>
        <v>1691.5</v>
      </c>
      <c r="E4228" s="9">
        <f>IFERROR(__xludf.DUMMYFUNCTION("""COMPUTED_VALUE"""),1730.7)</f>
        <v>1730.7</v>
      </c>
      <c r="F4228" s="9">
        <f>IFERROR(__xludf.DUMMYFUNCTION("""COMPUTED_VALUE"""),5120890.0)</f>
        <v>5120890</v>
      </c>
      <c r="H4228" s="27">
        <f>IFERROR(__xludf.DUMMYFUNCTION("""COMPUTED_VALUE"""),44614.64583333333)</f>
        <v>44614.64583</v>
      </c>
      <c r="I4228" s="25">
        <f>IFERROR(__xludf.DUMMYFUNCTION("""COMPUTED_VALUE"""),3650.0)</f>
        <v>3650</v>
      </c>
      <c r="J4228" s="25">
        <f>IFERROR(__xludf.DUMMYFUNCTION("""COMPUTED_VALUE"""),3667.9)</f>
        <v>3667.9</v>
      </c>
      <c r="K4228" s="25">
        <f>IFERROR(__xludf.DUMMYFUNCTION("""COMPUTED_VALUE"""),3570.0)</f>
        <v>3570</v>
      </c>
      <c r="L4228" s="25">
        <f>IFERROR(__xludf.DUMMYFUNCTION("""COMPUTED_VALUE"""),3586.4)</f>
        <v>3586.4</v>
      </c>
      <c r="M4228" s="25">
        <f>IFERROR(__xludf.DUMMYFUNCTION("""COMPUTED_VALUE"""),5408531.0)</f>
        <v>5408531</v>
      </c>
    </row>
    <row r="4229">
      <c r="A4229" s="26">
        <f>IFERROR(__xludf.DUMMYFUNCTION("""COMPUTED_VALUE"""),44614.64583333333)</f>
        <v>44614.64583</v>
      </c>
      <c r="B4229" s="9">
        <f>IFERROR(__xludf.DUMMYFUNCTION("""COMPUTED_VALUE"""),1699.9)</f>
        <v>1699.9</v>
      </c>
      <c r="C4229" s="9">
        <f>IFERROR(__xludf.DUMMYFUNCTION("""COMPUTED_VALUE"""),1751.0)</f>
        <v>1751</v>
      </c>
      <c r="D4229" s="9">
        <f>IFERROR(__xludf.DUMMYFUNCTION("""COMPUTED_VALUE"""),1691.05)</f>
        <v>1691.05</v>
      </c>
      <c r="E4229" s="9">
        <f>IFERROR(__xludf.DUMMYFUNCTION("""COMPUTED_VALUE"""),1734.35)</f>
        <v>1734.35</v>
      </c>
      <c r="F4229" s="9">
        <f>IFERROR(__xludf.DUMMYFUNCTION("""COMPUTED_VALUE"""),8878515.0)</f>
        <v>8878515</v>
      </c>
      <c r="H4229" s="27">
        <f>IFERROR(__xludf.DUMMYFUNCTION("""COMPUTED_VALUE"""),44615.64583333333)</f>
        <v>44615.64583</v>
      </c>
      <c r="I4229" s="25">
        <f>IFERROR(__xludf.DUMMYFUNCTION("""COMPUTED_VALUE"""),3611.0)</f>
        <v>3611</v>
      </c>
      <c r="J4229" s="25">
        <f>IFERROR(__xludf.DUMMYFUNCTION("""COMPUTED_VALUE"""),3622.9)</f>
        <v>3622.9</v>
      </c>
      <c r="K4229" s="25">
        <f>IFERROR(__xludf.DUMMYFUNCTION("""COMPUTED_VALUE"""),3555.65)</f>
        <v>3555.65</v>
      </c>
      <c r="L4229" s="25">
        <f>IFERROR(__xludf.DUMMYFUNCTION("""COMPUTED_VALUE"""),3563.8)</f>
        <v>3563.8</v>
      </c>
      <c r="M4229" s="25">
        <f>IFERROR(__xludf.DUMMYFUNCTION("""COMPUTED_VALUE"""),2426203.0)</f>
        <v>2426203</v>
      </c>
    </row>
    <row r="4230">
      <c r="A4230" s="26">
        <f>IFERROR(__xludf.DUMMYFUNCTION("""COMPUTED_VALUE"""),44615.64583333333)</f>
        <v>44615.64583</v>
      </c>
      <c r="B4230" s="9">
        <f>IFERROR(__xludf.DUMMYFUNCTION("""COMPUTED_VALUE"""),1750.0)</f>
        <v>1750</v>
      </c>
      <c r="C4230" s="9">
        <f>IFERROR(__xludf.DUMMYFUNCTION("""COMPUTED_VALUE"""),1758.25)</f>
        <v>1758.25</v>
      </c>
      <c r="D4230" s="9">
        <f>IFERROR(__xludf.DUMMYFUNCTION("""COMPUTED_VALUE"""),1733.4)</f>
        <v>1733.4</v>
      </c>
      <c r="E4230" s="9">
        <f>IFERROR(__xludf.DUMMYFUNCTION("""COMPUTED_VALUE"""),1742.85)</f>
        <v>1742.85</v>
      </c>
      <c r="F4230" s="9">
        <f>IFERROR(__xludf.DUMMYFUNCTION("""COMPUTED_VALUE"""),5478811.0)</f>
        <v>5478811</v>
      </c>
      <c r="H4230" s="27">
        <f>IFERROR(__xludf.DUMMYFUNCTION("""COMPUTED_VALUE"""),44616.64583333333)</f>
        <v>44616.64583</v>
      </c>
      <c r="I4230" s="25">
        <f>IFERROR(__xludf.DUMMYFUNCTION("""COMPUTED_VALUE"""),3474.0)</f>
        <v>3474</v>
      </c>
      <c r="J4230" s="25">
        <f>IFERROR(__xludf.DUMMYFUNCTION("""COMPUTED_VALUE"""),3483.85)</f>
        <v>3483.85</v>
      </c>
      <c r="K4230" s="25">
        <f>IFERROR(__xludf.DUMMYFUNCTION("""COMPUTED_VALUE"""),3391.1)</f>
        <v>3391.1</v>
      </c>
      <c r="L4230" s="25">
        <f>IFERROR(__xludf.DUMMYFUNCTION("""COMPUTED_VALUE"""),3401.65)</f>
        <v>3401.65</v>
      </c>
      <c r="M4230" s="25">
        <f>IFERROR(__xludf.DUMMYFUNCTION("""COMPUTED_VALUE"""),5039136.0)</f>
        <v>5039136</v>
      </c>
    </row>
    <row r="4231">
      <c r="A4231" s="26">
        <f>IFERROR(__xludf.DUMMYFUNCTION("""COMPUTED_VALUE"""),44616.64583333333)</f>
        <v>44616.64583</v>
      </c>
      <c r="B4231" s="9">
        <f>IFERROR(__xludf.DUMMYFUNCTION("""COMPUTED_VALUE"""),1690.1)</f>
        <v>1690.1</v>
      </c>
      <c r="C4231" s="9">
        <f>IFERROR(__xludf.DUMMYFUNCTION("""COMPUTED_VALUE"""),1714.95)</f>
        <v>1714.95</v>
      </c>
      <c r="D4231" s="9">
        <f>IFERROR(__xludf.DUMMYFUNCTION("""COMPUTED_VALUE"""),1670.5)</f>
        <v>1670.5</v>
      </c>
      <c r="E4231" s="9">
        <f>IFERROR(__xludf.DUMMYFUNCTION("""COMPUTED_VALUE"""),1678.15)</f>
        <v>1678.15</v>
      </c>
      <c r="F4231" s="9">
        <f>IFERROR(__xludf.DUMMYFUNCTION("""COMPUTED_VALUE"""),1.3592379E7)</f>
        <v>13592379</v>
      </c>
      <c r="H4231" s="27">
        <f>IFERROR(__xludf.DUMMYFUNCTION("""COMPUTED_VALUE"""),44617.64583333333)</f>
        <v>44617.64583</v>
      </c>
      <c r="I4231" s="25">
        <f>IFERROR(__xludf.DUMMYFUNCTION("""COMPUTED_VALUE"""),3468.0)</f>
        <v>3468</v>
      </c>
      <c r="J4231" s="25">
        <f>IFERROR(__xludf.DUMMYFUNCTION("""COMPUTED_VALUE"""),3530.0)</f>
        <v>3530</v>
      </c>
      <c r="K4231" s="25">
        <f>IFERROR(__xludf.DUMMYFUNCTION("""COMPUTED_VALUE"""),3462.0)</f>
        <v>3462</v>
      </c>
      <c r="L4231" s="25">
        <f>IFERROR(__xludf.DUMMYFUNCTION("""COMPUTED_VALUE"""),3520.75)</f>
        <v>3520.75</v>
      </c>
      <c r="M4231" s="25">
        <f>IFERROR(__xludf.DUMMYFUNCTION("""COMPUTED_VALUE"""),2549723.0)</f>
        <v>2549723</v>
      </c>
    </row>
    <row r="4232">
      <c r="A4232" s="26">
        <f>IFERROR(__xludf.DUMMYFUNCTION("""COMPUTED_VALUE"""),44617.64583333333)</f>
        <v>44617.64583</v>
      </c>
      <c r="B4232" s="9">
        <f>IFERROR(__xludf.DUMMYFUNCTION("""COMPUTED_VALUE"""),1715.0)</f>
        <v>1715</v>
      </c>
      <c r="C4232" s="9">
        <f>IFERROR(__xludf.DUMMYFUNCTION("""COMPUTED_VALUE"""),1728.15)</f>
        <v>1728.15</v>
      </c>
      <c r="D4232" s="9">
        <f>IFERROR(__xludf.DUMMYFUNCTION("""COMPUTED_VALUE"""),1677.0)</f>
        <v>1677</v>
      </c>
      <c r="E4232" s="9">
        <f>IFERROR(__xludf.DUMMYFUNCTION("""COMPUTED_VALUE"""),1694.6)</f>
        <v>1694.6</v>
      </c>
      <c r="F4232" s="9">
        <f>IFERROR(__xludf.DUMMYFUNCTION("""COMPUTED_VALUE"""),9737281.0)</f>
        <v>9737281</v>
      </c>
      <c r="H4232" s="27">
        <f>IFERROR(__xludf.DUMMYFUNCTION("""COMPUTED_VALUE"""),44620.64583333333)</f>
        <v>44620.64583</v>
      </c>
      <c r="I4232" s="25">
        <f>IFERROR(__xludf.DUMMYFUNCTION("""COMPUTED_VALUE"""),3490.0)</f>
        <v>3490</v>
      </c>
      <c r="J4232" s="25">
        <f>IFERROR(__xludf.DUMMYFUNCTION("""COMPUTED_VALUE"""),3563.75)</f>
        <v>3563.75</v>
      </c>
      <c r="K4232" s="25">
        <f>IFERROR(__xludf.DUMMYFUNCTION("""COMPUTED_VALUE"""),3455.9)</f>
        <v>3455.9</v>
      </c>
      <c r="L4232" s="25">
        <f>IFERROR(__xludf.DUMMYFUNCTION("""COMPUTED_VALUE"""),3554.2)</f>
        <v>3554.2</v>
      </c>
      <c r="M4232" s="25">
        <f>IFERROR(__xludf.DUMMYFUNCTION("""COMPUTED_VALUE"""),3288942.0)</f>
        <v>3288942</v>
      </c>
    </row>
    <row r="4233">
      <c r="A4233" s="26">
        <f>IFERROR(__xludf.DUMMYFUNCTION("""COMPUTED_VALUE"""),44620.64583333333)</f>
        <v>44620.64583</v>
      </c>
      <c r="B4233" s="9">
        <f>IFERROR(__xludf.DUMMYFUNCTION("""COMPUTED_VALUE"""),1682.2)</f>
        <v>1682.2</v>
      </c>
      <c r="C4233" s="9">
        <f>IFERROR(__xludf.DUMMYFUNCTION("""COMPUTED_VALUE"""),1728.05)</f>
        <v>1728.05</v>
      </c>
      <c r="D4233" s="9">
        <f>IFERROR(__xludf.DUMMYFUNCTION("""COMPUTED_VALUE"""),1665.0)</f>
        <v>1665</v>
      </c>
      <c r="E4233" s="9">
        <f>IFERROR(__xludf.DUMMYFUNCTION("""COMPUTED_VALUE"""),1715.6)</f>
        <v>1715.6</v>
      </c>
      <c r="F4233" s="9">
        <f>IFERROR(__xludf.DUMMYFUNCTION("""COMPUTED_VALUE"""),1.5076542E7)</f>
        <v>15076542</v>
      </c>
      <c r="H4233" s="27">
        <f>IFERROR(__xludf.DUMMYFUNCTION("""COMPUTED_VALUE"""),44622.64583333333)</f>
        <v>44622.64583</v>
      </c>
      <c r="I4233" s="25">
        <f>IFERROR(__xludf.DUMMYFUNCTION("""COMPUTED_VALUE"""),3552.5)</f>
        <v>3552.5</v>
      </c>
      <c r="J4233" s="25">
        <f>IFERROR(__xludf.DUMMYFUNCTION("""COMPUTED_VALUE"""),3571.95)</f>
        <v>3571.95</v>
      </c>
      <c r="K4233" s="25">
        <f>IFERROR(__xludf.DUMMYFUNCTION("""COMPUTED_VALUE"""),3506.0)</f>
        <v>3506</v>
      </c>
      <c r="L4233" s="25">
        <f>IFERROR(__xludf.DUMMYFUNCTION("""COMPUTED_VALUE"""),3546.15)</f>
        <v>3546.15</v>
      </c>
      <c r="M4233" s="25">
        <f>IFERROR(__xludf.DUMMYFUNCTION("""COMPUTED_VALUE"""),2761341.0)</f>
        <v>2761341</v>
      </c>
    </row>
    <row r="4234">
      <c r="A4234" s="26">
        <f>IFERROR(__xludf.DUMMYFUNCTION("""COMPUTED_VALUE"""),44622.64583333333)</f>
        <v>44622.64583</v>
      </c>
      <c r="B4234" s="9">
        <f>IFERROR(__xludf.DUMMYFUNCTION("""COMPUTED_VALUE"""),1710.0)</f>
        <v>1710</v>
      </c>
      <c r="C4234" s="9">
        <f>IFERROR(__xludf.DUMMYFUNCTION("""COMPUTED_VALUE"""),1714.4)</f>
        <v>1714.4</v>
      </c>
      <c r="D4234" s="9">
        <f>IFERROR(__xludf.DUMMYFUNCTION("""COMPUTED_VALUE"""),1691.0)</f>
        <v>1691</v>
      </c>
      <c r="E4234" s="9">
        <f>IFERROR(__xludf.DUMMYFUNCTION("""COMPUTED_VALUE"""),1702.8)</f>
        <v>1702.8</v>
      </c>
      <c r="F4234" s="9">
        <f>IFERROR(__xludf.DUMMYFUNCTION("""COMPUTED_VALUE"""),6771489.0)</f>
        <v>6771489</v>
      </c>
      <c r="H4234" s="27">
        <f>IFERROR(__xludf.DUMMYFUNCTION("""COMPUTED_VALUE"""),44623.64583333333)</f>
        <v>44623.64583</v>
      </c>
      <c r="I4234" s="25">
        <f>IFERROR(__xludf.DUMMYFUNCTION("""COMPUTED_VALUE"""),3562.85)</f>
        <v>3562.85</v>
      </c>
      <c r="J4234" s="25">
        <f>IFERROR(__xludf.DUMMYFUNCTION("""COMPUTED_VALUE"""),3578.6)</f>
        <v>3578.6</v>
      </c>
      <c r="K4234" s="25">
        <f>IFERROR(__xludf.DUMMYFUNCTION("""COMPUTED_VALUE"""),3530.1)</f>
        <v>3530.1</v>
      </c>
      <c r="L4234" s="25">
        <f>IFERROR(__xludf.DUMMYFUNCTION("""COMPUTED_VALUE"""),3544.4)</f>
        <v>3544.4</v>
      </c>
      <c r="M4234" s="25">
        <f>IFERROR(__xludf.DUMMYFUNCTION("""COMPUTED_VALUE"""),1928039.0)</f>
        <v>1928039</v>
      </c>
    </row>
    <row r="4235">
      <c r="A4235" s="26">
        <f>IFERROR(__xludf.DUMMYFUNCTION("""COMPUTED_VALUE"""),44623.64583333333)</f>
        <v>44623.64583</v>
      </c>
      <c r="B4235" s="9">
        <f>IFERROR(__xludf.DUMMYFUNCTION("""COMPUTED_VALUE"""),1720.2)</f>
        <v>1720.2</v>
      </c>
      <c r="C4235" s="9">
        <f>IFERROR(__xludf.DUMMYFUNCTION("""COMPUTED_VALUE"""),1733.9)</f>
        <v>1733.9</v>
      </c>
      <c r="D4235" s="9">
        <f>IFERROR(__xludf.DUMMYFUNCTION("""COMPUTED_VALUE"""),1705.55)</f>
        <v>1705.55</v>
      </c>
      <c r="E4235" s="9">
        <f>IFERROR(__xludf.DUMMYFUNCTION("""COMPUTED_VALUE"""),1720.85)</f>
        <v>1720.85</v>
      </c>
      <c r="F4235" s="9">
        <f>IFERROR(__xludf.DUMMYFUNCTION("""COMPUTED_VALUE"""),7344147.0)</f>
        <v>7344147</v>
      </c>
      <c r="H4235" s="27">
        <f>IFERROR(__xludf.DUMMYFUNCTION("""COMPUTED_VALUE"""),44624.64583333333)</f>
        <v>44624.64583</v>
      </c>
      <c r="I4235" s="25">
        <f>IFERROR(__xludf.DUMMYFUNCTION("""COMPUTED_VALUE"""),3501.5)</f>
        <v>3501.5</v>
      </c>
      <c r="J4235" s="25">
        <f>IFERROR(__xludf.DUMMYFUNCTION("""COMPUTED_VALUE"""),3561.2)</f>
        <v>3561.2</v>
      </c>
      <c r="K4235" s="25">
        <f>IFERROR(__xludf.DUMMYFUNCTION("""COMPUTED_VALUE"""),3487.05)</f>
        <v>3487.05</v>
      </c>
      <c r="L4235" s="25">
        <f>IFERROR(__xludf.DUMMYFUNCTION("""COMPUTED_VALUE"""),3524.35)</f>
        <v>3524.35</v>
      </c>
      <c r="M4235" s="25">
        <f>IFERROR(__xludf.DUMMYFUNCTION("""COMPUTED_VALUE"""),2370257.0)</f>
        <v>2370257</v>
      </c>
    </row>
    <row r="4236">
      <c r="A4236" s="26">
        <f>IFERROR(__xludf.DUMMYFUNCTION("""COMPUTED_VALUE"""),44624.64583333333)</f>
        <v>44624.64583</v>
      </c>
      <c r="B4236" s="9">
        <f>IFERROR(__xludf.DUMMYFUNCTION("""COMPUTED_VALUE"""),1695.25)</f>
        <v>1695.25</v>
      </c>
      <c r="C4236" s="9">
        <f>IFERROR(__xludf.DUMMYFUNCTION("""COMPUTED_VALUE"""),1736.0)</f>
        <v>1736</v>
      </c>
      <c r="D4236" s="9">
        <f>IFERROR(__xludf.DUMMYFUNCTION("""COMPUTED_VALUE"""),1681.0)</f>
        <v>1681</v>
      </c>
      <c r="E4236" s="9">
        <f>IFERROR(__xludf.DUMMYFUNCTION("""COMPUTED_VALUE"""),1723.3)</f>
        <v>1723.3</v>
      </c>
      <c r="F4236" s="9">
        <f>IFERROR(__xludf.DUMMYFUNCTION("""COMPUTED_VALUE"""),9074499.0)</f>
        <v>9074499</v>
      </c>
      <c r="H4236" s="27">
        <f>IFERROR(__xludf.DUMMYFUNCTION("""COMPUTED_VALUE"""),44627.64583333333)</f>
        <v>44627.64583</v>
      </c>
      <c r="I4236" s="25">
        <f>IFERROR(__xludf.DUMMYFUNCTION("""COMPUTED_VALUE"""),3450.0)</f>
        <v>3450</v>
      </c>
      <c r="J4236" s="25">
        <f>IFERROR(__xludf.DUMMYFUNCTION("""COMPUTED_VALUE"""),3548.0)</f>
        <v>3548</v>
      </c>
      <c r="K4236" s="25">
        <f>IFERROR(__xludf.DUMMYFUNCTION("""COMPUTED_VALUE"""),3431.55)</f>
        <v>3431.55</v>
      </c>
      <c r="L4236" s="25">
        <f>IFERROR(__xludf.DUMMYFUNCTION("""COMPUTED_VALUE"""),3484.9)</f>
        <v>3484.9</v>
      </c>
      <c r="M4236" s="25">
        <f>IFERROR(__xludf.DUMMYFUNCTION("""COMPUTED_VALUE"""),3054130.0)</f>
        <v>3054130</v>
      </c>
    </row>
    <row r="4237">
      <c r="A4237" s="26">
        <f>IFERROR(__xludf.DUMMYFUNCTION("""COMPUTED_VALUE"""),44627.64583333333)</f>
        <v>44627.64583</v>
      </c>
      <c r="B4237" s="9">
        <f>IFERROR(__xludf.DUMMYFUNCTION("""COMPUTED_VALUE"""),1697.0)</f>
        <v>1697</v>
      </c>
      <c r="C4237" s="9">
        <f>IFERROR(__xludf.DUMMYFUNCTION("""COMPUTED_VALUE"""),1751.0)</f>
        <v>1751</v>
      </c>
      <c r="D4237" s="9">
        <f>IFERROR(__xludf.DUMMYFUNCTION("""COMPUTED_VALUE"""),1696.0)</f>
        <v>1696</v>
      </c>
      <c r="E4237" s="9">
        <f>IFERROR(__xludf.DUMMYFUNCTION("""COMPUTED_VALUE"""),1739.85)</f>
        <v>1739.85</v>
      </c>
      <c r="F4237" s="9">
        <f>IFERROR(__xludf.DUMMYFUNCTION("""COMPUTED_VALUE"""),9742588.0)</f>
        <v>9742588</v>
      </c>
      <c r="H4237" s="27">
        <f>IFERROR(__xludf.DUMMYFUNCTION("""COMPUTED_VALUE"""),44628.64583333333)</f>
        <v>44628.64583</v>
      </c>
      <c r="I4237" s="25">
        <f>IFERROR(__xludf.DUMMYFUNCTION("""COMPUTED_VALUE"""),3460.0)</f>
        <v>3460</v>
      </c>
      <c r="J4237" s="25">
        <f>IFERROR(__xludf.DUMMYFUNCTION("""COMPUTED_VALUE"""),3609.0)</f>
        <v>3609</v>
      </c>
      <c r="K4237" s="25">
        <f>IFERROR(__xludf.DUMMYFUNCTION("""COMPUTED_VALUE"""),3460.0)</f>
        <v>3460</v>
      </c>
      <c r="L4237" s="25">
        <f>IFERROR(__xludf.DUMMYFUNCTION("""COMPUTED_VALUE"""),3599.95)</f>
        <v>3599.95</v>
      </c>
      <c r="M4237" s="25">
        <f>IFERROR(__xludf.DUMMYFUNCTION("""COMPUTED_VALUE"""),3300992.0)</f>
        <v>3300992</v>
      </c>
    </row>
    <row r="4238">
      <c r="A4238" s="26">
        <f>IFERROR(__xludf.DUMMYFUNCTION("""COMPUTED_VALUE"""),44628.64583333333)</f>
        <v>44628.64583</v>
      </c>
      <c r="B4238" s="9">
        <f>IFERROR(__xludf.DUMMYFUNCTION("""COMPUTED_VALUE"""),1718.45)</f>
        <v>1718.45</v>
      </c>
      <c r="C4238" s="9">
        <f>IFERROR(__xludf.DUMMYFUNCTION("""COMPUTED_VALUE"""),1800.0)</f>
        <v>1800</v>
      </c>
      <c r="D4238" s="9">
        <f>IFERROR(__xludf.DUMMYFUNCTION("""COMPUTED_VALUE"""),1718.45)</f>
        <v>1718.45</v>
      </c>
      <c r="E4238" s="9">
        <f>IFERROR(__xludf.DUMMYFUNCTION("""COMPUTED_VALUE"""),1778.2)</f>
        <v>1778.2</v>
      </c>
      <c r="F4238" s="9">
        <f>IFERROR(__xludf.DUMMYFUNCTION("""COMPUTED_VALUE"""),1.09845E7)</f>
        <v>10984500</v>
      </c>
      <c r="H4238" s="27">
        <f>IFERROR(__xludf.DUMMYFUNCTION("""COMPUTED_VALUE"""),44629.64583333333)</f>
        <v>44629.64583</v>
      </c>
      <c r="I4238" s="25">
        <f>IFERROR(__xludf.DUMMYFUNCTION("""COMPUTED_VALUE"""),3605.0)</f>
        <v>3605</v>
      </c>
      <c r="J4238" s="25">
        <f>IFERROR(__xludf.DUMMYFUNCTION("""COMPUTED_VALUE"""),3654.0)</f>
        <v>3654</v>
      </c>
      <c r="K4238" s="25">
        <f>IFERROR(__xludf.DUMMYFUNCTION("""COMPUTED_VALUE"""),3597.05)</f>
        <v>3597.05</v>
      </c>
      <c r="L4238" s="25">
        <f>IFERROR(__xludf.DUMMYFUNCTION("""COMPUTED_VALUE"""),3632.6)</f>
        <v>3632.6</v>
      </c>
      <c r="M4238" s="25">
        <f>IFERROR(__xludf.DUMMYFUNCTION("""COMPUTED_VALUE"""),2719654.0)</f>
        <v>2719654</v>
      </c>
    </row>
    <row r="4239">
      <c r="A4239" s="26">
        <f>IFERROR(__xludf.DUMMYFUNCTION("""COMPUTED_VALUE"""),44629.64583333333)</f>
        <v>44629.64583</v>
      </c>
      <c r="B4239" s="9">
        <f>IFERROR(__xludf.DUMMYFUNCTION("""COMPUTED_VALUE"""),1791.0)</f>
        <v>1791</v>
      </c>
      <c r="C4239" s="9">
        <f>IFERROR(__xludf.DUMMYFUNCTION("""COMPUTED_VALUE"""),1831.6)</f>
        <v>1831.6</v>
      </c>
      <c r="D4239" s="9">
        <f>IFERROR(__xludf.DUMMYFUNCTION("""COMPUTED_VALUE"""),1791.0)</f>
        <v>1791</v>
      </c>
      <c r="E4239" s="9">
        <f>IFERROR(__xludf.DUMMYFUNCTION("""COMPUTED_VALUE"""),1813.35)</f>
        <v>1813.35</v>
      </c>
      <c r="F4239" s="9">
        <f>IFERROR(__xludf.DUMMYFUNCTION("""COMPUTED_VALUE"""),1.0193515E7)</f>
        <v>10193515</v>
      </c>
      <c r="H4239" s="27">
        <f>IFERROR(__xludf.DUMMYFUNCTION("""COMPUTED_VALUE"""),44630.64583333333)</f>
        <v>44630.64583</v>
      </c>
      <c r="I4239" s="25">
        <f>IFERROR(__xludf.DUMMYFUNCTION("""COMPUTED_VALUE"""),3684.0)</f>
        <v>3684</v>
      </c>
      <c r="J4239" s="25">
        <f>IFERROR(__xludf.DUMMYFUNCTION("""COMPUTED_VALUE"""),3684.0)</f>
        <v>3684</v>
      </c>
      <c r="K4239" s="25">
        <f>IFERROR(__xludf.DUMMYFUNCTION("""COMPUTED_VALUE"""),3615.0)</f>
        <v>3615</v>
      </c>
      <c r="L4239" s="25">
        <f>IFERROR(__xludf.DUMMYFUNCTION("""COMPUTED_VALUE"""),3620.95)</f>
        <v>3620.95</v>
      </c>
      <c r="M4239" s="25">
        <f>IFERROR(__xludf.DUMMYFUNCTION("""COMPUTED_VALUE"""),2005441.0)</f>
        <v>2005441</v>
      </c>
    </row>
    <row r="4240">
      <c r="A4240" s="26">
        <f>IFERROR(__xludf.DUMMYFUNCTION("""COMPUTED_VALUE"""),44630.64583333333)</f>
        <v>44630.64583</v>
      </c>
      <c r="B4240" s="9">
        <f>IFERROR(__xludf.DUMMYFUNCTION("""COMPUTED_VALUE"""),1844.75)</f>
        <v>1844.75</v>
      </c>
      <c r="C4240" s="9">
        <f>IFERROR(__xludf.DUMMYFUNCTION("""COMPUTED_VALUE"""),1844.75)</f>
        <v>1844.75</v>
      </c>
      <c r="D4240" s="9">
        <f>IFERROR(__xludf.DUMMYFUNCTION("""COMPUTED_VALUE"""),1810.2)</f>
        <v>1810.2</v>
      </c>
      <c r="E4240" s="9">
        <f>IFERROR(__xludf.DUMMYFUNCTION("""COMPUTED_VALUE"""),1825.9)</f>
        <v>1825.9</v>
      </c>
      <c r="F4240" s="9">
        <f>IFERROR(__xludf.DUMMYFUNCTION("""COMPUTED_VALUE"""),6547182.0)</f>
        <v>6547182</v>
      </c>
      <c r="H4240" s="27">
        <f>IFERROR(__xludf.DUMMYFUNCTION("""COMPUTED_VALUE"""),44631.64583333333)</f>
        <v>44631.64583</v>
      </c>
      <c r="I4240" s="25">
        <f>IFERROR(__xludf.DUMMYFUNCTION("""COMPUTED_VALUE"""),3603.25)</f>
        <v>3603.25</v>
      </c>
      <c r="J4240" s="25">
        <f>IFERROR(__xludf.DUMMYFUNCTION("""COMPUTED_VALUE"""),3639.85)</f>
        <v>3639.85</v>
      </c>
      <c r="K4240" s="25">
        <f>IFERROR(__xludf.DUMMYFUNCTION("""COMPUTED_VALUE"""),3592.85)</f>
        <v>3592.85</v>
      </c>
      <c r="L4240" s="25">
        <f>IFERROR(__xludf.DUMMYFUNCTION("""COMPUTED_VALUE"""),3599.15)</f>
        <v>3599.15</v>
      </c>
      <c r="M4240" s="25">
        <f>IFERROR(__xludf.DUMMYFUNCTION("""COMPUTED_VALUE"""),1623423.0)</f>
        <v>1623423</v>
      </c>
    </row>
    <row r="4241">
      <c r="A4241" s="26">
        <f>IFERROR(__xludf.DUMMYFUNCTION("""COMPUTED_VALUE"""),44631.64583333333)</f>
        <v>44631.64583</v>
      </c>
      <c r="B4241" s="9">
        <f>IFERROR(__xludf.DUMMYFUNCTION("""COMPUTED_VALUE"""),1814.0)</f>
        <v>1814</v>
      </c>
      <c r="C4241" s="9">
        <f>IFERROR(__xludf.DUMMYFUNCTION("""COMPUTED_VALUE"""),1831.4)</f>
        <v>1831.4</v>
      </c>
      <c r="D4241" s="9">
        <f>IFERROR(__xludf.DUMMYFUNCTION("""COMPUTED_VALUE"""),1811.0)</f>
        <v>1811</v>
      </c>
      <c r="E4241" s="9">
        <f>IFERROR(__xludf.DUMMYFUNCTION("""COMPUTED_VALUE"""),1822.0)</f>
        <v>1822</v>
      </c>
      <c r="F4241" s="9">
        <f>IFERROR(__xludf.DUMMYFUNCTION("""COMPUTED_VALUE"""),4758657.0)</f>
        <v>4758657</v>
      </c>
      <c r="H4241" s="27">
        <f>IFERROR(__xludf.DUMMYFUNCTION("""COMPUTED_VALUE"""),44634.64583333333)</f>
        <v>44634.64583</v>
      </c>
      <c r="I4241" s="25">
        <f>IFERROR(__xludf.DUMMYFUNCTION("""COMPUTED_VALUE"""),3580.0)</f>
        <v>3580</v>
      </c>
      <c r="J4241" s="25">
        <f>IFERROR(__xludf.DUMMYFUNCTION("""COMPUTED_VALUE"""),3648.35)</f>
        <v>3648.35</v>
      </c>
      <c r="K4241" s="25">
        <f>IFERROR(__xludf.DUMMYFUNCTION("""COMPUTED_VALUE"""),3580.0)</f>
        <v>3580</v>
      </c>
      <c r="L4241" s="25">
        <f>IFERROR(__xludf.DUMMYFUNCTION("""COMPUTED_VALUE"""),3643.0)</f>
        <v>3643</v>
      </c>
      <c r="M4241" s="25">
        <f>IFERROR(__xludf.DUMMYFUNCTION("""COMPUTED_VALUE"""),1765688.0)</f>
        <v>1765688</v>
      </c>
    </row>
    <row r="4242">
      <c r="A4242" s="26">
        <f>IFERROR(__xludf.DUMMYFUNCTION("""COMPUTED_VALUE"""),44634.64583333333)</f>
        <v>44634.64583</v>
      </c>
      <c r="B4242" s="9">
        <f>IFERROR(__xludf.DUMMYFUNCTION("""COMPUTED_VALUE"""),1831.55)</f>
        <v>1831.55</v>
      </c>
      <c r="C4242" s="9">
        <f>IFERROR(__xludf.DUMMYFUNCTION("""COMPUTED_VALUE"""),1895.0)</f>
        <v>1895</v>
      </c>
      <c r="D4242" s="9">
        <f>IFERROR(__xludf.DUMMYFUNCTION("""COMPUTED_VALUE"""),1831.55)</f>
        <v>1831.55</v>
      </c>
      <c r="E4242" s="9">
        <f>IFERROR(__xludf.DUMMYFUNCTION("""COMPUTED_VALUE"""),1890.7)</f>
        <v>1890.7</v>
      </c>
      <c r="F4242" s="9">
        <f>IFERROR(__xludf.DUMMYFUNCTION("""COMPUTED_VALUE"""),1.0289724E7)</f>
        <v>10289724</v>
      </c>
      <c r="H4242" s="27">
        <f>IFERROR(__xludf.DUMMYFUNCTION("""COMPUTED_VALUE"""),44635.64583333333)</f>
        <v>44635.64583</v>
      </c>
      <c r="I4242" s="25">
        <f>IFERROR(__xludf.DUMMYFUNCTION("""COMPUTED_VALUE"""),3659.0)</f>
        <v>3659</v>
      </c>
      <c r="J4242" s="25">
        <f>IFERROR(__xludf.DUMMYFUNCTION("""COMPUTED_VALUE"""),3659.0)</f>
        <v>3659</v>
      </c>
      <c r="K4242" s="25">
        <f>IFERROR(__xludf.DUMMYFUNCTION("""COMPUTED_VALUE"""),3585.4)</f>
        <v>3585.4</v>
      </c>
      <c r="L4242" s="25">
        <f>IFERROR(__xludf.DUMMYFUNCTION("""COMPUTED_VALUE"""),3593.9)</f>
        <v>3593.9</v>
      </c>
      <c r="M4242" s="25">
        <f>IFERROR(__xludf.DUMMYFUNCTION("""COMPUTED_VALUE"""),3651133.0)</f>
        <v>3651133</v>
      </c>
    </row>
    <row r="4243">
      <c r="A4243" s="26">
        <f>IFERROR(__xludf.DUMMYFUNCTION("""COMPUTED_VALUE"""),44635.64583333333)</f>
        <v>44635.64583</v>
      </c>
      <c r="B4243" s="9">
        <f>IFERROR(__xludf.DUMMYFUNCTION("""COMPUTED_VALUE"""),1888.35)</f>
        <v>1888.35</v>
      </c>
      <c r="C4243" s="9">
        <f>IFERROR(__xludf.DUMMYFUNCTION("""COMPUTED_VALUE"""),1888.35)</f>
        <v>1888.35</v>
      </c>
      <c r="D4243" s="9">
        <f>IFERROR(__xludf.DUMMYFUNCTION("""COMPUTED_VALUE"""),1830.0)</f>
        <v>1830</v>
      </c>
      <c r="E4243" s="9">
        <f>IFERROR(__xludf.DUMMYFUNCTION("""COMPUTED_VALUE"""),1839.3)</f>
        <v>1839.3</v>
      </c>
      <c r="F4243" s="9">
        <f>IFERROR(__xludf.DUMMYFUNCTION("""COMPUTED_VALUE"""),7140443.0)</f>
        <v>7140443</v>
      </c>
      <c r="H4243" s="27">
        <f>IFERROR(__xludf.DUMMYFUNCTION("""COMPUTED_VALUE"""),44636.64583333333)</f>
        <v>44636.64583</v>
      </c>
      <c r="I4243" s="25">
        <f>IFERROR(__xludf.DUMMYFUNCTION("""COMPUTED_VALUE"""),3640.5)</f>
        <v>3640.5</v>
      </c>
      <c r="J4243" s="25">
        <f>IFERROR(__xludf.DUMMYFUNCTION("""COMPUTED_VALUE"""),3668.0)</f>
        <v>3668</v>
      </c>
      <c r="K4243" s="25">
        <f>IFERROR(__xludf.DUMMYFUNCTION("""COMPUTED_VALUE"""),3616.25)</f>
        <v>3616.25</v>
      </c>
      <c r="L4243" s="25">
        <f>IFERROR(__xludf.DUMMYFUNCTION("""COMPUTED_VALUE"""),3655.9)</f>
        <v>3655.9</v>
      </c>
      <c r="M4243" s="25">
        <f>IFERROR(__xludf.DUMMYFUNCTION("""COMPUTED_VALUE"""),3090475.0)</f>
        <v>3090475</v>
      </c>
    </row>
    <row r="4244">
      <c r="A4244" s="26">
        <f>IFERROR(__xludf.DUMMYFUNCTION("""COMPUTED_VALUE"""),44636.64583333333)</f>
        <v>44636.64583</v>
      </c>
      <c r="B4244" s="9">
        <f>IFERROR(__xludf.DUMMYFUNCTION("""COMPUTED_VALUE"""),1865.0)</f>
        <v>1865</v>
      </c>
      <c r="C4244" s="9">
        <f>IFERROR(__xludf.DUMMYFUNCTION("""COMPUTED_VALUE"""),1893.95)</f>
        <v>1893.95</v>
      </c>
      <c r="D4244" s="9">
        <f>IFERROR(__xludf.DUMMYFUNCTION("""COMPUTED_VALUE"""),1849.0)</f>
        <v>1849</v>
      </c>
      <c r="E4244" s="9">
        <f>IFERROR(__xludf.DUMMYFUNCTION("""COMPUTED_VALUE"""),1889.4)</f>
        <v>1889.4</v>
      </c>
      <c r="F4244" s="9">
        <f>IFERROR(__xludf.DUMMYFUNCTION("""COMPUTED_VALUE"""),5233979.0)</f>
        <v>5233979</v>
      </c>
      <c r="H4244" s="27">
        <f>IFERROR(__xludf.DUMMYFUNCTION("""COMPUTED_VALUE"""),44637.64583333333)</f>
        <v>44637.64583</v>
      </c>
      <c r="I4244" s="25">
        <f>IFERROR(__xludf.DUMMYFUNCTION("""COMPUTED_VALUE"""),3696.6)</f>
        <v>3696.6</v>
      </c>
      <c r="J4244" s="25">
        <f>IFERROR(__xludf.DUMMYFUNCTION("""COMPUTED_VALUE"""),3710.0)</f>
        <v>3710</v>
      </c>
      <c r="K4244" s="25">
        <f>IFERROR(__xludf.DUMMYFUNCTION("""COMPUTED_VALUE"""),3660.3)</f>
        <v>3660.3</v>
      </c>
      <c r="L4244" s="25">
        <f>IFERROR(__xludf.DUMMYFUNCTION("""COMPUTED_VALUE"""),3672.75)</f>
        <v>3672.75</v>
      </c>
      <c r="M4244" s="25">
        <f>IFERROR(__xludf.DUMMYFUNCTION("""COMPUTED_VALUE"""),3600452.0)</f>
        <v>3600452</v>
      </c>
    </row>
    <row r="4245">
      <c r="A4245" s="26">
        <f>IFERROR(__xludf.DUMMYFUNCTION("""COMPUTED_VALUE"""),44637.64583333333)</f>
        <v>44637.64583</v>
      </c>
      <c r="B4245" s="9">
        <f>IFERROR(__xludf.DUMMYFUNCTION("""COMPUTED_VALUE"""),1923.3)</f>
        <v>1923.3</v>
      </c>
      <c r="C4245" s="9">
        <f>IFERROR(__xludf.DUMMYFUNCTION("""COMPUTED_VALUE"""),1923.3)</f>
        <v>1923.3</v>
      </c>
      <c r="D4245" s="9">
        <f>IFERROR(__xludf.DUMMYFUNCTION("""COMPUTED_VALUE"""),1833.05)</f>
        <v>1833.05</v>
      </c>
      <c r="E4245" s="9">
        <f>IFERROR(__xludf.DUMMYFUNCTION("""COMPUTED_VALUE"""),1854.6)</f>
        <v>1854.6</v>
      </c>
      <c r="F4245" s="9">
        <f>IFERROR(__xludf.DUMMYFUNCTION("""COMPUTED_VALUE"""),1.7731459E7)</f>
        <v>17731459</v>
      </c>
      <c r="H4245" s="27">
        <f>IFERROR(__xludf.DUMMYFUNCTION("""COMPUTED_VALUE"""),44641.64583333333)</f>
        <v>44641.64583</v>
      </c>
      <c r="I4245" s="25">
        <f>IFERROR(__xludf.DUMMYFUNCTION("""COMPUTED_VALUE"""),3696.0)</f>
        <v>3696</v>
      </c>
      <c r="J4245" s="25">
        <f>IFERROR(__xludf.DUMMYFUNCTION("""COMPUTED_VALUE"""),3713.95)</f>
        <v>3713.95</v>
      </c>
      <c r="K4245" s="25">
        <f>IFERROR(__xludf.DUMMYFUNCTION("""COMPUTED_VALUE"""),3615.0)</f>
        <v>3615</v>
      </c>
      <c r="L4245" s="25">
        <f>IFERROR(__xludf.DUMMYFUNCTION("""COMPUTED_VALUE"""),3626.7)</f>
        <v>3626.7</v>
      </c>
      <c r="M4245" s="25">
        <f>IFERROR(__xludf.DUMMYFUNCTION("""COMPUTED_VALUE"""),2413831.0)</f>
        <v>2413831</v>
      </c>
    </row>
    <row r="4246">
      <c r="A4246" s="26">
        <f>IFERROR(__xludf.DUMMYFUNCTION("""COMPUTED_VALUE"""),44641.64583333333)</f>
        <v>44641.64583</v>
      </c>
      <c r="B4246" s="9">
        <f>IFERROR(__xludf.DUMMYFUNCTION("""COMPUTED_VALUE"""),1861.0)</f>
        <v>1861</v>
      </c>
      <c r="C4246" s="9">
        <f>IFERROR(__xludf.DUMMYFUNCTION("""COMPUTED_VALUE"""),1886.9)</f>
        <v>1886.9</v>
      </c>
      <c r="D4246" s="9">
        <f>IFERROR(__xludf.DUMMYFUNCTION("""COMPUTED_VALUE"""),1841.1)</f>
        <v>1841.1</v>
      </c>
      <c r="E4246" s="9">
        <f>IFERROR(__xludf.DUMMYFUNCTION("""COMPUTED_VALUE"""),1853.05)</f>
        <v>1853.05</v>
      </c>
      <c r="F4246" s="9">
        <f>IFERROR(__xludf.DUMMYFUNCTION("""COMPUTED_VALUE"""),8362085.0)</f>
        <v>8362085</v>
      </c>
      <c r="H4246" s="27">
        <f>IFERROR(__xludf.DUMMYFUNCTION("""COMPUTED_VALUE"""),44642.64583333333)</f>
        <v>44642.64583</v>
      </c>
      <c r="I4246" s="25">
        <f>IFERROR(__xludf.DUMMYFUNCTION("""COMPUTED_VALUE"""),3640.0)</f>
        <v>3640</v>
      </c>
      <c r="J4246" s="25">
        <f>IFERROR(__xludf.DUMMYFUNCTION("""COMPUTED_VALUE"""),3711.0)</f>
        <v>3711</v>
      </c>
      <c r="K4246" s="25">
        <f>IFERROR(__xludf.DUMMYFUNCTION("""COMPUTED_VALUE"""),3625.0)</f>
        <v>3625</v>
      </c>
      <c r="L4246" s="25">
        <f>IFERROR(__xludf.DUMMYFUNCTION("""COMPUTED_VALUE"""),3700.95)</f>
        <v>3700.95</v>
      </c>
      <c r="M4246" s="25">
        <f>IFERROR(__xludf.DUMMYFUNCTION("""COMPUTED_VALUE"""),2907611.0)</f>
        <v>2907611</v>
      </c>
    </row>
    <row r="4247">
      <c r="A4247" s="26">
        <f>IFERROR(__xludf.DUMMYFUNCTION("""COMPUTED_VALUE"""),44642.64583333333)</f>
        <v>44642.64583</v>
      </c>
      <c r="B4247" s="9">
        <f>IFERROR(__xludf.DUMMYFUNCTION("""COMPUTED_VALUE"""),1850.0)</f>
        <v>1850</v>
      </c>
      <c r="C4247" s="9">
        <f>IFERROR(__xludf.DUMMYFUNCTION("""COMPUTED_VALUE"""),1890.0)</f>
        <v>1890</v>
      </c>
      <c r="D4247" s="9">
        <f>IFERROR(__xludf.DUMMYFUNCTION("""COMPUTED_VALUE"""),1839.0)</f>
        <v>1839</v>
      </c>
      <c r="E4247" s="9">
        <f>IFERROR(__xludf.DUMMYFUNCTION("""COMPUTED_VALUE"""),1887.4)</f>
        <v>1887.4</v>
      </c>
      <c r="F4247" s="9">
        <f>IFERROR(__xludf.DUMMYFUNCTION("""COMPUTED_VALUE"""),5709382.0)</f>
        <v>5709382</v>
      </c>
      <c r="H4247" s="27">
        <f>IFERROR(__xludf.DUMMYFUNCTION("""COMPUTED_VALUE"""),44643.64583333333)</f>
        <v>44643.64583</v>
      </c>
      <c r="I4247" s="25">
        <f>IFERROR(__xludf.DUMMYFUNCTION("""COMPUTED_VALUE"""),3708.0)</f>
        <v>3708</v>
      </c>
      <c r="J4247" s="25">
        <f>IFERROR(__xludf.DUMMYFUNCTION("""COMPUTED_VALUE"""),3729.8)</f>
        <v>3729.8</v>
      </c>
      <c r="K4247" s="25">
        <f>IFERROR(__xludf.DUMMYFUNCTION("""COMPUTED_VALUE"""),3690.0)</f>
        <v>3690</v>
      </c>
      <c r="L4247" s="25">
        <f>IFERROR(__xludf.DUMMYFUNCTION("""COMPUTED_VALUE"""),3712.4)</f>
        <v>3712.4</v>
      </c>
      <c r="M4247" s="25">
        <f>IFERROR(__xludf.DUMMYFUNCTION("""COMPUTED_VALUE"""),1596195.0)</f>
        <v>1596195</v>
      </c>
    </row>
    <row r="4248">
      <c r="A4248" s="26">
        <f>IFERROR(__xludf.DUMMYFUNCTION("""COMPUTED_VALUE"""),44643.64583333333)</f>
        <v>44643.64583</v>
      </c>
      <c r="B4248" s="9">
        <f>IFERROR(__xludf.DUMMYFUNCTION("""COMPUTED_VALUE"""),1897.0)</f>
        <v>1897</v>
      </c>
      <c r="C4248" s="9">
        <f>IFERROR(__xludf.DUMMYFUNCTION("""COMPUTED_VALUE"""),1900.0)</f>
        <v>1900</v>
      </c>
      <c r="D4248" s="9">
        <f>IFERROR(__xludf.DUMMYFUNCTION("""COMPUTED_VALUE"""),1857.0)</f>
        <v>1857</v>
      </c>
      <c r="E4248" s="9">
        <f>IFERROR(__xludf.DUMMYFUNCTION("""COMPUTED_VALUE"""),1872.4)</f>
        <v>1872.4</v>
      </c>
      <c r="F4248" s="9">
        <f>IFERROR(__xludf.DUMMYFUNCTION("""COMPUTED_VALUE"""),6192824.0)</f>
        <v>6192824</v>
      </c>
      <c r="H4248" s="27">
        <f>IFERROR(__xludf.DUMMYFUNCTION("""COMPUTED_VALUE"""),44644.64583333333)</f>
        <v>44644.64583</v>
      </c>
      <c r="I4248" s="25">
        <f>IFERROR(__xludf.DUMMYFUNCTION("""COMPUTED_VALUE"""),3700.0)</f>
        <v>3700</v>
      </c>
      <c r="J4248" s="25">
        <f>IFERROR(__xludf.DUMMYFUNCTION("""COMPUTED_VALUE"""),3758.2)</f>
        <v>3758.2</v>
      </c>
      <c r="K4248" s="25">
        <f>IFERROR(__xludf.DUMMYFUNCTION("""COMPUTED_VALUE"""),3695.0)</f>
        <v>3695</v>
      </c>
      <c r="L4248" s="25">
        <f>IFERROR(__xludf.DUMMYFUNCTION("""COMPUTED_VALUE"""),3749.85)</f>
        <v>3749.85</v>
      </c>
      <c r="M4248" s="25">
        <f>IFERROR(__xludf.DUMMYFUNCTION("""COMPUTED_VALUE"""),1879046.0)</f>
        <v>1879046</v>
      </c>
    </row>
    <row r="4249">
      <c r="A4249" s="26">
        <f>IFERROR(__xludf.DUMMYFUNCTION("""COMPUTED_VALUE"""),44644.64583333333)</f>
        <v>44644.64583</v>
      </c>
      <c r="B4249" s="9">
        <f>IFERROR(__xludf.DUMMYFUNCTION("""COMPUTED_VALUE"""),1856.15)</f>
        <v>1856.15</v>
      </c>
      <c r="C4249" s="9">
        <f>IFERROR(__xludf.DUMMYFUNCTION("""COMPUTED_VALUE"""),1894.6)</f>
        <v>1894.6</v>
      </c>
      <c r="D4249" s="9">
        <f>IFERROR(__xludf.DUMMYFUNCTION("""COMPUTED_VALUE"""),1856.15)</f>
        <v>1856.15</v>
      </c>
      <c r="E4249" s="9">
        <f>IFERROR(__xludf.DUMMYFUNCTION("""COMPUTED_VALUE"""),1886.7)</f>
        <v>1886.7</v>
      </c>
      <c r="F4249" s="9">
        <f>IFERROR(__xludf.DUMMYFUNCTION("""COMPUTED_VALUE"""),3784303.0)</f>
        <v>3784303</v>
      </c>
      <c r="H4249" s="27">
        <f>IFERROR(__xludf.DUMMYFUNCTION("""COMPUTED_VALUE"""),44645.64583333333)</f>
        <v>44645.64583</v>
      </c>
      <c r="I4249" s="25">
        <f>IFERROR(__xludf.DUMMYFUNCTION("""COMPUTED_VALUE"""),3759.9)</f>
        <v>3759.9</v>
      </c>
      <c r="J4249" s="25">
        <f>IFERROR(__xludf.DUMMYFUNCTION("""COMPUTED_VALUE"""),3779.5)</f>
        <v>3779.5</v>
      </c>
      <c r="K4249" s="25">
        <f>IFERROR(__xludf.DUMMYFUNCTION("""COMPUTED_VALUE"""),3672.0)</f>
        <v>3672</v>
      </c>
      <c r="L4249" s="25">
        <f>IFERROR(__xludf.DUMMYFUNCTION("""COMPUTED_VALUE"""),3707.45)</f>
        <v>3707.45</v>
      </c>
      <c r="M4249" s="25">
        <f>IFERROR(__xludf.DUMMYFUNCTION("""COMPUTED_VALUE"""),1690133.0)</f>
        <v>1690133</v>
      </c>
    </row>
    <row r="4250">
      <c r="A4250" s="26">
        <f>IFERROR(__xludf.DUMMYFUNCTION("""COMPUTED_VALUE"""),44645.64583333333)</f>
        <v>44645.64583</v>
      </c>
      <c r="B4250" s="9">
        <f>IFERROR(__xludf.DUMMYFUNCTION("""COMPUTED_VALUE"""),1892.0)</f>
        <v>1892</v>
      </c>
      <c r="C4250" s="9">
        <f>IFERROR(__xludf.DUMMYFUNCTION("""COMPUTED_VALUE"""),1894.0)</f>
        <v>1894</v>
      </c>
      <c r="D4250" s="9">
        <f>IFERROR(__xludf.DUMMYFUNCTION("""COMPUTED_VALUE"""),1858.0)</f>
        <v>1858</v>
      </c>
      <c r="E4250" s="9">
        <f>IFERROR(__xludf.DUMMYFUNCTION("""COMPUTED_VALUE"""),1876.55)</f>
        <v>1876.55</v>
      </c>
      <c r="F4250" s="9">
        <f>IFERROR(__xludf.DUMMYFUNCTION("""COMPUTED_VALUE"""),3438588.0)</f>
        <v>3438588</v>
      </c>
      <c r="H4250" s="27">
        <f>IFERROR(__xludf.DUMMYFUNCTION("""COMPUTED_VALUE"""),44648.64583333333)</f>
        <v>44648.64583</v>
      </c>
      <c r="I4250" s="25">
        <f>IFERROR(__xludf.DUMMYFUNCTION("""COMPUTED_VALUE"""),3695.0)</f>
        <v>3695</v>
      </c>
      <c r="J4250" s="25">
        <f>IFERROR(__xludf.DUMMYFUNCTION("""COMPUTED_VALUE"""),3713.0)</f>
        <v>3713</v>
      </c>
      <c r="K4250" s="25">
        <f>IFERROR(__xludf.DUMMYFUNCTION("""COMPUTED_VALUE"""),3661.2)</f>
        <v>3661.2</v>
      </c>
      <c r="L4250" s="25">
        <f>IFERROR(__xludf.DUMMYFUNCTION("""COMPUTED_VALUE"""),3707.7)</f>
        <v>3707.7</v>
      </c>
      <c r="M4250" s="25">
        <f>IFERROR(__xludf.DUMMYFUNCTION("""COMPUTED_VALUE"""),1760990.0)</f>
        <v>1760990</v>
      </c>
    </row>
    <row r="4251">
      <c r="A4251" s="26">
        <f>IFERROR(__xludf.DUMMYFUNCTION("""COMPUTED_VALUE"""),44648.64583333333)</f>
        <v>44648.64583</v>
      </c>
      <c r="B4251" s="9">
        <f>IFERROR(__xludf.DUMMYFUNCTION("""COMPUTED_VALUE"""),1866.0)</f>
        <v>1866</v>
      </c>
      <c r="C4251" s="9">
        <f>IFERROR(__xludf.DUMMYFUNCTION("""COMPUTED_VALUE"""),1880.9)</f>
        <v>1880.9</v>
      </c>
      <c r="D4251" s="9">
        <f>IFERROR(__xludf.DUMMYFUNCTION("""COMPUTED_VALUE"""),1852.65)</f>
        <v>1852.65</v>
      </c>
      <c r="E4251" s="9">
        <f>IFERROR(__xludf.DUMMYFUNCTION("""COMPUTED_VALUE"""),1873.9)</f>
        <v>1873.9</v>
      </c>
      <c r="F4251" s="9">
        <f>IFERROR(__xludf.DUMMYFUNCTION("""COMPUTED_VALUE"""),4008555.0)</f>
        <v>4008555</v>
      </c>
      <c r="H4251" s="27">
        <f>IFERROR(__xludf.DUMMYFUNCTION("""COMPUTED_VALUE"""),44649.64583333333)</f>
        <v>44649.64583</v>
      </c>
      <c r="I4251" s="25">
        <f>IFERROR(__xludf.DUMMYFUNCTION("""COMPUTED_VALUE"""),3694.75)</f>
        <v>3694.75</v>
      </c>
      <c r="J4251" s="25">
        <f>IFERROR(__xludf.DUMMYFUNCTION("""COMPUTED_VALUE"""),3722.0)</f>
        <v>3722</v>
      </c>
      <c r="K4251" s="25">
        <f>IFERROR(__xludf.DUMMYFUNCTION("""COMPUTED_VALUE"""),3691.0)</f>
        <v>3691</v>
      </c>
      <c r="L4251" s="25">
        <f>IFERROR(__xludf.DUMMYFUNCTION("""COMPUTED_VALUE"""),3705.35)</f>
        <v>3705.35</v>
      </c>
      <c r="M4251" s="25">
        <f>IFERROR(__xludf.DUMMYFUNCTION("""COMPUTED_VALUE"""),2689063.0)</f>
        <v>2689063</v>
      </c>
    </row>
    <row r="4252">
      <c r="A4252" s="26">
        <f>IFERROR(__xludf.DUMMYFUNCTION("""COMPUTED_VALUE"""),44649.64583333333)</f>
        <v>44649.64583</v>
      </c>
      <c r="B4252" s="9">
        <f>IFERROR(__xludf.DUMMYFUNCTION("""COMPUTED_VALUE"""),1873.9)</f>
        <v>1873.9</v>
      </c>
      <c r="C4252" s="9">
        <f>IFERROR(__xludf.DUMMYFUNCTION("""COMPUTED_VALUE"""),1889.4)</f>
        <v>1889.4</v>
      </c>
      <c r="D4252" s="9">
        <f>IFERROR(__xludf.DUMMYFUNCTION("""COMPUTED_VALUE"""),1860.55)</f>
        <v>1860.55</v>
      </c>
      <c r="E4252" s="9">
        <f>IFERROR(__xludf.DUMMYFUNCTION("""COMPUTED_VALUE"""),1886.0)</f>
        <v>1886</v>
      </c>
      <c r="F4252" s="9">
        <f>IFERROR(__xludf.DUMMYFUNCTION("""COMPUTED_VALUE"""),3917785.0)</f>
        <v>3917785</v>
      </c>
      <c r="H4252" s="27">
        <f>IFERROR(__xludf.DUMMYFUNCTION("""COMPUTED_VALUE"""),44650.64583333333)</f>
        <v>44650.64583</v>
      </c>
      <c r="I4252" s="25">
        <f>IFERROR(__xludf.DUMMYFUNCTION("""COMPUTED_VALUE"""),3738.0)</f>
        <v>3738</v>
      </c>
      <c r="J4252" s="25">
        <f>IFERROR(__xludf.DUMMYFUNCTION("""COMPUTED_VALUE"""),3738.0)</f>
        <v>3738</v>
      </c>
      <c r="K4252" s="25">
        <f>IFERROR(__xludf.DUMMYFUNCTION("""COMPUTED_VALUE"""),3706.2)</f>
        <v>3706.2</v>
      </c>
      <c r="L4252" s="25">
        <f>IFERROR(__xludf.DUMMYFUNCTION("""COMPUTED_VALUE"""),3731.55)</f>
        <v>3731.55</v>
      </c>
      <c r="M4252" s="25">
        <f>IFERROR(__xludf.DUMMYFUNCTION("""COMPUTED_VALUE"""),1583455.0)</f>
        <v>1583455</v>
      </c>
    </row>
    <row r="4253">
      <c r="A4253" s="26">
        <f>IFERROR(__xludf.DUMMYFUNCTION("""COMPUTED_VALUE"""),44650.64583333333)</f>
        <v>44650.64583</v>
      </c>
      <c r="B4253" s="9">
        <f>IFERROR(__xludf.DUMMYFUNCTION("""COMPUTED_VALUE"""),1910.0)</f>
        <v>1910</v>
      </c>
      <c r="C4253" s="9">
        <f>IFERROR(__xludf.DUMMYFUNCTION("""COMPUTED_VALUE"""),1919.0)</f>
        <v>1919</v>
      </c>
      <c r="D4253" s="9">
        <f>IFERROR(__xludf.DUMMYFUNCTION("""COMPUTED_VALUE"""),1895.0)</f>
        <v>1895</v>
      </c>
      <c r="E4253" s="9">
        <f>IFERROR(__xludf.DUMMYFUNCTION("""COMPUTED_VALUE"""),1903.95)</f>
        <v>1903.95</v>
      </c>
      <c r="F4253" s="9">
        <f>IFERROR(__xludf.DUMMYFUNCTION("""COMPUTED_VALUE"""),7795839.0)</f>
        <v>7795839</v>
      </c>
      <c r="H4253" s="27">
        <f>IFERROR(__xludf.DUMMYFUNCTION("""COMPUTED_VALUE"""),44651.64583333333)</f>
        <v>44651.64583</v>
      </c>
      <c r="I4253" s="25">
        <f>IFERROR(__xludf.DUMMYFUNCTION("""COMPUTED_VALUE"""),3740.0)</f>
        <v>3740</v>
      </c>
      <c r="J4253" s="25">
        <f>IFERROR(__xludf.DUMMYFUNCTION("""COMPUTED_VALUE"""),3754.65)</f>
        <v>3754.65</v>
      </c>
      <c r="K4253" s="25">
        <f>IFERROR(__xludf.DUMMYFUNCTION("""COMPUTED_VALUE"""),3720.2)</f>
        <v>3720.2</v>
      </c>
      <c r="L4253" s="25">
        <f>IFERROR(__xludf.DUMMYFUNCTION("""COMPUTED_VALUE"""),3739.95)</f>
        <v>3739.95</v>
      </c>
      <c r="M4253" s="25">
        <f>IFERROR(__xludf.DUMMYFUNCTION("""COMPUTED_VALUE"""),2168110.0)</f>
        <v>2168110</v>
      </c>
    </row>
    <row r="4254">
      <c r="A4254" s="26">
        <f>IFERROR(__xludf.DUMMYFUNCTION("""COMPUTED_VALUE"""),44651.64583333333)</f>
        <v>44651.64583</v>
      </c>
      <c r="B4254" s="9">
        <f>IFERROR(__xludf.DUMMYFUNCTION("""COMPUTED_VALUE"""),1900.0)</f>
        <v>1900</v>
      </c>
      <c r="C4254" s="9">
        <f>IFERROR(__xludf.DUMMYFUNCTION("""COMPUTED_VALUE"""),1913.0)</f>
        <v>1913</v>
      </c>
      <c r="D4254" s="9">
        <f>IFERROR(__xludf.DUMMYFUNCTION("""COMPUTED_VALUE"""),1894.2)</f>
        <v>1894.2</v>
      </c>
      <c r="E4254" s="9">
        <f>IFERROR(__xludf.DUMMYFUNCTION("""COMPUTED_VALUE"""),1906.85)</f>
        <v>1906.85</v>
      </c>
      <c r="F4254" s="9">
        <f>IFERROR(__xludf.DUMMYFUNCTION("""COMPUTED_VALUE"""),5399145.0)</f>
        <v>5399145</v>
      </c>
      <c r="H4254" s="27">
        <f>IFERROR(__xludf.DUMMYFUNCTION("""COMPUTED_VALUE"""),44652.64583333333)</f>
        <v>44652.64583</v>
      </c>
      <c r="I4254" s="25">
        <f>IFERROR(__xludf.DUMMYFUNCTION("""COMPUTED_VALUE"""),3748.0)</f>
        <v>3748</v>
      </c>
      <c r="J4254" s="25">
        <f>IFERROR(__xludf.DUMMYFUNCTION("""COMPUTED_VALUE"""),3763.0)</f>
        <v>3763</v>
      </c>
      <c r="K4254" s="25">
        <f>IFERROR(__xludf.DUMMYFUNCTION("""COMPUTED_VALUE"""),3728.05)</f>
        <v>3728.05</v>
      </c>
      <c r="L4254" s="25">
        <f>IFERROR(__xludf.DUMMYFUNCTION("""COMPUTED_VALUE"""),3758.75)</f>
        <v>3758.75</v>
      </c>
      <c r="M4254" s="25">
        <f>IFERROR(__xludf.DUMMYFUNCTION("""COMPUTED_VALUE"""),1387014.0)</f>
        <v>1387014</v>
      </c>
    </row>
    <row r="4255">
      <c r="A4255" s="26">
        <f>IFERROR(__xludf.DUMMYFUNCTION("""COMPUTED_VALUE"""),44652.64583333333)</f>
        <v>44652.64583</v>
      </c>
      <c r="B4255" s="9">
        <f>IFERROR(__xludf.DUMMYFUNCTION("""COMPUTED_VALUE"""),1886.85)</f>
        <v>1886.85</v>
      </c>
      <c r="C4255" s="9">
        <f>IFERROR(__xludf.DUMMYFUNCTION("""COMPUTED_VALUE"""),1910.3)</f>
        <v>1910.3</v>
      </c>
      <c r="D4255" s="9">
        <f>IFERROR(__xludf.DUMMYFUNCTION("""COMPUTED_VALUE"""),1878.3)</f>
        <v>1878.3</v>
      </c>
      <c r="E4255" s="9">
        <f>IFERROR(__xludf.DUMMYFUNCTION("""COMPUTED_VALUE"""),1903.55)</f>
        <v>1903.55</v>
      </c>
      <c r="F4255" s="9">
        <f>IFERROR(__xludf.DUMMYFUNCTION("""COMPUTED_VALUE"""),6171518.0)</f>
        <v>6171518</v>
      </c>
      <c r="H4255" s="27">
        <f>IFERROR(__xludf.DUMMYFUNCTION("""COMPUTED_VALUE"""),44655.64583333333)</f>
        <v>44655.64583</v>
      </c>
      <c r="I4255" s="25">
        <f>IFERROR(__xludf.DUMMYFUNCTION("""COMPUTED_VALUE"""),3762.0)</f>
        <v>3762</v>
      </c>
      <c r="J4255" s="25">
        <f>IFERROR(__xludf.DUMMYFUNCTION("""COMPUTED_VALUE"""),3780.0)</f>
        <v>3780</v>
      </c>
      <c r="K4255" s="25">
        <f>IFERROR(__xludf.DUMMYFUNCTION("""COMPUTED_VALUE"""),3737.1)</f>
        <v>3737.1</v>
      </c>
      <c r="L4255" s="25">
        <f>IFERROR(__xludf.DUMMYFUNCTION("""COMPUTED_VALUE"""),3770.35)</f>
        <v>3770.35</v>
      </c>
      <c r="M4255" s="25">
        <f>IFERROR(__xludf.DUMMYFUNCTION("""COMPUTED_VALUE"""),1472994.0)</f>
        <v>1472994</v>
      </c>
    </row>
    <row r="4256">
      <c r="A4256" s="26">
        <f>IFERROR(__xludf.DUMMYFUNCTION("""COMPUTED_VALUE"""),44655.64583333333)</f>
        <v>44655.64583</v>
      </c>
      <c r="B4256" s="9">
        <f>IFERROR(__xludf.DUMMYFUNCTION("""COMPUTED_VALUE"""),1889.75)</f>
        <v>1889.75</v>
      </c>
      <c r="C4256" s="9">
        <f>IFERROR(__xludf.DUMMYFUNCTION("""COMPUTED_VALUE"""),1893.0)</f>
        <v>1893</v>
      </c>
      <c r="D4256" s="9">
        <f>IFERROR(__xludf.DUMMYFUNCTION("""COMPUTED_VALUE"""),1873.0)</f>
        <v>1873</v>
      </c>
      <c r="E4256" s="9">
        <f>IFERROR(__xludf.DUMMYFUNCTION("""COMPUTED_VALUE"""),1882.95)</f>
        <v>1882.95</v>
      </c>
      <c r="F4256" s="9">
        <f>IFERROR(__xludf.DUMMYFUNCTION("""COMPUTED_VALUE"""),7364074.0)</f>
        <v>7364074</v>
      </c>
      <c r="H4256" s="27">
        <f>IFERROR(__xludf.DUMMYFUNCTION("""COMPUTED_VALUE"""),44656.64583333333)</f>
        <v>44656.64583</v>
      </c>
      <c r="I4256" s="25">
        <f>IFERROR(__xludf.DUMMYFUNCTION("""COMPUTED_VALUE"""),3772.0)</f>
        <v>3772</v>
      </c>
      <c r="J4256" s="25">
        <f>IFERROR(__xludf.DUMMYFUNCTION("""COMPUTED_VALUE"""),3835.6)</f>
        <v>3835.6</v>
      </c>
      <c r="K4256" s="25">
        <f>IFERROR(__xludf.DUMMYFUNCTION("""COMPUTED_VALUE"""),3772.0)</f>
        <v>3772</v>
      </c>
      <c r="L4256" s="25">
        <f>IFERROR(__xludf.DUMMYFUNCTION("""COMPUTED_VALUE"""),3814.8)</f>
        <v>3814.8</v>
      </c>
      <c r="M4256" s="25">
        <f>IFERROR(__xludf.DUMMYFUNCTION("""COMPUTED_VALUE"""),2314947.0)</f>
        <v>2314947</v>
      </c>
    </row>
    <row r="4257">
      <c r="A4257" s="26">
        <f>IFERROR(__xludf.DUMMYFUNCTION("""COMPUTED_VALUE"""),44656.64583333333)</f>
        <v>44656.64583</v>
      </c>
      <c r="B4257" s="9">
        <f>IFERROR(__xludf.DUMMYFUNCTION("""COMPUTED_VALUE"""),1883.8)</f>
        <v>1883.8</v>
      </c>
      <c r="C4257" s="9">
        <f>IFERROR(__xludf.DUMMYFUNCTION("""COMPUTED_VALUE"""),1889.6)</f>
        <v>1889.6</v>
      </c>
      <c r="D4257" s="9">
        <f>IFERROR(__xludf.DUMMYFUNCTION("""COMPUTED_VALUE"""),1857.15)</f>
        <v>1857.15</v>
      </c>
      <c r="E4257" s="9">
        <f>IFERROR(__xludf.DUMMYFUNCTION("""COMPUTED_VALUE"""),1861.1)</f>
        <v>1861.1</v>
      </c>
      <c r="F4257" s="9">
        <f>IFERROR(__xludf.DUMMYFUNCTION("""COMPUTED_VALUE"""),5472024.0)</f>
        <v>5472024</v>
      </c>
      <c r="H4257" s="27">
        <f>IFERROR(__xludf.DUMMYFUNCTION("""COMPUTED_VALUE"""),44657.64583333333)</f>
        <v>44657.64583</v>
      </c>
      <c r="I4257" s="25">
        <f>IFERROR(__xludf.DUMMYFUNCTION("""COMPUTED_VALUE"""),3809.3)</f>
        <v>3809.3</v>
      </c>
      <c r="J4257" s="25">
        <f>IFERROR(__xludf.DUMMYFUNCTION("""COMPUTED_VALUE"""),3809.3)</f>
        <v>3809.3</v>
      </c>
      <c r="K4257" s="25">
        <f>IFERROR(__xludf.DUMMYFUNCTION("""COMPUTED_VALUE"""),3731.15)</f>
        <v>3731.15</v>
      </c>
      <c r="L4257" s="25">
        <f>IFERROR(__xludf.DUMMYFUNCTION("""COMPUTED_VALUE"""),3755.35)</f>
        <v>3755.35</v>
      </c>
      <c r="M4257" s="25">
        <f>IFERROR(__xludf.DUMMYFUNCTION("""COMPUTED_VALUE"""),2051729.0)</f>
        <v>2051729</v>
      </c>
    </row>
    <row r="4258">
      <c r="A4258" s="26">
        <f>IFERROR(__xludf.DUMMYFUNCTION("""COMPUTED_VALUE"""),44657.64583333333)</f>
        <v>44657.64583</v>
      </c>
      <c r="B4258" s="9">
        <f>IFERROR(__xludf.DUMMYFUNCTION("""COMPUTED_VALUE"""),1855.0)</f>
        <v>1855</v>
      </c>
      <c r="C4258" s="9">
        <f>IFERROR(__xludf.DUMMYFUNCTION("""COMPUTED_VALUE"""),1857.5)</f>
        <v>1857.5</v>
      </c>
      <c r="D4258" s="9">
        <f>IFERROR(__xludf.DUMMYFUNCTION("""COMPUTED_VALUE"""),1822.15)</f>
        <v>1822.15</v>
      </c>
      <c r="E4258" s="9">
        <f>IFERROR(__xludf.DUMMYFUNCTION("""COMPUTED_VALUE"""),1828.85)</f>
        <v>1828.85</v>
      </c>
      <c r="F4258" s="9">
        <f>IFERROR(__xludf.DUMMYFUNCTION("""COMPUTED_VALUE"""),5407453.0)</f>
        <v>5407453</v>
      </c>
      <c r="H4258" s="27">
        <f>IFERROR(__xludf.DUMMYFUNCTION("""COMPUTED_VALUE"""),44658.64583333333)</f>
        <v>44658.64583</v>
      </c>
      <c r="I4258" s="25">
        <f>IFERROR(__xludf.DUMMYFUNCTION("""COMPUTED_VALUE"""),3745.5)</f>
        <v>3745.5</v>
      </c>
      <c r="J4258" s="25">
        <f>IFERROR(__xludf.DUMMYFUNCTION("""COMPUTED_VALUE"""),3745.5)</f>
        <v>3745.5</v>
      </c>
      <c r="K4258" s="25">
        <f>IFERROR(__xludf.DUMMYFUNCTION("""COMPUTED_VALUE"""),3679.0)</f>
        <v>3679</v>
      </c>
      <c r="L4258" s="25">
        <f>IFERROR(__xludf.DUMMYFUNCTION("""COMPUTED_VALUE"""),3684.15)</f>
        <v>3684.15</v>
      </c>
      <c r="M4258" s="25">
        <f>IFERROR(__xludf.DUMMYFUNCTION("""COMPUTED_VALUE"""),2494829.0)</f>
        <v>2494829</v>
      </c>
    </row>
    <row r="4259">
      <c r="A4259" s="26">
        <f>IFERROR(__xludf.DUMMYFUNCTION("""COMPUTED_VALUE"""),44658.64583333333)</f>
        <v>44658.64583</v>
      </c>
      <c r="B4259" s="9">
        <f>IFERROR(__xludf.DUMMYFUNCTION("""COMPUTED_VALUE"""),1821.05)</f>
        <v>1821.05</v>
      </c>
      <c r="C4259" s="9">
        <f>IFERROR(__xludf.DUMMYFUNCTION("""COMPUTED_VALUE"""),1828.15)</f>
        <v>1828.15</v>
      </c>
      <c r="D4259" s="9">
        <f>IFERROR(__xludf.DUMMYFUNCTION("""COMPUTED_VALUE"""),1807.55)</f>
        <v>1807.55</v>
      </c>
      <c r="E4259" s="9">
        <f>IFERROR(__xludf.DUMMYFUNCTION("""COMPUTED_VALUE"""),1811.0)</f>
        <v>1811</v>
      </c>
      <c r="F4259" s="9">
        <f>IFERROR(__xludf.DUMMYFUNCTION("""COMPUTED_VALUE"""),5797544.0)</f>
        <v>5797544</v>
      </c>
      <c r="H4259" s="27">
        <f>IFERROR(__xludf.DUMMYFUNCTION("""COMPUTED_VALUE"""),44659.64583333333)</f>
        <v>44659.64583</v>
      </c>
      <c r="I4259" s="25">
        <f>IFERROR(__xludf.DUMMYFUNCTION("""COMPUTED_VALUE"""),3690.0)</f>
        <v>3690</v>
      </c>
      <c r="J4259" s="25">
        <f>IFERROR(__xludf.DUMMYFUNCTION("""COMPUTED_VALUE"""),3705.0)</f>
        <v>3705</v>
      </c>
      <c r="K4259" s="25">
        <f>IFERROR(__xludf.DUMMYFUNCTION("""COMPUTED_VALUE"""),3642.5)</f>
        <v>3642.5</v>
      </c>
      <c r="L4259" s="25">
        <f>IFERROR(__xludf.DUMMYFUNCTION("""COMPUTED_VALUE"""),3685.65)</f>
        <v>3685.65</v>
      </c>
      <c r="M4259" s="25">
        <f>IFERROR(__xludf.DUMMYFUNCTION("""COMPUTED_VALUE"""),2296773.0)</f>
        <v>2296773</v>
      </c>
    </row>
    <row r="4260">
      <c r="A4260" s="26">
        <f>IFERROR(__xludf.DUMMYFUNCTION("""COMPUTED_VALUE"""),44659.64583333333)</f>
        <v>44659.64583</v>
      </c>
      <c r="B4260" s="9">
        <f>IFERROR(__xludf.DUMMYFUNCTION("""COMPUTED_VALUE"""),1823.0)</f>
        <v>1823</v>
      </c>
      <c r="C4260" s="9">
        <f>IFERROR(__xludf.DUMMYFUNCTION("""COMPUTED_VALUE"""),1838.0)</f>
        <v>1838</v>
      </c>
      <c r="D4260" s="9">
        <f>IFERROR(__xludf.DUMMYFUNCTION("""COMPUTED_VALUE"""),1808.0)</f>
        <v>1808</v>
      </c>
      <c r="E4260" s="9">
        <f>IFERROR(__xludf.DUMMYFUNCTION("""COMPUTED_VALUE"""),1814.6)</f>
        <v>1814.6</v>
      </c>
      <c r="F4260" s="9">
        <f>IFERROR(__xludf.DUMMYFUNCTION("""COMPUTED_VALUE"""),5131446.0)</f>
        <v>5131446</v>
      </c>
      <c r="H4260" s="27">
        <f>IFERROR(__xludf.DUMMYFUNCTION("""COMPUTED_VALUE"""),44662.64583333333)</f>
        <v>44662.64583</v>
      </c>
      <c r="I4260" s="25">
        <f>IFERROR(__xludf.DUMMYFUNCTION("""COMPUTED_VALUE"""),3690.0)</f>
        <v>3690</v>
      </c>
      <c r="J4260" s="25">
        <f>IFERROR(__xludf.DUMMYFUNCTION("""COMPUTED_VALUE"""),3712.35)</f>
        <v>3712.35</v>
      </c>
      <c r="K4260" s="25">
        <f>IFERROR(__xludf.DUMMYFUNCTION("""COMPUTED_VALUE"""),3656.1)</f>
        <v>3656.1</v>
      </c>
      <c r="L4260" s="25">
        <f>IFERROR(__xludf.DUMMYFUNCTION("""COMPUTED_VALUE"""),3696.4)</f>
        <v>3696.4</v>
      </c>
      <c r="M4260" s="25">
        <f>IFERROR(__xludf.DUMMYFUNCTION("""COMPUTED_VALUE"""),2291660.0)</f>
        <v>2291660</v>
      </c>
    </row>
    <row r="4261">
      <c r="A4261" s="26">
        <f>IFERROR(__xludf.DUMMYFUNCTION("""COMPUTED_VALUE"""),44662.64583333333)</f>
        <v>44662.64583</v>
      </c>
      <c r="B4261" s="9">
        <f>IFERROR(__xludf.DUMMYFUNCTION("""COMPUTED_VALUE"""),1814.0)</f>
        <v>1814</v>
      </c>
      <c r="C4261" s="9">
        <f>IFERROR(__xludf.DUMMYFUNCTION("""COMPUTED_VALUE"""),1814.0)</f>
        <v>1814</v>
      </c>
      <c r="D4261" s="9">
        <f>IFERROR(__xludf.DUMMYFUNCTION("""COMPUTED_VALUE"""),1762.55)</f>
        <v>1762.55</v>
      </c>
      <c r="E4261" s="9">
        <f>IFERROR(__xludf.DUMMYFUNCTION("""COMPUTED_VALUE"""),1766.55)</f>
        <v>1766.55</v>
      </c>
      <c r="F4261" s="9">
        <f>IFERROR(__xludf.DUMMYFUNCTION("""COMPUTED_VALUE"""),8248407.0)</f>
        <v>8248407</v>
      </c>
      <c r="H4261" s="27">
        <f>IFERROR(__xludf.DUMMYFUNCTION("""COMPUTED_VALUE"""),44663.64583333333)</f>
        <v>44663.64583</v>
      </c>
      <c r="I4261" s="25">
        <f>IFERROR(__xludf.DUMMYFUNCTION("""COMPUTED_VALUE"""),3683.0)</f>
        <v>3683</v>
      </c>
      <c r="J4261" s="25">
        <f>IFERROR(__xludf.DUMMYFUNCTION("""COMPUTED_VALUE"""),3739.0)</f>
        <v>3739</v>
      </c>
      <c r="K4261" s="25">
        <f>IFERROR(__xludf.DUMMYFUNCTION("""COMPUTED_VALUE"""),3648.35)</f>
        <v>3648.35</v>
      </c>
      <c r="L4261" s="25">
        <f>IFERROR(__xludf.DUMMYFUNCTION("""COMPUTED_VALUE"""),3691.1)</f>
        <v>3691.1</v>
      </c>
      <c r="M4261" s="25">
        <f>IFERROR(__xludf.DUMMYFUNCTION("""COMPUTED_VALUE"""),4483476.0)</f>
        <v>4483476</v>
      </c>
    </row>
    <row r="4262">
      <c r="A4262" s="26">
        <f>IFERROR(__xludf.DUMMYFUNCTION("""COMPUTED_VALUE"""),44663.64583333333)</f>
        <v>44663.64583</v>
      </c>
      <c r="B4262" s="9">
        <f>IFERROR(__xludf.DUMMYFUNCTION("""COMPUTED_VALUE"""),1757.5)</f>
        <v>1757.5</v>
      </c>
      <c r="C4262" s="9">
        <f>IFERROR(__xludf.DUMMYFUNCTION("""COMPUTED_VALUE"""),1757.5)</f>
        <v>1757.5</v>
      </c>
      <c r="D4262" s="9">
        <f>IFERROR(__xludf.DUMMYFUNCTION("""COMPUTED_VALUE"""),1727.75)</f>
        <v>1727.75</v>
      </c>
      <c r="E4262" s="9">
        <f>IFERROR(__xludf.DUMMYFUNCTION("""COMPUTED_VALUE"""),1742.45)</f>
        <v>1742.45</v>
      </c>
      <c r="F4262" s="9">
        <f>IFERROR(__xludf.DUMMYFUNCTION("""COMPUTED_VALUE"""),6456184.0)</f>
        <v>6456184</v>
      </c>
      <c r="H4262" s="27">
        <f>IFERROR(__xludf.DUMMYFUNCTION("""COMPUTED_VALUE"""),44664.64583333333)</f>
        <v>44664.64583</v>
      </c>
      <c r="I4262" s="25">
        <f>IFERROR(__xludf.DUMMYFUNCTION("""COMPUTED_VALUE"""),3707.0)</f>
        <v>3707</v>
      </c>
      <c r="J4262" s="25">
        <f>IFERROR(__xludf.DUMMYFUNCTION("""COMPUTED_VALUE"""),3709.85)</f>
        <v>3709.85</v>
      </c>
      <c r="K4262" s="25">
        <f>IFERROR(__xludf.DUMMYFUNCTION("""COMPUTED_VALUE"""),3655.55)</f>
        <v>3655.55</v>
      </c>
      <c r="L4262" s="25">
        <f>IFERROR(__xludf.DUMMYFUNCTION("""COMPUTED_VALUE"""),3661.95)</f>
        <v>3661.95</v>
      </c>
      <c r="M4262" s="25">
        <f>IFERROR(__xludf.DUMMYFUNCTION("""COMPUTED_VALUE"""),1621672.0)</f>
        <v>1621672</v>
      </c>
    </row>
    <row r="4263">
      <c r="A4263" s="26">
        <f>IFERROR(__xludf.DUMMYFUNCTION("""COMPUTED_VALUE"""),44664.64583333333)</f>
        <v>44664.64583</v>
      </c>
      <c r="B4263" s="9">
        <f>IFERROR(__xludf.DUMMYFUNCTION("""COMPUTED_VALUE"""),1754.95)</f>
        <v>1754.95</v>
      </c>
      <c r="C4263" s="9">
        <f>IFERROR(__xludf.DUMMYFUNCTION("""COMPUTED_VALUE"""),1757.5)</f>
        <v>1757.5</v>
      </c>
      <c r="D4263" s="9">
        <f>IFERROR(__xludf.DUMMYFUNCTION("""COMPUTED_VALUE"""),1732.0)</f>
        <v>1732</v>
      </c>
      <c r="E4263" s="9">
        <f>IFERROR(__xludf.DUMMYFUNCTION("""COMPUTED_VALUE"""),1748.55)</f>
        <v>1748.55</v>
      </c>
      <c r="F4263" s="9">
        <f>IFERROR(__xludf.DUMMYFUNCTION("""COMPUTED_VALUE"""),6257693.0)</f>
        <v>6257693</v>
      </c>
      <c r="H4263" s="27">
        <f>IFERROR(__xludf.DUMMYFUNCTION("""COMPUTED_VALUE"""),44669.64583333333)</f>
        <v>44669.64583</v>
      </c>
      <c r="I4263" s="25">
        <f>IFERROR(__xludf.DUMMYFUNCTION("""COMPUTED_VALUE"""),3610.0)</f>
        <v>3610</v>
      </c>
      <c r="J4263" s="25">
        <f>IFERROR(__xludf.DUMMYFUNCTION("""COMPUTED_VALUE"""),3610.0)</f>
        <v>3610</v>
      </c>
      <c r="K4263" s="25">
        <f>IFERROR(__xludf.DUMMYFUNCTION("""COMPUTED_VALUE"""),3522.5)</f>
        <v>3522.5</v>
      </c>
      <c r="L4263" s="25">
        <f>IFERROR(__xludf.DUMMYFUNCTION("""COMPUTED_VALUE"""),3528.05)</f>
        <v>3528.05</v>
      </c>
      <c r="M4263" s="25">
        <f>IFERROR(__xludf.DUMMYFUNCTION("""COMPUTED_VALUE"""),3820792.0)</f>
        <v>3820792</v>
      </c>
    </row>
    <row r="4264">
      <c r="A4264" s="26">
        <f>IFERROR(__xludf.DUMMYFUNCTION("""COMPUTED_VALUE"""),44669.64583333333)</f>
        <v>44669.64583</v>
      </c>
      <c r="B4264" s="9">
        <f>IFERROR(__xludf.DUMMYFUNCTION("""COMPUTED_VALUE"""),1605.5)</f>
        <v>1605.5</v>
      </c>
      <c r="C4264" s="9">
        <f>IFERROR(__xludf.DUMMYFUNCTION("""COMPUTED_VALUE"""),1650.0)</f>
        <v>1650</v>
      </c>
      <c r="D4264" s="9">
        <f>IFERROR(__xludf.DUMMYFUNCTION("""COMPUTED_VALUE"""),1590.0)</f>
        <v>1590</v>
      </c>
      <c r="E4264" s="9">
        <f>IFERROR(__xludf.DUMMYFUNCTION("""COMPUTED_VALUE"""),1621.4)</f>
        <v>1621.4</v>
      </c>
      <c r="F4264" s="9">
        <f>IFERROR(__xludf.DUMMYFUNCTION("""COMPUTED_VALUE"""),3.0523965E7)</f>
        <v>30523965</v>
      </c>
      <c r="H4264" s="27">
        <f>IFERROR(__xludf.DUMMYFUNCTION("""COMPUTED_VALUE"""),44670.64583333333)</f>
        <v>44670.64583</v>
      </c>
      <c r="I4264" s="25">
        <f>IFERROR(__xludf.DUMMYFUNCTION("""COMPUTED_VALUE"""),3550.0)</f>
        <v>3550</v>
      </c>
      <c r="J4264" s="25">
        <f>IFERROR(__xludf.DUMMYFUNCTION("""COMPUTED_VALUE"""),3563.55)</f>
        <v>3563.55</v>
      </c>
      <c r="K4264" s="25">
        <f>IFERROR(__xludf.DUMMYFUNCTION("""COMPUTED_VALUE"""),3439.15)</f>
        <v>3439.15</v>
      </c>
      <c r="L4264" s="25">
        <f>IFERROR(__xludf.DUMMYFUNCTION("""COMPUTED_VALUE"""),3471.9)</f>
        <v>3471.9</v>
      </c>
      <c r="M4264" s="25">
        <f>IFERROR(__xludf.DUMMYFUNCTION("""COMPUTED_VALUE"""),3170014.0)</f>
        <v>3170014</v>
      </c>
    </row>
    <row r="4265">
      <c r="A4265" s="26">
        <f>IFERROR(__xludf.DUMMYFUNCTION("""COMPUTED_VALUE"""),44670.64583333333)</f>
        <v>44670.64583</v>
      </c>
      <c r="B4265" s="9">
        <f>IFERROR(__xludf.DUMMYFUNCTION("""COMPUTED_VALUE"""),1636.65)</f>
        <v>1636.65</v>
      </c>
      <c r="C4265" s="9">
        <f>IFERROR(__xludf.DUMMYFUNCTION("""COMPUTED_VALUE"""),1636.65)</f>
        <v>1636.65</v>
      </c>
      <c r="D4265" s="9">
        <f>IFERROR(__xludf.DUMMYFUNCTION("""COMPUTED_VALUE"""),1550.0)</f>
        <v>1550</v>
      </c>
      <c r="E4265" s="9">
        <f>IFERROR(__xludf.DUMMYFUNCTION("""COMPUTED_VALUE"""),1562.0)</f>
        <v>1562</v>
      </c>
      <c r="F4265" s="9">
        <f>IFERROR(__xludf.DUMMYFUNCTION("""COMPUTED_VALUE"""),1.7044923E7)</f>
        <v>17044923</v>
      </c>
      <c r="H4265" s="27">
        <f>IFERROR(__xludf.DUMMYFUNCTION("""COMPUTED_VALUE"""),44671.64583333333)</f>
        <v>44671.64583</v>
      </c>
      <c r="I4265" s="25">
        <f>IFERROR(__xludf.DUMMYFUNCTION("""COMPUTED_VALUE"""),3500.0)</f>
        <v>3500</v>
      </c>
      <c r="J4265" s="25">
        <f>IFERROR(__xludf.DUMMYFUNCTION("""COMPUTED_VALUE"""),3569.15)</f>
        <v>3569.15</v>
      </c>
      <c r="K4265" s="25">
        <f>IFERROR(__xludf.DUMMYFUNCTION("""COMPUTED_VALUE"""),3480.0)</f>
        <v>3480</v>
      </c>
      <c r="L4265" s="25">
        <f>IFERROR(__xludf.DUMMYFUNCTION("""COMPUTED_VALUE"""),3556.8)</f>
        <v>3556.8</v>
      </c>
      <c r="M4265" s="25">
        <f>IFERROR(__xludf.DUMMYFUNCTION("""COMPUTED_VALUE"""),2640370.0)</f>
        <v>2640370</v>
      </c>
    </row>
    <row r="4266">
      <c r="A4266" s="26">
        <f>IFERROR(__xludf.DUMMYFUNCTION("""COMPUTED_VALUE"""),44671.64583333333)</f>
        <v>44671.64583</v>
      </c>
      <c r="B4266" s="9">
        <f>IFERROR(__xludf.DUMMYFUNCTION("""COMPUTED_VALUE"""),1575.0)</f>
        <v>1575</v>
      </c>
      <c r="C4266" s="9">
        <f>IFERROR(__xludf.DUMMYFUNCTION("""COMPUTED_VALUE"""),1596.3)</f>
        <v>1596.3</v>
      </c>
      <c r="D4266" s="9">
        <f>IFERROR(__xludf.DUMMYFUNCTION("""COMPUTED_VALUE"""),1563.0)</f>
        <v>1563</v>
      </c>
      <c r="E4266" s="9">
        <f>IFERROR(__xludf.DUMMYFUNCTION("""COMPUTED_VALUE"""),1587.7)</f>
        <v>1587.7</v>
      </c>
      <c r="F4266" s="9">
        <f>IFERROR(__xludf.DUMMYFUNCTION("""COMPUTED_VALUE"""),1.0678747E7)</f>
        <v>10678747</v>
      </c>
      <c r="H4266" s="27">
        <f>IFERROR(__xludf.DUMMYFUNCTION("""COMPUTED_VALUE"""),44672.64583333333)</f>
        <v>44672.64583</v>
      </c>
      <c r="I4266" s="25">
        <f>IFERROR(__xludf.DUMMYFUNCTION("""COMPUTED_VALUE"""),3580.0)</f>
        <v>3580</v>
      </c>
      <c r="J4266" s="25">
        <f>IFERROR(__xludf.DUMMYFUNCTION("""COMPUTED_VALUE"""),3644.0)</f>
        <v>3644</v>
      </c>
      <c r="K4266" s="25">
        <f>IFERROR(__xludf.DUMMYFUNCTION("""COMPUTED_VALUE"""),3567.4)</f>
        <v>3567.4</v>
      </c>
      <c r="L4266" s="25">
        <f>IFERROR(__xludf.DUMMYFUNCTION("""COMPUTED_VALUE"""),3628.65)</f>
        <v>3628.65</v>
      </c>
      <c r="M4266" s="25">
        <f>IFERROR(__xludf.DUMMYFUNCTION("""COMPUTED_VALUE"""),2280996.0)</f>
        <v>2280996</v>
      </c>
    </row>
    <row r="4267">
      <c r="A4267" s="26">
        <f>IFERROR(__xludf.DUMMYFUNCTION("""COMPUTED_VALUE"""),44672.64583333333)</f>
        <v>44672.64583</v>
      </c>
      <c r="B4267" s="9">
        <f>IFERROR(__xludf.DUMMYFUNCTION("""COMPUTED_VALUE"""),1595.0)</f>
        <v>1595</v>
      </c>
      <c r="C4267" s="9">
        <f>IFERROR(__xludf.DUMMYFUNCTION("""COMPUTED_VALUE"""),1627.2)</f>
        <v>1627.2</v>
      </c>
      <c r="D4267" s="9">
        <f>IFERROR(__xludf.DUMMYFUNCTION("""COMPUTED_VALUE"""),1589.25)</f>
        <v>1589.25</v>
      </c>
      <c r="E4267" s="9">
        <f>IFERROR(__xludf.DUMMYFUNCTION("""COMPUTED_VALUE"""),1618.8)</f>
        <v>1618.8</v>
      </c>
      <c r="F4267" s="9">
        <f>IFERROR(__xludf.DUMMYFUNCTION("""COMPUTED_VALUE"""),7766514.0)</f>
        <v>7766514</v>
      </c>
      <c r="H4267" s="27">
        <f>IFERROR(__xludf.DUMMYFUNCTION("""COMPUTED_VALUE"""),44673.64583333333)</f>
        <v>44673.64583</v>
      </c>
      <c r="I4267" s="25">
        <f>IFERROR(__xludf.DUMMYFUNCTION("""COMPUTED_VALUE"""),3581.1)</f>
        <v>3581.1</v>
      </c>
      <c r="J4267" s="25">
        <f>IFERROR(__xludf.DUMMYFUNCTION("""COMPUTED_VALUE"""),3617.0)</f>
        <v>3617</v>
      </c>
      <c r="K4267" s="25">
        <f>IFERROR(__xludf.DUMMYFUNCTION("""COMPUTED_VALUE"""),3571.5)</f>
        <v>3571.5</v>
      </c>
      <c r="L4267" s="25">
        <f>IFERROR(__xludf.DUMMYFUNCTION("""COMPUTED_VALUE"""),3612.55)</f>
        <v>3612.55</v>
      </c>
      <c r="M4267" s="25">
        <f>IFERROR(__xludf.DUMMYFUNCTION("""COMPUTED_VALUE"""),1581465.0)</f>
        <v>1581465</v>
      </c>
    </row>
    <row r="4268">
      <c r="A4268" s="26">
        <f>IFERROR(__xludf.DUMMYFUNCTION("""COMPUTED_VALUE"""),44673.64583333333)</f>
        <v>44673.64583</v>
      </c>
      <c r="B4268" s="9">
        <f>IFERROR(__xludf.DUMMYFUNCTION("""COMPUTED_VALUE"""),1604.35)</f>
        <v>1604.35</v>
      </c>
      <c r="C4268" s="9">
        <f>IFERROR(__xludf.DUMMYFUNCTION("""COMPUTED_VALUE"""),1610.7)</f>
        <v>1610.7</v>
      </c>
      <c r="D4268" s="9">
        <f>IFERROR(__xludf.DUMMYFUNCTION("""COMPUTED_VALUE"""),1582.4)</f>
        <v>1582.4</v>
      </c>
      <c r="E4268" s="9">
        <f>IFERROR(__xludf.DUMMYFUNCTION("""COMPUTED_VALUE"""),1585.45)</f>
        <v>1585.45</v>
      </c>
      <c r="F4268" s="9">
        <f>IFERROR(__xludf.DUMMYFUNCTION("""COMPUTED_VALUE"""),8134245.0)</f>
        <v>8134245</v>
      </c>
      <c r="H4268" s="27">
        <f>IFERROR(__xludf.DUMMYFUNCTION("""COMPUTED_VALUE"""),44676.64583333333)</f>
        <v>44676.64583</v>
      </c>
      <c r="I4268" s="25">
        <f>IFERROR(__xludf.DUMMYFUNCTION("""COMPUTED_VALUE"""),3558.0)</f>
        <v>3558</v>
      </c>
      <c r="J4268" s="25">
        <f>IFERROR(__xludf.DUMMYFUNCTION("""COMPUTED_VALUE"""),3584.0)</f>
        <v>3584</v>
      </c>
      <c r="K4268" s="25">
        <f>IFERROR(__xludf.DUMMYFUNCTION("""COMPUTED_VALUE"""),3533.1)</f>
        <v>3533.1</v>
      </c>
      <c r="L4268" s="25">
        <f>IFERROR(__xludf.DUMMYFUNCTION("""COMPUTED_VALUE"""),3548.2)</f>
        <v>3548.2</v>
      </c>
      <c r="M4268" s="25">
        <f>IFERROR(__xludf.DUMMYFUNCTION("""COMPUTED_VALUE"""),1960694.0)</f>
        <v>1960694</v>
      </c>
    </row>
    <row r="4269">
      <c r="A4269" s="26">
        <f>IFERROR(__xludf.DUMMYFUNCTION("""COMPUTED_VALUE"""),44676.64583333333)</f>
        <v>44676.64583</v>
      </c>
      <c r="B4269" s="9">
        <f>IFERROR(__xludf.DUMMYFUNCTION("""COMPUTED_VALUE"""),1572.8)</f>
        <v>1572.8</v>
      </c>
      <c r="C4269" s="9">
        <f>IFERROR(__xludf.DUMMYFUNCTION("""COMPUTED_VALUE"""),1572.8)</f>
        <v>1572.8</v>
      </c>
      <c r="D4269" s="9">
        <f>IFERROR(__xludf.DUMMYFUNCTION("""COMPUTED_VALUE"""),1554.1)</f>
        <v>1554.1</v>
      </c>
      <c r="E4269" s="9">
        <f>IFERROR(__xludf.DUMMYFUNCTION("""COMPUTED_VALUE"""),1561.1)</f>
        <v>1561.1</v>
      </c>
      <c r="F4269" s="9">
        <f>IFERROR(__xludf.DUMMYFUNCTION("""COMPUTED_VALUE"""),7000570.0)</f>
        <v>7000570</v>
      </c>
      <c r="H4269" s="27">
        <f>IFERROR(__xludf.DUMMYFUNCTION("""COMPUTED_VALUE"""),44677.64583333333)</f>
        <v>44677.64583</v>
      </c>
      <c r="I4269" s="25">
        <f>IFERROR(__xludf.DUMMYFUNCTION("""COMPUTED_VALUE"""),3575.15)</f>
        <v>3575.15</v>
      </c>
      <c r="J4269" s="25">
        <f>IFERROR(__xludf.DUMMYFUNCTION("""COMPUTED_VALUE"""),3587.9)</f>
        <v>3587.9</v>
      </c>
      <c r="K4269" s="25">
        <f>IFERROR(__xludf.DUMMYFUNCTION("""COMPUTED_VALUE"""),3518.15)</f>
        <v>3518.15</v>
      </c>
      <c r="L4269" s="25">
        <f>IFERROR(__xludf.DUMMYFUNCTION("""COMPUTED_VALUE"""),3546.3)</f>
        <v>3546.3</v>
      </c>
      <c r="M4269" s="25">
        <f>IFERROR(__xludf.DUMMYFUNCTION("""COMPUTED_VALUE"""),1943469.0)</f>
        <v>1943469</v>
      </c>
    </row>
    <row r="4270">
      <c r="A4270" s="26">
        <f>IFERROR(__xludf.DUMMYFUNCTION("""COMPUTED_VALUE"""),44677.64583333333)</f>
        <v>44677.64583</v>
      </c>
      <c r="B4270" s="9">
        <f>IFERROR(__xludf.DUMMYFUNCTION("""COMPUTED_VALUE"""),1577.2)</f>
        <v>1577.2</v>
      </c>
      <c r="C4270" s="9">
        <f>IFERROR(__xludf.DUMMYFUNCTION("""COMPUTED_VALUE"""),1592.0)</f>
        <v>1592</v>
      </c>
      <c r="D4270" s="9">
        <f>IFERROR(__xludf.DUMMYFUNCTION("""COMPUTED_VALUE"""),1566.55)</f>
        <v>1566.55</v>
      </c>
      <c r="E4270" s="9">
        <f>IFERROR(__xludf.DUMMYFUNCTION("""COMPUTED_VALUE"""),1581.0)</f>
        <v>1581</v>
      </c>
      <c r="F4270" s="9">
        <f>IFERROR(__xludf.DUMMYFUNCTION("""COMPUTED_VALUE"""),5345435.0)</f>
        <v>5345435</v>
      </c>
      <c r="H4270" s="27">
        <f>IFERROR(__xludf.DUMMYFUNCTION("""COMPUTED_VALUE"""),44678.64583333333)</f>
        <v>44678.64583</v>
      </c>
      <c r="I4270" s="25">
        <f>IFERROR(__xludf.DUMMYFUNCTION("""COMPUTED_VALUE"""),3546.0)</f>
        <v>3546</v>
      </c>
      <c r="J4270" s="25">
        <f>IFERROR(__xludf.DUMMYFUNCTION("""COMPUTED_VALUE"""),3568.45)</f>
        <v>3568.45</v>
      </c>
      <c r="K4270" s="25">
        <f>IFERROR(__xludf.DUMMYFUNCTION("""COMPUTED_VALUE"""),3506.3)</f>
        <v>3506.3</v>
      </c>
      <c r="L4270" s="25">
        <f>IFERROR(__xludf.DUMMYFUNCTION("""COMPUTED_VALUE"""),3561.2)</f>
        <v>3561.2</v>
      </c>
      <c r="M4270" s="25">
        <f>IFERROR(__xludf.DUMMYFUNCTION("""COMPUTED_VALUE"""),1727648.0)</f>
        <v>1727648</v>
      </c>
    </row>
    <row r="4271">
      <c r="A4271" s="26">
        <f>IFERROR(__xludf.DUMMYFUNCTION("""COMPUTED_VALUE"""),44678.64583333333)</f>
        <v>44678.64583</v>
      </c>
      <c r="B4271" s="9">
        <f>IFERROR(__xludf.DUMMYFUNCTION("""COMPUTED_VALUE"""),1572.75)</f>
        <v>1572.75</v>
      </c>
      <c r="C4271" s="9">
        <f>IFERROR(__xludf.DUMMYFUNCTION("""COMPUTED_VALUE"""),1572.75)</f>
        <v>1572.75</v>
      </c>
      <c r="D4271" s="9">
        <f>IFERROR(__xludf.DUMMYFUNCTION("""COMPUTED_VALUE"""),1550.35)</f>
        <v>1550.35</v>
      </c>
      <c r="E4271" s="9">
        <f>IFERROR(__xludf.DUMMYFUNCTION("""COMPUTED_VALUE"""),1552.8)</f>
        <v>1552.8</v>
      </c>
      <c r="F4271" s="9">
        <f>IFERROR(__xludf.DUMMYFUNCTION("""COMPUTED_VALUE"""),8819356.0)</f>
        <v>8819356</v>
      </c>
      <c r="H4271" s="27">
        <f>IFERROR(__xludf.DUMMYFUNCTION("""COMPUTED_VALUE"""),44679.64583333333)</f>
        <v>44679.64583</v>
      </c>
      <c r="I4271" s="25">
        <f>IFERROR(__xludf.DUMMYFUNCTION("""COMPUTED_VALUE"""),3588.0)</f>
        <v>3588</v>
      </c>
      <c r="J4271" s="25">
        <f>IFERROR(__xludf.DUMMYFUNCTION("""COMPUTED_VALUE"""),3604.4)</f>
        <v>3604.4</v>
      </c>
      <c r="K4271" s="25">
        <f>IFERROR(__xludf.DUMMYFUNCTION("""COMPUTED_VALUE"""),3538.05)</f>
        <v>3538.05</v>
      </c>
      <c r="L4271" s="25">
        <f>IFERROR(__xludf.DUMMYFUNCTION("""COMPUTED_VALUE"""),3584.3)</f>
        <v>3584.3</v>
      </c>
      <c r="M4271" s="25">
        <f>IFERROR(__xludf.DUMMYFUNCTION("""COMPUTED_VALUE"""),1703660.0)</f>
        <v>1703660</v>
      </c>
    </row>
    <row r="4272">
      <c r="A4272" s="26">
        <f>IFERROR(__xludf.DUMMYFUNCTION("""COMPUTED_VALUE"""),44679.64583333333)</f>
        <v>44679.64583</v>
      </c>
      <c r="B4272" s="9">
        <f>IFERROR(__xludf.DUMMYFUNCTION("""COMPUTED_VALUE"""),1570.0)</f>
        <v>1570</v>
      </c>
      <c r="C4272" s="9">
        <f>IFERROR(__xludf.DUMMYFUNCTION("""COMPUTED_VALUE"""),1601.8)</f>
        <v>1601.8</v>
      </c>
      <c r="D4272" s="9">
        <f>IFERROR(__xludf.DUMMYFUNCTION("""COMPUTED_VALUE"""),1557.45)</f>
        <v>1557.45</v>
      </c>
      <c r="E4272" s="9">
        <f>IFERROR(__xludf.DUMMYFUNCTION("""COMPUTED_VALUE"""),1582.6)</f>
        <v>1582.6</v>
      </c>
      <c r="F4272" s="9">
        <f>IFERROR(__xludf.DUMMYFUNCTION("""COMPUTED_VALUE"""),9245177.0)</f>
        <v>9245177</v>
      </c>
      <c r="H4272" s="27">
        <f>IFERROR(__xludf.DUMMYFUNCTION("""COMPUTED_VALUE"""),44680.64583333333)</f>
        <v>44680.64583</v>
      </c>
      <c r="I4272" s="25">
        <f>IFERROR(__xludf.DUMMYFUNCTION("""COMPUTED_VALUE"""),3597.0)</f>
        <v>3597</v>
      </c>
      <c r="J4272" s="25">
        <f>IFERROR(__xludf.DUMMYFUNCTION("""COMPUTED_VALUE"""),3623.25)</f>
        <v>3623.25</v>
      </c>
      <c r="K4272" s="25">
        <f>IFERROR(__xludf.DUMMYFUNCTION("""COMPUTED_VALUE"""),3536.85)</f>
        <v>3536.85</v>
      </c>
      <c r="L4272" s="25">
        <f>IFERROR(__xludf.DUMMYFUNCTION("""COMPUTED_VALUE"""),3546.7)</f>
        <v>3546.7</v>
      </c>
      <c r="M4272" s="25">
        <f>IFERROR(__xludf.DUMMYFUNCTION("""COMPUTED_VALUE"""),2051115.0)</f>
        <v>2051115</v>
      </c>
    </row>
    <row r="4273">
      <c r="A4273" s="26">
        <f>IFERROR(__xludf.DUMMYFUNCTION("""COMPUTED_VALUE"""),44680.64583333333)</f>
        <v>44680.64583</v>
      </c>
      <c r="B4273" s="9">
        <f>IFERROR(__xludf.DUMMYFUNCTION("""COMPUTED_VALUE"""),1590.0)</f>
        <v>1590</v>
      </c>
      <c r="C4273" s="9">
        <f>IFERROR(__xludf.DUMMYFUNCTION("""COMPUTED_VALUE"""),1597.3)</f>
        <v>1597.3</v>
      </c>
      <c r="D4273" s="9">
        <f>IFERROR(__xludf.DUMMYFUNCTION("""COMPUTED_VALUE"""),1560.8)</f>
        <v>1560.8</v>
      </c>
      <c r="E4273" s="9">
        <f>IFERROR(__xludf.DUMMYFUNCTION("""COMPUTED_VALUE"""),1567.55)</f>
        <v>1567.55</v>
      </c>
      <c r="F4273" s="9">
        <f>IFERROR(__xludf.DUMMYFUNCTION("""COMPUTED_VALUE"""),9831395.0)</f>
        <v>9831395</v>
      </c>
      <c r="H4273" s="27">
        <f>IFERROR(__xludf.DUMMYFUNCTION("""COMPUTED_VALUE"""),44683.64583333333)</f>
        <v>44683.64583</v>
      </c>
      <c r="I4273" s="25">
        <f>IFERROR(__xludf.DUMMYFUNCTION("""COMPUTED_VALUE"""),3519.9)</f>
        <v>3519.9</v>
      </c>
      <c r="J4273" s="25">
        <f>IFERROR(__xludf.DUMMYFUNCTION("""COMPUTED_VALUE"""),3547.95)</f>
        <v>3547.95</v>
      </c>
      <c r="K4273" s="25">
        <f>IFERROR(__xludf.DUMMYFUNCTION("""COMPUTED_VALUE"""),3492.75)</f>
        <v>3492.75</v>
      </c>
      <c r="L4273" s="25">
        <f>IFERROR(__xludf.DUMMYFUNCTION("""COMPUTED_VALUE"""),3542.4)</f>
        <v>3542.4</v>
      </c>
      <c r="M4273" s="25">
        <f>IFERROR(__xludf.DUMMYFUNCTION("""COMPUTED_VALUE"""),1324161.0)</f>
        <v>1324161</v>
      </c>
    </row>
    <row r="4274">
      <c r="A4274" s="26">
        <f>IFERROR(__xludf.DUMMYFUNCTION("""COMPUTED_VALUE"""),44683.64583333333)</f>
        <v>44683.64583</v>
      </c>
      <c r="B4274" s="9">
        <f>IFERROR(__xludf.DUMMYFUNCTION("""COMPUTED_VALUE"""),1550.9)</f>
        <v>1550.9</v>
      </c>
      <c r="C4274" s="9">
        <f>IFERROR(__xludf.DUMMYFUNCTION("""COMPUTED_VALUE"""),1552.75)</f>
        <v>1552.75</v>
      </c>
      <c r="D4274" s="9">
        <f>IFERROR(__xludf.DUMMYFUNCTION("""COMPUTED_VALUE"""),1531.0)</f>
        <v>1531</v>
      </c>
      <c r="E4274" s="9">
        <f>IFERROR(__xludf.DUMMYFUNCTION("""COMPUTED_VALUE"""),1541.0)</f>
        <v>1541</v>
      </c>
      <c r="F4274" s="9">
        <f>IFERROR(__xludf.DUMMYFUNCTION("""COMPUTED_VALUE"""),7072627.0)</f>
        <v>7072627</v>
      </c>
      <c r="H4274" s="27">
        <f>IFERROR(__xludf.DUMMYFUNCTION("""COMPUTED_VALUE"""),44685.64583333333)</f>
        <v>44685.64583</v>
      </c>
      <c r="I4274" s="25">
        <f>IFERROR(__xludf.DUMMYFUNCTION("""COMPUTED_VALUE"""),3538.5)</f>
        <v>3538.5</v>
      </c>
      <c r="J4274" s="25">
        <f>IFERROR(__xludf.DUMMYFUNCTION("""COMPUTED_VALUE"""),3545.45)</f>
        <v>3545.45</v>
      </c>
      <c r="K4274" s="25">
        <f>IFERROR(__xludf.DUMMYFUNCTION("""COMPUTED_VALUE"""),3465.3)</f>
        <v>3465.3</v>
      </c>
      <c r="L4274" s="25">
        <f>IFERROR(__xludf.DUMMYFUNCTION("""COMPUTED_VALUE"""),3479.75)</f>
        <v>3479.75</v>
      </c>
      <c r="M4274" s="25">
        <f>IFERROR(__xludf.DUMMYFUNCTION("""COMPUTED_VALUE"""),2305825.0)</f>
        <v>2305825</v>
      </c>
    </row>
    <row r="4275">
      <c r="A4275" s="26">
        <f>IFERROR(__xludf.DUMMYFUNCTION("""COMPUTED_VALUE"""),44685.64583333333)</f>
        <v>44685.64583</v>
      </c>
      <c r="B4275" s="9">
        <f>IFERROR(__xludf.DUMMYFUNCTION("""COMPUTED_VALUE"""),1547.25)</f>
        <v>1547.25</v>
      </c>
      <c r="C4275" s="9">
        <f>IFERROR(__xludf.DUMMYFUNCTION("""COMPUTED_VALUE"""),1570.0)</f>
        <v>1570</v>
      </c>
      <c r="D4275" s="9">
        <f>IFERROR(__xludf.DUMMYFUNCTION("""COMPUTED_VALUE"""),1530.15)</f>
        <v>1530.15</v>
      </c>
      <c r="E4275" s="9">
        <f>IFERROR(__xludf.DUMMYFUNCTION("""COMPUTED_VALUE"""),1535.55)</f>
        <v>1535.55</v>
      </c>
      <c r="F4275" s="9">
        <f>IFERROR(__xludf.DUMMYFUNCTION("""COMPUTED_VALUE"""),6220959.0)</f>
        <v>6220959</v>
      </c>
      <c r="H4275" s="27">
        <f>IFERROR(__xludf.DUMMYFUNCTION("""COMPUTED_VALUE"""),44686.64583333333)</f>
        <v>44686.64583</v>
      </c>
      <c r="I4275" s="25">
        <f>IFERROR(__xludf.DUMMYFUNCTION("""COMPUTED_VALUE"""),3512.1)</f>
        <v>3512.1</v>
      </c>
      <c r="J4275" s="25">
        <f>IFERROR(__xludf.DUMMYFUNCTION("""COMPUTED_VALUE"""),3533.0)</f>
        <v>3533</v>
      </c>
      <c r="K4275" s="25">
        <f>IFERROR(__xludf.DUMMYFUNCTION("""COMPUTED_VALUE"""),3485.35)</f>
        <v>3485.35</v>
      </c>
      <c r="L4275" s="25">
        <f>IFERROR(__xludf.DUMMYFUNCTION("""COMPUTED_VALUE"""),3513.4)</f>
        <v>3513.4</v>
      </c>
      <c r="M4275" s="25">
        <f>IFERROR(__xludf.DUMMYFUNCTION("""COMPUTED_VALUE"""),1612262.0)</f>
        <v>1612262</v>
      </c>
    </row>
    <row r="4276">
      <c r="A4276" s="26">
        <f>IFERROR(__xludf.DUMMYFUNCTION("""COMPUTED_VALUE"""),44686.64583333333)</f>
        <v>44686.64583</v>
      </c>
      <c r="B4276" s="9">
        <f>IFERROR(__xludf.DUMMYFUNCTION("""COMPUTED_VALUE"""),1560.05)</f>
        <v>1560.05</v>
      </c>
      <c r="C4276" s="9">
        <f>IFERROR(__xludf.DUMMYFUNCTION("""COMPUTED_VALUE"""),1589.4)</f>
        <v>1589.4</v>
      </c>
      <c r="D4276" s="9">
        <f>IFERROR(__xludf.DUMMYFUNCTION("""COMPUTED_VALUE"""),1557.45)</f>
        <v>1557.45</v>
      </c>
      <c r="E4276" s="9">
        <f>IFERROR(__xludf.DUMMYFUNCTION("""COMPUTED_VALUE"""),1585.15)</f>
        <v>1585.15</v>
      </c>
      <c r="F4276" s="9">
        <f>IFERROR(__xludf.DUMMYFUNCTION("""COMPUTED_VALUE"""),6144870.0)</f>
        <v>6144870</v>
      </c>
      <c r="H4276" s="27">
        <f>IFERROR(__xludf.DUMMYFUNCTION("""COMPUTED_VALUE"""),44687.64583333333)</f>
        <v>44687.64583</v>
      </c>
      <c r="I4276" s="25">
        <f>IFERROR(__xludf.DUMMYFUNCTION("""COMPUTED_VALUE"""),3459.0)</f>
        <v>3459</v>
      </c>
      <c r="J4276" s="25">
        <f>IFERROR(__xludf.DUMMYFUNCTION("""COMPUTED_VALUE"""),3474.5)</f>
        <v>3474.5</v>
      </c>
      <c r="K4276" s="25">
        <f>IFERROR(__xludf.DUMMYFUNCTION("""COMPUTED_VALUE"""),3424.5)</f>
        <v>3424.5</v>
      </c>
      <c r="L4276" s="25">
        <f>IFERROR(__xludf.DUMMYFUNCTION("""COMPUTED_VALUE"""),3432.6)</f>
        <v>3432.6</v>
      </c>
      <c r="M4276" s="25">
        <f>IFERROR(__xludf.DUMMYFUNCTION("""COMPUTED_VALUE"""),2010812.0)</f>
        <v>2010812</v>
      </c>
    </row>
    <row r="4277">
      <c r="A4277" s="26">
        <f>IFERROR(__xludf.DUMMYFUNCTION("""COMPUTED_VALUE"""),44687.64583333333)</f>
        <v>44687.64583</v>
      </c>
      <c r="B4277" s="9">
        <f>IFERROR(__xludf.DUMMYFUNCTION("""COMPUTED_VALUE"""),1550.0)</f>
        <v>1550</v>
      </c>
      <c r="C4277" s="9">
        <f>IFERROR(__xludf.DUMMYFUNCTION("""COMPUTED_VALUE"""),1561.85)</f>
        <v>1561.85</v>
      </c>
      <c r="D4277" s="9">
        <f>IFERROR(__xludf.DUMMYFUNCTION("""COMPUTED_VALUE"""),1535.05)</f>
        <v>1535.05</v>
      </c>
      <c r="E4277" s="9">
        <f>IFERROR(__xludf.DUMMYFUNCTION("""COMPUTED_VALUE"""),1542.85)</f>
        <v>1542.85</v>
      </c>
      <c r="F4277" s="9">
        <f>IFERROR(__xludf.DUMMYFUNCTION("""COMPUTED_VALUE"""),6171472.0)</f>
        <v>6171472</v>
      </c>
      <c r="H4277" s="27">
        <f>IFERROR(__xludf.DUMMYFUNCTION("""COMPUTED_VALUE"""),44690.64583333333)</f>
        <v>44690.64583</v>
      </c>
      <c r="I4277" s="25">
        <f>IFERROR(__xludf.DUMMYFUNCTION("""COMPUTED_VALUE"""),3398.0)</f>
        <v>3398</v>
      </c>
      <c r="J4277" s="25">
        <f>IFERROR(__xludf.DUMMYFUNCTION("""COMPUTED_VALUE"""),3456.0)</f>
        <v>3456</v>
      </c>
      <c r="K4277" s="25">
        <f>IFERROR(__xludf.DUMMYFUNCTION("""COMPUTED_VALUE"""),3346.85)</f>
        <v>3346.85</v>
      </c>
      <c r="L4277" s="25">
        <f>IFERROR(__xludf.DUMMYFUNCTION("""COMPUTED_VALUE"""),3445.1)</f>
        <v>3445.1</v>
      </c>
      <c r="M4277" s="25">
        <f>IFERROR(__xludf.DUMMYFUNCTION("""COMPUTED_VALUE"""),2481830.0)</f>
        <v>2481830</v>
      </c>
    </row>
    <row r="4278">
      <c r="A4278" s="26">
        <f>IFERROR(__xludf.DUMMYFUNCTION("""COMPUTED_VALUE"""),44690.64583333333)</f>
        <v>44690.64583</v>
      </c>
      <c r="B4278" s="9">
        <f>IFERROR(__xludf.DUMMYFUNCTION("""COMPUTED_VALUE"""),1540.0)</f>
        <v>1540</v>
      </c>
      <c r="C4278" s="9">
        <f>IFERROR(__xludf.DUMMYFUNCTION("""COMPUTED_VALUE"""),1586.8)</f>
        <v>1586.8</v>
      </c>
      <c r="D4278" s="9">
        <f>IFERROR(__xludf.DUMMYFUNCTION("""COMPUTED_VALUE"""),1522.15)</f>
        <v>1522.15</v>
      </c>
      <c r="E4278" s="9">
        <f>IFERROR(__xludf.DUMMYFUNCTION("""COMPUTED_VALUE"""),1570.35)</f>
        <v>1570.35</v>
      </c>
      <c r="F4278" s="9">
        <f>IFERROR(__xludf.DUMMYFUNCTION("""COMPUTED_VALUE"""),6832202.0)</f>
        <v>6832202</v>
      </c>
      <c r="H4278" s="27">
        <f>IFERROR(__xludf.DUMMYFUNCTION("""COMPUTED_VALUE"""),44691.64583333333)</f>
        <v>44691.64583</v>
      </c>
      <c r="I4278" s="25">
        <f>IFERROR(__xludf.DUMMYFUNCTION("""COMPUTED_VALUE"""),3434.0)</f>
        <v>3434</v>
      </c>
      <c r="J4278" s="25">
        <f>IFERROR(__xludf.DUMMYFUNCTION("""COMPUTED_VALUE"""),3464.8)</f>
        <v>3464.8</v>
      </c>
      <c r="K4278" s="25">
        <f>IFERROR(__xludf.DUMMYFUNCTION("""COMPUTED_VALUE"""),3422.0)</f>
        <v>3422</v>
      </c>
      <c r="L4278" s="25">
        <f>IFERROR(__xludf.DUMMYFUNCTION("""COMPUTED_VALUE"""),3438.75)</f>
        <v>3438.75</v>
      </c>
      <c r="M4278" s="25">
        <f>IFERROR(__xludf.DUMMYFUNCTION("""COMPUTED_VALUE"""),1622685.0)</f>
        <v>1622685</v>
      </c>
    </row>
    <row r="4279">
      <c r="A4279" s="26">
        <f>IFERROR(__xludf.DUMMYFUNCTION("""COMPUTED_VALUE"""),44691.64583333333)</f>
        <v>44691.64583</v>
      </c>
      <c r="B4279" s="9">
        <f>IFERROR(__xludf.DUMMYFUNCTION("""COMPUTED_VALUE"""),1558.0)</f>
        <v>1558</v>
      </c>
      <c r="C4279" s="9">
        <f>IFERROR(__xludf.DUMMYFUNCTION("""COMPUTED_VALUE"""),1569.15)</f>
        <v>1569.15</v>
      </c>
      <c r="D4279" s="9">
        <f>IFERROR(__xludf.DUMMYFUNCTION("""COMPUTED_VALUE"""),1546.05)</f>
        <v>1546.05</v>
      </c>
      <c r="E4279" s="9">
        <f>IFERROR(__xludf.DUMMYFUNCTION("""COMPUTED_VALUE"""),1553.0)</f>
        <v>1553</v>
      </c>
      <c r="F4279" s="9">
        <f>IFERROR(__xludf.DUMMYFUNCTION("""COMPUTED_VALUE"""),6212545.0)</f>
        <v>6212545</v>
      </c>
      <c r="H4279" s="27">
        <f>IFERROR(__xludf.DUMMYFUNCTION("""COMPUTED_VALUE"""),44692.64583333333)</f>
        <v>44692.64583</v>
      </c>
      <c r="I4279" s="25">
        <f>IFERROR(__xludf.DUMMYFUNCTION("""COMPUTED_VALUE"""),3435.0)</f>
        <v>3435</v>
      </c>
      <c r="J4279" s="25">
        <f>IFERROR(__xludf.DUMMYFUNCTION("""COMPUTED_VALUE"""),3448.45)</f>
        <v>3448.45</v>
      </c>
      <c r="K4279" s="25">
        <f>IFERROR(__xludf.DUMMYFUNCTION("""COMPUTED_VALUE"""),3382.15)</f>
        <v>3382.15</v>
      </c>
      <c r="L4279" s="25">
        <f>IFERROR(__xludf.DUMMYFUNCTION("""COMPUTED_VALUE"""),3412.0)</f>
        <v>3412</v>
      </c>
      <c r="M4279" s="25">
        <f>IFERROR(__xludf.DUMMYFUNCTION("""COMPUTED_VALUE"""),1841769.0)</f>
        <v>1841769</v>
      </c>
    </row>
    <row r="4280">
      <c r="A4280" s="26">
        <f>IFERROR(__xludf.DUMMYFUNCTION("""COMPUTED_VALUE"""),44692.64583333333)</f>
        <v>44692.64583</v>
      </c>
      <c r="B4280" s="9">
        <f>IFERROR(__xludf.DUMMYFUNCTION("""COMPUTED_VALUE"""),1549.95)</f>
        <v>1549.95</v>
      </c>
      <c r="C4280" s="9">
        <f>IFERROR(__xludf.DUMMYFUNCTION("""COMPUTED_VALUE"""),1549.95)</f>
        <v>1549.95</v>
      </c>
      <c r="D4280" s="9">
        <f>IFERROR(__xludf.DUMMYFUNCTION("""COMPUTED_VALUE"""),1511.6)</f>
        <v>1511.6</v>
      </c>
      <c r="E4280" s="9">
        <f>IFERROR(__xludf.DUMMYFUNCTION("""COMPUTED_VALUE"""),1526.75)</f>
        <v>1526.75</v>
      </c>
      <c r="F4280" s="9">
        <f>IFERROR(__xludf.DUMMYFUNCTION("""COMPUTED_VALUE"""),7846080.0)</f>
        <v>7846080</v>
      </c>
      <c r="H4280" s="27">
        <f>IFERROR(__xludf.DUMMYFUNCTION("""COMPUTED_VALUE"""),44693.64583333333)</f>
        <v>44693.64583</v>
      </c>
      <c r="I4280" s="25">
        <f>IFERROR(__xludf.DUMMYFUNCTION("""COMPUTED_VALUE"""),3378.0)</f>
        <v>3378</v>
      </c>
      <c r="J4280" s="25">
        <f>IFERROR(__xludf.DUMMYFUNCTION("""COMPUTED_VALUE"""),3449.7)</f>
        <v>3449.7</v>
      </c>
      <c r="K4280" s="25">
        <f>IFERROR(__xludf.DUMMYFUNCTION("""COMPUTED_VALUE"""),3350.1)</f>
        <v>3350.1</v>
      </c>
      <c r="L4280" s="25">
        <f>IFERROR(__xludf.DUMMYFUNCTION("""COMPUTED_VALUE"""),3408.65)</f>
        <v>3408.65</v>
      </c>
      <c r="M4280" s="25">
        <f>IFERROR(__xludf.DUMMYFUNCTION("""COMPUTED_VALUE"""),2807195.0)</f>
        <v>2807195</v>
      </c>
    </row>
    <row r="4281">
      <c r="A4281" s="26">
        <f>IFERROR(__xludf.DUMMYFUNCTION("""COMPUTED_VALUE"""),44693.64583333333)</f>
        <v>44693.64583</v>
      </c>
      <c r="B4281" s="9">
        <f>IFERROR(__xludf.DUMMYFUNCTION("""COMPUTED_VALUE"""),1514.0)</f>
        <v>1514</v>
      </c>
      <c r="C4281" s="9">
        <f>IFERROR(__xludf.DUMMYFUNCTION("""COMPUTED_VALUE"""),1527.5)</f>
        <v>1527.5</v>
      </c>
      <c r="D4281" s="9">
        <f>IFERROR(__xludf.DUMMYFUNCTION("""COMPUTED_VALUE"""),1504.3)</f>
        <v>1504.3</v>
      </c>
      <c r="E4281" s="9">
        <f>IFERROR(__xludf.DUMMYFUNCTION("""COMPUTED_VALUE"""),1508.8)</f>
        <v>1508.8</v>
      </c>
      <c r="F4281" s="9">
        <f>IFERROR(__xludf.DUMMYFUNCTION("""COMPUTED_VALUE"""),7034979.0)</f>
        <v>7034979</v>
      </c>
      <c r="H4281" s="27">
        <f>IFERROR(__xludf.DUMMYFUNCTION("""COMPUTED_VALUE"""),44694.64583333333)</f>
        <v>44694.64583</v>
      </c>
      <c r="I4281" s="25">
        <f>IFERROR(__xludf.DUMMYFUNCTION("""COMPUTED_VALUE"""),3435.0)</f>
        <v>3435</v>
      </c>
      <c r="J4281" s="25">
        <f>IFERROR(__xludf.DUMMYFUNCTION("""COMPUTED_VALUE"""),3439.9)</f>
        <v>3439.9</v>
      </c>
      <c r="K4281" s="25">
        <f>IFERROR(__xludf.DUMMYFUNCTION("""COMPUTED_VALUE"""),3382.15)</f>
        <v>3382.15</v>
      </c>
      <c r="L4281" s="25">
        <f>IFERROR(__xludf.DUMMYFUNCTION("""COMPUTED_VALUE"""),3414.9)</f>
        <v>3414.9</v>
      </c>
      <c r="M4281" s="25">
        <f>IFERROR(__xludf.DUMMYFUNCTION("""COMPUTED_VALUE"""),2187823.0)</f>
        <v>2187823</v>
      </c>
    </row>
    <row r="4282">
      <c r="A4282" s="26">
        <f>IFERROR(__xludf.DUMMYFUNCTION("""COMPUTED_VALUE"""),44694.64583333333)</f>
        <v>44694.64583</v>
      </c>
      <c r="B4282" s="9">
        <f>IFERROR(__xludf.DUMMYFUNCTION("""COMPUTED_VALUE"""),1519.3)</f>
        <v>1519.3</v>
      </c>
      <c r="C4282" s="9">
        <f>IFERROR(__xludf.DUMMYFUNCTION("""COMPUTED_VALUE"""),1529.25)</f>
        <v>1529.25</v>
      </c>
      <c r="D4282" s="9">
        <f>IFERROR(__xludf.DUMMYFUNCTION("""COMPUTED_VALUE"""),1498.1)</f>
        <v>1498.1</v>
      </c>
      <c r="E4282" s="9">
        <f>IFERROR(__xludf.DUMMYFUNCTION("""COMPUTED_VALUE"""),1504.4)</f>
        <v>1504.4</v>
      </c>
      <c r="F4282" s="9">
        <f>IFERROR(__xludf.DUMMYFUNCTION("""COMPUTED_VALUE"""),6723761.0)</f>
        <v>6723761</v>
      </c>
      <c r="H4282" s="27">
        <f>IFERROR(__xludf.DUMMYFUNCTION("""COMPUTED_VALUE"""),44697.64583333333)</f>
        <v>44697.64583</v>
      </c>
      <c r="I4282" s="25">
        <f>IFERROR(__xludf.DUMMYFUNCTION("""COMPUTED_VALUE"""),3415.0)</f>
        <v>3415</v>
      </c>
      <c r="J4282" s="25">
        <f>IFERROR(__xludf.DUMMYFUNCTION("""COMPUTED_VALUE"""),3430.0)</f>
        <v>3430</v>
      </c>
      <c r="K4282" s="25">
        <f>IFERROR(__xludf.DUMMYFUNCTION("""COMPUTED_VALUE"""),3366.6)</f>
        <v>3366.6</v>
      </c>
      <c r="L4282" s="25">
        <f>IFERROR(__xludf.DUMMYFUNCTION("""COMPUTED_VALUE"""),3376.8)</f>
        <v>3376.8</v>
      </c>
      <c r="M4282" s="25">
        <f>IFERROR(__xludf.DUMMYFUNCTION("""COMPUTED_VALUE"""),1195813.0)</f>
        <v>1195813</v>
      </c>
    </row>
    <row r="4283">
      <c r="A4283" s="26">
        <f>IFERROR(__xludf.DUMMYFUNCTION("""COMPUTED_VALUE"""),44697.64583333333)</f>
        <v>44697.64583</v>
      </c>
      <c r="B4283" s="9">
        <f>IFERROR(__xludf.DUMMYFUNCTION("""COMPUTED_VALUE"""),1510.0)</f>
        <v>1510</v>
      </c>
      <c r="C4283" s="9">
        <f>IFERROR(__xludf.DUMMYFUNCTION("""COMPUTED_VALUE"""),1511.85)</f>
        <v>1511.85</v>
      </c>
      <c r="D4283" s="9">
        <f>IFERROR(__xludf.DUMMYFUNCTION("""COMPUTED_VALUE"""),1478.65)</f>
        <v>1478.65</v>
      </c>
      <c r="E4283" s="9">
        <f>IFERROR(__xludf.DUMMYFUNCTION("""COMPUTED_VALUE"""),1489.1)</f>
        <v>1489.1</v>
      </c>
      <c r="F4283" s="9">
        <f>IFERROR(__xludf.DUMMYFUNCTION("""COMPUTED_VALUE"""),6145331.0)</f>
        <v>6145331</v>
      </c>
      <c r="H4283" s="27">
        <f>IFERROR(__xludf.DUMMYFUNCTION("""COMPUTED_VALUE"""),44698.64583333333)</f>
        <v>44698.64583</v>
      </c>
      <c r="I4283" s="25">
        <f>IFERROR(__xludf.DUMMYFUNCTION("""COMPUTED_VALUE"""),3370.0)</f>
        <v>3370</v>
      </c>
      <c r="J4283" s="25">
        <f>IFERROR(__xludf.DUMMYFUNCTION("""COMPUTED_VALUE"""),3467.0)</f>
        <v>3467</v>
      </c>
      <c r="K4283" s="25">
        <f>IFERROR(__xludf.DUMMYFUNCTION("""COMPUTED_VALUE"""),3350.4)</f>
        <v>3350.4</v>
      </c>
      <c r="L4283" s="25">
        <f>IFERROR(__xludf.DUMMYFUNCTION("""COMPUTED_VALUE"""),3451.6)</f>
        <v>3451.6</v>
      </c>
      <c r="M4283" s="25">
        <f>IFERROR(__xludf.DUMMYFUNCTION("""COMPUTED_VALUE"""),1754076.0)</f>
        <v>1754076</v>
      </c>
    </row>
    <row r="4284">
      <c r="A4284" s="26">
        <f>IFERROR(__xludf.DUMMYFUNCTION("""COMPUTED_VALUE"""),44698.64583333333)</f>
        <v>44698.64583</v>
      </c>
      <c r="B4284" s="9">
        <f>IFERROR(__xludf.DUMMYFUNCTION("""COMPUTED_VALUE"""),1494.9)</f>
        <v>1494.9</v>
      </c>
      <c r="C4284" s="9">
        <f>IFERROR(__xludf.DUMMYFUNCTION("""COMPUTED_VALUE"""),1525.0)</f>
        <v>1525</v>
      </c>
      <c r="D4284" s="9">
        <f>IFERROR(__xludf.DUMMYFUNCTION("""COMPUTED_VALUE"""),1480.9)</f>
        <v>1480.9</v>
      </c>
      <c r="E4284" s="9">
        <f>IFERROR(__xludf.DUMMYFUNCTION("""COMPUTED_VALUE"""),1518.45)</f>
        <v>1518.45</v>
      </c>
      <c r="F4284" s="9">
        <f>IFERROR(__xludf.DUMMYFUNCTION("""COMPUTED_VALUE"""),6516378.0)</f>
        <v>6516378</v>
      </c>
      <c r="H4284" s="27">
        <f>IFERROR(__xludf.DUMMYFUNCTION("""COMPUTED_VALUE"""),44699.64583333333)</f>
        <v>44699.64583</v>
      </c>
      <c r="I4284" s="25">
        <f>IFERROR(__xludf.DUMMYFUNCTION("""COMPUTED_VALUE"""),3465.0)</f>
        <v>3465</v>
      </c>
      <c r="J4284" s="25">
        <f>IFERROR(__xludf.DUMMYFUNCTION("""COMPUTED_VALUE"""),3495.0)</f>
        <v>3495</v>
      </c>
      <c r="K4284" s="25">
        <f>IFERROR(__xludf.DUMMYFUNCTION("""COMPUTED_VALUE"""),3443.05)</f>
        <v>3443.05</v>
      </c>
      <c r="L4284" s="25">
        <f>IFERROR(__xludf.DUMMYFUNCTION("""COMPUTED_VALUE"""),3448.8)</f>
        <v>3448.8</v>
      </c>
      <c r="M4284" s="25">
        <f>IFERROR(__xludf.DUMMYFUNCTION("""COMPUTED_VALUE"""),1866781.0)</f>
        <v>1866781</v>
      </c>
    </row>
    <row r="4285">
      <c r="A4285" s="26">
        <f>IFERROR(__xludf.DUMMYFUNCTION("""COMPUTED_VALUE"""),44699.64583333333)</f>
        <v>44699.64583</v>
      </c>
      <c r="B4285" s="9">
        <f>IFERROR(__xludf.DUMMYFUNCTION("""COMPUTED_VALUE"""),1522.0)</f>
        <v>1522</v>
      </c>
      <c r="C4285" s="9">
        <f>IFERROR(__xludf.DUMMYFUNCTION("""COMPUTED_VALUE"""),1549.7)</f>
        <v>1549.7</v>
      </c>
      <c r="D4285" s="9">
        <f>IFERROR(__xludf.DUMMYFUNCTION("""COMPUTED_VALUE"""),1505.3)</f>
        <v>1505.3</v>
      </c>
      <c r="E4285" s="9">
        <f>IFERROR(__xludf.DUMMYFUNCTION("""COMPUTED_VALUE"""),1509.2)</f>
        <v>1509.2</v>
      </c>
      <c r="F4285" s="9">
        <f>IFERROR(__xludf.DUMMYFUNCTION("""COMPUTED_VALUE"""),6594126.0)</f>
        <v>6594126</v>
      </c>
      <c r="H4285" s="27">
        <f>IFERROR(__xludf.DUMMYFUNCTION("""COMPUTED_VALUE"""),44700.64583333333)</f>
        <v>44700.64583</v>
      </c>
      <c r="I4285" s="25">
        <f>IFERROR(__xludf.DUMMYFUNCTION("""COMPUTED_VALUE"""),3397.0)</f>
        <v>3397</v>
      </c>
      <c r="J4285" s="25">
        <f>IFERROR(__xludf.DUMMYFUNCTION("""COMPUTED_VALUE"""),3405.0)</f>
        <v>3405</v>
      </c>
      <c r="K4285" s="25">
        <f>IFERROR(__xludf.DUMMYFUNCTION("""COMPUTED_VALUE"""),3230.0)</f>
        <v>3230</v>
      </c>
      <c r="L4285" s="25">
        <f>IFERROR(__xludf.DUMMYFUNCTION("""COMPUTED_VALUE"""),3261.95)</f>
        <v>3261.95</v>
      </c>
      <c r="M4285" s="25">
        <f>IFERROR(__xludf.DUMMYFUNCTION("""COMPUTED_VALUE"""),4642963.0)</f>
        <v>4642963</v>
      </c>
    </row>
    <row r="4286">
      <c r="A4286" s="26">
        <f>IFERROR(__xludf.DUMMYFUNCTION("""COMPUTED_VALUE"""),44700.64583333333)</f>
        <v>44700.64583</v>
      </c>
      <c r="B4286" s="9">
        <f>IFERROR(__xludf.DUMMYFUNCTION("""COMPUTED_VALUE"""),1481.0)</f>
        <v>1481</v>
      </c>
      <c r="C4286" s="9">
        <f>IFERROR(__xludf.DUMMYFUNCTION("""COMPUTED_VALUE"""),1484.7)</f>
        <v>1484.7</v>
      </c>
      <c r="D4286" s="9">
        <f>IFERROR(__xludf.DUMMYFUNCTION("""COMPUTED_VALUE"""),1417.65)</f>
        <v>1417.65</v>
      </c>
      <c r="E4286" s="9">
        <f>IFERROR(__xludf.DUMMYFUNCTION("""COMPUTED_VALUE"""),1427.15)</f>
        <v>1427.15</v>
      </c>
      <c r="F4286" s="9">
        <f>IFERROR(__xludf.DUMMYFUNCTION("""COMPUTED_VALUE"""),1.656114E7)</f>
        <v>16561140</v>
      </c>
      <c r="H4286" s="27">
        <f>IFERROR(__xludf.DUMMYFUNCTION("""COMPUTED_VALUE"""),44701.64583333333)</f>
        <v>44701.64583</v>
      </c>
      <c r="I4286" s="25">
        <f>IFERROR(__xludf.DUMMYFUNCTION("""COMPUTED_VALUE"""),3310.0)</f>
        <v>3310</v>
      </c>
      <c r="J4286" s="25">
        <f>IFERROR(__xludf.DUMMYFUNCTION("""COMPUTED_VALUE"""),3313.9)</f>
        <v>3313.9</v>
      </c>
      <c r="K4286" s="25">
        <f>IFERROR(__xludf.DUMMYFUNCTION("""COMPUTED_VALUE"""),3270.05)</f>
        <v>3270.05</v>
      </c>
      <c r="L4286" s="25">
        <f>IFERROR(__xludf.DUMMYFUNCTION("""COMPUTED_VALUE"""),3293.0)</f>
        <v>3293</v>
      </c>
      <c r="M4286" s="25">
        <f>IFERROR(__xludf.DUMMYFUNCTION("""COMPUTED_VALUE"""),3065125.0)</f>
        <v>3065125</v>
      </c>
    </row>
    <row r="4287">
      <c r="A4287" s="26">
        <f>IFERROR(__xludf.DUMMYFUNCTION("""COMPUTED_VALUE"""),44701.64583333333)</f>
        <v>44701.64583</v>
      </c>
      <c r="B4287" s="9">
        <f>IFERROR(__xludf.DUMMYFUNCTION("""COMPUTED_VALUE"""),1453.0)</f>
        <v>1453</v>
      </c>
      <c r="C4287" s="9">
        <f>IFERROR(__xludf.DUMMYFUNCTION("""COMPUTED_VALUE"""),1466.75)</f>
        <v>1466.75</v>
      </c>
      <c r="D4287" s="9">
        <f>IFERROR(__xludf.DUMMYFUNCTION("""COMPUTED_VALUE"""),1446.7)</f>
        <v>1446.7</v>
      </c>
      <c r="E4287" s="9">
        <f>IFERROR(__xludf.DUMMYFUNCTION("""COMPUTED_VALUE"""),1455.15)</f>
        <v>1455.15</v>
      </c>
      <c r="F4287" s="9">
        <f>IFERROR(__xludf.DUMMYFUNCTION("""COMPUTED_VALUE"""),1.0488908E7)</f>
        <v>10488908</v>
      </c>
      <c r="H4287" s="27">
        <f>IFERROR(__xludf.DUMMYFUNCTION("""COMPUTED_VALUE"""),44704.64583333333)</f>
        <v>44704.64583</v>
      </c>
      <c r="I4287" s="25">
        <f>IFERROR(__xludf.DUMMYFUNCTION("""COMPUTED_VALUE"""),3304.8)</f>
        <v>3304.8</v>
      </c>
      <c r="J4287" s="25">
        <f>IFERROR(__xludf.DUMMYFUNCTION("""COMPUTED_VALUE"""),3338.9)</f>
        <v>3338.9</v>
      </c>
      <c r="K4287" s="25">
        <f>IFERROR(__xludf.DUMMYFUNCTION("""COMPUTED_VALUE"""),3267.0)</f>
        <v>3267</v>
      </c>
      <c r="L4287" s="25">
        <f>IFERROR(__xludf.DUMMYFUNCTION("""COMPUTED_VALUE"""),3321.75)</f>
        <v>3321.75</v>
      </c>
      <c r="M4287" s="25">
        <f>IFERROR(__xludf.DUMMYFUNCTION("""COMPUTED_VALUE"""),2293690.0)</f>
        <v>2293690</v>
      </c>
    </row>
    <row r="4288">
      <c r="A4288" s="26">
        <f>IFERROR(__xludf.DUMMYFUNCTION("""COMPUTED_VALUE"""),44704.64583333333)</f>
        <v>44704.64583</v>
      </c>
      <c r="B4288" s="9">
        <f>IFERROR(__xludf.DUMMYFUNCTION("""COMPUTED_VALUE"""),1455.1)</f>
        <v>1455.1</v>
      </c>
      <c r="C4288" s="9">
        <f>IFERROR(__xludf.DUMMYFUNCTION("""COMPUTED_VALUE"""),1488.0)</f>
        <v>1488</v>
      </c>
      <c r="D4288" s="9">
        <f>IFERROR(__xludf.DUMMYFUNCTION("""COMPUTED_VALUE"""),1450.05)</f>
        <v>1450.05</v>
      </c>
      <c r="E4288" s="9">
        <f>IFERROR(__xludf.DUMMYFUNCTION("""COMPUTED_VALUE"""),1468.4)</f>
        <v>1468.4</v>
      </c>
      <c r="F4288" s="9">
        <f>IFERROR(__xludf.DUMMYFUNCTION("""COMPUTED_VALUE"""),5887569.0)</f>
        <v>5887569</v>
      </c>
      <c r="H4288" s="27">
        <f>IFERROR(__xludf.DUMMYFUNCTION("""COMPUTED_VALUE"""),44705.64583333333)</f>
        <v>44705.64583</v>
      </c>
      <c r="I4288" s="25">
        <f>IFERROR(__xludf.DUMMYFUNCTION("""COMPUTED_VALUE"""),3315.15)</f>
        <v>3315.15</v>
      </c>
      <c r="J4288" s="25">
        <f>IFERROR(__xludf.DUMMYFUNCTION("""COMPUTED_VALUE"""),3324.85)</f>
        <v>3324.85</v>
      </c>
      <c r="K4288" s="25">
        <f>IFERROR(__xludf.DUMMYFUNCTION("""COMPUTED_VALUE"""),3275.6)</f>
        <v>3275.6</v>
      </c>
      <c r="L4288" s="25">
        <f>IFERROR(__xludf.DUMMYFUNCTION("""COMPUTED_VALUE"""),3288.0)</f>
        <v>3288</v>
      </c>
      <c r="M4288" s="25">
        <f>IFERROR(__xludf.DUMMYFUNCTION("""COMPUTED_VALUE"""),1711510.0)</f>
        <v>1711510</v>
      </c>
    </row>
    <row r="4289">
      <c r="A4289" s="26">
        <f>IFERROR(__xludf.DUMMYFUNCTION("""COMPUTED_VALUE"""),44705.64583333333)</f>
        <v>44705.64583</v>
      </c>
      <c r="B4289" s="9">
        <f>IFERROR(__xludf.DUMMYFUNCTION("""COMPUTED_VALUE"""),1468.6)</f>
        <v>1468.6</v>
      </c>
      <c r="C4289" s="9">
        <f>IFERROR(__xludf.DUMMYFUNCTION("""COMPUTED_VALUE"""),1469.55)</f>
        <v>1469.55</v>
      </c>
      <c r="D4289" s="9">
        <f>IFERROR(__xludf.DUMMYFUNCTION("""COMPUTED_VALUE"""),1435.25)</f>
        <v>1435.25</v>
      </c>
      <c r="E4289" s="9">
        <f>IFERROR(__xludf.DUMMYFUNCTION("""COMPUTED_VALUE"""),1441.0)</f>
        <v>1441</v>
      </c>
      <c r="F4289" s="9">
        <f>IFERROR(__xludf.DUMMYFUNCTION("""COMPUTED_VALUE"""),5693167.0)</f>
        <v>5693167</v>
      </c>
      <c r="H4289" s="27">
        <f>IFERROR(__xludf.DUMMYFUNCTION("""COMPUTED_VALUE"""),44706.64583333333)</f>
        <v>44706.64583</v>
      </c>
      <c r="I4289" s="25">
        <f>IFERROR(__xludf.DUMMYFUNCTION("""COMPUTED_VALUE"""),3292.85)</f>
        <v>3292.85</v>
      </c>
      <c r="J4289" s="25">
        <f>IFERROR(__xludf.DUMMYFUNCTION("""COMPUTED_VALUE"""),3292.85)</f>
        <v>3292.85</v>
      </c>
      <c r="K4289" s="25">
        <f>IFERROR(__xludf.DUMMYFUNCTION("""COMPUTED_VALUE"""),3154.05)</f>
        <v>3154.05</v>
      </c>
      <c r="L4289" s="25">
        <f>IFERROR(__xludf.DUMMYFUNCTION("""COMPUTED_VALUE"""),3167.65)</f>
        <v>3167.65</v>
      </c>
      <c r="M4289" s="25">
        <f>IFERROR(__xludf.DUMMYFUNCTION("""COMPUTED_VALUE"""),3548046.0)</f>
        <v>3548046</v>
      </c>
    </row>
    <row r="4290">
      <c r="A4290" s="26">
        <f>IFERROR(__xludf.DUMMYFUNCTION("""COMPUTED_VALUE"""),44706.64583333333)</f>
        <v>44706.64583</v>
      </c>
      <c r="B4290" s="9">
        <f>IFERROR(__xludf.DUMMYFUNCTION("""COMPUTED_VALUE"""),1435.0)</f>
        <v>1435</v>
      </c>
      <c r="C4290" s="9">
        <f>IFERROR(__xludf.DUMMYFUNCTION("""COMPUTED_VALUE"""),1442.5)</f>
        <v>1442.5</v>
      </c>
      <c r="D4290" s="9">
        <f>IFERROR(__xludf.DUMMYFUNCTION("""COMPUTED_VALUE"""),1399.25)</f>
        <v>1399.25</v>
      </c>
      <c r="E4290" s="9">
        <f>IFERROR(__xludf.DUMMYFUNCTION("""COMPUTED_VALUE"""),1410.45)</f>
        <v>1410.45</v>
      </c>
      <c r="F4290" s="9">
        <f>IFERROR(__xludf.DUMMYFUNCTION("""COMPUTED_VALUE"""),9630092.0)</f>
        <v>9630092</v>
      </c>
      <c r="H4290" s="27">
        <f>IFERROR(__xludf.DUMMYFUNCTION("""COMPUTED_VALUE"""),44707.64583333333)</f>
        <v>44707.64583</v>
      </c>
      <c r="I4290" s="25">
        <f>IFERROR(__xludf.DUMMYFUNCTION("""COMPUTED_VALUE"""),3191.0)</f>
        <v>3191</v>
      </c>
      <c r="J4290" s="25">
        <f>IFERROR(__xludf.DUMMYFUNCTION("""COMPUTED_VALUE"""),3241.5)</f>
        <v>3241.5</v>
      </c>
      <c r="K4290" s="25">
        <f>IFERROR(__xludf.DUMMYFUNCTION("""COMPUTED_VALUE"""),3180.55)</f>
        <v>3180.55</v>
      </c>
      <c r="L4290" s="25">
        <f>IFERROR(__xludf.DUMMYFUNCTION("""COMPUTED_VALUE"""),3226.95)</f>
        <v>3226.95</v>
      </c>
      <c r="M4290" s="25">
        <f>IFERROR(__xludf.DUMMYFUNCTION("""COMPUTED_VALUE"""),2813186.0)</f>
        <v>2813186</v>
      </c>
    </row>
    <row r="4291">
      <c r="A4291" s="26">
        <f>IFERROR(__xludf.DUMMYFUNCTION("""COMPUTED_VALUE"""),44707.64583333333)</f>
        <v>44707.64583</v>
      </c>
      <c r="B4291" s="9">
        <f>IFERROR(__xludf.DUMMYFUNCTION("""COMPUTED_VALUE"""),1418.0)</f>
        <v>1418</v>
      </c>
      <c r="C4291" s="9">
        <f>IFERROR(__xludf.DUMMYFUNCTION("""COMPUTED_VALUE"""),1430.0)</f>
        <v>1430</v>
      </c>
      <c r="D4291" s="9">
        <f>IFERROR(__xludf.DUMMYFUNCTION("""COMPUTED_VALUE"""),1407.05)</f>
        <v>1407.05</v>
      </c>
      <c r="E4291" s="9">
        <f>IFERROR(__xludf.DUMMYFUNCTION("""COMPUTED_VALUE"""),1423.95)</f>
        <v>1423.95</v>
      </c>
      <c r="F4291" s="9">
        <f>IFERROR(__xludf.DUMMYFUNCTION("""COMPUTED_VALUE"""),1.3040065E7)</f>
        <v>13040065</v>
      </c>
      <c r="H4291" s="27">
        <f>IFERROR(__xludf.DUMMYFUNCTION("""COMPUTED_VALUE"""),44708.64583333333)</f>
        <v>44708.64583</v>
      </c>
      <c r="I4291" s="25">
        <f>IFERROR(__xludf.DUMMYFUNCTION("""COMPUTED_VALUE"""),3253.2)</f>
        <v>3253.2</v>
      </c>
      <c r="J4291" s="25">
        <f>IFERROR(__xludf.DUMMYFUNCTION("""COMPUTED_VALUE"""),3278.9)</f>
        <v>3278.9</v>
      </c>
      <c r="K4291" s="25">
        <f>IFERROR(__xludf.DUMMYFUNCTION("""COMPUTED_VALUE"""),3229.2)</f>
        <v>3229.2</v>
      </c>
      <c r="L4291" s="25">
        <f>IFERROR(__xludf.DUMMYFUNCTION("""COMPUTED_VALUE"""),3261.3)</f>
        <v>3261.3</v>
      </c>
      <c r="M4291" s="25">
        <f>IFERROR(__xludf.DUMMYFUNCTION("""COMPUTED_VALUE"""),3103153.0)</f>
        <v>3103153</v>
      </c>
    </row>
    <row r="4292">
      <c r="A4292" s="26">
        <f>IFERROR(__xludf.DUMMYFUNCTION("""COMPUTED_VALUE"""),44708.64583333333)</f>
        <v>44708.64583</v>
      </c>
      <c r="B4292" s="9">
        <f>IFERROR(__xludf.DUMMYFUNCTION("""COMPUTED_VALUE"""),1443.95)</f>
        <v>1443.95</v>
      </c>
      <c r="C4292" s="9">
        <f>IFERROR(__xludf.DUMMYFUNCTION("""COMPUTED_VALUE"""),1467.0)</f>
        <v>1467</v>
      </c>
      <c r="D4292" s="9">
        <f>IFERROR(__xludf.DUMMYFUNCTION("""COMPUTED_VALUE"""),1437.4)</f>
        <v>1437.4</v>
      </c>
      <c r="E4292" s="9">
        <f>IFERROR(__xludf.DUMMYFUNCTION("""COMPUTED_VALUE"""),1461.35)</f>
        <v>1461.35</v>
      </c>
      <c r="F4292" s="9">
        <f>IFERROR(__xludf.DUMMYFUNCTION("""COMPUTED_VALUE"""),8284860.0)</f>
        <v>8284860</v>
      </c>
      <c r="H4292" s="27">
        <f>IFERROR(__xludf.DUMMYFUNCTION("""COMPUTED_VALUE"""),44711.64583333333)</f>
        <v>44711.64583</v>
      </c>
      <c r="I4292" s="25">
        <f>IFERROR(__xludf.DUMMYFUNCTION("""COMPUTED_VALUE"""),3297.0)</f>
        <v>3297</v>
      </c>
      <c r="J4292" s="25">
        <f>IFERROR(__xludf.DUMMYFUNCTION("""COMPUTED_VALUE"""),3386.6)</f>
        <v>3386.6</v>
      </c>
      <c r="K4292" s="25">
        <f>IFERROR(__xludf.DUMMYFUNCTION("""COMPUTED_VALUE"""),3286.35)</f>
        <v>3286.35</v>
      </c>
      <c r="L4292" s="25">
        <f>IFERROR(__xludf.DUMMYFUNCTION("""COMPUTED_VALUE"""),3375.25)</f>
        <v>3375.25</v>
      </c>
      <c r="M4292" s="25">
        <f>IFERROR(__xludf.DUMMYFUNCTION("""COMPUTED_VALUE"""),2094624.0)</f>
        <v>2094624</v>
      </c>
    </row>
    <row r="4293">
      <c r="A4293" s="26">
        <f>IFERROR(__xludf.DUMMYFUNCTION("""COMPUTED_VALUE"""),44711.64583333333)</f>
        <v>44711.64583</v>
      </c>
      <c r="B4293" s="9">
        <f>IFERROR(__xludf.DUMMYFUNCTION("""COMPUTED_VALUE"""),1487.0)</f>
        <v>1487</v>
      </c>
      <c r="C4293" s="9">
        <f>IFERROR(__xludf.DUMMYFUNCTION("""COMPUTED_VALUE"""),1530.0)</f>
        <v>1530</v>
      </c>
      <c r="D4293" s="9">
        <f>IFERROR(__xludf.DUMMYFUNCTION("""COMPUTED_VALUE"""),1485.0)</f>
        <v>1485</v>
      </c>
      <c r="E4293" s="9">
        <f>IFERROR(__xludf.DUMMYFUNCTION("""COMPUTED_VALUE"""),1526.8)</f>
        <v>1526.8</v>
      </c>
      <c r="F4293" s="9">
        <f>IFERROR(__xludf.DUMMYFUNCTION("""COMPUTED_VALUE"""),1.0904213E7)</f>
        <v>10904213</v>
      </c>
      <c r="H4293" s="27">
        <f>IFERROR(__xludf.DUMMYFUNCTION("""COMPUTED_VALUE"""),44712.64583333333)</f>
        <v>44712.64583</v>
      </c>
      <c r="I4293" s="25">
        <f>IFERROR(__xludf.DUMMYFUNCTION("""COMPUTED_VALUE"""),3354.15)</f>
        <v>3354.15</v>
      </c>
      <c r="J4293" s="25">
        <f>IFERROR(__xludf.DUMMYFUNCTION("""COMPUTED_VALUE"""),3383.4)</f>
        <v>3383.4</v>
      </c>
      <c r="K4293" s="25">
        <f>IFERROR(__xludf.DUMMYFUNCTION("""COMPUTED_VALUE"""),3325.0)</f>
        <v>3325</v>
      </c>
      <c r="L4293" s="25">
        <f>IFERROR(__xludf.DUMMYFUNCTION("""COMPUTED_VALUE"""),3364.35)</f>
        <v>3364.35</v>
      </c>
      <c r="M4293" s="25">
        <f>IFERROR(__xludf.DUMMYFUNCTION("""COMPUTED_VALUE"""),4840965.0)</f>
        <v>4840965</v>
      </c>
    </row>
    <row r="4294">
      <c r="A4294" s="26">
        <f>IFERROR(__xludf.DUMMYFUNCTION("""COMPUTED_VALUE"""),44712.64583333333)</f>
        <v>44712.64583</v>
      </c>
      <c r="B4294" s="9">
        <f>IFERROR(__xludf.DUMMYFUNCTION("""COMPUTED_VALUE"""),1510.7)</f>
        <v>1510.7</v>
      </c>
      <c r="C4294" s="9">
        <f>IFERROR(__xludf.DUMMYFUNCTION("""COMPUTED_VALUE"""),1518.0)</f>
        <v>1518</v>
      </c>
      <c r="D4294" s="9">
        <f>IFERROR(__xludf.DUMMYFUNCTION("""COMPUTED_VALUE"""),1488.15)</f>
        <v>1488.15</v>
      </c>
      <c r="E4294" s="9">
        <f>IFERROR(__xludf.DUMMYFUNCTION("""COMPUTED_VALUE"""),1503.6)</f>
        <v>1503.6</v>
      </c>
      <c r="F4294" s="9">
        <f>IFERROR(__xludf.DUMMYFUNCTION("""COMPUTED_VALUE"""),1.6033857E7)</f>
        <v>16033857</v>
      </c>
      <c r="H4294" s="27">
        <f>IFERROR(__xludf.DUMMYFUNCTION("""COMPUTED_VALUE"""),44713.64583333333)</f>
        <v>44713.64583</v>
      </c>
      <c r="I4294" s="25">
        <f>IFERROR(__xludf.DUMMYFUNCTION("""COMPUTED_VALUE"""),3388.0)</f>
        <v>3388</v>
      </c>
      <c r="J4294" s="25">
        <f>IFERROR(__xludf.DUMMYFUNCTION("""COMPUTED_VALUE"""),3388.0)</f>
        <v>3388</v>
      </c>
      <c r="K4294" s="25">
        <f>IFERROR(__xludf.DUMMYFUNCTION("""COMPUTED_VALUE"""),3340.05)</f>
        <v>3340.05</v>
      </c>
      <c r="L4294" s="25">
        <f>IFERROR(__xludf.DUMMYFUNCTION("""COMPUTED_VALUE"""),3355.2)</f>
        <v>3355.2</v>
      </c>
      <c r="M4294" s="25">
        <f>IFERROR(__xludf.DUMMYFUNCTION("""COMPUTED_VALUE"""),1493835.0)</f>
        <v>1493835</v>
      </c>
    </row>
    <row r="4295">
      <c r="A4295" s="26">
        <f>IFERROR(__xludf.DUMMYFUNCTION("""COMPUTED_VALUE"""),44713.64583333333)</f>
        <v>44713.64583</v>
      </c>
      <c r="B4295" s="9">
        <f>IFERROR(__xludf.DUMMYFUNCTION("""COMPUTED_VALUE"""),1513.0)</f>
        <v>1513</v>
      </c>
      <c r="C4295" s="9">
        <f>IFERROR(__xludf.DUMMYFUNCTION("""COMPUTED_VALUE"""),1514.75)</f>
        <v>1514.75</v>
      </c>
      <c r="D4295" s="9">
        <f>IFERROR(__xludf.DUMMYFUNCTION("""COMPUTED_VALUE"""),1472.1)</f>
        <v>1472.1</v>
      </c>
      <c r="E4295" s="9">
        <f>IFERROR(__xludf.DUMMYFUNCTION("""COMPUTED_VALUE"""),1478.55)</f>
        <v>1478.55</v>
      </c>
      <c r="F4295" s="9">
        <f>IFERROR(__xludf.DUMMYFUNCTION("""COMPUTED_VALUE"""),8738508.0)</f>
        <v>8738508</v>
      </c>
      <c r="H4295" s="27">
        <f>IFERROR(__xludf.DUMMYFUNCTION("""COMPUTED_VALUE"""),44714.64583333333)</f>
        <v>44714.64583</v>
      </c>
      <c r="I4295" s="25">
        <f>IFERROR(__xludf.DUMMYFUNCTION("""COMPUTED_VALUE"""),3355.0)</f>
        <v>3355</v>
      </c>
      <c r="J4295" s="25">
        <f>IFERROR(__xludf.DUMMYFUNCTION("""COMPUTED_VALUE"""),3432.0)</f>
        <v>3432</v>
      </c>
      <c r="K4295" s="25">
        <f>IFERROR(__xludf.DUMMYFUNCTION("""COMPUTED_VALUE"""),3346.3)</f>
        <v>3346.3</v>
      </c>
      <c r="L4295" s="25">
        <f>IFERROR(__xludf.DUMMYFUNCTION("""COMPUTED_VALUE"""),3423.0)</f>
        <v>3423</v>
      </c>
      <c r="M4295" s="25">
        <f>IFERROR(__xludf.DUMMYFUNCTION("""COMPUTED_VALUE"""),2657939.0)</f>
        <v>2657939</v>
      </c>
    </row>
    <row r="4296">
      <c r="A4296" s="26">
        <f>IFERROR(__xludf.DUMMYFUNCTION("""COMPUTED_VALUE"""),44714.64583333333)</f>
        <v>44714.64583</v>
      </c>
      <c r="B4296" s="9">
        <f>IFERROR(__xludf.DUMMYFUNCTION("""COMPUTED_VALUE"""),1484.0)</f>
        <v>1484</v>
      </c>
      <c r="C4296" s="9">
        <f>IFERROR(__xludf.DUMMYFUNCTION("""COMPUTED_VALUE"""),1513.85)</f>
        <v>1513.85</v>
      </c>
      <c r="D4296" s="9">
        <f>IFERROR(__xludf.DUMMYFUNCTION("""COMPUTED_VALUE"""),1475.6)</f>
        <v>1475.6</v>
      </c>
      <c r="E4296" s="9">
        <f>IFERROR(__xludf.DUMMYFUNCTION("""COMPUTED_VALUE"""),1508.0)</f>
        <v>1508</v>
      </c>
      <c r="F4296" s="9">
        <f>IFERROR(__xludf.DUMMYFUNCTION("""COMPUTED_VALUE"""),7205840.0)</f>
        <v>7205840</v>
      </c>
      <c r="H4296" s="27">
        <f>IFERROR(__xludf.DUMMYFUNCTION("""COMPUTED_VALUE"""),44715.64583333333)</f>
        <v>44715.64583</v>
      </c>
      <c r="I4296" s="25">
        <f>IFERROR(__xludf.DUMMYFUNCTION("""COMPUTED_VALUE"""),3459.4)</f>
        <v>3459.4</v>
      </c>
      <c r="J4296" s="25">
        <f>IFERROR(__xludf.DUMMYFUNCTION("""COMPUTED_VALUE"""),3477.3)</f>
        <v>3477.3</v>
      </c>
      <c r="K4296" s="25">
        <f>IFERROR(__xludf.DUMMYFUNCTION("""COMPUTED_VALUE"""),3431.2)</f>
        <v>3431.2</v>
      </c>
      <c r="L4296" s="25">
        <f>IFERROR(__xludf.DUMMYFUNCTION("""COMPUTED_VALUE"""),3440.15)</f>
        <v>3440.15</v>
      </c>
      <c r="M4296" s="25">
        <f>IFERROR(__xludf.DUMMYFUNCTION("""COMPUTED_VALUE"""),1913622.0)</f>
        <v>1913622</v>
      </c>
    </row>
    <row r="4297">
      <c r="A4297" s="26">
        <f>IFERROR(__xludf.DUMMYFUNCTION("""COMPUTED_VALUE"""),44715.64583333333)</f>
        <v>44715.64583</v>
      </c>
      <c r="B4297" s="9">
        <f>IFERROR(__xludf.DUMMYFUNCTION("""COMPUTED_VALUE"""),1524.9)</f>
        <v>1524.9</v>
      </c>
      <c r="C4297" s="9">
        <f>IFERROR(__xludf.DUMMYFUNCTION("""COMPUTED_VALUE"""),1555.0)</f>
        <v>1555</v>
      </c>
      <c r="D4297" s="9">
        <f>IFERROR(__xludf.DUMMYFUNCTION("""COMPUTED_VALUE"""),1518.0)</f>
        <v>1518</v>
      </c>
      <c r="E4297" s="9">
        <f>IFERROR(__xludf.DUMMYFUNCTION("""COMPUTED_VALUE"""),1521.7)</f>
        <v>1521.7</v>
      </c>
      <c r="F4297" s="9">
        <f>IFERROR(__xludf.DUMMYFUNCTION("""COMPUTED_VALUE"""),9395707.0)</f>
        <v>9395707</v>
      </c>
      <c r="H4297" s="27">
        <f>IFERROR(__xludf.DUMMYFUNCTION("""COMPUTED_VALUE"""),44718.64583333333)</f>
        <v>44718.64583</v>
      </c>
      <c r="I4297" s="25">
        <f>IFERROR(__xludf.DUMMYFUNCTION("""COMPUTED_VALUE"""),3418.0)</f>
        <v>3418</v>
      </c>
      <c r="J4297" s="25">
        <f>IFERROR(__xludf.DUMMYFUNCTION("""COMPUTED_VALUE"""),3453.0)</f>
        <v>3453</v>
      </c>
      <c r="K4297" s="25">
        <f>IFERROR(__xludf.DUMMYFUNCTION("""COMPUTED_VALUE"""),3377.15)</f>
        <v>3377.15</v>
      </c>
      <c r="L4297" s="25">
        <f>IFERROR(__xludf.DUMMYFUNCTION("""COMPUTED_VALUE"""),3430.95)</f>
        <v>3430.95</v>
      </c>
      <c r="M4297" s="25">
        <f>IFERROR(__xludf.DUMMYFUNCTION("""COMPUTED_VALUE"""),1084210.0)</f>
        <v>1084210</v>
      </c>
    </row>
    <row r="4298">
      <c r="A4298" s="26">
        <f>IFERROR(__xludf.DUMMYFUNCTION("""COMPUTED_VALUE"""),44718.64583333333)</f>
        <v>44718.64583</v>
      </c>
      <c r="B4298" s="9">
        <f>IFERROR(__xludf.DUMMYFUNCTION("""COMPUTED_VALUE"""),1516.0)</f>
        <v>1516</v>
      </c>
      <c r="C4298" s="9">
        <f>IFERROR(__xludf.DUMMYFUNCTION("""COMPUTED_VALUE"""),1536.6)</f>
        <v>1536.6</v>
      </c>
      <c r="D4298" s="9">
        <f>IFERROR(__xludf.DUMMYFUNCTION("""COMPUTED_VALUE"""),1493.0)</f>
        <v>1493</v>
      </c>
      <c r="E4298" s="9">
        <f>IFERROR(__xludf.DUMMYFUNCTION("""COMPUTED_VALUE"""),1530.05)</f>
        <v>1530.05</v>
      </c>
      <c r="F4298" s="9">
        <f>IFERROR(__xludf.DUMMYFUNCTION("""COMPUTED_VALUE"""),6624883.0)</f>
        <v>6624883</v>
      </c>
      <c r="H4298" s="27">
        <f>IFERROR(__xludf.DUMMYFUNCTION("""COMPUTED_VALUE"""),44719.64583333333)</f>
        <v>44719.64583</v>
      </c>
      <c r="I4298" s="25">
        <f>IFERROR(__xludf.DUMMYFUNCTION("""COMPUTED_VALUE"""),3401.05)</f>
        <v>3401.05</v>
      </c>
      <c r="J4298" s="25">
        <f>IFERROR(__xludf.DUMMYFUNCTION("""COMPUTED_VALUE"""),3418.85)</f>
        <v>3418.85</v>
      </c>
      <c r="K4298" s="25">
        <f>IFERROR(__xludf.DUMMYFUNCTION("""COMPUTED_VALUE"""),3356.0)</f>
        <v>3356</v>
      </c>
      <c r="L4298" s="25">
        <f>IFERROR(__xludf.DUMMYFUNCTION("""COMPUTED_VALUE"""),3362.7)</f>
        <v>3362.7</v>
      </c>
      <c r="M4298" s="25">
        <f>IFERROR(__xludf.DUMMYFUNCTION("""COMPUTED_VALUE"""),2308256.0)</f>
        <v>2308256</v>
      </c>
    </row>
    <row r="4299">
      <c r="A4299" s="26">
        <f>IFERROR(__xludf.DUMMYFUNCTION("""COMPUTED_VALUE"""),44719.64583333333)</f>
        <v>44719.64583</v>
      </c>
      <c r="B4299" s="9">
        <f>IFERROR(__xludf.DUMMYFUNCTION("""COMPUTED_VALUE"""),1519.85)</f>
        <v>1519.85</v>
      </c>
      <c r="C4299" s="9">
        <f>IFERROR(__xludf.DUMMYFUNCTION("""COMPUTED_VALUE"""),1519.85)</f>
        <v>1519.85</v>
      </c>
      <c r="D4299" s="9">
        <f>IFERROR(__xludf.DUMMYFUNCTION("""COMPUTED_VALUE"""),1502.6)</f>
        <v>1502.6</v>
      </c>
      <c r="E4299" s="9">
        <f>IFERROR(__xludf.DUMMYFUNCTION("""COMPUTED_VALUE"""),1506.7)</f>
        <v>1506.7</v>
      </c>
      <c r="F4299" s="9">
        <f>IFERROR(__xludf.DUMMYFUNCTION("""COMPUTED_VALUE"""),4904592.0)</f>
        <v>4904592</v>
      </c>
      <c r="H4299" s="27">
        <f>IFERROR(__xludf.DUMMYFUNCTION("""COMPUTED_VALUE"""),44720.64583333333)</f>
        <v>44720.64583</v>
      </c>
      <c r="I4299" s="25">
        <f>IFERROR(__xludf.DUMMYFUNCTION("""COMPUTED_VALUE"""),3380.15)</f>
        <v>3380.15</v>
      </c>
      <c r="J4299" s="25">
        <f>IFERROR(__xludf.DUMMYFUNCTION("""COMPUTED_VALUE"""),3413.95)</f>
        <v>3413.95</v>
      </c>
      <c r="K4299" s="25">
        <f>IFERROR(__xludf.DUMMYFUNCTION("""COMPUTED_VALUE"""),3346.5)</f>
        <v>3346.5</v>
      </c>
      <c r="L4299" s="25">
        <f>IFERROR(__xludf.DUMMYFUNCTION("""COMPUTED_VALUE"""),3404.15)</f>
        <v>3404.15</v>
      </c>
      <c r="M4299" s="25">
        <f>IFERROR(__xludf.DUMMYFUNCTION("""COMPUTED_VALUE"""),2185707.0)</f>
        <v>2185707</v>
      </c>
    </row>
    <row r="4300">
      <c r="A4300" s="26">
        <f>IFERROR(__xludf.DUMMYFUNCTION("""COMPUTED_VALUE"""),44720.64583333333)</f>
        <v>44720.64583</v>
      </c>
      <c r="B4300" s="9">
        <f>IFERROR(__xludf.DUMMYFUNCTION("""COMPUTED_VALUE"""),1520.2)</f>
        <v>1520.2</v>
      </c>
      <c r="C4300" s="9">
        <f>IFERROR(__xludf.DUMMYFUNCTION("""COMPUTED_VALUE"""),1520.2)</f>
        <v>1520.2</v>
      </c>
      <c r="D4300" s="9">
        <f>IFERROR(__xludf.DUMMYFUNCTION("""COMPUTED_VALUE"""),1492.0)</f>
        <v>1492</v>
      </c>
      <c r="E4300" s="9">
        <f>IFERROR(__xludf.DUMMYFUNCTION("""COMPUTED_VALUE"""),1500.0)</f>
        <v>1500</v>
      </c>
      <c r="F4300" s="9">
        <f>IFERROR(__xludf.DUMMYFUNCTION("""COMPUTED_VALUE"""),4697608.0)</f>
        <v>4697608</v>
      </c>
      <c r="H4300" s="27">
        <f>IFERROR(__xludf.DUMMYFUNCTION("""COMPUTED_VALUE"""),44721.64583333333)</f>
        <v>44721.64583</v>
      </c>
      <c r="I4300" s="25">
        <f>IFERROR(__xludf.DUMMYFUNCTION("""COMPUTED_VALUE"""),3385.0)</f>
        <v>3385</v>
      </c>
      <c r="J4300" s="25">
        <f>IFERROR(__xludf.DUMMYFUNCTION("""COMPUTED_VALUE"""),3437.0)</f>
        <v>3437</v>
      </c>
      <c r="K4300" s="25">
        <f>IFERROR(__xludf.DUMMYFUNCTION("""COMPUTED_VALUE"""),3353.1)</f>
        <v>3353.1</v>
      </c>
      <c r="L4300" s="25">
        <f>IFERROR(__xludf.DUMMYFUNCTION("""COMPUTED_VALUE"""),3427.1)</f>
        <v>3427.1</v>
      </c>
      <c r="M4300" s="25">
        <f>IFERROR(__xludf.DUMMYFUNCTION("""COMPUTED_VALUE"""),1279197.0)</f>
        <v>1279197</v>
      </c>
    </row>
    <row r="4301">
      <c r="A4301" s="26">
        <f>IFERROR(__xludf.DUMMYFUNCTION("""COMPUTED_VALUE"""),44721.64583333333)</f>
        <v>44721.64583</v>
      </c>
      <c r="B4301" s="9">
        <f>IFERROR(__xludf.DUMMYFUNCTION("""COMPUTED_VALUE"""),1485.0)</f>
        <v>1485</v>
      </c>
      <c r="C4301" s="9">
        <f>IFERROR(__xludf.DUMMYFUNCTION("""COMPUTED_VALUE"""),1516.95)</f>
        <v>1516.95</v>
      </c>
      <c r="D4301" s="9">
        <f>IFERROR(__xludf.DUMMYFUNCTION("""COMPUTED_VALUE"""),1481.5)</f>
        <v>1481.5</v>
      </c>
      <c r="E4301" s="9">
        <f>IFERROR(__xludf.DUMMYFUNCTION("""COMPUTED_VALUE"""),1515.0)</f>
        <v>1515</v>
      </c>
      <c r="F4301" s="9">
        <f>IFERROR(__xludf.DUMMYFUNCTION("""COMPUTED_VALUE"""),4361061.0)</f>
        <v>4361061</v>
      </c>
      <c r="H4301" s="27">
        <f>IFERROR(__xludf.DUMMYFUNCTION("""COMPUTED_VALUE"""),44722.64583333333)</f>
        <v>44722.64583</v>
      </c>
      <c r="I4301" s="25">
        <f>IFERROR(__xludf.DUMMYFUNCTION("""COMPUTED_VALUE"""),3382.0)</f>
        <v>3382</v>
      </c>
      <c r="J4301" s="25">
        <f>IFERROR(__xludf.DUMMYFUNCTION("""COMPUTED_VALUE"""),3393.0)</f>
        <v>3393</v>
      </c>
      <c r="K4301" s="25">
        <f>IFERROR(__xludf.DUMMYFUNCTION("""COMPUTED_VALUE"""),3352.0)</f>
        <v>3352</v>
      </c>
      <c r="L4301" s="25">
        <f>IFERROR(__xludf.DUMMYFUNCTION("""COMPUTED_VALUE"""),3359.9)</f>
        <v>3359.9</v>
      </c>
      <c r="M4301" s="25">
        <f>IFERROR(__xludf.DUMMYFUNCTION("""COMPUTED_VALUE"""),1527582.0)</f>
        <v>1527582</v>
      </c>
    </row>
    <row r="4302">
      <c r="A4302" s="26">
        <f>IFERROR(__xludf.DUMMYFUNCTION("""COMPUTED_VALUE"""),44722.64583333333)</f>
        <v>44722.64583</v>
      </c>
      <c r="B4302" s="9">
        <f>IFERROR(__xludf.DUMMYFUNCTION("""COMPUTED_VALUE"""),1486.1)</f>
        <v>1486.1</v>
      </c>
      <c r="C4302" s="9">
        <f>IFERROR(__xludf.DUMMYFUNCTION("""COMPUTED_VALUE"""),1493.95)</f>
        <v>1493.95</v>
      </c>
      <c r="D4302" s="9">
        <f>IFERROR(__xludf.DUMMYFUNCTION("""COMPUTED_VALUE"""),1473.6)</f>
        <v>1473.6</v>
      </c>
      <c r="E4302" s="9">
        <f>IFERROR(__xludf.DUMMYFUNCTION("""COMPUTED_VALUE"""),1476.8)</f>
        <v>1476.8</v>
      </c>
      <c r="F4302" s="9">
        <f>IFERROR(__xludf.DUMMYFUNCTION("""COMPUTED_VALUE"""),6516436.0)</f>
        <v>6516436</v>
      </c>
      <c r="H4302" s="27">
        <f>IFERROR(__xludf.DUMMYFUNCTION("""COMPUTED_VALUE"""),44725.64583333333)</f>
        <v>44725.64583</v>
      </c>
      <c r="I4302" s="25">
        <f>IFERROR(__xludf.DUMMYFUNCTION("""COMPUTED_VALUE"""),3290.0)</f>
        <v>3290</v>
      </c>
      <c r="J4302" s="25">
        <f>IFERROR(__xludf.DUMMYFUNCTION("""COMPUTED_VALUE"""),3293.0)</f>
        <v>3293</v>
      </c>
      <c r="K4302" s="25">
        <f>IFERROR(__xludf.DUMMYFUNCTION("""COMPUTED_VALUE"""),3192.45)</f>
        <v>3192.45</v>
      </c>
      <c r="L4302" s="25">
        <f>IFERROR(__xludf.DUMMYFUNCTION("""COMPUTED_VALUE"""),3219.6)</f>
        <v>3219.6</v>
      </c>
      <c r="M4302" s="25">
        <f>IFERROR(__xludf.DUMMYFUNCTION("""COMPUTED_VALUE"""),3030921.0)</f>
        <v>3030921</v>
      </c>
    </row>
    <row r="4303">
      <c r="A4303" s="26">
        <f>IFERROR(__xludf.DUMMYFUNCTION("""COMPUTED_VALUE"""),44725.64583333333)</f>
        <v>44725.64583</v>
      </c>
      <c r="B4303" s="9">
        <f>IFERROR(__xludf.DUMMYFUNCTION("""COMPUTED_VALUE"""),1443.6)</f>
        <v>1443.6</v>
      </c>
      <c r="C4303" s="9">
        <f>IFERROR(__xludf.DUMMYFUNCTION("""COMPUTED_VALUE"""),1443.6)</f>
        <v>1443.6</v>
      </c>
      <c r="D4303" s="9">
        <f>IFERROR(__xludf.DUMMYFUNCTION("""COMPUTED_VALUE"""),1411.7)</f>
        <v>1411.7</v>
      </c>
      <c r="E4303" s="9">
        <f>IFERROR(__xludf.DUMMYFUNCTION("""COMPUTED_VALUE"""),1424.5)</f>
        <v>1424.5</v>
      </c>
      <c r="F4303" s="9">
        <f>IFERROR(__xludf.DUMMYFUNCTION("""COMPUTED_VALUE"""),6987685.0)</f>
        <v>6987685</v>
      </c>
      <c r="H4303" s="27">
        <f>IFERROR(__xludf.DUMMYFUNCTION("""COMPUTED_VALUE"""),44726.64583333333)</f>
        <v>44726.64583</v>
      </c>
      <c r="I4303" s="25">
        <f>IFERROR(__xludf.DUMMYFUNCTION("""COMPUTED_VALUE"""),3190.0)</f>
        <v>3190</v>
      </c>
      <c r="J4303" s="25">
        <f>IFERROR(__xludf.DUMMYFUNCTION("""COMPUTED_VALUE"""),3238.9)</f>
        <v>3238.9</v>
      </c>
      <c r="K4303" s="25">
        <f>IFERROR(__xludf.DUMMYFUNCTION("""COMPUTED_VALUE"""),3174.7)</f>
        <v>3174.7</v>
      </c>
      <c r="L4303" s="25">
        <f>IFERROR(__xludf.DUMMYFUNCTION("""COMPUTED_VALUE"""),3210.55)</f>
        <v>3210.55</v>
      </c>
      <c r="M4303" s="25">
        <f>IFERROR(__xludf.DUMMYFUNCTION("""COMPUTED_VALUE"""),2611493.0)</f>
        <v>2611493</v>
      </c>
    </row>
    <row r="4304">
      <c r="A4304" s="26">
        <f>IFERROR(__xludf.DUMMYFUNCTION("""COMPUTED_VALUE"""),44726.64583333333)</f>
        <v>44726.64583</v>
      </c>
      <c r="B4304" s="9">
        <f>IFERROR(__xludf.DUMMYFUNCTION("""COMPUTED_VALUE"""),1410.0)</f>
        <v>1410</v>
      </c>
      <c r="C4304" s="9">
        <f>IFERROR(__xludf.DUMMYFUNCTION("""COMPUTED_VALUE"""),1448.9)</f>
        <v>1448.9</v>
      </c>
      <c r="D4304" s="9">
        <f>IFERROR(__xludf.DUMMYFUNCTION("""COMPUTED_VALUE"""),1403.15)</f>
        <v>1403.15</v>
      </c>
      <c r="E4304" s="9">
        <f>IFERROR(__xludf.DUMMYFUNCTION("""COMPUTED_VALUE"""),1440.55)</f>
        <v>1440.55</v>
      </c>
      <c r="F4304" s="9">
        <f>IFERROR(__xludf.DUMMYFUNCTION("""COMPUTED_VALUE"""),6090247.0)</f>
        <v>6090247</v>
      </c>
      <c r="H4304" s="27">
        <f>IFERROR(__xludf.DUMMYFUNCTION("""COMPUTED_VALUE"""),44727.64583333333)</f>
        <v>44727.64583</v>
      </c>
      <c r="I4304" s="25">
        <f>IFERROR(__xludf.DUMMYFUNCTION("""COMPUTED_VALUE"""),3218.5)</f>
        <v>3218.5</v>
      </c>
      <c r="J4304" s="25">
        <f>IFERROR(__xludf.DUMMYFUNCTION("""COMPUTED_VALUE"""),3234.0)</f>
        <v>3234</v>
      </c>
      <c r="K4304" s="25">
        <f>IFERROR(__xludf.DUMMYFUNCTION("""COMPUTED_VALUE"""),3201.0)</f>
        <v>3201</v>
      </c>
      <c r="L4304" s="25">
        <f>IFERROR(__xludf.DUMMYFUNCTION("""COMPUTED_VALUE"""),3206.3)</f>
        <v>3206.3</v>
      </c>
      <c r="M4304" s="25">
        <f>IFERROR(__xludf.DUMMYFUNCTION("""COMPUTED_VALUE"""),1404536.0)</f>
        <v>1404536</v>
      </c>
    </row>
    <row r="4305">
      <c r="A4305" s="26">
        <f>IFERROR(__xludf.DUMMYFUNCTION("""COMPUTED_VALUE"""),44727.64583333333)</f>
        <v>44727.64583</v>
      </c>
      <c r="B4305" s="9">
        <f>IFERROR(__xludf.DUMMYFUNCTION("""COMPUTED_VALUE"""),1440.2)</f>
        <v>1440.2</v>
      </c>
      <c r="C4305" s="9">
        <f>IFERROR(__xludf.DUMMYFUNCTION("""COMPUTED_VALUE"""),1446.4)</f>
        <v>1446.4</v>
      </c>
      <c r="D4305" s="9">
        <f>IFERROR(__xludf.DUMMYFUNCTION("""COMPUTED_VALUE"""),1418.85)</f>
        <v>1418.85</v>
      </c>
      <c r="E4305" s="9">
        <f>IFERROR(__xludf.DUMMYFUNCTION("""COMPUTED_VALUE"""),1422.2)</f>
        <v>1422.2</v>
      </c>
      <c r="F4305" s="9">
        <f>IFERROR(__xludf.DUMMYFUNCTION("""COMPUTED_VALUE"""),4651958.0)</f>
        <v>4651958</v>
      </c>
      <c r="H4305" s="27">
        <f>IFERROR(__xludf.DUMMYFUNCTION("""COMPUTED_VALUE"""),44728.64583333333)</f>
        <v>44728.64583</v>
      </c>
      <c r="I4305" s="25">
        <f>IFERROR(__xludf.DUMMYFUNCTION("""COMPUTED_VALUE"""),3240.0)</f>
        <v>3240</v>
      </c>
      <c r="J4305" s="25">
        <f>IFERROR(__xludf.DUMMYFUNCTION("""COMPUTED_VALUE"""),3244.85)</f>
        <v>3244.85</v>
      </c>
      <c r="K4305" s="25">
        <f>IFERROR(__xludf.DUMMYFUNCTION("""COMPUTED_VALUE"""),3133.05)</f>
        <v>3133.05</v>
      </c>
      <c r="L4305" s="25">
        <f>IFERROR(__xludf.DUMMYFUNCTION("""COMPUTED_VALUE"""),3142.0)</f>
        <v>3142</v>
      </c>
      <c r="M4305" s="25">
        <f>IFERROR(__xludf.DUMMYFUNCTION("""COMPUTED_VALUE"""),2032028.0)</f>
        <v>2032028</v>
      </c>
    </row>
    <row r="4306">
      <c r="A4306" s="26">
        <f>IFERROR(__xludf.DUMMYFUNCTION("""COMPUTED_VALUE"""),44728.64583333333)</f>
        <v>44728.64583</v>
      </c>
      <c r="B4306" s="9">
        <f>IFERROR(__xludf.DUMMYFUNCTION("""COMPUTED_VALUE"""),1438.0)</f>
        <v>1438</v>
      </c>
      <c r="C4306" s="9">
        <f>IFERROR(__xludf.DUMMYFUNCTION("""COMPUTED_VALUE"""),1443.75)</f>
        <v>1443.75</v>
      </c>
      <c r="D4306" s="9">
        <f>IFERROR(__xludf.DUMMYFUNCTION("""COMPUTED_VALUE"""),1392.0)</f>
        <v>1392</v>
      </c>
      <c r="E4306" s="9">
        <f>IFERROR(__xludf.DUMMYFUNCTION("""COMPUTED_VALUE"""),1397.2)</f>
        <v>1397.2</v>
      </c>
      <c r="F4306" s="9">
        <f>IFERROR(__xludf.DUMMYFUNCTION("""COMPUTED_VALUE"""),6641772.0)</f>
        <v>6641772</v>
      </c>
      <c r="H4306" s="27">
        <f>IFERROR(__xludf.DUMMYFUNCTION("""COMPUTED_VALUE"""),44729.64583333333)</f>
        <v>44729.64583</v>
      </c>
      <c r="I4306" s="25">
        <f>IFERROR(__xludf.DUMMYFUNCTION("""COMPUTED_VALUE"""),3092.0)</f>
        <v>3092</v>
      </c>
      <c r="J4306" s="25">
        <f>IFERROR(__xludf.DUMMYFUNCTION("""COMPUTED_VALUE"""),3118.75)</f>
        <v>3118.75</v>
      </c>
      <c r="K4306" s="25">
        <f>IFERROR(__xludf.DUMMYFUNCTION("""COMPUTED_VALUE"""),3023.85)</f>
        <v>3023.85</v>
      </c>
      <c r="L4306" s="25">
        <f>IFERROR(__xludf.DUMMYFUNCTION("""COMPUTED_VALUE"""),3088.9)</f>
        <v>3088.9</v>
      </c>
      <c r="M4306" s="25">
        <f>IFERROR(__xludf.DUMMYFUNCTION("""COMPUTED_VALUE"""),5240434.0)</f>
        <v>5240434</v>
      </c>
    </row>
    <row r="4307">
      <c r="A4307" s="26">
        <f>IFERROR(__xludf.DUMMYFUNCTION("""COMPUTED_VALUE"""),44729.64583333333)</f>
        <v>44729.64583</v>
      </c>
      <c r="B4307" s="9">
        <f>IFERROR(__xludf.DUMMYFUNCTION("""COMPUTED_VALUE"""),1391.05)</f>
        <v>1391.05</v>
      </c>
      <c r="C4307" s="9">
        <f>IFERROR(__xludf.DUMMYFUNCTION("""COMPUTED_VALUE"""),1396.95)</f>
        <v>1396.95</v>
      </c>
      <c r="D4307" s="9">
        <f>IFERROR(__xludf.DUMMYFUNCTION("""COMPUTED_VALUE"""),1367.15)</f>
        <v>1367.15</v>
      </c>
      <c r="E4307" s="9">
        <f>IFERROR(__xludf.DUMMYFUNCTION("""COMPUTED_VALUE"""),1387.3)</f>
        <v>1387.3</v>
      </c>
      <c r="F4307" s="9">
        <f>IFERROR(__xludf.DUMMYFUNCTION("""COMPUTED_VALUE"""),9692047.0)</f>
        <v>9692047</v>
      </c>
      <c r="H4307" s="27">
        <f>IFERROR(__xludf.DUMMYFUNCTION("""COMPUTED_VALUE"""),44732.64583333333)</f>
        <v>44732.64583</v>
      </c>
      <c r="I4307" s="25">
        <f>IFERROR(__xludf.DUMMYFUNCTION("""COMPUTED_VALUE"""),3094.0)</f>
        <v>3094</v>
      </c>
      <c r="J4307" s="25">
        <f>IFERROR(__xludf.DUMMYFUNCTION("""COMPUTED_VALUE"""),3138.75)</f>
        <v>3138.75</v>
      </c>
      <c r="K4307" s="25">
        <f>IFERROR(__xludf.DUMMYFUNCTION("""COMPUTED_VALUE"""),3069.0)</f>
        <v>3069</v>
      </c>
      <c r="L4307" s="25">
        <f>IFERROR(__xludf.DUMMYFUNCTION("""COMPUTED_VALUE"""),3112.4)</f>
        <v>3112.4</v>
      </c>
      <c r="M4307" s="25">
        <f>IFERROR(__xludf.DUMMYFUNCTION("""COMPUTED_VALUE"""),1502769.0)</f>
        <v>1502769</v>
      </c>
    </row>
    <row r="4308">
      <c r="A4308" s="26">
        <f>IFERROR(__xludf.DUMMYFUNCTION("""COMPUTED_VALUE"""),44732.64583333333)</f>
        <v>44732.64583</v>
      </c>
      <c r="B4308" s="9">
        <f>IFERROR(__xludf.DUMMYFUNCTION("""COMPUTED_VALUE"""),1390.05)</f>
        <v>1390.05</v>
      </c>
      <c r="C4308" s="9">
        <f>IFERROR(__xludf.DUMMYFUNCTION("""COMPUTED_VALUE"""),1422.35)</f>
        <v>1422.35</v>
      </c>
      <c r="D4308" s="9">
        <f>IFERROR(__xludf.DUMMYFUNCTION("""COMPUTED_VALUE"""),1382.0)</f>
        <v>1382</v>
      </c>
      <c r="E4308" s="9">
        <f>IFERROR(__xludf.DUMMYFUNCTION("""COMPUTED_VALUE"""),1414.15)</f>
        <v>1414.15</v>
      </c>
      <c r="F4308" s="9">
        <f>IFERROR(__xludf.DUMMYFUNCTION("""COMPUTED_VALUE"""),4595194.0)</f>
        <v>4595194</v>
      </c>
      <c r="H4308" s="27">
        <f>IFERROR(__xludf.DUMMYFUNCTION("""COMPUTED_VALUE"""),44733.64583333333)</f>
        <v>44733.64583</v>
      </c>
      <c r="I4308" s="25">
        <f>IFERROR(__xludf.DUMMYFUNCTION("""COMPUTED_VALUE"""),3130.0)</f>
        <v>3130</v>
      </c>
      <c r="J4308" s="25">
        <f>IFERROR(__xludf.DUMMYFUNCTION("""COMPUTED_VALUE"""),3237.75)</f>
        <v>3237.75</v>
      </c>
      <c r="K4308" s="25">
        <f>IFERROR(__xludf.DUMMYFUNCTION("""COMPUTED_VALUE"""),3125.4)</f>
        <v>3125.4</v>
      </c>
      <c r="L4308" s="25">
        <f>IFERROR(__xludf.DUMMYFUNCTION("""COMPUTED_VALUE"""),3211.95)</f>
        <v>3211.95</v>
      </c>
      <c r="M4308" s="25">
        <f>IFERROR(__xludf.DUMMYFUNCTION("""COMPUTED_VALUE"""),2964461.0)</f>
        <v>2964461</v>
      </c>
    </row>
    <row r="4309">
      <c r="A4309" s="26">
        <f>IFERROR(__xludf.DUMMYFUNCTION("""COMPUTED_VALUE"""),44733.64583333333)</f>
        <v>44733.64583</v>
      </c>
      <c r="B4309" s="9">
        <f>IFERROR(__xludf.DUMMYFUNCTION("""COMPUTED_VALUE"""),1424.0)</f>
        <v>1424</v>
      </c>
      <c r="C4309" s="9">
        <f>IFERROR(__xludf.DUMMYFUNCTION("""COMPUTED_VALUE"""),1456.0)</f>
        <v>1456</v>
      </c>
      <c r="D4309" s="9">
        <f>IFERROR(__xludf.DUMMYFUNCTION("""COMPUTED_VALUE"""),1422.75)</f>
        <v>1422.75</v>
      </c>
      <c r="E4309" s="9">
        <f>IFERROR(__xludf.DUMMYFUNCTION("""COMPUTED_VALUE"""),1449.9)</f>
        <v>1449.9</v>
      </c>
      <c r="F4309" s="9">
        <f>IFERROR(__xludf.DUMMYFUNCTION("""COMPUTED_VALUE"""),6270787.0)</f>
        <v>6270787</v>
      </c>
      <c r="H4309" s="27">
        <f>IFERROR(__xludf.DUMMYFUNCTION("""COMPUTED_VALUE"""),44734.64583333333)</f>
        <v>44734.64583</v>
      </c>
      <c r="I4309" s="25">
        <f>IFERROR(__xludf.DUMMYFUNCTION("""COMPUTED_VALUE"""),3199.9)</f>
        <v>3199.9</v>
      </c>
      <c r="J4309" s="25">
        <f>IFERROR(__xludf.DUMMYFUNCTION("""COMPUTED_VALUE"""),3250.55)</f>
        <v>3250.55</v>
      </c>
      <c r="K4309" s="25">
        <f>IFERROR(__xludf.DUMMYFUNCTION("""COMPUTED_VALUE"""),3183.0)</f>
        <v>3183</v>
      </c>
      <c r="L4309" s="25">
        <f>IFERROR(__xludf.DUMMYFUNCTION("""COMPUTED_VALUE"""),3222.95)</f>
        <v>3222.95</v>
      </c>
      <c r="M4309" s="25">
        <f>IFERROR(__xludf.DUMMYFUNCTION("""COMPUTED_VALUE"""),3336315.0)</f>
        <v>3336315</v>
      </c>
    </row>
    <row r="4310">
      <c r="A4310" s="26">
        <f>IFERROR(__xludf.DUMMYFUNCTION("""COMPUTED_VALUE"""),44734.64583333333)</f>
        <v>44734.64583</v>
      </c>
      <c r="B4310" s="9">
        <f>IFERROR(__xludf.DUMMYFUNCTION("""COMPUTED_VALUE"""),1436.05)</f>
        <v>1436.05</v>
      </c>
      <c r="C4310" s="9">
        <f>IFERROR(__xludf.DUMMYFUNCTION("""COMPUTED_VALUE"""),1459.6)</f>
        <v>1459.6</v>
      </c>
      <c r="D4310" s="9">
        <f>IFERROR(__xludf.DUMMYFUNCTION("""COMPUTED_VALUE"""),1435.0)</f>
        <v>1435</v>
      </c>
      <c r="E4310" s="9">
        <f>IFERROR(__xludf.DUMMYFUNCTION("""COMPUTED_VALUE"""),1437.25)</f>
        <v>1437.25</v>
      </c>
      <c r="F4310" s="9">
        <f>IFERROR(__xludf.DUMMYFUNCTION("""COMPUTED_VALUE"""),6253366.0)</f>
        <v>6253366</v>
      </c>
      <c r="H4310" s="27">
        <f>IFERROR(__xludf.DUMMYFUNCTION("""COMPUTED_VALUE"""),44735.64583333333)</f>
        <v>44735.64583</v>
      </c>
      <c r="I4310" s="25">
        <f>IFERROR(__xludf.DUMMYFUNCTION("""COMPUTED_VALUE"""),3222.95)</f>
        <v>3222.95</v>
      </c>
      <c r="J4310" s="25">
        <f>IFERROR(__xludf.DUMMYFUNCTION("""COMPUTED_VALUE"""),3318.0)</f>
        <v>3318</v>
      </c>
      <c r="K4310" s="25">
        <f>IFERROR(__xludf.DUMMYFUNCTION("""COMPUTED_VALUE"""),3222.95)</f>
        <v>3222.95</v>
      </c>
      <c r="L4310" s="25">
        <f>IFERROR(__xludf.DUMMYFUNCTION("""COMPUTED_VALUE"""),3308.8)</f>
        <v>3308.8</v>
      </c>
      <c r="M4310" s="25">
        <f>IFERROR(__xludf.DUMMYFUNCTION("""COMPUTED_VALUE"""),3692578.0)</f>
        <v>3692578</v>
      </c>
    </row>
    <row r="4311">
      <c r="A4311" s="26">
        <f>IFERROR(__xludf.DUMMYFUNCTION("""COMPUTED_VALUE"""),44735.64583333333)</f>
        <v>44735.64583</v>
      </c>
      <c r="B4311" s="9">
        <f>IFERROR(__xludf.DUMMYFUNCTION("""COMPUTED_VALUE"""),1439.8)</f>
        <v>1439.8</v>
      </c>
      <c r="C4311" s="9">
        <f>IFERROR(__xludf.DUMMYFUNCTION("""COMPUTED_VALUE"""),1458.0)</f>
        <v>1458</v>
      </c>
      <c r="D4311" s="9">
        <f>IFERROR(__xludf.DUMMYFUNCTION("""COMPUTED_VALUE"""),1433.0)</f>
        <v>1433</v>
      </c>
      <c r="E4311" s="9">
        <f>IFERROR(__xludf.DUMMYFUNCTION("""COMPUTED_VALUE"""),1452.45)</f>
        <v>1452.45</v>
      </c>
      <c r="F4311" s="9">
        <f>IFERROR(__xludf.DUMMYFUNCTION("""COMPUTED_VALUE"""),6254281.0)</f>
        <v>6254281</v>
      </c>
      <c r="H4311" s="27">
        <f>IFERROR(__xludf.DUMMYFUNCTION("""COMPUTED_VALUE"""),44736.64583333333)</f>
        <v>44736.64583</v>
      </c>
      <c r="I4311" s="25">
        <f>IFERROR(__xludf.DUMMYFUNCTION("""COMPUTED_VALUE"""),3339.0)</f>
        <v>3339</v>
      </c>
      <c r="J4311" s="25">
        <f>IFERROR(__xludf.DUMMYFUNCTION("""COMPUTED_VALUE"""),3345.0)</f>
        <v>3345</v>
      </c>
      <c r="K4311" s="25">
        <f>IFERROR(__xludf.DUMMYFUNCTION("""COMPUTED_VALUE"""),3277.5)</f>
        <v>3277.5</v>
      </c>
      <c r="L4311" s="25">
        <f>IFERROR(__xludf.DUMMYFUNCTION("""COMPUTED_VALUE"""),3293.1)</f>
        <v>3293.1</v>
      </c>
      <c r="M4311" s="25">
        <f>IFERROR(__xludf.DUMMYFUNCTION("""COMPUTED_VALUE"""),2132118.0)</f>
        <v>2132118</v>
      </c>
    </row>
    <row r="4312">
      <c r="A4312" s="26">
        <f>IFERROR(__xludf.DUMMYFUNCTION("""COMPUTED_VALUE"""),44736.64583333333)</f>
        <v>44736.64583</v>
      </c>
      <c r="B4312" s="9">
        <f>IFERROR(__xludf.DUMMYFUNCTION("""COMPUTED_VALUE"""),1458.0)</f>
        <v>1458</v>
      </c>
      <c r="C4312" s="9">
        <f>IFERROR(__xludf.DUMMYFUNCTION("""COMPUTED_VALUE"""),1467.5)</f>
        <v>1467.5</v>
      </c>
      <c r="D4312" s="9">
        <f>IFERROR(__xludf.DUMMYFUNCTION("""COMPUTED_VALUE"""),1428.9)</f>
        <v>1428.9</v>
      </c>
      <c r="E4312" s="9">
        <f>IFERROR(__xludf.DUMMYFUNCTION("""COMPUTED_VALUE"""),1441.1)</f>
        <v>1441.1</v>
      </c>
      <c r="F4312" s="9">
        <f>IFERROR(__xludf.DUMMYFUNCTION("""COMPUTED_VALUE"""),6114340.0)</f>
        <v>6114340</v>
      </c>
      <c r="H4312" s="27">
        <f>IFERROR(__xludf.DUMMYFUNCTION("""COMPUTED_VALUE"""),44739.64583333333)</f>
        <v>44739.64583</v>
      </c>
      <c r="I4312" s="25">
        <f>IFERROR(__xludf.DUMMYFUNCTION("""COMPUTED_VALUE"""),3350.0)</f>
        <v>3350</v>
      </c>
      <c r="J4312" s="25">
        <f>IFERROR(__xludf.DUMMYFUNCTION("""COMPUTED_VALUE"""),3362.9)</f>
        <v>3362.9</v>
      </c>
      <c r="K4312" s="25">
        <f>IFERROR(__xludf.DUMMYFUNCTION("""COMPUTED_VALUE"""),3306.5)</f>
        <v>3306.5</v>
      </c>
      <c r="L4312" s="25">
        <f>IFERROR(__xludf.DUMMYFUNCTION("""COMPUTED_VALUE"""),3314.7)</f>
        <v>3314.7</v>
      </c>
      <c r="M4312" s="25">
        <f>IFERROR(__xludf.DUMMYFUNCTION("""COMPUTED_VALUE"""),2037686.0)</f>
        <v>2037686</v>
      </c>
    </row>
    <row r="4313">
      <c r="A4313" s="26">
        <f>IFERROR(__xludf.DUMMYFUNCTION("""COMPUTED_VALUE"""),44739.64583333333)</f>
        <v>44739.64583</v>
      </c>
      <c r="B4313" s="9">
        <f>IFERROR(__xludf.DUMMYFUNCTION("""COMPUTED_VALUE"""),1468.05)</f>
        <v>1468.05</v>
      </c>
      <c r="C4313" s="9">
        <f>IFERROR(__xludf.DUMMYFUNCTION("""COMPUTED_VALUE"""),1484.0)</f>
        <v>1484</v>
      </c>
      <c r="D4313" s="9">
        <f>IFERROR(__xludf.DUMMYFUNCTION("""COMPUTED_VALUE"""),1465.15)</f>
        <v>1465.15</v>
      </c>
      <c r="E4313" s="9">
        <f>IFERROR(__xludf.DUMMYFUNCTION("""COMPUTED_VALUE"""),1474.6)</f>
        <v>1474.6</v>
      </c>
      <c r="F4313" s="9">
        <f>IFERROR(__xludf.DUMMYFUNCTION("""COMPUTED_VALUE"""),4511097.0)</f>
        <v>4511097</v>
      </c>
      <c r="H4313" s="27">
        <f>IFERROR(__xludf.DUMMYFUNCTION("""COMPUTED_VALUE"""),44740.64583333333)</f>
        <v>44740.64583</v>
      </c>
      <c r="I4313" s="25">
        <f>IFERROR(__xludf.DUMMYFUNCTION("""COMPUTED_VALUE"""),3307.0)</f>
        <v>3307</v>
      </c>
      <c r="J4313" s="25">
        <f>IFERROR(__xludf.DUMMYFUNCTION("""COMPUTED_VALUE"""),3330.0)</f>
        <v>3330</v>
      </c>
      <c r="K4313" s="25">
        <f>IFERROR(__xludf.DUMMYFUNCTION("""COMPUTED_VALUE"""),3272.6)</f>
        <v>3272.6</v>
      </c>
      <c r="L4313" s="25">
        <f>IFERROR(__xludf.DUMMYFUNCTION("""COMPUTED_VALUE"""),3318.15)</f>
        <v>3318.15</v>
      </c>
      <c r="M4313" s="25">
        <f>IFERROR(__xludf.DUMMYFUNCTION("""COMPUTED_VALUE"""),1400046.0)</f>
        <v>1400046</v>
      </c>
    </row>
    <row r="4314">
      <c r="A4314" s="26">
        <f>IFERROR(__xludf.DUMMYFUNCTION("""COMPUTED_VALUE"""),44740.64583333333)</f>
        <v>44740.64583</v>
      </c>
      <c r="B4314" s="9">
        <f>IFERROR(__xludf.DUMMYFUNCTION("""COMPUTED_VALUE"""),1469.0)</f>
        <v>1469</v>
      </c>
      <c r="C4314" s="9">
        <f>IFERROR(__xludf.DUMMYFUNCTION("""COMPUTED_VALUE"""),1488.25)</f>
        <v>1488.25</v>
      </c>
      <c r="D4314" s="9">
        <f>IFERROR(__xludf.DUMMYFUNCTION("""COMPUTED_VALUE"""),1453.0)</f>
        <v>1453</v>
      </c>
      <c r="E4314" s="9">
        <f>IFERROR(__xludf.DUMMYFUNCTION("""COMPUTED_VALUE"""),1480.15)</f>
        <v>1480.15</v>
      </c>
      <c r="F4314" s="9">
        <f>IFERROR(__xludf.DUMMYFUNCTION("""COMPUTED_VALUE"""),4412178.0)</f>
        <v>4412178</v>
      </c>
      <c r="H4314" s="27">
        <f>IFERROR(__xludf.DUMMYFUNCTION("""COMPUTED_VALUE"""),44741.64583333333)</f>
        <v>44741.64583</v>
      </c>
      <c r="I4314" s="25">
        <f>IFERROR(__xludf.DUMMYFUNCTION("""COMPUTED_VALUE"""),3271.0)</f>
        <v>3271</v>
      </c>
      <c r="J4314" s="25">
        <f>IFERROR(__xludf.DUMMYFUNCTION("""COMPUTED_VALUE"""),3333.0)</f>
        <v>3333</v>
      </c>
      <c r="K4314" s="25">
        <f>IFERROR(__xludf.DUMMYFUNCTION("""COMPUTED_VALUE"""),3271.0)</f>
        <v>3271</v>
      </c>
      <c r="L4314" s="25">
        <f>IFERROR(__xludf.DUMMYFUNCTION("""COMPUTED_VALUE"""),3290.5)</f>
        <v>3290.5</v>
      </c>
      <c r="M4314" s="25">
        <f>IFERROR(__xludf.DUMMYFUNCTION("""COMPUTED_VALUE"""),2133994.0)</f>
        <v>2133994</v>
      </c>
    </row>
    <row r="4315">
      <c r="A4315" s="26">
        <f>IFERROR(__xludf.DUMMYFUNCTION("""COMPUTED_VALUE"""),44741.64583333333)</f>
        <v>44741.64583</v>
      </c>
      <c r="B4315" s="9">
        <f>IFERROR(__xludf.DUMMYFUNCTION("""COMPUTED_VALUE"""),1464.7)</f>
        <v>1464.7</v>
      </c>
      <c r="C4315" s="9">
        <f>IFERROR(__xludf.DUMMYFUNCTION("""COMPUTED_VALUE"""),1477.0)</f>
        <v>1477</v>
      </c>
      <c r="D4315" s="9">
        <f>IFERROR(__xludf.DUMMYFUNCTION("""COMPUTED_VALUE"""),1457.0)</f>
        <v>1457</v>
      </c>
      <c r="E4315" s="9">
        <f>IFERROR(__xludf.DUMMYFUNCTION("""COMPUTED_VALUE"""),1463.25)</f>
        <v>1463.25</v>
      </c>
      <c r="F4315" s="9">
        <f>IFERROR(__xludf.DUMMYFUNCTION("""COMPUTED_VALUE"""),5060038.0)</f>
        <v>5060038</v>
      </c>
      <c r="H4315" s="27">
        <f>IFERROR(__xludf.DUMMYFUNCTION("""COMPUTED_VALUE"""),44742.64583333333)</f>
        <v>44742.64583</v>
      </c>
      <c r="I4315" s="25">
        <f>IFERROR(__xludf.DUMMYFUNCTION("""COMPUTED_VALUE"""),3272.0)</f>
        <v>3272</v>
      </c>
      <c r="J4315" s="25">
        <f>IFERROR(__xludf.DUMMYFUNCTION("""COMPUTED_VALUE"""),3310.9)</f>
        <v>3310.9</v>
      </c>
      <c r="K4315" s="25">
        <f>IFERROR(__xludf.DUMMYFUNCTION("""COMPUTED_VALUE"""),3255.0)</f>
        <v>3255</v>
      </c>
      <c r="L4315" s="25">
        <f>IFERROR(__xludf.DUMMYFUNCTION("""COMPUTED_VALUE"""),3267.1)</f>
        <v>3267.1</v>
      </c>
      <c r="M4315" s="25">
        <f>IFERROR(__xludf.DUMMYFUNCTION("""COMPUTED_VALUE"""),2719603.0)</f>
        <v>2719603</v>
      </c>
    </row>
    <row r="4316">
      <c r="A4316" s="26">
        <f>IFERROR(__xludf.DUMMYFUNCTION("""COMPUTED_VALUE"""),44742.64583333333)</f>
        <v>44742.64583</v>
      </c>
      <c r="B4316" s="9">
        <f>IFERROR(__xludf.DUMMYFUNCTION("""COMPUTED_VALUE"""),1465.05)</f>
        <v>1465.05</v>
      </c>
      <c r="C4316" s="9">
        <f>IFERROR(__xludf.DUMMYFUNCTION("""COMPUTED_VALUE"""),1482.0)</f>
        <v>1482</v>
      </c>
      <c r="D4316" s="9">
        <f>IFERROR(__xludf.DUMMYFUNCTION("""COMPUTED_VALUE"""),1455.0)</f>
        <v>1455</v>
      </c>
      <c r="E4316" s="9">
        <f>IFERROR(__xludf.DUMMYFUNCTION("""COMPUTED_VALUE"""),1461.9)</f>
        <v>1461.9</v>
      </c>
      <c r="F4316" s="9">
        <f>IFERROR(__xludf.DUMMYFUNCTION("""COMPUTED_VALUE"""),9165177.0)</f>
        <v>9165177</v>
      </c>
      <c r="H4316" s="27">
        <f>IFERROR(__xludf.DUMMYFUNCTION("""COMPUTED_VALUE"""),44743.64583333333)</f>
        <v>44743.64583</v>
      </c>
      <c r="I4316" s="25">
        <f>IFERROR(__xludf.DUMMYFUNCTION("""COMPUTED_VALUE"""),3260.0)</f>
        <v>3260</v>
      </c>
      <c r="J4316" s="25">
        <f>IFERROR(__xludf.DUMMYFUNCTION("""COMPUTED_VALUE"""),3333.0)</f>
        <v>3333</v>
      </c>
      <c r="K4316" s="25">
        <f>IFERROR(__xludf.DUMMYFUNCTION("""COMPUTED_VALUE"""),3252.05)</f>
        <v>3252.05</v>
      </c>
      <c r="L4316" s="25">
        <f>IFERROR(__xludf.DUMMYFUNCTION("""COMPUTED_VALUE"""),3315.1)</f>
        <v>3315.1</v>
      </c>
      <c r="M4316" s="25">
        <f>IFERROR(__xludf.DUMMYFUNCTION("""COMPUTED_VALUE"""),1502879.0)</f>
        <v>1502879</v>
      </c>
    </row>
    <row r="4317">
      <c r="A4317" s="26">
        <f>IFERROR(__xludf.DUMMYFUNCTION("""COMPUTED_VALUE"""),44743.64583333333)</f>
        <v>44743.64583</v>
      </c>
      <c r="B4317" s="9">
        <f>IFERROR(__xludf.DUMMYFUNCTION("""COMPUTED_VALUE"""),1454.0)</f>
        <v>1454</v>
      </c>
      <c r="C4317" s="9">
        <f>IFERROR(__xludf.DUMMYFUNCTION("""COMPUTED_VALUE"""),1485.0)</f>
        <v>1485</v>
      </c>
      <c r="D4317" s="9">
        <f>IFERROR(__xludf.DUMMYFUNCTION("""COMPUTED_VALUE"""),1442.35)</f>
        <v>1442.35</v>
      </c>
      <c r="E4317" s="9">
        <f>IFERROR(__xludf.DUMMYFUNCTION("""COMPUTED_VALUE"""),1479.4)</f>
        <v>1479.4</v>
      </c>
      <c r="F4317" s="9">
        <f>IFERROR(__xludf.DUMMYFUNCTION("""COMPUTED_VALUE"""),4651635.0)</f>
        <v>4651635</v>
      </c>
      <c r="H4317" s="27">
        <f>IFERROR(__xludf.DUMMYFUNCTION("""COMPUTED_VALUE"""),44746.64583333333)</f>
        <v>44746.64583</v>
      </c>
      <c r="I4317" s="25">
        <f>IFERROR(__xludf.DUMMYFUNCTION("""COMPUTED_VALUE"""),3312.0)</f>
        <v>3312</v>
      </c>
      <c r="J4317" s="25">
        <f>IFERROR(__xludf.DUMMYFUNCTION("""COMPUTED_VALUE"""),3317.95)</f>
        <v>3317.95</v>
      </c>
      <c r="K4317" s="25">
        <f>IFERROR(__xludf.DUMMYFUNCTION("""COMPUTED_VALUE"""),3225.05)</f>
        <v>3225.05</v>
      </c>
      <c r="L4317" s="25">
        <f>IFERROR(__xludf.DUMMYFUNCTION("""COMPUTED_VALUE"""),3235.05)</f>
        <v>3235.05</v>
      </c>
      <c r="M4317" s="25">
        <f>IFERROR(__xludf.DUMMYFUNCTION("""COMPUTED_VALUE"""),2622535.0)</f>
        <v>2622535</v>
      </c>
    </row>
    <row r="4318">
      <c r="A4318" s="26">
        <f>IFERROR(__xludf.DUMMYFUNCTION("""COMPUTED_VALUE"""),44746.64583333333)</f>
        <v>44746.64583</v>
      </c>
      <c r="B4318" s="9">
        <f>IFERROR(__xludf.DUMMYFUNCTION("""COMPUTED_VALUE"""),1480.25)</f>
        <v>1480.25</v>
      </c>
      <c r="C4318" s="9">
        <f>IFERROR(__xludf.DUMMYFUNCTION("""COMPUTED_VALUE"""),1492.25)</f>
        <v>1492.25</v>
      </c>
      <c r="D4318" s="9">
        <f>IFERROR(__xludf.DUMMYFUNCTION("""COMPUTED_VALUE"""),1462.0)</f>
        <v>1462</v>
      </c>
      <c r="E4318" s="9">
        <f>IFERROR(__xludf.DUMMYFUNCTION("""COMPUTED_VALUE"""),1488.0)</f>
        <v>1488</v>
      </c>
      <c r="F4318" s="9">
        <f>IFERROR(__xludf.DUMMYFUNCTION("""COMPUTED_VALUE"""),4800224.0)</f>
        <v>4800224</v>
      </c>
      <c r="H4318" s="27">
        <f>IFERROR(__xludf.DUMMYFUNCTION("""COMPUTED_VALUE"""),44747.64583333333)</f>
        <v>44747.64583</v>
      </c>
      <c r="I4318" s="25">
        <f>IFERROR(__xludf.DUMMYFUNCTION("""COMPUTED_VALUE"""),3255.0)</f>
        <v>3255</v>
      </c>
      <c r="J4318" s="25">
        <f>IFERROR(__xludf.DUMMYFUNCTION("""COMPUTED_VALUE"""),3272.0)</f>
        <v>3272</v>
      </c>
      <c r="K4318" s="25">
        <f>IFERROR(__xludf.DUMMYFUNCTION("""COMPUTED_VALUE"""),3206.95)</f>
        <v>3206.95</v>
      </c>
      <c r="L4318" s="25">
        <f>IFERROR(__xludf.DUMMYFUNCTION("""COMPUTED_VALUE"""),3216.3)</f>
        <v>3216.3</v>
      </c>
      <c r="M4318" s="25">
        <f>IFERROR(__xludf.DUMMYFUNCTION("""COMPUTED_VALUE"""),2170627.0)</f>
        <v>2170627</v>
      </c>
    </row>
    <row r="4319">
      <c r="A4319" s="26">
        <f>IFERROR(__xludf.DUMMYFUNCTION("""COMPUTED_VALUE"""),44747.64583333333)</f>
        <v>44747.64583</v>
      </c>
      <c r="B4319" s="9">
        <f>IFERROR(__xludf.DUMMYFUNCTION("""COMPUTED_VALUE"""),1498.8)</f>
        <v>1498.8</v>
      </c>
      <c r="C4319" s="9">
        <f>IFERROR(__xludf.DUMMYFUNCTION("""COMPUTED_VALUE"""),1509.95)</f>
        <v>1509.95</v>
      </c>
      <c r="D4319" s="9">
        <f>IFERROR(__xludf.DUMMYFUNCTION("""COMPUTED_VALUE"""),1472.0)</f>
        <v>1472</v>
      </c>
      <c r="E4319" s="9">
        <f>IFERROR(__xludf.DUMMYFUNCTION("""COMPUTED_VALUE"""),1475.95)</f>
        <v>1475.95</v>
      </c>
      <c r="F4319" s="9">
        <f>IFERROR(__xludf.DUMMYFUNCTION("""COMPUTED_VALUE"""),7379669.0)</f>
        <v>7379669</v>
      </c>
      <c r="H4319" s="27">
        <f>IFERROR(__xludf.DUMMYFUNCTION("""COMPUTED_VALUE"""),44748.64583333333)</f>
        <v>44748.64583</v>
      </c>
      <c r="I4319" s="25">
        <f>IFERROR(__xludf.DUMMYFUNCTION("""COMPUTED_VALUE"""),3218.5)</f>
        <v>3218.5</v>
      </c>
      <c r="J4319" s="25">
        <f>IFERROR(__xludf.DUMMYFUNCTION("""COMPUTED_VALUE"""),3268.5)</f>
        <v>3268.5</v>
      </c>
      <c r="K4319" s="25">
        <f>IFERROR(__xludf.DUMMYFUNCTION("""COMPUTED_VALUE"""),3202.25)</f>
        <v>3202.25</v>
      </c>
      <c r="L4319" s="25">
        <f>IFERROR(__xludf.DUMMYFUNCTION("""COMPUTED_VALUE"""),3260.75)</f>
        <v>3260.75</v>
      </c>
      <c r="M4319" s="25">
        <f>IFERROR(__xludf.DUMMYFUNCTION("""COMPUTED_VALUE"""),2182144.0)</f>
        <v>2182144</v>
      </c>
    </row>
    <row r="4320">
      <c r="A4320" s="26">
        <f>IFERROR(__xludf.DUMMYFUNCTION("""COMPUTED_VALUE"""),44748.64583333333)</f>
        <v>44748.64583</v>
      </c>
      <c r="B4320" s="9">
        <f>IFERROR(__xludf.DUMMYFUNCTION("""COMPUTED_VALUE"""),1482.2)</f>
        <v>1482.2</v>
      </c>
      <c r="C4320" s="9">
        <f>IFERROR(__xludf.DUMMYFUNCTION("""COMPUTED_VALUE"""),1500.0)</f>
        <v>1500</v>
      </c>
      <c r="D4320" s="9">
        <f>IFERROR(__xludf.DUMMYFUNCTION("""COMPUTED_VALUE"""),1470.0)</f>
        <v>1470</v>
      </c>
      <c r="E4320" s="9">
        <f>IFERROR(__xludf.DUMMYFUNCTION("""COMPUTED_VALUE"""),1491.65)</f>
        <v>1491.65</v>
      </c>
      <c r="F4320" s="9">
        <f>IFERROR(__xludf.DUMMYFUNCTION("""COMPUTED_VALUE"""),5209162.0)</f>
        <v>5209162</v>
      </c>
      <c r="H4320" s="27">
        <f>IFERROR(__xludf.DUMMYFUNCTION("""COMPUTED_VALUE"""),44749.64583333333)</f>
        <v>44749.64583</v>
      </c>
      <c r="I4320" s="25">
        <f>IFERROR(__xludf.DUMMYFUNCTION("""COMPUTED_VALUE"""),3271.0)</f>
        <v>3271</v>
      </c>
      <c r="J4320" s="25">
        <f>IFERROR(__xludf.DUMMYFUNCTION("""COMPUTED_VALUE"""),3319.4)</f>
        <v>3319.4</v>
      </c>
      <c r="K4320" s="25">
        <f>IFERROR(__xludf.DUMMYFUNCTION("""COMPUTED_VALUE"""),3265.05)</f>
        <v>3265.05</v>
      </c>
      <c r="L4320" s="25">
        <f>IFERROR(__xludf.DUMMYFUNCTION("""COMPUTED_VALUE"""),3287.85)</f>
        <v>3287.85</v>
      </c>
      <c r="M4320" s="25">
        <f>IFERROR(__xludf.DUMMYFUNCTION("""COMPUTED_VALUE"""),1989921.0)</f>
        <v>1989921</v>
      </c>
    </row>
    <row r="4321">
      <c r="A4321" s="26">
        <f>IFERROR(__xludf.DUMMYFUNCTION("""COMPUTED_VALUE"""),44749.64583333333)</f>
        <v>44749.64583</v>
      </c>
      <c r="B4321" s="9">
        <f>IFERROR(__xludf.DUMMYFUNCTION("""COMPUTED_VALUE"""),1503.05)</f>
        <v>1503.05</v>
      </c>
      <c r="C4321" s="9">
        <f>IFERROR(__xludf.DUMMYFUNCTION("""COMPUTED_VALUE"""),1513.95)</f>
        <v>1513.95</v>
      </c>
      <c r="D4321" s="9">
        <f>IFERROR(__xludf.DUMMYFUNCTION("""COMPUTED_VALUE"""),1495.7)</f>
        <v>1495.7</v>
      </c>
      <c r="E4321" s="9">
        <f>IFERROR(__xludf.DUMMYFUNCTION("""COMPUTED_VALUE"""),1498.7)</f>
        <v>1498.7</v>
      </c>
      <c r="F4321" s="9">
        <f>IFERROR(__xludf.DUMMYFUNCTION("""COMPUTED_VALUE"""),3323472.0)</f>
        <v>3323472</v>
      </c>
      <c r="H4321" s="27">
        <f>IFERROR(__xludf.DUMMYFUNCTION("""COMPUTED_VALUE"""),44750.64583333333)</f>
        <v>44750.64583</v>
      </c>
      <c r="I4321" s="25">
        <f>IFERROR(__xludf.DUMMYFUNCTION("""COMPUTED_VALUE"""),3300.0)</f>
        <v>3300</v>
      </c>
      <c r="J4321" s="25">
        <f>IFERROR(__xludf.DUMMYFUNCTION("""COMPUTED_VALUE"""),3305.0)</f>
        <v>3305</v>
      </c>
      <c r="K4321" s="25">
        <f>IFERROR(__xludf.DUMMYFUNCTION("""COMPUTED_VALUE"""),3250.0)</f>
        <v>3250</v>
      </c>
      <c r="L4321" s="25">
        <f>IFERROR(__xludf.DUMMYFUNCTION("""COMPUTED_VALUE"""),3265.45)</f>
        <v>3265.45</v>
      </c>
      <c r="M4321" s="25">
        <f>IFERROR(__xludf.DUMMYFUNCTION("""COMPUTED_VALUE"""),2136916.0)</f>
        <v>2136916</v>
      </c>
    </row>
    <row r="4322">
      <c r="A4322" s="26">
        <f>IFERROR(__xludf.DUMMYFUNCTION("""COMPUTED_VALUE"""),44750.64583333333)</f>
        <v>44750.64583</v>
      </c>
      <c r="B4322" s="9">
        <f>IFERROR(__xludf.DUMMYFUNCTION("""COMPUTED_VALUE"""),1515.0)</f>
        <v>1515</v>
      </c>
      <c r="C4322" s="9">
        <f>IFERROR(__xludf.DUMMYFUNCTION("""COMPUTED_VALUE"""),1516.95)</f>
        <v>1516.95</v>
      </c>
      <c r="D4322" s="9">
        <f>IFERROR(__xludf.DUMMYFUNCTION("""COMPUTED_VALUE"""),1499.95)</f>
        <v>1499.95</v>
      </c>
      <c r="E4322" s="9">
        <f>IFERROR(__xludf.DUMMYFUNCTION("""COMPUTED_VALUE"""),1514.45)</f>
        <v>1514.45</v>
      </c>
      <c r="F4322" s="9">
        <f>IFERROR(__xludf.DUMMYFUNCTION("""COMPUTED_VALUE"""),3652582.0)</f>
        <v>3652582</v>
      </c>
      <c r="H4322" s="27">
        <f>IFERROR(__xludf.DUMMYFUNCTION("""COMPUTED_VALUE"""),44753.64583333333)</f>
        <v>44753.64583</v>
      </c>
      <c r="I4322" s="25">
        <f>IFERROR(__xludf.DUMMYFUNCTION("""COMPUTED_VALUE"""),3206.15)</f>
        <v>3206.15</v>
      </c>
      <c r="J4322" s="25">
        <f>IFERROR(__xludf.DUMMYFUNCTION("""COMPUTED_VALUE"""),3225.0)</f>
        <v>3225</v>
      </c>
      <c r="K4322" s="25">
        <f>IFERROR(__xludf.DUMMYFUNCTION("""COMPUTED_VALUE"""),3106.0)</f>
        <v>3106</v>
      </c>
      <c r="L4322" s="25">
        <f>IFERROR(__xludf.DUMMYFUNCTION("""COMPUTED_VALUE"""),3113.8)</f>
        <v>3113.8</v>
      </c>
      <c r="M4322" s="25">
        <f>IFERROR(__xludf.DUMMYFUNCTION("""COMPUTED_VALUE"""),6974600.0)</f>
        <v>6974600</v>
      </c>
    </row>
    <row r="4323">
      <c r="A4323" s="26">
        <f>IFERROR(__xludf.DUMMYFUNCTION("""COMPUTED_VALUE"""),44753.64583333333)</f>
        <v>44753.64583</v>
      </c>
      <c r="B4323" s="9">
        <f>IFERROR(__xludf.DUMMYFUNCTION("""COMPUTED_VALUE"""),1495.0)</f>
        <v>1495</v>
      </c>
      <c r="C4323" s="9">
        <f>IFERROR(__xludf.DUMMYFUNCTION("""COMPUTED_VALUE"""),1499.9)</f>
        <v>1499.9</v>
      </c>
      <c r="D4323" s="9">
        <f>IFERROR(__xludf.DUMMYFUNCTION("""COMPUTED_VALUE"""),1466.4)</f>
        <v>1466.4</v>
      </c>
      <c r="E4323" s="9">
        <f>IFERROR(__xludf.DUMMYFUNCTION("""COMPUTED_VALUE"""),1473.15)</f>
        <v>1473.15</v>
      </c>
      <c r="F4323" s="9">
        <f>IFERROR(__xludf.DUMMYFUNCTION("""COMPUTED_VALUE"""),4702815.0)</f>
        <v>4702815</v>
      </c>
      <c r="H4323" s="27">
        <f>IFERROR(__xludf.DUMMYFUNCTION("""COMPUTED_VALUE"""),44754.64583333333)</f>
        <v>44754.64583</v>
      </c>
      <c r="I4323" s="25">
        <f>IFERROR(__xludf.DUMMYFUNCTION("""COMPUTED_VALUE"""),3114.9)</f>
        <v>3114.9</v>
      </c>
      <c r="J4323" s="25">
        <f>IFERROR(__xludf.DUMMYFUNCTION("""COMPUTED_VALUE"""),3136.2)</f>
        <v>3136.2</v>
      </c>
      <c r="K4323" s="25">
        <f>IFERROR(__xludf.DUMMYFUNCTION("""COMPUTED_VALUE"""),3080.25)</f>
        <v>3080.25</v>
      </c>
      <c r="L4323" s="25">
        <f>IFERROR(__xludf.DUMMYFUNCTION("""COMPUTED_VALUE"""),3084.7)</f>
        <v>3084.7</v>
      </c>
      <c r="M4323" s="25">
        <f>IFERROR(__xludf.DUMMYFUNCTION("""COMPUTED_VALUE"""),3734815.0)</f>
        <v>3734815</v>
      </c>
    </row>
    <row r="4324">
      <c r="A4324" s="26">
        <f>IFERROR(__xludf.DUMMYFUNCTION("""COMPUTED_VALUE"""),44754.64583333333)</f>
        <v>44754.64583</v>
      </c>
      <c r="B4324" s="9">
        <f>IFERROR(__xludf.DUMMYFUNCTION("""COMPUTED_VALUE"""),1461.8)</f>
        <v>1461.8</v>
      </c>
      <c r="C4324" s="9">
        <f>IFERROR(__xludf.DUMMYFUNCTION("""COMPUTED_VALUE"""),1468.6)</f>
        <v>1468.6</v>
      </c>
      <c r="D4324" s="9">
        <f>IFERROR(__xludf.DUMMYFUNCTION("""COMPUTED_VALUE"""),1436.0)</f>
        <v>1436</v>
      </c>
      <c r="E4324" s="9">
        <f>IFERROR(__xludf.DUMMYFUNCTION("""COMPUTED_VALUE"""),1438.6)</f>
        <v>1438.6</v>
      </c>
      <c r="F4324" s="9">
        <f>IFERROR(__xludf.DUMMYFUNCTION("""COMPUTED_VALUE"""),4710356.0)</f>
        <v>4710356</v>
      </c>
      <c r="H4324" s="27">
        <f>IFERROR(__xludf.DUMMYFUNCTION("""COMPUTED_VALUE"""),44755.64583333333)</f>
        <v>44755.64583</v>
      </c>
      <c r="I4324" s="25">
        <f>IFERROR(__xludf.DUMMYFUNCTION("""COMPUTED_VALUE"""),3104.0)</f>
        <v>3104</v>
      </c>
      <c r="J4324" s="25">
        <f>IFERROR(__xludf.DUMMYFUNCTION("""COMPUTED_VALUE"""),3110.0)</f>
        <v>3110</v>
      </c>
      <c r="K4324" s="25">
        <f>IFERROR(__xludf.DUMMYFUNCTION("""COMPUTED_VALUE"""),3035.0)</f>
        <v>3035</v>
      </c>
      <c r="L4324" s="25">
        <f>IFERROR(__xludf.DUMMYFUNCTION("""COMPUTED_VALUE"""),3038.75)</f>
        <v>3038.75</v>
      </c>
      <c r="M4324" s="25">
        <f>IFERROR(__xludf.DUMMYFUNCTION("""COMPUTED_VALUE"""),3863530.0)</f>
        <v>3863530</v>
      </c>
    </row>
    <row r="4325">
      <c r="A4325" s="26">
        <f>IFERROR(__xludf.DUMMYFUNCTION("""COMPUTED_VALUE"""),44755.64583333333)</f>
        <v>44755.64583</v>
      </c>
      <c r="B4325" s="9">
        <f>IFERROR(__xludf.DUMMYFUNCTION("""COMPUTED_VALUE"""),1450.0)</f>
        <v>1450</v>
      </c>
      <c r="C4325" s="9">
        <f>IFERROR(__xludf.DUMMYFUNCTION("""COMPUTED_VALUE"""),1460.0)</f>
        <v>1460</v>
      </c>
      <c r="D4325" s="9">
        <f>IFERROR(__xludf.DUMMYFUNCTION("""COMPUTED_VALUE"""),1438.6)</f>
        <v>1438.6</v>
      </c>
      <c r="E4325" s="9">
        <f>IFERROR(__xludf.DUMMYFUNCTION("""COMPUTED_VALUE"""),1444.45)</f>
        <v>1444.45</v>
      </c>
      <c r="F4325" s="9">
        <f>IFERROR(__xludf.DUMMYFUNCTION("""COMPUTED_VALUE"""),5264025.0)</f>
        <v>5264025</v>
      </c>
      <c r="H4325" s="27">
        <f>IFERROR(__xludf.DUMMYFUNCTION("""COMPUTED_VALUE"""),44756.64583333333)</f>
        <v>44756.64583</v>
      </c>
      <c r="I4325" s="25">
        <f>IFERROR(__xludf.DUMMYFUNCTION("""COMPUTED_VALUE"""),3056.0)</f>
        <v>3056</v>
      </c>
      <c r="J4325" s="25">
        <f>IFERROR(__xludf.DUMMYFUNCTION("""COMPUTED_VALUE"""),3057.0)</f>
        <v>3057</v>
      </c>
      <c r="K4325" s="25">
        <f>IFERROR(__xludf.DUMMYFUNCTION("""COMPUTED_VALUE"""),2967.0)</f>
        <v>2967</v>
      </c>
      <c r="L4325" s="25">
        <f>IFERROR(__xludf.DUMMYFUNCTION("""COMPUTED_VALUE"""),2998.75)</f>
        <v>2998.75</v>
      </c>
      <c r="M4325" s="25">
        <f>IFERROR(__xludf.DUMMYFUNCTION("""COMPUTED_VALUE"""),4764908.0)</f>
        <v>4764908</v>
      </c>
    </row>
    <row r="4326">
      <c r="A4326" s="26">
        <f>IFERROR(__xludf.DUMMYFUNCTION("""COMPUTED_VALUE"""),44756.64583333333)</f>
        <v>44756.64583</v>
      </c>
      <c r="B4326" s="9">
        <f>IFERROR(__xludf.DUMMYFUNCTION("""COMPUTED_VALUE"""),1451.0)</f>
        <v>1451</v>
      </c>
      <c r="C4326" s="9">
        <f>IFERROR(__xludf.DUMMYFUNCTION("""COMPUTED_VALUE"""),1452.95)</f>
        <v>1452.95</v>
      </c>
      <c r="D4326" s="9">
        <f>IFERROR(__xludf.DUMMYFUNCTION("""COMPUTED_VALUE"""),1414.0)</f>
        <v>1414</v>
      </c>
      <c r="E4326" s="9">
        <f>IFERROR(__xludf.DUMMYFUNCTION("""COMPUTED_VALUE"""),1428.85)</f>
        <v>1428.85</v>
      </c>
      <c r="F4326" s="9">
        <f>IFERROR(__xludf.DUMMYFUNCTION("""COMPUTED_VALUE"""),6157606.0)</f>
        <v>6157606</v>
      </c>
      <c r="H4326" s="27">
        <f>IFERROR(__xludf.DUMMYFUNCTION("""COMPUTED_VALUE"""),44757.64583333333)</f>
        <v>44757.64583</v>
      </c>
      <c r="I4326" s="25">
        <f>IFERROR(__xludf.DUMMYFUNCTION("""COMPUTED_VALUE"""),3018.55)</f>
        <v>3018.55</v>
      </c>
      <c r="J4326" s="25">
        <f>IFERROR(__xludf.DUMMYFUNCTION("""COMPUTED_VALUE"""),3028.9)</f>
        <v>3028.9</v>
      </c>
      <c r="K4326" s="25">
        <f>IFERROR(__xludf.DUMMYFUNCTION("""COMPUTED_VALUE"""),2953.0)</f>
        <v>2953</v>
      </c>
      <c r="L4326" s="25">
        <f>IFERROR(__xludf.DUMMYFUNCTION("""COMPUTED_VALUE"""),2994.6)</f>
        <v>2994.6</v>
      </c>
      <c r="M4326" s="25">
        <f>IFERROR(__xludf.DUMMYFUNCTION("""COMPUTED_VALUE"""),4574806.0)</f>
        <v>4574806</v>
      </c>
    </row>
    <row r="4327">
      <c r="A4327" s="26">
        <f>IFERROR(__xludf.DUMMYFUNCTION("""COMPUTED_VALUE"""),44757.64583333333)</f>
        <v>44757.64583</v>
      </c>
      <c r="B4327" s="9">
        <f>IFERROR(__xludf.DUMMYFUNCTION("""COMPUTED_VALUE"""),1446.0)</f>
        <v>1446</v>
      </c>
      <c r="C4327" s="9">
        <f>IFERROR(__xludf.DUMMYFUNCTION("""COMPUTED_VALUE"""),1446.0)</f>
        <v>1446</v>
      </c>
      <c r="D4327" s="9">
        <f>IFERROR(__xludf.DUMMYFUNCTION("""COMPUTED_VALUE"""),1410.65)</f>
        <v>1410.65</v>
      </c>
      <c r="E4327" s="9">
        <f>IFERROR(__xludf.DUMMYFUNCTION("""COMPUTED_VALUE"""),1430.35)</f>
        <v>1430.35</v>
      </c>
      <c r="F4327" s="9">
        <f>IFERROR(__xludf.DUMMYFUNCTION("""COMPUTED_VALUE"""),5620018.0)</f>
        <v>5620018</v>
      </c>
      <c r="H4327" s="27">
        <f>IFERROR(__xludf.DUMMYFUNCTION("""COMPUTED_VALUE"""),44760.64583333333)</f>
        <v>44760.64583</v>
      </c>
      <c r="I4327" s="25">
        <f>IFERROR(__xludf.DUMMYFUNCTION("""COMPUTED_VALUE"""),3023.0)</f>
        <v>3023</v>
      </c>
      <c r="J4327" s="25">
        <f>IFERROR(__xludf.DUMMYFUNCTION("""COMPUTED_VALUE"""),3076.95)</f>
        <v>3076.95</v>
      </c>
      <c r="K4327" s="25">
        <f>IFERROR(__xludf.DUMMYFUNCTION("""COMPUTED_VALUE"""),3014.3)</f>
        <v>3014.3</v>
      </c>
      <c r="L4327" s="25">
        <f>IFERROR(__xludf.DUMMYFUNCTION("""COMPUTED_VALUE"""),3063.5)</f>
        <v>3063.5</v>
      </c>
      <c r="M4327" s="25">
        <f>IFERROR(__xludf.DUMMYFUNCTION("""COMPUTED_VALUE"""),3202795.0)</f>
        <v>3202795</v>
      </c>
    </row>
    <row r="4328">
      <c r="A4328" s="26">
        <f>IFERROR(__xludf.DUMMYFUNCTION("""COMPUTED_VALUE"""),44760.64583333333)</f>
        <v>44760.64583</v>
      </c>
      <c r="B4328" s="9">
        <f>IFERROR(__xludf.DUMMYFUNCTION("""COMPUTED_VALUE"""),1450.0)</f>
        <v>1450</v>
      </c>
      <c r="C4328" s="9">
        <f>IFERROR(__xludf.DUMMYFUNCTION("""COMPUTED_VALUE"""),1493.6)</f>
        <v>1493.6</v>
      </c>
      <c r="D4328" s="9">
        <f>IFERROR(__xludf.DUMMYFUNCTION("""COMPUTED_VALUE"""),1448.05)</f>
        <v>1448.05</v>
      </c>
      <c r="E4328" s="9">
        <f>IFERROR(__xludf.DUMMYFUNCTION("""COMPUTED_VALUE"""),1489.9)</f>
        <v>1489.9</v>
      </c>
      <c r="F4328" s="9">
        <f>IFERROR(__xludf.DUMMYFUNCTION("""COMPUTED_VALUE"""),5835171.0)</f>
        <v>5835171</v>
      </c>
      <c r="H4328" s="27">
        <f>IFERROR(__xludf.DUMMYFUNCTION("""COMPUTED_VALUE"""),44761.64583333333)</f>
        <v>44761.64583</v>
      </c>
      <c r="I4328" s="25">
        <f>IFERROR(__xludf.DUMMYFUNCTION("""COMPUTED_VALUE"""),3030.05)</f>
        <v>3030.05</v>
      </c>
      <c r="J4328" s="25">
        <f>IFERROR(__xludf.DUMMYFUNCTION("""COMPUTED_VALUE"""),3078.95)</f>
        <v>3078.95</v>
      </c>
      <c r="K4328" s="25">
        <f>IFERROR(__xludf.DUMMYFUNCTION("""COMPUTED_VALUE"""),3030.05)</f>
        <v>3030.05</v>
      </c>
      <c r="L4328" s="25">
        <f>IFERROR(__xludf.DUMMYFUNCTION("""COMPUTED_VALUE"""),3074.25)</f>
        <v>3074.25</v>
      </c>
      <c r="M4328" s="25">
        <f>IFERROR(__xludf.DUMMYFUNCTION("""COMPUTED_VALUE"""),1865074.0)</f>
        <v>1865074</v>
      </c>
    </row>
    <row r="4329">
      <c r="A4329" s="26">
        <f>IFERROR(__xludf.DUMMYFUNCTION("""COMPUTED_VALUE"""),44761.64583333333)</f>
        <v>44761.64583</v>
      </c>
      <c r="B4329" s="9">
        <f>IFERROR(__xludf.DUMMYFUNCTION("""COMPUTED_VALUE"""),1471.55)</f>
        <v>1471.55</v>
      </c>
      <c r="C4329" s="9">
        <f>IFERROR(__xludf.DUMMYFUNCTION("""COMPUTED_VALUE"""),1486.85)</f>
        <v>1486.85</v>
      </c>
      <c r="D4329" s="9">
        <f>IFERROR(__xludf.DUMMYFUNCTION("""COMPUTED_VALUE"""),1470.1)</f>
        <v>1470.1</v>
      </c>
      <c r="E4329" s="9">
        <f>IFERROR(__xludf.DUMMYFUNCTION("""COMPUTED_VALUE"""),1484.15)</f>
        <v>1484.15</v>
      </c>
      <c r="F4329" s="9">
        <f>IFERROR(__xludf.DUMMYFUNCTION("""COMPUTED_VALUE"""),3418540.0)</f>
        <v>3418540</v>
      </c>
      <c r="H4329" s="27">
        <f>IFERROR(__xludf.DUMMYFUNCTION("""COMPUTED_VALUE"""),44762.64583333333)</f>
        <v>44762.64583</v>
      </c>
      <c r="I4329" s="25">
        <f>IFERROR(__xludf.DUMMYFUNCTION("""COMPUTED_VALUE"""),3107.8)</f>
        <v>3107.8</v>
      </c>
      <c r="J4329" s="25">
        <f>IFERROR(__xludf.DUMMYFUNCTION("""COMPUTED_VALUE"""),3171.95)</f>
        <v>3171.95</v>
      </c>
      <c r="K4329" s="25">
        <f>IFERROR(__xludf.DUMMYFUNCTION("""COMPUTED_VALUE"""),3098.05)</f>
        <v>3098.05</v>
      </c>
      <c r="L4329" s="25">
        <f>IFERROR(__xludf.DUMMYFUNCTION("""COMPUTED_VALUE"""),3164.8)</f>
        <v>3164.8</v>
      </c>
      <c r="M4329" s="25">
        <f>IFERROR(__xludf.DUMMYFUNCTION("""COMPUTED_VALUE"""),3402251.0)</f>
        <v>3402251</v>
      </c>
    </row>
    <row r="4330">
      <c r="A4330" s="26">
        <f>IFERROR(__xludf.DUMMYFUNCTION("""COMPUTED_VALUE"""),44762.64583333333)</f>
        <v>44762.64583</v>
      </c>
      <c r="B4330" s="9">
        <f>IFERROR(__xludf.DUMMYFUNCTION("""COMPUTED_VALUE"""),1501.25)</f>
        <v>1501.25</v>
      </c>
      <c r="C4330" s="9">
        <f>IFERROR(__xludf.DUMMYFUNCTION("""COMPUTED_VALUE"""),1525.8)</f>
        <v>1525.8</v>
      </c>
      <c r="D4330" s="9">
        <f>IFERROR(__xludf.DUMMYFUNCTION("""COMPUTED_VALUE"""),1500.0)</f>
        <v>1500</v>
      </c>
      <c r="E4330" s="9">
        <f>IFERROR(__xludf.DUMMYFUNCTION("""COMPUTED_VALUE"""),1515.3)</f>
        <v>1515.3</v>
      </c>
      <c r="F4330" s="9">
        <f>IFERROR(__xludf.DUMMYFUNCTION("""COMPUTED_VALUE"""),5079392.0)</f>
        <v>5079392</v>
      </c>
      <c r="H4330" s="27">
        <f>IFERROR(__xludf.DUMMYFUNCTION("""COMPUTED_VALUE"""),44763.64583333333)</f>
        <v>44763.64583</v>
      </c>
      <c r="I4330" s="25">
        <f>IFERROR(__xludf.DUMMYFUNCTION("""COMPUTED_VALUE"""),3167.0)</f>
        <v>3167</v>
      </c>
      <c r="J4330" s="25">
        <f>IFERROR(__xludf.DUMMYFUNCTION("""COMPUTED_VALUE"""),3184.0)</f>
        <v>3184</v>
      </c>
      <c r="K4330" s="25">
        <f>IFERROR(__xludf.DUMMYFUNCTION("""COMPUTED_VALUE"""),3144.05)</f>
        <v>3144.05</v>
      </c>
      <c r="L4330" s="25">
        <f>IFERROR(__xludf.DUMMYFUNCTION("""COMPUTED_VALUE"""),3177.3)</f>
        <v>3177.3</v>
      </c>
      <c r="M4330" s="25">
        <f>IFERROR(__xludf.DUMMYFUNCTION("""COMPUTED_VALUE"""),2420640.0)</f>
        <v>2420640</v>
      </c>
    </row>
    <row r="4331">
      <c r="A4331" s="26">
        <f>IFERROR(__xludf.DUMMYFUNCTION("""COMPUTED_VALUE"""),44763.64583333333)</f>
        <v>44763.64583</v>
      </c>
      <c r="B4331" s="9">
        <f>IFERROR(__xludf.DUMMYFUNCTION("""COMPUTED_VALUE"""),1517.0)</f>
        <v>1517</v>
      </c>
      <c r="C4331" s="9">
        <f>IFERROR(__xludf.DUMMYFUNCTION("""COMPUTED_VALUE"""),1535.45)</f>
        <v>1535.45</v>
      </c>
      <c r="D4331" s="9">
        <f>IFERROR(__xludf.DUMMYFUNCTION("""COMPUTED_VALUE"""),1503.1)</f>
        <v>1503.1</v>
      </c>
      <c r="E4331" s="9">
        <f>IFERROR(__xludf.DUMMYFUNCTION("""COMPUTED_VALUE"""),1532.9)</f>
        <v>1532.9</v>
      </c>
      <c r="F4331" s="9">
        <f>IFERROR(__xludf.DUMMYFUNCTION("""COMPUTED_VALUE"""),5008061.0)</f>
        <v>5008061</v>
      </c>
      <c r="H4331" s="27">
        <f>IFERROR(__xludf.DUMMYFUNCTION("""COMPUTED_VALUE"""),44764.64583333333)</f>
        <v>44764.64583</v>
      </c>
      <c r="I4331" s="25">
        <f>IFERROR(__xludf.DUMMYFUNCTION("""COMPUTED_VALUE"""),3185.0)</f>
        <v>3185</v>
      </c>
      <c r="J4331" s="25">
        <f>IFERROR(__xludf.DUMMYFUNCTION("""COMPUTED_VALUE"""),3197.0)</f>
        <v>3197</v>
      </c>
      <c r="K4331" s="25">
        <f>IFERROR(__xludf.DUMMYFUNCTION("""COMPUTED_VALUE"""),3143.5)</f>
        <v>3143.5</v>
      </c>
      <c r="L4331" s="25">
        <f>IFERROR(__xludf.DUMMYFUNCTION("""COMPUTED_VALUE"""),3171.0)</f>
        <v>3171</v>
      </c>
      <c r="M4331" s="25">
        <f>IFERROR(__xludf.DUMMYFUNCTION("""COMPUTED_VALUE"""),2075886.0)</f>
        <v>2075886</v>
      </c>
    </row>
    <row r="4332">
      <c r="A4332" s="26">
        <f>IFERROR(__xludf.DUMMYFUNCTION("""COMPUTED_VALUE"""),44764.64583333333)</f>
        <v>44764.64583</v>
      </c>
      <c r="B4332" s="9">
        <f>IFERROR(__xludf.DUMMYFUNCTION("""COMPUTED_VALUE"""),1534.0)</f>
        <v>1534</v>
      </c>
      <c r="C4332" s="9">
        <f>IFERROR(__xludf.DUMMYFUNCTION("""COMPUTED_VALUE"""),1540.0)</f>
        <v>1540</v>
      </c>
      <c r="D4332" s="9">
        <f>IFERROR(__xludf.DUMMYFUNCTION("""COMPUTED_VALUE"""),1492.15)</f>
        <v>1492.15</v>
      </c>
      <c r="E4332" s="9">
        <f>IFERROR(__xludf.DUMMYFUNCTION("""COMPUTED_VALUE"""),1506.3)</f>
        <v>1506.3</v>
      </c>
      <c r="F4332" s="9">
        <f>IFERROR(__xludf.DUMMYFUNCTION("""COMPUTED_VALUE"""),7020642.0)</f>
        <v>7020642</v>
      </c>
      <c r="H4332" s="27">
        <f>IFERROR(__xludf.DUMMYFUNCTION("""COMPUTED_VALUE"""),44767.64583333333)</f>
        <v>44767.64583</v>
      </c>
      <c r="I4332" s="25">
        <f>IFERROR(__xludf.DUMMYFUNCTION("""COMPUTED_VALUE"""),3165.0)</f>
        <v>3165</v>
      </c>
      <c r="J4332" s="25">
        <f>IFERROR(__xludf.DUMMYFUNCTION("""COMPUTED_VALUE"""),3186.45)</f>
        <v>3186.45</v>
      </c>
      <c r="K4332" s="25">
        <f>IFERROR(__xludf.DUMMYFUNCTION("""COMPUTED_VALUE"""),3149.1)</f>
        <v>3149.1</v>
      </c>
      <c r="L4332" s="25">
        <f>IFERROR(__xludf.DUMMYFUNCTION("""COMPUTED_VALUE"""),3166.75)</f>
        <v>3166.75</v>
      </c>
      <c r="M4332" s="25">
        <f>IFERROR(__xludf.DUMMYFUNCTION("""COMPUTED_VALUE"""),1797504.0)</f>
        <v>1797504</v>
      </c>
    </row>
    <row r="4333">
      <c r="A4333" s="26">
        <f>IFERROR(__xludf.DUMMYFUNCTION("""COMPUTED_VALUE"""),44767.64583333333)</f>
        <v>44767.64583</v>
      </c>
      <c r="B4333" s="9">
        <f>IFERROR(__xludf.DUMMYFUNCTION("""COMPUTED_VALUE"""),1480.1)</f>
        <v>1480.1</v>
      </c>
      <c r="C4333" s="9">
        <f>IFERROR(__xludf.DUMMYFUNCTION("""COMPUTED_VALUE"""),1517.15)</f>
        <v>1517.15</v>
      </c>
      <c r="D4333" s="9">
        <f>IFERROR(__xludf.DUMMYFUNCTION("""COMPUTED_VALUE"""),1480.1)</f>
        <v>1480.1</v>
      </c>
      <c r="E4333" s="9">
        <f>IFERROR(__xludf.DUMMYFUNCTION("""COMPUTED_VALUE"""),1503.6)</f>
        <v>1503.6</v>
      </c>
      <c r="F4333" s="9">
        <f>IFERROR(__xludf.DUMMYFUNCTION("""COMPUTED_VALUE"""),7859626.0)</f>
        <v>7859626</v>
      </c>
      <c r="H4333" s="27">
        <f>IFERROR(__xludf.DUMMYFUNCTION("""COMPUTED_VALUE"""),44768.64583333333)</f>
        <v>44768.64583</v>
      </c>
      <c r="I4333" s="25">
        <f>IFERROR(__xludf.DUMMYFUNCTION("""COMPUTED_VALUE"""),3164.7)</f>
        <v>3164.7</v>
      </c>
      <c r="J4333" s="25">
        <f>IFERROR(__xludf.DUMMYFUNCTION("""COMPUTED_VALUE"""),3168.9)</f>
        <v>3168.9</v>
      </c>
      <c r="K4333" s="25">
        <f>IFERROR(__xludf.DUMMYFUNCTION("""COMPUTED_VALUE"""),3096.5)</f>
        <v>3096.5</v>
      </c>
      <c r="L4333" s="25">
        <f>IFERROR(__xludf.DUMMYFUNCTION("""COMPUTED_VALUE"""),3115.9)</f>
        <v>3115.9</v>
      </c>
      <c r="M4333" s="25">
        <f>IFERROR(__xludf.DUMMYFUNCTION("""COMPUTED_VALUE"""),2639367.0)</f>
        <v>2639367</v>
      </c>
    </row>
    <row r="4334">
      <c r="A4334" s="26">
        <f>IFERROR(__xludf.DUMMYFUNCTION("""COMPUTED_VALUE"""),44768.64583333333)</f>
        <v>44768.64583</v>
      </c>
      <c r="B4334" s="9">
        <f>IFERROR(__xludf.DUMMYFUNCTION("""COMPUTED_VALUE"""),1496.65)</f>
        <v>1496.65</v>
      </c>
      <c r="C4334" s="9">
        <f>IFERROR(__xludf.DUMMYFUNCTION("""COMPUTED_VALUE"""),1496.65)</f>
        <v>1496.65</v>
      </c>
      <c r="D4334" s="9">
        <f>IFERROR(__xludf.DUMMYFUNCTION("""COMPUTED_VALUE"""),1445.0)</f>
        <v>1445</v>
      </c>
      <c r="E4334" s="9">
        <f>IFERROR(__xludf.DUMMYFUNCTION("""COMPUTED_VALUE"""),1451.15)</f>
        <v>1451.15</v>
      </c>
      <c r="F4334" s="9">
        <f>IFERROR(__xludf.DUMMYFUNCTION("""COMPUTED_VALUE"""),7268273.0)</f>
        <v>7268273</v>
      </c>
      <c r="H4334" s="27">
        <f>IFERROR(__xludf.DUMMYFUNCTION("""COMPUTED_VALUE"""),44769.64583333333)</f>
        <v>44769.64583</v>
      </c>
      <c r="I4334" s="25">
        <f>IFERROR(__xludf.DUMMYFUNCTION("""COMPUTED_VALUE"""),3115.0)</f>
        <v>3115</v>
      </c>
      <c r="J4334" s="25">
        <f>IFERROR(__xludf.DUMMYFUNCTION("""COMPUTED_VALUE"""),3194.1)</f>
        <v>3194.1</v>
      </c>
      <c r="K4334" s="25">
        <f>IFERROR(__xludf.DUMMYFUNCTION("""COMPUTED_VALUE"""),3110.0)</f>
        <v>3110</v>
      </c>
      <c r="L4334" s="25">
        <f>IFERROR(__xludf.DUMMYFUNCTION("""COMPUTED_VALUE"""),3188.85)</f>
        <v>3188.85</v>
      </c>
      <c r="M4334" s="25">
        <f>IFERROR(__xludf.DUMMYFUNCTION("""COMPUTED_VALUE"""),1389808.0)</f>
        <v>1389808</v>
      </c>
    </row>
    <row r="4335">
      <c r="A4335" s="26">
        <f>IFERROR(__xludf.DUMMYFUNCTION("""COMPUTED_VALUE"""),44769.64583333333)</f>
        <v>44769.64583</v>
      </c>
      <c r="B4335" s="9">
        <f>IFERROR(__xludf.DUMMYFUNCTION("""COMPUTED_VALUE"""),1451.0)</f>
        <v>1451</v>
      </c>
      <c r="C4335" s="9">
        <f>IFERROR(__xludf.DUMMYFUNCTION("""COMPUTED_VALUE"""),1473.0)</f>
        <v>1473</v>
      </c>
      <c r="D4335" s="9">
        <f>IFERROR(__xludf.DUMMYFUNCTION("""COMPUTED_VALUE"""),1445.0)</f>
        <v>1445</v>
      </c>
      <c r="E4335" s="9">
        <f>IFERROR(__xludf.DUMMYFUNCTION("""COMPUTED_VALUE"""),1471.05)</f>
        <v>1471.05</v>
      </c>
      <c r="F4335" s="9">
        <f>IFERROR(__xludf.DUMMYFUNCTION("""COMPUTED_VALUE"""),4517285.0)</f>
        <v>4517285</v>
      </c>
      <c r="H4335" s="27">
        <f>IFERROR(__xludf.DUMMYFUNCTION("""COMPUTED_VALUE"""),44770.64583333333)</f>
        <v>44770.64583</v>
      </c>
      <c r="I4335" s="25">
        <f>IFERROR(__xludf.DUMMYFUNCTION("""COMPUTED_VALUE"""),3216.0)</f>
        <v>3216</v>
      </c>
      <c r="J4335" s="25">
        <f>IFERROR(__xludf.DUMMYFUNCTION("""COMPUTED_VALUE"""),3264.0)</f>
        <v>3264</v>
      </c>
      <c r="K4335" s="25">
        <f>IFERROR(__xludf.DUMMYFUNCTION("""COMPUTED_VALUE"""),3201.65)</f>
        <v>3201.65</v>
      </c>
      <c r="L4335" s="25">
        <f>IFERROR(__xludf.DUMMYFUNCTION("""COMPUTED_VALUE"""),3260.5)</f>
        <v>3260.5</v>
      </c>
      <c r="M4335" s="25">
        <f>IFERROR(__xludf.DUMMYFUNCTION("""COMPUTED_VALUE"""),2106333.0)</f>
        <v>2106333</v>
      </c>
    </row>
    <row r="4336">
      <c r="A4336" s="26">
        <f>IFERROR(__xludf.DUMMYFUNCTION("""COMPUTED_VALUE"""),44770.64583333333)</f>
        <v>44770.64583</v>
      </c>
      <c r="B4336" s="9">
        <f>IFERROR(__xludf.DUMMYFUNCTION("""COMPUTED_VALUE"""),1496.4)</f>
        <v>1496.4</v>
      </c>
      <c r="C4336" s="9">
        <f>IFERROR(__xludf.DUMMYFUNCTION("""COMPUTED_VALUE"""),1524.45)</f>
        <v>1524.45</v>
      </c>
      <c r="D4336" s="9">
        <f>IFERROR(__xludf.DUMMYFUNCTION("""COMPUTED_VALUE"""),1489.85)</f>
        <v>1489.85</v>
      </c>
      <c r="E4336" s="9">
        <f>IFERROR(__xludf.DUMMYFUNCTION("""COMPUTED_VALUE"""),1517.4)</f>
        <v>1517.4</v>
      </c>
      <c r="F4336" s="9">
        <f>IFERROR(__xludf.DUMMYFUNCTION("""COMPUTED_VALUE"""),6636841.0)</f>
        <v>6636841</v>
      </c>
      <c r="H4336" s="27">
        <f>IFERROR(__xludf.DUMMYFUNCTION("""COMPUTED_VALUE"""),44771.64583333333)</f>
        <v>44771.64583</v>
      </c>
      <c r="I4336" s="25">
        <f>IFERROR(__xludf.DUMMYFUNCTION("""COMPUTED_VALUE"""),3290.0)</f>
        <v>3290</v>
      </c>
      <c r="J4336" s="25">
        <f>IFERROR(__xludf.DUMMYFUNCTION("""COMPUTED_VALUE"""),3317.3)</f>
        <v>3317.3</v>
      </c>
      <c r="K4336" s="25">
        <f>IFERROR(__xludf.DUMMYFUNCTION("""COMPUTED_VALUE"""),3275.0)</f>
        <v>3275</v>
      </c>
      <c r="L4336" s="25">
        <f>IFERROR(__xludf.DUMMYFUNCTION("""COMPUTED_VALUE"""),3301.9)</f>
        <v>3301.9</v>
      </c>
      <c r="M4336" s="25">
        <f>IFERROR(__xludf.DUMMYFUNCTION("""COMPUTED_VALUE"""),2430257.0)</f>
        <v>2430257</v>
      </c>
    </row>
    <row r="4337">
      <c r="A4337" s="26">
        <f>IFERROR(__xludf.DUMMYFUNCTION("""COMPUTED_VALUE"""),44771.64583333333)</f>
        <v>44771.64583</v>
      </c>
      <c r="B4337" s="9">
        <f>IFERROR(__xludf.DUMMYFUNCTION("""COMPUTED_VALUE"""),1532.8)</f>
        <v>1532.8</v>
      </c>
      <c r="C4337" s="9">
        <f>IFERROR(__xludf.DUMMYFUNCTION("""COMPUTED_VALUE"""),1555.7)</f>
        <v>1555.7</v>
      </c>
      <c r="D4337" s="9">
        <f>IFERROR(__xludf.DUMMYFUNCTION("""COMPUTED_VALUE"""),1528.0)</f>
        <v>1528</v>
      </c>
      <c r="E4337" s="9">
        <f>IFERROR(__xludf.DUMMYFUNCTION("""COMPUTED_VALUE"""),1549.7)</f>
        <v>1549.7</v>
      </c>
      <c r="F4337" s="9">
        <f>IFERROR(__xludf.DUMMYFUNCTION("""COMPUTED_VALUE"""),7009465.0)</f>
        <v>7009465</v>
      </c>
      <c r="H4337" s="27">
        <f>IFERROR(__xludf.DUMMYFUNCTION("""COMPUTED_VALUE"""),44774.64583333333)</f>
        <v>44774.64583</v>
      </c>
      <c r="I4337" s="25">
        <f>IFERROR(__xludf.DUMMYFUNCTION("""COMPUTED_VALUE"""),3327.0)</f>
        <v>3327</v>
      </c>
      <c r="J4337" s="25">
        <f>IFERROR(__xludf.DUMMYFUNCTION("""COMPUTED_VALUE"""),3327.0)</f>
        <v>3327</v>
      </c>
      <c r="K4337" s="25">
        <f>IFERROR(__xludf.DUMMYFUNCTION("""COMPUTED_VALUE"""),3271.0)</f>
        <v>3271</v>
      </c>
      <c r="L4337" s="25">
        <f>IFERROR(__xludf.DUMMYFUNCTION("""COMPUTED_VALUE"""),3298.8)</f>
        <v>3298.8</v>
      </c>
      <c r="M4337" s="25">
        <f>IFERROR(__xludf.DUMMYFUNCTION("""COMPUTED_VALUE"""),1306913.0)</f>
        <v>1306913</v>
      </c>
    </row>
    <row r="4338">
      <c r="A4338" s="26">
        <f>IFERROR(__xludf.DUMMYFUNCTION("""COMPUTED_VALUE"""),44774.64583333333)</f>
        <v>44774.64583</v>
      </c>
      <c r="B4338" s="9">
        <f>IFERROR(__xludf.DUMMYFUNCTION("""COMPUTED_VALUE"""),1564.0)</f>
        <v>1564</v>
      </c>
      <c r="C4338" s="9">
        <f>IFERROR(__xludf.DUMMYFUNCTION("""COMPUTED_VALUE"""),1564.0)</f>
        <v>1564</v>
      </c>
      <c r="D4338" s="9">
        <f>IFERROR(__xludf.DUMMYFUNCTION("""COMPUTED_VALUE"""),1537.9)</f>
        <v>1537.9</v>
      </c>
      <c r="E4338" s="9">
        <f>IFERROR(__xludf.DUMMYFUNCTION("""COMPUTED_VALUE"""),1551.05)</f>
        <v>1551.05</v>
      </c>
      <c r="F4338" s="9">
        <f>IFERROR(__xludf.DUMMYFUNCTION("""COMPUTED_VALUE"""),2983249.0)</f>
        <v>2983249</v>
      </c>
      <c r="H4338" s="27">
        <f>IFERROR(__xludf.DUMMYFUNCTION("""COMPUTED_VALUE"""),44775.64583333333)</f>
        <v>44775.64583</v>
      </c>
      <c r="I4338" s="25">
        <f>IFERROR(__xludf.DUMMYFUNCTION("""COMPUTED_VALUE"""),3290.0)</f>
        <v>3290</v>
      </c>
      <c r="J4338" s="25">
        <f>IFERROR(__xludf.DUMMYFUNCTION("""COMPUTED_VALUE"""),3312.9)</f>
        <v>3312.9</v>
      </c>
      <c r="K4338" s="25">
        <f>IFERROR(__xludf.DUMMYFUNCTION("""COMPUTED_VALUE"""),3271.65)</f>
        <v>3271.65</v>
      </c>
      <c r="L4338" s="25">
        <f>IFERROR(__xludf.DUMMYFUNCTION("""COMPUTED_VALUE"""),3291.8)</f>
        <v>3291.8</v>
      </c>
      <c r="M4338" s="25">
        <f>IFERROR(__xludf.DUMMYFUNCTION("""COMPUTED_VALUE"""),1269114.0)</f>
        <v>1269114</v>
      </c>
    </row>
    <row r="4339">
      <c r="A4339" s="26">
        <f>IFERROR(__xludf.DUMMYFUNCTION("""COMPUTED_VALUE"""),44775.64583333333)</f>
        <v>44775.64583</v>
      </c>
      <c r="B4339" s="9">
        <f>IFERROR(__xludf.DUMMYFUNCTION("""COMPUTED_VALUE"""),1546.55)</f>
        <v>1546.55</v>
      </c>
      <c r="C4339" s="9">
        <f>IFERROR(__xludf.DUMMYFUNCTION("""COMPUTED_VALUE"""),1547.0)</f>
        <v>1547</v>
      </c>
      <c r="D4339" s="9">
        <f>IFERROR(__xludf.DUMMYFUNCTION("""COMPUTED_VALUE"""),1528.35)</f>
        <v>1528.35</v>
      </c>
      <c r="E4339" s="9">
        <f>IFERROR(__xludf.DUMMYFUNCTION("""COMPUTED_VALUE"""),1543.6)</f>
        <v>1543.6</v>
      </c>
      <c r="F4339" s="9">
        <f>IFERROR(__xludf.DUMMYFUNCTION("""COMPUTED_VALUE"""),4374635.0)</f>
        <v>4374635</v>
      </c>
      <c r="H4339" s="27">
        <f>IFERROR(__xludf.DUMMYFUNCTION("""COMPUTED_VALUE"""),44776.64583333333)</f>
        <v>44776.64583</v>
      </c>
      <c r="I4339" s="25">
        <f>IFERROR(__xludf.DUMMYFUNCTION("""COMPUTED_VALUE"""),3280.0)</f>
        <v>3280</v>
      </c>
      <c r="J4339" s="25">
        <f>IFERROR(__xludf.DUMMYFUNCTION("""COMPUTED_VALUE"""),3349.0)</f>
        <v>3349</v>
      </c>
      <c r="K4339" s="25">
        <f>IFERROR(__xludf.DUMMYFUNCTION("""COMPUTED_VALUE"""),3277.05)</f>
        <v>3277.05</v>
      </c>
      <c r="L4339" s="25">
        <f>IFERROR(__xludf.DUMMYFUNCTION("""COMPUTED_VALUE"""),3339.5)</f>
        <v>3339.5</v>
      </c>
      <c r="M4339" s="25">
        <f>IFERROR(__xludf.DUMMYFUNCTION("""COMPUTED_VALUE"""),2895824.0)</f>
        <v>2895824</v>
      </c>
    </row>
    <row r="4340">
      <c r="A4340" s="26">
        <f>IFERROR(__xludf.DUMMYFUNCTION("""COMPUTED_VALUE"""),44776.64583333333)</f>
        <v>44776.64583</v>
      </c>
      <c r="B4340" s="9">
        <f>IFERROR(__xludf.DUMMYFUNCTION("""COMPUTED_VALUE"""),1549.0)</f>
        <v>1549</v>
      </c>
      <c r="C4340" s="9">
        <f>IFERROR(__xludf.DUMMYFUNCTION("""COMPUTED_VALUE"""),1570.0)</f>
        <v>1570</v>
      </c>
      <c r="D4340" s="9">
        <f>IFERROR(__xludf.DUMMYFUNCTION("""COMPUTED_VALUE"""),1539.9)</f>
        <v>1539.9</v>
      </c>
      <c r="E4340" s="9">
        <f>IFERROR(__xludf.DUMMYFUNCTION("""COMPUTED_VALUE"""),1566.1)</f>
        <v>1566.1</v>
      </c>
      <c r="F4340" s="9">
        <f>IFERROR(__xludf.DUMMYFUNCTION("""COMPUTED_VALUE"""),6011955.0)</f>
        <v>6011955</v>
      </c>
      <c r="H4340" s="27">
        <f>IFERROR(__xludf.DUMMYFUNCTION("""COMPUTED_VALUE"""),44777.64583333333)</f>
        <v>44777.64583</v>
      </c>
      <c r="I4340" s="25">
        <f>IFERROR(__xludf.DUMMYFUNCTION("""COMPUTED_VALUE"""),3350.0)</f>
        <v>3350</v>
      </c>
      <c r="J4340" s="25">
        <f>IFERROR(__xludf.DUMMYFUNCTION("""COMPUTED_VALUE"""),3387.9)</f>
        <v>3387.9</v>
      </c>
      <c r="K4340" s="25">
        <f>IFERROR(__xludf.DUMMYFUNCTION("""COMPUTED_VALUE"""),3307.35)</f>
        <v>3307.35</v>
      </c>
      <c r="L4340" s="25">
        <f>IFERROR(__xludf.DUMMYFUNCTION("""COMPUTED_VALUE"""),3354.95)</f>
        <v>3354.95</v>
      </c>
      <c r="M4340" s="25">
        <f>IFERROR(__xludf.DUMMYFUNCTION("""COMPUTED_VALUE"""),2150567.0)</f>
        <v>2150567</v>
      </c>
    </row>
    <row r="4341">
      <c r="A4341" s="26">
        <f>IFERROR(__xludf.DUMMYFUNCTION("""COMPUTED_VALUE"""),44777.64583333333)</f>
        <v>44777.64583</v>
      </c>
      <c r="B4341" s="9">
        <f>IFERROR(__xludf.DUMMYFUNCTION("""COMPUTED_VALUE"""),1587.5)</f>
        <v>1587.5</v>
      </c>
      <c r="C4341" s="9">
        <f>IFERROR(__xludf.DUMMYFUNCTION("""COMPUTED_VALUE"""),1603.85)</f>
        <v>1603.85</v>
      </c>
      <c r="D4341" s="9">
        <f>IFERROR(__xludf.DUMMYFUNCTION("""COMPUTED_VALUE"""),1574.95)</f>
        <v>1574.95</v>
      </c>
      <c r="E4341" s="9">
        <f>IFERROR(__xludf.DUMMYFUNCTION("""COMPUTED_VALUE"""),1599.9)</f>
        <v>1599.9</v>
      </c>
      <c r="F4341" s="9">
        <f>IFERROR(__xludf.DUMMYFUNCTION("""COMPUTED_VALUE"""),7402209.0)</f>
        <v>7402209</v>
      </c>
      <c r="H4341" s="27">
        <f>IFERROR(__xludf.DUMMYFUNCTION("""COMPUTED_VALUE"""),44778.64583333333)</f>
        <v>44778.64583</v>
      </c>
      <c r="I4341" s="25">
        <f>IFERROR(__xludf.DUMMYFUNCTION("""COMPUTED_VALUE"""),3361.2)</f>
        <v>3361.2</v>
      </c>
      <c r="J4341" s="25">
        <f>IFERROR(__xludf.DUMMYFUNCTION("""COMPUTED_VALUE"""),3377.0)</f>
        <v>3377</v>
      </c>
      <c r="K4341" s="25">
        <f>IFERROR(__xludf.DUMMYFUNCTION("""COMPUTED_VALUE"""),3355.0)</f>
        <v>3355</v>
      </c>
      <c r="L4341" s="25">
        <f>IFERROR(__xludf.DUMMYFUNCTION("""COMPUTED_VALUE"""),3365.05)</f>
        <v>3365.05</v>
      </c>
      <c r="M4341" s="25">
        <f>IFERROR(__xludf.DUMMYFUNCTION("""COMPUTED_VALUE"""),1106933.0)</f>
        <v>1106933</v>
      </c>
    </row>
    <row r="4342">
      <c r="A4342" s="26">
        <f>IFERROR(__xludf.DUMMYFUNCTION("""COMPUTED_VALUE"""),44778.64583333333)</f>
        <v>44778.64583</v>
      </c>
      <c r="B4342" s="9">
        <f>IFERROR(__xludf.DUMMYFUNCTION("""COMPUTED_VALUE"""),1608.4)</f>
        <v>1608.4</v>
      </c>
      <c r="C4342" s="9">
        <f>IFERROR(__xludf.DUMMYFUNCTION("""COMPUTED_VALUE"""),1625.7)</f>
        <v>1625.7</v>
      </c>
      <c r="D4342" s="9">
        <f>IFERROR(__xludf.DUMMYFUNCTION("""COMPUTED_VALUE"""),1602.3)</f>
        <v>1602.3</v>
      </c>
      <c r="E4342" s="9">
        <f>IFERROR(__xludf.DUMMYFUNCTION("""COMPUTED_VALUE"""),1616.65)</f>
        <v>1616.65</v>
      </c>
      <c r="F4342" s="9">
        <f>IFERROR(__xludf.DUMMYFUNCTION("""COMPUTED_VALUE"""),5361971.0)</f>
        <v>5361971</v>
      </c>
      <c r="H4342" s="27">
        <f>IFERROR(__xludf.DUMMYFUNCTION("""COMPUTED_VALUE"""),44781.64583333333)</f>
        <v>44781.64583</v>
      </c>
      <c r="I4342" s="25">
        <f>IFERROR(__xludf.DUMMYFUNCTION("""COMPUTED_VALUE"""),3365.0)</f>
        <v>3365</v>
      </c>
      <c r="J4342" s="25">
        <f>IFERROR(__xludf.DUMMYFUNCTION("""COMPUTED_VALUE"""),3378.9)</f>
        <v>3378.9</v>
      </c>
      <c r="K4342" s="25">
        <f>IFERROR(__xludf.DUMMYFUNCTION("""COMPUTED_VALUE"""),3336.0)</f>
        <v>3336</v>
      </c>
      <c r="L4342" s="25">
        <f>IFERROR(__xludf.DUMMYFUNCTION("""COMPUTED_VALUE"""),3374.45)</f>
        <v>3374.45</v>
      </c>
      <c r="M4342" s="25">
        <f>IFERROR(__xludf.DUMMYFUNCTION("""COMPUTED_VALUE"""),1068836.0)</f>
        <v>1068836</v>
      </c>
    </row>
    <row r="4343">
      <c r="A4343" s="26">
        <f>IFERROR(__xludf.DUMMYFUNCTION("""COMPUTED_VALUE"""),44781.64583333333)</f>
        <v>44781.64583</v>
      </c>
      <c r="B4343" s="9">
        <f>IFERROR(__xludf.DUMMYFUNCTION("""COMPUTED_VALUE"""),1617.0)</f>
        <v>1617</v>
      </c>
      <c r="C4343" s="9">
        <f>IFERROR(__xludf.DUMMYFUNCTION("""COMPUTED_VALUE"""),1622.0)</f>
        <v>1622</v>
      </c>
      <c r="D4343" s="9">
        <f>IFERROR(__xludf.DUMMYFUNCTION("""COMPUTED_VALUE"""),1596.0)</f>
        <v>1596</v>
      </c>
      <c r="E4343" s="9">
        <f>IFERROR(__xludf.DUMMYFUNCTION("""COMPUTED_VALUE"""),1619.4)</f>
        <v>1619.4</v>
      </c>
      <c r="F4343" s="9">
        <f>IFERROR(__xludf.DUMMYFUNCTION("""COMPUTED_VALUE"""),3763409.0)</f>
        <v>3763409</v>
      </c>
      <c r="H4343" s="27">
        <f>IFERROR(__xludf.DUMMYFUNCTION("""COMPUTED_VALUE"""),44783.64583333333)</f>
        <v>44783.64583</v>
      </c>
      <c r="I4343" s="25">
        <f>IFERROR(__xludf.DUMMYFUNCTION("""COMPUTED_VALUE"""),3385.0)</f>
        <v>3385</v>
      </c>
      <c r="J4343" s="25">
        <f>IFERROR(__xludf.DUMMYFUNCTION("""COMPUTED_VALUE"""),3385.0)</f>
        <v>3385</v>
      </c>
      <c r="K4343" s="25">
        <f>IFERROR(__xludf.DUMMYFUNCTION("""COMPUTED_VALUE"""),3335.0)</f>
        <v>3335</v>
      </c>
      <c r="L4343" s="25">
        <f>IFERROR(__xludf.DUMMYFUNCTION("""COMPUTED_VALUE"""),3354.25)</f>
        <v>3354.25</v>
      </c>
      <c r="M4343" s="25">
        <f>IFERROR(__xludf.DUMMYFUNCTION("""COMPUTED_VALUE"""),1878359.0)</f>
        <v>1878359</v>
      </c>
    </row>
    <row r="4344">
      <c r="A4344" s="26">
        <f>IFERROR(__xludf.DUMMYFUNCTION("""COMPUTED_VALUE"""),44783.64583333333)</f>
        <v>44783.64583</v>
      </c>
      <c r="B4344" s="9">
        <f>IFERROR(__xludf.DUMMYFUNCTION("""COMPUTED_VALUE"""),1621.2)</f>
        <v>1621.2</v>
      </c>
      <c r="C4344" s="9">
        <f>IFERROR(__xludf.DUMMYFUNCTION("""COMPUTED_VALUE"""),1621.2)</f>
        <v>1621.2</v>
      </c>
      <c r="D4344" s="9">
        <f>IFERROR(__xludf.DUMMYFUNCTION("""COMPUTED_VALUE"""),1588.1)</f>
        <v>1588.1</v>
      </c>
      <c r="E4344" s="9">
        <f>IFERROR(__xludf.DUMMYFUNCTION("""COMPUTED_VALUE"""),1602.45)</f>
        <v>1602.45</v>
      </c>
      <c r="F4344" s="9">
        <f>IFERROR(__xludf.DUMMYFUNCTION("""COMPUTED_VALUE"""),4423829.0)</f>
        <v>4423829</v>
      </c>
      <c r="H4344" s="27">
        <f>IFERROR(__xludf.DUMMYFUNCTION("""COMPUTED_VALUE"""),44784.64583333333)</f>
        <v>44784.64583</v>
      </c>
      <c r="I4344" s="25">
        <f>IFERROR(__xludf.DUMMYFUNCTION("""COMPUTED_VALUE"""),3400.0)</f>
        <v>3400</v>
      </c>
      <c r="J4344" s="25">
        <f>IFERROR(__xludf.DUMMYFUNCTION("""COMPUTED_VALUE"""),3428.7)</f>
        <v>3428.7</v>
      </c>
      <c r="K4344" s="25">
        <f>IFERROR(__xludf.DUMMYFUNCTION("""COMPUTED_VALUE"""),3375.05)</f>
        <v>3375.05</v>
      </c>
      <c r="L4344" s="25">
        <f>IFERROR(__xludf.DUMMYFUNCTION("""COMPUTED_VALUE"""),3422.5)</f>
        <v>3422.5</v>
      </c>
      <c r="M4344" s="25">
        <f>IFERROR(__xludf.DUMMYFUNCTION("""COMPUTED_VALUE"""),1449248.0)</f>
        <v>1449248</v>
      </c>
    </row>
    <row r="4345">
      <c r="A4345" s="26">
        <f>IFERROR(__xludf.DUMMYFUNCTION("""COMPUTED_VALUE"""),44784.64583333333)</f>
        <v>44784.64583</v>
      </c>
      <c r="B4345" s="9">
        <f>IFERROR(__xludf.DUMMYFUNCTION("""COMPUTED_VALUE"""),1630.0)</f>
        <v>1630</v>
      </c>
      <c r="C4345" s="9">
        <f>IFERROR(__xludf.DUMMYFUNCTION("""COMPUTED_VALUE"""),1631.35)</f>
        <v>1631.35</v>
      </c>
      <c r="D4345" s="9">
        <f>IFERROR(__xludf.DUMMYFUNCTION("""COMPUTED_VALUE"""),1616.0)</f>
        <v>1616</v>
      </c>
      <c r="E4345" s="9">
        <f>IFERROR(__xludf.DUMMYFUNCTION("""COMPUTED_VALUE"""),1619.95)</f>
        <v>1619.95</v>
      </c>
      <c r="F4345" s="9">
        <f>IFERROR(__xludf.DUMMYFUNCTION("""COMPUTED_VALUE"""),3462090.0)</f>
        <v>3462090</v>
      </c>
      <c r="H4345" s="27">
        <f>IFERROR(__xludf.DUMMYFUNCTION("""COMPUTED_VALUE"""),44785.64583333333)</f>
        <v>44785.64583</v>
      </c>
      <c r="I4345" s="25">
        <f>IFERROR(__xludf.DUMMYFUNCTION("""COMPUTED_VALUE"""),3419.0)</f>
        <v>3419</v>
      </c>
      <c r="J4345" s="25">
        <f>IFERROR(__xludf.DUMMYFUNCTION("""COMPUTED_VALUE"""),3419.0)</f>
        <v>3419</v>
      </c>
      <c r="K4345" s="25">
        <f>IFERROR(__xludf.DUMMYFUNCTION("""COMPUTED_VALUE"""),3381.25)</f>
        <v>3381.25</v>
      </c>
      <c r="L4345" s="25">
        <f>IFERROR(__xludf.DUMMYFUNCTION("""COMPUTED_VALUE"""),3401.55)</f>
        <v>3401.55</v>
      </c>
      <c r="M4345" s="25">
        <f>IFERROR(__xludf.DUMMYFUNCTION("""COMPUTED_VALUE"""),1472354.0)</f>
        <v>1472354</v>
      </c>
    </row>
    <row r="4346">
      <c r="A4346" s="26">
        <f>IFERROR(__xludf.DUMMYFUNCTION("""COMPUTED_VALUE"""),44785.64583333333)</f>
        <v>44785.64583</v>
      </c>
      <c r="B4346" s="9">
        <f>IFERROR(__xludf.DUMMYFUNCTION("""COMPUTED_VALUE"""),1613.3)</f>
        <v>1613.3</v>
      </c>
      <c r="C4346" s="9">
        <f>IFERROR(__xludf.DUMMYFUNCTION("""COMPUTED_VALUE"""),1614.0)</f>
        <v>1614</v>
      </c>
      <c r="D4346" s="9">
        <f>IFERROR(__xludf.DUMMYFUNCTION("""COMPUTED_VALUE"""),1590.15)</f>
        <v>1590.15</v>
      </c>
      <c r="E4346" s="9">
        <f>IFERROR(__xludf.DUMMYFUNCTION("""COMPUTED_VALUE"""),1594.1)</f>
        <v>1594.1</v>
      </c>
      <c r="F4346" s="9">
        <f>IFERROR(__xludf.DUMMYFUNCTION("""COMPUTED_VALUE"""),3562286.0)</f>
        <v>3562286</v>
      </c>
      <c r="H4346" s="27">
        <f>IFERROR(__xludf.DUMMYFUNCTION("""COMPUTED_VALUE"""),44789.64583333333)</f>
        <v>44789.64583</v>
      </c>
      <c r="I4346" s="25">
        <f>IFERROR(__xludf.DUMMYFUNCTION("""COMPUTED_VALUE"""),3411.0)</f>
        <v>3411</v>
      </c>
      <c r="J4346" s="25">
        <f>IFERROR(__xludf.DUMMYFUNCTION("""COMPUTED_VALUE"""),3414.85)</f>
        <v>3414.85</v>
      </c>
      <c r="K4346" s="25">
        <f>IFERROR(__xludf.DUMMYFUNCTION("""COMPUTED_VALUE"""),3387.5)</f>
        <v>3387.5</v>
      </c>
      <c r="L4346" s="25">
        <f>IFERROR(__xludf.DUMMYFUNCTION("""COMPUTED_VALUE"""),3392.7)</f>
        <v>3392.7</v>
      </c>
      <c r="M4346" s="25">
        <f>IFERROR(__xludf.DUMMYFUNCTION("""COMPUTED_VALUE"""),839942.0)</f>
        <v>839942</v>
      </c>
    </row>
    <row r="4347">
      <c r="A4347" s="26">
        <f>IFERROR(__xludf.DUMMYFUNCTION("""COMPUTED_VALUE"""),44789.64583333333)</f>
        <v>44789.64583</v>
      </c>
      <c r="B4347" s="9">
        <f>IFERROR(__xludf.DUMMYFUNCTION("""COMPUTED_VALUE"""),1609.0)</f>
        <v>1609</v>
      </c>
      <c r="C4347" s="9">
        <f>IFERROR(__xludf.DUMMYFUNCTION("""COMPUTED_VALUE"""),1609.0)</f>
        <v>1609</v>
      </c>
      <c r="D4347" s="9">
        <f>IFERROR(__xludf.DUMMYFUNCTION("""COMPUTED_VALUE"""),1591.1)</f>
        <v>1591.1</v>
      </c>
      <c r="E4347" s="9">
        <f>IFERROR(__xludf.DUMMYFUNCTION("""COMPUTED_VALUE"""),1596.45)</f>
        <v>1596.45</v>
      </c>
      <c r="F4347" s="9">
        <f>IFERROR(__xludf.DUMMYFUNCTION("""COMPUTED_VALUE"""),3004430.0)</f>
        <v>3004430</v>
      </c>
      <c r="H4347" s="27">
        <f>IFERROR(__xludf.DUMMYFUNCTION("""COMPUTED_VALUE"""),44790.64583333333)</f>
        <v>44790.64583</v>
      </c>
      <c r="I4347" s="25">
        <f>IFERROR(__xludf.DUMMYFUNCTION("""COMPUTED_VALUE"""),3385.1)</f>
        <v>3385.1</v>
      </c>
      <c r="J4347" s="25">
        <f>IFERROR(__xludf.DUMMYFUNCTION("""COMPUTED_VALUE"""),3417.95)</f>
        <v>3417.95</v>
      </c>
      <c r="K4347" s="25">
        <f>IFERROR(__xludf.DUMMYFUNCTION("""COMPUTED_VALUE"""),3371.1)</f>
        <v>3371.1</v>
      </c>
      <c r="L4347" s="25">
        <f>IFERROR(__xludf.DUMMYFUNCTION("""COMPUTED_VALUE"""),3401.1)</f>
        <v>3401.1</v>
      </c>
      <c r="M4347" s="25">
        <f>IFERROR(__xludf.DUMMYFUNCTION("""COMPUTED_VALUE"""),1622326.0)</f>
        <v>1622326</v>
      </c>
    </row>
    <row r="4348">
      <c r="A4348" s="26">
        <f>IFERROR(__xludf.DUMMYFUNCTION("""COMPUTED_VALUE"""),44790.64583333333)</f>
        <v>44790.64583</v>
      </c>
      <c r="B4348" s="9">
        <f>IFERROR(__xludf.DUMMYFUNCTION("""COMPUTED_VALUE"""),1596.45)</f>
        <v>1596.45</v>
      </c>
      <c r="C4348" s="9">
        <f>IFERROR(__xludf.DUMMYFUNCTION("""COMPUTED_VALUE"""),1612.0)</f>
        <v>1612</v>
      </c>
      <c r="D4348" s="9">
        <f>IFERROR(__xludf.DUMMYFUNCTION("""COMPUTED_VALUE"""),1585.0)</f>
        <v>1585</v>
      </c>
      <c r="E4348" s="9">
        <f>IFERROR(__xludf.DUMMYFUNCTION("""COMPUTED_VALUE"""),1606.25)</f>
        <v>1606.25</v>
      </c>
      <c r="F4348" s="9">
        <f>IFERROR(__xludf.DUMMYFUNCTION("""COMPUTED_VALUE"""),4067324.0)</f>
        <v>4067324</v>
      </c>
      <c r="H4348" s="27">
        <f>IFERROR(__xludf.DUMMYFUNCTION("""COMPUTED_VALUE"""),44791.64583333333)</f>
        <v>44791.64583</v>
      </c>
      <c r="I4348" s="25">
        <f>IFERROR(__xludf.DUMMYFUNCTION("""COMPUTED_VALUE"""),3390.0)</f>
        <v>3390</v>
      </c>
      <c r="J4348" s="25">
        <f>IFERROR(__xludf.DUMMYFUNCTION("""COMPUTED_VALUE"""),3392.0)</f>
        <v>3392</v>
      </c>
      <c r="K4348" s="25">
        <f>IFERROR(__xludf.DUMMYFUNCTION("""COMPUTED_VALUE"""),3362.0)</f>
        <v>3362</v>
      </c>
      <c r="L4348" s="25">
        <f>IFERROR(__xludf.DUMMYFUNCTION("""COMPUTED_VALUE"""),3381.25)</f>
        <v>3381.25</v>
      </c>
      <c r="M4348" s="25">
        <f>IFERROR(__xludf.DUMMYFUNCTION("""COMPUTED_VALUE"""),1430659.0)</f>
        <v>1430659</v>
      </c>
    </row>
    <row r="4349">
      <c r="A4349" s="26">
        <f>IFERROR(__xludf.DUMMYFUNCTION("""COMPUTED_VALUE"""),44791.64583333333)</f>
        <v>44791.64583</v>
      </c>
      <c r="B4349" s="9">
        <f>IFERROR(__xludf.DUMMYFUNCTION("""COMPUTED_VALUE"""),1594.1)</f>
        <v>1594.1</v>
      </c>
      <c r="C4349" s="9">
        <f>IFERROR(__xludf.DUMMYFUNCTION("""COMPUTED_VALUE"""),1598.2)</f>
        <v>1598.2</v>
      </c>
      <c r="D4349" s="9">
        <f>IFERROR(__xludf.DUMMYFUNCTION("""COMPUTED_VALUE"""),1574.0)</f>
        <v>1574</v>
      </c>
      <c r="E4349" s="9">
        <f>IFERROR(__xludf.DUMMYFUNCTION("""COMPUTED_VALUE"""),1582.95)</f>
        <v>1582.95</v>
      </c>
      <c r="F4349" s="9">
        <f>IFERROR(__xludf.DUMMYFUNCTION("""COMPUTED_VALUE"""),4635706.0)</f>
        <v>4635706</v>
      </c>
      <c r="H4349" s="27">
        <f>IFERROR(__xludf.DUMMYFUNCTION("""COMPUTED_VALUE"""),44792.64583333333)</f>
        <v>44792.64583</v>
      </c>
      <c r="I4349" s="25">
        <f>IFERROR(__xludf.DUMMYFUNCTION("""COMPUTED_VALUE"""),3387.0)</f>
        <v>3387</v>
      </c>
      <c r="J4349" s="25">
        <f>IFERROR(__xludf.DUMMYFUNCTION("""COMPUTED_VALUE"""),3421.5)</f>
        <v>3421.5</v>
      </c>
      <c r="K4349" s="25">
        <f>IFERROR(__xludf.DUMMYFUNCTION("""COMPUTED_VALUE"""),3371.25)</f>
        <v>3371.25</v>
      </c>
      <c r="L4349" s="25">
        <f>IFERROR(__xludf.DUMMYFUNCTION("""COMPUTED_VALUE"""),3385.75)</f>
        <v>3385.75</v>
      </c>
      <c r="M4349" s="25">
        <f>IFERROR(__xludf.DUMMYFUNCTION("""COMPUTED_VALUE"""),1398410.0)</f>
        <v>1398410</v>
      </c>
    </row>
    <row r="4350">
      <c r="A4350" s="26">
        <f>IFERROR(__xludf.DUMMYFUNCTION("""COMPUTED_VALUE"""),44792.64583333333)</f>
        <v>44792.64583</v>
      </c>
      <c r="B4350" s="9">
        <f>IFERROR(__xludf.DUMMYFUNCTION("""COMPUTED_VALUE"""),1585.3)</f>
        <v>1585.3</v>
      </c>
      <c r="C4350" s="9">
        <f>IFERROR(__xludf.DUMMYFUNCTION("""COMPUTED_VALUE"""),1604.9)</f>
        <v>1604.9</v>
      </c>
      <c r="D4350" s="9">
        <f>IFERROR(__xludf.DUMMYFUNCTION("""COMPUTED_VALUE"""),1585.1)</f>
        <v>1585.1</v>
      </c>
      <c r="E4350" s="9">
        <f>IFERROR(__xludf.DUMMYFUNCTION("""COMPUTED_VALUE"""),1597.1)</f>
        <v>1597.1</v>
      </c>
      <c r="F4350" s="9">
        <f>IFERROR(__xludf.DUMMYFUNCTION("""COMPUTED_VALUE"""),4739884.0)</f>
        <v>4739884</v>
      </c>
      <c r="H4350" s="27">
        <f>IFERROR(__xludf.DUMMYFUNCTION("""COMPUTED_VALUE"""),44795.64583333333)</f>
        <v>44795.64583</v>
      </c>
      <c r="I4350" s="25">
        <f>IFERROR(__xludf.DUMMYFUNCTION("""COMPUTED_VALUE"""),3365.0)</f>
        <v>3365</v>
      </c>
      <c r="J4350" s="25">
        <f>IFERROR(__xludf.DUMMYFUNCTION("""COMPUTED_VALUE"""),3384.1)</f>
        <v>3384.1</v>
      </c>
      <c r="K4350" s="25">
        <f>IFERROR(__xludf.DUMMYFUNCTION("""COMPUTED_VALUE"""),3347.4)</f>
        <v>3347.4</v>
      </c>
      <c r="L4350" s="25">
        <f>IFERROR(__xludf.DUMMYFUNCTION("""COMPUTED_VALUE"""),3354.55)</f>
        <v>3354.55</v>
      </c>
      <c r="M4350" s="25">
        <f>IFERROR(__xludf.DUMMYFUNCTION("""COMPUTED_VALUE"""),1536532.0)</f>
        <v>1536532</v>
      </c>
    </row>
    <row r="4351">
      <c r="A4351" s="26">
        <f>IFERROR(__xludf.DUMMYFUNCTION("""COMPUTED_VALUE"""),44795.64583333333)</f>
        <v>44795.64583</v>
      </c>
      <c r="B4351" s="9">
        <f>IFERROR(__xludf.DUMMYFUNCTION("""COMPUTED_VALUE"""),1586.0)</f>
        <v>1586</v>
      </c>
      <c r="C4351" s="9">
        <f>IFERROR(__xludf.DUMMYFUNCTION("""COMPUTED_VALUE"""),1599.0)</f>
        <v>1599</v>
      </c>
      <c r="D4351" s="9">
        <f>IFERROR(__xludf.DUMMYFUNCTION("""COMPUTED_VALUE"""),1574.0)</f>
        <v>1574</v>
      </c>
      <c r="E4351" s="9">
        <f>IFERROR(__xludf.DUMMYFUNCTION("""COMPUTED_VALUE"""),1575.65)</f>
        <v>1575.65</v>
      </c>
      <c r="F4351" s="9">
        <f>IFERROR(__xludf.DUMMYFUNCTION("""COMPUTED_VALUE"""),3950555.0)</f>
        <v>3950555</v>
      </c>
      <c r="H4351" s="27">
        <f>IFERROR(__xludf.DUMMYFUNCTION("""COMPUTED_VALUE"""),44796.64583333333)</f>
        <v>44796.64583</v>
      </c>
      <c r="I4351" s="25">
        <f>IFERROR(__xludf.DUMMYFUNCTION("""COMPUTED_VALUE"""),3319.95)</f>
        <v>3319.95</v>
      </c>
      <c r="J4351" s="25">
        <f>IFERROR(__xludf.DUMMYFUNCTION("""COMPUTED_VALUE"""),3341.9)</f>
        <v>3341.9</v>
      </c>
      <c r="K4351" s="25">
        <f>IFERROR(__xludf.DUMMYFUNCTION("""COMPUTED_VALUE"""),3270.0)</f>
        <v>3270</v>
      </c>
      <c r="L4351" s="25">
        <f>IFERROR(__xludf.DUMMYFUNCTION("""COMPUTED_VALUE"""),3284.6)</f>
        <v>3284.6</v>
      </c>
      <c r="M4351" s="25">
        <f>IFERROR(__xludf.DUMMYFUNCTION("""COMPUTED_VALUE"""),1849256.0)</f>
        <v>1849256</v>
      </c>
    </row>
    <row r="4352">
      <c r="A4352" s="26">
        <f>IFERROR(__xludf.DUMMYFUNCTION("""COMPUTED_VALUE"""),44796.64583333333)</f>
        <v>44796.64583</v>
      </c>
      <c r="B4352" s="9">
        <f>IFERROR(__xludf.DUMMYFUNCTION("""COMPUTED_VALUE"""),1548.0)</f>
        <v>1548</v>
      </c>
      <c r="C4352" s="9">
        <f>IFERROR(__xludf.DUMMYFUNCTION("""COMPUTED_VALUE"""),1554.5)</f>
        <v>1554.5</v>
      </c>
      <c r="D4352" s="9">
        <f>IFERROR(__xludf.DUMMYFUNCTION("""COMPUTED_VALUE"""),1533.0)</f>
        <v>1533</v>
      </c>
      <c r="E4352" s="9">
        <f>IFERROR(__xludf.DUMMYFUNCTION("""COMPUTED_VALUE"""),1542.4)</f>
        <v>1542.4</v>
      </c>
      <c r="F4352" s="9">
        <f>IFERROR(__xludf.DUMMYFUNCTION("""COMPUTED_VALUE"""),5551574.0)</f>
        <v>5551574</v>
      </c>
      <c r="H4352" s="27">
        <f>IFERROR(__xludf.DUMMYFUNCTION("""COMPUTED_VALUE"""),44797.64583333333)</f>
        <v>44797.64583</v>
      </c>
      <c r="I4352" s="25">
        <f>IFERROR(__xludf.DUMMYFUNCTION("""COMPUTED_VALUE"""),3292.0)</f>
        <v>3292</v>
      </c>
      <c r="J4352" s="25">
        <f>IFERROR(__xludf.DUMMYFUNCTION("""COMPUTED_VALUE"""),3308.0)</f>
        <v>3308</v>
      </c>
      <c r="K4352" s="25">
        <f>IFERROR(__xludf.DUMMYFUNCTION("""COMPUTED_VALUE"""),3250.2)</f>
        <v>3250.2</v>
      </c>
      <c r="L4352" s="25">
        <f>IFERROR(__xludf.DUMMYFUNCTION("""COMPUTED_VALUE"""),3255.35)</f>
        <v>3255.35</v>
      </c>
      <c r="M4352" s="25">
        <f>IFERROR(__xludf.DUMMYFUNCTION("""COMPUTED_VALUE"""),1691923.0)</f>
        <v>1691923</v>
      </c>
    </row>
    <row r="4353">
      <c r="A4353" s="26">
        <f>IFERROR(__xludf.DUMMYFUNCTION("""COMPUTED_VALUE"""),44797.64583333333)</f>
        <v>44797.64583</v>
      </c>
      <c r="B4353" s="9">
        <f>IFERROR(__xludf.DUMMYFUNCTION("""COMPUTED_VALUE"""),1535.0)</f>
        <v>1535</v>
      </c>
      <c r="C4353" s="9">
        <f>IFERROR(__xludf.DUMMYFUNCTION("""COMPUTED_VALUE"""),1546.0)</f>
        <v>1546</v>
      </c>
      <c r="D4353" s="9">
        <f>IFERROR(__xludf.DUMMYFUNCTION("""COMPUTED_VALUE"""),1531.0)</f>
        <v>1531</v>
      </c>
      <c r="E4353" s="9">
        <f>IFERROR(__xludf.DUMMYFUNCTION("""COMPUTED_VALUE"""),1537.5)</f>
        <v>1537.5</v>
      </c>
      <c r="F4353" s="9">
        <f>IFERROR(__xludf.DUMMYFUNCTION("""COMPUTED_VALUE"""),2888426.0)</f>
        <v>2888426</v>
      </c>
      <c r="H4353" s="27">
        <f>IFERROR(__xludf.DUMMYFUNCTION("""COMPUTED_VALUE"""),44798.64583333333)</f>
        <v>44798.64583</v>
      </c>
      <c r="I4353" s="25">
        <f>IFERROR(__xludf.DUMMYFUNCTION("""COMPUTED_VALUE"""),3276.0)</f>
        <v>3276</v>
      </c>
      <c r="J4353" s="25">
        <f>IFERROR(__xludf.DUMMYFUNCTION("""COMPUTED_VALUE"""),3278.15)</f>
        <v>3278.15</v>
      </c>
      <c r="K4353" s="25">
        <f>IFERROR(__xludf.DUMMYFUNCTION("""COMPUTED_VALUE"""),3214.75)</f>
        <v>3214.75</v>
      </c>
      <c r="L4353" s="25">
        <f>IFERROR(__xludf.DUMMYFUNCTION("""COMPUTED_VALUE"""),3218.2)</f>
        <v>3218.2</v>
      </c>
      <c r="M4353" s="25">
        <f>IFERROR(__xludf.DUMMYFUNCTION("""COMPUTED_VALUE"""),1946930.0)</f>
        <v>1946930</v>
      </c>
    </row>
    <row r="4354">
      <c r="A4354" s="26">
        <f>IFERROR(__xludf.DUMMYFUNCTION("""COMPUTED_VALUE"""),44798.64583333333)</f>
        <v>44798.64583</v>
      </c>
      <c r="B4354" s="9">
        <f>IFERROR(__xludf.DUMMYFUNCTION("""COMPUTED_VALUE"""),1548.0)</f>
        <v>1548</v>
      </c>
      <c r="C4354" s="9">
        <f>IFERROR(__xludf.DUMMYFUNCTION("""COMPUTED_VALUE"""),1548.7)</f>
        <v>1548.7</v>
      </c>
      <c r="D4354" s="9">
        <f>IFERROR(__xludf.DUMMYFUNCTION("""COMPUTED_VALUE"""),1513.75)</f>
        <v>1513.75</v>
      </c>
      <c r="E4354" s="9">
        <f>IFERROR(__xludf.DUMMYFUNCTION("""COMPUTED_VALUE"""),1518.15)</f>
        <v>1518.15</v>
      </c>
      <c r="F4354" s="9">
        <f>IFERROR(__xludf.DUMMYFUNCTION("""COMPUTED_VALUE"""),4331088.0)</f>
        <v>4331088</v>
      </c>
      <c r="H4354" s="27">
        <f>IFERROR(__xludf.DUMMYFUNCTION("""COMPUTED_VALUE"""),44799.64583333333)</f>
        <v>44799.64583</v>
      </c>
      <c r="I4354" s="25">
        <f>IFERROR(__xludf.DUMMYFUNCTION("""COMPUTED_VALUE"""),3234.3)</f>
        <v>3234.3</v>
      </c>
      <c r="J4354" s="25">
        <f>IFERROR(__xludf.DUMMYFUNCTION("""COMPUTED_VALUE"""),3257.0)</f>
        <v>3257</v>
      </c>
      <c r="K4354" s="25">
        <f>IFERROR(__xludf.DUMMYFUNCTION("""COMPUTED_VALUE"""),3216.8)</f>
        <v>3216.8</v>
      </c>
      <c r="L4354" s="25">
        <f>IFERROR(__xludf.DUMMYFUNCTION("""COMPUTED_VALUE"""),3222.2)</f>
        <v>3222.2</v>
      </c>
      <c r="M4354" s="25">
        <f>IFERROR(__xludf.DUMMYFUNCTION("""COMPUTED_VALUE"""),1457962.0)</f>
        <v>1457962</v>
      </c>
    </row>
    <row r="4355">
      <c r="A4355" s="26">
        <f>IFERROR(__xludf.DUMMYFUNCTION("""COMPUTED_VALUE"""),44799.64583333333)</f>
        <v>44799.64583</v>
      </c>
      <c r="B4355" s="9">
        <f>IFERROR(__xludf.DUMMYFUNCTION("""COMPUTED_VALUE"""),1535.15)</f>
        <v>1535.15</v>
      </c>
      <c r="C4355" s="9">
        <f>IFERROR(__xludf.DUMMYFUNCTION("""COMPUTED_VALUE"""),1544.95)</f>
        <v>1544.95</v>
      </c>
      <c r="D4355" s="9">
        <f>IFERROR(__xludf.DUMMYFUNCTION("""COMPUTED_VALUE"""),1517.45)</f>
        <v>1517.45</v>
      </c>
      <c r="E4355" s="9">
        <f>IFERROR(__xludf.DUMMYFUNCTION("""COMPUTED_VALUE"""),1521.55)</f>
        <v>1521.55</v>
      </c>
      <c r="F4355" s="9">
        <f>IFERROR(__xludf.DUMMYFUNCTION("""COMPUTED_VALUE"""),3079136.0)</f>
        <v>3079136</v>
      </c>
      <c r="H4355" s="27">
        <f>IFERROR(__xludf.DUMMYFUNCTION("""COMPUTED_VALUE"""),44802.64583333333)</f>
        <v>44802.64583</v>
      </c>
      <c r="I4355" s="25">
        <f>IFERROR(__xludf.DUMMYFUNCTION("""COMPUTED_VALUE"""),3125.0)</f>
        <v>3125</v>
      </c>
      <c r="J4355" s="25">
        <f>IFERROR(__xludf.DUMMYFUNCTION("""COMPUTED_VALUE"""),3142.7)</f>
        <v>3142.7</v>
      </c>
      <c r="K4355" s="25">
        <f>IFERROR(__xludf.DUMMYFUNCTION("""COMPUTED_VALUE"""),3081.0)</f>
        <v>3081</v>
      </c>
      <c r="L4355" s="25">
        <f>IFERROR(__xludf.DUMMYFUNCTION("""COMPUTED_VALUE"""),3132.55)</f>
        <v>3132.55</v>
      </c>
      <c r="M4355" s="25">
        <f>IFERROR(__xludf.DUMMYFUNCTION("""COMPUTED_VALUE"""),2539173.0)</f>
        <v>2539173</v>
      </c>
    </row>
    <row r="4356">
      <c r="A4356" s="26">
        <f>IFERROR(__xludf.DUMMYFUNCTION("""COMPUTED_VALUE"""),44802.64583333333)</f>
        <v>44802.64583</v>
      </c>
      <c r="B4356" s="9">
        <f>IFERROR(__xludf.DUMMYFUNCTION("""COMPUTED_VALUE"""),1468.55)</f>
        <v>1468.55</v>
      </c>
      <c r="C4356" s="9">
        <f>IFERROR(__xludf.DUMMYFUNCTION("""COMPUTED_VALUE"""),1468.55)</f>
        <v>1468.55</v>
      </c>
      <c r="D4356" s="9">
        <f>IFERROR(__xludf.DUMMYFUNCTION("""COMPUTED_VALUE"""),1450.0)</f>
        <v>1450</v>
      </c>
      <c r="E4356" s="9">
        <f>IFERROR(__xludf.DUMMYFUNCTION("""COMPUTED_VALUE"""),1461.75)</f>
        <v>1461.75</v>
      </c>
      <c r="F4356" s="9">
        <f>IFERROR(__xludf.DUMMYFUNCTION("""COMPUTED_VALUE"""),8079050.0)</f>
        <v>8079050</v>
      </c>
      <c r="H4356" s="27">
        <f>IFERROR(__xludf.DUMMYFUNCTION("""COMPUTED_VALUE"""),44803.64583333333)</f>
        <v>44803.64583</v>
      </c>
      <c r="I4356" s="25">
        <f>IFERROR(__xludf.DUMMYFUNCTION("""COMPUTED_VALUE"""),3155.0)</f>
        <v>3155</v>
      </c>
      <c r="J4356" s="25">
        <f>IFERROR(__xludf.DUMMYFUNCTION("""COMPUTED_VALUE"""),3226.5)</f>
        <v>3226.5</v>
      </c>
      <c r="K4356" s="25">
        <f>IFERROR(__xludf.DUMMYFUNCTION("""COMPUTED_VALUE"""),3142.1)</f>
        <v>3142.1</v>
      </c>
      <c r="L4356" s="25">
        <f>IFERROR(__xludf.DUMMYFUNCTION("""COMPUTED_VALUE"""),3211.15)</f>
        <v>3211.15</v>
      </c>
      <c r="M4356" s="25">
        <f>IFERROR(__xludf.DUMMYFUNCTION("""COMPUTED_VALUE"""),3431525.0)</f>
        <v>3431525</v>
      </c>
    </row>
    <row r="4357">
      <c r="A4357" s="26">
        <f>IFERROR(__xludf.DUMMYFUNCTION("""COMPUTED_VALUE"""),44803.64583333333)</f>
        <v>44803.64583</v>
      </c>
      <c r="B4357" s="9">
        <f>IFERROR(__xludf.DUMMYFUNCTION("""COMPUTED_VALUE"""),1473.1)</f>
        <v>1473.1</v>
      </c>
      <c r="C4357" s="9">
        <f>IFERROR(__xludf.DUMMYFUNCTION("""COMPUTED_VALUE"""),1496.1)</f>
        <v>1496.1</v>
      </c>
      <c r="D4357" s="9">
        <f>IFERROR(__xludf.DUMMYFUNCTION("""COMPUTED_VALUE"""),1466.0)</f>
        <v>1466</v>
      </c>
      <c r="E4357" s="9">
        <f>IFERROR(__xludf.DUMMYFUNCTION("""COMPUTED_VALUE"""),1492.95)</f>
        <v>1492.95</v>
      </c>
      <c r="F4357" s="9">
        <f>IFERROR(__xludf.DUMMYFUNCTION("""COMPUTED_VALUE"""),6725875.0)</f>
        <v>6725875</v>
      </c>
      <c r="H4357" s="27">
        <f>IFERROR(__xludf.DUMMYFUNCTION("""COMPUTED_VALUE"""),44805.64583333333)</f>
        <v>44805.64583</v>
      </c>
      <c r="I4357" s="25">
        <f>IFERROR(__xludf.DUMMYFUNCTION("""COMPUTED_VALUE"""),3190.0)</f>
        <v>3190</v>
      </c>
      <c r="J4357" s="25">
        <f>IFERROR(__xludf.DUMMYFUNCTION("""COMPUTED_VALUE"""),3190.0)</f>
        <v>3190</v>
      </c>
      <c r="K4357" s="25">
        <f>IFERROR(__xludf.DUMMYFUNCTION("""COMPUTED_VALUE"""),3121.0)</f>
        <v>3121</v>
      </c>
      <c r="L4357" s="25">
        <f>IFERROR(__xludf.DUMMYFUNCTION("""COMPUTED_VALUE"""),3131.7)</f>
        <v>3131.7</v>
      </c>
      <c r="M4357" s="25">
        <f>IFERROR(__xludf.DUMMYFUNCTION("""COMPUTED_VALUE"""),3546935.0)</f>
        <v>3546935</v>
      </c>
    </row>
    <row r="4358">
      <c r="A4358" s="26">
        <f>IFERROR(__xludf.DUMMYFUNCTION("""COMPUTED_VALUE"""),44805.64583333333)</f>
        <v>44805.64583</v>
      </c>
      <c r="B4358" s="9">
        <f>IFERROR(__xludf.DUMMYFUNCTION("""COMPUTED_VALUE"""),1460.05)</f>
        <v>1460.05</v>
      </c>
      <c r="C4358" s="9">
        <f>IFERROR(__xludf.DUMMYFUNCTION("""COMPUTED_VALUE"""),1468.1)</f>
        <v>1468.1</v>
      </c>
      <c r="D4358" s="9">
        <f>IFERROR(__xludf.DUMMYFUNCTION("""COMPUTED_VALUE"""),1451.05)</f>
        <v>1451.05</v>
      </c>
      <c r="E4358" s="9">
        <f>IFERROR(__xludf.DUMMYFUNCTION("""COMPUTED_VALUE"""),1464.2)</f>
        <v>1464.2</v>
      </c>
      <c r="F4358" s="9">
        <f>IFERROR(__xludf.DUMMYFUNCTION("""COMPUTED_VALUE"""),8140604.0)</f>
        <v>8140604</v>
      </c>
      <c r="H4358" s="27">
        <f>IFERROR(__xludf.DUMMYFUNCTION("""COMPUTED_VALUE"""),44806.64583333333)</f>
        <v>44806.64583</v>
      </c>
      <c r="I4358" s="25">
        <f>IFERROR(__xludf.DUMMYFUNCTION("""COMPUTED_VALUE"""),3163.0)</f>
        <v>3163</v>
      </c>
      <c r="J4358" s="25">
        <f>IFERROR(__xludf.DUMMYFUNCTION("""COMPUTED_VALUE"""),3163.0)</f>
        <v>3163</v>
      </c>
      <c r="K4358" s="25">
        <f>IFERROR(__xludf.DUMMYFUNCTION("""COMPUTED_VALUE"""),3120.3)</f>
        <v>3120.3</v>
      </c>
      <c r="L4358" s="25">
        <f>IFERROR(__xludf.DUMMYFUNCTION("""COMPUTED_VALUE"""),3130.4)</f>
        <v>3130.4</v>
      </c>
      <c r="M4358" s="25">
        <f>IFERROR(__xludf.DUMMYFUNCTION("""COMPUTED_VALUE"""),2052900.0)</f>
        <v>2052900</v>
      </c>
    </row>
    <row r="4359">
      <c r="A4359" s="26">
        <f>IFERROR(__xludf.DUMMYFUNCTION("""COMPUTED_VALUE"""),44806.64583333333)</f>
        <v>44806.64583</v>
      </c>
      <c r="B4359" s="9">
        <f>IFERROR(__xludf.DUMMYFUNCTION("""COMPUTED_VALUE"""),1478.0)</f>
        <v>1478</v>
      </c>
      <c r="C4359" s="9">
        <f>IFERROR(__xludf.DUMMYFUNCTION("""COMPUTED_VALUE"""),1478.0)</f>
        <v>1478</v>
      </c>
      <c r="D4359" s="9">
        <f>IFERROR(__xludf.DUMMYFUNCTION("""COMPUTED_VALUE"""),1448.0)</f>
        <v>1448</v>
      </c>
      <c r="E4359" s="9">
        <f>IFERROR(__xludf.DUMMYFUNCTION("""COMPUTED_VALUE"""),1453.0)</f>
        <v>1453</v>
      </c>
      <c r="F4359" s="9">
        <f>IFERROR(__xludf.DUMMYFUNCTION("""COMPUTED_VALUE"""),5175653.0)</f>
        <v>5175653</v>
      </c>
      <c r="H4359" s="27">
        <f>IFERROR(__xludf.DUMMYFUNCTION("""COMPUTED_VALUE"""),44809.64583333333)</f>
        <v>44809.64583</v>
      </c>
      <c r="I4359" s="25">
        <f>IFERROR(__xludf.DUMMYFUNCTION("""COMPUTED_VALUE"""),3123.65)</f>
        <v>3123.65</v>
      </c>
      <c r="J4359" s="25">
        <f>IFERROR(__xludf.DUMMYFUNCTION("""COMPUTED_VALUE"""),3147.95)</f>
        <v>3147.95</v>
      </c>
      <c r="K4359" s="25">
        <f>IFERROR(__xludf.DUMMYFUNCTION("""COMPUTED_VALUE"""),3112.25)</f>
        <v>3112.25</v>
      </c>
      <c r="L4359" s="25">
        <f>IFERROR(__xludf.DUMMYFUNCTION("""COMPUTED_VALUE"""),3133.4)</f>
        <v>3133.4</v>
      </c>
      <c r="M4359" s="25">
        <f>IFERROR(__xludf.DUMMYFUNCTION("""COMPUTED_VALUE"""),2147912.0)</f>
        <v>2147912</v>
      </c>
    </row>
    <row r="4360">
      <c r="A4360" s="26">
        <f>IFERROR(__xludf.DUMMYFUNCTION("""COMPUTED_VALUE"""),44809.64583333333)</f>
        <v>44809.64583</v>
      </c>
      <c r="B4360" s="9">
        <f>IFERROR(__xludf.DUMMYFUNCTION("""COMPUTED_VALUE"""),1451.0)</f>
        <v>1451</v>
      </c>
      <c r="C4360" s="9">
        <f>IFERROR(__xludf.DUMMYFUNCTION("""COMPUTED_VALUE"""),1467.0)</f>
        <v>1467</v>
      </c>
      <c r="D4360" s="9">
        <f>IFERROR(__xludf.DUMMYFUNCTION("""COMPUTED_VALUE"""),1446.35)</f>
        <v>1446.35</v>
      </c>
      <c r="E4360" s="9">
        <f>IFERROR(__xludf.DUMMYFUNCTION("""COMPUTED_VALUE"""),1461.3)</f>
        <v>1461.3</v>
      </c>
      <c r="F4360" s="9">
        <f>IFERROR(__xludf.DUMMYFUNCTION("""COMPUTED_VALUE"""),3669352.0)</f>
        <v>3669352</v>
      </c>
      <c r="H4360" s="27">
        <f>IFERROR(__xludf.DUMMYFUNCTION("""COMPUTED_VALUE"""),44810.64583333333)</f>
        <v>44810.64583</v>
      </c>
      <c r="I4360" s="25">
        <f>IFERROR(__xludf.DUMMYFUNCTION("""COMPUTED_VALUE"""),3135.5)</f>
        <v>3135.5</v>
      </c>
      <c r="J4360" s="25">
        <f>IFERROR(__xludf.DUMMYFUNCTION("""COMPUTED_VALUE"""),3140.85)</f>
        <v>3140.85</v>
      </c>
      <c r="K4360" s="25">
        <f>IFERROR(__xludf.DUMMYFUNCTION("""COMPUTED_VALUE"""),3106.35)</f>
        <v>3106.35</v>
      </c>
      <c r="L4360" s="25">
        <f>IFERROR(__xludf.DUMMYFUNCTION("""COMPUTED_VALUE"""),3127.05)</f>
        <v>3127.05</v>
      </c>
      <c r="M4360" s="25">
        <f>IFERROR(__xludf.DUMMYFUNCTION("""COMPUTED_VALUE"""),1936453.0)</f>
        <v>1936453</v>
      </c>
    </row>
    <row r="4361">
      <c r="A4361" s="26">
        <f>IFERROR(__xludf.DUMMYFUNCTION("""COMPUTED_VALUE"""),44810.64583333333)</f>
        <v>44810.64583</v>
      </c>
      <c r="B4361" s="9">
        <f>IFERROR(__xludf.DUMMYFUNCTION("""COMPUTED_VALUE"""),1461.3)</f>
        <v>1461.3</v>
      </c>
      <c r="C4361" s="9">
        <f>IFERROR(__xludf.DUMMYFUNCTION("""COMPUTED_VALUE"""),1470.0)</f>
        <v>1470</v>
      </c>
      <c r="D4361" s="9">
        <f>IFERROR(__xludf.DUMMYFUNCTION("""COMPUTED_VALUE"""),1445.45)</f>
        <v>1445.45</v>
      </c>
      <c r="E4361" s="9">
        <f>IFERROR(__xludf.DUMMYFUNCTION("""COMPUTED_VALUE"""),1455.1)</f>
        <v>1455.1</v>
      </c>
      <c r="F4361" s="9">
        <f>IFERROR(__xludf.DUMMYFUNCTION("""COMPUTED_VALUE"""),3428442.0)</f>
        <v>3428442</v>
      </c>
      <c r="H4361" s="27">
        <f>IFERROR(__xludf.DUMMYFUNCTION("""COMPUTED_VALUE"""),44811.64583333333)</f>
        <v>44811.64583</v>
      </c>
      <c r="I4361" s="25">
        <f>IFERROR(__xludf.DUMMYFUNCTION("""COMPUTED_VALUE"""),3102.0)</f>
        <v>3102</v>
      </c>
      <c r="J4361" s="25">
        <f>IFERROR(__xludf.DUMMYFUNCTION("""COMPUTED_VALUE"""),3161.9)</f>
        <v>3161.9</v>
      </c>
      <c r="K4361" s="25">
        <f>IFERROR(__xludf.DUMMYFUNCTION("""COMPUTED_VALUE"""),3102.0)</f>
        <v>3102</v>
      </c>
      <c r="L4361" s="25">
        <f>IFERROR(__xludf.DUMMYFUNCTION("""COMPUTED_VALUE"""),3149.6)</f>
        <v>3149.6</v>
      </c>
      <c r="M4361" s="25">
        <f>IFERROR(__xludf.DUMMYFUNCTION("""COMPUTED_VALUE"""),1291534.0)</f>
        <v>1291534</v>
      </c>
    </row>
    <row r="4362">
      <c r="A4362" s="26">
        <f>IFERROR(__xludf.DUMMYFUNCTION("""COMPUTED_VALUE"""),44811.64583333333)</f>
        <v>44811.64583</v>
      </c>
      <c r="B4362" s="9">
        <f>IFERROR(__xludf.DUMMYFUNCTION("""COMPUTED_VALUE"""),1440.0)</f>
        <v>1440</v>
      </c>
      <c r="C4362" s="9">
        <f>IFERROR(__xludf.DUMMYFUNCTION("""COMPUTED_VALUE"""),1465.75)</f>
        <v>1465.75</v>
      </c>
      <c r="D4362" s="9">
        <f>IFERROR(__xludf.DUMMYFUNCTION("""COMPUTED_VALUE"""),1438.05)</f>
        <v>1438.05</v>
      </c>
      <c r="E4362" s="9">
        <f>IFERROR(__xludf.DUMMYFUNCTION("""COMPUTED_VALUE"""),1457.65)</f>
        <v>1457.65</v>
      </c>
      <c r="F4362" s="9">
        <f>IFERROR(__xludf.DUMMYFUNCTION("""COMPUTED_VALUE"""),3600574.0)</f>
        <v>3600574</v>
      </c>
      <c r="H4362" s="27">
        <f>IFERROR(__xludf.DUMMYFUNCTION("""COMPUTED_VALUE"""),44812.64583333333)</f>
        <v>44812.64583</v>
      </c>
      <c r="I4362" s="25">
        <f>IFERROR(__xludf.DUMMYFUNCTION("""COMPUTED_VALUE"""),3170.0)</f>
        <v>3170</v>
      </c>
      <c r="J4362" s="25">
        <f>IFERROR(__xludf.DUMMYFUNCTION("""COMPUTED_VALUE"""),3183.5)</f>
        <v>3183.5</v>
      </c>
      <c r="K4362" s="25">
        <f>IFERROR(__xludf.DUMMYFUNCTION("""COMPUTED_VALUE"""),3160.1)</f>
        <v>3160.1</v>
      </c>
      <c r="L4362" s="25">
        <f>IFERROR(__xludf.DUMMYFUNCTION("""COMPUTED_VALUE"""),3169.65)</f>
        <v>3169.65</v>
      </c>
      <c r="M4362" s="25">
        <f>IFERROR(__xludf.DUMMYFUNCTION("""COMPUTED_VALUE"""),1346113.0)</f>
        <v>1346113</v>
      </c>
    </row>
    <row r="4363">
      <c r="A4363" s="26">
        <f>IFERROR(__xludf.DUMMYFUNCTION("""COMPUTED_VALUE"""),44812.64583333333)</f>
        <v>44812.64583</v>
      </c>
      <c r="B4363" s="9">
        <f>IFERROR(__xludf.DUMMYFUNCTION("""COMPUTED_VALUE"""),1475.0)</f>
        <v>1475</v>
      </c>
      <c r="C4363" s="9">
        <f>IFERROR(__xludf.DUMMYFUNCTION("""COMPUTED_VALUE"""),1481.1)</f>
        <v>1481.1</v>
      </c>
      <c r="D4363" s="9">
        <f>IFERROR(__xludf.DUMMYFUNCTION("""COMPUTED_VALUE"""),1463.6)</f>
        <v>1463.6</v>
      </c>
      <c r="E4363" s="9">
        <f>IFERROR(__xludf.DUMMYFUNCTION("""COMPUTED_VALUE"""),1475.9)</f>
        <v>1475.9</v>
      </c>
      <c r="F4363" s="9">
        <f>IFERROR(__xludf.DUMMYFUNCTION("""COMPUTED_VALUE"""),4061475.0)</f>
        <v>4061475</v>
      </c>
      <c r="H4363" s="27">
        <f>IFERROR(__xludf.DUMMYFUNCTION("""COMPUTED_VALUE"""),44813.64583333333)</f>
        <v>44813.64583</v>
      </c>
      <c r="I4363" s="25">
        <f>IFERROR(__xludf.DUMMYFUNCTION("""COMPUTED_VALUE"""),3195.0)</f>
        <v>3195</v>
      </c>
      <c r="J4363" s="25">
        <f>IFERROR(__xludf.DUMMYFUNCTION("""COMPUTED_VALUE"""),3233.5)</f>
        <v>3233.5</v>
      </c>
      <c r="K4363" s="25">
        <f>IFERROR(__xludf.DUMMYFUNCTION("""COMPUTED_VALUE"""),3168.5)</f>
        <v>3168.5</v>
      </c>
      <c r="L4363" s="25">
        <f>IFERROR(__xludf.DUMMYFUNCTION("""COMPUTED_VALUE"""),3217.65)</f>
        <v>3217.65</v>
      </c>
      <c r="M4363" s="25">
        <f>IFERROR(__xludf.DUMMYFUNCTION("""COMPUTED_VALUE"""),1561185.0)</f>
        <v>1561185</v>
      </c>
    </row>
    <row r="4364">
      <c r="A4364" s="26">
        <f>IFERROR(__xludf.DUMMYFUNCTION("""COMPUTED_VALUE"""),44813.64583333333)</f>
        <v>44813.64583</v>
      </c>
      <c r="B4364" s="9">
        <f>IFERROR(__xludf.DUMMYFUNCTION("""COMPUTED_VALUE"""),1488.0)</f>
        <v>1488</v>
      </c>
      <c r="C4364" s="9">
        <f>IFERROR(__xludf.DUMMYFUNCTION("""COMPUTED_VALUE"""),1520.0)</f>
        <v>1520</v>
      </c>
      <c r="D4364" s="9">
        <f>IFERROR(__xludf.DUMMYFUNCTION("""COMPUTED_VALUE"""),1480.0)</f>
        <v>1480</v>
      </c>
      <c r="E4364" s="9">
        <f>IFERROR(__xludf.DUMMYFUNCTION("""COMPUTED_VALUE"""),1511.65)</f>
        <v>1511.65</v>
      </c>
      <c r="F4364" s="9">
        <f>IFERROR(__xludf.DUMMYFUNCTION("""COMPUTED_VALUE"""),4816910.0)</f>
        <v>4816910</v>
      </c>
      <c r="H4364" s="27">
        <f>IFERROR(__xludf.DUMMYFUNCTION("""COMPUTED_VALUE"""),44816.64583333333)</f>
        <v>44816.64583</v>
      </c>
      <c r="I4364" s="25">
        <f>IFERROR(__xludf.DUMMYFUNCTION("""COMPUTED_VALUE"""),3239.9)</f>
        <v>3239.9</v>
      </c>
      <c r="J4364" s="25">
        <f>IFERROR(__xludf.DUMMYFUNCTION("""COMPUTED_VALUE"""),3269.8)</f>
        <v>3269.8</v>
      </c>
      <c r="K4364" s="25">
        <f>IFERROR(__xludf.DUMMYFUNCTION("""COMPUTED_VALUE"""),3225.0)</f>
        <v>3225</v>
      </c>
      <c r="L4364" s="25">
        <f>IFERROR(__xludf.DUMMYFUNCTION("""COMPUTED_VALUE"""),3242.95)</f>
        <v>3242.95</v>
      </c>
      <c r="M4364" s="25">
        <f>IFERROR(__xludf.DUMMYFUNCTION("""COMPUTED_VALUE"""),1785928.0)</f>
        <v>1785928</v>
      </c>
    </row>
    <row r="4365">
      <c r="A4365" s="26">
        <f>IFERROR(__xludf.DUMMYFUNCTION("""COMPUTED_VALUE"""),44816.64583333333)</f>
        <v>44816.64583</v>
      </c>
      <c r="B4365" s="9">
        <f>IFERROR(__xludf.DUMMYFUNCTION("""COMPUTED_VALUE"""),1525.8)</f>
        <v>1525.8</v>
      </c>
      <c r="C4365" s="9">
        <f>IFERROR(__xludf.DUMMYFUNCTION("""COMPUTED_VALUE"""),1545.9)</f>
        <v>1545.9</v>
      </c>
      <c r="D4365" s="9">
        <f>IFERROR(__xludf.DUMMYFUNCTION("""COMPUTED_VALUE"""),1521.15)</f>
        <v>1521.15</v>
      </c>
      <c r="E4365" s="9">
        <f>IFERROR(__xludf.DUMMYFUNCTION("""COMPUTED_VALUE"""),1536.2)</f>
        <v>1536.2</v>
      </c>
      <c r="F4365" s="9">
        <f>IFERROR(__xludf.DUMMYFUNCTION("""COMPUTED_VALUE"""),5494819.0)</f>
        <v>5494819</v>
      </c>
      <c r="H4365" s="27">
        <f>IFERROR(__xludf.DUMMYFUNCTION("""COMPUTED_VALUE"""),44817.64583333333)</f>
        <v>44817.64583</v>
      </c>
      <c r="I4365" s="25">
        <f>IFERROR(__xludf.DUMMYFUNCTION("""COMPUTED_VALUE"""),3263.45)</f>
        <v>3263.45</v>
      </c>
      <c r="J4365" s="25">
        <f>IFERROR(__xludf.DUMMYFUNCTION("""COMPUTED_VALUE"""),3263.45)</f>
        <v>3263.45</v>
      </c>
      <c r="K4365" s="25">
        <f>IFERROR(__xludf.DUMMYFUNCTION("""COMPUTED_VALUE"""),3225.0)</f>
        <v>3225</v>
      </c>
      <c r="L4365" s="25">
        <f>IFERROR(__xludf.DUMMYFUNCTION("""COMPUTED_VALUE"""),3229.35)</f>
        <v>3229.35</v>
      </c>
      <c r="M4365" s="25">
        <f>IFERROR(__xludf.DUMMYFUNCTION("""COMPUTED_VALUE"""),1972678.0)</f>
        <v>1972678</v>
      </c>
    </row>
    <row r="4366">
      <c r="A4366" s="26">
        <f>IFERROR(__xludf.DUMMYFUNCTION("""COMPUTED_VALUE"""),44817.64583333333)</f>
        <v>44817.64583</v>
      </c>
      <c r="B4366" s="9">
        <f>IFERROR(__xludf.DUMMYFUNCTION("""COMPUTED_VALUE"""),1551.9)</f>
        <v>1551.9</v>
      </c>
      <c r="C4366" s="9">
        <f>IFERROR(__xludf.DUMMYFUNCTION("""COMPUTED_VALUE"""),1553.0)</f>
        <v>1553</v>
      </c>
      <c r="D4366" s="9">
        <f>IFERROR(__xludf.DUMMYFUNCTION("""COMPUTED_VALUE"""),1541.3)</f>
        <v>1541.3</v>
      </c>
      <c r="E4366" s="9">
        <f>IFERROR(__xludf.DUMMYFUNCTION("""COMPUTED_VALUE"""),1544.95)</f>
        <v>1544.95</v>
      </c>
      <c r="F4366" s="9">
        <f>IFERROR(__xludf.DUMMYFUNCTION("""COMPUTED_VALUE"""),4947158.0)</f>
        <v>4947158</v>
      </c>
      <c r="H4366" s="27">
        <f>IFERROR(__xludf.DUMMYFUNCTION("""COMPUTED_VALUE"""),44818.64583333333)</f>
        <v>44818.64583</v>
      </c>
      <c r="I4366" s="25">
        <f>IFERROR(__xludf.DUMMYFUNCTION("""COMPUTED_VALUE"""),3135.0)</f>
        <v>3135</v>
      </c>
      <c r="J4366" s="25">
        <f>IFERROR(__xludf.DUMMYFUNCTION("""COMPUTED_VALUE"""),3141.4)</f>
        <v>3141.4</v>
      </c>
      <c r="K4366" s="25">
        <f>IFERROR(__xludf.DUMMYFUNCTION("""COMPUTED_VALUE"""),3113.8)</f>
        <v>3113.8</v>
      </c>
      <c r="L4366" s="25">
        <f>IFERROR(__xludf.DUMMYFUNCTION("""COMPUTED_VALUE"""),3120.4)</f>
        <v>3120.4</v>
      </c>
      <c r="M4366" s="25">
        <f>IFERROR(__xludf.DUMMYFUNCTION("""COMPUTED_VALUE"""),5090269.0)</f>
        <v>5090269</v>
      </c>
    </row>
    <row r="4367">
      <c r="A4367" s="26">
        <f>IFERROR(__xludf.DUMMYFUNCTION("""COMPUTED_VALUE"""),44818.64583333333)</f>
        <v>44818.64583</v>
      </c>
      <c r="B4367" s="9">
        <f>IFERROR(__xludf.DUMMYFUNCTION("""COMPUTED_VALUE"""),1497.0)</f>
        <v>1497</v>
      </c>
      <c r="C4367" s="9">
        <f>IFERROR(__xludf.DUMMYFUNCTION("""COMPUTED_VALUE"""),1498.95)</f>
        <v>1498.95</v>
      </c>
      <c r="D4367" s="9">
        <f>IFERROR(__xludf.DUMMYFUNCTION("""COMPUTED_VALUE"""),1472.0)</f>
        <v>1472</v>
      </c>
      <c r="E4367" s="9">
        <f>IFERROR(__xludf.DUMMYFUNCTION("""COMPUTED_VALUE"""),1475.4)</f>
        <v>1475.4</v>
      </c>
      <c r="F4367" s="9">
        <f>IFERROR(__xludf.DUMMYFUNCTION("""COMPUTED_VALUE"""),1.4332197E7)</f>
        <v>14332197</v>
      </c>
      <c r="H4367" s="27">
        <f>IFERROR(__xludf.DUMMYFUNCTION("""COMPUTED_VALUE"""),44819.64583333333)</f>
        <v>44819.64583</v>
      </c>
      <c r="I4367" s="25">
        <f>IFERROR(__xludf.DUMMYFUNCTION("""COMPUTED_VALUE"""),3130.0)</f>
        <v>3130</v>
      </c>
      <c r="J4367" s="25">
        <f>IFERROR(__xludf.DUMMYFUNCTION("""COMPUTED_VALUE"""),3137.75)</f>
        <v>3137.75</v>
      </c>
      <c r="K4367" s="25">
        <f>IFERROR(__xludf.DUMMYFUNCTION("""COMPUTED_VALUE"""),3100.0)</f>
        <v>3100</v>
      </c>
      <c r="L4367" s="25">
        <f>IFERROR(__xludf.DUMMYFUNCTION("""COMPUTED_VALUE"""),3104.35)</f>
        <v>3104.35</v>
      </c>
      <c r="M4367" s="25">
        <f>IFERROR(__xludf.DUMMYFUNCTION("""COMPUTED_VALUE"""),2138023.0)</f>
        <v>2138023</v>
      </c>
    </row>
    <row r="4368">
      <c r="A4368" s="26">
        <f>IFERROR(__xludf.DUMMYFUNCTION("""COMPUTED_VALUE"""),44819.64583333333)</f>
        <v>44819.64583</v>
      </c>
      <c r="B4368" s="9">
        <f>IFERROR(__xludf.DUMMYFUNCTION("""COMPUTED_VALUE"""),1475.0)</f>
        <v>1475</v>
      </c>
      <c r="C4368" s="9">
        <f>IFERROR(__xludf.DUMMYFUNCTION("""COMPUTED_VALUE"""),1475.2)</f>
        <v>1475.2</v>
      </c>
      <c r="D4368" s="9">
        <f>IFERROR(__xludf.DUMMYFUNCTION("""COMPUTED_VALUE"""),1429.05)</f>
        <v>1429.05</v>
      </c>
      <c r="E4368" s="9">
        <f>IFERROR(__xludf.DUMMYFUNCTION("""COMPUTED_VALUE"""),1432.8)</f>
        <v>1432.8</v>
      </c>
      <c r="F4368" s="9">
        <f>IFERROR(__xludf.DUMMYFUNCTION("""COMPUTED_VALUE"""),1.27841E7)</f>
        <v>12784100</v>
      </c>
      <c r="H4368" s="27">
        <f>IFERROR(__xludf.DUMMYFUNCTION("""COMPUTED_VALUE"""),44820.64583333333)</f>
        <v>44820.64583</v>
      </c>
      <c r="I4368" s="25">
        <f>IFERROR(__xludf.DUMMYFUNCTION("""COMPUTED_VALUE"""),3076.0)</f>
        <v>3076</v>
      </c>
      <c r="J4368" s="25">
        <f>IFERROR(__xludf.DUMMYFUNCTION("""COMPUTED_VALUE"""),3094.35)</f>
        <v>3094.35</v>
      </c>
      <c r="K4368" s="25">
        <f>IFERROR(__xludf.DUMMYFUNCTION("""COMPUTED_VALUE"""),3000.0)</f>
        <v>3000</v>
      </c>
      <c r="L4368" s="25">
        <f>IFERROR(__xludf.DUMMYFUNCTION("""COMPUTED_VALUE"""),3008.7)</f>
        <v>3008.7</v>
      </c>
      <c r="M4368" s="25">
        <f>IFERROR(__xludf.DUMMYFUNCTION("""COMPUTED_VALUE"""),5322221.0)</f>
        <v>5322221</v>
      </c>
    </row>
    <row r="4369">
      <c r="A4369" s="26">
        <f>IFERROR(__xludf.DUMMYFUNCTION("""COMPUTED_VALUE"""),44820.64583333333)</f>
        <v>44820.64583</v>
      </c>
      <c r="B4369" s="9">
        <f>IFERROR(__xludf.DUMMYFUNCTION("""COMPUTED_VALUE"""),1425.0)</f>
        <v>1425</v>
      </c>
      <c r="C4369" s="9">
        <f>IFERROR(__xludf.DUMMYFUNCTION("""COMPUTED_VALUE"""),1425.0)</f>
        <v>1425</v>
      </c>
      <c r="D4369" s="9">
        <f>IFERROR(__xludf.DUMMYFUNCTION("""COMPUTED_VALUE"""),1368.35)</f>
        <v>1368.35</v>
      </c>
      <c r="E4369" s="9">
        <f>IFERROR(__xludf.DUMMYFUNCTION("""COMPUTED_VALUE"""),1377.05)</f>
        <v>1377.05</v>
      </c>
      <c r="F4369" s="9">
        <f>IFERROR(__xludf.DUMMYFUNCTION("""COMPUTED_VALUE"""),2.0464045E7)</f>
        <v>20464045</v>
      </c>
      <c r="H4369" s="27">
        <f>IFERROR(__xludf.DUMMYFUNCTION("""COMPUTED_VALUE"""),44823.64583333333)</f>
        <v>44823.64583</v>
      </c>
      <c r="I4369" s="25">
        <f>IFERROR(__xludf.DUMMYFUNCTION("""COMPUTED_VALUE"""),3036.0)</f>
        <v>3036</v>
      </c>
      <c r="J4369" s="25">
        <f>IFERROR(__xludf.DUMMYFUNCTION("""COMPUTED_VALUE"""),3042.0)</f>
        <v>3042</v>
      </c>
      <c r="K4369" s="25">
        <f>IFERROR(__xludf.DUMMYFUNCTION("""COMPUTED_VALUE"""),2987.8)</f>
        <v>2987.8</v>
      </c>
      <c r="L4369" s="25">
        <f>IFERROR(__xludf.DUMMYFUNCTION("""COMPUTED_VALUE"""),3028.8)</f>
        <v>3028.8</v>
      </c>
      <c r="M4369" s="25">
        <f>IFERROR(__xludf.DUMMYFUNCTION("""COMPUTED_VALUE"""),2072220.0)</f>
        <v>2072220</v>
      </c>
    </row>
    <row r="4370">
      <c r="A4370" s="26">
        <f>IFERROR(__xludf.DUMMYFUNCTION("""COMPUTED_VALUE"""),44823.64583333333)</f>
        <v>44823.64583</v>
      </c>
      <c r="B4370" s="9">
        <f>IFERROR(__xludf.DUMMYFUNCTION("""COMPUTED_VALUE"""),1392.0)</f>
        <v>1392</v>
      </c>
      <c r="C4370" s="9">
        <f>IFERROR(__xludf.DUMMYFUNCTION("""COMPUTED_VALUE"""),1406.0)</f>
        <v>1406</v>
      </c>
      <c r="D4370" s="9">
        <f>IFERROR(__xludf.DUMMYFUNCTION("""COMPUTED_VALUE"""),1380.6)</f>
        <v>1380.6</v>
      </c>
      <c r="E4370" s="9">
        <f>IFERROR(__xludf.DUMMYFUNCTION("""COMPUTED_VALUE"""),1390.3)</f>
        <v>1390.3</v>
      </c>
      <c r="F4370" s="9">
        <f>IFERROR(__xludf.DUMMYFUNCTION("""COMPUTED_VALUE"""),6595241.0)</f>
        <v>6595241</v>
      </c>
      <c r="H4370" s="27">
        <f>IFERROR(__xludf.DUMMYFUNCTION("""COMPUTED_VALUE"""),44824.64583333333)</f>
        <v>44824.64583</v>
      </c>
      <c r="I4370" s="25">
        <f>IFERROR(__xludf.DUMMYFUNCTION("""COMPUTED_VALUE"""),3050.0)</f>
        <v>3050</v>
      </c>
      <c r="J4370" s="25">
        <f>IFERROR(__xludf.DUMMYFUNCTION("""COMPUTED_VALUE"""),3079.95)</f>
        <v>3079.95</v>
      </c>
      <c r="K4370" s="25">
        <f>IFERROR(__xludf.DUMMYFUNCTION("""COMPUTED_VALUE"""),3030.0)</f>
        <v>3030</v>
      </c>
      <c r="L4370" s="25">
        <f>IFERROR(__xludf.DUMMYFUNCTION("""COMPUTED_VALUE"""),3040.3)</f>
        <v>3040.3</v>
      </c>
      <c r="M4370" s="25">
        <f>IFERROR(__xludf.DUMMYFUNCTION("""COMPUTED_VALUE"""),1544295.0)</f>
        <v>1544295</v>
      </c>
    </row>
    <row r="4371">
      <c r="A4371" s="26">
        <f>IFERROR(__xludf.DUMMYFUNCTION("""COMPUTED_VALUE"""),44824.64583333333)</f>
        <v>44824.64583</v>
      </c>
      <c r="B4371" s="9">
        <f>IFERROR(__xludf.DUMMYFUNCTION("""COMPUTED_VALUE"""),1407.95)</f>
        <v>1407.95</v>
      </c>
      <c r="C4371" s="9">
        <f>IFERROR(__xludf.DUMMYFUNCTION("""COMPUTED_VALUE"""),1413.55)</f>
        <v>1413.55</v>
      </c>
      <c r="D4371" s="9">
        <f>IFERROR(__xludf.DUMMYFUNCTION("""COMPUTED_VALUE"""),1385.1)</f>
        <v>1385.1</v>
      </c>
      <c r="E4371" s="9">
        <f>IFERROR(__xludf.DUMMYFUNCTION("""COMPUTED_VALUE"""),1388.55)</f>
        <v>1388.55</v>
      </c>
      <c r="F4371" s="9">
        <f>IFERROR(__xludf.DUMMYFUNCTION("""COMPUTED_VALUE"""),7219797.0)</f>
        <v>7219797</v>
      </c>
      <c r="H4371" s="27">
        <f>IFERROR(__xludf.DUMMYFUNCTION("""COMPUTED_VALUE"""),44825.64583333333)</f>
        <v>44825.64583</v>
      </c>
      <c r="I4371" s="25">
        <f>IFERROR(__xludf.DUMMYFUNCTION("""COMPUTED_VALUE"""),3028.0)</f>
        <v>3028</v>
      </c>
      <c r="J4371" s="25">
        <f>IFERROR(__xludf.DUMMYFUNCTION("""COMPUTED_VALUE"""),3041.4)</f>
        <v>3041.4</v>
      </c>
      <c r="K4371" s="25">
        <f>IFERROR(__xludf.DUMMYFUNCTION("""COMPUTED_VALUE"""),2998.15)</f>
        <v>2998.15</v>
      </c>
      <c r="L4371" s="25">
        <f>IFERROR(__xludf.DUMMYFUNCTION("""COMPUTED_VALUE"""),3001.2)</f>
        <v>3001.2</v>
      </c>
      <c r="M4371" s="25">
        <f>IFERROR(__xludf.DUMMYFUNCTION("""COMPUTED_VALUE"""),2253818.0)</f>
        <v>2253818</v>
      </c>
    </row>
    <row r="4372">
      <c r="A4372" s="26">
        <f>IFERROR(__xludf.DUMMYFUNCTION("""COMPUTED_VALUE"""),44825.64583333333)</f>
        <v>44825.64583</v>
      </c>
      <c r="B4372" s="9">
        <f>IFERROR(__xludf.DUMMYFUNCTION("""COMPUTED_VALUE"""),1379.9)</f>
        <v>1379.9</v>
      </c>
      <c r="C4372" s="9">
        <f>IFERROR(__xludf.DUMMYFUNCTION("""COMPUTED_VALUE"""),1388.8)</f>
        <v>1388.8</v>
      </c>
      <c r="D4372" s="9">
        <f>IFERROR(__xludf.DUMMYFUNCTION("""COMPUTED_VALUE"""),1368.4)</f>
        <v>1368.4</v>
      </c>
      <c r="E4372" s="9">
        <f>IFERROR(__xludf.DUMMYFUNCTION("""COMPUTED_VALUE"""),1377.25)</f>
        <v>1377.25</v>
      </c>
      <c r="F4372" s="9">
        <f>IFERROR(__xludf.DUMMYFUNCTION("""COMPUTED_VALUE"""),7917054.0)</f>
        <v>7917054</v>
      </c>
      <c r="H4372" s="27">
        <f>IFERROR(__xludf.DUMMYFUNCTION("""COMPUTED_VALUE"""),44826.64583333333)</f>
        <v>44826.64583</v>
      </c>
      <c r="I4372" s="25">
        <f>IFERROR(__xludf.DUMMYFUNCTION("""COMPUTED_VALUE"""),2990.0)</f>
        <v>2990</v>
      </c>
      <c r="J4372" s="25">
        <f>IFERROR(__xludf.DUMMYFUNCTION("""COMPUTED_VALUE"""),3029.95)</f>
        <v>3029.95</v>
      </c>
      <c r="K4372" s="25">
        <f>IFERROR(__xludf.DUMMYFUNCTION("""COMPUTED_VALUE"""),2979.3)</f>
        <v>2979.3</v>
      </c>
      <c r="L4372" s="25">
        <f>IFERROR(__xludf.DUMMYFUNCTION("""COMPUTED_VALUE"""),3007.4)</f>
        <v>3007.4</v>
      </c>
      <c r="M4372" s="25">
        <f>IFERROR(__xludf.DUMMYFUNCTION("""COMPUTED_VALUE"""),2017983.0)</f>
        <v>2017983</v>
      </c>
    </row>
    <row r="4373">
      <c r="A4373" s="26">
        <f>IFERROR(__xludf.DUMMYFUNCTION("""COMPUTED_VALUE"""),44826.64583333333)</f>
        <v>44826.64583</v>
      </c>
      <c r="B4373" s="9">
        <f>IFERROR(__xludf.DUMMYFUNCTION("""COMPUTED_VALUE"""),1366.35)</f>
        <v>1366.35</v>
      </c>
      <c r="C4373" s="9">
        <f>IFERROR(__xludf.DUMMYFUNCTION("""COMPUTED_VALUE"""),1383.95)</f>
        <v>1383.95</v>
      </c>
      <c r="D4373" s="9">
        <f>IFERROR(__xludf.DUMMYFUNCTION("""COMPUTED_VALUE"""),1360.0)</f>
        <v>1360</v>
      </c>
      <c r="E4373" s="9">
        <f>IFERROR(__xludf.DUMMYFUNCTION("""COMPUTED_VALUE"""),1367.95)</f>
        <v>1367.95</v>
      </c>
      <c r="F4373" s="9">
        <f>IFERROR(__xludf.DUMMYFUNCTION("""COMPUTED_VALUE"""),9168498.0)</f>
        <v>9168498</v>
      </c>
      <c r="H4373" s="27">
        <f>IFERROR(__xludf.DUMMYFUNCTION("""COMPUTED_VALUE"""),44827.64583333333)</f>
        <v>44827.64583</v>
      </c>
      <c r="I4373" s="25">
        <f>IFERROR(__xludf.DUMMYFUNCTION("""COMPUTED_VALUE"""),3004.0)</f>
        <v>3004</v>
      </c>
      <c r="J4373" s="25">
        <f>IFERROR(__xludf.DUMMYFUNCTION("""COMPUTED_VALUE"""),3022.5)</f>
        <v>3022.5</v>
      </c>
      <c r="K4373" s="25">
        <f>IFERROR(__xludf.DUMMYFUNCTION("""COMPUTED_VALUE"""),2979.0)</f>
        <v>2979</v>
      </c>
      <c r="L4373" s="25">
        <f>IFERROR(__xludf.DUMMYFUNCTION("""COMPUTED_VALUE"""),2982.05)</f>
        <v>2982.05</v>
      </c>
      <c r="M4373" s="25">
        <f>IFERROR(__xludf.DUMMYFUNCTION("""COMPUTED_VALUE"""),2652374.0)</f>
        <v>2652374</v>
      </c>
    </row>
    <row r="4374">
      <c r="A4374" s="26">
        <f>IFERROR(__xludf.DUMMYFUNCTION("""COMPUTED_VALUE"""),44827.64583333333)</f>
        <v>44827.64583</v>
      </c>
      <c r="B4374" s="9">
        <f>IFERROR(__xludf.DUMMYFUNCTION("""COMPUTED_VALUE"""),1367.5)</f>
        <v>1367.5</v>
      </c>
      <c r="C4374" s="9">
        <f>IFERROR(__xludf.DUMMYFUNCTION("""COMPUTED_VALUE"""),1394.8)</f>
        <v>1394.8</v>
      </c>
      <c r="D4374" s="9">
        <f>IFERROR(__xludf.DUMMYFUNCTION("""COMPUTED_VALUE"""),1362.0)</f>
        <v>1362</v>
      </c>
      <c r="E4374" s="9">
        <f>IFERROR(__xludf.DUMMYFUNCTION("""COMPUTED_VALUE"""),1365.45)</f>
        <v>1365.45</v>
      </c>
      <c r="F4374" s="9">
        <f>IFERROR(__xludf.DUMMYFUNCTION("""COMPUTED_VALUE"""),1.04262E7)</f>
        <v>10426200</v>
      </c>
      <c r="H4374" s="27">
        <f>IFERROR(__xludf.DUMMYFUNCTION("""COMPUTED_VALUE"""),44830.64583333333)</f>
        <v>44830.64583</v>
      </c>
      <c r="I4374" s="25">
        <f>IFERROR(__xludf.DUMMYFUNCTION("""COMPUTED_VALUE"""),2959.85)</f>
        <v>2959.85</v>
      </c>
      <c r="J4374" s="25">
        <f>IFERROR(__xludf.DUMMYFUNCTION("""COMPUTED_VALUE"""),3025.85)</f>
        <v>3025.85</v>
      </c>
      <c r="K4374" s="25">
        <f>IFERROR(__xludf.DUMMYFUNCTION("""COMPUTED_VALUE"""),2926.1)</f>
        <v>2926.1</v>
      </c>
      <c r="L4374" s="25">
        <f>IFERROR(__xludf.DUMMYFUNCTION("""COMPUTED_VALUE"""),2994.4)</f>
        <v>2994.4</v>
      </c>
      <c r="M4374" s="25">
        <f>IFERROR(__xludf.DUMMYFUNCTION("""COMPUTED_VALUE"""),2925489.0)</f>
        <v>2925489</v>
      </c>
    </row>
    <row r="4375">
      <c r="A4375" s="26">
        <f>IFERROR(__xludf.DUMMYFUNCTION("""COMPUTED_VALUE"""),44830.64583333333)</f>
        <v>44830.64583</v>
      </c>
      <c r="B4375" s="9">
        <f>IFERROR(__xludf.DUMMYFUNCTION("""COMPUTED_VALUE"""),1360.0)</f>
        <v>1360</v>
      </c>
      <c r="C4375" s="9">
        <f>IFERROR(__xludf.DUMMYFUNCTION("""COMPUTED_VALUE"""),1399.45)</f>
        <v>1399.45</v>
      </c>
      <c r="D4375" s="9">
        <f>IFERROR(__xludf.DUMMYFUNCTION("""COMPUTED_VALUE"""),1355.0)</f>
        <v>1355</v>
      </c>
      <c r="E4375" s="9">
        <f>IFERROR(__xludf.DUMMYFUNCTION("""COMPUTED_VALUE"""),1380.25)</f>
        <v>1380.25</v>
      </c>
      <c r="F4375" s="9">
        <f>IFERROR(__xludf.DUMMYFUNCTION("""COMPUTED_VALUE"""),9414587.0)</f>
        <v>9414587</v>
      </c>
      <c r="H4375" s="27">
        <f>IFERROR(__xludf.DUMMYFUNCTION("""COMPUTED_VALUE"""),44831.64583333333)</f>
        <v>44831.64583</v>
      </c>
      <c r="I4375" s="25">
        <f>IFERROR(__xludf.DUMMYFUNCTION("""COMPUTED_VALUE"""),3009.4)</f>
        <v>3009.4</v>
      </c>
      <c r="J4375" s="25">
        <f>IFERROR(__xludf.DUMMYFUNCTION("""COMPUTED_VALUE"""),3025.0)</f>
        <v>3025</v>
      </c>
      <c r="K4375" s="25">
        <f>IFERROR(__xludf.DUMMYFUNCTION("""COMPUTED_VALUE"""),2976.0)</f>
        <v>2976</v>
      </c>
      <c r="L4375" s="25">
        <f>IFERROR(__xludf.DUMMYFUNCTION("""COMPUTED_VALUE"""),3017.45)</f>
        <v>3017.45</v>
      </c>
      <c r="M4375" s="25">
        <f>IFERROR(__xludf.DUMMYFUNCTION("""COMPUTED_VALUE"""),2227447.0)</f>
        <v>2227447</v>
      </c>
    </row>
    <row r="4376">
      <c r="A4376" s="26">
        <f>IFERROR(__xludf.DUMMYFUNCTION("""COMPUTED_VALUE"""),44831.64583333333)</f>
        <v>44831.64583</v>
      </c>
      <c r="B4376" s="9">
        <f>IFERROR(__xludf.DUMMYFUNCTION("""COMPUTED_VALUE"""),1393.45)</f>
        <v>1393.45</v>
      </c>
      <c r="C4376" s="9">
        <f>IFERROR(__xludf.DUMMYFUNCTION("""COMPUTED_VALUE"""),1406.5)</f>
        <v>1406.5</v>
      </c>
      <c r="D4376" s="9">
        <f>IFERROR(__xludf.DUMMYFUNCTION("""COMPUTED_VALUE"""),1378.0)</f>
        <v>1378</v>
      </c>
      <c r="E4376" s="9">
        <f>IFERROR(__xludf.DUMMYFUNCTION("""COMPUTED_VALUE"""),1393.55)</f>
        <v>1393.55</v>
      </c>
      <c r="F4376" s="9">
        <f>IFERROR(__xludf.DUMMYFUNCTION("""COMPUTED_VALUE"""),8561254.0)</f>
        <v>8561254</v>
      </c>
      <c r="H4376" s="27">
        <f>IFERROR(__xludf.DUMMYFUNCTION("""COMPUTED_VALUE"""),44832.64583333333)</f>
        <v>44832.64583</v>
      </c>
      <c r="I4376" s="25">
        <f>IFERROR(__xludf.DUMMYFUNCTION("""COMPUTED_VALUE"""),2980.0)</f>
        <v>2980</v>
      </c>
      <c r="J4376" s="25">
        <f>IFERROR(__xludf.DUMMYFUNCTION("""COMPUTED_VALUE"""),3049.95)</f>
        <v>3049.95</v>
      </c>
      <c r="K4376" s="25">
        <f>IFERROR(__xludf.DUMMYFUNCTION("""COMPUTED_VALUE"""),2980.0)</f>
        <v>2980</v>
      </c>
      <c r="L4376" s="25">
        <f>IFERROR(__xludf.DUMMYFUNCTION("""COMPUTED_VALUE"""),3035.65)</f>
        <v>3035.65</v>
      </c>
      <c r="M4376" s="25">
        <f>IFERROR(__xludf.DUMMYFUNCTION("""COMPUTED_VALUE"""),2739767.0)</f>
        <v>2739767</v>
      </c>
    </row>
    <row r="4377">
      <c r="A4377" s="26">
        <f>IFERROR(__xludf.DUMMYFUNCTION("""COMPUTED_VALUE"""),44832.64583333333)</f>
        <v>44832.64583</v>
      </c>
      <c r="B4377" s="9">
        <f>IFERROR(__xludf.DUMMYFUNCTION("""COMPUTED_VALUE"""),1379.0)</f>
        <v>1379</v>
      </c>
      <c r="C4377" s="9">
        <f>IFERROR(__xludf.DUMMYFUNCTION("""COMPUTED_VALUE"""),1405.85)</f>
        <v>1405.85</v>
      </c>
      <c r="D4377" s="9">
        <f>IFERROR(__xludf.DUMMYFUNCTION("""COMPUTED_VALUE"""),1377.0)</f>
        <v>1377</v>
      </c>
      <c r="E4377" s="9">
        <f>IFERROR(__xludf.DUMMYFUNCTION("""COMPUTED_VALUE"""),1394.7)</f>
        <v>1394.7</v>
      </c>
      <c r="F4377" s="9">
        <f>IFERROR(__xludf.DUMMYFUNCTION("""COMPUTED_VALUE"""),7022098.0)</f>
        <v>7022098</v>
      </c>
      <c r="H4377" s="27">
        <f>IFERROR(__xludf.DUMMYFUNCTION("""COMPUTED_VALUE"""),44833.64583333333)</f>
        <v>44833.64583</v>
      </c>
      <c r="I4377" s="25">
        <f>IFERROR(__xludf.DUMMYFUNCTION("""COMPUTED_VALUE"""),3054.0)</f>
        <v>3054</v>
      </c>
      <c r="J4377" s="25">
        <f>IFERROR(__xludf.DUMMYFUNCTION("""COMPUTED_VALUE"""),3055.85)</f>
        <v>3055.85</v>
      </c>
      <c r="K4377" s="25">
        <f>IFERROR(__xludf.DUMMYFUNCTION("""COMPUTED_VALUE"""),2990.0)</f>
        <v>2990</v>
      </c>
      <c r="L4377" s="25">
        <f>IFERROR(__xludf.DUMMYFUNCTION("""COMPUTED_VALUE"""),2997.3)</f>
        <v>2997.3</v>
      </c>
      <c r="M4377" s="25">
        <f>IFERROR(__xludf.DUMMYFUNCTION("""COMPUTED_VALUE"""),2493902.0)</f>
        <v>2493902</v>
      </c>
    </row>
    <row r="4378">
      <c r="A4378" s="26">
        <f>IFERROR(__xludf.DUMMYFUNCTION("""COMPUTED_VALUE"""),44833.64583333333)</f>
        <v>44833.64583</v>
      </c>
      <c r="B4378" s="9">
        <f>IFERROR(__xludf.DUMMYFUNCTION("""COMPUTED_VALUE"""),1404.9)</f>
        <v>1404.9</v>
      </c>
      <c r="C4378" s="9">
        <f>IFERROR(__xludf.DUMMYFUNCTION("""COMPUTED_VALUE"""),1409.85)</f>
        <v>1409.85</v>
      </c>
      <c r="D4378" s="9">
        <f>IFERROR(__xludf.DUMMYFUNCTION("""COMPUTED_VALUE"""),1393.0)</f>
        <v>1393</v>
      </c>
      <c r="E4378" s="9">
        <f>IFERROR(__xludf.DUMMYFUNCTION("""COMPUTED_VALUE"""),1398.65)</f>
        <v>1398.65</v>
      </c>
      <c r="F4378" s="9">
        <f>IFERROR(__xludf.DUMMYFUNCTION("""COMPUTED_VALUE"""),6119965.0)</f>
        <v>6119965</v>
      </c>
      <c r="H4378" s="27">
        <f>IFERROR(__xludf.DUMMYFUNCTION("""COMPUTED_VALUE"""),44834.64583333333)</f>
        <v>44834.64583</v>
      </c>
      <c r="I4378" s="25">
        <f>IFERROR(__xludf.DUMMYFUNCTION("""COMPUTED_VALUE"""),2990.85)</f>
        <v>2990.85</v>
      </c>
      <c r="J4378" s="25">
        <f>IFERROR(__xludf.DUMMYFUNCTION("""COMPUTED_VALUE"""),3019.7)</f>
        <v>3019.7</v>
      </c>
      <c r="K4378" s="25">
        <f>IFERROR(__xludf.DUMMYFUNCTION("""COMPUTED_VALUE"""),2950.1)</f>
        <v>2950.1</v>
      </c>
      <c r="L4378" s="25">
        <f>IFERROR(__xludf.DUMMYFUNCTION("""COMPUTED_VALUE"""),3004.55)</f>
        <v>3004.55</v>
      </c>
      <c r="M4378" s="25">
        <f>IFERROR(__xludf.DUMMYFUNCTION("""COMPUTED_VALUE"""),2817353.0)</f>
        <v>2817353</v>
      </c>
    </row>
    <row r="4379">
      <c r="A4379" s="26">
        <f>IFERROR(__xludf.DUMMYFUNCTION("""COMPUTED_VALUE"""),44834.64583333333)</f>
        <v>44834.64583</v>
      </c>
      <c r="B4379" s="9">
        <f>IFERROR(__xludf.DUMMYFUNCTION("""COMPUTED_VALUE"""),1388.95)</f>
        <v>1388.95</v>
      </c>
      <c r="C4379" s="9">
        <f>IFERROR(__xludf.DUMMYFUNCTION("""COMPUTED_VALUE"""),1419.3)</f>
        <v>1419.3</v>
      </c>
      <c r="D4379" s="9">
        <f>IFERROR(__xludf.DUMMYFUNCTION("""COMPUTED_VALUE"""),1376.0)</f>
        <v>1376</v>
      </c>
      <c r="E4379" s="9">
        <f>IFERROR(__xludf.DUMMYFUNCTION("""COMPUTED_VALUE"""),1413.45)</f>
        <v>1413.45</v>
      </c>
      <c r="F4379" s="9">
        <f>IFERROR(__xludf.DUMMYFUNCTION("""COMPUTED_VALUE"""),8120130.0)</f>
        <v>8120130</v>
      </c>
      <c r="H4379" s="27">
        <f>IFERROR(__xludf.DUMMYFUNCTION("""COMPUTED_VALUE"""),44837.64583333333)</f>
        <v>44837.64583</v>
      </c>
      <c r="I4379" s="25">
        <f>IFERROR(__xludf.DUMMYFUNCTION("""COMPUTED_VALUE"""),2995.0)</f>
        <v>2995</v>
      </c>
      <c r="J4379" s="25">
        <f>IFERROR(__xludf.DUMMYFUNCTION("""COMPUTED_VALUE"""),3020.7)</f>
        <v>3020.7</v>
      </c>
      <c r="K4379" s="25">
        <f>IFERROR(__xludf.DUMMYFUNCTION("""COMPUTED_VALUE"""),2974.0)</f>
        <v>2974</v>
      </c>
      <c r="L4379" s="25">
        <f>IFERROR(__xludf.DUMMYFUNCTION("""COMPUTED_VALUE"""),2984.95)</f>
        <v>2984.95</v>
      </c>
      <c r="M4379" s="25">
        <f>IFERROR(__xludf.DUMMYFUNCTION("""COMPUTED_VALUE"""),1763331.0)</f>
        <v>1763331</v>
      </c>
    </row>
    <row r="4380">
      <c r="A4380" s="26">
        <f>IFERROR(__xludf.DUMMYFUNCTION("""COMPUTED_VALUE"""),44837.64583333333)</f>
        <v>44837.64583</v>
      </c>
      <c r="B4380" s="9">
        <f>IFERROR(__xludf.DUMMYFUNCTION("""COMPUTED_VALUE"""),1412.0)</f>
        <v>1412</v>
      </c>
      <c r="C4380" s="9">
        <f>IFERROR(__xludf.DUMMYFUNCTION("""COMPUTED_VALUE"""),1412.0)</f>
        <v>1412</v>
      </c>
      <c r="D4380" s="9">
        <f>IFERROR(__xludf.DUMMYFUNCTION("""COMPUTED_VALUE"""),1386.0)</f>
        <v>1386</v>
      </c>
      <c r="E4380" s="9">
        <f>IFERROR(__xludf.DUMMYFUNCTION("""COMPUTED_VALUE"""),1393.75)</f>
        <v>1393.75</v>
      </c>
      <c r="F4380" s="9">
        <f>IFERROR(__xludf.DUMMYFUNCTION("""COMPUTED_VALUE"""),4943169.0)</f>
        <v>4943169</v>
      </c>
      <c r="H4380" s="27">
        <f>IFERROR(__xludf.DUMMYFUNCTION("""COMPUTED_VALUE"""),44838.64583333333)</f>
        <v>44838.64583</v>
      </c>
      <c r="I4380" s="25">
        <f>IFERROR(__xludf.DUMMYFUNCTION("""COMPUTED_VALUE"""),3029.95)</f>
        <v>3029.95</v>
      </c>
      <c r="J4380" s="25">
        <f>IFERROR(__xludf.DUMMYFUNCTION("""COMPUTED_VALUE"""),3098.0)</f>
        <v>3098</v>
      </c>
      <c r="K4380" s="25">
        <f>IFERROR(__xludf.DUMMYFUNCTION("""COMPUTED_VALUE"""),3023.0)</f>
        <v>3023</v>
      </c>
      <c r="L4380" s="25">
        <f>IFERROR(__xludf.DUMMYFUNCTION("""COMPUTED_VALUE"""),3091.15)</f>
        <v>3091.15</v>
      </c>
      <c r="M4380" s="25">
        <f>IFERROR(__xludf.DUMMYFUNCTION("""COMPUTED_VALUE"""),2145875.0)</f>
        <v>2145875</v>
      </c>
    </row>
    <row r="4381">
      <c r="A4381" s="26">
        <f>IFERROR(__xludf.DUMMYFUNCTION("""COMPUTED_VALUE"""),44838.64583333333)</f>
        <v>44838.64583</v>
      </c>
      <c r="B4381" s="9">
        <f>IFERROR(__xludf.DUMMYFUNCTION("""COMPUTED_VALUE"""),1419.7)</f>
        <v>1419.7</v>
      </c>
      <c r="C4381" s="9">
        <f>IFERROR(__xludf.DUMMYFUNCTION("""COMPUTED_VALUE"""),1432.25)</f>
        <v>1432.25</v>
      </c>
      <c r="D4381" s="9">
        <f>IFERROR(__xludf.DUMMYFUNCTION("""COMPUTED_VALUE"""),1414.0)</f>
        <v>1414</v>
      </c>
      <c r="E4381" s="9">
        <f>IFERROR(__xludf.DUMMYFUNCTION("""COMPUTED_VALUE"""),1429.4)</f>
        <v>1429.4</v>
      </c>
      <c r="F4381" s="9">
        <f>IFERROR(__xludf.DUMMYFUNCTION("""COMPUTED_VALUE"""),6631341.0)</f>
        <v>6631341</v>
      </c>
      <c r="H4381" s="27">
        <f>IFERROR(__xludf.DUMMYFUNCTION("""COMPUTED_VALUE"""),44840.64583333333)</f>
        <v>44840.64583</v>
      </c>
      <c r="I4381" s="25">
        <f>IFERROR(__xludf.DUMMYFUNCTION("""COMPUTED_VALUE"""),3111.0)</f>
        <v>3111</v>
      </c>
      <c r="J4381" s="25">
        <f>IFERROR(__xludf.DUMMYFUNCTION("""COMPUTED_VALUE"""),3124.0)</f>
        <v>3124</v>
      </c>
      <c r="K4381" s="25">
        <f>IFERROR(__xludf.DUMMYFUNCTION("""COMPUTED_VALUE"""),3092.45)</f>
        <v>3092.45</v>
      </c>
      <c r="L4381" s="25">
        <f>IFERROR(__xludf.DUMMYFUNCTION("""COMPUTED_VALUE"""),3101.95)</f>
        <v>3101.95</v>
      </c>
      <c r="M4381" s="25">
        <f>IFERROR(__xludf.DUMMYFUNCTION("""COMPUTED_VALUE"""),1790816.0)</f>
        <v>1790816</v>
      </c>
    </row>
    <row r="4382">
      <c r="A4382" s="26">
        <f>IFERROR(__xludf.DUMMYFUNCTION("""COMPUTED_VALUE"""),44840.64583333333)</f>
        <v>44840.64583</v>
      </c>
      <c r="B4382" s="9">
        <f>IFERROR(__xludf.DUMMYFUNCTION("""COMPUTED_VALUE"""),1445.0)</f>
        <v>1445</v>
      </c>
      <c r="C4382" s="9">
        <f>IFERROR(__xludf.DUMMYFUNCTION("""COMPUTED_VALUE"""),1459.8)</f>
        <v>1459.8</v>
      </c>
      <c r="D4382" s="9">
        <f>IFERROR(__xludf.DUMMYFUNCTION("""COMPUTED_VALUE"""),1444.1)</f>
        <v>1444.1</v>
      </c>
      <c r="E4382" s="9">
        <f>IFERROR(__xludf.DUMMYFUNCTION("""COMPUTED_VALUE"""),1455.15)</f>
        <v>1455.15</v>
      </c>
      <c r="F4382" s="9">
        <f>IFERROR(__xludf.DUMMYFUNCTION("""COMPUTED_VALUE"""),6180672.0)</f>
        <v>6180672</v>
      </c>
      <c r="H4382" s="27">
        <f>IFERROR(__xludf.DUMMYFUNCTION("""COMPUTED_VALUE"""),44841.64583333333)</f>
        <v>44841.64583</v>
      </c>
      <c r="I4382" s="25">
        <f>IFERROR(__xludf.DUMMYFUNCTION("""COMPUTED_VALUE"""),3097.4)</f>
        <v>3097.4</v>
      </c>
      <c r="J4382" s="25">
        <f>IFERROR(__xludf.DUMMYFUNCTION("""COMPUTED_VALUE"""),3105.0)</f>
        <v>3105</v>
      </c>
      <c r="K4382" s="25">
        <f>IFERROR(__xludf.DUMMYFUNCTION("""COMPUTED_VALUE"""),3058.1)</f>
        <v>3058.1</v>
      </c>
      <c r="L4382" s="25">
        <f>IFERROR(__xludf.DUMMYFUNCTION("""COMPUTED_VALUE"""),3064.9)</f>
        <v>3064.9</v>
      </c>
      <c r="M4382" s="25">
        <f>IFERROR(__xludf.DUMMYFUNCTION("""COMPUTED_VALUE"""),1939879.0)</f>
        <v>1939879</v>
      </c>
    </row>
    <row r="4383">
      <c r="A4383" s="26">
        <f>IFERROR(__xludf.DUMMYFUNCTION("""COMPUTED_VALUE"""),44841.64583333333)</f>
        <v>44841.64583</v>
      </c>
      <c r="B4383" s="9">
        <f>IFERROR(__xludf.DUMMYFUNCTION("""COMPUTED_VALUE"""),1446.35)</f>
        <v>1446.35</v>
      </c>
      <c r="C4383" s="9">
        <f>IFERROR(__xludf.DUMMYFUNCTION("""COMPUTED_VALUE"""),1457.85)</f>
        <v>1457.85</v>
      </c>
      <c r="D4383" s="9">
        <f>IFERROR(__xludf.DUMMYFUNCTION("""COMPUTED_VALUE"""),1440.15)</f>
        <v>1440.15</v>
      </c>
      <c r="E4383" s="9">
        <f>IFERROR(__xludf.DUMMYFUNCTION("""COMPUTED_VALUE"""),1451.2)</f>
        <v>1451.2</v>
      </c>
      <c r="F4383" s="9">
        <f>IFERROR(__xludf.DUMMYFUNCTION("""COMPUTED_VALUE"""),3994466.0)</f>
        <v>3994466</v>
      </c>
      <c r="H4383" s="27">
        <f>IFERROR(__xludf.DUMMYFUNCTION("""COMPUTED_VALUE"""),44844.64583333333)</f>
        <v>44844.64583</v>
      </c>
      <c r="I4383" s="25">
        <f>IFERROR(__xludf.DUMMYFUNCTION("""COMPUTED_VALUE"""),3010.0)</f>
        <v>3010</v>
      </c>
      <c r="J4383" s="25">
        <f>IFERROR(__xludf.DUMMYFUNCTION("""COMPUTED_VALUE"""),3127.0)</f>
        <v>3127</v>
      </c>
      <c r="K4383" s="25">
        <f>IFERROR(__xludf.DUMMYFUNCTION("""COMPUTED_VALUE"""),3005.0)</f>
        <v>3005</v>
      </c>
      <c r="L4383" s="25">
        <f>IFERROR(__xludf.DUMMYFUNCTION("""COMPUTED_VALUE"""),3118.55)</f>
        <v>3118.55</v>
      </c>
      <c r="M4383" s="25">
        <f>IFERROR(__xludf.DUMMYFUNCTION("""COMPUTED_VALUE"""),3064063.0)</f>
        <v>3064063</v>
      </c>
    </row>
    <row r="4384">
      <c r="A4384" s="26">
        <f>IFERROR(__xludf.DUMMYFUNCTION("""COMPUTED_VALUE"""),44844.64583333333)</f>
        <v>44844.64583</v>
      </c>
      <c r="B4384" s="9">
        <f>IFERROR(__xludf.DUMMYFUNCTION("""COMPUTED_VALUE"""),1426.35)</f>
        <v>1426.35</v>
      </c>
      <c r="C4384" s="9">
        <f>IFERROR(__xludf.DUMMYFUNCTION("""COMPUTED_VALUE"""),1465.0)</f>
        <v>1465</v>
      </c>
      <c r="D4384" s="9">
        <f>IFERROR(__xludf.DUMMYFUNCTION("""COMPUTED_VALUE"""),1426.35)</f>
        <v>1426.35</v>
      </c>
      <c r="E4384" s="9">
        <f>IFERROR(__xludf.DUMMYFUNCTION("""COMPUTED_VALUE"""),1462.65)</f>
        <v>1462.65</v>
      </c>
      <c r="F4384" s="9">
        <f>IFERROR(__xludf.DUMMYFUNCTION("""COMPUTED_VALUE"""),5274677.0)</f>
        <v>5274677</v>
      </c>
      <c r="H4384" s="27">
        <f>IFERROR(__xludf.DUMMYFUNCTION("""COMPUTED_VALUE"""),44845.64583333333)</f>
        <v>44845.64583</v>
      </c>
      <c r="I4384" s="25">
        <f>IFERROR(__xludf.DUMMYFUNCTION("""COMPUTED_VALUE"""),3100.0)</f>
        <v>3100</v>
      </c>
      <c r="J4384" s="25">
        <f>IFERROR(__xludf.DUMMYFUNCTION("""COMPUTED_VALUE"""),3145.0)</f>
        <v>3145</v>
      </c>
      <c r="K4384" s="25">
        <f>IFERROR(__xludf.DUMMYFUNCTION("""COMPUTED_VALUE"""),3053.35)</f>
        <v>3053.35</v>
      </c>
      <c r="L4384" s="25">
        <f>IFERROR(__xludf.DUMMYFUNCTION("""COMPUTED_VALUE"""),3069.55)</f>
        <v>3069.55</v>
      </c>
      <c r="M4384" s="25">
        <f>IFERROR(__xludf.DUMMYFUNCTION("""COMPUTED_VALUE"""),4730645.0)</f>
        <v>4730645</v>
      </c>
    </row>
    <row r="4385">
      <c r="A4385" s="26">
        <f>IFERROR(__xludf.DUMMYFUNCTION("""COMPUTED_VALUE"""),44845.64583333333)</f>
        <v>44845.64583</v>
      </c>
      <c r="B4385" s="9">
        <f>IFERROR(__xludf.DUMMYFUNCTION("""COMPUTED_VALUE"""),1462.65)</f>
        <v>1462.65</v>
      </c>
      <c r="C4385" s="9">
        <f>IFERROR(__xludf.DUMMYFUNCTION("""COMPUTED_VALUE"""),1479.65)</f>
        <v>1479.65</v>
      </c>
      <c r="D4385" s="9">
        <f>IFERROR(__xludf.DUMMYFUNCTION("""COMPUTED_VALUE"""),1420.1)</f>
        <v>1420.1</v>
      </c>
      <c r="E4385" s="9">
        <f>IFERROR(__xludf.DUMMYFUNCTION("""COMPUTED_VALUE"""),1423.8)</f>
        <v>1423.8</v>
      </c>
      <c r="F4385" s="9">
        <f>IFERROR(__xludf.DUMMYFUNCTION("""COMPUTED_VALUE"""),1.2824774E7)</f>
        <v>12824774</v>
      </c>
      <c r="H4385" s="27">
        <f>IFERROR(__xludf.DUMMYFUNCTION("""COMPUTED_VALUE"""),44846.64583333333)</f>
        <v>44846.64583</v>
      </c>
      <c r="I4385" s="25">
        <f>IFERROR(__xludf.DUMMYFUNCTION("""COMPUTED_VALUE"""),3084.9)</f>
        <v>3084.9</v>
      </c>
      <c r="J4385" s="25">
        <f>IFERROR(__xludf.DUMMYFUNCTION("""COMPUTED_VALUE"""),3109.9)</f>
        <v>3109.9</v>
      </c>
      <c r="K4385" s="25">
        <f>IFERROR(__xludf.DUMMYFUNCTION("""COMPUTED_VALUE"""),3062.05)</f>
        <v>3062.05</v>
      </c>
      <c r="L4385" s="25">
        <f>IFERROR(__xludf.DUMMYFUNCTION("""COMPUTED_VALUE"""),3100.75)</f>
        <v>3100.75</v>
      </c>
      <c r="M4385" s="25">
        <f>IFERROR(__xludf.DUMMYFUNCTION("""COMPUTED_VALUE"""),1665247.0)</f>
        <v>1665247</v>
      </c>
    </row>
    <row r="4386">
      <c r="A4386" s="26">
        <f>IFERROR(__xludf.DUMMYFUNCTION("""COMPUTED_VALUE"""),44846.64583333333)</f>
        <v>44846.64583</v>
      </c>
      <c r="B4386" s="9">
        <f>IFERROR(__xludf.DUMMYFUNCTION("""COMPUTED_VALUE"""),1437.0)</f>
        <v>1437</v>
      </c>
      <c r="C4386" s="9">
        <f>IFERROR(__xludf.DUMMYFUNCTION("""COMPUTED_VALUE"""),1441.1)</f>
        <v>1441.1</v>
      </c>
      <c r="D4386" s="9">
        <f>IFERROR(__xludf.DUMMYFUNCTION("""COMPUTED_VALUE"""),1413.55)</f>
        <v>1413.55</v>
      </c>
      <c r="E4386" s="9">
        <f>IFERROR(__xludf.DUMMYFUNCTION("""COMPUTED_VALUE"""),1428.7)</f>
        <v>1428.7</v>
      </c>
      <c r="F4386" s="9">
        <f>IFERROR(__xludf.DUMMYFUNCTION("""COMPUTED_VALUE"""),5481467.0)</f>
        <v>5481467</v>
      </c>
      <c r="H4386" s="27">
        <f>IFERROR(__xludf.DUMMYFUNCTION("""COMPUTED_VALUE"""),44847.64583333333)</f>
        <v>44847.64583</v>
      </c>
      <c r="I4386" s="25">
        <f>IFERROR(__xludf.DUMMYFUNCTION("""COMPUTED_VALUE"""),3100.75)</f>
        <v>3100.75</v>
      </c>
      <c r="J4386" s="25">
        <f>IFERROR(__xludf.DUMMYFUNCTION("""COMPUTED_VALUE"""),3110.0)</f>
        <v>3110</v>
      </c>
      <c r="K4386" s="25">
        <f>IFERROR(__xludf.DUMMYFUNCTION("""COMPUTED_VALUE"""),3052.35)</f>
        <v>3052.35</v>
      </c>
      <c r="L4386" s="25">
        <f>IFERROR(__xludf.DUMMYFUNCTION("""COMPUTED_VALUE"""),3103.3)</f>
        <v>3103.3</v>
      </c>
      <c r="M4386" s="25">
        <f>IFERROR(__xludf.DUMMYFUNCTION("""COMPUTED_VALUE"""),2054781.0)</f>
        <v>2054781</v>
      </c>
    </row>
    <row r="4387">
      <c r="A4387" s="26">
        <f>IFERROR(__xludf.DUMMYFUNCTION("""COMPUTED_VALUE"""),44847.64583333333)</f>
        <v>44847.64583</v>
      </c>
      <c r="B4387" s="9">
        <f>IFERROR(__xludf.DUMMYFUNCTION("""COMPUTED_VALUE"""),1431.0)</f>
        <v>1431</v>
      </c>
      <c r="C4387" s="9">
        <f>IFERROR(__xludf.DUMMYFUNCTION("""COMPUTED_VALUE"""),1437.95)</f>
        <v>1437.95</v>
      </c>
      <c r="D4387" s="9">
        <f>IFERROR(__xludf.DUMMYFUNCTION("""COMPUTED_VALUE"""),1415.0)</f>
        <v>1415</v>
      </c>
      <c r="E4387" s="9">
        <f>IFERROR(__xludf.DUMMYFUNCTION("""COMPUTED_VALUE"""),1419.9)</f>
        <v>1419.9</v>
      </c>
      <c r="F4387" s="9">
        <f>IFERROR(__xludf.DUMMYFUNCTION("""COMPUTED_VALUE"""),4821514.0)</f>
        <v>4821514</v>
      </c>
      <c r="H4387" s="27">
        <f>IFERROR(__xludf.DUMMYFUNCTION("""COMPUTED_VALUE"""),44848.64583333333)</f>
        <v>44848.64583</v>
      </c>
      <c r="I4387" s="25">
        <f>IFERROR(__xludf.DUMMYFUNCTION("""COMPUTED_VALUE"""),3145.0)</f>
        <v>3145</v>
      </c>
      <c r="J4387" s="25">
        <f>IFERROR(__xludf.DUMMYFUNCTION("""COMPUTED_VALUE"""),3150.0)</f>
        <v>3150</v>
      </c>
      <c r="K4387" s="25">
        <f>IFERROR(__xludf.DUMMYFUNCTION("""COMPUTED_VALUE"""),3071.0)</f>
        <v>3071</v>
      </c>
      <c r="L4387" s="25">
        <f>IFERROR(__xludf.DUMMYFUNCTION("""COMPUTED_VALUE"""),3099.15)</f>
        <v>3099.15</v>
      </c>
      <c r="M4387" s="25">
        <f>IFERROR(__xludf.DUMMYFUNCTION("""COMPUTED_VALUE"""),2245977.0)</f>
        <v>2245977</v>
      </c>
    </row>
    <row r="4388">
      <c r="A4388" s="26">
        <f>IFERROR(__xludf.DUMMYFUNCTION("""COMPUTED_VALUE"""),44848.64583333333)</f>
        <v>44848.64583</v>
      </c>
      <c r="B4388" s="9">
        <f>IFERROR(__xludf.DUMMYFUNCTION("""COMPUTED_VALUE"""),1485.0)</f>
        <v>1485</v>
      </c>
      <c r="C4388" s="9">
        <f>IFERROR(__xludf.DUMMYFUNCTION("""COMPUTED_VALUE"""),1494.0)</f>
        <v>1494</v>
      </c>
      <c r="D4388" s="9">
        <f>IFERROR(__xludf.DUMMYFUNCTION("""COMPUTED_VALUE"""),1467.25)</f>
        <v>1467.25</v>
      </c>
      <c r="E4388" s="9">
        <f>IFERROR(__xludf.DUMMYFUNCTION("""COMPUTED_VALUE"""),1474.25)</f>
        <v>1474.25</v>
      </c>
      <c r="F4388" s="9">
        <f>IFERROR(__xludf.DUMMYFUNCTION("""COMPUTED_VALUE"""),1.4990688E7)</f>
        <v>14990688</v>
      </c>
      <c r="H4388" s="27">
        <f>IFERROR(__xludf.DUMMYFUNCTION("""COMPUTED_VALUE"""),44851.64583333333)</f>
        <v>44851.64583</v>
      </c>
      <c r="I4388" s="25">
        <f>IFERROR(__xludf.DUMMYFUNCTION("""COMPUTED_VALUE"""),3072.65)</f>
        <v>3072.65</v>
      </c>
      <c r="J4388" s="25">
        <f>IFERROR(__xludf.DUMMYFUNCTION("""COMPUTED_VALUE"""),3128.4)</f>
        <v>3128.4</v>
      </c>
      <c r="K4388" s="25">
        <f>IFERROR(__xludf.DUMMYFUNCTION("""COMPUTED_VALUE"""),3071.45)</f>
        <v>3071.45</v>
      </c>
      <c r="L4388" s="25">
        <f>IFERROR(__xludf.DUMMYFUNCTION("""COMPUTED_VALUE"""),3111.75)</f>
        <v>3111.75</v>
      </c>
      <c r="M4388" s="25">
        <f>IFERROR(__xludf.DUMMYFUNCTION("""COMPUTED_VALUE"""),1517005.0)</f>
        <v>1517005</v>
      </c>
    </row>
    <row r="4389">
      <c r="A4389" s="26">
        <f>IFERROR(__xludf.DUMMYFUNCTION("""COMPUTED_VALUE"""),44851.64583333333)</f>
        <v>44851.64583</v>
      </c>
      <c r="B4389" s="9">
        <f>IFERROR(__xludf.DUMMYFUNCTION("""COMPUTED_VALUE"""),1476.9)</f>
        <v>1476.9</v>
      </c>
      <c r="C4389" s="9">
        <f>IFERROR(__xludf.DUMMYFUNCTION("""COMPUTED_VALUE"""),1495.0)</f>
        <v>1495</v>
      </c>
      <c r="D4389" s="9">
        <f>IFERROR(__xludf.DUMMYFUNCTION("""COMPUTED_VALUE"""),1475.5)</f>
        <v>1475.5</v>
      </c>
      <c r="E4389" s="9">
        <f>IFERROR(__xludf.DUMMYFUNCTION("""COMPUTED_VALUE"""),1489.95)</f>
        <v>1489.95</v>
      </c>
      <c r="F4389" s="9">
        <f>IFERROR(__xludf.DUMMYFUNCTION("""COMPUTED_VALUE"""),4286396.0)</f>
        <v>4286396</v>
      </c>
      <c r="H4389" s="27">
        <f>IFERROR(__xludf.DUMMYFUNCTION("""COMPUTED_VALUE"""),44852.64583333333)</f>
        <v>44852.64583</v>
      </c>
      <c r="I4389" s="25">
        <f>IFERROR(__xludf.DUMMYFUNCTION("""COMPUTED_VALUE"""),3150.0)</f>
        <v>3150</v>
      </c>
      <c r="J4389" s="25">
        <f>IFERROR(__xludf.DUMMYFUNCTION("""COMPUTED_VALUE"""),3155.35)</f>
        <v>3155.35</v>
      </c>
      <c r="K4389" s="25">
        <f>IFERROR(__xludf.DUMMYFUNCTION("""COMPUTED_VALUE"""),3128.55)</f>
        <v>3128.55</v>
      </c>
      <c r="L4389" s="25">
        <f>IFERROR(__xludf.DUMMYFUNCTION("""COMPUTED_VALUE"""),3144.7)</f>
        <v>3144.7</v>
      </c>
      <c r="M4389" s="25">
        <f>IFERROR(__xludf.DUMMYFUNCTION("""COMPUTED_VALUE"""),1793722.0)</f>
        <v>1793722</v>
      </c>
    </row>
    <row r="4390">
      <c r="A4390" s="26">
        <f>IFERROR(__xludf.DUMMYFUNCTION("""COMPUTED_VALUE"""),44852.64583333333)</f>
        <v>44852.64583</v>
      </c>
      <c r="B4390" s="9">
        <f>IFERROR(__xludf.DUMMYFUNCTION("""COMPUTED_VALUE"""),1510.0)</f>
        <v>1510</v>
      </c>
      <c r="C4390" s="9">
        <f>IFERROR(__xludf.DUMMYFUNCTION("""COMPUTED_VALUE"""),1510.95)</f>
        <v>1510.95</v>
      </c>
      <c r="D4390" s="9">
        <f>IFERROR(__xludf.DUMMYFUNCTION("""COMPUTED_VALUE"""),1497.25)</f>
        <v>1497.25</v>
      </c>
      <c r="E4390" s="9">
        <f>IFERROR(__xludf.DUMMYFUNCTION("""COMPUTED_VALUE"""),1503.7)</f>
        <v>1503.7</v>
      </c>
      <c r="F4390" s="9">
        <f>IFERROR(__xludf.DUMMYFUNCTION("""COMPUTED_VALUE"""),4692004.0)</f>
        <v>4692004</v>
      </c>
      <c r="H4390" s="27">
        <f>IFERROR(__xludf.DUMMYFUNCTION("""COMPUTED_VALUE"""),44853.64583333333)</f>
        <v>44853.64583</v>
      </c>
      <c r="I4390" s="25">
        <f>IFERROR(__xludf.DUMMYFUNCTION("""COMPUTED_VALUE"""),3159.0)</f>
        <v>3159</v>
      </c>
      <c r="J4390" s="25">
        <f>IFERROR(__xludf.DUMMYFUNCTION("""COMPUTED_VALUE"""),3159.0)</f>
        <v>3159</v>
      </c>
      <c r="K4390" s="25">
        <f>IFERROR(__xludf.DUMMYFUNCTION("""COMPUTED_VALUE"""),3112.0)</f>
        <v>3112</v>
      </c>
      <c r="L4390" s="25">
        <f>IFERROR(__xludf.DUMMYFUNCTION("""COMPUTED_VALUE"""),3121.85)</f>
        <v>3121.85</v>
      </c>
      <c r="M4390" s="25">
        <f>IFERROR(__xludf.DUMMYFUNCTION("""COMPUTED_VALUE"""),1194289.0)</f>
        <v>1194289</v>
      </c>
    </row>
    <row r="4391">
      <c r="A4391" s="26">
        <f>IFERROR(__xludf.DUMMYFUNCTION("""COMPUTED_VALUE"""),44853.64583333333)</f>
        <v>44853.64583</v>
      </c>
      <c r="B4391" s="9">
        <f>IFERROR(__xludf.DUMMYFUNCTION("""COMPUTED_VALUE"""),1504.0)</f>
        <v>1504</v>
      </c>
      <c r="C4391" s="9">
        <f>IFERROR(__xludf.DUMMYFUNCTION("""COMPUTED_VALUE"""),1504.95)</f>
        <v>1504.95</v>
      </c>
      <c r="D4391" s="9">
        <f>IFERROR(__xludf.DUMMYFUNCTION("""COMPUTED_VALUE"""),1481.3)</f>
        <v>1481.3</v>
      </c>
      <c r="E4391" s="9">
        <f>IFERROR(__xludf.DUMMYFUNCTION("""COMPUTED_VALUE"""),1485.45)</f>
        <v>1485.45</v>
      </c>
      <c r="F4391" s="9">
        <f>IFERROR(__xludf.DUMMYFUNCTION("""COMPUTED_VALUE"""),3553171.0)</f>
        <v>3553171</v>
      </c>
      <c r="H4391" s="27">
        <f>IFERROR(__xludf.DUMMYFUNCTION("""COMPUTED_VALUE"""),44854.64583333333)</f>
        <v>44854.64583</v>
      </c>
      <c r="I4391" s="25">
        <f>IFERROR(__xludf.DUMMYFUNCTION("""COMPUTED_VALUE"""),3105.0)</f>
        <v>3105</v>
      </c>
      <c r="J4391" s="25">
        <f>IFERROR(__xludf.DUMMYFUNCTION("""COMPUTED_VALUE"""),3160.0)</f>
        <v>3160</v>
      </c>
      <c r="K4391" s="25">
        <f>IFERROR(__xludf.DUMMYFUNCTION("""COMPUTED_VALUE"""),3105.0)</f>
        <v>3105</v>
      </c>
      <c r="L4391" s="25">
        <f>IFERROR(__xludf.DUMMYFUNCTION("""COMPUTED_VALUE"""),3157.3)</f>
        <v>3157.3</v>
      </c>
      <c r="M4391" s="25">
        <f>IFERROR(__xludf.DUMMYFUNCTION("""COMPUTED_VALUE"""),1587601.0)</f>
        <v>1587601</v>
      </c>
    </row>
    <row r="4392">
      <c r="A4392" s="26">
        <f>IFERROR(__xludf.DUMMYFUNCTION("""COMPUTED_VALUE"""),44854.64583333333)</f>
        <v>44854.64583</v>
      </c>
      <c r="B4392" s="9">
        <f>IFERROR(__xludf.DUMMYFUNCTION("""COMPUTED_VALUE"""),1475.0)</f>
        <v>1475</v>
      </c>
      <c r="C4392" s="9">
        <f>IFERROR(__xludf.DUMMYFUNCTION("""COMPUTED_VALUE"""),1504.0)</f>
        <v>1504</v>
      </c>
      <c r="D4392" s="9">
        <f>IFERROR(__xludf.DUMMYFUNCTION("""COMPUTED_VALUE"""),1474.2)</f>
        <v>1474.2</v>
      </c>
      <c r="E4392" s="9">
        <f>IFERROR(__xludf.DUMMYFUNCTION("""COMPUTED_VALUE"""),1500.9)</f>
        <v>1500.9</v>
      </c>
      <c r="F4392" s="9">
        <f>IFERROR(__xludf.DUMMYFUNCTION("""COMPUTED_VALUE"""),4583939.0)</f>
        <v>4583939</v>
      </c>
      <c r="H4392" s="27">
        <f>IFERROR(__xludf.DUMMYFUNCTION("""COMPUTED_VALUE"""),44855.64583333333)</f>
        <v>44855.64583</v>
      </c>
      <c r="I4392" s="25">
        <f>IFERROR(__xludf.DUMMYFUNCTION("""COMPUTED_VALUE"""),3157.8)</f>
        <v>3157.8</v>
      </c>
      <c r="J4392" s="25">
        <f>IFERROR(__xludf.DUMMYFUNCTION("""COMPUTED_VALUE"""),3160.4)</f>
        <v>3160.4</v>
      </c>
      <c r="K4392" s="25">
        <f>IFERROR(__xludf.DUMMYFUNCTION("""COMPUTED_VALUE"""),3127.0)</f>
        <v>3127</v>
      </c>
      <c r="L4392" s="25">
        <f>IFERROR(__xludf.DUMMYFUNCTION("""COMPUTED_VALUE"""),3137.4)</f>
        <v>3137.4</v>
      </c>
      <c r="M4392" s="25">
        <f>IFERROR(__xludf.DUMMYFUNCTION("""COMPUTED_VALUE"""),1021913.0)</f>
        <v>1021913</v>
      </c>
    </row>
    <row r="4393">
      <c r="A4393" s="26">
        <f>IFERROR(__xludf.DUMMYFUNCTION("""COMPUTED_VALUE"""),44855.64583333333)</f>
        <v>44855.64583</v>
      </c>
      <c r="B4393" s="9">
        <f>IFERROR(__xludf.DUMMYFUNCTION("""COMPUTED_VALUE"""),1500.3)</f>
        <v>1500.3</v>
      </c>
      <c r="C4393" s="9">
        <f>IFERROR(__xludf.DUMMYFUNCTION("""COMPUTED_VALUE"""),1506.0)</f>
        <v>1506</v>
      </c>
      <c r="D4393" s="9">
        <f>IFERROR(__xludf.DUMMYFUNCTION("""COMPUTED_VALUE"""),1491.35)</f>
        <v>1491.35</v>
      </c>
      <c r="E4393" s="9">
        <f>IFERROR(__xludf.DUMMYFUNCTION("""COMPUTED_VALUE"""),1500.5)</f>
        <v>1500.5</v>
      </c>
      <c r="F4393" s="9">
        <f>IFERROR(__xludf.DUMMYFUNCTION("""COMPUTED_VALUE"""),3594485.0)</f>
        <v>3594485</v>
      </c>
      <c r="H4393" s="27">
        <f>IFERROR(__xludf.DUMMYFUNCTION("""COMPUTED_VALUE"""),44859.64583333333)</f>
        <v>44859.64583</v>
      </c>
      <c r="I4393" s="25">
        <f>IFERROR(__xludf.DUMMYFUNCTION("""COMPUTED_VALUE"""),3180.5)</f>
        <v>3180.5</v>
      </c>
      <c r="J4393" s="25">
        <f>IFERROR(__xludf.DUMMYFUNCTION("""COMPUTED_VALUE"""),3184.25)</f>
        <v>3184.25</v>
      </c>
      <c r="K4393" s="25">
        <f>IFERROR(__xludf.DUMMYFUNCTION("""COMPUTED_VALUE"""),3151.15)</f>
        <v>3151.15</v>
      </c>
      <c r="L4393" s="25">
        <f>IFERROR(__xludf.DUMMYFUNCTION("""COMPUTED_VALUE"""),3162.1)</f>
        <v>3162.1</v>
      </c>
      <c r="M4393" s="25">
        <f>IFERROR(__xludf.DUMMYFUNCTION("""COMPUTED_VALUE"""),2069643.0)</f>
        <v>2069643</v>
      </c>
    </row>
    <row r="4394">
      <c r="A4394" s="26">
        <f>IFERROR(__xludf.DUMMYFUNCTION("""COMPUTED_VALUE"""),44859.64583333333)</f>
        <v>44859.64583</v>
      </c>
      <c r="B4394" s="9">
        <f>IFERROR(__xludf.DUMMYFUNCTION("""COMPUTED_VALUE"""),1528.1)</f>
        <v>1528.1</v>
      </c>
      <c r="C4394" s="9">
        <f>IFERROR(__xludf.DUMMYFUNCTION("""COMPUTED_VALUE"""),1532.9)</f>
        <v>1532.9</v>
      </c>
      <c r="D4394" s="9">
        <f>IFERROR(__xludf.DUMMYFUNCTION("""COMPUTED_VALUE"""),1521.05)</f>
        <v>1521.05</v>
      </c>
      <c r="E4394" s="9">
        <f>IFERROR(__xludf.DUMMYFUNCTION("""COMPUTED_VALUE"""),1526.3)</f>
        <v>1526.3</v>
      </c>
      <c r="F4394" s="9">
        <f>IFERROR(__xludf.DUMMYFUNCTION("""COMPUTED_VALUE"""),3914341.0)</f>
        <v>3914341</v>
      </c>
      <c r="H4394" s="27">
        <f>IFERROR(__xludf.DUMMYFUNCTION("""COMPUTED_VALUE"""),44861.64583333333)</f>
        <v>44861.64583</v>
      </c>
      <c r="I4394" s="25">
        <f>IFERROR(__xludf.DUMMYFUNCTION("""COMPUTED_VALUE"""),3160.7)</f>
        <v>3160.7</v>
      </c>
      <c r="J4394" s="25">
        <f>IFERROR(__xludf.DUMMYFUNCTION("""COMPUTED_VALUE"""),3174.0)</f>
        <v>3174</v>
      </c>
      <c r="K4394" s="25">
        <f>IFERROR(__xludf.DUMMYFUNCTION("""COMPUTED_VALUE"""),3134.35)</f>
        <v>3134.35</v>
      </c>
      <c r="L4394" s="25">
        <f>IFERROR(__xludf.DUMMYFUNCTION("""COMPUTED_VALUE"""),3157.4)</f>
        <v>3157.4</v>
      </c>
      <c r="M4394" s="25">
        <f>IFERROR(__xludf.DUMMYFUNCTION("""COMPUTED_VALUE"""),2438421.0)</f>
        <v>2438421</v>
      </c>
    </row>
    <row r="4395">
      <c r="A4395" s="26">
        <f>IFERROR(__xludf.DUMMYFUNCTION("""COMPUTED_VALUE"""),44861.64583333333)</f>
        <v>44861.64583</v>
      </c>
      <c r="B4395" s="9">
        <f>IFERROR(__xludf.DUMMYFUNCTION("""COMPUTED_VALUE"""),1530.8)</f>
        <v>1530.8</v>
      </c>
      <c r="C4395" s="9">
        <f>IFERROR(__xludf.DUMMYFUNCTION("""COMPUTED_VALUE"""),1534.9)</f>
        <v>1534.9</v>
      </c>
      <c r="D4395" s="9">
        <f>IFERROR(__xludf.DUMMYFUNCTION("""COMPUTED_VALUE"""),1512.5)</f>
        <v>1512.5</v>
      </c>
      <c r="E4395" s="9">
        <f>IFERROR(__xludf.DUMMYFUNCTION("""COMPUTED_VALUE"""),1523.95)</f>
        <v>1523.95</v>
      </c>
      <c r="F4395" s="9">
        <f>IFERROR(__xludf.DUMMYFUNCTION("""COMPUTED_VALUE"""),6760137.0)</f>
        <v>6760137</v>
      </c>
      <c r="H4395" s="27">
        <f>IFERROR(__xludf.DUMMYFUNCTION("""COMPUTED_VALUE"""),44862.64583333333)</f>
        <v>44862.64583</v>
      </c>
      <c r="I4395" s="25">
        <f>IFERROR(__xludf.DUMMYFUNCTION("""COMPUTED_VALUE"""),3150.0)</f>
        <v>3150</v>
      </c>
      <c r="J4395" s="25">
        <f>IFERROR(__xludf.DUMMYFUNCTION("""COMPUTED_VALUE"""),3178.5)</f>
        <v>3178.5</v>
      </c>
      <c r="K4395" s="25">
        <f>IFERROR(__xludf.DUMMYFUNCTION("""COMPUTED_VALUE"""),3145.0)</f>
        <v>3145</v>
      </c>
      <c r="L4395" s="25">
        <f>IFERROR(__xludf.DUMMYFUNCTION("""COMPUTED_VALUE"""),3163.25)</f>
        <v>3163.25</v>
      </c>
      <c r="M4395" s="25">
        <f>IFERROR(__xludf.DUMMYFUNCTION("""COMPUTED_VALUE"""),1355739.0)</f>
        <v>1355739</v>
      </c>
    </row>
    <row r="4396">
      <c r="A4396" s="26">
        <f>IFERROR(__xludf.DUMMYFUNCTION("""COMPUTED_VALUE"""),44862.64583333333)</f>
        <v>44862.64583</v>
      </c>
      <c r="B4396" s="9">
        <f>IFERROR(__xludf.DUMMYFUNCTION("""COMPUTED_VALUE"""),1526.0)</f>
        <v>1526</v>
      </c>
      <c r="C4396" s="9">
        <f>IFERROR(__xludf.DUMMYFUNCTION("""COMPUTED_VALUE"""),1527.95)</f>
        <v>1527.95</v>
      </c>
      <c r="D4396" s="9">
        <f>IFERROR(__xludf.DUMMYFUNCTION("""COMPUTED_VALUE"""),1507.0)</f>
        <v>1507</v>
      </c>
      <c r="E4396" s="9">
        <f>IFERROR(__xludf.DUMMYFUNCTION("""COMPUTED_VALUE"""),1513.25)</f>
        <v>1513.25</v>
      </c>
      <c r="F4396" s="9">
        <f>IFERROR(__xludf.DUMMYFUNCTION("""COMPUTED_VALUE"""),3053981.0)</f>
        <v>3053981</v>
      </c>
      <c r="H4396" s="27">
        <f>IFERROR(__xludf.DUMMYFUNCTION("""COMPUTED_VALUE"""),44865.64583333333)</f>
        <v>44865.64583</v>
      </c>
      <c r="I4396" s="25">
        <f>IFERROR(__xludf.DUMMYFUNCTION("""COMPUTED_VALUE"""),3199.0)</f>
        <v>3199</v>
      </c>
      <c r="J4396" s="25">
        <f>IFERROR(__xludf.DUMMYFUNCTION("""COMPUTED_VALUE"""),3199.0)</f>
        <v>3199</v>
      </c>
      <c r="K4396" s="25">
        <f>IFERROR(__xludf.DUMMYFUNCTION("""COMPUTED_VALUE"""),3177.8)</f>
        <v>3177.8</v>
      </c>
      <c r="L4396" s="25">
        <f>IFERROR(__xludf.DUMMYFUNCTION("""COMPUTED_VALUE"""),3193.15)</f>
        <v>3193.15</v>
      </c>
      <c r="M4396" s="25">
        <f>IFERROR(__xludf.DUMMYFUNCTION("""COMPUTED_VALUE"""),1919414.0)</f>
        <v>1919414</v>
      </c>
    </row>
    <row r="4397">
      <c r="A4397" s="26">
        <f>IFERROR(__xludf.DUMMYFUNCTION("""COMPUTED_VALUE"""),44865.64583333333)</f>
        <v>44865.64583</v>
      </c>
      <c r="B4397" s="9">
        <f>IFERROR(__xludf.DUMMYFUNCTION("""COMPUTED_VALUE"""),1530.25)</f>
        <v>1530.25</v>
      </c>
      <c r="C4397" s="9">
        <f>IFERROR(__xludf.DUMMYFUNCTION("""COMPUTED_VALUE"""),1546.4)</f>
        <v>1546.4</v>
      </c>
      <c r="D4397" s="9">
        <f>IFERROR(__xludf.DUMMYFUNCTION("""COMPUTED_VALUE"""),1530.25)</f>
        <v>1530.25</v>
      </c>
      <c r="E4397" s="9">
        <f>IFERROR(__xludf.DUMMYFUNCTION("""COMPUTED_VALUE"""),1537.65)</f>
        <v>1537.65</v>
      </c>
      <c r="F4397" s="9">
        <f>IFERROR(__xludf.DUMMYFUNCTION("""COMPUTED_VALUE"""),4542336.0)</f>
        <v>4542336</v>
      </c>
      <c r="H4397" s="27">
        <f>IFERROR(__xludf.DUMMYFUNCTION("""COMPUTED_VALUE"""),44866.64583333333)</f>
        <v>44866.64583</v>
      </c>
      <c r="I4397" s="25">
        <f>IFERROR(__xludf.DUMMYFUNCTION("""COMPUTED_VALUE"""),3214.5)</f>
        <v>3214.5</v>
      </c>
      <c r="J4397" s="25">
        <f>IFERROR(__xludf.DUMMYFUNCTION("""COMPUTED_VALUE"""),3262.6)</f>
        <v>3262.6</v>
      </c>
      <c r="K4397" s="25">
        <f>IFERROR(__xludf.DUMMYFUNCTION("""COMPUTED_VALUE"""),3203.45)</f>
        <v>3203.45</v>
      </c>
      <c r="L4397" s="25">
        <f>IFERROR(__xludf.DUMMYFUNCTION("""COMPUTED_VALUE"""),3259.7)</f>
        <v>3259.7</v>
      </c>
      <c r="M4397" s="25">
        <f>IFERROR(__xludf.DUMMYFUNCTION("""COMPUTED_VALUE"""),2991060.0)</f>
        <v>2991060</v>
      </c>
    </row>
    <row r="4398">
      <c r="A4398" s="26">
        <f>IFERROR(__xludf.DUMMYFUNCTION("""COMPUTED_VALUE"""),44866.64583333333)</f>
        <v>44866.64583</v>
      </c>
      <c r="B4398" s="9">
        <f>IFERROR(__xludf.DUMMYFUNCTION("""COMPUTED_VALUE"""),1553.05)</f>
        <v>1553.05</v>
      </c>
      <c r="C4398" s="9">
        <f>IFERROR(__xludf.DUMMYFUNCTION("""COMPUTED_VALUE"""),1575.0)</f>
        <v>1575</v>
      </c>
      <c r="D4398" s="9">
        <f>IFERROR(__xludf.DUMMYFUNCTION("""COMPUTED_VALUE"""),1547.1)</f>
        <v>1547.1</v>
      </c>
      <c r="E4398" s="9">
        <f>IFERROR(__xludf.DUMMYFUNCTION("""COMPUTED_VALUE"""),1573.0)</f>
        <v>1573</v>
      </c>
      <c r="F4398" s="9">
        <f>IFERROR(__xludf.DUMMYFUNCTION("""COMPUTED_VALUE"""),4542692.0)</f>
        <v>4542692</v>
      </c>
      <c r="H4398" s="27">
        <f>IFERROR(__xludf.DUMMYFUNCTION("""COMPUTED_VALUE"""),44867.64583333333)</f>
        <v>44867.64583</v>
      </c>
      <c r="I4398" s="25">
        <f>IFERROR(__xludf.DUMMYFUNCTION("""COMPUTED_VALUE"""),3270.0)</f>
        <v>3270</v>
      </c>
      <c r="J4398" s="25">
        <f>IFERROR(__xludf.DUMMYFUNCTION("""COMPUTED_VALUE"""),3270.0)</f>
        <v>3270</v>
      </c>
      <c r="K4398" s="25">
        <f>IFERROR(__xludf.DUMMYFUNCTION("""COMPUTED_VALUE"""),3222.05)</f>
        <v>3222.05</v>
      </c>
      <c r="L4398" s="25">
        <f>IFERROR(__xludf.DUMMYFUNCTION("""COMPUTED_VALUE"""),3241.7)</f>
        <v>3241.7</v>
      </c>
      <c r="M4398" s="25">
        <f>IFERROR(__xludf.DUMMYFUNCTION("""COMPUTED_VALUE"""),1405955.0)</f>
        <v>1405955</v>
      </c>
    </row>
    <row r="4399">
      <c r="A4399" s="26">
        <f>IFERROR(__xludf.DUMMYFUNCTION("""COMPUTED_VALUE"""),44867.64583333333)</f>
        <v>44867.64583</v>
      </c>
      <c r="B4399" s="9">
        <f>IFERROR(__xludf.DUMMYFUNCTION("""COMPUTED_VALUE"""),1572.0)</f>
        <v>1572</v>
      </c>
      <c r="C4399" s="9">
        <f>IFERROR(__xludf.DUMMYFUNCTION("""COMPUTED_VALUE"""),1572.75)</f>
        <v>1572.75</v>
      </c>
      <c r="D4399" s="9">
        <f>IFERROR(__xludf.DUMMYFUNCTION("""COMPUTED_VALUE"""),1545.0)</f>
        <v>1545</v>
      </c>
      <c r="E4399" s="9">
        <f>IFERROR(__xludf.DUMMYFUNCTION("""COMPUTED_VALUE"""),1553.3)</f>
        <v>1553.3</v>
      </c>
      <c r="F4399" s="9">
        <f>IFERROR(__xludf.DUMMYFUNCTION("""COMPUTED_VALUE"""),2938906.0)</f>
        <v>2938906</v>
      </c>
      <c r="H4399" s="27">
        <f>IFERROR(__xludf.DUMMYFUNCTION("""COMPUTED_VALUE"""),44868.64583333333)</f>
        <v>44868.64583</v>
      </c>
      <c r="I4399" s="25">
        <f>IFERROR(__xludf.DUMMYFUNCTION("""COMPUTED_VALUE"""),3228.05)</f>
        <v>3228.05</v>
      </c>
      <c r="J4399" s="25">
        <f>IFERROR(__xludf.DUMMYFUNCTION("""COMPUTED_VALUE"""),3228.05)</f>
        <v>3228.05</v>
      </c>
      <c r="K4399" s="25">
        <f>IFERROR(__xludf.DUMMYFUNCTION("""COMPUTED_VALUE"""),3195.0)</f>
        <v>3195</v>
      </c>
      <c r="L4399" s="25">
        <f>IFERROR(__xludf.DUMMYFUNCTION("""COMPUTED_VALUE"""),3206.75)</f>
        <v>3206.75</v>
      </c>
      <c r="M4399" s="25">
        <f>IFERROR(__xludf.DUMMYFUNCTION("""COMPUTED_VALUE"""),1422652.0)</f>
        <v>1422652</v>
      </c>
    </row>
    <row r="4400">
      <c r="A4400" s="26">
        <f>IFERROR(__xludf.DUMMYFUNCTION("""COMPUTED_VALUE"""),44868.64583333333)</f>
        <v>44868.64583</v>
      </c>
      <c r="B4400" s="9">
        <f>IFERROR(__xludf.DUMMYFUNCTION("""COMPUTED_VALUE"""),1538.75)</f>
        <v>1538.75</v>
      </c>
      <c r="C4400" s="9">
        <f>IFERROR(__xludf.DUMMYFUNCTION("""COMPUTED_VALUE"""),1543.9)</f>
        <v>1543.9</v>
      </c>
      <c r="D4400" s="9">
        <f>IFERROR(__xludf.DUMMYFUNCTION("""COMPUTED_VALUE"""),1521.65)</f>
        <v>1521.65</v>
      </c>
      <c r="E4400" s="9">
        <f>IFERROR(__xludf.DUMMYFUNCTION("""COMPUTED_VALUE"""),1530.75)</f>
        <v>1530.75</v>
      </c>
      <c r="F4400" s="9">
        <f>IFERROR(__xludf.DUMMYFUNCTION("""COMPUTED_VALUE"""),3174027.0)</f>
        <v>3174027</v>
      </c>
      <c r="H4400" s="27">
        <f>IFERROR(__xludf.DUMMYFUNCTION("""COMPUTED_VALUE"""),44869.64583333333)</f>
        <v>44869.64583</v>
      </c>
      <c r="I4400" s="25">
        <f>IFERROR(__xludf.DUMMYFUNCTION("""COMPUTED_VALUE"""),3217.0)</f>
        <v>3217</v>
      </c>
      <c r="J4400" s="25">
        <f>IFERROR(__xludf.DUMMYFUNCTION("""COMPUTED_VALUE"""),3220.05)</f>
        <v>3220.05</v>
      </c>
      <c r="K4400" s="25">
        <f>IFERROR(__xludf.DUMMYFUNCTION("""COMPUTED_VALUE"""),3166.15)</f>
        <v>3166.15</v>
      </c>
      <c r="L4400" s="25">
        <f>IFERROR(__xludf.DUMMYFUNCTION("""COMPUTED_VALUE"""),3217.4)</f>
        <v>3217.4</v>
      </c>
      <c r="M4400" s="25">
        <f>IFERROR(__xludf.DUMMYFUNCTION("""COMPUTED_VALUE"""),1464013.0)</f>
        <v>1464013</v>
      </c>
    </row>
    <row r="4401">
      <c r="A4401" s="26">
        <f>IFERROR(__xludf.DUMMYFUNCTION("""COMPUTED_VALUE"""),44869.64583333333)</f>
        <v>44869.64583</v>
      </c>
      <c r="B4401" s="9">
        <f>IFERROR(__xludf.DUMMYFUNCTION("""COMPUTED_VALUE"""),1520.45)</f>
        <v>1520.45</v>
      </c>
      <c r="C4401" s="9">
        <f>IFERROR(__xludf.DUMMYFUNCTION("""COMPUTED_VALUE"""),1520.45)</f>
        <v>1520.45</v>
      </c>
      <c r="D4401" s="9">
        <f>IFERROR(__xludf.DUMMYFUNCTION("""COMPUTED_VALUE"""),1501.15)</f>
        <v>1501.15</v>
      </c>
      <c r="E4401" s="9">
        <f>IFERROR(__xludf.DUMMYFUNCTION("""COMPUTED_VALUE"""),1514.0)</f>
        <v>1514</v>
      </c>
      <c r="F4401" s="9">
        <f>IFERROR(__xludf.DUMMYFUNCTION("""COMPUTED_VALUE"""),4509682.0)</f>
        <v>4509682</v>
      </c>
      <c r="H4401" s="27">
        <f>IFERROR(__xludf.DUMMYFUNCTION("""COMPUTED_VALUE"""),44872.64583333333)</f>
        <v>44872.64583</v>
      </c>
      <c r="I4401" s="25">
        <f>IFERROR(__xludf.DUMMYFUNCTION("""COMPUTED_VALUE"""),3229.0)</f>
        <v>3229</v>
      </c>
      <c r="J4401" s="25">
        <f>IFERROR(__xludf.DUMMYFUNCTION("""COMPUTED_VALUE"""),3242.8)</f>
        <v>3242.8</v>
      </c>
      <c r="K4401" s="25">
        <f>IFERROR(__xludf.DUMMYFUNCTION("""COMPUTED_VALUE"""),3195.1)</f>
        <v>3195.1</v>
      </c>
      <c r="L4401" s="25">
        <f>IFERROR(__xludf.DUMMYFUNCTION("""COMPUTED_VALUE"""),3233.7)</f>
        <v>3233.7</v>
      </c>
      <c r="M4401" s="25">
        <f>IFERROR(__xludf.DUMMYFUNCTION("""COMPUTED_VALUE"""),1474498.0)</f>
        <v>1474498</v>
      </c>
    </row>
    <row r="4402">
      <c r="A4402" s="26">
        <f>IFERROR(__xludf.DUMMYFUNCTION("""COMPUTED_VALUE"""),44872.64583333333)</f>
        <v>44872.64583</v>
      </c>
      <c r="B4402" s="9">
        <f>IFERROR(__xludf.DUMMYFUNCTION("""COMPUTED_VALUE"""),1521.4)</f>
        <v>1521.4</v>
      </c>
      <c r="C4402" s="9">
        <f>IFERROR(__xludf.DUMMYFUNCTION("""COMPUTED_VALUE"""),1527.9)</f>
        <v>1527.9</v>
      </c>
      <c r="D4402" s="9">
        <f>IFERROR(__xludf.DUMMYFUNCTION("""COMPUTED_VALUE"""),1491.1)</f>
        <v>1491.1</v>
      </c>
      <c r="E4402" s="9">
        <f>IFERROR(__xludf.DUMMYFUNCTION("""COMPUTED_VALUE"""),1507.45)</f>
        <v>1507.45</v>
      </c>
      <c r="F4402" s="9">
        <f>IFERROR(__xludf.DUMMYFUNCTION("""COMPUTED_VALUE"""),4898592.0)</f>
        <v>4898592</v>
      </c>
      <c r="H4402" s="27">
        <f>IFERROR(__xludf.DUMMYFUNCTION("""COMPUTED_VALUE"""),44874.64583333333)</f>
        <v>44874.64583</v>
      </c>
      <c r="I4402" s="25">
        <f>IFERROR(__xludf.DUMMYFUNCTION("""COMPUTED_VALUE"""),3249.8)</f>
        <v>3249.8</v>
      </c>
      <c r="J4402" s="25">
        <f>IFERROR(__xludf.DUMMYFUNCTION("""COMPUTED_VALUE"""),3249.8)</f>
        <v>3249.8</v>
      </c>
      <c r="K4402" s="25">
        <f>IFERROR(__xludf.DUMMYFUNCTION("""COMPUTED_VALUE"""),3201.65)</f>
        <v>3201.65</v>
      </c>
      <c r="L4402" s="25">
        <f>IFERROR(__xludf.DUMMYFUNCTION("""COMPUTED_VALUE"""),3216.05)</f>
        <v>3216.05</v>
      </c>
      <c r="M4402" s="25">
        <f>IFERROR(__xludf.DUMMYFUNCTION("""COMPUTED_VALUE"""),1162267.0)</f>
        <v>1162267</v>
      </c>
    </row>
    <row r="4403">
      <c r="A4403" s="26">
        <f>IFERROR(__xludf.DUMMYFUNCTION("""COMPUTED_VALUE"""),44874.64583333333)</f>
        <v>44874.64583</v>
      </c>
      <c r="B4403" s="9">
        <f>IFERROR(__xludf.DUMMYFUNCTION("""COMPUTED_VALUE"""),1529.0)</f>
        <v>1529</v>
      </c>
      <c r="C4403" s="9">
        <f>IFERROR(__xludf.DUMMYFUNCTION("""COMPUTED_VALUE"""),1529.0)</f>
        <v>1529</v>
      </c>
      <c r="D4403" s="9">
        <f>IFERROR(__xludf.DUMMYFUNCTION("""COMPUTED_VALUE"""),1501.1)</f>
        <v>1501.1</v>
      </c>
      <c r="E4403" s="9">
        <f>IFERROR(__xludf.DUMMYFUNCTION("""COMPUTED_VALUE"""),1511.2)</f>
        <v>1511.2</v>
      </c>
      <c r="F4403" s="9">
        <f>IFERROR(__xludf.DUMMYFUNCTION("""COMPUTED_VALUE"""),3334755.0)</f>
        <v>3334755</v>
      </c>
      <c r="H4403" s="27">
        <f>IFERROR(__xludf.DUMMYFUNCTION("""COMPUTED_VALUE"""),44875.64583333333)</f>
        <v>44875.64583</v>
      </c>
      <c r="I4403" s="25">
        <f>IFERROR(__xludf.DUMMYFUNCTION("""COMPUTED_VALUE"""),3170.0)</f>
        <v>3170</v>
      </c>
      <c r="J4403" s="25">
        <f>IFERROR(__xludf.DUMMYFUNCTION("""COMPUTED_VALUE"""),3225.0)</f>
        <v>3225</v>
      </c>
      <c r="K4403" s="25">
        <f>IFERROR(__xludf.DUMMYFUNCTION("""COMPUTED_VALUE"""),3170.0)</f>
        <v>3170</v>
      </c>
      <c r="L4403" s="25">
        <f>IFERROR(__xludf.DUMMYFUNCTION("""COMPUTED_VALUE"""),3205.65)</f>
        <v>3205.65</v>
      </c>
      <c r="M4403" s="25">
        <f>IFERROR(__xludf.DUMMYFUNCTION("""COMPUTED_VALUE"""),1573092.0)</f>
        <v>1573092</v>
      </c>
    </row>
    <row r="4404">
      <c r="A4404" s="26">
        <f>IFERROR(__xludf.DUMMYFUNCTION("""COMPUTED_VALUE"""),44875.64583333333)</f>
        <v>44875.64583</v>
      </c>
      <c r="B4404" s="9">
        <f>IFERROR(__xludf.DUMMYFUNCTION("""COMPUTED_VALUE"""),1485.0)</f>
        <v>1485</v>
      </c>
      <c r="C4404" s="9">
        <f>IFERROR(__xludf.DUMMYFUNCTION("""COMPUTED_VALUE"""),1512.0)</f>
        <v>1512</v>
      </c>
      <c r="D4404" s="9">
        <f>IFERROR(__xludf.DUMMYFUNCTION("""COMPUTED_VALUE"""),1485.0)</f>
        <v>1485</v>
      </c>
      <c r="E4404" s="9">
        <f>IFERROR(__xludf.DUMMYFUNCTION("""COMPUTED_VALUE"""),1501.95)</f>
        <v>1501.95</v>
      </c>
      <c r="F4404" s="9">
        <f>IFERROR(__xludf.DUMMYFUNCTION("""COMPUTED_VALUE"""),3435763.0)</f>
        <v>3435763</v>
      </c>
      <c r="H4404" s="27">
        <f>IFERROR(__xludf.DUMMYFUNCTION("""COMPUTED_VALUE"""),44876.64583333333)</f>
        <v>44876.64583</v>
      </c>
      <c r="I4404" s="25">
        <f>IFERROR(__xludf.DUMMYFUNCTION("""COMPUTED_VALUE"""),3269.6)</f>
        <v>3269.6</v>
      </c>
      <c r="J4404" s="25">
        <f>IFERROR(__xludf.DUMMYFUNCTION("""COMPUTED_VALUE"""),3341.6)</f>
        <v>3341.6</v>
      </c>
      <c r="K4404" s="25">
        <f>IFERROR(__xludf.DUMMYFUNCTION("""COMPUTED_VALUE"""),3255.05)</f>
        <v>3255.05</v>
      </c>
      <c r="L4404" s="25">
        <f>IFERROR(__xludf.DUMMYFUNCTION("""COMPUTED_VALUE"""),3315.95)</f>
        <v>3315.95</v>
      </c>
      <c r="M4404" s="25">
        <f>IFERROR(__xludf.DUMMYFUNCTION("""COMPUTED_VALUE"""),3265394.0)</f>
        <v>3265394</v>
      </c>
    </row>
    <row r="4405">
      <c r="A4405" s="26">
        <f>IFERROR(__xludf.DUMMYFUNCTION("""COMPUTED_VALUE"""),44876.64583333333)</f>
        <v>44876.64583</v>
      </c>
      <c r="B4405" s="9">
        <f>IFERROR(__xludf.DUMMYFUNCTION("""COMPUTED_VALUE"""),1546.65)</f>
        <v>1546.65</v>
      </c>
      <c r="C4405" s="9">
        <f>IFERROR(__xludf.DUMMYFUNCTION("""COMPUTED_VALUE"""),1573.5)</f>
        <v>1573.5</v>
      </c>
      <c r="D4405" s="9">
        <f>IFERROR(__xludf.DUMMYFUNCTION("""COMPUTED_VALUE"""),1546.65)</f>
        <v>1546.65</v>
      </c>
      <c r="E4405" s="9">
        <f>IFERROR(__xludf.DUMMYFUNCTION("""COMPUTED_VALUE"""),1570.1)</f>
        <v>1570.1</v>
      </c>
      <c r="F4405" s="9">
        <f>IFERROR(__xludf.DUMMYFUNCTION("""COMPUTED_VALUE"""),7214098.0)</f>
        <v>7214098</v>
      </c>
      <c r="H4405" s="27">
        <f>IFERROR(__xludf.DUMMYFUNCTION("""COMPUTED_VALUE"""),44879.64583333333)</f>
        <v>44879.64583</v>
      </c>
      <c r="I4405" s="25">
        <f>IFERROR(__xludf.DUMMYFUNCTION("""COMPUTED_VALUE"""),3324.0)</f>
        <v>3324</v>
      </c>
      <c r="J4405" s="25">
        <f>IFERROR(__xludf.DUMMYFUNCTION("""COMPUTED_VALUE"""),3349.0)</f>
        <v>3349</v>
      </c>
      <c r="K4405" s="25">
        <f>IFERROR(__xludf.DUMMYFUNCTION("""COMPUTED_VALUE"""),3309.0)</f>
        <v>3309</v>
      </c>
      <c r="L4405" s="25">
        <f>IFERROR(__xludf.DUMMYFUNCTION("""COMPUTED_VALUE"""),3335.5)</f>
        <v>3335.5</v>
      </c>
      <c r="M4405" s="25">
        <f>IFERROR(__xludf.DUMMYFUNCTION("""COMPUTED_VALUE"""),1342074.0)</f>
        <v>1342074</v>
      </c>
    </row>
    <row r="4406">
      <c r="A4406" s="26">
        <f>IFERROR(__xludf.DUMMYFUNCTION("""COMPUTED_VALUE"""),44879.64583333333)</f>
        <v>44879.64583</v>
      </c>
      <c r="B4406" s="9">
        <f>IFERROR(__xludf.DUMMYFUNCTION("""COMPUTED_VALUE"""),1575.15)</f>
        <v>1575.15</v>
      </c>
      <c r="C4406" s="9">
        <f>IFERROR(__xludf.DUMMYFUNCTION("""COMPUTED_VALUE"""),1591.4)</f>
        <v>1591.4</v>
      </c>
      <c r="D4406" s="9">
        <f>IFERROR(__xludf.DUMMYFUNCTION("""COMPUTED_VALUE"""),1568.45)</f>
        <v>1568.45</v>
      </c>
      <c r="E4406" s="9">
        <f>IFERROR(__xludf.DUMMYFUNCTION("""COMPUTED_VALUE"""),1585.3)</f>
        <v>1585.3</v>
      </c>
      <c r="F4406" s="9">
        <f>IFERROR(__xludf.DUMMYFUNCTION("""COMPUTED_VALUE"""),4908813.0)</f>
        <v>4908813</v>
      </c>
      <c r="H4406" s="27">
        <f>IFERROR(__xludf.DUMMYFUNCTION("""COMPUTED_VALUE"""),44880.64583333333)</f>
        <v>44880.64583</v>
      </c>
      <c r="I4406" s="25">
        <f>IFERROR(__xludf.DUMMYFUNCTION("""COMPUTED_VALUE"""),3321.0)</f>
        <v>3321</v>
      </c>
      <c r="J4406" s="25">
        <f>IFERROR(__xludf.DUMMYFUNCTION("""COMPUTED_VALUE"""),3339.95)</f>
        <v>3339.95</v>
      </c>
      <c r="K4406" s="25">
        <f>IFERROR(__xludf.DUMMYFUNCTION("""COMPUTED_VALUE"""),3292.0)</f>
        <v>3292</v>
      </c>
      <c r="L4406" s="25">
        <f>IFERROR(__xludf.DUMMYFUNCTION("""COMPUTED_VALUE"""),3332.6)</f>
        <v>3332.6</v>
      </c>
      <c r="M4406" s="25">
        <f>IFERROR(__xludf.DUMMYFUNCTION("""COMPUTED_VALUE"""),1400708.0)</f>
        <v>1400708</v>
      </c>
    </row>
    <row r="4407">
      <c r="A4407" s="26">
        <f>IFERROR(__xludf.DUMMYFUNCTION("""COMPUTED_VALUE"""),44880.64583333333)</f>
        <v>44880.64583</v>
      </c>
      <c r="B4407" s="9">
        <f>IFERROR(__xludf.DUMMYFUNCTION("""COMPUTED_VALUE"""),1577.85)</f>
        <v>1577.85</v>
      </c>
      <c r="C4407" s="9">
        <f>IFERROR(__xludf.DUMMYFUNCTION("""COMPUTED_VALUE"""),1597.85)</f>
        <v>1597.85</v>
      </c>
      <c r="D4407" s="9">
        <f>IFERROR(__xludf.DUMMYFUNCTION("""COMPUTED_VALUE"""),1572.75)</f>
        <v>1572.75</v>
      </c>
      <c r="E4407" s="9">
        <f>IFERROR(__xludf.DUMMYFUNCTION("""COMPUTED_VALUE"""),1594.0)</f>
        <v>1594</v>
      </c>
      <c r="F4407" s="9">
        <f>IFERROR(__xludf.DUMMYFUNCTION("""COMPUTED_VALUE"""),3497614.0)</f>
        <v>3497614</v>
      </c>
      <c r="H4407" s="27">
        <f>IFERROR(__xludf.DUMMYFUNCTION("""COMPUTED_VALUE"""),44881.64583333333)</f>
        <v>44881.64583</v>
      </c>
      <c r="I4407" s="25">
        <f>IFERROR(__xludf.DUMMYFUNCTION("""COMPUTED_VALUE"""),3338.9)</f>
        <v>3338.9</v>
      </c>
      <c r="J4407" s="25">
        <f>IFERROR(__xludf.DUMMYFUNCTION("""COMPUTED_VALUE"""),3367.9)</f>
        <v>3367.9</v>
      </c>
      <c r="K4407" s="25">
        <f>IFERROR(__xludf.DUMMYFUNCTION("""COMPUTED_VALUE"""),3321.45)</f>
        <v>3321.45</v>
      </c>
      <c r="L4407" s="25">
        <f>IFERROR(__xludf.DUMMYFUNCTION("""COMPUTED_VALUE"""),3355.35)</f>
        <v>3355.35</v>
      </c>
      <c r="M4407" s="25">
        <f>IFERROR(__xludf.DUMMYFUNCTION("""COMPUTED_VALUE"""),1748235.0)</f>
        <v>1748235</v>
      </c>
    </row>
    <row r="4408">
      <c r="A4408" s="26">
        <f>IFERROR(__xludf.DUMMYFUNCTION("""COMPUTED_VALUE"""),44881.64583333333)</f>
        <v>44881.64583</v>
      </c>
      <c r="B4408" s="9">
        <f>IFERROR(__xludf.DUMMYFUNCTION("""COMPUTED_VALUE"""),1597.15)</f>
        <v>1597.15</v>
      </c>
      <c r="C4408" s="9">
        <f>IFERROR(__xludf.DUMMYFUNCTION("""COMPUTED_VALUE"""),1609.0)</f>
        <v>1609</v>
      </c>
      <c r="D4408" s="9">
        <f>IFERROR(__xludf.DUMMYFUNCTION("""COMPUTED_VALUE"""),1593.5)</f>
        <v>1593.5</v>
      </c>
      <c r="E4408" s="9">
        <f>IFERROR(__xludf.DUMMYFUNCTION("""COMPUTED_VALUE"""),1602.8)</f>
        <v>1602.8</v>
      </c>
      <c r="F4408" s="9">
        <f>IFERROR(__xludf.DUMMYFUNCTION("""COMPUTED_VALUE"""),4497697.0)</f>
        <v>4497697</v>
      </c>
      <c r="H4408" s="27">
        <f>IFERROR(__xludf.DUMMYFUNCTION("""COMPUTED_VALUE"""),44882.64583333333)</f>
        <v>44882.64583</v>
      </c>
      <c r="I4408" s="25">
        <f>IFERROR(__xludf.DUMMYFUNCTION("""COMPUTED_VALUE"""),3340.0)</f>
        <v>3340</v>
      </c>
      <c r="J4408" s="25">
        <f>IFERROR(__xludf.DUMMYFUNCTION("""COMPUTED_VALUE"""),3360.0)</f>
        <v>3360</v>
      </c>
      <c r="K4408" s="25">
        <f>IFERROR(__xludf.DUMMYFUNCTION("""COMPUTED_VALUE"""),3317.75)</f>
        <v>3317.75</v>
      </c>
      <c r="L4408" s="25">
        <f>IFERROR(__xludf.DUMMYFUNCTION("""COMPUTED_VALUE"""),3349.0)</f>
        <v>3349</v>
      </c>
      <c r="M4408" s="25">
        <f>IFERROR(__xludf.DUMMYFUNCTION("""COMPUTED_VALUE"""),1417986.0)</f>
        <v>1417986</v>
      </c>
    </row>
    <row r="4409">
      <c r="A4409" s="26">
        <f>IFERROR(__xludf.DUMMYFUNCTION("""COMPUTED_VALUE"""),44882.64583333333)</f>
        <v>44882.64583</v>
      </c>
      <c r="B4409" s="9">
        <f>IFERROR(__xludf.DUMMYFUNCTION("""COMPUTED_VALUE"""),1597.2)</f>
        <v>1597.2</v>
      </c>
      <c r="C4409" s="9">
        <f>IFERROR(__xludf.DUMMYFUNCTION("""COMPUTED_VALUE"""),1602.8)</f>
        <v>1602.8</v>
      </c>
      <c r="D4409" s="9">
        <f>IFERROR(__xludf.DUMMYFUNCTION("""COMPUTED_VALUE"""),1582.95)</f>
        <v>1582.95</v>
      </c>
      <c r="E4409" s="9">
        <f>IFERROR(__xludf.DUMMYFUNCTION("""COMPUTED_VALUE"""),1587.4)</f>
        <v>1587.4</v>
      </c>
      <c r="F4409" s="9">
        <f>IFERROR(__xludf.DUMMYFUNCTION("""COMPUTED_VALUE"""),3469515.0)</f>
        <v>3469515</v>
      </c>
      <c r="H4409" s="27">
        <f>IFERROR(__xludf.DUMMYFUNCTION("""COMPUTED_VALUE"""),44883.64583333333)</f>
        <v>44883.64583</v>
      </c>
      <c r="I4409" s="25">
        <f>IFERROR(__xludf.DUMMYFUNCTION("""COMPUTED_VALUE"""),3350.0)</f>
        <v>3350</v>
      </c>
      <c r="J4409" s="25">
        <f>IFERROR(__xludf.DUMMYFUNCTION("""COMPUTED_VALUE"""),3362.75)</f>
        <v>3362.75</v>
      </c>
      <c r="K4409" s="25">
        <f>IFERROR(__xludf.DUMMYFUNCTION("""COMPUTED_VALUE"""),3321.0)</f>
        <v>3321</v>
      </c>
      <c r="L4409" s="25">
        <f>IFERROR(__xludf.DUMMYFUNCTION("""COMPUTED_VALUE"""),3343.45)</f>
        <v>3343.45</v>
      </c>
      <c r="M4409" s="25">
        <f>IFERROR(__xludf.DUMMYFUNCTION("""COMPUTED_VALUE"""),1164540.0)</f>
        <v>1164540</v>
      </c>
    </row>
    <row r="4410">
      <c r="A4410" s="26">
        <f>IFERROR(__xludf.DUMMYFUNCTION("""COMPUTED_VALUE"""),44883.64583333333)</f>
        <v>44883.64583</v>
      </c>
      <c r="B4410" s="9">
        <f>IFERROR(__xludf.DUMMYFUNCTION("""COMPUTED_VALUE"""),1591.7)</f>
        <v>1591.7</v>
      </c>
      <c r="C4410" s="9">
        <f>IFERROR(__xludf.DUMMYFUNCTION("""COMPUTED_VALUE"""),1598.0)</f>
        <v>1598</v>
      </c>
      <c r="D4410" s="9">
        <f>IFERROR(__xludf.DUMMYFUNCTION("""COMPUTED_VALUE"""),1575.5)</f>
        <v>1575.5</v>
      </c>
      <c r="E4410" s="9">
        <f>IFERROR(__xludf.DUMMYFUNCTION("""COMPUTED_VALUE"""),1593.4)</f>
        <v>1593.4</v>
      </c>
      <c r="F4410" s="9">
        <f>IFERROR(__xludf.DUMMYFUNCTION("""COMPUTED_VALUE"""),3126064.0)</f>
        <v>3126064</v>
      </c>
      <c r="H4410" s="27">
        <f>IFERROR(__xludf.DUMMYFUNCTION("""COMPUTED_VALUE"""),44886.64583333333)</f>
        <v>44886.64583</v>
      </c>
      <c r="I4410" s="25">
        <f>IFERROR(__xludf.DUMMYFUNCTION("""COMPUTED_VALUE"""),3322.5)</f>
        <v>3322.5</v>
      </c>
      <c r="J4410" s="25">
        <f>IFERROR(__xludf.DUMMYFUNCTION("""COMPUTED_VALUE"""),3333.7)</f>
        <v>3333.7</v>
      </c>
      <c r="K4410" s="25">
        <f>IFERROR(__xludf.DUMMYFUNCTION("""COMPUTED_VALUE"""),3273.0)</f>
        <v>3273</v>
      </c>
      <c r="L4410" s="25">
        <f>IFERROR(__xludf.DUMMYFUNCTION("""COMPUTED_VALUE"""),3283.5)</f>
        <v>3283.5</v>
      </c>
      <c r="M4410" s="25">
        <f>IFERROR(__xludf.DUMMYFUNCTION("""COMPUTED_VALUE"""),1304194.0)</f>
        <v>1304194</v>
      </c>
    </row>
    <row r="4411">
      <c r="A4411" s="26">
        <f>IFERROR(__xludf.DUMMYFUNCTION("""COMPUTED_VALUE"""),44886.64583333333)</f>
        <v>44886.64583</v>
      </c>
      <c r="B4411" s="9">
        <f>IFERROR(__xludf.DUMMYFUNCTION("""COMPUTED_VALUE"""),1582.1)</f>
        <v>1582.1</v>
      </c>
      <c r="C4411" s="9">
        <f>IFERROR(__xludf.DUMMYFUNCTION("""COMPUTED_VALUE"""),1587.85)</f>
        <v>1587.85</v>
      </c>
      <c r="D4411" s="9">
        <f>IFERROR(__xludf.DUMMYFUNCTION("""COMPUTED_VALUE"""),1564.05)</f>
        <v>1564.05</v>
      </c>
      <c r="E4411" s="9">
        <f>IFERROR(__xludf.DUMMYFUNCTION("""COMPUTED_VALUE"""),1568.2)</f>
        <v>1568.2</v>
      </c>
      <c r="F4411" s="9">
        <f>IFERROR(__xludf.DUMMYFUNCTION("""COMPUTED_VALUE"""),3071764.0)</f>
        <v>3071764</v>
      </c>
      <c r="H4411" s="27">
        <f>IFERROR(__xludf.DUMMYFUNCTION("""COMPUTED_VALUE"""),44887.64583333333)</f>
        <v>44887.64583</v>
      </c>
      <c r="I4411" s="25">
        <f>IFERROR(__xludf.DUMMYFUNCTION("""COMPUTED_VALUE"""),3280.0)</f>
        <v>3280</v>
      </c>
      <c r="J4411" s="25">
        <f>IFERROR(__xludf.DUMMYFUNCTION("""COMPUTED_VALUE"""),3318.95)</f>
        <v>3318.95</v>
      </c>
      <c r="K4411" s="25">
        <f>IFERROR(__xludf.DUMMYFUNCTION("""COMPUTED_VALUE"""),3255.25)</f>
        <v>3255.25</v>
      </c>
      <c r="L4411" s="25">
        <f>IFERROR(__xludf.DUMMYFUNCTION("""COMPUTED_VALUE"""),3314.95)</f>
        <v>3314.95</v>
      </c>
      <c r="M4411" s="25">
        <f>IFERROR(__xludf.DUMMYFUNCTION("""COMPUTED_VALUE"""),1149739.0)</f>
        <v>1149739</v>
      </c>
    </row>
    <row r="4412">
      <c r="A4412" s="26">
        <f>IFERROR(__xludf.DUMMYFUNCTION("""COMPUTED_VALUE"""),44887.64583333333)</f>
        <v>44887.64583</v>
      </c>
      <c r="B4412" s="9">
        <f>IFERROR(__xludf.DUMMYFUNCTION("""COMPUTED_VALUE"""),1569.0)</f>
        <v>1569</v>
      </c>
      <c r="C4412" s="9">
        <f>IFERROR(__xludf.DUMMYFUNCTION("""COMPUTED_VALUE"""),1588.0)</f>
        <v>1588</v>
      </c>
      <c r="D4412" s="9">
        <f>IFERROR(__xludf.DUMMYFUNCTION("""COMPUTED_VALUE"""),1562.0)</f>
        <v>1562</v>
      </c>
      <c r="E4412" s="9">
        <f>IFERROR(__xludf.DUMMYFUNCTION("""COMPUTED_VALUE"""),1585.05)</f>
        <v>1585.05</v>
      </c>
      <c r="F4412" s="9">
        <f>IFERROR(__xludf.DUMMYFUNCTION("""COMPUTED_VALUE"""),3399329.0)</f>
        <v>3399329</v>
      </c>
      <c r="H4412" s="27">
        <f>IFERROR(__xludf.DUMMYFUNCTION("""COMPUTED_VALUE"""),44888.64583333333)</f>
        <v>44888.64583</v>
      </c>
      <c r="I4412" s="25">
        <f>IFERROR(__xludf.DUMMYFUNCTION("""COMPUTED_VALUE"""),3330.0)</f>
        <v>3330</v>
      </c>
      <c r="J4412" s="25">
        <f>IFERROR(__xludf.DUMMYFUNCTION("""COMPUTED_VALUE"""),3330.0)</f>
        <v>3330</v>
      </c>
      <c r="K4412" s="25">
        <f>IFERROR(__xludf.DUMMYFUNCTION("""COMPUTED_VALUE"""),3291.0)</f>
        <v>3291</v>
      </c>
      <c r="L4412" s="25">
        <f>IFERROR(__xludf.DUMMYFUNCTION("""COMPUTED_VALUE"""),3308.3)</f>
        <v>3308.3</v>
      </c>
      <c r="M4412" s="25">
        <f>IFERROR(__xludf.DUMMYFUNCTION("""COMPUTED_VALUE"""),1150011.0)</f>
        <v>1150011</v>
      </c>
    </row>
    <row r="4413">
      <c r="A4413" s="26">
        <f>IFERROR(__xludf.DUMMYFUNCTION("""COMPUTED_VALUE"""),44888.64583333333)</f>
        <v>44888.64583</v>
      </c>
      <c r="B4413" s="9">
        <f>IFERROR(__xludf.DUMMYFUNCTION("""COMPUTED_VALUE"""),1588.9)</f>
        <v>1588.9</v>
      </c>
      <c r="C4413" s="9">
        <f>IFERROR(__xludf.DUMMYFUNCTION("""COMPUTED_VALUE"""),1592.0)</f>
        <v>1592</v>
      </c>
      <c r="D4413" s="9">
        <f>IFERROR(__xludf.DUMMYFUNCTION("""COMPUTED_VALUE"""),1579.3)</f>
        <v>1579.3</v>
      </c>
      <c r="E4413" s="9">
        <f>IFERROR(__xludf.DUMMYFUNCTION("""COMPUTED_VALUE"""),1583.15)</f>
        <v>1583.15</v>
      </c>
      <c r="F4413" s="9">
        <f>IFERROR(__xludf.DUMMYFUNCTION("""COMPUTED_VALUE"""),3245067.0)</f>
        <v>3245067</v>
      </c>
      <c r="H4413" s="27">
        <f>IFERROR(__xludf.DUMMYFUNCTION("""COMPUTED_VALUE"""),44889.64583333333)</f>
        <v>44889.64583</v>
      </c>
      <c r="I4413" s="25">
        <f>IFERROR(__xludf.DUMMYFUNCTION("""COMPUTED_VALUE"""),3316.25)</f>
        <v>3316.25</v>
      </c>
      <c r="J4413" s="25">
        <f>IFERROR(__xludf.DUMMYFUNCTION("""COMPUTED_VALUE"""),3392.95)</f>
        <v>3392.95</v>
      </c>
      <c r="K4413" s="25">
        <f>IFERROR(__xludf.DUMMYFUNCTION("""COMPUTED_VALUE"""),3308.3)</f>
        <v>3308.3</v>
      </c>
      <c r="L4413" s="25">
        <f>IFERROR(__xludf.DUMMYFUNCTION("""COMPUTED_VALUE"""),3380.15)</f>
        <v>3380.15</v>
      </c>
      <c r="M4413" s="25">
        <f>IFERROR(__xludf.DUMMYFUNCTION("""COMPUTED_VALUE"""),1296591.0)</f>
        <v>1296591</v>
      </c>
    </row>
    <row r="4414">
      <c r="A4414" s="26">
        <f>IFERROR(__xludf.DUMMYFUNCTION("""COMPUTED_VALUE"""),44889.64583333333)</f>
        <v>44889.64583</v>
      </c>
      <c r="B4414" s="9">
        <f>IFERROR(__xludf.DUMMYFUNCTION("""COMPUTED_VALUE"""),1589.0)</f>
        <v>1589</v>
      </c>
      <c r="C4414" s="9">
        <f>IFERROR(__xludf.DUMMYFUNCTION("""COMPUTED_VALUE"""),1636.0)</f>
        <v>1636</v>
      </c>
      <c r="D4414" s="9">
        <f>IFERROR(__xludf.DUMMYFUNCTION("""COMPUTED_VALUE"""),1584.75)</f>
        <v>1584.75</v>
      </c>
      <c r="E4414" s="9">
        <f>IFERROR(__xludf.DUMMYFUNCTION("""COMPUTED_VALUE"""),1629.8)</f>
        <v>1629.8</v>
      </c>
      <c r="F4414" s="9">
        <f>IFERROR(__xludf.DUMMYFUNCTION("""COMPUTED_VALUE"""),5282215.0)</f>
        <v>5282215</v>
      </c>
      <c r="H4414" s="27">
        <f>IFERROR(__xludf.DUMMYFUNCTION("""COMPUTED_VALUE"""),44890.64583333333)</f>
        <v>44890.64583</v>
      </c>
      <c r="I4414" s="25">
        <f>IFERROR(__xludf.DUMMYFUNCTION("""COMPUTED_VALUE"""),3383.0)</f>
        <v>3383</v>
      </c>
      <c r="J4414" s="25">
        <f>IFERROR(__xludf.DUMMYFUNCTION("""COMPUTED_VALUE"""),3403.35)</f>
        <v>3403.35</v>
      </c>
      <c r="K4414" s="25">
        <f>IFERROR(__xludf.DUMMYFUNCTION("""COMPUTED_VALUE"""),3348.0)</f>
        <v>3348</v>
      </c>
      <c r="L4414" s="25">
        <f>IFERROR(__xludf.DUMMYFUNCTION("""COMPUTED_VALUE"""),3389.65)</f>
        <v>3389.65</v>
      </c>
      <c r="M4414" s="25">
        <f>IFERROR(__xludf.DUMMYFUNCTION("""COMPUTED_VALUE"""),1588981.0)</f>
        <v>1588981</v>
      </c>
    </row>
    <row r="4415">
      <c r="A4415" s="26">
        <f>IFERROR(__xludf.DUMMYFUNCTION("""COMPUTED_VALUE"""),44890.64583333333)</f>
        <v>44890.64583</v>
      </c>
      <c r="B4415" s="9">
        <f>IFERROR(__xludf.DUMMYFUNCTION("""COMPUTED_VALUE"""),1631.4)</f>
        <v>1631.4</v>
      </c>
      <c r="C4415" s="9">
        <f>IFERROR(__xludf.DUMMYFUNCTION("""COMPUTED_VALUE"""),1644.0)</f>
        <v>1644</v>
      </c>
      <c r="D4415" s="9">
        <f>IFERROR(__xludf.DUMMYFUNCTION("""COMPUTED_VALUE"""),1613.8)</f>
        <v>1613.8</v>
      </c>
      <c r="E4415" s="9">
        <f>IFERROR(__xludf.DUMMYFUNCTION("""COMPUTED_VALUE"""),1635.65)</f>
        <v>1635.65</v>
      </c>
      <c r="F4415" s="9">
        <f>IFERROR(__xludf.DUMMYFUNCTION("""COMPUTED_VALUE"""),4563255.0)</f>
        <v>4563255</v>
      </c>
      <c r="H4415" s="27">
        <f>IFERROR(__xludf.DUMMYFUNCTION("""COMPUTED_VALUE"""),44893.64583333333)</f>
        <v>44893.64583</v>
      </c>
      <c r="I4415" s="25">
        <f>IFERROR(__xludf.DUMMYFUNCTION("""COMPUTED_VALUE"""),3366.0)</f>
        <v>3366</v>
      </c>
      <c r="J4415" s="25">
        <f>IFERROR(__xludf.DUMMYFUNCTION("""COMPUTED_VALUE"""),3417.0)</f>
        <v>3417</v>
      </c>
      <c r="K4415" s="25">
        <f>IFERROR(__xludf.DUMMYFUNCTION("""COMPUTED_VALUE"""),3365.55)</f>
        <v>3365.55</v>
      </c>
      <c r="L4415" s="25">
        <f>IFERROR(__xludf.DUMMYFUNCTION("""COMPUTED_VALUE"""),3395.25)</f>
        <v>3395.25</v>
      </c>
      <c r="M4415" s="25">
        <f>IFERROR(__xludf.DUMMYFUNCTION("""COMPUTED_VALUE"""),2195437.0)</f>
        <v>2195437</v>
      </c>
    </row>
    <row r="4416">
      <c r="A4416" s="26">
        <f>IFERROR(__xludf.DUMMYFUNCTION("""COMPUTED_VALUE"""),44893.64583333333)</f>
        <v>44893.64583</v>
      </c>
      <c r="B4416" s="9">
        <f>IFERROR(__xludf.DUMMYFUNCTION("""COMPUTED_VALUE"""),1628.0)</f>
        <v>1628</v>
      </c>
      <c r="C4416" s="9">
        <f>IFERROR(__xludf.DUMMYFUNCTION("""COMPUTED_VALUE"""),1653.5)</f>
        <v>1653.5</v>
      </c>
      <c r="D4416" s="9">
        <f>IFERROR(__xludf.DUMMYFUNCTION("""COMPUTED_VALUE"""),1620.0)</f>
        <v>1620</v>
      </c>
      <c r="E4416" s="9">
        <f>IFERROR(__xludf.DUMMYFUNCTION("""COMPUTED_VALUE"""),1623.4)</f>
        <v>1623.4</v>
      </c>
      <c r="F4416" s="9">
        <f>IFERROR(__xludf.DUMMYFUNCTION("""COMPUTED_VALUE"""),3825766.0)</f>
        <v>3825766</v>
      </c>
      <c r="H4416" s="27">
        <f>IFERROR(__xludf.DUMMYFUNCTION("""COMPUTED_VALUE"""),44894.64583333333)</f>
        <v>44894.64583</v>
      </c>
      <c r="I4416" s="25">
        <f>IFERROR(__xludf.DUMMYFUNCTION("""COMPUTED_VALUE"""),3383.0)</f>
        <v>3383</v>
      </c>
      <c r="J4416" s="25">
        <f>IFERROR(__xludf.DUMMYFUNCTION("""COMPUTED_VALUE"""),3429.0)</f>
        <v>3429</v>
      </c>
      <c r="K4416" s="25">
        <f>IFERROR(__xludf.DUMMYFUNCTION("""COMPUTED_VALUE"""),3383.0)</f>
        <v>3383</v>
      </c>
      <c r="L4416" s="25">
        <f>IFERROR(__xludf.DUMMYFUNCTION("""COMPUTED_VALUE"""),3397.35)</f>
        <v>3397.35</v>
      </c>
      <c r="M4416" s="25">
        <f>IFERROR(__xludf.DUMMYFUNCTION("""COMPUTED_VALUE"""),1576028.0)</f>
        <v>1576028</v>
      </c>
    </row>
    <row r="4417">
      <c r="A4417" s="26">
        <f>IFERROR(__xludf.DUMMYFUNCTION("""COMPUTED_VALUE"""),44894.64583333333)</f>
        <v>44894.64583</v>
      </c>
      <c r="B4417" s="9">
        <f>IFERROR(__xludf.DUMMYFUNCTION("""COMPUTED_VALUE"""),1621.2)</f>
        <v>1621.2</v>
      </c>
      <c r="C4417" s="9">
        <f>IFERROR(__xludf.DUMMYFUNCTION("""COMPUTED_VALUE"""),1638.75)</f>
        <v>1638.75</v>
      </c>
      <c r="D4417" s="9">
        <f>IFERROR(__xludf.DUMMYFUNCTION("""COMPUTED_VALUE"""),1615.05)</f>
        <v>1615.05</v>
      </c>
      <c r="E4417" s="9">
        <f>IFERROR(__xludf.DUMMYFUNCTION("""COMPUTED_VALUE"""),1629.05)</f>
        <v>1629.05</v>
      </c>
      <c r="F4417" s="9">
        <f>IFERROR(__xludf.DUMMYFUNCTION("""COMPUTED_VALUE"""),3131710.0)</f>
        <v>3131710</v>
      </c>
      <c r="H4417" s="27">
        <f>IFERROR(__xludf.DUMMYFUNCTION("""COMPUTED_VALUE"""),44895.64583333333)</f>
        <v>44895.64583</v>
      </c>
      <c r="I4417" s="25">
        <f>IFERROR(__xludf.DUMMYFUNCTION("""COMPUTED_VALUE"""),3383.0)</f>
        <v>3383</v>
      </c>
      <c r="J4417" s="25">
        <f>IFERROR(__xludf.DUMMYFUNCTION("""COMPUTED_VALUE"""),3414.9)</f>
        <v>3414.9</v>
      </c>
      <c r="K4417" s="25">
        <f>IFERROR(__xludf.DUMMYFUNCTION("""COMPUTED_VALUE"""),3375.0)</f>
        <v>3375</v>
      </c>
      <c r="L4417" s="25">
        <f>IFERROR(__xludf.DUMMYFUNCTION("""COMPUTED_VALUE"""),3390.8)</f>
        <v>3390.8</v>
      </c>
      <c r="M4417" s="25">
        <f>IFERROR(__xludf.DUMMYFUNCTION("""COMPUTED_VALUE"""),3410702.0)</f>
        <v>3410702</v>
      </c>
    </row>
    <row r="4418">
      <c r="A4418" s="26">
        <f>IFERROR(__xludf.DUMMYFUNCTION("""COMPUTED_VALUE"""),44895.64583333333)</f>
        <v>44895.64583</v>
      </c>
      <c r="B4418" s="9">
        <f>IFERROR(__xludf.DUMMYFUNCTION("""COMPUTED_VALUE"""),1619.95)</f>
        <v>1619.95</v>
      </c>
      <c r="C4418" s="9">
        <f>IFERROR(__xludf.DUMMYFUNCTION("""COMPUTED_VALUE"""),1645.75)</f>
        <v>1645.75</v>
      </c>
      <c r="D4418" s="9">
        <f>IFERROR(__xludf.DUMMYFUNCTION("""COMPUTED_VALUE"""),1613.15)</f>
        <v>1613.15</v>
      </c>
      <c r="E4418" s="9">
        <f>IFERROR(__xludf.DUMMYFUNCTION("""COMPUTED_VALUE"""),1634.95)</f>
        <v>1634.95</v>
      </c>
      <c r="F4418" s="9">
        <f>IFERROR(__xludf.DUMMYFUNCTION("""COMPUTED_VALUE"""),1.1868134E7)</f>
        <v>11868134</v>
      </c>
      <c r="H4418" s="27">
        <f>IFERROR(__xludf.DUMMYFUNCTION("""COMPUTED_VALUE"""),44896.64583333333)</f>
        <v>44896.64583</v>
      </c>
      <c r="I4418" s="25">
        <f>IFERROR(__xludf.DUMMYFUNCTION("""COMPUTED_VALUE"""),3425.0)</f>
        <v>3425</v>
      </c>
      <c r="J4418" s="25">
        <f>IFERROR(__xludf.DUMMYFUNCTION("""COMPUTED_VALUE"""),3480.0)</f>
        <v>3480</v>
      </c>
      <c r="K4418" s="25">
        <f>IFERROR(__xludf.DUMMYFUNCTION("""COMPUTED_VALUE"""),3420.0)</f>
        <v>3420</v>
      </c>
      <c r="L4418" s="25">
        <f>IFERROR(__xludf.DUMMYFUNCTION("""COMPUTED_VALUE"""),3475.65)</f>
        <v>3475.65</v>
      </c>
      <c r="M4418" s="25">
        <f>IFERROR(__xludf.DUMMYFUNCTION("""COMPUTED_VALUE"""),2180856.0)</f>
        <v>2180856</v>
      </c>
    </row>
    <row r="4419">
      <c r="A4419" s="26">
        <f>IFERROR(__xludf.DUMMYFUNCTION("""COMPUTED_VALUE"""),44896.64583333333)</f>
        <v>44896.64583</v>
      </c>
      <c r="B4419" s="9">
        <f>IFERROR(__xludf.DUMMYFUNCTION("""COMPUTED_VALUE"""),1656.2)</f>
        <v>1656.2</v>
      </c>
      <c r="C4419" s="9">
        <f>IFERROR(__xludf.DUMMYFUNCTION("""COMPUTED_VALUE"""),1672.6)</f>
        <v>1672.6</v>
      </c>
      <c r="D4419" s="9">
        <f>IFERROR(__xludf.DUMMYFUNCTION("""COMPUTED_VALUE"""),1652.3)</f>
        <v>1652.3</v>
      </c>
      <c r="E4419" s="9">
        <f>IFERROR(__xludf.DUMMYFUNCTION("""COMPUTED_VALUE"""),1657.1)</f>
        <v>1657.1</v>
      </c>
      <c r="F4419" s="9">
        <f>IFERROR(__xludf.DUMMYFUNCTION("""COMPUTED_VALUE"""),5407928.0)</f>
        <v>5407928</v>
      </c>
      <c r="H4419" s="27">
        <f>IFERROR(__xludf.DUMMYFUNCTION("""COMPUTED_VALUE"""),44897.64583333333)</f>
        <v>44897.64583</v>
      </c>
      <c r="I4419" s="25">
        <f>IFERROR(__xludf.DUMMYFUNCTION("""COMPUTED_VALUE"""),3458.1)</f>
        <v>3458.1</v>
      </c>
      <c r="J4419" s="25">
        <f>IFERROR(__xludf.DUMMYFUNCTION("""COMPUTED_VALUE"""),3468.9)</f>
        <v>3468.9</v>
      </c>
      <c r="K4419" s="25">
        <f>IFERROR(__xludf.DUMMYFUNCTION("""COMPUTED_VALUE"""),3413.0)</f>
        <v>3413</v>
      </c>
      <c r="L4419" s="25">
        <f>IFERROR(__xludf.DUMMYFUNCTION("""COMPUTED_VALUE"""),3439.15)</f>
        <v>3439.15</v>
      </c>
      <c r="M4419" s="25">
        <f>IFERROR(__xludf.DUMMYFUNCTION("""COMPUTED_VALUE"""),2411749.0)</f>
        <v>2411749</v>
      </c>
    </row>
    <row r="4420">
      <c r="A4420" s="26">
        <f>IFERROR(__xludf.DUMMYFUNCTION("""COMPUTED_VALUE"""),44897.64583333333)</f>
        <v>44897.64583</v>
      </c>
      <c r="B4420" s="9">
        <f>IFERROR(__xludf.DUMMYFUNCTION("""COMPUTED_VALUE"""),1656.0)</f>
        <v>1656</v>
      </c>
      <c r="C4420" s="9">
        <f>IFERROR(__xludf.DUMMYFUNCTION("""COMPUTED_VALUE"""),1661.8)</f>
        <v>1661.8</v>
      </c>
      <c r="D4420" s="9">
        <f>IFERROR(__xludf.DUMMYFUNCTION("""COMPUTED_VALUE"""),1633.95)</f>
        <v>1633.95</v>
      </c>
      <c r="E4420" s="9">
        <f>IFERROR(__xludf.DUMMYFUNCTION("""COMPUTED_VALUE"""),1637.9)</f>
        <v>1637.9</v>
      </c>
      <c r="F4420" s="9">
        <f>IFERROR(__xludf.DUMMYFUNCTION("""COMPUTED_VALUE"""),4283343.0)</f>
        <v>4283343</v>
      </c>
      <c r="H4420" s="27">
        <f>IFERROR(__xludf.DUMMYFUNCTION("""COMPUTED_VALUE"""),44900.64583333333)</f>
        <v>44900.64583</v>
      </c>
      <c r="I4420" s="25">
        <f>IFERROR(__xludf.DUMMYFUNCTION("""COMPUTED_VALUE"""),3433.0)</f>
        <v>3433</v>
      </c>
      <c r="J4420" s="25">
        <f>IFERROR(__xludf.DUMMYFUNCTION("""COMPUTED_VALUE"""),3439.15)</f>
        <v>3439.15</v>
      </c>
      <c r="K4420" s="25">
        <f>IFERROR(__xludf.DUMMYFUNCTION("""COMPUTED_VALUE"""),3407.0)</f>
        <v>3407</v>
      </c>
      <c r="L4420" s="25">
        <f>IFERROR(__xludf.DUMMYFUNCTION("""COMPUTED_VALUE"""),3425.9)</f>
        <v>3425.9</v>
      </c>
      <c r="M4420" s="25">
        <f>IFERROR(__xludf.DUMMYFUNCTION("""COMPUTED_VALUE"""),1475065.0)</f>
        <v>1475065</v>
      </c>
    </row>
    <row r="4421">
      <c r="A4421" s="26">
        <f>IFERROR(__xludf.DUMMYFUNCTION("""COMPUTED_VALUE"""),44900.64583333333)</f>
        <v>44900.64583</v>
      </c>
      <c r="B4421" s="9">
        <f>IFERROR(__xludf.DUMMYFUNCTION("""COMPUTED_VALUE"""),1638.0)</f>
        <v>1638</v>
      </c>
      <c r="C4421" s="9">
        <f>IFERROR(__xludf.DUMMYFUNCTION("""COMPUTED_VALUE"""),1644.85)</f>
        <v>1644.85</v>
      </c>
      <c r="D4421" s="9">
        <f>IFERROR(__xludf.DUMMYFUNCTION("""COMPUTED_VALUE"""),1623.3)</f>
        <v>1623.3</v>
      </c>
      <c r="E4421" s="9">
        <f>IFERROR(__xludf.DUMMYFUNCTION("""COMPUTED_VALUE"""),1639.75)</f>
        <v>1639.75</v>
      </c>
      <c r="F4421" s="9">
        <f>IFERROR(__xludf.DUMMYFUNCTION("""COMPUTED_VALUE"""),3824966.0)</f>
        <v>3824966</v>
      </c>
      <c r="H4421" s="27">
        <f>IFERROR(__xludf.DUMMYFUNCTION("""COMPUTED_VALUE"""),44901.64583333333)</f>
        <v>44901.64583</v>
      </c>
      <c r="I4421" s="25">
        <f>IFERROR(__xludf.DUMMYFUNCTION("""COMPUTED_VALUE"""),3400.05)</f>
        <v>3400.05</v>
      </c>
      <c r="J4421" s="25">
        <f>IFERROR(__xludf.DUMMYFUNCTION("""COMPUTED_VALUE"""),3407.95)</f>
        <v>3407.95</v>
      </c>
      <c r="K4421" s="25">
        <f>IFERROR(__xludf.DUMMYFUNCTION("""COMPUTED_VALUE"""),3368.0)</f>
        <v>3368</v>
      </c>
      <c r="L4421" s="25">
        <f>IFERROR(__xludf.DUMMYFUNCTION("""COMPUTED_VALUE"""),3385.35)</f>
        <v>3385.35</v>
      </c>
      <c r="M4421" s="25">
        <f>IFERROR(__xludf.DUMMYFUNCTION("""COMPUTED_VALUE"""),1166999.0)</f>
        <v>1166999</v>
      </c>
    </row>
    <row r="4422">
      <c r="A4422" s="26">
        <f>IFERROR(__xludf.DUMMYFUNCTION("""COMPUTED_VALUE"""),44901.64583333333)</f>
        <v>44901.64583</v>
      </c>
      <c r="B4422" s="9">
        <f>IFERROR(__xludf.DUMMYFUNCTION("""COMPUTED_VALUE"""),1625.0)</f>
        <v>1625</v>
      </c>
      <c r="C4422" s="9">
        <f>IFERROR(__xludf.DUMMYFUNCTION("""COMPUTED_VALUE"""),1626.0)</f>
        <v>1626</v>
      </c>
      <c r="D4422" s="9">
        <f>IFERROR(__xludf.DUMMYFUNCTION("""COMPUTED_VALUE"""),1607.55)</f>
        <v>1607.55</v>
      </c>
      <c r="E4422" s="9">
        <f>IFERROR(__xludf.DUMMYFUNCTION("""COMPUTED_VALUE"""),1612.9)</f>
        <v>1612.9</v>
      </c>
      <c r="F4422" s="9">
        <f>IFERROR(__xludf.DUMMYFUNCTION("""COMPUTED_VALUE"""),4822398.0)</f>
        <v>4822398</v>
      </c>
      <c r="H4422" s="27">
        <f>IFERROR(__xludf.DUMMYFUNCTION("""COMPUTED_VALUE"""),44902.64583333333)</f>
        <v>44902.64583</v>
      </c>
      <c r="I4422" s="25">
        <f>IFERROR(__xludf.DUMMYFUNCTION("""COMPUTED_VALUE"""),3368.3)</f>
        <v>3368.3</v>
      </c>
      <c r="J4422" s="25">
        <f>IFERROR(__xludf.DUMMYFUNCTION("""COMPUTED_VALUE"""),3393.7)</f>
        <v>3393.7</v>
      </c>
      <c r="K4422" s="25">
        <f>IFERROR(__xludf.DUMMYFUNCTION("""COMPUTED_VALUE"""),3354.0)</f>
        <v>3354</v>
      </c>
      <c r="L4422" s="25">
        <f>IFERROR(__xludf.DUMMYFUNCTION("""COMPUTED_VALUE"""),3380.6)</f>
        <v>3380.6</v>
      </c>
      <c r="M4422" s="25">
        <f>IFERROR(__xludf.DUMMYFUNCTION("""COMPUTED_VALUE"""),1167505.0)</f>
        <v>1167505</v>
      </c>
    </row>
    <row r="4423">
      <c r="A4423" s="26">
        <f>IFERROR(__xludf.DUMMYFUNCTION("""COMPUTED_VALUE"""),44902.64583333333)</f>
        <v>44902.64583</v>
      </c>
      <c r="B4423" s="9">
        <f>IFERROR(__xludf.DUMMYFUNCTION("""COMPUTED_VALUE"""),1608.0)</f>
        <v>1608</v>
      </c>
      <c r="C4423" s="9">
        <f>IFERROR(__xludf.DUMMYFUNCTION("""COMPUTED_VALUE"""),1623.8)</f>
        <v>1623.8</v>
      </c>
      <c r="D4423" s="9">
        <f>IFERROR(__xludf.DUMMYFUNCTION("""COMPUTED_VALUE"""),1596.7)</f>
        <v>1596.7</v>
      </c>
      <c r="E4423" s="9">
        <f>IFERROR(__xludf.DUMMYFUNCTION("""COMPUTED_VALUE"""),1605.5)</f>
        <v>1605.5</v>
      </c>
      <c r="F4423" s="9">
        <f>IFERROR(__xludf.DUMMYFUNCTION("""COMPUTED_VALUE"""),4898087.0)</f>
        <v>4898087</v>
      </c>
      <c r="H4423" s="27">
        <f>IFERROR(__xludf.DUMMYFUNCTION("""COMPUTED_VALUE"""),44903.64583333333)</f>
        <v>44903.64583</v>
      </c>
      <c r="I4423" s="25">
        <f>IFERROR(__xludf.DUMMYFUNCTION("""COMPUTED_VALUE"""),3360.0)</f>
        <v>3360</v>
      </c>
      <c r="J4423" s="25">
        <f>IFERROR(__xludf.DUMMYFUNCTION("""COMPUTED_VALUE"""),3380.6)</f>
        <v>3380.6</v>
      </c>
      <c r="K4423" s="25">
        <f>IFERROR(__xludf.DUMMYFUNCTION("""COMPUTED_VALUE"""),3339.45)</f>
        <v>3339.45</v>
      </c>
      <c r="L4423" s="25">
        <f>IFERROR(__xludf.DUMMYFUNCTION("""COMPUTED_VALUE"""),3350.55)</f>
        <v>3350.55</v>
      </c>
      <c r="M4423" s="25">
        <f>IFERROR(__xludf.DUMMYFUNCTION("""COMPUTED_VALUE"""),1285619.0)</f>
        <v>1285619</v>
      </c>
    </row>
    <row r="4424">
      <c r="A4424" s="26">
        <f>IFERROR(__xludf.DUMMYFUNCTION("""COMPUTED_VALUE"""),44903.64583333333)</f>
        <v>44903.64583</v>
      </c>
      <c r="B4424" s="9">
        <f>IFERROR(__xludf.DUMMYFUNCTION("""COMPUTED_VALUE"""),1605.5)</f>
        <v>1605.5</v>
      </c>
      <c r="C4424" s="9">
        <f>IFERROR(__xludf.DUMMYFUNCTION("""COMPUTED_VALUE"""),1623.9)</f>
        <v>1623.9</v>
      </c>
      <c r="D4424" s="9">
        <f>IFERROR(__xludf.DUMMYFUNCTION("""COMPUTED_VALUE"""),1598.5)</f>
        <v>1598.5</v>
      </c>
      <c r="E4424" s="9">
        <f>IFERROR(__xludf.DUMMYFUNCTION("""COMPUTED_VALUE"""),1620.15)</f>
        <v>1620.15</v>
      </c>
      <c r="F4424" s="9">
        <f>IFERROR(__xludf.DUMMYFUNCTION("""COMPUTED_VALUE"""),4206837.0)</f>
        <v>4206837</v>
      </c>
      <c r="H4424" s="27">
        <f>IFERROR(__xludf.DUMMYFUNCTION("""COMPUTED_VALUE"""),44904.64583333333)</f>
        <v>44904.64583</v>
      </c>
      <c r="I4424" s="25">
        <f>IFERROR(__xludf.DUMMYFUNCTION("""COMPUTED_VALUE"""),3374.1)</f>
        <v>3374.1</v>
      </c>
      <c r="J4424" s="25">
        <f>IFERROR(__xludf.DUMMYFUNCTION("""COMPUTED_VALUE"""),3374.1)</f>
        <v>3374.1</v>
      </c>
      <c r="K4424" s="25">
        <f>IFERROR(__xludf.DUMMYFUNCTION("""COMPUTED_VALUE"""),3276.35)</f>
        <v>3276.35</v>
      </c>
      <c r="L4424" s="25">
        <f>IFERROR(__xludf.DUMMYFUNCTION("""COMPUTED_VALUE"""),3292.75)</f>
        <v>3292.75</v>
      </c>
      <c r="M4424" s="25">
        <f>IFERROR(__xludf.DUMMYFUNCTION("""COMPUTED_VALUE"""),1797896.0)</f>
        <v>1797896</v>
      </c>
    </row>
    <row r="4425">
      <c r="A4425" s="26">
        <f>IFERROR(__xludf.DUMMYFUNCTION("""COMPUTED_VALUE"""),44904.64583333333)</f>
        <v>44904.64583</v>
      </c>
      <c r="B4425" s="9">
        <f>IFERROR(__xludf.DUMMYFUNCTION("""COMPUTED_VALUE"""),1628.0)</f>
        <v>1628</v>
      </c>
      <c r="C4425" s="9">
        <f>IFERROR(__xludf.DUMMYFUNCTION("""COMPUTED_VALUE"""),1628.0)</f>
        <v>1628</v>
      </c>
      <c r="D4425" s="9">
        <f>IFERROR(__xludf.DUMMYFUNCTION("""COMPUTED_VALUE"""),1561.1)</f>
        <v>1561.1</v>
      </c>
      <c r="E4425" s="9">
        <f>IFERROR(__xludf.DUMMYFUNCTION("""COMPUTED_VALUE"""),1569.3)</f>
        <v>1569.3</v>
      </c>
      <c r="F4425" s="9">
        <f>IFERROR(__xludf.DUMMYFUNCTION("""COMPUTED_VALUE"""),8880658.0)</f>
        <v>8880658</v>
      </c>
      <c r="H4425" s="27">
        <f>IFERROR(__xludf.DUMMYFUNCTION("""COMPUTED_VALUE"""),44907.64583333333)</f>
        <v>44907.64583</v>
      </c>
      <c r="I4425" s="25">
        <f>IFERROR(__xludf.DUMMYFUNCTION("""COMPUTED_VALUE"""),3255.5)</f>
        <v>3255.5</v>
      </c>
      <c r="J4425" s="25">
        <f>IFERROR(__xludf.DUMMYFUNCTION("""COMPUTED_VALUE"""),3296.0)</f>
        <v>3296</v>
      </c>
      <c r="K4425" s="25">
        <f>IFERROR(__xludf.DUMMYFUNCTION("""COMPUTED_VALUE"""),3236.1)</f>
        <v>3236.1</v>
      </c>
      <c r="L4425" s="25">
        <f>IFERROR(__xludf.DUMMYFUNCTION("""COMPUTED_VALUE"""),3286.45)</f>
        <v>3286.45</v>
      </c>
      <c r="M4425" s="25">
        <f>IFERROR(__xludf.DUMMYFUNCTION("""COMPUTED_VALUE"""),1527610.0)</f>
        <v>1527610</v>
      </c>
    </row>
    <row r="4426">
      <c r="A4426" s="26">
        <f>IFERROR(__xludf.DUMMYFUNCTION("""COMPUTED_VALUE"""),44907.64583333333)</f>
        <v>44907.64583</v>
      </c>
      <c r="B4426" s="9">
        <f>IFERROR(__xludf.DUMMYFUNCTION("""COMPUTED_VALUE"""),1550.0)</f>
        <v>1550</v>
      </c>
      <c r="C4426" s="9">
        <f>IFERROR(__xludf.DUMMYFUNCTION("""COMPUTED_VALUE"""),1565.95)</f>
        <v>1565.95</v>
      </c>
      <c r="D4426" s="9">
        <f>IFERROR(__xludf.DUMMYFUNCTION("""COMPUTED_VALUE"""),1530.05)</f>
        <v>1530.05</v>
      </c>
      <c r="E4426" s="9">
        <f>IFERROR(__xludf.DUMMYFUNCTION("""COMPUTED_VALUE"""),1547.2)</f>
        <v>1547.2</v>
      </c>
      <c r="F4426" s="9">
        <f>IFERROR(__xludf.DUMMYFUNCTION("""COMPUTED_VALUE"""),8037679.0)</f>
        <v>8037679</v>
      </c>
      <c r="H4426" s="27">
        <f>IFERROR(__xludf.DUMMYFUNCTION("""COMPUTED_VALUE"""),44908.64583333333)</f>
        <v>44908.64583</v>
      </c>
      <c r="I4426" s="25">
        <f>IFERROR(__xludf.DUMMYFUNCTION("""COMPUTED_VALUE"""),3277.2)</f>
        <v>3277.2</v>
      </c>
      <c r="J4426" s="25">
        <f>IFERROR(__xludf.DUMMYFUNCTION("""COMPUTED_VALUE"""),3336.45)</f>
        <v>3336.45</v>
      </c>
      <c r="K4426" s="25">
        <f>IFERROR(__xludf.DUMMYFUNCTION("""COMPUTED_VALUE"""),3267.8)</f>
        <v>3267.8</v>
      </c>
      <c r="L4426" s="25">
        <f>IFERROR(__xludf.DUMMYFUNCTION("""COMPUTED_VALUE"""),3332.1)</f>
        <v>3332.1</v>
      </c>
      <c r="M4426" s="25">
        <f>IFERROR(__xludf.DUMMYFUNCTION("""COMPUTED_VALUE"""),1378016.0)</f>
        <v>1378016</v>
      </c>
    </row>
    <row r="4427">
      <c r="A4427" s="26">
        <f>IFERROR(__xludf.DUMMYFUNCTION("""COMPUTED_VALUE"""),44908.64583333333)</f>
        <v>44908.64583</v>
      </c>
      <c r="B4427" s="9">
        <f>IFERROR(__xludf.DUMMYFUNCTION("""COMPUTED_VALUE"""),1547.2)</f>
        <v>1547.2</v>
      </c>
      <c r="C4427" s="9">
        <f>IFERROR(__xludf.DUMMYFUNCTION("""COMPUTED_VALUE"""),1577.5)</f>
        <v>1577.5</v>
      </c>
      <c r="D4427" s="9">
        <f>IFERROR(__xludf.DUMMYFUNCTION("""COMPUTED_VALUE"""),1541.15)</f>
        <v>1541.15</v>
      </c>
      <c r="E4427" s="9">
        <f>IFERROR(__xludf.DUMMYFUNCTION("""COMPUTED_VALUE"""),1572.15)</f>
        <v>1572.15</v>
      </c>
      <c r="F4427" s="9">
        <f>IFERROR(__xludf.DUMMYFUNCTION("""COMPUTED_VALUE"""),6135067.0)</f>
        <v>6135067</v>
      </c>
      <c r="H4427" s="27">
        <f>IFERROR(__xludf.DUMMYFUNCTION("""COMPUTED_VALUE"""),44909.64583333333)</f>
        <v>44909.64583</v>
      </c>
      <c r="I4427" s="25">
        <f>IFERROR(__xludf.DUMMYFUNCTION("""COMPUTED_VALUE"""),3348.8)</f>
        <v>3348.8</v>
      </c>
      <c r="J4427" s="25">
        <f>IFERROR(__xludf.DUMMYFUNCTION("""COMPUTED_VALUE"""),3377.0)</f>
        <v>3377</v>
      </c>
      <c r="K4427" s="25">
        <f>IFERROR(__xludf.DUMMYFUNCTION("""COMPUTED_VALUE"""),3340.9)</f>
        <v>3340.9</v>
      </c>
      <c r="L4427" s="25">
        <f>IFERROR(__xludf.DUMMYFUNCTION("""COMPUTED_VALUE"""),3365.35)</f>
        <v>3365.35</v>
      </c>
      <c r="M4427" s="25">
        <f>IFERROR(__xludf.DUMMYFUNCTION("""COMPUTED_VALUE"""),1213311.0)</f>
        <v>1213311</v>
      </c>
    </row>
    <row r="4428">
      <c r="A4428" s="26">
        <f>IFERROR(__xludf.DUMMYFUNCTION("""COMPUTED_VALUE"""),44909.64583333333)</f>
        <v>44909.64583</v>
      </c>
      <c r="B4428" s="9">
        <f>IFERROR(__xludf.DUMMYFUNCTION("""COMPUTED_VALUE"""),1582.0)</f>
        <v>1582</v>
      </c>
      <c r="C4428" s="9">
        <f>IFERROR(__xludf.DUMMYFUNCTION("""COMPUTED_VALUE"""),1588.5)</f>
        <v>1588.5</v>
      </c>
      <c r="D4428" s="9">
        <f>IFERROR(__xludf.DUMMYFUNCTION("""COMPUTED_VALUE"""),1573.0)</f>
        <v>1573</v>
      </c>
      <c r="E4428" s="9">
        <f>IFERROR(__xludf.DUMMYFUNCTION("""COMPUTED_VALUE"""),1579.4)</f>
        <v>1579.4</v>
      </c>
      <c r="F4428" s="9">
        <f>IFERROR(__xludf.DUMMYFUNCTION("""COMPUTED_VALUE"""),4976020.0)</f>
        <v>4976020</v>
      </c>
      <c r="H4428" s="27">
        <f>IFERROR(__xludf.DUMMYFUNCTION("""COMPUTED_VALUE"""),44910.64583333333)</f>
        <v>44910.64583</v>
      </c>
      <c r="I4428" s="25">
        <f>IFERROR(__xludf.DUMMYFUNCTION("""COMPUTED_VALUE"""),3358.8)</f>
        <v>3358.8</v>
      </c>
      <c r="J4428" s="25">
        <f>IFERROR(__xludf.DUMMYFUNCTION("""COMPUTED_VALUE"""),3364.75)</f>
        <v>3364.75</v>
      </c>
      <c r="K4428" s="25">
        <f>IFERROR(__xludf.DUMMYFUNCTION("""COMPUTED_VALUE"""),3298.95)</f>
        <v>3298.95</v>
      </c>
      <c r="L4428" s="25">
        <f>IFERROR(__xludf.DUMMYFUNCTION("""COMPUTED_VALUE"""),3305.1)</f>
        <v>3305.1</v>
      </c>
      <c r="M4428" s="25">
        <f>IFERROR(__xludf.DUMMYFUNCTION("""COMPUTED_VALUE"""),1415694.0)</f>
        <v>1415694</v>
      </c>
    </row>
    <row r="4429">
      <c r="A4429" s="26">
        <f>IFERROR(__xludf.DUMMYFUNCTION("""COMPUTED_VALUE"""),44910.64583333333)</f>
        <v>44910.64583</v>
      </c>
      <c r="B4429" s="9">
        <f>IFERROR(__xludf.DUMMYFUNCTION("""COMPUTED_VALUE"""),1569.3)</f>
        <v>1569.3</v>
      </c>
      <c r="C4429" s="9">
        <f>IFERROR(__xludf.DUMMYFUNCTION("""COMPUTED_VALUE"""),1570.0)</f>
        <v>1570</v>
      </c>
      <c r="D4429" s="9">
        <f>IFERROR(__xludf.DUMMYFUNCTION("""COMPUTED_VALUE"""),1535.25)</f>
        <v>1535.25</v>
      </c>
      <c r="E4429" s="9">
        <f>IFERROR(__xludf.DUMMYFUNCTION("""COMPUTED_VALUE"""),1540.5)</f>
        <v>1540.5</v>
      </c>
      <c r="F4429" s="9">
        <f>IFERROR(__xludf.DUMMYFUNCTION("""COMPUTED_VALUE"""),6443866.0)</f>
        <v>6443866</v>
      </c>
      <c r="H4429" s="27">
        <f>IFERROR(__xludf.DUMMYFUNCTION("""COMPUTED_VALUE"""),44911.64583333333)</f>
        <v>44911.64583</v>
      </c>
      <c r="I4429" s="25">
        <f>IFERROR(__xludf.DUMMYFUNCTION("""COMPUTED_VALUE"""),3275.0)</f>
        <v>3275</v>
      </c>
      <c r="J4429" s="25">
        <f>IFERROR(__xludf.DUMMYFUNCTION("""COMPUTED_VALUE"""),3292.0)</f>
        <v>3292</v>
      </c>
      <c r="K4429" s="25">
        <f>IFERROR(__xludf.DUMMYFUNCTION("""COMPUTED_VALUE"""),3225.2)</f>
        <v>3225.2</v>
      </c>
      <c r="L4429" s="25">
        <f>IFERROR(__xludf.DUMMYFUNCTION("""COMPUTED_VALUE"""),3240.25)</f>
        <v>3240.25</v>
      </c>
      <c r="M4429" s="25">
        <f>IFERROR(__xludf.DUMMYFUNCTION("""COMPUTED_VALUE"""),2703680.0)</f>
        <v>2703680</v>
      </c>
    </row>
    <row r="4430">
      <c r="A4430" s="26">
        <f>IFERROR(__xludf.DUMMYFUNCTION("""COMPUTED_VALUE"""),44911.64583333333)</f>
        <v>44911.64583</v>
      </c>
      <c r="B4430" s="9">
        <f>IFERROR(__xludf.DUMMYFUNCTION("""COMPUTED_VALUE"""),1525.0)</f>
        <v>1525</v>
      </c>
      <c r="C4430" s="9">
        <f>IFERROR(__xludf.DUMMYFUNCTION("""COMPUTED_VALUE"""),1549.5)</f>
        <v>1549.5</v>
      </c>
      <c r="D4430" s="9">
        <f>IFERROR(__xludf.DUMMYFUNCTION("""COMPUTED_VALUE"""),1512.05)</f>
        <v>1512.05</v>
      </c>
      <c r="E4430" s="9">
        <f>IFERROR(__xludf.DUMMYFUNCTION("""COMPUTED_VALUE"""),1522.2)</f>
        <v>1522.2</v>
      </c>
      <c r="F4430" s="9">
        <f>IFERROR(__xludf.DUMMYFUNCTION("""COMPUTED_VALUE"""),9630453.0)</f>
        <v>9630453</v>
      </c>
      <c r="H4430" s="27">
        <f>IFERROR(__xludf.DUMMYFUNCTION("""COMPUTED_VALUE"""),44914.64583333333)</f>
        <v>44914.64583</v>
      </c>
      <c r="I4430" s="25">
        <f>IFERROR(__xludf.DUMMYFUNCTION("""COMPUTED_VALUE"""),3227.0)</f>
        <v>3227</v>
      </c>
      <c r="J4430" s="25">
        <f>IFERROR(__xludf.DUMMYFUNCTION("""COMPUTED_VALUE"""),3245.5)</f>
        <v>3245.5</v>
      </c>
      <c r="K4430" s="25">
        <f>IFERROR(__xludf.DUMMYFUNCTION("""COMPUTED_VALUE"""),3194.5)</f>
        <v>3194.5</v>
      </c>
      <c r="L4430" s="25">
        <f>IFERROR(__xludf.DUMMYFUNCTION("""COMPUTED_VALUE"""),3202.05)</f>
        <v>3202.05</v>
      </c>
      <c r="M4430" s="25">
        <f>IFERROR(__xludf.DUMMYFUNCTION("""COMPUTED_VALUE"""),2120965.0)</f>
        <v>2120965</v>
      </c>
    </row>
    <row r="4431">
      <c r="A4431" s="26">
        <f>IFERROR(__xludf.DUMMYFUNCTION("""COMPUTED_VALUE"""),44914.64583333333)</f>
        <v>44914.64583</v>
      </c>
      <c r="B4431" s="9">
        <f>IFERROR(__xludf.DUMMYFUNCTION("""COMPUTED_VALUE"""),1507.95)</f>
        <v>1507.95</v>
      </c>
      <c r="C4431" s="9">
        <f>IFERROR(__xludf.DUMMYFUNCTION("""COMPUTED_VALUE"""),1516.9)</f>
        <v>1516.9</v>
      </c>
      <c r="D4431" s="9">
        <f>IFERROR(__xludf.DUMMYFUNCTION("""COMPUTED_VALUE"""),1495.05)</f>
        <v>1495.05</v>
      </c>
      <c r="E4431" s="9">
        <f>IFERROR(__xludf.DUMMYFUNCTION("""COMPUTED_VALUE"""),1507.35)</f>
        <v>1507.35</v>
      </c>
      <c r="F4431" s="9">
        <f>IFERROR(__xludf.DUMMYFUNCTION("""COMPUTED_VALUE"""),6222740.0)</f>
        <v>6222740</v>
      </c>
      <c r="H4431" s="27">
        <f>IFERROR(__xludf.DUMMYFUNCTION("""COMPUTED_VALUE"""),44915.64583333333)</f>
        <v>44915.64583</v>
      </c>
      <c r="I4431" s="25">
        <f>IFERROR(__xludf.DUMMYFUNCTION("""COMPUTED_VALUE"""),3198.9)</f>
        <v>3198.9</v>
      </c>
      <c r="J4431" s="25">
        <f>IFERROR(__xludf.DUMMYFUNCTION("""COMPUTED_VALUE"""),3249.0)</f>
        <v>3249</v>
      </c>
      <c r="K4431" s="25">
        <f>IFERROR(__xludf.DUMMYFUNCTION("""COMPUTED_VALUE"""),3163.65)</f>
        <v>3163.65</v>
      </c>
      <c r="L4431" s="25">
        <f>IFERROR(__xludf.DUMMYFUNCTION("""COMPUTED_VALUE"""),3243.95)</f>
        <v>3243.95</v>
      </c>
      <c r="M4431" s="25">
        <f>IFERROR(__xludf.DUMMYFUNCTION("""COMPUTED_VALUE"""),1529971.0)</f>
        <v>1529971</v>
      </c>
    </row>
    <row r="4432">
      <c r="A4432" s="26">
        <f>IFERROR(__xludf.DUMMYFUNCTION("""COMPUTED_VALUE"""),44915.64583333333)</f>
        <v>44915.64583</v>
      </c>
      <c r="B4432" s="9">
        <f>IFERROR(__xludf.DUMMYFUNCTION("""COMPUTED_VALUE"""),1501.0)</f>
        <v>1501</v>
      </c>
      <c r="C4432" s="9">
        <f>IFERROR(__xludf.DUMMYFUNCTION("""COMPUTED_VALUE"""),1516.0)</f>
        <v>1516</v>
      </c>
      <c r="D4432" s="9">
        <f>IFERROR(__xludf.DUMMYFUNCTION("""COMPUTED_VALUE"""),1482.45)</f>
        <v>1482.45</v>
      </c>
      <c r="E4432" s="9">
        <f>IFERROR(__xludf.DUMMYFUNCTION("""COMPUTED_VALUE"""),1507.3)</f>
        <v>1507.3</v>
      </c>
      <c r="F4432" s="9">
        <f>IFERROR(__xludf.DUMMYFUNCTION("""COMPUTED_VALUE"""),7396259.0)</f>
        <v>7396259</v>
      </c>
      <c r="H4432" s="27">
        <f>IFERROR(__xludf.DUMMYFUNCTION("""COMPUTED_VALUE"""),44916.64583333333)</f>
        <v>44916.64583</v>
      </c>
      <c r="I4432" s="25">
        <f>IFERROR(__xludf.DUMMYFUNCTION("""COMPUTED_VALUE"""),3249.0)</f>
        <v>3249</v>
      </c>
      <c r="J4432" s="25">
        <f>IFERROR(__xludf.DUMMYFUNCTION("""COMPUTED_VALUE"""),3283.05)</f>
        <v>3283.05</v>
      </c>
      <c r="K4432" s="25">
        <f>IFERROR(__xludf.DUMMYFUNCTION("""COMPUTED_VALUE"""),3240.0)</f>
        <v>3240</v>
      </c>
      <c r="L4432" s="25">
        <f>IFERROR(__xludf.DUMMYFUNCTION("""COMPUTED_VALUE"""),3268.55)</f>
        <v>3268.55</v>
      </c>
      <c r="M4432" s="25">
        <f>IFERROR(__xludf.DUMMYFUNCTION("""COMPUTED_VALUE"""),1432566.0)</f>
        <v>1432566</v>
      </c>
    </row>
    <row r="4433">
      <c r="A4433" s="26">
        <f>IFERROR(__xludf.DUMMYFUNCTION("""COMPUTED_VALUE"""),44916.64583333333)</f>
        <v>44916.64583</v>
      </c>
      <c r="B4433" s="9">
        <f>IFERROR(__xludf.DUMMYFUNCTION("""COMPUTED_VALUE"""),1515.0)</f>
        <v>1515</v>
      </c>
      <c r="C4433" s="9">
        <f>IFERROR(__xludf.DUMMYFUNCTION("""COMPUTED_VALUE"""),1521.0)</f>
        <v>1521</v>
      </c>
      <c r="D4433" s="9">
        <f>IFERROR(__xludf.DUMMYFUNCTION("""COMPUTED_VALUE"""),1502.35)</f>
        <v>1502.35</v>
      </c>
      <c r="E4433" s="9">
        <f>IFERROR(__xludf.DUMMYFUNCTION("""COMPUTED_VALUE"""),1509.55)</f>
        <v>1509.55</v>
      </c>
      <c r="F4433" s="9">
        <f>IFERROR(__xludf.DUMMYFUNCTION("""COMPUTED_VALUE"""),6236361.0)</f>
        <v>6236361</v>
      </c>
      <c r="H4433" s="27">
        <f>IFERROR(__xludf.DUMMYFUNCTION("""COMPUTED_VALUE"""),44917.64583333333)</f>
        <v>44917.64583</v>
      </c>
      <c r="I4433" s="25">
        <f>IFERROR(__xludf.DUMMYFUNCTION("""COMPUTED_VALUE"""),3294.0)</f>
        <v>3294</v>
      </c>
      <c r="J4433" s="25">
        <f>IFERROR(__xludf.DUMMYFUNCTION("""COMPUTED_VALUE"""),3294.0)</f>
        <v>3294</v>
      </c>
      <c r="K4433" s="25">
        <f>IFERROR(__xludf.DUMMYFUNCTION("""COMPUTED_VALUE"""),3245.1)</f>
        <v>3245.1</v>
      </c>
      <c r="L4433" s="25">
        <f>IFERROR(__xludf.DUMMYFUNCTION("""COMPUTED_VALUE"""),3259.7)</f>
        <v>3259.7</v>
      </c>
      <c r="M4433" s="25">
        <f>IFERROR(__xludf.DUMMYFUNCTION("""COMPUTED_VALUE"""),1384101.0)</f>
        <v>1384101</v>
      </c>
    </row>
    <row r="4434">
      <c r="A4434" s="26">
        <f>IFERROR(__xludf.DUMMYFUNCTION("""COMPUTED_VALUE"""),44917.64583333333)</f>
        <v>44917.64583</v>
      </c>
      <c r="B4434" s="9">
        <f>IFERROR(__xludf.DUMMYFUNCTION("""COMPUTED_VALUE"""),1521.5)</f>
        <v>1521.5</v>
      </c>
      <c r="C4434" s="9">
        <f>IFERROR(__xludf.DUMMYFUNCTION("""COMPUTED_VALUE"""),1529.95)</f>
        <v>1529.95</v>
      </c>
      <c r="D4434" s="9">
        <f>IFERROR(__xludf.DUMMYFUNCTION("""COMPUTED_VALUE"""),1511.75)</f>
        <v>1511.75</v>
      </c>
      <c r="E4434" s="9">
        <f>IFERROR(__xludf.DUMMYFUNCTION("""COMPUTED_VALUE"""),1522.05)</f>
        <v>1522.05</v>
      </c>
      <c r="F4434" s="9">
        <f>IFERROR(__xludf.DUMMYFUNCTION("""COMPUTED_VALUE"""),6302640.0)</f>
        <v>6302640</v>
      </c>
      <c r="H4434" s="27">
        <f>IFERROR(__xludf.DUMMYFUNCTION("""COMPUTED_VALUE"""),44918.64583333333)</f>
        <v>44918.64583</v>
      </c>
      <c r="I4434" s="25">
        <f>IFERROR(__xludf.DUMMYFUNCTION("""COMPUTED_VALUE"""),3217.0)</f>
        <v>3217</v>
      </c>
      <c r="J4434" s="25">
        <f>IFERROR(__xludf.DUMMYFUNCTION("""COMPUTED_VALUE"""),3266.85)</f>
        <v>3266.85</v>
      </c>
      <c r="K4434" s="25">
        <f>IFERROR(__xludf.DUMMYFUNCTION("""COMPUTED_VALUE"""),3217.0)</f>
        <v>3217</v>
      </c>
      <c r="L4434" s="25">
        <f>IFERROR(__xludf.DUMMYFUNCTION("""COMPUTED_VALUE"""),3228.35)</f>
        <v>3228.35</v>
      </c>
      <c r="M4434" s="25">
        <f>IFERROR(__xludf.DUMMYFUNCTION("""COMPUTED_VALUE"""),1360281.0)</f>
        <v>1360281</v>
      </c>
    </row>
    <row r="4435">
      <c r="A4435" s="26">
        <f>IFERROR(__xludf.DUMMYFUNCTION("""COMPUTED_VALUE"""),44918.64583333333)</f>
        <v>44918.64583</v>
      </c>
      <c r="B4435" s="9">
        <f>IFERROR(__xludf.DUMMYFUNCTION("""COMPUTED_VALUE"""),1508.7)</f>
        <v>1508.7</v>
      </c>
      <c r="C4435" s="9">
        <f>IFERROR(__xludf.DUMMYFUNCTION("""COMPUTED_VALUE"""),1509.9)</f>
        <v>1509.9</v>
      </c>
      <c r="D4435" s="9">
        <f>IFERROR(__xludf.DUMMYFUNCTION("""COMPUTED_VALUE"""),1493.0)</f>
        <v>1493</v>
      </c>
      <c r="E4435" s="9">
        <f>IFERROR(__xludf.DUMMYFUNCTION("""COMPUTED_VALUE"""),1497.1)</f>
        <v>1497.1</v>
      </c>
      <c r="F4435" s="9">
        <f>IFERROR(__xludf.DUMMYFUNCTION("""COMPUTED_VALUE"""),6283822.0)</f>
        <v>6283822</v>
      </c>
      <c r="H4435" s="27">
        <f>IFERROR(__xludf.DUMMYFUNCTION("""COMPUTED_VALUE"""),44921.64583333333)</f>
        <v>44921.64583</v>
      </c>
      <c r="I4435" s="25">
        <f>IFERROR(__xludf.DUMMYFUNCTION("""COMPUTED_VALUE"""),3228.35)</f>
        <v>3228.35</v>
      </c>
      <c r="J4435" s="25">
        <f>IFERROR(__xludf.DUMMYFUNCTION("""COMPUTED_VALUE"""),3272.0)</f>
        <v>3272</v>
      </c>
      <c r="K4435" s="25">
        <f>IFERROR(__xludf.DUMMYFUNCTION("""COMPUTED_VALUE"""),3225.05)</f>
        <v>3225.05</v>
      </c>
      <c r="L4435" s="25">
        <f>IFERROR(__xludf.DUMMYFUNCTION("""COMPUTED_VALUE"""),3252.9)</f>
        <v>3252.9</v>
      </c>
      <c r="M4435" s="25">
        <f>IFERROR(__xludf.DUMMYFUNCTION("""COMPUTED_VALUE"""),870157.0)</f>
        <v>870157</v>
      </c>
    </row>
    <row r="4436">
      <c r="A4436" s="26">
        <f>IFERROR(__xludf.DUMMYFUNCTION("""COMPUTED_VALUE"""),44921.64583333333)</f>
        <v>44921.64583</v>
      </c>
      <c r="B4436" s="9">
        <f>IFERROR(__xludf.DUMMYFUNCTION("""COMPUTED_VALUE"""),1500.5)</f>
        <v>1500.5</v>
      </c>
      <c r="C4436" s="9">
        <f>IFERROR(__xludf.DUMMYFUNCTION("""COMPUTED_VALUE"""),1509.9)</f>
        <v>1509.9</v>
      </c>
      <c r="D4436" s="9">
        <f>IFERROR(__xludf.DUMMYFUNCTION("""COMPUTED_VALUE"""),1496.35)</f>
        <v>1496.35</v>
      </c>
      <c r="E4436" s="9">
        <f>IFERROR(__xludf.DUMMYFUNCTION("""COMPUTED_VALUE"""),1502.4)</f>
        <v>1502.4</v>
      </c>
      <c r="F4436" s="9">
        <f>IFERROR(__xludf.DUMMYFUNCTION("""COMPUTED_VALUE"""),4115459.0)</f>
        <v>4115459</v>
      </c>
      <c r="H4436" s="27">
        <f>IFERROR(__xludf.DUMMYFUNCTION("""COMPUTED_VALUE"""),44922.64583333333)</f>
        <v>44922.64583</v>
      </c>
      <c r="I4436" s="25">
        <f>IFERROR(__xludf.DUMMYFUNCTION("""COMPUTED_VALUE"""),3269.2)</f>
        <v>3269.2</v>
      </c>
      <c r="J4436" s="25">
        <f>IFERROR(__xludf.DUMMYFUNCTION("""COMPUTED_VALUE"""),3273.8)</f>
        <v>3273.8</v>
      </c>
      <c r="K4436" s="25">
        <f>IFERROR(__xludf.DUMMYFUNCTION("""COMPUTED_VALUE"""),3231.5)</f>
        <v>3231.5</v>
      </c>
      <c r="L4436" s="25">
        <f>IFERROR(__xludf.DUMMYFUNCTION("""COMPUTED_VALUE"""),3259.5)</f>
        <v>3259.5</v>
      </c>
      <c r="M4436" s="25">
        <f>IFERROR(__xludf.DUMMYFUNCTION("""COMPUTED_VALUE"""),835883.0)</f>
        <v>835883</v>
      </c>
    </row>
    <row r="4437">
      <c r="A4437" s="26">
        <f>IFERROR(__xludf.DUMMYFUNCTION("""COMPUTED_VALUE"""),44922.64583333333)</f>
        <v>44922.64583</v>
      </c>
      <c r="B4437" s="9">
        <f>IFERROR(__xludf.DUMMYFUNCTION("""COMPUTED_VALUE"""),1509.95)</f>
        <v>1509.95</v>
      </c>
      <c r="C4437" s="9">
        <f>IFERROR(__xludf.DUMMYFUNCTION("""COMPUTED_VALUE"""),1521.45)</f>
        <v>1521.45</v>
      </c>
      <c r="D4437" s="9">
        <f>IFERROR(__xludf.DUMMYFUNCTION("""COMPUTED_VALUE"""),1497.5)</f>
        <v>1497.5</v>
      </c>
      <c r="E4437" s="9">
        <f>IFERROR(__xludf.DUMMYFUNCTION("""COMPUTED_VALUE"""),1514.85)</f>
        <v>1514.85</v>
      </c>
      <c r="F4437" s="9">
        <f>IFERROR(__xludf.DUMMYFUNCTION("""COMPUTED_VALUE"""),4860076.0)</f>
        <v>4860076</v>
      </c>
      <c r="H4437" s="27">
        <f>IFERROR(__xludf.DUMMYFUNCTION("""COMPUTED_VALUE"""),44923.64583333333)</f>
        <v>44923.64583</v>
      </c>
      <c r="I4437" s="25">
        <f>IFERROR(__xludf.DUMMYFUNCTION("""COMPUTED_VALUE"""),3249.8)</f>
        <v>3249.8</v>
      </c>
      <c r="J4437" s="25">
        <f>IFERROR(__xludf.DUMMYFUNCTION("""COMPUTED_VALUE"""),3266.1)</f>
        <v>3266.1</v>
      </c>
      <c r="K4437" s="25">
        <f>IFERROR(__xludf.DUMMYFUNCTION("""COMPUTED_VALUE"""),3226.0)</f>
        <v>3226</v>
      </c>
      <c r="L4437" s="25">
        <f>IFERROR(__xludf.DUMMYFUNCTION("""COMPUTED_VALUE"""),3257.1)</f>
        <v>3257.1</v>
      </c>
      <c r="M4437" s="25">
        <f>IFERROR(__xludf.DUMMYFUNCTION("""COMPUTED_VALUE"""),910795.0)</f>
        <v>910795</v>
      </c>
    </row>
    <row r="4438">
      <c r="A4438" s="26">
        <f>IFERROR(__xludf.DUMMYFUNCTION("""COMPUTED_VALUE"""),44923.64583333333)</f>
        <v>44923.64583</v>
      </c>
      <c r="B4438" s="9">
        <f>IFERROR(__xludf.DUMMYFUNCTION("""COMPUTED_VALUE"""),1505.1)</f>
        <v>1505.1</v>
      </c>
      <c r="C4438" s="9">
        <f>IFERROR(__xludf.DUMMYFUNCTION("""COMPUTED_VALUE"""),1524.95)</f>
        <v>1524.95</v>
      </c>
      <c r="D4438" s="9">
        <f>IFERROR(__xludf.DUMMYFUNCTION("""COMPUTED_VALUE"""),1498.5)</f>
        <v>1498.5</v>
      </c>
      <c r="E4438" s="9">
        <f>IFERROR(__xludf.DUMMYFUNCTION("""COMPUTED_VALUE"""),1510.15)</f>
        <v>1510.15</v>
      </c>
      <c r="F4438" s="9">
        <f>IFERROR(__xludf.DUMMYFUNCTION("""COMPUTED_VALUE"""),5029860.0)</f>
        <v>5029860</v>
      </c>
      <c r="H4438" s="27">
        <f>IFERROR(__xludf.DUMMYFUNCTION("""COMPUTED_VALUE"""),44924.64583333333)</f>
        <v>44924.64583</v>
      </c>
      <c r="I4438" s="25">
        <f>IFERROR(__xludf.DUMMYFUNCTION("""COMPUTED_VALUE"""),3231.1)</f>
        <v>3231.1</v>
      </c>
      <c r="J4438" s="25">
        <f>IFERROR(__xludf.DUMMYFUNCTION("""COMPUTED_VALUE"""),3271.5)</f>
        <v>3271.5</v>
      </c>
      <c r="K4438" s="25">
        <f>IFERROR(__xludf.DUMMYFUNCTION("""COMPUTED_VALUE"""),3228.0)</f>
        <v>3228</v>
      </c>
      <c r="L4438" s="25">
        <f>IFERROR(__xludf.DUMMYFUNCTION("""COMPUTED_VALUE"""),3268.75)</f>
        <v>3268.75</v>
      </c>
      <c r="M4438" s="25">
        <f>IFERROR(__xludf.DUMMYFUNCTION("""COMPUTED_VALUE"""),1037927.0)</f>
        <v>1037927</v>
      </c>
    </row>
    <row r="4439">
      <c r="A4439" s="26">
        <f>IFERROR(__xludf.DUMMYFUNCTION("""COMPUTED_VALUE"""),44924.64583333333)</f>
        <v>44924.64583</v>
      </c>
      <c r="B4439" s="9">
        <f>IFERROR(__xludf.DUMMYFUNCTION("""COMPUTED_VALUE"""),1504.0)</f>
        <v>1504</v>
      </c>
      <c r="C4439" s="9">
        <f>IFERROR(__xludf.DUMMYFUNCTION("""COMPUTED_VALUE"""),1521.3)</f>
        <v>1521.3</v>
      </c>
      <c r="D4439" s="9">
        <f>IFERROR(__xludf.DUMMYFUNCTION("""COMPUTED_VALUE"""),1501.0)</f>
        <v>1501</v>
      </c>
      <c r="E4439" s="9">
        <f>IFERROR(__xludf.DUMMYFUNCTION("""COMPUTED_VALUE"""),1517.55)</f>
        <v>1517.55</v>
      </c>
      <c r="F4439" s="9">
        <f>IFERROR(__xludf.DUMMYFUNCTION("""COMPUTED_VALUE"""),4624745.0)</f>
        <v>4624745</v>
      </c>
      <c r="H4439" s="27">
        <f>IFERROR(__xludf.DUMMYFUNCTION("""COMPUTED_VALUE"""),44925.64583333333)</f>
        <v>44925.64583</v>
      </c>
      <c r="I4439" s="25">
        <f>IFERROR(__xludf.DUMMYFUNCTION("""COMPUTED_VALUE"""),3286.05)</f>
        <v>3286.05</v>
      </c>
      <c r="J4439" s="25">
        <f>IFERROR(__xludf.DUMMYFUNCTION("""COMPUTED_VALUE"""),3299.0)</f>
        <v>3299</v>
      </c>
      <c r="K4439" s="25">
        <f>IFERROR(__xludf.DUMMYFUNCTION("""COMPUTED_VALUE"""),3246.2)</f>
        <v>3246.2</v>
      </c>
      <c r="L4439" s="25">
        <f>IFERROR(__xludf.DUMMYFUNCTION("""COMPUTED_VALUE"""),3256.7)</f>
        <v>3256.7</v>
      </c>
      <c r="M4439" s="25">
        <f>IFERROR(__xludf.DUMMYFUNCTION("""COMPUTED_VALUE"""),1163131.0)</f>
        <v>1163131</v>
      </c>
    </row>
    <row r="4440">
      <c r="A4440" s="26">
        <f>IFERROR(__xludf.DUMMYFUNCTION("""COMPUTED_VALUE"""),44925.64583333333)</f>
        <v>44925.64583</v>
      </c>
      <c r="B4440" s="9">
        <f>IFERROR(__xludf.DUMMYFUNCTION("""COMPUTED_VALUE"""),1528.0)</f>
        <v>1528</v>
      </c>
      <c r="C4440" s="9">
        <f>IFERROR(__xludf.DUMMYFUNCTION("""COMPUTED_VALUE"""),1530.4)</f>
        <v>1530.4</v>
      </c>
      <c r="D4440" s="9">
        <f>IFERROR(__xludf.DUMMYFUNCTION("""COMPUTED_VALUE"""),1504.05)</f>
        <v>1504.05</v>
      </c>
      <c r="E4440" s="9">
        <f>IFERROR(__xludf.DUMMYFUNCTION("""COMPUTED_VALUE"""),1508.2)</f>
        <v>1508.2</v>
      </c>
      <c r="F4440" s="9">
        <f>IFERROR(__xludf.DUMMYFUNCTION("""COMPUTED_VALUE"""),5060544.0)</f>
        <v>5060544</v>
      </c>
      <c r="H4440" s="27">
        <f>IFERROR(__xludf.DUMMYFUNCTION("""COMPUTED_VALUE"""),44928.64583333333)</f>
        <v>44928.64583</v>
      </c>
      <c r="I4440" s="25">
        <f>IFERROR(__xludf.DUMMYFUNCTION("""COMPUTED_VALUE"""),3261.0)</f>
        <v>3261</v>
      </c>
      <c r="J4440" s="25">
        <f>IFERROR(__xludf.DUMMYFUNCTION("""COMPUTED_VALUE"""),3266.85)</f>
        <v>3266.85</v>
      </c>
      <c r="K4440" s="25">
        <f>IFERROR(__xludf.DUMMYFUNCTION("""COMPUTED_VALUE"""),3235.2)</f>
        <v>3235.2</v>
      </c>
      <c r="L4440" s="25">
        <f>IFERROR(__xludf.DUMMYFUNCTION("""COMPUTED_VALUE"""),3261.45)</f>
        <v>3261.45</v>
      </c>
      <c r="M4440" s="25">
        <f>IFERROR(__xludf.DUMMYFUNCTION("""COMPUTED_VALUE"""),709547.0)</f>
        <v>709547</v>
      </c>
    </row>
    <row r="4441">
      <c r="A4441" s="26">
        <f>IFERROR(__xludf.DUMMYFUNCTION("""COMPUTED_VALUE"""),44928.64583333333)</f>
        <v>44928.64583</v>
      </c>
      <c r="B4441" s="9">
        <f>IFERROR(__xludf.DUMMYFUNCTION("""COMPUTED_VALUE"""),1514.0)</f>
        <v>1514</v>
      </c>
      <c r="C4441" s="9">
        <f>IFERROR(__xludf.DUMMYFUNCTION("""COMPUTED_VALUE"""),1526.5)</f>
        <v>1526.5</v>
      </c>
      <c r="D4441" s="9">
        <f>IFERROR(__xludf.DUMMYFUNCTION("""COMPUTED_VALUE"""),1504.05)</f>
        <v>1504.05</v>
      </c>
      <c r="E4441" s="9">
        <f>IFERROR(__xludf.DUMMYFUNCTION("""COMPUTED_VALUE"""),1524.0)</f>
        <v>1524</v>
      </c>
      <c r="F4441" s="9">
        <f>IFERROR(__xludf.DUMMYFUNCTION("""COMPUTED_VALUE"""),3801140.0)</f>
        <v>3801140</v>
      </c>
      <c r="H4441" s="27">
        <f>IFERROR(__xludf.DUMMYFUNCTION("""COMPUTED_VALUE"""),44929.64583333333)</f>
        <v>44929.64583</v>
      </c>
      <c r="I4441" s="25">
        <f>IFERROR(__xludf.DUMMYFUNCTION("""COMPUTED_VALUE"""),3252.0)</f>
        <v>3252</v>
      </c>
      <c r="J4441" s="25">
        <f>IFERROR(__xludf.DUMMYFUNCTION("""COMPUTED_VALUE"""),3320.0)</f>
        <v>3320</v>
      </c>
      <c r="K4441" s="25">
        <f>IFERROR(__xludf.DUMMYFUNCTION("""COMPUTED_VALUE"""),3245.3)</f>
        <v>3245.3</v>
      </c>
      <c r="L4441" s="25">
        <f>IFERROR(__xludf.DUMMYFUNCTION("""COMPUTED_VALUE"""),3311.35)</f>
        <v>3311.35</v>
      </c>
      <c r="M4441" s="25">
        <f>IFERROR(__xludf.DUMMYFUNCTION("""COMPUTED_VALUE"""),1245178.0)</f>
        <v>1245178</v>
      </c>
    </row>
    <row r="4442">
      <c r="A4442" s="26">
        <f>IFERROR(__xludf.DUMMYFUNCTION("""COMPUTED_VALUE"""),44929.64583333333)</f>
        <v>44929.64583</v>
      </c>
      <c r="B4442" s="9">
        <f>IFERROR(__xludf.DUMMYFUNCTION("""COMPUTED_VALUE"""),1519.85)</f>
        <v>1519.85</v>
      </c>
      <c r="C4442" s="9">
        <f>IFERROR(__xludf.DUMMYFUNCTION("""COMPUTED_VALUE"""),1532.65)</f>
        <v>1532.65</v>
      </c>
      <c r="D4442" s="9">
        <f>IFERROR(__xludf.DUMMYFUNCTION("""COMPUTED_VALUE"""),1515.1)</f>
        <v>1515.1</v>
      </c>
      <c r="E4442" s="9">
        <f>IFERROR(__xludf.DUMMYFUNCTION("""COMPUTED_VALUE"""),1522.55)</f>
        <v>1522.55</v>
      </c>
      <c r="F4442" s="9">
        <f>IFERROR(__xludf.DUMMYFUNCTION("""COMPUTED_VALUE"""),4551130.0)</f>
        <v>4551130</v>
      </c>
      <c r="H4442" s="27">
        <f>IFERROR(__xludf.DUMMYFUNCTION("""COMPUTED_VALUE"""),44930.64583333333)</f>
        <v>44930.64583</v>
      </c>
      <c r="I4442" s="25">
        <f>IFERROR(__xludf.DUMMYFUNCTION("""COMPUTED_VALUE"""),3306.7)</f>
        <v>3306.7</v>
      </c>
      <c r="J4442" s="25">
        <f>IFERROR(__xludf.DUMMYFUNCTION("""COMPUTED_VALUE"""),3327.35)</f>
        <v>3327.35</v>
      </c>
      <c r="K4442" s="25">
        <f>IFERROR(__xludf.DUMMYFUNCTION("""COMPUTED_VALUE"""),3286.2)</f>
        <v>3286.2</v>
      </c>
      <c r="L4442" s="25">
        <f>IFERROR(__xludf.DUMMYFUNCTION("""COMPUTED_VALUE"""),3314.65)</f>
        <v>3314.65</v>
      </c>
      <c r="M4442" s="25">
        <f>IFERROR(__xludf.DUMMYFUNCTION("""COMPUTED_VALUE"""),1231668.0)</f>
        <v>1231668</v>
      </c>
    </row>
    <row r="4443">
      <c r="A4443" s="26">
        <f>IFERROR(__xludf.DUMMYFUNCTION("""COMPUTED_VALUE"""),44930.64583333333)</f>
        <v>44930.64583</v>
      </c>
      <c r="B4443" s="9">
        <f>IFERROR(__xludf.DUMMYFUNCTION("""COMPUTED_VALUE"""),1521.0)</f>
        <v>1521</v>
      </c>
      <c r="C4443" s="9">
        <f>IFERROR(__xludf.DUMMYFUNCTION("""COMPUTED_VALUE"""),1521.0)</f>
        <v>1521</v>
      </c>
      <c r="D4443" s="9">
        <f>IFERROR(__xludf.DUMMYFUNCTION("""COMPUTED_VALUE"""),1491.1)</f>
        <v>1491.1</v>
      </c>
      <c r="E4443" s="9">
        <f>IFERROR(__xludf.DUMMYFUNCTION("""COMPUTED_VALUE"""),1494.8)</f>
        <v>1494.8</v>
      </c>
      <c r="F4443" s="9">
        <f>IFERROR(__xludf.DUMMYFUNCTION("""COMPUTED_VALUE"""),7059590.0)</f>
        <v>7059590</v>
      </c>
      <c r="H4443" s="27">
        <f>IFERROR(__xludf.DUMMYFUNCTION("""COMPUTED_VALUE"""),44931.64583333333)</f>
        <v>44931.64583</v>
      </c>
      <c r="I4443" s="25">
        <f>IFERROR(__xludf.DUMMYFUNCTION("""COMPUTED_VALUE"""),3330.2)</f>
        <v>3330.2</v>
      </c>
      <c r="J4443" s="25">
        <f>IFERROR(__xludf.DUMMYFUNCTION("""COMPUTED_VALUE"""),3337.3)</f>
        <v>3337.3</v>
      </c>
      <c r="K4443" s="25">
        <f>IFERROR(__xludf.DUMMYFUNCTION("""COMPUTED_VALUE"""),3281.95)</f>
        <v>3281.95</v>
      </c>
      <c r="L4443" s="25">
        <f>IFERROR(__xludf.DUMMYFUNCTION("""COMPUTED_VALUE"""),3311.1)</f>
        <v>3311.1</v>
      </c>
      <c r="M4443" s="25">
        <f>IFERROR(__xludf.DUMMYFUNCTION("""COMPUTED_VALUE"""),1826057.0)</f>
        <v>1826057</v>
      </c>
    </row>
    <row r="4444">
      <c r="A4444" s="26">
        <f>IFERROR(__xludf.DUMMYFUNCTION("""COMPUTED_VALUE"""),44931.64583333333)</f>
        <v>44931.64583</v>
      </c>
      <c r="B4444" s="9">
        <f>IFERROR(__xludf.DUMMYFUNCTION("""COMPUTED_VALUE"""),1505.9)</f>
        <v>1505.9</v>
      </c>
      <c r="C4444" s="9">
        <f>IFERROR(__xludf.DUMMYFUNCTION("""COMPUTED_VALUE"""),1505.9)</f>
        <v>1505.9</v>
      </c>
      <c r="D4444" s="9">
        <f>IFERROR(__xludf.DUMMYFUNCTION("""COMPUTED_VALUE"""),1469.25)</f>
        <v>1469.25</v>
      </c>
      <c r="E4444" s="9">
        <f>IFERROR(__xludf.DUMMYFUNCTION("""COMPUTED_VALUE"""),1475.2)</f>
        <v>1475.2</v>
      </c>
      <c r="F4444" s="9">
        <f>IFERROR(__xludf.DUMMYFUNCTION("""COMPUTED_VALUE"""),9868404.0)</f>
        <v>9868404</v>
      </c>
      <c r="H4444" s="27">
        <f>IFERROR(__xludf.DUMMYFUNCTION("""COMPUTED_VALUE"""),44932.64583333333)</f>
        <v>44932.64583</v>
      </c>
      <c r="I4444" s="25">
        <f>IFERROR(__xludf.DUMMYFUNCTION("""COMPUTED_VALUE"""),3300.0)</f>
        <v>3300</v>
      </c>
      <c r="J4444" s="25">
        <f>IFERROR(__xludf.DUMMYFUNCTION("""COMPUTED_VALUE"""),3301.55)</f>
        <v>3301.55</v>
      </c>
      <c r="K4444" s="25">
        <f>IFERROR(__xludf.DUMMYFUNCTION("""COMPUTED_VALUE"""),3200.0)</f>
        <v>3200</v>
      </c>
      <c r="L4444" s="25">
        <f>IFERROR(__xludf.DUMMYFUNCTION("""COMPUTED_VALUE"""),3211.55)</f>
        <v>3211.55</v>
      </c>
      <c r="M4444" s="25">
        <f>IFERROR(__xludf.DUMMYFUNCTION("""COMPUTED_VALUE"""),2488376.0)</f>
        <v>2488376</v>
      </c>
    </row>
    <row r="4445">
      <c r="A4445" s="26">
        <f>IFERROR(__xludf.DUMMYFUNCTION("""COMPUTED_VALUE"""),44932.64583333333)</f>
        <v>44932.64583</v>
      </c>
      <c r="B4445" s="9">
        <f>IFERROR(__xludf.DUMMYFUNCTION("""COMPUTED_VALUE"""),1470.0)</f>
        <v>1470</v>
      </c>
      <c r="C4445" s="9">
        <f>IFERROR(__xludf.DUMMYFUNCTION("""COMPUTED_VALUE"""),1475.0)</f>
        <v>1475</v>
      </c>
      <c r="D4445" s="9">
        <f>IFERROR(__xludf.DUMMYFUNCTION("""COMPUTED_VALUE"""),1446.5)</f>
        <v>1446.5</v>
      </c>
      <c r="E4445" s="9">
        <f>IFERROR(__xludf.DUMMYFUNCTION("""COMPUTED_VALUE"""),1448.5)</f>
        <v>1448.5</v>
      </c>
      <c r="F4445" s="9">
        <f>IFERROR(__xludf.DUMMYFUNCTION("""COMPUTED_VALUE"""),6443714.0)</f>
        <v>6443714</v>
      </c>
      <c r="H4445" s="27">
        <f>IFERROR(__xludf.DUMMYFUNCTION("""COMPUTED_VALUE"""),44935.64583333333)</f>
        <v>44935.64583</v>
      </c>
      <c r="I4445" s="25">
        <f>IFERROR(__xludf.DUMMYFUNCTION("""COMPUTED_VALUE"""),3229.0)</f>
        <v>3229</v>
      </c>
      <c r="J4445" s="25">
        <f>IFERROR(__xludf.DUMMYFUNCTION("""COMPUTED_VALUE"""),3327.0)</f>
        <v>3327</v>
      </c>
      <c r="K4445" s="25">
        <f>IFERROR(__xludf.DUMMYFUNCTION("""COMPUTED_VALUE"""),3221.15)</f>
        <v>3221.15</v>
      </c>
      <c r="L4445" s="25">
        <f>IFERROR(__xludf.DUMMYFUNCTION("""COMPUTED_VALUE"""),3319.95)</f>
        <v>3319.95</v>
      </c>
      <c r="M4445" s="25">
        <f>IFERROR(__xludf.DUMMYFUNCTION("""COMPUTED_VALUE"""),2885060.0)</f>
        <v>2885060</v>
      </c>
    </row>
    <row r="4446">
      <c r="A4446" s="26">
        <f>IFERROR(__xludf.DUMMYFUNCTION("""COMPUTED_VALUE"""),44935.64583333333)</f>
        <v>44935.64583</v>
      </c>
      <c r="B4446" s="9">
        <f>IFERROR(__xludf.DUMMYFUNCTION("""COMPUTED_VALUE"""),1448.2)</f>
        <v>1448.2</v>
      </c>
      <c r="C4446" s="9">
        <f>IFERROR(__xludf.DUMMYFUNCTION("""COMPUTED_VALUE"""),1489.35)</f>
        <v>1489.35</v>
      </c>
      <c r="D4446" s="9">
        <f>IFERROR(__xludf.DUMMYFUNCTION("""COMPUTED_VALUE"""),1448.2)</f>
        <v>1448.2</v>
      </c>
      <c r="E4446" s="9">
        <f>IFERROR(__xludf.DUMMYFUNCTION("""COMPUTED_VALUE"""),1484.45)</f>
        <v>1484.45</v>
      </c>
      <c r="F4446" s="9">
        <f>IFERROR(__xludf.DUMMYFUNCTION("""COMPUTED_VALUE"""),1.1498717E7)</f>
        <v>11498717</v>
      </c>
      <c r="H4446" s="27">
        <f>IFERROR(__xludf.DUMMYFUNCTION("""COMPUTED_VALUE"""),44936.64583333333)</f>
        <v>44936.64583</v>
      </c>
      <c r="I4446" s="25">
        <f>IFERROR(__xludf.DUMMYFUNCTION("""COMPUTED_VALUE"""),3285.0)</f>
        <v>3285</v>
      </c>
      <c r="J4446" s="25">
        <f>IFERROR(__xludf.DUMMYFUNCTION("""COMPUTED_VALUE"""),3298.0)</f>
        <v>3298</v>
      </c>
      <c r="K4446" s="25">
        <f>IFERROR(__xludf.DUMMYFUNCTION("""COMPUTED_VALUE"""),3230.1)</f>
        <v>3230.1</v>
      </c>
      <c r="L4446" s="25">
        <f>IFERROR(__xludf.DUMMYFUNCTION("""COMPUTED_VALUE"""),3286.4)</f>
        <v>3286.4</v>
      </c>
      <c r="M4446" s="25">
        <f>IFERROR(__xludf.DUMMYFUNCTION("""COMPUTED_VALUE"""),3864655.0)</f>
        <v>3864655</v>
      </c>
    </row>
    <row r="4447">
      <c r="A4447" s="26">
        <f>IFERROR(__xludf.DUMMYFUNCTION("""COMPUTED_VALUE"""),44936.64583333333)</f>
        <v>44936.64583</v>
      </c>
      <c r="B4447" s="9">
        <f>IFERROR(__xludf.DUMMYFUNCTION("""COMPUTED_VALUE"""),1482.0)</f>
        <v>1482</v>
      </c>
      <c r="C4447" s="9">
        <f>IFERROR(__xludf.DUMMYFUNCTION("""COMPUTED_VALUE"""),1483.9)</f>
        <v>1483.9</v>
      </c>
      <c r="D4447" s="9">
        <f>IFERROR(__xludf.DUMMYFUNCTION("""COMPUTED_VALUE"""),1454.05)</f>
        <v>1454.05</v>
      </c>
      <c r="E4447" s="9">
        <f>IFERROR(__xludf.DUMMYFUNCTION("""COMPUTED_VALUE"""),1469.75)</f>
        <v>1469.75</v>
      </c>
      <c r="F4447" s="9">
        <f>IFERROR(__xludf.DUMMYFUNCTION("""COMPUTED_VALUE"""),7158624.0)</f>
        <v>7158624</v>
      </c>
      <c r="H4447" s="27"/>
    </row>
    <row r="4448">
      <c r="A4448" s="26"/>
      <c r="B4448" s="9"/>
      <c r="C4448" s="9"/>
      <c r="D4448" s="9"/>
      <c r="E4448" s="9"/>
      <c r="F4448" s="9"/>
      <c r="H4448" s="27"/>
    </row>
    <row r="4449">
      <c r="A4449" s="26"/>
      <c r="B4449" s="9"/>
      <c r="C4449" s="9"/>
      <c r="D4449" s="9"/>
      <c r="E4449" s="9"/>
      <c r="F4449" s="9"/>
      <c r="H4449" s="27"/>
    </row>
    <row r="4450">
      <c r="A4450" s="26"/>
      <c r="B4450" s="9"/>
      <c r="C4450" s="9"/>
      <c r="D4450" s="9"/>
      <c r="E4450" s="9"/>
      <c r="F4450" s="9"/>
      <c r="H4450" s="27"/>
    </row>
    <row r="4451">
      <c r="A4451" s="26"/>
      <c r="B4451" s="9"/>
      <c r="C4451" s="9"/>
      <c r="D4451" s="9"/>
      <c r="E4451" s="9"/>
      <c r="F4451" s="9"/>
      <c r="H4451" s="27"/>
    </row>
    <row r="4452">
      <c r="A4452" s="26"/>
      <c r="B4452" s="9"/>
      <c r="C4452" s="9"/>
      <c r="D4452" s="9"/>
      <c r="E4452" s="9"/>
      <c r="F4452" s="9"/>
      <c r="H4452" s="27"/>
    </row>
    <row r="4453">
      <c r="A4453" s="26"/>
      <c r="B4453" s="9"/>
      <c r="C4453" s="9"/>
      <c r="D4453" s="9"/>
      <c r="E4453" s="9"/>
      <c r="F4453" s="9"/>
      <c r="H4453" s="27"/>
    </row>
    <row r="4454">
      <c r="A4454" s="26"/>
      <c r="B4454" s="9"/>
      <c r="C4454" s="9"/>
      <c r="D4454" s="9"/>
      <c r="E4454" s="9"/>
      <c r="F4454" s="9"/>
      <c r="H4454" s="27"/>
    </row>
    <row r="4455">
      <c r="A4455" s="26"/>
      <c r="B4455" s="9"/>
      <c r="C4455" s="9"/>
      <c r="D4455" s="9"/>
      <c r="E4455" s="9"/>
      <c r="F4455" s="9"/>
      <c r="H4455" s="27"/>
    </row>
    <row r="4456">
      <c r="A4456" s="26"/>
      <c r="B4456" s="9"/>
      <c r="C4456" s="9"/>
      <c r="D4456" s="9"/>
      <c r="E4456" s="9"/>
      <c r="F4456" s="9"/>
      <c r="H4456" s="27"/>
    </row>
    <row r="4457">
      <c r="A4457" s="26"/>
      <c r="B4457" s="9"/>
      <c r="C4457" s="9"/>
      <c r="D4457" s="9"/>
      <c r="E4457" s="9"/>
      <c r="F4457" s="9"/>
      <c r="H4457" s="27"/>
    </row>
    <row r="4458">
      <c r="A4458" s="26"/>
      <c r="B4458" s="9"/>
      <c r="C4458" s="9"/>
      <c r="D4458" s="9"/>
      <c r="E4458" s="9"/>
      <c r="F4458" s="9"/>
      <c r="H4458" s="27"/>
    </row>
    <row r="4459">
      <c r="A4459" s="26"/>
      <c r="B4459" s="9"/>
      <c r="C4459" s="9"/>
      <c r="D4459" s="9"/>
      <c r="E4459" s="9"/>
      <c r="F4459" s="9"/>
      <c r="H4459" s="27"/>
    </row>
    <row r="4460">
      <c r="A4460" s="26"/>
      <c r="B4460" s="9"/>
      <c r="C4460" s="9"/>
      <c r="D4460" s="9"/>
      <c r="E4460" s="9"/>
      <c r="F4460" s="9"/>
      <c r="H4460" s="27"/>
    </row>
    <row r="4461">
      <c r="A4461" s="26"/>
      <c r="B4461" s="9"/>
      <c r="C4461" s="9"/>
      <c r="D4461" s="9"/>
      <c r="E4461" s="9"/>
      <c r="F4461" s="9"/>
      <c r="H4461" s="27"/>
    </row>
    <row r="4462">
      <c r="A4462" s="26"/>
      <c r="B4462" s="9"/>
      <c r="C4462" s="9"/>
      <c r="D4462" s="9"/>
      <c r="E4462" s="9"/>
      <c r="F4462" s="9"/>
      <c r="H4462" s="27"/>
    </row>
    <row r="4463">
      <c r="A4463" s="26"/>
      <c r="B4463" s="9"/>
      <c r="C4463" s="9"/>
      <c r="D4463" s="9"/>
      <c r="E4463" s="9"/>
      <c r="F4463" s="9"/>
      <c r="H4463" s="27"/>
    </row>
    <row r="4464">
      <c r="A4464" s="26"/>
      <c r="B4464" s="9"/>
      <c r="C4464" s="9"/>
      <c r="D4464" s="9"/>
      <c r="E4464" s="9"/>
      <c r="F4464" s="9"/>
      <c r="H4464" s="27"/>
    </row>
    <row r="4465">
      <c r="A4465" s="26"/>
      <c r="B4465" s="9"/>
      <c r="C4465" s="9"/>
      <c r="D4465" s="9"/>
      <c r="E4465" s="9"/>
      <c r="F4465" s="9"/>
      <c r="H4465" s="27"/>
    </row>
    <row r="4466">
      <c r="A4466" s="26"/>
      <c r="B4466" s="9"/>
      <c r="C4466" s="9"/>
      <c r="D4466" s="9"/>
      <c r="E4466" s="9"/>
      <c r="F4466" s="9"/>
      <c r="H4466" s="27"/>
    </row>
    <row r="4467">
      <c r="A4467" s="26"/>
      <c r="B4467" s="9"/>
      <c r="C4467" s="9"/>
      <c r="D4467" s="9"/>
      <c r="E4467" s="9"/>
      <c r="F4467" s="9"/>
      <c r="H4467" s="27"/>
    </row>
    <row r="4468">
      <c r="A4468" s="26"/>
      <c r="B4468" s="9"/>
      <c r="C4468" s="9"/>
      <c r="D4468" s="9"/>
      <c r="E4468" s="9"/>
      <c r="F4468" s="9"/>
      <c r="H4468" s="27"/>
    </row>
    <row r="4469">
      <c r="A4469" s="26"/>
      <c r="B4469" s="9"/>
      <c r="C4469" s="9"/>
      <c r="D4469" s="9"/>
      <c r="E4469" s="9"/>
      <c r="F4469" s="9"/>
      <c r="H4469" s="27"/>
    </row>
    <row r="4470">
      <c r="A4470" s="26"/>
      <c r="B4470" s="9"/>
      <c r="C4470" s="9"/>
      <c r="D4470" s="9"/>
      <c r="E4470" s="9"/>
      <c r="F4470" s="9"/>
      <c r="H4470" s="27"/>
    </row>
    <row r="4471">
      <c r="A4471" s="26"/>
      <c r="B4471" s="9"/>
      <c r="C4471" s="9"/>
      <c r="D4471" s="9"/>
      <c r="E4471" s="9"/>
      <c r="F4471" s="9"/>
      <c r="H4471" s="27"/>
    </row>
    <row r="4472">
      <c r="A4472" s="26"/>
      <c r="B4472" s="9"/>
      <c r="C4472" s="9"/>
      <c r="D4472" s="9"/>
      <c r="E4472" s="9"/>
      <c r="F4472" s="9"/>
      <c r="H4472" s="27"/>
    </row>
    <row r="4473">
      <c r="A4473" s="26"/>
      <c r="B4473" s="9"/>
      <c r="C4473" s="9"/>
      <c r="D4473" s="9"/>
      <c r="E4473" s="9"/>
      <c r="F4473" s="9"/>
      <c r="H4473" s="27"/>
    </row>
    <row r="4474">
      <c r="A4474" s="26"/>
      <c r="B4474" s="9"/>
      <c r="C4474" s="9"/>
      <c r="D4474" s="9"/>
      <c r="E4474" s="9"/>
      <c r="F4474" s="9"/>
      <c r="H4474" s="27"/>
    </row>
    <row r="4475">
      <c r="A4475" s="26"/>
      <c r="B4475" s="9"/>
      <c r="C4475" s="9"/>
      <c r="D4475" s="9"/>
      <c r="E4475" s="9"/>
      <c r="F4475" s="9"/>
      <c r="H4475" s="27"/>
    </row>
    <row r="4476">
      <c r="A4476" s="26"/>
      <c r="B4476" s="9"/>
      <c r="C4476" s="9"/>
      <c r="D4476" s="9"/>
      <c r="E4476" s="9"/>
      <c r="F4476" s="9"/>
      <c r="H4476" s="27"/>
    </row>
    <row r="4477">
      <c r="A4477" s="26"/>
      <c r="B4477" s="9"/>
      <c r="C4477" s="9"/>
      <c r="D4477" s="9"/>
      <c r="E4477" s="9"/>
      <c r="F4477" s="9"/>
      <c r="H4477" s="27"/>
    </row>
    <row r="4478">
      <c r="A4478" s="26"/>
      <c r="B4478" s="9"/>
      <c r="C4478" s="9"/>
      <c r="D4478" s="9"/>
      <c r="E4478" s="9"/>
      <c r="F4478" s="9"/>
      <c r="H4478" s="27"/>
    </row>
    <row r="4479">
      <c r="A4479" s="26"/>
      <c r="B4479" s="9"/>
      <c r="C4479" s="9"/>
      <c r="D4479" s="9"/>
      <c r="E4479" s="9"/>
      <c r="F4479" s="9"/>
      <c r="H4479" s="27"/>
    </row>
    <row r="4480">
      <c r="A4480" s="26"/>
      <c r="B4480" s="9"/>
      <c r="C4480" s="9"/>
      <c r="D4480" s="9"/>
      <c r="E4480" s="9"/>
      <c r="F4480" s="9"/>
      <c r="H4480" s="27"/>
    </row>
    <row r="4481">
      <c r="A4481" s="26"/>
      <c r="B4481" s="9"/>
      <c r="C4481" s="9"/>
      <c r="D4481" s="9"/>
      <c r="E4481" s="9"/>
      <c r="F4481" s="9"/>
      <c r="H4481" s="27"/>
    </row>
    <row r="4482">
      <c r="A4482" s="26"/>
      <c r="B4482" s="9"/>
      <c r="C4482" s="9"/>
      <c r="D4482" s="9"/>
      <c r="E4482" s="9"/>
      <c r="F4482" s="9"/>
      <c r="H4482" s="27"/>
    </row>
    <row r="4483">
      <c r="A4483" s="26"/>
      <c r="B4483" s="9"/>
      <c r="C4483" s="9"/>
      <c r="D4483" s="9"/>
      <c r="E4483" s="9"/>
      <c r="F4483" s="9"/>
      <c r="H4483" s="27"/>
    </row>
    <row r="4484">
      <c r="A4484" s="26"/>
      <c r="B4484" s="9"/>
      <c r="C4484" s="9"/>
      <c r="D4484" s="9"/>
      <c r="E4484" s="9"/>
      <c r="F4484" s="9"/>
      <c r="H4484" s="27"/>
    </row>
    <row r="4485">
      <c r="A4485" s="26"/>
      <c r="B4485" s="9"/>
      <c r="C4485" s="9"/>
      <c r="D4485" s="9"/>
      <c r="E4485" s="9"/>
      <c r="F4485" s="9"/>
      <c r="H4485" s="27"/>
    </row>
    <row r="4486">
      <c r="A4486" s="26"/>
      <c r="B4486" s="9"/>
      <c r="C4486" s="9"/>
      <c r="D4486" s="9"/>
      <c r="E4486" s="9"/>
      <c r="F4486" s="9"/>
      <c r="H4486" s="27"/>
    </row>
    <row r="4487">
      <c r="A4487" s="26"/>
      <c r="B4487" s="9"/>
      <c r="C4487" s="9"/>
      <c r="D4487" s="9"/>
      <c r="E4487" s="9"/>
      <c r="F4487" s="9"/>
      <c r="H4487" s="27"/>
    </row>
    <row r="4488">
      <c r="A4488" s="26"/>
      <c r="B4488" s="9"/>
      <c r="C4488" s="9"/>
      <c r="D4488" s="9"/>
      <c r="E4488" s="9"/>
      <c r="F4488" s="9"/>
      <c r="H4488" s="27"/>
    </row>
    <row r="4489">
      <c r="A4489" s="26"/>
      <c r="B4489" s="9"/>
      <c r="C4489" s="9"/>
      <c r="D4489" s="9"/>
      <c r="E4489" s="9"/>
      <c r="F4489" s="9"/>
      <c r="H4489" s="27"/>
    </row>
    <row r="4490">
      <c r="A4490" s="26"/>
      <c r="B4490" s="9"/>
      <c r="C4490" s="9"/>
      <c r="D4490" s="9"/>
      <c r="E4490" s="9"/>
      <c r="F4490" s="9"/>
      <c r="H4490" s="27"/>
    </row>
    <row r="4491">
      <c r="A4491" s="26"/>
      <c r="B4491" s="9"/>
      <c r="C4491" s="9"/>
      <c r="D4491" s="9"/>
      <c r="E4491" s="9"/>
      <c r="F4491" s="9"/>
      <c r="H4491" s="27"/>
    </row>
    <row r="4492">
      <c r="A4492" s="26"/>
      <c r="B4492" s="9"/>
      <c r="C4492" s="9"/>
      <c r="D4492" s="9"/>
      <c r="E4492" s="9"/>
      <c r="F4492" s="9"/>
      <c r="H4492" s="27"/>
    </row>
    <row r="4493">
      <c r="A4493" s="26"/>
      <c r="B4493" s="9"/>
      <c r="C4493" s="9"/>
      <c r="D4493" s="9"/>
      <c r="E4493" s="9"/>
      <c r="F4493" s="9"/>
      <c r="H4493" s="27"/>
    </row>
    <row r="4494">
      <c r="A4494" s="26"/>
      <c r="B4494" s="9"/>
      <c r="C4494" s="9"/>
      <c r="D4494" s="9"/>
      <c r="E4494" s="9"/>
      <c r="F4494" s="9"/>
      <c r="H4494" s="27"/>
    </row>
    <row r="4495">
      <c r="A4495" s="26"/>
      <c r="B4495" s="9"/>
      <c r="C4495" s="9"/>
      <c r="D4495" s="9"/>
      <c r="E4495" s="9"/>
      <c r="F4495" s="9"/>
      <c r="H4495" s="27"/>
    </row>
    <row r="4496">
      <c r="A4496" s="26"/>
      <c r="B4496" s="9"/>
      <c r="C4496" s="9"/>
      <c r="D4496" s="9"/>
      <c r="E4496" s="9"/>
      <c r="F4496" s="9"/>
      <c r="H4496" s="27"/>
    </row>
    <row r="4497">
      <c r="A4497" s="26"/>
      <c r="B4497" s="9"/>
      <c r="C4497" s="9"/>
      <c r="D4497" s="9"/>
      <c r="E4497" s="9"/>
      <c r="F4497" s="9"/>
      <c r="H4497" s="27"/>
    </row>
    <row r="4498">
      <c r="A4498" s="26"/>
      <c r="B4498" s="9"/>
      <c r="C4498" s="9"/>
      <c r="D4498" s="9"/>
      <c r="E4498" s="9"/>
      <c r="F4498" s="9"/>
      <c r="H4498" s="27"/>
    </row>
    <row r="4499">
      <c r="A4499" s="26"/>
      <c r="B4499" s="9"/>
      <c r="C4499" s="9"/>
      <c r="D4499" s="9"/>
      <c r="E4499" s="9"/>
      <c r="F4499" s="9"/>
      <c r="H4499" s="27"/>
    </row>
    <row r="4500">
      <c r="A4500" s="26"/>
      <c r="B4500" s="9"/>
      <c r="C4500" s="9"/>
      <c r="D4500" s="9"/>
      <c r="E4500" s="9"/>
      <c r="F4500" s="9"/>
      <c r="H4500" s="27"/>
    </row>
    <row r="4501">
      <c r="A4501" s="26"/>
      <c r="B4501" s="9"/>
      <c r="C4501" s="9"/>
      <c r="D4501" s="9"/>
      <c r="E4501" s="9"/>
      <c r="F4501" s="9"/>
      <c r="H4501" s="27"/>
    </row>
    <row r="4502">
      <c r="A4502" s="26"/>
      <c r="B4502" s="9"/>
      <c r="C4502" s="9"/>
      <c r="D4502" s="9"/>
      <c r="E4502" s="9"/>
      <c r="F4502" s="9"/>
      <c r="H4502" s="27"/>
    </row>
    <row r="4503">
      <c r="A4503" s="26"/>
      <c r="B4503" s="9"/>
      <c r="C4503" s="9"/>
      <c r="D4503" s="9"/>
      <c r="E4503" s="9"/>
      <c r="F4503" s="9"/>
      <c r="H4503" s="27"/>
    </row>
    <row r="4504">
      <c r="A4504" s="26"/>
      <c r="B4504" s="9"/>
      <c r="C4504" s="9"/>
      <c r="D4504" s="9"/>
      <c r="E4504" s="9"/>
      <c r="F4504" s="9"/>
      <c r="H4504" s="27"/>
    </row>
    <row r="4505">
      <c r="A4505" s="26"/>
      <c r="B4505" s="9"/>
      <c r="C4505" s="9"/>
      <c r="D4505" s="9"/>
      <c r="E4505" s="9"/>
      <c r="F4505" s="9"/>
      <c r="H4505" s="27"/>
    </row>
    <row r="4506">
      <c r="A4506" s="26"/>
      <c r="B4506" s="9"/>
      <c r="C4506" s="9"/>
      <c r="D4506" s="9"/>
      <c r="E4506" s="9"/>
      <c r="F4506" s="9"/>
      <c r="H4506" s="27"/>
    </row>
    <row r="4507">
      <c r="A4507" s="26"/>
      <c r="B4507" s="9"/>
      <c r="C4507" s="9"/>
      <c r="D4507" s="9"/>
      <c r="E4507" s="9"/>
      <c r="F4507" s="9"/>
      <c r="H4507" s="27"/>
    </row>
    <row r="4508">
      <c r="A4508" s="26"/>
      <c r="B4508" s="9"/>
      <c r="C4508" s="9"/>
      <c r="D4508" s="9"/>
      <c r="E4508" s="9"/>
      <c r="F4508" s="9"/>
      <c r="H4508" s="27"/>
    </row>
    <row r="4509">
      <c r="A4509" s="26"/>
      <c r="B4509" s="9"/>
      <c r="C4509" s="9"/>
      <c r="D4509" s="9"/>
      <c r="E4509" s="9"/>
      <c r="F4509" s="9"/>
      <c r="H4509" s="27"/>
    </row>
    <row r="4510">
      <c r="A4510" s="26"/>
      <c r="B4510" s="9"/>
      <c r="C4510" s="9"/>
      <c r="D4510" s="9"/>
      <c r="E4510" s="9"/>
      <c r="F4510" s="9"/>
      <c r="H4510" s="27"/>
    </row>
    <row r="4511">
      <c r="A4511" s="26"/>
      <c r="B4511" s="9"/>
      <c r="C4511" s="9"/>
      <c r="D4511" s="9"/>
      <c r="E4511" s="9"/>
      <c r="F4511" s="9"/>
      <c r="H4511" s="27"/>
    </row>
    <row r="4512">
      <c r="A4512" s="26"/>
      <c r="B4512" s="9"/>
      <c r="C4512" s="9"/>
      <c r="D4512" s="9"/>
      <c r="E4512" s="9"/>
      <c r="F4512" s="9"/>
      <c r="H4512" s="27"/>
    </row>
    <row r="4513">
      <c r="A4513" s="26"/>
      <c r="B4513" s="9"/>
      <c r="C4513" s="9"/>
      <c r="D4513" s="9"/>
      <c r="E4513" s="9"/>
      <c r="F4513" s="9"/>
      <c r="H4513" s="27"/>
    </row>
    <row r="4514">
      <c r="A4514" s="26"/>
      <c r="B4514" s="9"/>
      <c r="C4514" s="9"/>
      <c r="D4514" s="9"/>
      <c r="E4514" s="9"/>
      <c r="F4514" s="9"/>
      <c r="H4514" s="27"/>
    </row>
    <row r="4515">
      <c r="A4515" s="26"/>
      <c r="B4515" s="9"/>
      <c r="C4515" s="9"/>
      <c r="D4515" s="9"/>
      <c r="E4515" s="9"/>
      <c r="F4515" s="9"/>
      <c r="H4515" s="27"/>
    </row>
    <row r="4516">
      <c r="A4516" s="26"/>
      <c r="B4516" s="9"/>
      <c r="C4516" s="9"/>
      <c r="D4516" s="9"/>
      <c r="E4516" s="9"/>
      <c r="F4516" s="9"/>
      <c r="H4516" s="27"/>
    </row>
    <row r="4517">
      <c r="A4517" s="26"/>
      <c r="B4517" s="9"/>
      <c r="C4517" s="9"/>
      <c r="D4517" s="9"/>
      <c r="E4517" s="9"/>
      <c r="F4517" s="9"/>
      <c r="H4517" s="27"/>
    </row>
    <row r="4518">
      <c r="A4518" s="26"/>
      <c r="B4518" s="9"/>
      <c r="C4518" s="9"/>
      <c r="D4518" s="9"/>
      <c r="E4518" s="9"/>
      <c r="F4518" s="9"/>
      <c r="H4518" s="27"/>
    </row>
    <row r="4519">
      <c r="A4519" s="26"/>
      <c r="B4519" s="9"/>
      <c r="C4519" s="9"/>
      <c r="D4519" s="9"/>
      <c r="E4519" s="9"/>
      <c r="F4519" s="9"/>
      <c r="H4519" s="27"/>
    </row>
    <row r="4520">
      <c r="A4520" s="26"/>
      <c r="B4520" s="9"/>
      <c r="C4520" s="9"/>
      <c r="D4520" s="9"/>
      <c r="E4520" s="9"/>
      <c r="F4520" s="9"/>
      <c r="H4520" s="27"/>
    </row>
    <row r="4521">
      <c r="A4521" s="26"/>
      <c r="B4521" s="9"/>
      <c r="C4521" s="9"/>
      <c r="D4521" s="9"/>
      <c r="E4521" s="9"/>
      <c r="F4521" s="9"/>
      <c r="H4521" s="27"/>
    </row>
    <row r="4522">
      <c r="A4522" s="26"/>
      <c r="B4522" s="9"/>
      <c r="C4522" s="9"/>
      <c r="D4522" s="9"/>
      <c r="E4522" s="9"/>
      <c r="F4522" s="9"/>
      <c r="H4522" s="27"/>
    </row>
    <row r="4523">
      <c r="A4523" s="26"/>
      <c r="B4523" s="9"/>
      <c r="C4523" s="9"/>
      <c r="D4523" s="9"/>
      <c r="E4523" s="9"/>
      <c r="F4523" s="9"/>
      <c r="H4523" s="27"/>
    </row>
    <row r="4524">
      <c r="A4524" s="26"/>
      <c r="B4524" s="9"/>
      <c r="C4524" s="9"/>
      <c r="D4524" s="9"/>
      <c r="E4524" s="9"/>
      <c r="F4524" s="9"/>
      <c r="H4524" s="27"/>
    </row>
    <row r="4525">
      <c r="A4525" s="26"/>
      <c r="B4525" s="9"/>
      <c r="C4525" s="9"/>
      <c r="D4525" s="9"/>
      <c r="E4525" s="9"/>
      <c r="F4525" s="9"/>
      <c r="H4525" s="27"/>
    </row>
    <row r="4526">
      <c r="A4526" s="26"/>
      <c r="B4526" s="9"/>
      <c r="C4526" s="9"/>
      <c r="D4526" s="9"/>
      <c r="E4526" s="9"/>
      <c r="F4526" s="9"/>
      <c r="H4526" s="27"/>
    </row>
    <row r="4527">
      <c r="A4527" s="26"/>
      <c r="B4527" s="9"/>
      <c r="C4527" s="9"/>
      <c r="D4527" s="9"/>
      <c r="E4527" s="9"/>
      <c r="F4527" s="9"/>
      <c r="H4527" s="27"/>
    </row>
    <row r="4528">
      <c r="A4528" s="26"/>
      <c r="B4528" s="9"/>
      <c r="C4528" s="9"/>
      <c r="D4528" s="9"/>
      <c r="E4528" s="9"/>
      <c r="F4528" s="9"/>
      <c r="H4528" s="27"/>
    </row>
    <row r="4529">
      <c r="A4529" s="26"/>
      <c r="B4529" s="9"/>
      <c r="C4529" s="9"/>
      <c r="D4529" s="9"/>
      <c r="E4529" s="9"/>
      <c r="F4529" s="9"/>
      <c r="H4529" s="27"/>
    </row>
    <row r="4530">
      <c r="A4530" s="26"/>
      <c r="B4530" s="9"/>
      <c r="C4530" s="9"/>
      <c r="D4530" s="9"/>
      <c r="E4530" s="9"/>
      <c r="F4530" s="9"/>
      <c r="H4530" s="27"/>
    </row>
    <row r="4531">
      <c r="A4531" s="26"/>
      <c r="B4531" s="9"/>
      <c r="C4531" s="9"/>
      <c r="D4531" s="9"/>
      <c r="E4531" s="9"/>
      <c r="F4531" s="9"/>
      <c r="H4531" s="27"/>
    </row>
    <row r="4532">
      <c r="A4532" s="26"/>
      <c r="B4532" s="9"/>
      <c r="C4532" s="9"/>
      <c r="D4532" s="9"/>
      <c r="E4532" s="9"/>
      <c r="F4532" s="9"/>
      <c r="H4532" s="27"/>
    </row>
    <row r="4533">
      <c r="A4533" s="26"/>
      <c r="B4533" s="9"/>
      <c r="C4533" s="9"/>
      <c r="D4533" s="9"/>
      <c r="E4533" s="9"/>
      <c r="F4533" s="9"/>
      <c r="H4533" s="27"/>
    </row>
    <row r="4534">
      <c r="A4534" s="26"/>
      <c r="B4534" s="9"/>
      <c r="C4534" s="9"/>
      <c r="D4534" s="9"/>
      <c r="E4534" s="9"/>
      <c r="F4534" s="9"/>
      <c r="H4534" s="27"/>
    </row>
    <row r="4535">
      <c r="A4535" s="26"/>
      <c r="B4535" s="9"/>
      <c r="C4535" s="9"/>
      <c r="D4535" s="9"/>
      <c r="E4535" s="9"/>
      <c r="F4535" s="9"/>
      <c r="H4535" s="27"/>
    </row>
    <row r="4536">
      <c r="A4536" s="26"/>
      <c r="B4536" s="9"/>
      <c r="C4536" s="9"/>
      <c r="D4536" s="9"/>
      <c r="E4536" s="9"/>
      <c r="F4536" s="9"/>
      <c r="H4536" s="27"/>
    </row>
    <row r="4537">
      <c r="A4537" s="26"/>
      <c r="B4537" s="9"/>
      <c r="C4537" s="9"/>
      <c r="D4537" s="9"/>
      <c r="E4537" s="9"/>
      <c r="F4537" s="9"/>
      <c r="H4537" s="27"/>
    </row>
    <row r="4538">
      <c r="A4538" s="26"/>
      <c r="B4538" s="9"/>
      <c r="C4538" s="9"/>
      <c r="D4538" s="9"/>
      <c r="E4538" s="9"/>
      <c r="F4538" s="9"/>
      <c r="H4538" s="27"/>
    </row>
    <row r="4539">
      <c r="A4539" s="26"/>
      <c r="B4539" s="9"/>
      <c r="C4539" s="9"/>
      <c r="D4539" s="9"/>
      <c r="E4539" s="9"/>
      <c r="F4539" s="9"/>
      <c r="H4539" s="27"/>
    </row>
    <row r="4540">
      <c r="A4540" s="26"/>
      <c r="B4540" s="9"/>
      <c r="C4540" s="9"/>
      <c r="D4540" s="9"/>
      <c r="E4540" s="9"/>
      <c r="F4540" s="9"/>
      <c r="H4540" s="27"/>
    </row>
    <row r="4541">
      <c r="A4541" s="26"/>
      <c r="B4541" s="9"/>
      <c r="C4541" s="9"/>
      <c r="D4541" s="9"/>
      <c r="E4541" s="9"/>
      <c r="F4541" s="9"/>
      <c r="H4541" s="27"/>
    </row>
    <row r="4542">
      <c r="A4542" s="26"/>
      <c r="B4542" s="9"/>
      <c r="C4542" s="9"/>
      <c r="D4542" s="9"/>
      <c r="E4542" s="9"/>
      <c r="F4542" s="9"/>
      <c r="H4542" s="27"/>
    </row>
    <row r="4543">
      <c r="A4543" s="26"/>
      <c r="B4543" s="9"/>
      <c r="C4543" s="9"/>
      <c r="D4543" s="9"/>
      <c r="E4543" s="9"/>
      <c r="F4543" s="9"/>
      <c r="H4543" s="27"/>
    </row>
    <row r="4544">
      <c r="A4544" s="26"/>
      <c r="B4544" s="9"/>
      <c r="C4544" s="9"/>
      <c r="D4544" s="9"/>
      <c r="E4544" s="9"/>
      <c r="F4544" s="9"/>
      <c r="H4544" s="27"/>
    </row>
    <row r="4545">
      <c r="A4545" s="26"/>
      <c r="B4545" s="9"/>
      <c r="C4545" s="9"/>
      <c r="D4545" s="9"/>
      <c r="E4545" s="9"/>
      <c r="F4545" s="9"/>
      <c r="H4545" s="27"/>
    </row>
    <row r="4546">
      <c r="A4546" s="26"/>
      <c r="B4546" s="9"/>
      <c r="C4546" s="9"/>
      <c r="D4546" s="9"/>
      <c r="E4546" s="9"/>
      <c r="F4546" s="9"/>
      <c r="H4546" s="27"/>
    </row>
    <row r="4547">
      <c r="A4547" s="26"/>
      <c r="B4547" s="9"/>
      <c r="C4547" s="9"/>
      <c r="D4547" s="9"/>
      <c r="E4547" s="9"/>
      <c r="F4547" s="9"/>
      <c r="H4547" s="27"/>
    </row>
    <row r="4548">
      <c r="A4548" s="26"/>
      <c r="B4548" s="9"/>
      <c r="C4548" s="9"/>
      <c r="D4548" s="9"/>
      <c r="E4548" s="9"/>
      <c r="F4548" s="9"/>
      <c r="H4548" s="27"/>
    </row>
    <row r="4549">
      <c r="A4549" s="26"/>
      <c r="B4549" s="9"/>
      <c r="C4549" s="9"/>
      <c r="D4549" s="9"/>
      <c r="E4549" s="9"/>
      <c r="F4549" s="9"/>
      <c r="H4549" s="27"/>
    </row>
    <row r="4550">
      <c r="A4550" s="26"/>
      <c r="B4550" s="9"/>
      <c r="C4550" s="9"/>
      <c r="D4550" s="9"/>
      <c r="E4550" s="9"/>
      <c r="F4550" s="9"/>
      <c r="H4550" s="27"/>
    </row>
    <row r="4551">
      <c r="A4551" s="26"/>
      <c r="B4551" s="9"/>
      <c r="C4551" s="9"/>
      <c r="D4551" s="9"/>
      <c r="E4551" s="9"/>
      <c r="F4551" s="9"/>
      <c r="H4551" s="27"/>
    </row>
    <row r="4552">
      <c r="A4552" s="26"/>
      <c r="B4552" s="9"/>
      <c r="C4552" s="9"/>
      <c r="D4552" s="9"/>
      <c r="E4552" s="9"/>
      <c r="F4552" s="9"/>
      <c r="H4552" s="27"/>
    </row>
    <row r="4553">
      <c r="A4553" s="26"/>
      <c r="B4553" s="9"/>
      <c r="C4553" s="9"/>
      <c r="D4553" s="9"/>
      <c r="E4553" s="9"/>
      <c r="F4553" s="9"/>
      <c r="H4553" s="27"/>
    </row>
    <row r="4554">
      <c r="A4554" s="26"/>
      <c r="B4554" s="9"/>
      <c r="C4554" s="9"/>
      <c r="D4554" s="9"/>
      <c r="E4554" s="9"/>
      <c r="F4554" s="9"/>
      <c r="H4554" s="27"/>
    </row>
    <row r="4555">
      <c r="A4555" s="26"/>
      <c r="B4555" s="9"/>
      <c r="C4555" s="9"/>
      <c r="D4555" s="9"/>
      <c r="E4555" s="9"/>
      <c r="F4555" s="9"/>
      <c r="H4555" s="27"/>
    </row>
    <row r="4556">
      <c r="A4556" s="26"/>
      <c r="B4556" s="9"/>
      <c r="C4556" s="9"/>
      <c r="D4556" s="9"/>
      <c r="E4556" s="9"/>
      <c r="F4556" s="9"/>
      <c r="H4556" s="27"/>
    </row>
    <row r="4557">
      <c r="A4557" s="26"/>
      <c r="B4557" s="9"/>
      <c r="C4557" s="9"/>
      <c r="D4557" s="9"/>
      <c r="E4557" s="9"/>
      <c r="F4557" s="9"/>
      <c r="H4557" s="27"/>
    </row>
    <row r="4558">
      <c r="A4558" s="26"/>
      <c r="B4558" s="9"/>
      <c r="C4558" s="9"/>
      <c r="D4558" s="9"/>
      <c r="E4558" s="9"/>
      <c r="F4558" s="9"/>
      <c r="H4558" s="27"/>
    </row>
    <row r="4559">
      <c r="A4559" s="26"/>
      <c r="B4559" s="9"/>
      <c r="C4559" s="9"/>
      <c r="D4559" s="9"/>
      <c r="E4559" s="9"/>
      <c r="F4559" s="9"/>
      <c r="H4559" s="27"/>
    </row>
    <row r="4560">
      <c r="A4560" s="26"/>
      <c r="B4560" s="9"/>
      <c r="C4560" s="9"/>
      <c r="D4560" s="9"/>
      <c r="E4560" s="9"/>
      <c r="F4560" s="9"/>
      <c r="H4560" s="27"/>
    </row>
    <row r="4561">
      <c r="A4561" s="26"/>
      <c r="B4561" s="9"/>
      <c r="C4561" s="9"/>
      <c r="D4561" s="9"/>
      <c r="E4561" s="9"/>
      <c r="F4561" s="9"/>
      <c r="H4561" s="27"/>
    </row>
    <row r="4562">
      <c r="A4562" s="26"/>
      <c r="B4562" s="9"/>
      <c r="C4562" s="9"/>
      <c r="D4562" s="9"/>
      <c r="E4562" s="9"/>
      <c r="F4562" s="9"/>
      <c r="H4562" s="27"/>
    </row>
    <row r="4563">
      <c r="A4563" s="26"/>
      <c r="B4563" s="9"/>
      <c r="C4563" s="9"/>
      <c r="D4563" s="9"/>
      <c r="E4563" s="9"/>
      <c r="F4563" s="9"/>
      <c r="H4563" s="27"/>
    </row>
    <row r="4564">
      <c r="A4564" s="26"/>
      <c r="B4564" s="9"/>
      <c r="C4564" s="9"/>
      <c r="D4564" s="9"/>
      <c r="E4564" s="9"/>
      <c r="F4564" s="9"/>
      <c r="H4564" s="27"/>
    </row>
    <row r="4565">
      <c r="A4565" s="26"/>
      <c r="B4565" s="9"/>
      <c r="C4565" s="9"/>
      <c r="D4565" s="9"/>
      <c r="E4565" s="9"/>
      <c r="F4565" s="9"/>
      <c r="H4565" s="27"/>
    </row>
    <row r="4566">
      <c r="A4566" s="26"/>
      <c r="B4566" s="9"/>
      <c r="C4566" s="9"/>
      <c r="D4566" s="9"/>
      <c r="E4566" s="9"/>
      <c r="F4566" s="9"/>
      <c r="H4566" s="27"/>
    </row>
    <row r="4567">
      <c r="A4567" s="26"/>
      <c r="B4567" s="9"/>
      <c r="C4567" s="9"/>
      <c r="D4567" s="9"/>
      <c r="E4567" s="9"/>
      <c r="F4567" s="9"/>
      <c r="H4567" s="27"/>
    </row>
    <row r="4568">
      <c r="A4568" s="26"/>
      <c r="B4568" s="9"/>
      <c r="C4568" s="9"/>
      <c r="D4568" s="9"/>
      <c r="E4568" s="9"/>
      <c r="F4568" s="9"/>
      <c r="H4568" s="27"/>
    </row>
    <row r="4569">
      <c r="A4569" s="26"/>
      <c r="B4569" s="9"/>
      <c r="C4569" s="9"/>
      <c r="D4569" s="9"/>
      <c r="E4569" s="9"/>
      <c r="F4569" s="9"/>
      <c r="H4569" s="27"/>
    </row>
    <row r="4570">
      <c r="A4570" s="26"/>
      <c r="B4570" s="9"/>
      <c r="C4570" s="9"/>
      <c r="D4570" s="9"/>
      <c r="E4570" s="9"/>
      <c r="F4570" s="9"/>
      <c r="H4570" s="27"/>
    </row>
    <row r="4571">
      <c r="A4571" s="26"/>
      <c r="B4571" s="9"/>
      <c r="C4571" s="9"/>
      <c r="D4571" s="9"/>
      <c r="E4571" s="9"/>
      <c r="F4571" s="9"/>
      <c r="H4571" s="27"/>
    </row>
    <row r="4572">
      <c r="A4572" s="26"/>
      <c r="B4572" s="9"/>
      <c r="C4572" s="9"/>
      <c r="D4572" s="9"/>
      <c r="E4572" s="9"/>
      <c r="F4572" s="9"/>
      <c r="H4572" s="27"/>
    </row>
    <row r="4573">
      <c r="A4573" s="26"/>
      <c r="B4573" s="9"/>
      <c r="C4573" s="9"/>
      <c r="D4573" s="9"/>
      <c r="E4573" s="9"/>
      <c r="F4573" s="9"/>
      <c r="H4573" s="27"/>
    </row>
    <row r="4574">
      <c r="A4574" s="26"/>
      <c r="B4574" s="9"/>
      <c r="C4574" s="9"/>
      <c r="D4574" s="9"/>
      <c r="E4574" s="9"/>
      <c r="F4574" s="9"/>
      <c r="H4574" s="27"/>
    </row>
    <row r="4575">
      <c r="A4575" s="26"/>
      <c r="B4575" s="9"/>
      <c r="C4575" s="9"/>
      <c r="D4575" s="9"/>
      <c r="E4575" s="9"/>
      <c r="F4575" s="9"/>
      <c r="H4575" s="27"/>
    </row>
    <row r="4576">
      <c r="A4576" s="26"/>
      <c r="B4576" s="9"/>
      <c r="C4576" s="9"/>
      <c r="D4576" s="9"/>
      <c r="E4576" s="9"/>
      <c r="F4576" s="9"/>
      <c r="H4576" s="27"/>
    </row>
    <row r="4577">
      <c r="A4577" s="26"/>
      <c r="B4577" s="9"/>
      <c r="C4577" s="9"/>
      <c r="D4577" s="9"/>
      <c r="E4577" s="9"/>
      <c r="F4577" s="9"/>
      <c r="H4577" s="27"/>
    </row>
    <row r="4578">
      <c r="A4578" s="26"/>
      <c r="B4578" s="9"/>
      <c r="C4578" s="9"/>
      <c r="D4578" s="9"/>
      <c r="E4578" s="9"/>
      <c r="F4578" s="9"/>
      <c r="H4578" s="27"/>
    </row>
    <row r="4579">
      <c r="A4579" s="26"/>
      <c r="B4579" s="9"/>
      <c r="C4579" s="9"/>
      <c r="D4579" s="9"/>
      <c r="E4579" s="9"/>
      <c r="F4579" s="9"/>
      <c r="H4579" s="27"/>
    </row>
    <row r="4580">
      <c r="A4580" s="26"/>
      <c r="B4580" s="9"/>
      <c r="C4580" s="9"/>
      <c r="D4580" s="9"/>
      <c r="E4580" s="9"/>
      <c r="F4580" s="9"/>
      <c r="H4580" s="27"/>
    </row>
    <row r="4581">
      <c r="A4581" s="26"/>
      <c r="B4581" s="9"/>
      <c r="C4581" s="9"/>
      <c r="D4581" s="9"/>
      <c r="E4581" s="9"/>
      <c r="F4581" s="9"/>
      <c r="H4581" s="27"/>
    </row>
    <row r="4582">
      <c r="A4582" s="26"/>
      <c r="B4582" s="9"/>
      <c r="C4582" s="9"/>
      <c r="D4582" s="9"/>
      <c r="E4582" s="9"/>
      <c r="F4582" s="9"/>
      <c r="H4582" s="27"/>
    </row>
    <row r="4583">
      <c r="A4583" s="26"/>
      <c r="B4583" s="9"/>
      <c r="C4583" s="9"/>
      <c r="D4583" s="9"/>
      <c r="E4583" s="9"/>
      <c r="F4583" s="9"/>
      <c r="H4583" s="27"/>
    </row>
    <row r="4584">
      <c r="A4584" s="26"/>
      <c r="B4584" s="9"/>
      <c r="C4584" s="9"/>
      <c r="D4584" s="9"/>
      <c r="E4584" s="9"/>
      <c r="F4584" s="9"/>
      <c r="H4584" s="27"/>
    </row>
    <row r="4585">
      <c r="A4585" s="26"/>
      <c r="B4585" s="9"/>
      <c r="C4585" s="9"/>
      <c r="D4585" s="9"/>
      <c r="E4585" s="9"/>
      <c r="F4585" s="9"/>
      <c r="H4585" s="27"/>
    </row>
    <row r="4586">
      <c r="A4586" s="26"/>
      <c r="B4586" s="9"/>
      <c r="C4586" s="9"/>
      <c r="D4586" s="9"/>
      <c r="E4586" s="9"/>
      <c r="F4586" s="9"/>
      <c r="H4586" s="27"/>
    </row>
    <row r="4587">
      <c r="A4587" s="26"/>
      <c r="B4587" s="9"/>
      <c r="C4587" s="9"/>
      <c r="D4587" s="9"/>
      <c r="E4587" s="9"/>
      <c r="F4587" s="9"/>
      <c r="H4587" s="27"/>
    </row>
    <row r="4588">
      <c r="A4588" s="26"/>
      <c r="B4588" s="9"/>
      <c r="C4588" s="9"/>
      <c r="D4588" s="9"/>
      <c r="E4588" s="9"/>
      <c r="F4588" s="9"/>
      <c r="H4588" s="27"/>
    </row>
    <row r="4589">
      <c r="A4589" s="26"/>
      <c r="B4589" s="9"/>
      <c r="C4589" s="9"/>
      <c r="D4589" s="9"/>
      <c r="E4589" s="9"/>
      <c r="F4589" s="9"/>
      <c r="H4589" s="27"/>
    </row>
    <row r="4590">
      <c r="A4590" s="26"/>
      <c r="B4590" s="9"/>
      <c r="C4590" s="9"/>
      <c r="D4590" s="9"/>
      <c r="E4590" s="9"/>
      <c r="F4590" s="9"/>
      <c r="H4590" s="27"/>
    </row>
    <row r="4591">
      <c r="A4591" s="26"/>
      <c r="B4591" s="9"/>
      <c r="C4591" s="9"/>
      <c r="D4591" s="9"/>
      <c r="E4591" s="9"/>
      <c r="F4591" s="9"/>
      <c r="H4591" s="27"/>
    </row>
    <row r="4592">
      <c r="A4592" s="26"/>
      <c r="B4592" s="9"/>
      <c r="C4592" s="9"/>
      <c r="D4592" s="9"/>
      <c r="E4592" s="9"/>
      <c r="F4592" s="9"/>
      <c r="H4592" s="27"/>
    </row>
    <row r="4593">
      <c r="A4593" s="26"/>
      <c r="B4593" s="9"/>
      <c r="C4593" s="9"/>
      <c r="D4593" s="9"/>
      <c r="E4593" s="9"/>
      <c r="F4593" s="9"/>
      <c r="H4593" s="27"/>
    </row>
    <row r="4594">
      <c r="A4594" s="26"/>
      <c r="B4594" s="9"/>
      <c r="C4594" s="9"/>
      <c r="D4594" s="9"/>
      <c r="E4594" s="9"/>
      <c r="F4594" s="9"/>
      <c r="H4594" s="27"/>
    </row>
    <row r="4595">
      <c r="A4595" s="26"/>
      <c r="B4595" s="9"/>
      <c r="C4595" s="9"/>
      <c r="D4595" s="9"/>
      <c r="E4595" s="9"/>
      <c r="F4595" s="9"/>
      <c r="H4595" s="27"/>
    </row>
    <row r="4596">
      <c r="A4596" s="26"/>
      <c r="B4596" s="9"/>
      <c r="C4596" s="9"/>
      <c r="D4596" s="9"/>
      <c r="E4596" s="9"/>
      <c r="F4596" s="9"/>
      <c r="H4596" s="27"/>
    </row>
    <row r="4597">
      <c r="A4597" s="26"/>
      <c r="B4597" s="9"/>
      <c r="C4597" s="9"/>
      <c r="D4597" s="9"/>
      <c r="E4597" s="9"/>
      <c r="F4597" s="9"/>
      <c r="H4597" s="27"/>
    </row>
    <row r="4598">
      <c r="A4598" s="26"/>
      <c r="B4598" s="9"/>
      <c r="C4598" s="9"/>
      <c r="D4598" s="9"/>
      <c r="E4598" s="9"/>
      <c r="F4598" s="9"/>
      <c r="H4598" s="27"/>
    </row>
    <row r="4599">
      <c r="A4599" s="26"/>
      <c r="B4599" s="9"/>
      <c r="C4599" s="9"/>
      <c r="D4599" s="9"/>
      <c r="E4599" s="9"/>
      <c r="F4599" s="9"/>
      <c r="H4599" s="27"/>
    </row>
    <row r="4600">
      <c r="A4600" s="26"/>
      <c r="B4600" s="9"/>
      <c r="C4600" s="9"/>
      <c r="D4600" s="9"/>
      <c r="E4600" s="9"/>
      <c r="F4600" s="9"/>
      <c r="H4600" s="27"/>
    </row>
    <row r="4601">
      <c r="A4601" s="26"/>
      <c r="B4601" s="9"/>
      <c r="C4601" s="9"/>
      <c r="D4601" s="9"/>
      <c r="E4601" s="9"/>
      <c r="F4601" s="9"/>
      <c r="H4601" s="27"/>
    </row>
    <row r="4602">
      <c r="A4602" s="26"/>
      <c r="B4602" s="9"/>
      <c r="C4602" s="9"/>
      <c r="D4602" s="9"/>
      <c r="E4602" s="9"/>
      <c r="F4602" s="9"/>
      <c r="H4602" s="27"/>
    </row>
    <row r="4603">
      <c r="A4603" s="26"/>
      <c r="B4603" s="9"/>
      <c r="C4603" s="9"/>
      <c r="D4603" s="9"/>
      <c r="E4603" s="9"/>
      <c r="F4603" s="9"/>
      <c r="H4603" s="27"/>
    </row>
    <row r="4604">
      <c r="A4604" s="26"/>
      <c r="B4604" s="9"/>
      <c r="C4604" s="9"/>
      <c r="D4604" s="9"/>
      <c r="E4604" s="9"/>
      <c r="F4604" s="9"/>
      <c r="H4604" s="27"/>
    </row>
    <row r="4605">
      <c r="A4605" s="26"/>
      <c r="B4605" s="9"/>
      <c r="C4605" s="9"/>
      <c r="D4605" s="9"/>
      <c r="E4605" s="9"/>
      <c r="F4605" s="9"/>
      <c r="H4605" s="27"/>
    </row>
    <row r="4606">
      <c r="A4606" s="26"/>
      <c r="B4606" s="9"/>
      <c r="C4606" s="9"/>
      <c r="D4606" s="9"/>
      <c r="E4606" s="9"/>
      <c r="F4606" s="9"/>
      <c r="H4606" s="27"/>
    </row>
    <row r="4607">
      <c r="A4607" s="26"/>
      <c r="B4607" s="9"/>
      <c r="C4607" s="9"/>
      <c r="D4607" s="9"/>
      <c r="E4607" s="9"/>
      <c r="F4607" s="9"/>
      <c r="H4607" s="27"/>
    </row>
    <row r="4608">
      <c r="A4608" s="26"/>
      <c r="B4608" s="9"/>
      <c r="C4608" s="9"/>
      <c r="D4608" s="9"/>
      <c r="E4608" s="9"/>
      <c r="F4608" s="9"/>
      <c r="H4608" s="27"/>
    </row>
    <row r="4609">
      <c r="A4609" s="26"/>
      <c r="B4609" s="9"/>
      <c r="C4609" s="9"/>
      <c r="D4609" s="9"/>
      <c r="E4609" s="9"/>
      <c r="F4609" s="9"/>
      <c r="H4609" s="27"/>
    </row>
    <row r="4610">
      <c r="A4610" s="26"/>
      <c r="B4610" s="9"/>
      <c r="C4610" s="9"/>
      <c r="D4610" s="9"/>
      <c r="E4610" s="9"/>
      <c r="F4610" s="9"/>
      <c r="H4610" s="27"/>
    </row>
    <row r="4611">
      <c r="A4611" s="26"/>
      <c r="B4611" s="9"/>
      <c r="C4611" s="9"/>
      <c r="D4611" s="9"/>
      <c r="E4611" s="9"/>
      <c r="F4611" s="9"/>
      <c r="H4611" s="27"/>
    </row>
    <row r="4612">
      <c r="A4612" s="26"/>
      <c r="B4612" s="9"/>
      <c r="C4612" s="9"/>
      <c r="D4612" s="9"/>
      <c r="E4612" s="9"/>
      <c r="F4612" s="9"/>
      <c r="H4612" s="27"/>
    </row>
    <row r="4613">
      <c r="A4613" s="26"/>
      <c r="B4613" s="9"/>
      <c r="C4613" s="9"/>
      <c r="D4613" s="9"/>
      <c r="E4613" s="9"/>
      <c r="F4613" s="9"/>
      <c r="H4613" s="27"/>
    </row>
    <row r="4614">
      <c r="A4614" s="26"/>
      <c r="B4614" s="9"/>
      <c r="C4614" s="9"/>
      <c r="D4614" s="9"/>
      <c r="E4614" s="9"/>
      <c r="F4614" s="9"/>
      <c r="H4614" s="27"/>
    </row>
    <row r="4615">
      <c r="A4615" s="26"/>
      <c r="B4615" s="9"/>
      <c r="C4615" s="9"/>
      <c r="D4615" s="9"/>
      <c r="E4615" s="9"/>
      <c r="F4615" s="9"/>
      <c r="H4615" s="27"/>
    </row>
    <row r="4616">
      <c r="A4616" s="26"/>
      <c r="B4616" s="9"/>
      <c r="C4616" s="9"/>
      <c r="D4616" s="9"/>
      <c r="E4616" s="9"/>
      <c r="F4616" s="9"/>
      <c r="H4616" s="27"/>
    </row>
    <row r="4617">
      <c r="A4617" s="26"/>
      <c r="B4617" s="9"/>
      <c r="C4617" s="9"/>
      <c r="D4617" s="9"/>
      <c r="E4617" s="9"/>
      <c r="F4617" s="9"/>
      <c r="H4617" s="27"/>
    </row>
    <row r="4618">
      <c r="A4618" s="26"/>
      <c r="B4618" s="9"/>
      <c r="C4618" s="9"/>
      <c r="D4618" s="9"/>
      <c r="E4618" s="9"/>
      <c r="F4618" s="9"/>
      <c r="H4618" s="27"/>
    </row>
    <row r="4619">
      <c r="A4619" s="26"/>
      <c r="B4619" s="9"/>
      <c r="C4619" s="9"/>
      <c r="D4619" s="9"/>
      <c r="E4619" s="9"/>
      <c r="F4619" s="9"/>
      <c r="H4619" s="27"/>
    </row>
    <row r="4620">
      <c r="A4620" s="26"/>
      <c r="B4620" s="9"/>
      <c r="C4620" s="9"/>
      <c r="D4620" s="9"/>
      <c r="E4620" s="9"/>
      <c r="F4620" s="9"/>
      <c r="H4620" s="27"/>
    </row>
    <row r="4621">
      <c r="A4621" s="26"/>
      <c r="B4621" s="9"/>
      <c r="C4621" s="9"/>
      <c r="D4621" s="9"/>
      <c r="E4621" s="9"/>
      <c r="F4621" s="9"/>
      <c r="H4621" s="27"/>
    </row>
    <row r="4622">
      <c r="A4622" s="26"/>
      <c r="B4622" s="9"/>
      <c r="C4622" s="9"/>
      <c r="D4622" s="9"/>
      <c r="E4622" s="9"/>
      <c r="F4622" s="9"/>
      <c r="H4622" s="27"/>
    </row>
    <row r="4623">
      <c r="A4623" s="26"/>
      <c r="B4623" s="9"/>
      <c r="C4623" s="9"/>
      <c r="D4623" s="9"/>
      <c r="E4623" s="9"/>
      <c r="F4623" s="9"/>
      <c r="H4623" s="27"/>
    </row>
    <row r="4624">
      <c r="A4624" s="26"/>
      <c r="B4624" s="9"/>
      <c r="C4624" s="9"/>
      <c r="D4624" s="9"/>
      <c r="E4624" s="9"/>
      <c r="F4624" s="9"/>
      <c r="H4624" s="27"/>
    </row>
    <row r="4625">
      <c r="A4625" s="26"/>
      <c r="B4625" s="9"/>
      <c r="C4625" s="9"/>
      <c r="D4625" s="9"/>
      <c r="E4625" s="9"/>
      <c r="F4625" s="9"/>
      <c r="H4625" s="27"/>
    </row>
    <row r="4626">
      <c r="A4626" s="26"/>
      <c r="B4626" s="9"/>
      <c r="C4626" s="9"/>
      <c r="D4626" s="9"/>
      <c r="E4626" s="9"/>
      <c r="F4626" s="9"/>
      <c r="H4626" s="27"/>
    </row>
    <row r="4627">
      <c r="A4627" s="26"/>
      <c r="B4627" s="9"/>
      <c r="C4627" s="9"/>
      <c r="D4627" s="9"/>
      <c r="E4627" s="9"/>
      <c r="F4627" s="9"/>
      <c r="H4627" s="27"/>
    </row>
    <row r="4628">
      <c r="A4628" s="26"/>
      <c r="B4628" s="9"/>
      <c r="C4628" s="9"/>
      <c r="D4628" s="9"/>
      <c r="E4628" s="9"/>
      <c r="F4628" s="9"/>
      <c r="H4628" s="27"/>
    </row>
    <row r="4629">
      <c r="A4629" s="26"/>
      <c r="B4629" s="9"/>
      <c r="C4629" s="9"/>
      <c r="D4629" s="9"/>
      <c r="E4629" s="9"/>
      <c r="F4629" s="9"/>
      <c r="H4629" s="27"/>
    </row>
    <row r="4630">
      <c r="A4630" s="26"/>
      <c r="B4630" s="9"/>
      <c r="C4630" s="9"/>
      <c r="D4630" s="9"/>
      <c r="E4630" s="9"/>
      <c r="F4630" s="9"/>
      <c r="H4630" s="27"/>
    </row>
    <row r="4631">
      <c r="A4631" s="26"/>
      <c r="B4631" s="9"/>
      <c r="C4631" s="9"/>
      <c r="D4631" s="9"/>
      <c r="E4631" s="9"/>
      <c r="F4631" s="9"/>
      <c r="H4631" s="27"/>
    </row>
    <row r="4632">
      <c r="A4632" s="26"/>
      <c r="B4632" s="9"/>
      <c r="C4632" s="9"/>
      <c r="D4632" s="9"/>
      <c r="E4632" s="9"/>
      <c r="F4632" s="9"/>
      <c r="H4632" s="27"/>
    </row>
    <row r="4633">
      <c r="A4633" s="26"/>
      <c r="B4633" s="9"/>
      <c r="C4633" s="9"/>
      <c r="D4633" s="9"/>
      <c r="E4633" s="9"/>
      <c r="F4633" s="9"/>
      <c r="H4633" s="27"/>
    </row>
    <row r="4634">
      <c r="A4634" s="26"/>
      <c r="B4634" s="9"/>
      <c r="C4634" s="9"/>
      <c r="D4634" s="9"/>
      <c r="E4634" s="9"/>
      <c r="F4634" s="9"/>
      <c r="H4634" s="27"/>
    </row>
    <row r="4635">
      <c r="A4635" s="26"/>
      <c r="B4635" s="9"/>
      <c r="C4635" s="9"/>
      <c r="D4635" s="9"/>
      <c r="E4635" s="9"/>
      <c r="F4635" s="9"/>
      <c r="H4635" s="27"/>
    </row>
    <row r="4636">
      <c r="A4636" s="26"/>
      <c r="B4636" s="9"/>
      <c r="C4636" s="9"/>
      <c r="D4636" s="9"/>
      <c r="E4636" s="9"/>
      <c r="F4636" s="9"/>
      <c r="H4636" s="27"/>
    </row>
    <row r="4637">
      <c r="A4637" s="26"/>
      <c r="B4637" s="9"/>
      <c r="C4637" s="9"/>
      <c r="D4637" s="9"/>
      <c r="E4637" s="9"/>
      <c r="F4637" s="9"/>
      <c r="H4637" s="27"/>
    </row>
    <row r="4638">
      <c r="A4638" s="26"/>
      <c r="B4638" s="9"/>
      <c r="C4638" s="9"/>
      <c r="D4638" s="9"/>
      <c r="E4638" s="9"/>
      <c r="F4638" s="9"/>
      <c r="H4638" s="27"/>
    </row>
    <row r="4639">
      <c r="A4639" s="26"/>
      <c r="B4639" s="9"/>
      <c r="C4639" s="9"/>
      <c r="D4639" s="9"/>
      <c r="E4639" s="9"/>
      <c r="F4639" s="9"/>
      <c r="H4639" s="27"/>
    </row>
    <row r="4640">
      <c r="A4640" s="26"/>
      <c r="B4640" s="9"/>
      <c r="C4640" s="9"/>
      <c r="D4640" s="9"/>
      <c r="E4640" s="9"/>
      <c r="F4640" s="9"/>
      <c r="H4640" s="27"/>
    </row>
    <row r="4641">
      <c r="A4641" s="26"/>
      <c r="B4641" s="9"/>
      <c r="C4641" s="9"/>
      <c r="D4641" s="9"/>
      <c r="E4641" s="9"/>
      <c r="F4641" s="9"/>
      <c r="H4641" s="27"/>
    </row>
    <row r="4642">
      <c r="A4642" s="26"/>
      <c r="B4642" s="9"/>
      <c r="C4642" s="9"/>
      <c r="D4642" s="9"/>
      <c r="E4642" s="9"/>
      <c r="F4642" s="9"/>
      <c r="H4642" s="27"/>
    </row>
    <row r="4643">
      <c r="A4643" s="26"/>
      <c r="B4643" s="9"/>
      <c r="C4643" s="9"/>
      <c r="D4643" s="9"/>
      <c r="E4643" s="9"/>
      <c r="F4643" s="9"/>
      <c r="H4643" s="27"/>
    </row>
    <row r="4644">
      <c r="A4644" s="26"/>
      <c r="B4644" s="9"/>
      <c r="C4644" s="9"/>
      <c r="D4644" s="9"/>
      <c r="E4644" s="9"/>
      <c r="F4644" s="9"/>
      <c r="H4644" s="27"/>
    </row>
    <row r="4645">
      <c r="A4645" s="26"/>
      <c r="B4645" s="9"/>
      <c r="C4645" s="9"/>
      <c r="D4645" s="9"/>
      <c r="E4645" s="9"/>
      <c r="F4645" s="9"/>
      <c r="H4645" s="27"/>
    </row>
    <row r="4646">
      <c r="A4646" s="26"/>
      <c r="B4646" s="9"/>
      <c r="C4646" s="9"/>
      <c r="D4646" s="9"/>
      <c r="E4646" s="9"/>
      <c r="F4646" s="9"/>
      <c r="H4646" s="27"/>
    </row>
    <row r="4647">
      <c r="A4647" s="26"/>
      <c r="B4647" s="9"/>
      <c r="C4647" s="9"/>
      <c r="D4647" s="9"/>
      <c r="E4647" s="9"/>
      <c r="F4647" s="9"/>
      <c r="H4647" s="27"/>
    </row>
    <row r="4648">
      <c r="A4648" s="26"/>
      <c r="B4648" s="9"/>
      <c r="C4648" s="9"/>
      <c r="D4648" s="9"/>
      <c r="E4648" s="9"/>
      <c r="F4648" s="9"/>
      <c r="H4648" s="27"/>
    </row>
    <row r="4649">
      <c r="A4649" s="26"/>
      <c r="B4649" s="9"/>
      <c r="C4649" s="9"/>
      <c r="D4649" s="9"/>
      <c r="E4649" s="9"/>
      <c r="F4649" s="9"/>
      <c r="H4649" s="27"/>
    </row>
    <row r="4650">
      <c r="A4650" s="26"/>
      <c r="B4650" s="9"/>
      <c r="C4650" s="9"/>
      <c r="D4650" s="9"/>
      <c r="E4650" s="9"/>
      <c r="F4650" s="9"/>
      <c r="H4650" s="27"/>
    </row>
    <row r="4651">
      <c r="A4651" s="26"/>
      <c r="B4651" s="9"/>
      <c r="C4651" s="9"/>
      <c r="D4651" s="9"/>
      <c r="E4651" s="9"/>
      <c r="F4651" s="9"/>
      <c r="H4651" s="27"/>
    </row>
    <row r="4652">
      <c r="A4652" s="26"/>
      <c r="B4652" s="9"/>
      <c r="C4652" s="9"/>
      <c r="D4652" s="9"/>
      <c r="E4652" s="9"/>
      <c r="F4652" s="9"/>
      <c r="H4652" s="27"/>
    </row>
    <row r="4653">
      <c r="A4653" s="26"/>
      <c r="B4653" s="9"/>
      <c r="C4653" s="9"/>
      <c r="D4653" s="9"/>
      <c r="E4653" s="9"/>
      <c r="F4653" s="9"/>
      <c r="H4653" s="27"/>
    </row>
    <row r="4654">
      <c r="A4654" s="26"/>
      <c r="B4654" s="9"/>
      <c r="C4654" s="9"/>
      <c r="D4654" s="9"/>
      <c r="E4654" s="9"/>
      <c r="F4654" s="9"/>
      <c r="H4654" s="27"/>
    </row>
    <row r="4655">
      <c r="A4655" s="26"/>
      <c r="B4655" s="9"/>
      <c r="C4655" s="9"/>
      <c r="D4655" s="9"/>
      <c r="E4655" s="9"/>
      <c r="F4655" s="9"/>
      <c r="H4655" s="27"/>
    </row>
    <row r="4656">
      <c r="A4656" s="26"/>
      <c r="B4656" s="9"/>
      <c r="C4656" s="9"/>
      <c r="D4656" s="9"/>
      <c r="E4656" s="9"/>
      <c r="F4656" s="9"/>
      <c r="H4656" s="27"/>
    </row>
    <row r="4657">
      <c r="A4657" s="26"/>
      <c r="B4657" s="9"/>
      <c r="C4657" s="9"/>
      <c r="D4657" s="9"/>
      <c r="E4657" s="9"/>
      <c r="F4657" s="9"/>
      <c r="H4657" s="27"/>
    </row>
    <row r="4658">
      <c r="A4658" s="26"/>
      <c r="B4658" s="9"/>
      <c r="C4658" s="9"/>
      <c r="D4658" s="9"/>
      <c r="E4658" s="9"/>
      <c r="F4658" s="9"/>
      <c r="H4658" s="27"/>
    </row>
    <row r="4659">
      <c r="A4659" s="26"/>
      <c r="B4659" s="9"/>
      <c r="C4659" s="9"/>
      <c r="D4659" s="9"/>
      <c r="E4659" s="9"/>
      <c r="F4659" s="9"/>
      <c r="H4659" s="27"/>
    </row>
    <row r="4660">
      <c r="A4660" s="26"/>
      <c r="B4660" s="9"/>
      <c r="C4660" s="9"/>
      <c r="D4660" s="9"/>
      <c r="E4660" s="9"/>
      <c r="F4660" s="9"/>
      <c r="H4660" s="27"/>
    </row>
    <row r="4661">
      <c r="A4661" s="26"/>
      <c r="B4661" s="9"/>
      <c r="C4661" s="9"/>
      <c r="D4661" s="9"/>
      <c r="E4661" s="9"/>
      <c r="F4661" s="9"/>
      <c r="H4661" s="27"/>
    </row>
    <row r="4662">
      <c r="A4662" s="26"/>
      <c r="B4662" s="9"/>
      <c r="C4662" s="9"/>
      <c r="D4662" s="9"/>
      <c r="E4662" s="9"/>
      <c r="F4662" s="9"/>
      <c r="H4662" s="27"/>
    </row>
    <row r="4663">
      <c r="A4663" s="26"/>
      <c r="B4663" s="9"/>
      <c r="C4663" s="9"/>
      <c r="D4663" s="9"/>
      <c r="E4663" s="9"/>
      <c r="F4663" s="9"/>
      <c r="H4663" s="27"/>
    </row>
    <row r="4664">
      <c r="A4664" s="26"/>
      <c r="B4664" s="9"/>
      <c r="C4664" s="9"/>
      <c r="D4664" s="9"/>
      <c r="E4664" s="9"/>
      <c r="F4664" s="9"/>
      <c r="H4664" s="27"/>
    </row>
    <row r="4665">
      <c r="A4665" s="26"/>
      <c r="B4665" s="9"/>
      <c r="C4665" s="9"/>
      <c r="D4665" s="9"/>
      <c r="E4665" s="9"/>
      <c r="F4665" s="9"/>
      <c r="H4665" s="27"/>
    </row>
    <row r="4666">
      <c r="A4666" s="26"/>
      <c r="B4666" s="9"/>
      <c r="C4666" s="9"/>
      <c r="D4666" s="9"/>
      <c r="E4666" s="9"/>
      <c r="F4666" s="9"/>
      <c r="H4666" s="27"/>
    </row>
    <row r="4667">
      <c r="A4667" s="26"/>
      <c r="B4667" s="9"/>
      <c r="C4667" s="9"/>
      <c r="D4667" s="9"/>
      <c r="E4667" s="9"/>
      <c r="F4667" s="9"/>
      <c r="H4667" s="27"/>
    </row>
    <row r="4668">
      <c r="A4668" s="26"/>
      <c r="B4668" s="9"/>
      <c r="C4668" s="9"/>
      <c r="D4668" s="9"/>
      <c r="E4668" s="9"/>
      <c r="F4668" s="9"/>
      <c r="H4668" s="27"/>
    </row>
    <row r="4669">
      <c r="A4669" s="26"/>
      <c r="B4669" s="9"/>
      <c r="C4669" s="9"/>
      <c r="D4669" s="9"/>
      <c r="E4669" s="9"/>
      <c r="F4669" s="9"/>
      <c r="H4669" s="27"/>
    </row>
    <row r="4670">
      <c r="A4670" s="26"/>
      <c r="B4670" s="9"/>
      <c r="C4670" s="9"/>
      <c r="D4670" s="9"/>
      <c r="E4670" s="9"/>
      <c r="F4670" s="9"/>
      <c r="H4670" s="27"/>
    </row>
    <row r="4671">
      <c r="A4671" s="26"/>
      <c r="B4671" s="9"/>
      <c r="C4671" s="9"/>
      <c r="D4671" s="9"/>
      <c r="E4671" s="9"/>
      <c r="F4671" s="9"/>
      <c r="H4671" s="27"/>
    </row>
    <row r="4672">
      <c r="A4672" s="26"/>
      <c r="B4672" s="9"/>
      <c r="C4672" s="9"/>
      <c r="D4672" s="9"/>
      <c r="E4672" s="9"/>
      <c r="F4672" s="9"/>
      <c r="H4672" s="27"/>
    </row>
    <row r="4673">
      <c r="A4673" s="26"/>
      <c r="B4673" s="9"/>
      <c r="C4673" s="9"/>
      <c r="D4673" s="9"/>
      <c r="E4673" s="9"/>
      <c r="F4673" s="9"/>
      <c r="H4673" s="27"/>
    </row>
    <row r="4674">
      <c r="A4674" s="26"/>
      <c r="B4674" s="9"/>
      <c r="C4674" s="9"/>
      <c r="D4674" s="9"/>
      <c r="E4674" s="9"/>
      <c r="F4674" s="9"/>
      <c r="H4674" s="27"/>
    </row>
    <row r="4675">
      <c r="A4675" s="26"/>
      <c r="B4675" s="9"/>
      <c r="C4675" s="9"/>
      <c r="D4675" s="9"/>
      <c r="E4675" s="9"/>
      <c r="F4675" s="9"/>
      <c r="H4675" s="27"/>
    </row>
    <row r="4676">
      <c r="A4676" s="26"/>
      <c r="B4676" s="9"/>
      <c r="C4676" s="9"/>
      <c r="D4676" s="9"/>
      <c r="E4676" s="9"/>
      <c r="F4676" s="9"/>
      <c r="H4676" s="27"/>
    </row>
    <row r="4677">
      <c r="A4677" s="26"/>
      <c r="B4677" s="9"/>
      <c r="C4677" s="9"/>
      <c r="D4677" s="9"/>
      <c r="E4677" s="9"/>
      <c r="F4677" s="9"/>
      <c r="H4677" s="27"/>
    </row>
    <row r="4678">
      <c r="A4678" s="26"/>
      <c r="B4678" s="9"/>
      <c r="C4678" s="9"/>
      <c r="D4678" s="9"/>
      <c r="E4678" s="9"/>
      <c r="F4678" s="9"/>
      <c r="H4678" s="27"/>
    </row>
    <row r="4679">
      <c r="A4679" s="26"/>
      <c r="B4679" s="9"/>
      <c r="C4679" s="9"/>
      <c r="D4679" s="9"/>
      <c r="E4679" s="9"/>
      <c r="F4679" s="9"/>
      <c r="H4679" s="27"/>
    </row>
    <row r="4680">
      <c r="A4680" s="26"/>
      <c r="B4680" s="9"/>
      <c r="C4680" s="9"/>
      <c r="D4680" s="9"/>
      <c r="E4680" s="9"/>
      <c r="F4680" s="9"/>
      <c r="H4680" s="27"/>
    </row>
    <row r="4681">
      <c r="A4681" s="26"/>
      <c r="B4681" s="9"/>
      <c r="C4681" s="9"/>
      <c r="D4681" s="9"/>
      <c r="E4681" s="9"/>
      <c r="F4681" s="9"/>
      <c r="H4681" s="27"/>
    </row>
    <row r="4682">
      <c r="A4682" s="26"/>
      <c r="B4682" s="9"/>
      <c r="C4682" s="9"/>
      <c r="D4682" s="9"/>
      <c r="E4682" s="9"/>
      <c r="F4682" s="9"/>
      <c r="H4682" s="27"/>
    </row>
    <row r="4683">
      <c r="A4683" s="26"/>
      <c r="B4683" s="9"/>
      <c r="C4683" s="9"/>
      <c r="D4683" s="9"/>
      <c r="E4683" s="9"/>
      <c r="F4683" s="9"/>
      <c r="H4683" s="27"/>
    </row>
    <row r="4684">
      <c r="A4684" s="26"/>
      <c r="B4684" s="9"/>
      <c r="C4684" s="9"/>
      <c r="D4684" s="9"/>
      <c r="E4684" s="9"/>
      <c r="F4684" s="9"/>
      <c r="H4684" s="27"/>
    </row>
    <row r="4685">
      <c r="A4685" s="26"/>
      <c r="B4685" s="9"/>
      <c r="C4685" s="9"/>
      <c r="D4685" s="9"/>
      <c r="E4685" s="9"/>
      <c r="F4685" s="9"/>
      <c r="H4685" s="27"/>
    </row>
    <row r="4686">
      <c r="A4686" s="26"/>
      <c r="B4686" s="9"/>
      <c r="C4686" s="9"/>
      <c r="D4686" s="9"/>
      <c r="E4686" s="9"/>
      <c r="F4686" s="9"/>
      <c r="H4686" s="27"/>
    </row>
    <row r="4687">
      <c r="A4687" s="26"/>
      <c r="B4687" s="9"/>
      <c r="C4687" s="9"/>
      <c r="D4687" s="9"/>
      <c r="E4687" s="9"/>
      <c r="F4687" s="9"/>
      <c r="H4687" s="27"/>
    </row>
    <row r="4688">
      <c r="A4688" s="26"/>
      <c r="B4688" s="9"/>
      <c r="C4688" s="9"/>
      <c r="D4688" s="9"/>
      <c r="E4688" s="9"/>
      <c r="F4688" s="9"/>
      <c r="H4688" s="27"/>
    </row>
    <row r="4689">
      <c r="A4689" s="26"/>
      <c r="B4689" s="9"/>
      <c r="C4689" s="9"/>
      <c r="D4689" s="9"/>
      <c r="E4689" s="9"/>
      <c r="F4689" s="9"/>
      <c r="H4689" s="27"/>
    </row>
    <row r="4690">
      <c r="A4690" s="26"/>
      <c r="B4690" s="9"/>
      <c r="C4690" s="9"/>
      <c r="D4690" s="9"/>
      <c r="E4690" s="9"/>
      <c r="F4690" s="9"/>
      <c r="H4690" s="27"/>
    </row>
    <row r="4691">
      <c r="A4691" s="26"/>
      <c r="B4691" s="9"/>
      <c r="C4691" s="9"/>
      <c r="D4691" s="9"/>
      <c r="E4691" s="9"/>
      <c r="F4691" s="9"/>
      <c r="H4691" s="27"/>
    </row>
    <row r="4692">
      <c r="A4692" s="26"/>
      <c r="B4692" s="9"/>
      <c r="C4692" s="9"/>
      <c r="D4692" s="9"/>
      <c r="E4692" s="9"/>
      <c r="F4692" s="9"/>
      <c r="H4692" s="27"/>
    </row>
    <row r="4693">
      <c r="A4693" s="26"/>
      <c r="B4693" s="9"/>
      <c r="C4693" s="9"/>
      <c r="D4693" s="9"/>
      <c r="E4693" s="9"/>
      <c r="F4693" s="9"/>
      <c r="H4693" s="27"/>
    </row>
    <row r="4694">
      <c r="A4694" s="26"/>
      <c r="B4694" s="9"/>
      <c r="C4694" s="9"/>
      <c r="D4694" s="9"/>
      <c r="E4694" s="9"/>
      <c r="F4694" s="9"/>
      <c r="H4694" s="27"/>
    </row>
    <row r="4695">
      <c r="A4695" s="26"/>
      <c r="B4695" s="9"/>
      <c r="C4695" s="9"/>
      <c r="D4695" s="9"/>
      <c r="E4695" s="9"/>
      <c r="F4695" s="9"/>
      <c r="H4695" s="27"/>
    </row>
    <row r="4696">
      <c r="A4696" s="26"/>
      <c r="B4696" s="9"/>
      <c r="C4696" s="9"/>
      <c r="D4696" s="9"/>
      <c r="E4696" s="9"/>
      <c r="F4696" s="9"/>
      <c r="H4696" s="27"/>
    </row>
    <row r="4697">
      <c r="A4697" s="26"/>
      <c r="B4697" s="9"/>
      <c r="C4697" s="9"/>
      <c r="D4697" s="9"/>
      <c r="E4697" s="9"/>
      <c r="F4697" s="9"/>
      <c r="H4697" s="27"/>
    </row>
    <row r="4698">
      <c r="A4698" s="26"/>
      <c r="B4698" s="9"/>
      <c r="C4698" s="9"/>
      <c r="D4698" s="9"/>
      <c r="E4698" s="9"/>
      <c r="F4698" s="9"/>
      <c r="H4698" s="27"/>
    </row>
    <row r="4699">
      <c r="A4699" s="26"/>
      <c r="B4699" s="9"/>
      <c r="C4699" s="9"/>
      <c r="D4699" s="9"/>
      <c r="E4699" s="9"/>
      <c r="F4699" s="9"/>
      <c r="H4699" s="27"/>
    </row>
    <row r="4700">
      <c r="A4700" s="26"/>
      <c r="B4700" s="9"/>
      <c r="C4700" s="9"/>
      <c r="D4700" s="9"/>
      <c r="E4700" s="9"/>
      <c r="F4700" s="9"/>
      <c r="H4700" s="27"/>
    </row>
    <row r="4701">
      <c r="A4701" s="26"/>
      <c r="B4701" s="9"/>
      <c r="C4701" s="9"/>
      <c r="D4701" s="9"/>
      <c r="E4701" s="9"/>
      <c r="F4701" s="9"/>
      <c r="H4701" s="27"/>
    </row>
    <row r="4702">
      <c r="A4702" s="26"/>
      <c r="B4702" s="9"/>
      <c r="C4702" s="9"/>
      <c r="D4702" s="9"/>
      <c r="E4702" s="9"/>
      <c r="F4702" s="9"/>
      <c r="H4702" s="27"/>
    </row>
    <row r="4703">
      <c r="A4703" s="26"/>
      <c r="B4703" s="9"/>
      <c r="C4703" s="9"/>
      <c r="D4703" s="9"/>
      <c r="E4703" s="9"/>
      <c r="F4703" s="9"/>
      <c r="H4703" s="27"/>
    </row>
    <row r="4704">
      <c r="A4704" s="26"/>
      <c r="B4704" s="9"/>
      <c r="C4704" s="9"/>
      <c r="D4704" s="9"/>
      <c r="E4704" s="9"/>
      <c r="F4704" s="9"/>
      <c r="H4704" s="27"/>
    </row>
    <row r="4705">
      <c r="A4705" s="26"/>
      <c r="B4705" s="9"/>
      <c r="C4705" s="9"/>
      <c r="D4705" s="9"/>
      <c r="E4705" s="9"/>
      <c r="F4705" s="9"/>
      <c r="H4705" s="27"/>
    </row>
    <row r="4706">
      <c r="A4706" s="26"/>
      <c r="B4706" s="9"/>
      <c r="C4706" s="9"/>
      <c r="D4706" s="9"/>
      <c r="E4706" s="9"/>
      <c r="F4706" s="9"/>
      <c r="H4706" s="27"/>
    </row>
    <row r="4707">
      <c r="A4707" s="26"/>
      <c r="B4707" s="9"/>
      <c r="C4707" s="9"/>
      <c r="D4707" s="9"/>
      <c r="E4707" s="9"/>
      <c r="F4707" s="9"/>
      <c r="H4707" s="27"/>
    </row>
    <row r="4708">
      <c r="A4708" s="26"/>
      <c r="B4708" s="9"/>
      <c r="C4708" s="9"/>
      <c r="D4708" s="9"/>
      <c r="E4708" s="9"/>
      <c r="F4708" s="9"/>
      <c r="H4708" s="27"/>
    </row>
    <row r="4709">
      <c r="A4709" s="26"/>
      <c r="B4709" s="9"/>
      <c r="C4709" s="9"/>
      <c r="D4709" s="9"/>
      <c r="E4709" s="9"/>
      <c r="F4709" s="9"/>
      <c r="H4709" s="27"/>
    </row>
    <row r="4710">
      <c r="A4710" s="26"/>
      <c r="B4710" s="9"/>
      <c r="C4710" s="9"/>
      <c r="D4710" s="9"/>
      <c r="E4710" s="9"/>
      <c r="F4710" s="9"/>
      <c r="H4710" s="27"/>
    </row>
    <row r="4711">
      <c r="A4711" s="26"/>
      <c r="B4711" s="9"/>
      <c r="C4711" s="9"/>
      <c r="D4711" s="9"/>
      <c r="E4711" s="9"/>
      <c r="F4711" s="9"/>
      <c r="H4711" s="27"/>
    </row>
    <row r="4712">
      <c r="A4712" s="26"/>
      <c r="B4712" s="9"/>
      <c r="C4712" s="9"/>
      <c r="D4712" s="9"/>
      <c r="E4712" s="9"/>
      <c r="F4712" s="9"/>
      <c r="H4712" s="27"/>
    </row>
    <row r="4713">
      <c r="A4713" s="26"/>
      <c r="B4713" s="9"/>
      <c r="C4713" s="9"/>
      <c r="D4713" s="9"/>
      <c r="E4713" s="9"/>
      <c r="F4713" s="9"/>
      <c r="H4713" s="27"/>
    </row>
    <row r="4714">
      <c r="A4714" s="26"/>
      <c r="B4714" s="9"/>
      <c r="C4714" s="9"/>
      <c r="D4714" s="9"/>
      <c r="E4714" s="9"/>
      <c r="F4714" s="9"/>
      <c r="H4714" s="27"/>
    </row>
    <row r="4715">
      <c r="A4715" s="26"/>
      <c r="B4715" s="9"/>
      <c r="C4715" s="9"/>
      <c r="D4715" s="9"/>
      <c r="E4715" s="9"/>
      <c r="F4715" s="9"/>
      <c r="H4715" s="27"/>
    </row>
    <row r="4716">
      <c r="A4716" s="26"/>
      <c r="B4716" s="9"/>
      <c r="C4716" s="9"/>
      <c r="D4716" s="9"/>
      <c r="E4716" s="9"/>
      <c r="F4716" s="9"/>
      <c r="H4716" s="27"/>
    </row>
    <row r="4717">
      <c r="A4717" s="26"/>
      <c r="B4717" s="9"/>
      <c r="C4717" s="9"/>
      <c r="D4717" s="9"/>
      <c r="E4717" s="9"/>
      <c r="F4717" s="9"/>
      <c r="H4717" s="27"/>
    </row>
    <row r="4718">
      <c r="A4718" s="26"/>
      <c r="B4718" s="9"/>
      <c r="C4718" s="9"/>
      <c r="D4718" s="9"/>
      <c r="E4718" s="9"/>
      <c r="F4718" s="9"/>
      <c r="H4718" s="27"/>
    </row>
    <row r="4719">
      <c r="A4719" s="26"/>
      <c r="B4719" s="9"/>
      <c r="C4719" s="9"/>
      <c r="D4719" s="9"/>
      <c r="E4719" s="9"/>
      <c r="F4719" s="9"/>
      <c r="H4719" s="27"/>
    </row>
    <row r="4720">
      <c r="A4720" s="26"/>
      <c r="B4720" s="9"/>
      <c r="C4720" s="9"/>
      <c r="D4720" s="9"/>
      <c r="E4720" s="9"/>
      <c r="F4720" s="9"/>
      <c r="H4720" s="27"/>
    </row>
    <row r="4721">
      <c r="A4721" s="26"/>
      <c r="B4721" s="9"/>
      <c r="C4721" s="9"/>
      <c r="D4721" s="9"/>
      <c r="E4721" s="9"/>
      <c r="F4721" s="9"/>
      <c r="H4721" s="27"/>
    </row>
    <row r="4722">
      <c r="A4722" s="26"/>
      <c r="B4722" s="9"/>
      <c r="C4722" s="9"/>
      <c r="D4722" s="9"/>
      <c r="E4722" s="9"/>
      <c r="F4722" s="9"/>
      <c r="H4722" s="27"/>
    </row>
    <row r="4723">
      <c r="A4723" s="26"/>
      <c r="B4723" s="9"/>
      <c r="C4723" s="9"/>
      <c r="D4723" s="9"/>
      <c r="E4723" s="9"/>
      <c r="F4723" s="9"/>
      <c r="H4723" s="27"/>
    </row>
    <row r="4724">
      <c r="A4724" s="26"/>
      <c r="B4724" s="9"/>
      <c r="C4724" s="9"/>
      <c r="D4724" s="9"/>
      <c r="E4724" s="9"/>
      <c r="F4724" s="9"/>
      <c r="H4724" s="27"/>
    </row>
    <row r="4725">
      <c r="A4725" s="26"/>
      <c r="B4725" s="9"/>
      <c r="C4725" s="9"/>
      <c r="D4725" s="9"/>
      <c r="E4725" s="9"/>
      <c r="F4725" s="9"/>
      <c r="H4725" s="27"/>
    </row>
    <row r="4726">
      <c r="A4726" s="26"/>
      <c r="B4726" s="9"/>
      <c r="C4726" s="9"/>
      <c r="D4726" s="9"/>
      <c r="E4726" s="9"/>
      <c r="F4726" s="9"/>
      <c r="H4726" s="27"/>
    </row>
    <row r="4727">
      <c r="A4727" s="26"/>
      <c r="B4727" s="9"/>
      <c r="C4727" s="9"/>
      <c r="D4727" s="9"/>
      <c r="E4727" s="9"/>
      <c r="F4727" s="9"/>
      <c r="H4727" s="27"/>
    </row>
    <row r="4728">
      <c r="A4728" s="26"/>
      <c r="B4728" s="9"/>
      <c r="C4728" s="9"/>
      <c r="D4728" s="9"/>
      <c r="E4728" s="9"/>
      <c r="F4728" s="9"/>
      <c r="H4728" s="27"/>
    </row>
    <row r="4729">
      <c r="A4729" s="26"/>
      <c r="B4729" s="9"/>
      <c r="C4729" s="9"/>
      <c r="D4729" s="9"/>
      <c r="E4729" s="9"/>
      <c r="F4729" s="9"/>
      <c r="H4729" s="27"/>
    </row>
    <row r="4730">
      <c r="A4730" s="26"/>
      <c r="B4730" s="9"/>
      <c r="C4730" s="9"/>
      <c r="D4730" s="9"/>
      <c r="E4730" s="9"/>
      <c r="F4730" s="9"/>
      <c r="H4730" s="27"/>
    </row>
    <row r="4731">
      <c r="A4731" s="26"/>
      <c r="B4731" s="9"/>
      <c r="C4731" s="9"/>
      <c r="D4731" s="9"/>
      <c r="E4731" s="9"/>
      <c r="F4731" s="9"/>
      <c r="H4731" s="27"/>
    </row>
    <row r="4732">
      <c r="A4732" s="26"/>
      <c r="B4732" s="9"/>
      <c r="C4732" s="9"/>
      <c r="D4732" s="9"/>
      <c r="E4732" s="9"/>
      <c r="F4732" s="9"/>
      <c r="H4732" s="27"/>
    </row>
    <row r="4733">
      <c r="A4733" s="26"/>
      <c r="B4733" s="9"/>
      <c r="C4733" s="9"/>
      <c r="D4733" s="9"/>
      <c r="E4733" s="9"/>
      <c r="F4733" s="9"/>
      <c r="H4733" s="27"/>
    </row>
    <row r="4734">
      <c r="A4734" s="26"/>
      <c r="B4734" s="9"/>
      <c r="C4734" s="9"/>
      <c r="D4734" s="9"/>
      <c r="E4734" s="9"/>
      <c r="F4734" s="9"/>
      <c r="H4734" s="27"/>
    </row>
    <row r="4735">
      <c r="A4735" s="26"/>
      <c r="B4735" s="9"/>
      <c r="C4735" s="9"/>
      <c r="D4735" s="9"/>
      <c r="E4735" s="9"/>
      <c r="F4735" s="9"/>
      <c r="H4735" s="27"/>
    </row>
    <row r="4736">
      <c r="A4736" s="26"/>
      <c r="B4736" s="9"/>
      <c r="C4736" s="9"/>
      <c r="D4736" s="9"/>
      <c r="E4736" s="9"/>
      <c r="F4736" s="9"/>
      <c r="H4736" s="27"/>
    </row>
    <row r="4737">
      <c r="A4737" s="26"/>
      <c r="B4737" s="9"/>
      <c r="C4737" s="9"/>
      <c r="D4737" s="9"/>
      <c r="E4737" s="9"/>
      <c r="F4737" s="9"/>
      <c r="H4737" s="27"/>
    </row>
    <row r="4738">
      <c r="A4738" s="26"/>
      <c r="B4738" s="9"/>
      <c r="C4738" s="9"/>
      <c r="D4738" s="9"/>
      <c r="E4738" s="9"/>
      <c r="F4738" s="9"/>
      <c r="H4738" s="27"/>
    </row>
    <row r="4739">
      <c r="A4739" s="26"/>
      <c r="B4739" s="9"/>
      <c r="C4739" s="9"/>
      <c r="D4739" s="9"/>
      <c r="E4739" s="9"/>
      <c r="F4739" s="9"/>
      <c r="H4739" s="27"/>
    </row>
    <row r="4740">
      <c r="A4740" s="26"/>
      <c r="B4740" s="9"/>
      <c r="C4740" s="9"/>
      <c r="D4740" s="9"/>
      <c r="E4740" s="9"/>
      <c r="F4740" s="9"/>
      <c r="H4740" s="27"/>
    </row>
    <row r="4741">
      <c r="A4741" s="26"/>
      <c r="B4741" s="9"/>
      <c r="C4741" s="9"/>
      <c r="D4741" s="9"/>
      <c r="E4741" s="9"/>
      <c r="F4741" s="9"/>
      <c r="H4741" s="27"/>
    </row>
    <row r="4742">
      <c r="A4742" s="26"/>
      <c r="B4742" s="9"/>
      <c r="C4742" s="9"/>
      <c r="D4742" s="9"/>
      <c r="E4742" s="9"/>
      <c r="F4742" s="9"/>
      <c r="H4742" s="27"/>
    </row>
    <row r="4743">
      <c r="A4743" s="26"/>
      <c r="B4743" s="9"/>
      <c r="C4743" s="9"/>
      <c r="D4743" s="9"/>
      <c r="E4743" s="9"/>
      <c r="F4743" s="9"/>
      <c r="H4743" s="27"/>
    </row>
    <row r="4744">
      <c r="A4744" s="26"/>
      <c r="B4744" s="9"/>
      <c r="C4744" s="9"/>
      <c r="D4744" s="9"/>
      <c r="E4744" s="9"/>
      <c r="F4744" s="9"/>
      <c r="H4744" s="27"/>
    </row>
    <row r="4745">
      <c r="A4745" s="26"/>
      <c r="B4745" s="9"/>
      <c r="C4745" s="9"/>
      <c r="D4745" s="9"/>
      <c r="E4745" s="9"/>
      <c r="F4745" s="9"/>
      <c r="H4745" s="27"/>
    </row>
    <row r="4746">
      <c r="A4746" s="26"/>
      <c r="B4746" s="9"/>
      <c r="C4746" s="9"/>
      <c r="D4746" s="9"/>
      <c r="E4746" s="9"/>
      <c r="F4746" s="9"/>
      <c r="H4746" s="27"/>
    </row>
    <row r="4747">
      <c r="A4747" s="26"/>
      <c r="B4747" s="9"/>
      <c r="C4747" s="9"/>
      <c r="D4747" s="9"/>
      <c r="E4747" s="9"/>
      <c r="F4747" s="9"/>
      <c r="H4747" s="27"/>
    </row>
    <row r="4748">
      <c r="A4748" s="26"/>
      <c r="B4748" s="9"/>
      <c r="C4748" s="9"/>
      <c r="D4748" s="9"/>
      <c r="E4748" s="9"/>
      <c r="F4748" s="9"/>
      <c r="H4748" s="27"/>
    </row>
    <row r="4749">
      <c r="A4749" s="26"/>
      <c r="B4749" s="9"/>
      <c r="C4749" s="9"/>
      <c r="D4749" s="9"/>
      <c r="E4749" s="9"/>
      <c r="F4749" s="9"/>
      <c r="H4749" s="27"/>
    </row>
    <row r="4750">
      <c r="A4750" s="26"/>
      <c r="B4750" s="9"/>
      <c r="C4750" s="9"/>
      <c r="D4750" s="9"/>
      <c r="E4750" s="9"/>
      <c r="F4750" s="9"/>
      <c r="H4750" s="27"/>
    </row>
    <row r="4751">
      <c r="A4751" s="26"/>
      <c r="B4751" s="9"/>
      <c r="C4751" s="9"/>
      <c r="D4751" s="9"/>
      <c r="E4751" s="9"/>
      <c r="F4751" s="9"/>
      <c r="H4751" s="27"/>
    </row>
    <row r="4752">
      <c r="A4752" s="26"/>
      <c r="B4752" s="9"/>
      <c r="C4752" s="9"/>
      <c r="D4752" s="9"/>
      <c r="E4752" s="9"/>
      <c r="F4752" s="9"/>
      <c r="H4752" s="27"/>
    </row>
    <row r="4753">
      <c r="A4753" s="26"/>
      <c r="B4753" s="9"/>
      <c r="C4753" s="9"/>
      <c r="D4753" s="9"/>
      <c r="E4753" s="9"/>
      <c r="F4753" s="9"/>
      <c r="H4753" s="27"/>
    </row>
    <row r="4754">
      <c r="A4754" s="26"/>
      <c r="B4754" s="9"/>
      <c r="C4754" s="9"/>
      <c r="D4754" s="9"/>
      <c r="E4754" s="9"/>
      <c r="F4754" s="9"/>
      <c r="H4754" s="27"/>
    </row>
    <row r="4755">
      <c r="A4755" s="26"/>
      <c r="B4755" s="9"/>
      <c r="C4755" s="9"/>
      <c r="D4755" s="9"/>
      <c r="E4755" s="9"/>
      <c r="F4755" s="9"/>
      <c r="H4755" s="27"/>
    </row>
    <row r="4756">
      <c r="A4756" s="26"/>
      <c r="B4756" s="9"/>
      <c r="C4756" s="9"/>
      <c r="D4756" s="9"/>
      <c r="E4756" s="9"/>
      <c r="F4756" s="9"/>
      <c r="H4756" s="27"/>
    </row>
    <row r="4757">
      <c r="A4757" s="26"/>
      <c r="B4757" s="9"/>
      <c r="C4757" s="9"/>
      <c r="D4757" s="9"/>
      <c r="E4757" s="9"/>
      <c r="F4757" s="9"/>
      <c r="H4757" s="27"/>
    </row>
    <row r="4758">
      <c r="A4758" s="26"/>
      <c r="B4758" s="9"/>
      <c r="C4758" s="9"/>
      <c r="D4758" s="9"/>
      <c r="E4758" s="9"/>
      <c r="F4758" s="9"/>
      <c r="H4758" s="27"/>
    </row>
    <row r="4759">
      <c r="A4759" s="26"/>
      <c r="B4759" s="9"/>
      <c r="C4759" s="9"/>
      <c r="D4759" s="9"/>
      <c r="E4759" s="9"/>
      <c r="F4759" s="9"/>
      <c r="H4759" s="27"/>
    </row>
    <row r="4760">
      <c r="A4760" s="26"/>
      <c r="B4760" s="9"/>
      <c r="C4760" s="9"/>
      <c r="D4760" s="9"/>
      <c r="E4760" s="9"/>
      <c r="F4760" s="9"/>
      <c r="H4760" s="27"/>
    </row>
    <row r="4761">
      <c r="A4761" s="26"/>
      <c r="B4761" s="9"/>
      <c r="C4761" s="9"/>
      <c r="D4761" s="9"/>
      <c r="E4761" s="9"/>
      <c r="F4761" s="9"/>
      <c r="H4761" s="27"/>
    </row>
    <row r="4762">
      <c r="A4762" s="26"/>
      <c r="B4762" s="9"/>
      <c r="C4762" s="9"/>
      <c r="D4762" s="9"/>
      <c r="E4762" s="9"/>
      <c r="F4762" s="9"/>
      <c r="H4762" s="27"/>
    </row>
    <row r="4763">
      <c r="A4763" s="26"/>
      <c r="B4763" s="9"/>
      <c r="C4763" s="9"/>
      <c r="D4763" s="9"/>
      <c r="E4763" s="9"/>
      <c r="F4763" s="9"/>
      <c r="H4763" s="27"/>
    </row>
    <row r="4764">
      <c r="A4764" s="26"/>
      <c r="B4764" s="9"/>
      <c r="C4764" s="9"/>
      <c r="D4764" s="9"/>
      <c r="E4764" s="9"/>
      <c r="F4764" s="9"/>
      <c r="H4764" s="27"/>
    </row>
    <row r="4765">
      <c r="A4765" s="26"/>
      <c r="B4765" s="9"/>
      <c r="C4765" s="9"/>
      <c r="D4765" s="9"/>
      <c r="E4765" s="9"/>
      <c r="F4765" s="9"/>
      <c r="H4765" s="27"/>
    </row>
    <row r="4766">
      <c r="A4766" s="26"/>
      <c r="B4766" s="9"/>
      <c r="C4766" s="9"/>
      <c r="D4766" s="9"/>
      <c r="E4766" s="9"/>
      <c r="F4766" s="9"/>
      <c r="H4766" s="27"/>
    </row>
    <row r="4767">
      <c r="A4767" s="26"/>
      <c r="B4767" s="9"/>
      <c r="C4767" s="9"/>
      <c r="D4767" s="9"/>
      <c r="E4767" s="9"/>
      <c r="F4767" s="9"/>
      <c r="H4767" s="27"/>
    </row>
    <row r="4768">
      <c r="A4768" s="26"/>
      <c r="B4768" s="9"/>
      <c r="C4768" s="9"/>
      <c r="D4768" s="9"/>
      <c r="E4768" s="9"/>
      <c r="F4768" s="9"/>
      <c r="H4768" s="27"/>
    </row>
    <row r="4769">
      <c r="A4769" s="26"/>
      <c r="B4769" s="9"/>
      <c r="C4769" s="9"/>
      <c r="D4769" s="9"/>
      <c r="E4769" s="9"/>
      <c r="F4769" s="9"/>
      <c r="H4769" s="27"/>
    </row>
    <row r="4770">
      <c r="A4770" s="26"/>
      <c r="B4770" s="9"/>
      <c r="C4770" s="9"/>
      <c r="D4770" s="9"/>
      <c r="E4770" s="9"/>
      <c r="F4770" s="9"/>
      <c r="H4770" s="27"/>
    </row>
    <row r="4771">
      <c r="A4771" s="26"/>
      <c r="B4771" s="9"/>
      <c r="C4771" s="9"/>
      <c r="D4771" s="9"/>
      <c r="E4771" s="9"/>
      <c r="F4771" s="9"/>
      <c r="H4771" s="27"/>
    </row>
    <row r="4772">
      <c r="A4772" s="26"/>
      <c r="B4772" s="9"/>
      <c r="C4772" s="9"/>
      <c r="D4772" s="9"/>
      <c r="E4772" s="9"/>
      <c r="F4772" s="9"/>
      <c r="H4772" s="27"/>
    </row>
    <row r="4773">
      <c r="A4773" s="26"/>
      <c r="B4773" s="9"/>
      <c r="C4773" s="9"/>
      <c r="D4773" s="9"/>
      <c r="E4773" s="9"/>
      <c r="F4773" s="9"/>
      <c r="H4773" s="27"/>
    </row>
    <row r="4774">
      <c r="A4774" s="26"/>
      <c r="B4774" s="9"/>
      <c r="C4774" s="9"/>
      <c r="D4774" s="9"/>
      <c r="E4774" s="9"/>
      <c r="F4774" s="9"/>
      <c r="H4774" s="27"/>
    </row>
    <row r="4775">
      <c r="A4775" s="26"/>
      <c r="B4775" s="9"/>
      <c r="C4775" s="9"/>
      <c r="D4775" s="9"/>
      <c r="E4775" s="9"/>
      <c r="F4775" s="9"/>
      <c r="H4775" s="27"/>
    </row>
    <row r="4776">
      <c r="A4776" s="26"/>
      <c r="B4776" s="9"/>
      <c r="C4776" s="9"/>
      <c r="D4776" s="9"/>
      <c r="E4776" s="9"/>
      <c r="F4776" s="9"/>
      <c r="H4776" s="27"/>
    </row>
    <row r="4777">
      <c r="A4777" s="26"/>
      <c r="B4777" s="9"/>
      <c r="C4777" s="9"/>
      <c r="D4777" s="9"/>
      <c r="E4777" s="9"/>
      <c r="F4777" s="9"/>
      <c r="H4777" s="27"/>
    </row>
    <row r="4778">
      <c r="A4778" s="26"/>
      <c r="B4778" s="9"/>
      <c r="C4778" s="9"/>
      <c r="D4778" s="9"/>
      <c r="E4778" s="9"/>
      <c r="F4778" s="9"/>
      <c r="H4778" s="27"/>
    </row>
    <row r="4779">
      <c r="A4779" s="26"/>
      <c r="B4779" s="9"/>
      <c r="C4779" s="9"/>
      <c r="D4779" s="9"/>
      <c r="E4779" s="9"/>
      <c r="F4779" s="9"/>
      <c r="H4779" s="27"/>
    </row>
    <row r="4780">
      <c r="A4780" s="26"/>
      <c r="B4780" s="9"/>
      <c r="C4780" s="9"/>
      <c r="D4780" s="9"/>
      <c r="E4780" s="9"/>
      <c r="F4780" s="9"/>
      <c r="H4780" s="27"/>
    </row>
    <row r="4781">
      <c r="A4781" s="26"/>
      <c r="B4781" s="9"/>
      <c r="C4781" s="9"/>
      <c r="D4781" s="9"/>
      <c r="E4781" s="9"/>
      <c r="F4781" s="9"/>
      <c r="H4781" s="27"/>
    </row>
    <row r="4782">
      <c r="A4782" s="26"/>
      <c r="B4782" s="9"/>
      <c r="C4782" s="9"/>
      <c r="D4782" s="9"/>
      <c r="E4782" s="9"/>
      <c r="F4782" s="9"/>
      <c r="H4782" s="27"/>
    </row>
    <row r="4783">
      <c r="A4783" s="26"/>
      <c r="B4783" s="9"/>
      <c r="C4783" s="9"/>
      <c r="D4783" s="9"/>
      <c r="E4783" s="9"/>
      <c r="F4783" s="9"/>
      <c r="H4783" s="27"/>
    </row>
    <row r="4784">
      <c r="A4784" s="26"/>
      <c r="B4784" s="9"/>
      <c r="C4784" s="9"/>
      <c r="D4784" s="9"/>
      <c r="E4784" s="9"/>
      <c r="F4784" s="9"/>
      <c r="H4784" s="27"/>
    </row>
    <row r="4785">
      <c r="A4785" s="26"/>
      <c r="B4785" s="9"/>
      <c r="C4785" s="9"/>
      <c r="D4785" s="9"/>
      <c r="E4785" s="9"/>
      <c r="F4785" s="9"/>
      <c r="H4785" s="27"/>
    </row>
    <row r="4786">
      <c r="A4786" s="26"/>
      <c r="B4786" s="9"/>
      <c r="C4786" s="9"/>
      <c r="D4786" s="9"/>
      <c r="E4786" s="9"/>
      <c r="F4786" s="9"/>
      <c r="H4786" s="27"/>
    </row>
    <row r="4787">
      <c r="A4787" s="26"/>
      <c r="B4787" s="9"/>
      <c r="C4787" s="9"/>
      <c r="D4787" s="9"/>
      <c r="E4787" s="9"/>
      <c r="F4787" s="9"/>
      <c r="H4787" s="27"/>
    </row>
    <row r="4788">
      <c r="A4788" s="26"/>
      <c r="B4788" s="9"/>
      <c r="C4788" s="9"/>
      <c r="D4788" s="9"/>
      <c r="E4788" s="9"/>
      <c r="F4788" s="9"/>
      <c r="H4788" s="27"/>
    </row>
    <row r="4789">
      <c r="A4789" s="26"/>
      <c r="B4789" s="9"/>
      <c r="C4789" s="9"/>
      <c r="D4789" s="9"/>
      <c r="E4789" s="9"/>
      <c r="F4789" s="9"/>
      <c r="H4789" s="27"/>
    </row>
    <row r="4790">
      <c r="A4790" s="26"/>
      <c r="B4790" s="9"/>
      <c r="C4790" s="9"/>
      <c r="D4790" s="9"/>
      <c r="E4790" s="9"/>
      <c r="F4790" s="9"/>
      <c r="H4790" s="27"/>
    </row>
    <row r="4791">
      <c r="A4791" s="26"/>
      <c r="B4791" s="9"/>
      <c r="C4791" s="9"/>
      <c r="D4791" s="9"/>
      <c r="E4791" s="9"/>
      <c r="F4791" s="9"/>
      <c r="H4791" s="27"/>
    </row>
    <row r="4792">
      <c r="A4792" s="26"/>
      <c r="B4792" s="9"/>
      <c r="C4792" s="9"/>
      <c r="D4792" s="9"/>
      <c r="E4792" s="9"/>
      <c r="F4792" s="9"/>
      <c r="H4792" s="27"/>
    </row>
    <row r="4793">
      <c r="A4793" s="26"/>
      <c r="B4793" s="9"/>
      <c r="C4793" s="9"/>
      <c r="D4793" s="9"/>
      <c r="E4793" s="9"/>
      <c r="F4793" s="9"/>
      <c r="H4793" s="27"/>
    </row>
    <row r="4794">
      <c r="A4794" s="26"/>
      <c r="B4794" s="9"/>
      <c r="C4794" s="9"/>
      <c r="D4794" s="9"/>
      <c r="E4794" s="9"/>
      <c r="F4794" s="9"/>
      <c r="H4794" s="27"/>
    </row>
    <row r="4795">
      <c r="A4795" s="26"/>
      <c r="B4795" s="9"/>
      <c r="C4795" s="9"/>
      <c r="D4795" s="9"/>
      <c r="E4795" s="9"/>
      <c r="F4795" s="9"/>
      <c r="H4795" s="27"/>
    </row>
    <row r="4796">
      <c r="A4796" s="26"/>
      <c r="B4796" s="9"/>
      <c r="C4796" s="9"/>
      <c r="D4796" s="9"/>
      <c r="E4796" s="9"/>
      <c r="F4796" s="9"/>
      <c r="H4796" s="27"/>
    </row>
    <row r="4797">
      <c r="A4797" s="26"/>
      <c r="B4797" s="9"/>
      <c r="C4797" s="9"/>
      <c r="D4797" s="9"/>
      <c r="E4797" s="9"/>
      <c r="F4797" s="9"/>
      <c r="H4797" s="27"/>
    </row>
    <row r="4798">
      <c r="A4798" s="26"/>
      <c r="B4798" s="9"/>
      <c r="C4798" s="9"/>
      <c r="D4798" s="9"/>
      <c r="E4798" s="9"/>
      <c r="F4798" s="9"/>
      <c r="H4798" s="27"/>
    </row>
    <row r="4799">
      <c r="A4799" s="26"/>
      <c r="B4799" s="9"/>
      <c r="C4799" s="9"/>
      <c r="D4799" s="9"/>
      <c r="E4799" s="9"/>
      <c r="F4799" s="9"/>
      <c r="H4799" s="27"/>
    </row>
    <row r="4800">
      <c r="A4800" s="26"/>
      <c r="B4800" s="9"/>
      <c r="C4800" s="9"/>
      <c r="D4800" s="9"/>
      <c r="E4800" s="9"/>
      <c r="F4800" s="9"/>
      <c r="H4800" s="27"/>
    </row>
    <row r="4801">
      <c r="A4801" s="26"/>
      <c r="B4801" s="9"/>
      <c r="C4801" s="9"/>
      <c r="D4801" s="9"/>
      <c r="E4801" s="9"/>
      <c r="F4801" s="9"/>
      <c r="H4801" s="27"/>
    </row>
    <row r="4802">
      <c r="A4802" s="26"/>
      <c r="B4802" s="9"/>
      <c r="C4802" s="9"/>
      <c r="D4802" s="9"/>
      <c r="E4802" s="9"/>
      <c r="F4802" s="9"/>
      <c r="H4802" s="27"/>
    </row>
    <row r="4803">
      <c r="A4803" s="26"/>
      <c r="B4803" s="9"/>
      <c r="C4803" s="9"/>
      <c r="D4803" s="9"/>
      <c r="E4803" s="9"/>
      <c r="F4803" s="9"/>
      <c r="H4803" s="27"/>
    </row>
    <row r="4804">
      <c r="A4804" s="26"/>
      <c r="B4804" s="9"/>
      <c r="C4804" s="9"/>
      <c r="D4804" s="9"/>
      <c r="E4804" s="9"/>
      <c r="F4804" s="9"/>
      <c r="H4804" s="27"/>
    </row>
    <row r="4805">
      <c r="A4805" s="26"/>
      <c r="B4805" s="9"/>
      <c r="C4805" s="9"/>
      <c r="D4805" s="9"/>
      <c r="E4805" s="9"/>
      <c r="F4805" s="9"/>
      <c r="H4805" s="27"/>
    </row>
    <row r="4806">
      <c r="A4806" s="26"/>
      <c r="B4806" s="9"/>
      <c r="C4806" s="9"/>
      <c r="D4806" s="9"/>
      <c r="E4806" s="9"/>
      <c r="F4806" s="9"/>
      <c r="H4806" s="27"/>
    </row>
    <row r="4807">
      <c r="A4807" s="26"/>
      <c r="B4807" s="9"/>
      <c r="C4807" s="9"/>
      <c r="D4807" s="9"/>
      <c r="E4807" s="9"/>
      <c r="F4807" s="9"/>
      <c r="H4807" s="27"/>
    </row>
    <row r="4808">
      <c r="A4808" s="26"/>
      <c r="B4808" s="9"/>
      <c r="C4808" s="9"/>
      <c r="D4808" s="9"/>
      <c r="E4808" s="9"/>
      <c r="F4808" s="9"/>
      <c r="H4808" s="27"/>
    </row>
    <row r="4809">
      <c r="A4809" s="26"/>
      <c r="B4809" s="9"/>
      <c r="C4809" s="9"/>
      <c r="D4809" s="9"/>
      <c r="E4809" s="9"/>
      <c r="F4809" s="9"/>
      <c r="H4809" s="27"/>
    </row>
    <row r="4810">
      <c r="A4810" s="26"/>
      <c r="B4810" s="9"/>
      <c r="C4810" s="9"/>
      <c r="D4810" s="9"/>
      <c r="E4810" s="9"/>
      <c r="F4810" s="9"/>
      <c r="H4810" s="27"/>
    </row>
    <row r="4811">
      <c r="A4811" s="26"/>
      <c r="B4811" s="9"/>
      <c r="C4811" s="9"/>
      <c r="D4811" s="9"/>
      <c r="E4811" s="9"/>
      <c r="F4811" s="9"/>
      <c r="H4811" s="27"/>
    </row>
    <row r="4812">
      <c r="A4812" s="26"/>
      <c r="B4812" s="9"/>
      <c r="C4812" s="9"/>
      <c r="D4812" s="9"/>
      <c r="E4812" s="9"/>
      <c r="F4812" s="9"/>
      <c r="H4812" s="27"/>
    </row>
    <row r="4813">
      <c r="A4813" s="26"/>
      <c r="B4813" s="9"/>
      <c r="C4813" s="9"/>
      <c r="D4813" s="9"/>
      <c r="E4813" s="9"/>
      <c r="F4813" s="9"/>
      <c r="H4813" s="27"/>
    </row>
    <row r="4814">
      <c r="A4814" s="26"/>
      <c r="B4814" s="9"/>
      <c r="C4814" s="9"/>
      <c r="D4814" s="9"/>
      <c r="E4814" s="9"/>
      <c r="F4814" s="9"/>
      <c r="H4814" s="27"/>
    </row>
    <row r="4815">
      <c r="A4815" s="26"/>
      <c r="B4815" s="9"/>
      <c r="C4815" s="9"/>
      <c r="D4815" s="9"/>
      <c r="E4815" s="9"/>
      <c r="F4815" s="9"/>
      <c r="H4815" s="27"/>
    </row>
    <row r="4816">
      <c r="A4816" s="26"/>
      <c r="B4816" s="9"/>
      <c r="C4816" s="9"/>
      <c r="D4816" s="9"/>
      <c r="E4816" s="9"/>
      <c r="F4816" s="9"/>
      <c r="H4816" s="27"/>
    </row>
    <row r="4817">
      <c r="A4817" s="26"/>
      <c r="B4817" s="9"/>
      <c r="C4817" s="9"/>
      <c r="D4817" s="9"/>
      <c r="E4817" s="9"/>
      <c r="F4817" s="9"/>
      <c r="H4817" s="27"/>
    </row>
    <row r="4818">
      <c r="A4818" s="26"/>
      <c r="B4818" s="9"/>
      <c r="C4818" s="9"/>
      <c r="D4818" s="9"/>
      <c r="E4818" s="9"/>
      <c r="F4818" s="9"/>
      <c r="H4818" s="27"/>
    </row>
    <row r="4819">
      <c r="A4819" s="26"/>
      <c r="B4819" s="9"/>
      <c r="C4819" s="9"/>
      <c r="D4819" s="9"/>
      <c r="E4819" s="9"/>
      <c r="F4819" s="9"/>
      <c r="H4819" s="27"/>
    </row>
    <row r="4820">
      <c r="A4820" s="26"/>
      <c r="B4820" s="9"/>
      <c r="C4820" s="9"/>
      <c r="D4820" s="9"/>
      <c r="E4820" s="9"/>
      <c r="F4820" s="9"/>
      <c r="H4820" s="27"/>
    </row>
    <row r="4821">
      <c r="A4821" s="26"/>
      <c r="B4821" s="9"/>
      <c r="C4821" s="9"/>
      <c r="D4821" s="9"/>
      <c r="E4821" s="9"/>
      <c r="F4821" s="9"/>
      <c r="H4821" s="27"/>
    </row>
    <row r="4822">
      <c r="A4822" s="26"/>
      <c r="B4822" s="9"/>
      <c r="C4822" s="9"/>
      <c r="D4822" s="9"/>
      <c r="E4822" s="9"/>
      <c r="F4822" s="9"/>
      <c r="H4822" s="27"/>
    </row>
    <row r="4823">
      <c r="A4823" s="26"/>
      <c r="B4823" s="9"/>
      <c r="C4823" s="9"/>
      <c r="D4823" s="9"/>
      <c r="E4823" s="9"/>
      <c r="F4823" s="9"/>
      <c r="H4823" s="27"/>
    </row>
    <row r="4824">
      <c r="A4824" s="26"/>
      <c r="B4824" s="9"/>
      <c r="C4824" s="9"/>
      <c r="D4824" s="9"/>
      <c r="E4824" s="9"/>
      <c r="F4824" s="9"/>
      <c r="H4824" s="27"/>
    </row>
    <row r="4825">
      <c r="A4825" s="26"/>
      <c r="B4825" s="9"/>
      <c r="C4825" s="9"/>
      <c r="D4825" s="9"/>
      <c r="E4825" s="9"/>
      <c r="F4825" s="9"/>
      <c r="H4825" s="27"/>
    </row>
    <row r="4826">
      <c r="A4826" s="26"/>
      <c r="B4826" s="9"/>
      <c r="C4826" s="9"/>
      <c r="D4826" s="9"/>
      <c r="E4826" s="9"/>
      <c r="F4826" s="9"/>
      <c r="H4826" s="27"/>
    </row>
    <row r="4827">
      <c r="A4827" s="26"/>
      <c r="B4827" s="9"/>
      <c r="C4827" s="9"/>
      <c r="D4827" s="9"/>
      <c r="E4827" s="9"/>
      <c r="F4827" s="9"/>
      <c r="H4827" s="27"/>
    </row>
    <row r="4828">
      <c r="A4828" s="26"/>
      <c r="B4828" s="9"/>
      <c r="C4828" s="9"/>
      <c r="D4828" s="9"/>
      <c r="E4828" s="9"/>
      <c r="F4828" s="9"/>
      <c r="H4828" s="27"/>
    </row>
    <row r="4829">
      <c r="A4829" s="26"/>
      <c r="B4829" s="9"/>
      <c r="C4829" s="9"/>
      <c r="D4829" s="9"/>
      <c r="E4829" s="9"/>
      <c r="F4829" s="9"/>
      <c r="H4829" s="27"/>
    </row>
    <row r="4830">
      <c r="A4830" s="26"/>
      <c r="B4830" s="9"/>
      <c r="C4830" s="9"/>
      <c r="D4830" s="9"/>
      <c r="E4830" s="9"/>
      <c r="F4830" s="9"/>
      <c r="H4830" s="27"/>
    </row>
    <row r="4831">
      <c r="A4831" s="26"/>
      <c r="B4831" s="9"/>
      <c r="C4831" s="9"/>
      <c r="D4831" s="9"/>
      <c r="E4831" s="9"/>
      <c r="F4831" s="9"/>
      <c r="H4831" s="27"/>
    </row>
    <row r="4832">
      <c r="A4832" s="26"/>
      <c r="B4832" s="9"/>
      <c r="C4832" s="9"/>
      <c r="D4832" s="9"/>
      <c r="E4832" s="9"/>
      <c r="F4832" s="9"/>
      <c r="H4832" s="27"/>
    </row>
    <row r="4833">
      <c r="A4833" s="26"/>
      <c r="B4833" s="9"/>
      <c r="C4833" s="9"/>
      <c r="D4833" s="9"/>
      <c r="E4833" s="9"/>
      <c r="F4833" s="9"/>
      <c r="H4833" s="27"/>
    </row>
    <row r="4834">
      <c r="A4834" s="26"/>
      <c r="B4834" s="9"/>
      <c r="C4834" s="9"/>
      <c r="D4834" s="9"/>
      <c r="E4834" s="9"/>
      <c r="F4834" s="9"/>
      <c r="H4834" s="27"/>
    </row>
    <row r="4835">
      <c r="A4835" s="26"/>
      <c r="B4835" s="9"/>
      <c r="C4835" s="9"/>
      <c r="D4835" s="9"/>
      <c r="E4835" s="9"/>
      <c r="F4835" s="9"/>
      <c r="H4835" s="27"/>
    </row>
    <row r="4836">
      <c r="A4836" s="26"/>
      <c r="B4836" s="9"/>
      <c r="C4836" s="9"/>
      <c r="D4836" s="9"/>
      <c r="E4836" s="9"/>
      <c r="F4836" s="9"/>
      <c r="H4836" s="27"/>
    </row>
    <row r="4837">
      <c r="A4837" s="26"/>
      <c r="B4837" s="9"/>
      <c r="C4837" s="9"/>
      <c r="D4837" s="9"/>
      <c r="E4837" s="9"/>
      <c r="F4837" s="9"/>
      <c r="H4837" s="27"/>
    </row>
    <row r="4838">
      <c r="A4838" s="26"/>
      <c r="B4838" s="9"/>
      <c r="C4838" s="9"/>
      <c r="D4838" s="9"/>
      <c r="E4838" s="9"/>
      <c r="F4838" s="9"/>
      <c r="H4838" s="27"/>
    </row>
    <row r="4839">
      <c r="A4839" s="26"/>
      <c r="B4839" s="9"/>
      <c r="C4839" s="9"/>
      <c r="D4839" s="9"/>
      <c r="E4839" s="9"/>
      <c r="F4839" s="9"/>
      <c r="H4839" s="27"/>
    </row>
    <row r="4840">
      <c r="A4840" s="26"/>
      <c r="B4840" s="9"/>
      <c r="C4840" s="9"/>
      <c r="D4840" s="9"/>
      <c r="E4840" s="9"/>
      <c r="F4840" s="9"/>
      <c r="H4840" s="27"/>
    </row>
    <row r="4841">
      <c r="A4841" s="26"/>
      <c r="B4841" s="9"/>
      <c r="C4841" s="9"/>
      <c r="D4841" s="9"/>
      <c r="E4841" s="9"/>
      <c r="F4841" s="9"/>
      <c r="H4841" s="27"/>
    </row>
    <row r="4842">
      <c r="A4842" s="26"/>
      <c r="B4842" s="9"/>
      <c r="C4842" s="9"/>
      <c r="D4842" s="9"/>
      <c r="E4842" s="9"/>
      <c r="F4842" s="9"/>
      <c r="H4842" s="27"/>
    </row>
    <row r="4843">
      <c r="A4843" s="26"/>
      <c r="B4843" s="9"/>
      <c r="C4843" s="9"/>
      <c r="D4843" s="9"/>
      <c r="E4843" s="9"/>
      <c r="F4843" s="9"/>
      <c r="H4843" s="27"/>
    </row>
    <row r="4844">
      <c r="A4844" s="26"/>
      <c r="B4844" s="9"/>
      <c r="C4844" s="9"/>
      <c r="D4844" s="9"/>
      <c r="E4844" s="9"/>
      <c r="F4844" s="9"/>
      <c r="H4844" s="27"/>
    </row>
    <row r="4845">
      <c r="A4845" s="26"/>
      <c r="B4845" s="9"/>
      <c r="C4845" s="9"/>
      <c r="D4845" s="9"/>
      <c r="E4845" s="9"/>
      <c r="F4845" s="9"/>
      <c r="H4845" s="27"/>
    </row>
    <row r="4846">
      <c r="A4846" s="26"/>
      <c r="B4846" s="9"/>
      <c r="C4846" s="9"/>
      <c r="D4846" s="9"/>
      <c r="E4846" s="9"/>
      <c r="F4846" s="9"/>
      <c r="H4846" s="27"/>
    </row>
    <row r="4847">
      <c r="A4847" s="26"/>
      <c r="B4847" s="9"/>
      <c r="C4847" s="9"/>
      <c r="D4847" s="9"/>
      <c r="E4847" s="9"/>
      <c r="F4847" s="9"/>
      <c r="H4847" s="27"/>
    </row>
    <row r="4848">
      <c r="A4848" s="26"/>
      <c r="B4848" s="9"/>
      <c r="C4848" s="9"/>
      <c r="D4848" s="9"/>
      <c r="E4848" s="9"/>
      <c r="F4848" s="9"/>
      <c r="H4848" s="27"/>
    </row>
    <row r="4849">
      <c r="A4849" s="26"/>
      <c r="B4849" s="9"/>
      <c r="C4849" s="9"/>
      <c r="D4849" s="9"/>
      <c r="E4849" s="9"/>
      <c r="F4849" s="9"/>
      <c r="H4849" s="27"/>
    </row>
    <row r="4850">
      <c r="A4850" s="26"/>
      <c r="B4850" s="9"/>
      <c r="C4850" s="9"/>
      <c r="D4850" s="9"/>
      <c r="E4850" s="9"/>
      <c r="F4850" s="9"/>
      <c r="H4850" s="27"/>
    </row>
    <row r="4851">
      <c r="A4851" s="26"/>
      <c r="B4851" s="9"/>
      <c r="C4851" s="9"/>
      <c r="D4851" s="9"/>
      <c r="E4851" s="9"/>
      <c r="F4851" s="9"/>
      <c r="H4851" s="27"/>
    </row>
    <row r="4852">
      <c r="A4852" s="26"/>
      <c r="B4852" s="9"/>
      <c r="C4852" s="9"/>
      <c r="D4852" s="9"/>
      <c r="E4852" s="9"/>
      <c r="F4852" s="9"/>
      <c r="H4852" s="27"/>
    </row>
    <row r="4853">
      <c r="A4853" s="26"/>
      <c r="B4853" s="9"/>
      <c r="C4853" s="9"/>
      <c r="D4853" s="9"/>
      <c r="E4853" s="9"/>
      <c r="F4853" s="9"/>
      <c r="H4853" s="27"/>
    </row>
    <row r="4854">
      <c r="A4854" s="26"/>
      <c r="B4854" s="9"/>
      <c r="C4854" s="9"/>
      <c r="D4854" s="9"/>
      <c r="E4854" s="9"/>
      <c r="F4854" s="9"/>
      <c r="H4854" s="27"/>
    </row>
    <row r="4855">
      <c r="A4855" s="26"/>
      <c r="B4855" s="9"/>
      <c r="C4855" s="9"/>
      <c r="D4855" s="9"/>
      <c r="E4855" s="9"/>
      <c r="F4855" s="9"/>
      <c r="H4855" s="27"/>
    </row>
    <row r="4856">
      <c r="A4856" s="26"/>
      <c r="B4856" s="9"/>
      <c r="C4856" s="9"/>
      <c r="D4856" s="9"/>
      <c r="E4856" s="9"/>
      <c r="F4856" s="9"/>
      <c r="H4856" s="27"/>
    </row>
    <row r="4857">
      <c r="A4857" s="26"/>
      <c r="B4857" s="9"/>
      <c r="C4857" s="9"/>
      <c r="D4857" s="9"/>
      <c r="E4857" s="9"/>
      <c r="F4857" s="9"/>
      <c r="H4857" s="27"/>
    </row>
    <row r="4858">
      <c r="A4858" s="26"/>
      <c r="B4858" s="9"/>
      <c r="C4858" s="9"/>
      <c r="D4858" s="9"/>
      <c r="E4858" s="9"/>
      <c r="F4858" s="9"/>
      <c r="H4858" s="27"/>
    </row>
    <row r="4859">
      <c r="A4859" s="26"/>
      <c r="B4859" s="9"/>
      <c r="C4859" s="9"/>
      <c r="D4859" s="9"/>
      <c r="E4859" s="9"/>
      <c r="F4859" s="9"/>
      <c r="H4859" s="27"/>
    </row>
    <row r="4860">
      <c r="A4860" s="26"/>
      <c r="B4860" s="9"/>
      <c r="C4860" s="9"/>
      <c r="D4860" s="9"/>
      <c r="E4860" s="9"/>
      <c r="F4860" s="9"/>
      <c r="H4860" s="27"/>
    </row>
    <row r="4861">
      <c r="A4861" s="26"/>
      <c r="B4861" s="9"/>
      <c r="C4861" s="9"/>
      <c r="D4861" s="9"/>
      <c r="E4861" s="9"/>
      <c r="F4861" s="9"/>
      <c r="H4861" s="27"/>
    </row>
    <row r="4862">
      <c r="A4862" s="26"/>
      <c r="B4862" s="9"/>
      <c r="C4862" s="9"/>
      <c r="D4862" s="9"/>
      <c r="E4862" s="9"/>
      <c r="F4862" s="9"/>
      <c r="H4862" s="27"/>
    </row>
    <row r="4863">
      <c r="A4863" s="26"/>
      <c r="B4863" s="9"/>
      <c r="C4863" s="9"/>
      <c r="D4863" s="9"/>
      <c r="E4863" s="9"/>
      <c r="F4863" s="9"/>
      <c r="H4863" s="27"/>
    </row>
    <row r="4864">
      <c r="A4864" s="26"/>
      <c r="B4864" s="9"/>
      <c r="C4864" s="9"/>
      <c r="D4864" s="9"/>
      <c r="E4864" s="9"/>
      <c r="F4864" s="9"/>
      <c r="H4864" s="27"/>
    </row>
    <row r="4865">
      <c r="A4865" s="26"/>
      <c r="B4865" s="9"/>
      <c r="C4865" s="9"/>
      <c r="D4865" s="9"/>
      <c r="E4865" s="9"/>
      <c r="F4865" s="9"/>
      <c r="H4865" s="27"/>
    </row>
    <row r="4866">
      <c r="A4866" s="26"/>
      <c r="B4866" s="9"/>
      <c r="C4866" s="9"/>
      <c r="D4866" s="9"/>
      <c r="E4866" s="9"/>
      <c r="F4866" s="9"/>
      <c r="H4866" s="27"/>
    </row>
    <row r="4867">
      <c r="A4867" s="26"/>
      <c r="B4867" s="9"/>
      <c r="C4867" s="9"/>
      <c r="D4867" s="9"/>
      <c r="E4867" s="9"/>
      <c r="F4867" s="9"/>
      <c r="H4867" s="27"/>
    </row>
    <row r="4868">
      <c r="A4868" s="26"/>
      <c r="B4868" s="9"/>
      <c r="C4868" s="9"/>
      <c r="D4868" s="9"/>
      <c r="E4868" s="9"/>
      <c r="F4868" s="9"/>
      <c r="H4868" s="27"/>
    </row>
    <row r="4869">
      <c r="A4869" s="26"/>
      <c r="B4869" s="9"/>
      <c r="C4869" s="9"/>
      <c r="D4869" s="9"/>
      <c r="E4869" s="9"/>
      <c r="F4869" s="9"/>
      <c r="H4869" s="27"/>
    </row>
    <row r="4870">
      <c r="A4870" s="26"/>
      <c r="B4870" s="9"/>
      <c r="C4870" s="9"/>
      <c r="D4870" s="9"/>
      <c r="E4870" s="9"/>
      <c r="F4870" s="9"/>
      <c r="H4870" s="27"/>
    </row>
    <row r="4871">
      <c r="A4871" s="26"/>
      <c r="B4871" s="9"/>
      <c r="C4871" s="9"/>
      <c r="D4871" s="9"/>
      <c r="E4871" s="9"/>
      <c r="F4871" s="9"/>
      <c r="H4871" s="27"/>
    </row>
    <row r="4872">
      <c r="A4872" s="26"/>
      <c r="B4872" s="9"/>
      <c r="C4872" s="9"/>
      <c r="D4872" s="9"/>
      <c r="E4872" s="9"/>
      <c r="F4872" s="9"/>
      <c r="H4872" s="27"/>
    </row>
    <row r="4873">
      <c r="A4873" s="26"/>
      <c r="B4873" s="9"/>
      <c r="C4873" s="9"/>
      <c r="D4873" s="9"/>
      <c r="E4873" s="9"/>
      <c r="F4873" s="9"/>
      <c r="H4873" s="27"/>
    </row>
    <row r="4874">
      <c r="A4874" s="26"/>
      <c r="B4874" s="9"/>
      <c r="C4874" s="9"/>
      <c r="D4874" s="9"/>
      <c r="E4874" s="9"/>
      <c r="F4874" s="9"/>
      <c r="H4874" s="27"/>
    </row>
    <row r="4875">
      <c r="A4875" s="26"/>
      <c r="B4875" s="9"/>
      <c r="C4875" s="9"/>
      <c r="D4875" s="9"/>
      <c r="E4875" s="9"/>
      <c r="F4875" s="9"/>
      <c r="H4875" s="27"/>
    </row>
    <row r="4876">
      <c r="A4876" s="26"/>
      <c r="B4876" s="9"/>
      <c r="C4876" s="9"/>
      <c r="D4876" s="9"/>
      <c r="E4876" s="9"/>
      <c r="F4876" s="9"/>
      <c r="H4876" s="27"/>
    </row>
    <row r="4877">
      <c r="A4877" s="26"/>
      <c r="B4877" s="9"/>
      <c r="C4877" s="9"/>
      <c r="D4877" s="9"/>
      <c r="E4877" s="9"/>
      <c r="F4877" s="9"/>
      <c r="H4877" s="27"/>
    </row>
    <row r="4878">
      <c r="A4878" s="26"/>
      <c r="B4878" s="9"/>
      <c r="C4878" s="9"/>
      <c r="D4878" s="9"/>
      <c r="E4878" s="9"/>
      <c r="F4878" s="9"/>
      <c r="H4878" s="27"/>
    </row>
    <row r="4879">
      <c r="A4879" s="26"/>
      <c r="B4879" s="9"/>
      <c r="C4879" s="9"/>
      <c r="D4879" s="9"/>
      <c r="E4879" s="9"/>
      <c r="F4879" s="9"/>
      <c r="H4879" s="27"/>
    </row>
    <row r="4880">
      <c r="A4880" s="26"/>
      <c r="B4880" s="9"/>
      <c r="C4880" s="9"/>
      <c r="D4880" s="9"/>
      <c r="E4880" s="9"/>
      <c r="F4880" s="9"/>
      <c r="H4880" s="27"/>
    </row>
    <row r="4881">
      <c r="A4881" s="26"/>
      <c r="B4881" s="9"/>
      <c r="C4881" s="9"/>
      <c r="D4881" s="9"/>
      <c r="E4881" s="9"/>
      <c r="F4881" s="9"/>
      <c r="H4881" s="27"/>
    </row>
    <row r="4882">
      <c r="A4882" s="26"/>
      <c r="B4882" s="9"/>
      <c r="C4882" s="9"/>
      <c r="D4882" s="9"/>
      <c r="E4882" s="9"/>
      <c r="F4882" s="9"/>
      <c r="H4882" s="27"/>
    </row>
    <row r="4883">
      <c r="A4883" s="26"/>
      <c r="B4883" s="9"/>
      <c r="C4883" s="9"/>
      <c r="D4883" s="9"/>
      <c r="E4883" s="9"/>
      <c r="F4883" s="9"/>
      <c r="H4883" s="27"/>
    </row>
    <row r="4884">
      <c r="A4884" s="26"/>
      <c r="B4884" s="9"/>
      <c r="C4884" s="9"/>
      <c r="D4884" s="9"/>
      <c r="E4884" s="9"/>
      <c r="F4884" s="9"/>
      <c r="H4884" s="27"/>
    </row>
    <row r="4885">
      <c r="A4885" s="26"/>
      <c r="B4885" s="9"/>
      <c r="C4885" s="9"/>
      <c r="D4885" s="9"/>
      <c r="E4885" s="9"/>
      <c r="F4885" s="9"/>
      <c r="H4885" s="27"/>
    </row>
    <row r="4886">
      <c r="A4886" s="26"/>
      <c r="B4886" s="9"/>
      <c r="C4886" s="9"/>
      <c r="D4886" s="9"/>
      <c r="E4886" s="9"/>
      <c r="F4886" s="9"/>
      <c r="H4886" s="27"/>
    </row>
    <row r="4887">
      <c r="A4887" s="26"/>
      <c r="B4887" s="9"/>
      <c r="C4887" s="9"/>
      <c r="D4887" s="9"/>
      <c r="E4887" s="9"/>
      <c r="F4887" s="9"/>
      <c r="H4887" s="27"/>
    </row>
    <row r="4888">
      <c r="A4888" s="26"/>
      <c r="B4888" s="9"/>
      <c r="C4888" s="9"/>
      <c r="D4888" s="9"/>
      <c r="E4888" s="9"/>
      <c r="F4888" s="9"/>
      <c r="H4888" s="27"/>
    </row>
    <row r="4889">
      <c r="A4889" s="26"/>
      <c r="B4889" s="9"/>
      <c r="C4889" s="9"/>
      <c r="D4889" s="9"/>
      <c r="E4889" s="9"/>
      <c r="F4889" s="9"/>
      <c r="H4889" s="27"/>
    </row>
    <row r="4890">
      <c r="A4890" s="26"/>
      <c r="B4890" s="9"/>
      <c r="C4890" s="9"/>
      <c r="D4890" s="9"/>
      <c r="E4890" s="9"/>
      <c r="F4890" s="9"/>
      <c r="H4890" s="27"/>
    </row>
    <row r="4891">
      <c r="A4891" s="26"/>
      <c r="B4891" s="9"/>
      <c r="C4891" s="9"/>
      <c r="D4891" s="9"/>
      <c r="E4891" s="9"/>
      <c r="F4891" s="9"/>
      <c r="H4891" s="27"/>
    </row>
    <row r="4892">
      <c r="A4892" s="26"/>
      <c r="B4892" s="9"/>
      <c r="C4892" s="9"/>
      <c r="D4892" s="9"/>
      <c r="E4892" s="9"/>
      <c r="F4892" s="9"/>
      <c r="H4892" s="27"/>
    </row>
    <row r="4893">
      <c r="A4893" s="26"/>
      <c r="B4893" s="9"/>
      <c r="C4893" s="9"/>
      <c r="D4893" s="9"/>
      <c r="E4893" s="9"/>
      <c r="F4893" s="9"/>
      <c r="H4893" s="27"/>
    </row>
    <row r="4894">
      <c r="A4894" s="26"/>
      <c r="B4894" s="9"/>
      <c r="C4894" s="9"/>
      <c r="D4894" s="9"/>
      <c r="E4894" s="9"/>
      <c r="F4894" s="9"/>
      <c r="H4894" s="27"/>
    </row>
    <row r="4895">
      <c r="A4895" s="26"/>
      <c r="B4895" s="9"/>
      <c r="C4895" s="9"/>
      <c r="D4895" s="9"/>
      <c r="E4895" s="9"/>
      <c r="F4895" s="9"/>
      <c r="H4895" s="27"/>
    </row>
    <row r="4896">
      <c r="A4896" s="26"/>
      <c r="B4896" s="9"/>
      <c r="C4896" s="9"/>
      <c r="D4896" s="9"/>
      <c r="E4896" s="9"/>
      <c r="F4896" s="9"/>
      <c r="H4896" s="27"/>
    </row>
    <row r="4897">
      <c r="A4897" s="26"/>
      <c r="B4897" s="9"/>
      <c r="C4897" s="9"/>
      <c r="D4897" s="9"/>
      <c r="E4897" s="9"/>
      <c r="F4897" s="9"/>
      <c r="H4897" s="27"/>
    </row>
    <row r="4898">
      <c r="A4898" s="26"/>
      <c r="B4898" s="9"/>
      <c r="C4898" s="9"/>
      <c r="D4898" s="9"/>
      <c r="E4898" s="9"/>
      <c r="F4898" s="9"/>
      <c r="H4898" s="27"/>
    </row>
    <row r="4899">
      <c r="A4899" s="26"/>
      <c r="B4899" s="9"/>
      <c r="C4899" s="9"/>
      <c r="D4899" s="9"/>
      <c r="E4899" s="9"/>
      <c r="F4899" s="9"/>
      <c r="H4899" s="27"/>
    </row>
    <row r="4900">
      <c r="A4900" s="26"/>
      <c r="B4900" s="9"/>
      <c r="C4900" s="9"/>
      <c r="D4900" s="9"/>
      <c r="E4900" s="9"/>
      <c r="F4900" s="9"/>
      <c r="H4900" s="27"/>
    </row>
    <row r="4901">
      <c r="A4901" s="26"/>
      <c r="B4901" s="9"/>
      <c r="C4901" s="9"/>
      <c r="D4901" s="9"/>
      <c r="E4901" s="9"/>
      <c r="F4901" s="9"/>
      <c r="H4901" s="27"/>
    </row>
    <row r="4902">
      <c r="A4902" s="26"/>
      <c r="B4902" s="9"/>
      <c r="C4902" s="9"/>
      <c r="D4902" s="9"/>
      <c r="E4902" s="9"/>
      <c r="F4902" s="9"/>
      <c r="H4902" s="27"/>
    </row>
    <row r="4903">
      <c r="A4903" s="26"/>
      <c r="B4903" s="9"/>
      <c r="C4903" s="9"/>
      <c r="D4903" s="9"/>
      <c r="E4903" s="9"/>
      <c r="F4903" s="9"/>
      <c r="H4903" s="27"/>
    </row>
    <row r="4904">
      <c r="A4904" s="26"/>
      <c r="B4904" s="9"/>
      <c r="C4904" s="9"/>
      <c r="D4904" s="9"/>
      <c r="E4904" s="9"/>
      <c r="F4904" s="9"/>
      <c r="H4904" s="27"/>
    </row>
    <row r="4905">
      <c r="A4905" s="26"/>
      <c r="B4905" s="9"/>
      <c r="C4905" s="9"/>
      <c r="D4905" s="9"/>
      <c r="E4905" s="9"/>
      <c r="F4905" s="9"/>
      <c r="H4905" s="27"/>
    </row>
    <row r="4906">
      <c r="A4906" s="26"/>
      <c r="B4906" s="9"/>
      <c r="C4906" s="9"/>
      <c r="D4906" s="9"/>
      <c r="E4906" s="9"/>
      <c r="F4906" s="9"/>
      <c r="H4906" s="27"/>
    </row>
    <row r="4907">
      <c r="A4907" s="26"/>
      <c r="B4907" s="9"/>
      <c r="C4907" s="9"/>
      <c r="D4907" s="9"/>
      <c r="E4907" s="9"/>
      <c r="F4907" s="9"/>
      <c r="H4907" s="27"/>
    </row>
    <row r="4908">
      <c r="A4908" s="26"/>
      <c r="B4908" s="9"/>
      <c r="C4908" s="9"/>
      <c r="D4908" s="9"/>
      <c r="E4908" s="9"/>
      <c r="F4908" s="9"/>
      <c r="H4908" s="27"/>
    </row>
    <row r="4909">
      <c r="A4909" s="26"/>
      <c r="B4909" s="9"/>
      <c r="C4909" s="9"/>
      <c r="D4909" s="9"/>
      <c r="E4909" s="9"/>
      <c r="F4909" s="9"/>
      <c r="H4909" s="27"/>
    </row>
    <row r="4910">
      <c r="A4910" s="26"/>
      <c r="B4910" s="9"/>
      <c r="C4910" s="9"/>
      <c r="D4910" s="9"/>
      <c r="E4910" s="9"/>
      <c r="F4910" s="9"/>
      <c r="H4910" s="27"/>
    </row>
    <row r="4911">
      <c r="A4911" s="26"/>
      <c r="B4911" s="9"/>
      <c r="C4911" s="9"/>
      <c r="D4911" s="9"/>
      <c r="E4911" s="9"/>
      <c r="F4911" s="9"/>
      <c r="H4911" s="27"/>
    </row>
    <row r="4912">
      <c r="A4912" s="26"/>
      <c r="B4912" s="9"/>
      <c r="C4912" s="9"/>
      <c r="D4912" s="9"/>
      <c r="E4912" s="9"/>
      <c r="F4912" s="9"/>
      <c r="H4912" s="27"/>
    </row>
    <row r="4913">
      <c r="A4913" s="26"/>
      <c r="B4913" s="9"/>
      <c r="C4913" s="9"/>
      <c r="D4913" s="9"/>
      <c r="E4913" s="9"/>
      <c r="F4913" s="9"/>
      <c r="H4913" s="27"/>
    </row>
    <row r="4914">
      <c r="A4914" s="26"/>
      <c r="B4914" s="9"/>
      <c r="C4914" s="9"/>
      <c r="D4914" s="9"/>
      <c r="E4914" s="9"/>
      <c r="F4914" s="9"/>
      <c r="H4914" s="27"/>
    </row>
    <row r="4915">
      <c r="A4915" s="26"/>
      <c r="B4915" s="9"/>
      <c r="C4915" s="9"/>
      <c r="D4915" s="9"/>
      <c r="E4915" s="9"/>
      <c r="F4915" s="9"/>
      <c r="H4915" s="27"/>
    </row>
    <row r="4916">
      <c r="A4916" s="26"/>
      <c r="B4916" s="9"/>
      <c r="C4916" s="9"/>
      <c r="D4916" s="9"/>
      <c r="E4916" s="9"/>
      <c r="F4916" s="9"/>
      <c r="H4916" s="27"/>
    </row>
    <row r="4917">
      <c r="A4917" s="26"/>
      <c r="B4917" s="9"/>
      <c r="C4917" s="9"/>
      <c r="D4917" s="9"/>
      <c r="E4917" s="9"/>
      <c r="F4917" s="9"/>
      <c r="H4917" s="27"/>
    </row>
    <row r="4918">
      <c r="A4918" s="26"/>
      <c r="B4918" s="9"/>
      <c r="C4918" s="9"/>
      <c r="D4918" s="9"/>
      <c r="E4918" s="9"/>
      <c r="F4918" s="9"/>
      <c r="H4918" s="27"/>
    </row>
    <row r="4919">
      <c r="A4919" s="26"/>
      <c r="B4919" s="9"/>
      <c r="C4919" s="9"/>
      <c r="D4919" s="9"/>
      <c r="E4919" s="9"/>
      <c r="F4919" s="9"/>
      <c r="H4919" s="27"/>
    </row>
    <row r="4920">
      <c r="A4920" s="26"/>
      <c r="B4920" s="9"/>
      <c r="C4920" s="9"/>
      <c r="D4920" s="9"/>
      <c r="E4920" s="9"/>
      <c r="F4920" s="9"/>
      <c r="H4920" s="27"/>
    </row>
    <row r="4921">
      <c r="A4921" s="26"/>
      <c r="B4921" s="9"/>
      <c r="C4921" s="9"/>
      <c r="D4921" s="9"/>
      <c r="E4921" s="9"/>
      <c r="F4921" s="9"/>
      <c r="H4921" s="27"/>
    </row>
    <row r="4922">
      <c r="A4922" s="26"/>
      <c r="B4922" s="9"/>
      <c r="C4922" s="9"/>
      <c r="D4922" s="9"/>
      <c r="E4922" s="9"/>
      <c r="F4922" s="9"/>
      <c r="H4922" s="27"/>
    </row>
    <row r="4923">
      <c r="A4923" s="26"/>
      <c r="B4923" s="9"/>
      <c r="C4923" s="9"/>
      <c r="D4923" s="9"/>
      <c r="E4923" s="9"/>
      <c r="F4923" s="9"/>
      <c r="H4923" s="27"/>
    </row>
    <row r="4924">
      <c r="A4924" s="26"/>
      <c r="B4924" s="9"/>
      <c r="C4924" s="9"/>
      <c r="D4924" s="9"/>
      <c r="E4924" s="9"/>
      <c r="F4924" s="9"/>
      <c r="H4924" s="27"/>
    </row>
    <row r="4925">
      <c r="A4925" s="26"/>
      <c r="B4925" s="9"/>
      <c r="C4925" s="9"/>
      <c r="D4925" s="9"/>
      <c r="E4925" s="9"/>
      <c r="F4925" s="9"/>
      <c r="H4925" s="27"/>
    </row>
    <row r="4926">
      <c r="A4926" s="26"/>
      <c r="B4926" s="9"/>
      <c r="C4926" s="9"/>
      <c r="D4926" s="9"/>
      <c r="E4926" s="9"/>
      <c r="F4926" s="9"/>
      <c r="H4926" s="27"/>
    </row>
    <row r="4927">
      <c r="A4927" s="26"/>
      <c r="B4927" s="9"/>
      <c r="C4927" s="9"/>
      <c r="D4927" s="9"/>
      <c r="E4927" s="9"/>
      <c r="F4927" s="9"/>
      <c r="H4927" s="27"/>
    </row>
    <row r="4928">
      <c r="A4928" s="26"/>
      <c r="B4928" s="9"/>
      <c r="C4928" s="9"/>
      <c r="D4928" s="9"/>
      <c r="E4928" s="9"/>
      <c r="F4928" s="9"/>
      <c r="H4928" s="27"/>
    </row>
    <row r="4929">
      <c r="A4929" s="26"/>
      <c r="B4929" s="9"/>
      <c r="C4929" s="9"/>
      <c r="D4929" s="9"/>
      <c r="E4929" s="9"/>
      <c r="F4929" s="9"/>
      <c r="H4929" s="27"/>
    </row>
    <row r="4930">
      <c r="A4930" s="26"/>
      <c r="B4930" s="9"/>
      <c r="C4930" s="9"/>
      <c r="D4930" s="9"/>
      <c r="E4930" s="9"/>
      <c r="F4930" s="9"/>
      <c r="H4930" s="27"/>
    </row>
    <row r="4931">
      <c r="A4931" s="26"/>
      <c r="B4931" s="9"/>
      <c r="C4931" s="9"/>
      <c r="D4931" s="9"/>
      <c r="E4931" s="9"/>
      <c r="F4931" s="9"/>
      <c r="H4931" s="27"/>
    </row>
    <row r="4932">
      <c r="A4932" s="26"/>
      <c r="B4932" s="9"/>
      <c r="C4932" s="9"/>
      <c r="D4932" s="9"/>
      <c r="E4932" s="9"/>
      <c r="F4932" s="9"/>
      <c r="H4932" s="27"/>
    </row>
    <row r="4933">
      <c r="A4933" s="26"/>
      <c r="B4933" s="9"/>
      <c r="C4933" s="9"/>
      <c r="D4933" s="9"/>
      <c r="E4933" s="9"/>
      <c r="F4933" s="9"/>
      <c r="H4933" s="27"/>
    </row>
    <row r="4934">
      <c r="A4934" s="26"/>
      <c r="B4934" s="9"/>
      <c r="C4934" s="9"/>
      <c r="D4934" s="9"/>
      <c r="E4934" s="9"/>
      <c r="F4934" s="9"/>
      <c r="H4934" s="27"/>
    </row>
    <row r="4935">
      <c r="A4935" s="26"/>
      <c r="B4935" s="9"/>
      <c r="C4935" s="9"/>
      <c r="D4935" s="9"/>
      <c r="E4935" s="9"/>
      <c r="F4935" s="9"/>
      <c r="H4935" s="27"/>
    </row>
    <row r="4936">
      <c r="A4936" s="26"/>
      <c r="B4936" s="9"/>
      <c r="C4936" s="9"/>
      <c r="D4936" s="9"/>
      <c r="E4936" s="9"/>
      <c r="F4936" s="9"/>
      <c r="H4936" s="27"/>
    </row>
    <row r="4937">
      <c r="A4937" s="26"/>
      <c r="B4937" s="9"/>
      <c r="C4937" s="9"/>
      <c r="D4937" s="9"/>
      <c r="E4937" s="9"/>
      <c r="F4937" s="9"/>
      <c r="H4937" s="27"/>
    </row>
    <row r="4938">
      <c r="A4938" s="26"/>
      <c r="B4938" s="9"/>
      <c r="C4938" s="9"/>
      <c r="D4938" s="9"/>
      <c r="E4938" s="9"/>
      <c r="F4938" s="9"/>
      <c r="H4938" s="27"/>
    </row>
    <row r="4939">
      <c r="A4939" s="26"/>
      <c r="B4939" s="9"/>
      <c r="C4939" s="9"/>
      <c r="D4939" s="9"/>
      <c r="E4939" s="9"/>
      <c r="F4939" s="9"/>
      <c r="H4939" s="27"/>
    </row>
    <row r="4940">
      <c r="A4940" s="26"/>
      <c r="B4940" s="9"/>
      <c r="C4940" s="9"/>
      <c r="D4940" s="9"/>
      <c r="E4940" s="9"/>
      <c r="F4940" s="9"/>
      <c r="H4940" s="27"/>
    </row>
    <row r="4941">
      <c r="A4941" s="26"/>
      <c r="B4941" s="9"/>
      <c r="C4941" s="9"/>
      <c r="D4941" s="9"/>
      <c r="E4941" s="9"/>
      <c r="F4941" s="9"/>
      <c r="H4941" s="27"/>
    </row>
    <row r="4942">
      <c r="A4942" s="26"/>
      <c r="B4942" s="9"/>
      <c r="C4942" s="9"/>
      <c r="D4942" s="9"/>
      <c r="E4942" s="9"/>
      <c r="F4942" s="9"/>
      <c r="H4942" s="27"/>
    </row>
    <row r="4943">
      <c r="A4943" s="26"/>
      <c r="B4943" s="9"/>
      <c r="C4943" s="9"/>
      <c r="D4943" s="9"/>
      <c r="E4943" s="9"/>
      <c r="F4943" s="9"/>
      <c r="H4943" s="27"/>
    </row>
    <row r="4944">
      <c r="A4944" s="26"/>
      <c r="B4944" s="9"/>
      <c r="C4944" s="9"/>
      <c r="D4944" s="9"/>
      <c r="E4944" s="9"/>
      <c r="F4944" s="9"/>
      <c r="H4944" s="2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107</v>
      </c>
      <c r="B1" s="25" t="s">
        <v>108</v>
      </c>
      <c r="C1" s="25" t="s">
        <v>109</v>
      </c>
      <c r="D1" s="25" t="s">
        <v>110</v>
      </c>
      <c r="E1" s="25" t="s">
        <v>111</v>
      </c>
      <c r="F1" s="25" t="s">
        <v>112</v>
      </c>
    </row>
    <row r="2">
      <c r="A2" s="25">
        <v>38355.645833333336</v>
      </c>
      <c r="B2" s="25">
        <v>166.93</v>
      </c>
      <c r="C2" s="25">
        <v>169.59</v>
      </c>
      <c r="D2" s="25">
        <v>166.93</v>
      </c>
      <c r="E2" s="25">
        <v>169.16</v>
      </c>
      <c r="F2" s="25">
        <v>591771.0</v>
      </c>
    </row>
    <row r="3">
      <c r="A3" s="25">
        <v>38356.645833333336</v>
      </c>
      <c r="B3" s="25">
        <v>168.75</v>
      </c>
      <c r="C3" s="25">
        <v>169.25</v>
      </c>
      <c r="D3" s="25">
        <v>166.65</v>
      </c>
      <c r="E3" s="25">
        <v>167.66</v>
      </c>
      <c r="F3" s="25">
        <v>622388.0</v>
      </c>
    </row>
    <row r="4">
      <c r="A4" s="25">
        <v>38357.645833333336</v>
      </c>
      <c r="B4" s="25">
        <v>167.53</v>
      </c>
      <c r="C4" s="25">
        <v>167.53</v>
      </c>
      <c r="D4" s="25">
        <v>160.04</v>
      </c>
      <c r="E4" s="25">
        <v>165.63</v>
      </c>
      <c r="F4" s="25">
        <v>1200540.0</v>
      </c>
    </row>
    <row r="5">
      <c r="A5" s="25">
        <v>38358.645833333336</v>
      </c>
      <c r="B5" s="25">
        <v>165.0</v>
      </c>
      <c r="C5" s="25">
        <v>168.25</v>
      </c>
      <c r="D5" s="25">
        <v>161.56</v>
      </c>
      <c r="E5" s="25">
        <v>165.06</v>
      </c>
      <c r="F5" s="25">
        <v>1000861.0</v>
      </c>
    </row>
    <row r="6">
      <c r="A6" s="25">
        <v>38359.645833333336</v>
      </c>
      <c r="B6" s="25">
        <v>166.25</v>
      </c>
      <c r="C6" s="25">
        <v>168.13</v>
      </c>
      <c r="D6" s="25">
        <v>164.08</v>
      </c>
      <c r="E6" s="25">
        <v>167.49</v>
      </c>
      <c r="F6" s="25">
        <v>952892.0</v>
      </c>
    </row>
    <row r="7">
      <c r="A7" s="25">
        <v>38362.645833333336</v>
      </c>
      <c r="B7" s="25">
        <v>168.58</v>
      </c>
      <c r="C7" s="25">
        <v>169.93</v>
      </c>
      <c r="D7" s="25">
        <v>165.25</v>
      </c>
      <c r="E7" s="25">
        <v>165.93</v>
      </c>
      <c r="F7" s="25">
        <v>940196.0</v>
      </c>
    </row>
    <row r="8">
      <c r="A8" s="25">
        <v>38363.645833333336</v>
      </c>
      <c r="B8" s="25">
        <v>166.25</v>
      </c>
      <c r="C8" s="25">
        <v>166.91</v>
      </c>
      <c r="D8" s="25">
        <v>162.63</v>
      </c>
      <c r="E8" s="25">
        <v>164.22</v>
      </c>
      <c r="F8" s="25">
        <v>998297.0</v>
      </c>
    </row>
    <row r="9">
      <c r="A9" s="25">
        <v>38364.645833333336</v>
      </c>
      <c r="B9" s="25">
        <v>165.74</v>
      </c>
      <c r="C9" s="25">
        <v>170.99</v>
      </c>
      <c r="D9" s="25">
        <v>160.84</v>
      </c>
      <c r="E9" s="25">
        <v>162.26</v>
      </c>
      <c r="F9" s="25">
        <v>2590004.0</v>
      </c>
    </row>
    <row r="10">
      <c r="A10" s="25">
        <v>38365.645833333336</v>
      </c>
      <c r="B10" s="25">
        <v>163.75</v>
      </c>
      <c r="C10" s="25">
        <v>167.34</v>
      </c>
      <c r="D10" s="25">
        <v>159.38</v>
      </c>
      <c r="E10" s="25">
        <v>161.61</v>
      </c>
      <c r="F10" s="25">
        <v>3469744.0</v>
      </c>
    </row>
    <row r="11">
      <c r="A11" s="25">
        <v>38366.645833333336</v>
      </c>
      <c r="B11" s="25">
        <v>163.09</v>
      </c>
      <c r="C11" s="25">
        <v>164.74</v>
      </c>
      <c r="D11" s="25">
        <v>159.63</v>
      </c>
      <c r="E11" s="25">
        <v>162.05</v>
      </c>
      <c r="F11" s="25">
        <v>1969722.0</v>
      </c>
    </row>
    <row r="12">
      <c r="A12" s="25">
        <v>38369.645833333336</v>
      </c>
      <c r="B12" s="25">
        <v>163.7</v>
      </c>
      <c r="C12" s="25">
        <v>163.7</v>
      </c>
      <c r="D12" s="25">
        <v>155.03</v>
      </c>
      <c r="E12" s="25">
        <v>157.91</v>
      </c>
      <c r="F12" s="25">
        <v>1706398.0</v>
      </c>
    </row>
    <row r="13">
      <c r="A13" s="25">
        <v>38370.645833333336</v>
      </c>
      <c r="B13" s="25">
        <v>159.34</v>
      </c>
      <c r="C13" s="25">
        <v>160.5</v>
      </c>
      <c r="D13" s="25">
        <v>157.19</v>
      </c>
      <c r="E13" s="25">
        <v>157.98</v>
      </c>
      <c r="F13" s="25">
        <v>772908.0</v>
      </c>
    </row>
    <row r="14">
      <c r="A14" s="25">
        <v>38371.645833333336</v>
      </c>
      <c r="B14" s="25">
        <v>158.25</v>
      </c>
      <c r="C14" s="25">
        <v>159.21</v>
      </c>
      <c r="D14" s="25">
        <v>156.39</v>
      </c>
      <c r="E14" s="25">
        <v>156.93</v>
      </c>
      <c r="F14" s="25">
        <v>442311.0</v>
      </c>
    </row>
    <row r="15">
      <c r="A15" s="25">
        <v>38372.645833333336</v>
      </c>
      <c r="B15" s="25">
        <v>156.88</v>
      </c>
      <c r="C15" s="25">
        <v>156.88</v>
      </c>
      <c r="D15" s="25">
        <v>153.75</v>
      </c>
      <c r="E15" s="25">
        <v>155.46</v>
      </c>
      <c r="F15" s="25">
        <v>567025.0</v>
      </c>
    </row>
    <row r="16">
      <c r="A16" s="25">
        <v>38376.645833333336</v>
      </c>
      <c r="B16" s="25">
        <v>155.46</v>
      </c>
      <c r="C16" s="25">
        <v>155.92</v>
      </c>
      <c r="D16" s="25">
        <v>151.92</v>
      </c>
      <c r="E16" s="25">
        <v>152.58</v>
      </c>
      <c r="F16" s="25">
        <v>453524.0</v>
      </c>
    </row>
    <row r="17">
      <c r="A17" s="25">
        <v>38377.645833333336</v>
      </c>
      <c r="B17" s="25">
        <v>151.85</v>
      </c>
      <c r="C17" s="25">
        <v>154.99</v>
      </c>
      <c r="D17" s="25">
        <v>150.89</v>
      </c>
      <c r="E17" s="25">
        <v>154.43</v>
      </c>
      <c r="F17" s="25">
        <v>558241.0</v>
      </c>
    </row>
    <row r="18">
      <c r="A18" s="25">
        <v>38379.645833333336</v>
      </c>
      <c r="B18" s="25">
        <v>155.41</v>
      </c>
      <c r="C18" s="25">
        <v>156.73</v>
      </c>
      <c r="D18" s="25">
        <v>154.41</v>
      </c>
      <c r="E18" s="25">
        <v>155.07</v>
      </c>
      <c r="F18" s="25">
        <v>681918.0</v>
      </c>
    </row>
    <row r="19">
      <c r="A19" s="25">
        <v>38380.645833333336</v>
      </c>
      <c r="B19" s="25">
        <v>155.36</v>
      </c>
      <c r="C19" s="25">
        <v>161.85</v>
      </c>
      <c r="D19" s="25">
        <v>155.31</v>
      </c>
      <c r="E19" s="25">
        <v>161.15</v>
      </c>
      <c r="F19" s="25">
        <v>1049227.0</v>
      </c>
    </row>
    <row r="20">
      <c r="A20" s="25">
        <v>38383.645833333336</v>
      </c>
      <c r="B20" s="25">
        <v>162.25</v>
      </c>
      <c r="C20" s="25">
        <v>163.98</v>
      </c>
      <c r="D20" s="25">
        <v>161.28</v>
      </c>
      <c r="E20" s="25">
        <v>162.55</v>
      </c>
      <c r="F20" s="25">
        <v>731673.0</v>
      </c>
    </row>
    <row r="21">
      <c r="A21" s="25">
        <v>38384.645833333336</v>
      </c>
      <c r="B21" s="25">
        <v>163.38</v>
      </c>
      <c r="C21" s="25">
        <v>165.0</v>
      </c>
      <c r="D21" s="25">
        <v>160.88</v>
      </c>
      <c r="E21" s="25">
        <v>164.41</v>
      </c>
      <c r="F21" s="25">
        <v>1002480.0</v>
      </c>
    </row>
    <row r="22">
      <c r="A22" s="25">
        <v>38385.645833333336</v>
      </c>
      <c r="B22" s="25">
        <v>164.88</v>
      </c>
      <c r="C22" s="25">
        <v>165.43</v>
      </c>
      <c r="D22" s="25">
        <v>162.88</v>
      </c>
      <c r="E22" s="25">
        <v>163.62</v>
      </c>
      <c r="F22" s="25">
        <v>608807.0</v>
      </c>
    </row>
    <row r="23">
      <c r="A23" s="25">
        <v>38386.645833333336</v>
      </c>
      <c r="B23" s="25">
        <v>164.0</v>
      </c>
      <c r="C23" s="25">
        <v>164.35</v>
      </c>
      <c r="D23" s="25">
        <v>162.75</v>
      </c>
      <c r="E23" s="25">
        <v>163.89</v>
      </c>
      <c r="F23" s="25">
        <v>415952.0</v>
      </c>
    </row>
    <row r="24">
      <c r="A24" s="25">
        <v>38387.645833333336</v>
      </c>
      <c r="B24" s="25">
        <v>163.75</v>
      </c>
      <c r="C24" s="25">
        <v>165.25</v>
      </c>
      <c r="D24" s="25">
        <v>162.57</v>
      </c>
      <c r="E24" s="25">
        <v>163.31</v>
      </c>
      <c r="F24" s="25">
        <v>335505.0</v>
      </c>
    </row>
    <row r="25">
      <c r="A25" s="25">
        <v>38390.645833333336</v>
      </c>
      <c r="B25" s="25">
        <v>164.08</v>
      </c>
      <c r="C25" s="25">
        <v>166.34</v>
      </c>
      <c r="D25" s="25">
        <v>162.63</v>
      </c>
      <c r="E25" s="25">
        <v>164.22</v>
      </c>
      <c r="F25" s="25">
        <v>743027.0</v>
      </c>
    </row>
    <row r="26">
      <c r="A26" s="25">
        <v>38391.645833333336</v>
      </c>
      <c r="B26" s="25">
        <v>164.22</v>
      </c>
      <c r="C26" s="25">
        <v>165.38</v>
      </c>
      <c r="D26" s="25">
        <v>163.5</v>
      </c>
      <c r="E26" s="25">
        <v>164.5</v>
      </c>
      <c r="F26" s="25">
        <v>410554.0</v>
      </c>
    </row>
    <row r="27">
      <c r="A27" s="25">
        <v>38392.645833333336</v>
      </c>
      <c r="B27" s="25">
        <v>165.13</v>
      </c>
      <c r="C27" s="25">
        <v>167.95</v>
      </c>
      <c r="D27" s="25">
        <v>165.1</v>
      </c>
      <c r="E27" s="25">
        <v>166.6</v>
      </c>
      <c r="F27" s="25">
        <v>692242.0</v>
      </c>
    </row>
    <row r="28">
      <c r="A28" s="25">
        <v>38393.645833333336</v>
      </c>
      <c r="B28" s="25">
        <v>166.25</v>
      </c>
      <c r="C28" s="25">
        <v>167.94</v>
      </c>
      <c r="D28" s="25">
        <v>165.38</v>
      </c>
      <c r="E28" s="25">
        <v>166.58</v>
      </c>
      <c r="F28" s="25">
        <v>547081.0</v>
      </c>
    </row>
    <row r="29">
      <c r="A29" s="25">
        <v>38394.645833333336</v>
      </c>
      <c r="B29" s="25">
        <v>167.25</v>
      </c>
      <c r="C29" s="25">
        <v>173.38</v>
      </c>
      <c r="D29" s="25">
        <v>167.25</v>
      </c>
      <c r="E29" s="25">
        <v>172.72</v>
      </c>
      <c r="F29" s="25">
        <v>1295887.0</v>
      </c>
    </row>
    <row r="30">
      <c r="A30" s="25">
        <v>38397.645833333336</v>
      </c>
      <c r="B30" s="25">
        <v>173.88</v>
      </c>
      <c r="C30" s="25">
        <v>177.25</v>
      </c>
      <c r="D30" s="25">
        <v>173.88</v>
      </c>
      <c r="E30" s="25">
        <v>176.21</v>
      </c>
      <c r="F30" s="25">
        <v>1109408.0</v>
      </c>
    </row>
    <row r="31">
      <c r="A31" s="25">
        <v>38398.645833333336</v>
      </c>
      <c r="B31" s="25">
        <v>176.25</v>
      </c>
      <c r="C31" s="25">
        <v>176.88</v>
      </c>
      <c r="D31" s="25">
        <v>171.75</v>
      </c>
      <c r="E31" s="25">
        <v>172.67</v>
      </c>
      <c r="F31" s="25">
        <v>497090.0</v>
      </c>
    </row>
    <row r="32">
      <c r="A32" s="25">
        <v>38399.645833333336</v>
      </c>
      <c r="B32" s="25">
        <v>174.88</v>
      </c>
      <c r="C32" s="25">
        <v>174.88</v>
      </c>
      <c r="D32" s="25">
        <v>170.13</v>
      </c>
      <c r="E32" s="25">
        <v>171.02</v>
      </c>
      <c r="F32" s="25">
        <v>390854.0</v>
      </c>
    </row>
    <row r="33">
      <c r="A33" s="25">
        <v>38400.645833333336</v>
      </c>
      <c r="B33" s="25">
        <v>171.02</v>
      </c>
      <c r="C33" s="25">
        <v>173.25</v>
      </c>
      <c r="D33" s="25">
        <v>168.83</v>
      </c>
      <c r="E33" s="25">
        <v>172.73</v>
      </c>
      <c r="F33" s="25">
        <v>515622.0</v>
      </c>
    </row>
    <row r="34">
      <c r="A34" s="25">
        <v>38401.645833333336</v>
      </c>
      <c r="B34" s="25">
        <v>172.5</v>
      </c>
      <c r="C34" s="25">
        <v>174.0</v>
      </c>
      <c r="D34" s="25">
        <v>169.38</v>
      </c>
      <c r="E34" s="25">
        <v>171.88</v>
      </c>
      <c r="F34" s="25">
        <v>318143.0</v>
      </c>
    </row>
    <row r="35">
      <c r="A35" s="25">
        <v>38404.645833333336</v>
      </c>
      <c r="B35" s="25">
        <v>171.38</v>
      </c>
      <c r="C35" s="25">
        <v>171.98</v>
      </c>
      <c r="D35" s="25">
        <v>168.14</v>
      </c>
      <c r="E35" s="25">
        <v>170.7</v>
      </c>
      <c r="F35" s="25">
        <v>222144.0</v>
      </c>
    </row>
    <row r="36">
      <c r="A36" s="25">
        <v>38405.645833333336</v>
      </c>
      <c r="B36" s="25">
        <v>170.59</v>
      </c>
      <c r="C36" s="25">
        <v>171.24</v>
      </c>
      <c r="D36" s="25">
        <v>168.88</v>
      </c>
      <c r="E36" s="25">
        <v>170.43</v>
      </c>
      <c r="F36" s="25">
        <v>267380.0</v>
      </c>
    </row>
    <row r="37">
      <c r="A37" s="25">
        <v>38406.645833333336</v>
      </c>
      <c r="B37" s="25">
        <v>170.43</v>
      </c>
      <c r="C37" s="25">
        <v>172.76</v>
      </c>
      <c r="D37" s="25">
        <v>169.4</v>
      </c>
      <c r="E37" s="25">
        <v>171.87</v>
      </c>
      <c r="F37" s="25">
        <v>645852.0</v>
      </c>
    </row>
    <row r="38">
      <c r="A38" s="25">
        <v>38407.645833333336</v>
      </c>
      <c r="B38" s="25">
        <v>171.87</v>
      </c>
      <c r="C38" s="25">
        <v>174.49</v>
      </c>
      <c r="D38" s="25">
        <v>170.15</v>
      </c>
      <c r="E38" s="25">
        <v>170.99</v>
      </c>
      <c r="F38" s="25">
        <v>1350805.0</v>
      </c>
    </row>
    <row r="39">
      <c r="A39" s="25">
        <v>38408.645833333336</v>
      </c>
      <c r="B39" s="25">
        <v>172.1</v>
      </c>
      <c r="C39" s="25">
        <v>172.38</v>
      </c>
      <c r="D39" s="25">
        <v>169.15</v>
      </c>
      <c r="E39" s="25">
        <v>170.51</v>
      </c>
      <c r="F39" s="25">
        <v>633862.0</v>
      </c>
    </row>
    <row r="40">
      <c r="A40" s="25">
        <v>38411.645833333336</v>
      </c>
      <c r="B40" s="25">
        <v>172.38</v>
      </c>
      <c r="C40" s="25">
        <v>173.13</v>
      </c>
      <c r="D40" s="25">
        <v>167.5</v>
      </c>
      <c r="E40" s="25">
        <v>172.61</v>
      </c>
      <c r="F40" s="25">
        <v>800301.0</v>
      </c>
    </row>
    <row r="41">
      <c r="A41" s="25">
        <v>38412.645833333336</v>
      </c>
      <c r="B41" s="25">
        <v>172.63</v>
      </c>
      <c r="C41" s="25">
        <v>180.0</v>
      </c>
      <c r="D41" s="25">
        <v>168.88</v>
      </c>
      <c r="E41" s="25">
        <v>169.68</v>
      </c>
      <c r="F41" s="25">
        <v>619769.0</v>
      </c>
    </row>
    <row r="42">
      <c r="A42" s="25">
        <v>38413.645833333336</v>
      </c>
      <c r="B42" s="25">
        <v>171.88</v>
      </c>
      <c r="C42" s="25">
        <v>171.88</v>
      </c>
      <c r="D42" s="25">
        <v>170.2</v>
      </c>
      <c r="E42" s="25">
        <v>171.0</v>
      </c>
      <c r="F42" s="25">
        <v>332264.0</v>
      </c>
    </row>
    <row r="43">
      <c r="A43" s="25">
        <v>38414.645833333336</v>
      </c>
      <c r="B43" s="25">
        <v>171.25</v>
      </c>
      <c r="C43" s="25">
        <v>174.38</v>
      </c>
      <c r="D43" s="25">
        <v>170.5</v>
      </c>
      <c r="E43" s="25">
        <v>173.7</v>
      </c>
      <c r="F43" s="25">
        <v>361395.0</v>
      </c>
    </row>
    <row r="44">
      <c r="A44" s="25">
        <v>38415.645833333336</v>
      </c>
      <c r="B44" s="25">
        <v>174.25</v>
      </c>
      <c r="C44" s="25">
        <v>175.44</v>
      </c>
      <c r="D44" s="25">
        <v>172.75</v>
      </c>
      <c r="E44" s="25">
        <v>174.03</v>
      </c>
      <c r="F44" s="25">
        <v>502234.0</v>
      </c>
    </row>
    <row r="45">
      <c r="A45" s="25">
        <v>38418.645833333336</v>
      </c>
      <c r="B45" s="25">
        <v>174.38</v>
      </c>
      <c r="C45" s="25">
        <v>176.0</v>
      </c>
      <c r="D45" s="25">
        <v>174.25</v>
      </c>
      <c r="E45" s="25">
        <v>175.03</v>
      </c>
      <c r="F45" s="25">
        <v>457254.0</v>
      </c>
    </row>
    <row r="46">
      <c r="A46" s="25">
        <v>38419.645833333336</v>
      </c>
      <c r="B46" s="25">
        <v>175.5</v>
      </c>
      <c r="C46" s="25">
        <v>177.61</v>
      </c>
      <c r="D46" s="25">
        <v>174.42</v>
      </c>
      <c r="E46" s="25">
        <v>176.74</v>
      </c>
      <c r="F46" s="25">
        <v>628460.0</v>
      </c>
    </row>
    <row r="47">
      <c r="A47" s="25">
        <v>38420.645833333336</v>
      </c>
      <c r="B47" s="25">
        <v>176.13</v>
      </c>
      <c r="C47" s="25">
        <v>178.31</v>
      </c>
      <c r="D47" s="25">
        <v>174.38</v>
      </c>
      <c r="E47" s="25">
        <v>175.94</v>
      </c>
      <c r="F47" s="25">
        <v>677761.0</v>
      </c>
    </row>
    <row r="48">
      <c r="A48" s="25">
        <v>38421.645833333336</v>
      </c>
      <c r="B48" s="25">
        <v>176.25</v>
      </c>
      <c r="C48" s="25">
        <v>176.25</v>
      </c>
      <c r="D48" s="25">
        <v>173.78</v>
      </c>
      <c r="E48" s="25">
        <v>174.95</v>
      </c>
      <c r="F48" s="25">
        <v>287785.0</v>
      </c>
    </row>
    <row r="49">
      <c r="A49" s="25">
        <v>38422.645833333336</v>
      </c>
      <c r="B49" s="25">
        <v>175.75</v>
      </c>
      <c r="C49" s="25">
        <v>179.36</v>
      </c>
      <c r="D49" s="25">
        <v>175.63</v>
      </c>
      <c r="E49" s="25">
        <v>178.43</v>
      </c>
      <c r="F49" s="25">
        <v>650718.0</v>
      </c>
    </row>
    <row r="50">
      <c r="A50" s="25">
        <v>38425.645833333336</v>
      </c>
      <c r="B50" s="25">
        <v>178.5</v>
      </c>
      <c r="C50" s="25">
        <v>182.5</v>
      </c>
      <c r="D50" s="25">
        <v>177.5</v>
      </c>
      <c r="E50" s="25">
        <v>181.48</v>
      </c>
      <c r="F50" s="25">
        <v>816754.0</v>
      </c>
    </row>
    <row r="51">
      <c r="A51" s="25">
        <v>38426.645833333336</v>
      </c>
      <c r="B51" s="25">
        <v>181.38</v>
      </c>
      <c r="C51" s="25">
        <v>182.75</v>
      </c>
      <c r="D51" s="25">
        <v>178.75</v>
      </c>
      <c r="E51" s="25">
        <v>180.33</v>
      </c>
      <c r="F51" s="25">
        <v>518310.0</v>
      </c>
    </row>
    <row r="52">
      <c r="A52" s="25">
        <v>38427.645833333336</v>
      </c>
      <c r="B52" s="25">
        <v>180.0</v>
      </c>
      <c r="C52" s="25">
        <v>183.45</v>
      </c>
      <c r="D52" s="25">
        <v>180.0</v>
      </c>
      <c r="E52" s="25">
        <v>181.51</v>
      </c>
      <c r="F52" s="25">
        <v>684177.0</v>
      </c>
    </row>
    <row r="53">
      <c r="A53" s="25">
        <v>38428.645833333336</v>
      </c>
      <c r="B53" s="25">
        <v>181.0</v>
      </c>
      <c r="C53" s="25">
        <v>184.21</v>
      </c>
      <c r="D53" s="25">
        <v>180.0</v>
      </c>
      <c r="E53" s="25">
        <v>182.62</v>
      </c>
      <c r="F53" s="25">
        <v>850666.0</v>
      </c>
    </row>
    <row r="54">
      <c r="A54" s="25">
        <v>38429.645833333336</v>
      </c>
      <c r="B54" s="25">
        <v>182.38</v>
      </c>
      <c r="C54" s="25">
        <v>184.06</v>
      </c>
      <c r="D54" s="25">
        <v>178.13</v>
      </c>
      <c r="E54" s="25">
        <v>183.59</v>
      </c>
      <c r="F54" s="25">
        <v>765433.0</v>
      </c>
    </row>
    <row r="55">
      <c r="A55" s="25">
        <v>38432.645833333336</v>
      </c>
      <c r="B55" s="25">
        <v>183.77</v>
      </c>
      <c r="C55" s="25">
        <v>184.38</v>
      </c>
      <c r="D55" s="25">
        <v>180.58</v>
      </c>
      <c r="E55" s="25">
        <v>182.06</v>
      </c>
      <c r="F55" s="25">
        <v>544265.0</v>
      </c>
    </row>
    <row r="56">
      <c r="A56" s="25">
        <v>38433.645833333336</v>
      </c>
      <c r="B56" s="25">
        <v>181.85</v>
      </c>
      <c r="C56" s="25">
        <v>182.14</v>
      </c>
      <c r="D56" s="25">
        <v>180.01</v>
      </c>
      <c r="E56" s="25">
        <v>180.45</v>
      </c>
      <c r="F56" s="25">
        <v>335554.0</v>
      </c>
    </row>
    <row r="57">
      <c r="A57" s="25">
        <v>38434.645833333336</v>
      </c>
      <c r="B57" s="25">
        <v>180.0</v>
      </c>
      <c r="C57" s="25">
        <v>181.0</v>
      </c>
      <c r="D57" s="25">
        <v>176.67</v>
      </c>
      <c r="E57" s="25">
        <v>177.66</v>
      </c>
      <c r="F57" s="25">
        <v>429927.0</v>
      </c>
    </row>
    <row r="58">
      <c r="A58" s="25">
        <v>38435.645833333336</v>
      </c>
      <c r="B58" s="25">
        <v>178.75</v>
      </c>
      <c r="C58" s="25">
        <v>179.75</v>
      </c>
      <c r="D58" s="25">
        <v>172.21</v>
      </c>
      <c r="E58" s="25">
        <v>173.05</v>
      </c>
      <c r="F58" s="25">
        <v>744322.0</v>
      </c>
    </row>
    <row r="59">
      <c r="A59" s="25">
        <v>38439.645833333336</v>
      </c>
      <c r="B59" s="25">
        <v>173.88</v>
      </c>
      <c r="C59" s="25">
        <v>176.11</v>
      </c>
      <c r="D59" s="25">
        <v>173.0</v>
      </c>
      <c r="E59" s="25">
        <v>174.05</v>
      </c>
      <c r="F59" s="25">
        <v>462466.0</v>
      </c>
    </row>
    <row r="60">
      <c r="A60" s="25">
        <v>38440.645833333336</v>
      </c>
      <c r="B60" s="25">
        <v>174.38</v>
      </c>
      <c r="C60" s="25">
        <v>174.75</v>
      </c>
      <c r="D60" s="25">
        <v>170.28</v>
      </c>
      <c r="E60" s="25">
        <v>171.36</v>
      </c>
      <c r="F60" s="25">
        <v>381675.0</v>
      </c>
    </row>
    <row r="61">
      <c r="A61" s="25">
        <v>38441.645833333336</v>
      </c>
      <c r="B61" s="25">
        <v>171.39</v>
      </c>
      <c r="C61" s="25">
        <v>175.0</v>
      </c>
      <c r="D61" s="25">
        <v>170.0</v>
      </c>
      <c r="E61" s="25">
        <v>173.82</v>
      </c>
      <c r="F61" s="25">
        <v>514407.0</v>
      </c>
    </row>
    <row r="62">
      <c r="A62" s="25">
        <v>38442.645833333336</v>
      </c>
      <c r="B62" s="25">
        <v>175.56</v>
      </c>
      <c r="C62" s="25">
        <v>180.64</v>
      </c>
      <c r="D62" s="25">
        <v>174.66</v>
      </c>
      <c r="E62" s="25">
        <v>179.01</v>
      </c>
      <c r="F62" s="25">
        <v>864330.0</v>
      </c>
    </row>
    <row r="63">
      <c r="A63" s="25">
        <v>38443.645833333336</v>
      </c>
      <c r="B63" s="25">
        <v>179.13</v>
      </c>
      <c r="C63" s="25">
        <v>182.13</v>
      </c>
      <c r="D63" s="25">
        <v>176.75</v>
      </c>
      <c r="E63" s="25">
        <v>181.37</v>
      </c>
      <c r="F63" s="25">
        <v>695334.0</v>
      </c>
    </row>
    <row r="64">
      <c r="A64" s="25">
        <v>38446.645833333336</v>
      </c>
      <c r="B64" s="25">
        <v>181.5</v>
      </c>
      <c r="C64" s="25">
        <v>182.1</v>
      </c>
      <c r="D64" s="25">
        <v>177.91</v>
      </c>
      <c r="E64" s="25">
        <v>178.47</v>
      </c>
      <c r="F64" s="25">
        <v>657170.0</v>
      </c>
    </row>
    <row r="65">
      <c r="A65" s="25">
        <v>38447.645833333336</v>
      </c>
      <c r="B65" s="25">
        <v>178.63</v>
      </c>
      <c r="C65" s="25">
        <v>180.31</v>
      </c>
      <c r="D65" s="25">
        <v>177.01</v>
      </c>
      <c r="E65" s="25">
        <v>178.18</v>
      </c>
      <c r="F65" s="25">
        <v>420979.0</v>
      </c>
    </row>
    <row r="66">
      <c r="A66" s="25">
        <v>38448.645833333336</v>
      </c>
      <c r="B66" s="25">
        <v>178.38</v>
      </c>
      <c r="C66" s="25">
        <v>181.0</v>
      </c>
      <c r="D66" s="25">
        <v>178.38</v>
      </c>
      <c r="E66" s="25">
        <v>180.17</v>
      </c>
      <c r="F66" s="25">
        <v>244176.0</v>
      </c>
    </row>
    <row r="67">
      <c r="A67" s="25">
        <v>38449.645833333336</v>
      </c>
      <c r="B67" s="25">
        <v>180.13</v>
      </c>
      <c r="C67" s="25">
        <v>181.25</v>
      </c>
      <c r="D67" s="25">
        <v>177.75</v>
      </c>
      <c r="E67" s="25">
        <v>178.15</v>
      </c>
      <c r="F67" s="25">
        <v>310402.0</v>
      </c>
    </row>
    <row r="68">
      <c r="A68" s="25">
        <v>38450.645833333336</v>
      </c>
      <c r="B68" s="25">
        <v>178.84</v>
      </c>
      <c r="C68" s="25">
        <v>179.36</v>
      </c>
      <c r="D68" s="25">
        <v>173.76</v>
      </c>
      <c r="E68" s="25">
        <v>174.2</v>
      </c>
      <c r="F68" s="25">
        <v>506535.0</v>
      </c>
    </row>
    <row r="69">
      <c r="A69" s="25">
        <v>38453.645833333336</v>
      </c>
      <c r="B69" s="25">
        <v>174.63</v>
      </c>
      <c r="C69" s="25">
        <v>175.0</v>
      </c>
      <c r="D69" s="25">
        <v>170.01</v>
      </c>
      <c r="E69" s="25">
        <v>170.45</v>
      </c>
      <c r="F69" s="25">
        <v>352874.0</v>
      </c>
    </row>
    <row r="70">
      <c r="A70" s="25">
        <v>38454.645833333336</v>
      </c>
      <c r="B70" s="25">
        <v>174.88</v>
      </c>
      <c r="C70" s="25">
        <v>174.88</v>
      </c>
      <c r="D70" s="25">
        <v>170.63</v>
      </c>
      <c r="E70" s="25">
        <v>172.75</v>
      </c>
      <c r="F70" s="25">
        <v>514087.0</v>
      </c>
    </row>
    <row r="71">
      <c r="A71" s="25">
        <v>38455.645833333336</v>
      </c>
      <c r="B71" s="25">
        <v>174.25</v>
      </c>
      <c r="C71" s="25">
        <v>175.88</v>
      </c>
      <c r="D71" s="25">
        <v>173.2</v>
      </c>
      <c r="E71" s="25">
        <v>175.2</v>
      </c>
      <c r="F71" s="25">
        <v>579825.0</v>
      </c>
    </row>
    <row r="72">
      <c r="A72" s="25">
        <v>38457.645833333336</v>
      </c>
      <c r="B72" s="25">
        <v>174.38</v>
      </c>
      <c r="C72" s="25">
        <v>174.38</v>
      </c>
      <c r="D72" s="25">
        <v>164.38</v>
      </c>
      <c r="E72" s="25">
        <v>164.88</v>
      </c>
      <c r="F72" s="25">
        <v>1232810.0</v>
      </c>
    </row>
    <row r="73">
      <c r="A73" s="25">
        <v>38460.645833333336</v>
      </c>
      <c r="B73" s="25">
        <v>162.5</v>
      </c>
      <c r="C73" s="25">
        <v>168.59</v>
      </c>
      <c r="D73" s="25">
        <v>161.38</v>
      </c>
      <c r="E73" s="25">
        <v>164.83</v>
      </c>
      <c r="F73" s="25">
        <v>753038.0</v>
      </c>
    </row>
    <row r="74">
      <c r="A74" s="25">
        <v>38461.645833333336</v>
      </c>
      <c r="B74" s="25">
        <v>166.25</v>
      </c>
      <c r="C74" s="25">
        <v>168.61</v>
      </c>
      <c r="D74" s="25">
        <v>147.26</v>
      </c>
      <c r="E74" s="25">
        <v>151.09</v>
      </c>
      <c r="F74" s="25">
        <v>3404394.0</v>
      </c>
    </row>
    <row r="75">
      <c r="A75" s="25">
        <v>38462.645833333336</v>
      </c>
      <c r="B75" s="25">
        <v>150.0</v>
      </c>
      <c r="C75" s="25">
        <v>150.0</v>
      </c>
      <c r="D75" s="25">
        <v>136.66</v>
      </c>
      <c r="E75" s="25">
        <v>139.53</v>
      </c>
      <c r="F75" s="25">
        <v>5937282.0</v>
      </c>
    </row>
    <row r="76">
      <c r="A76" s="25">
        <v>38463.645833333336</v>
      </c>
      <c r="B76" s="25">
        <v>140.63</v>
      </c>
      <c r="C76" s="25">
        <v>143.5</v>
      </c>
      <c r="D76" s="25">
        <v>138.75</v>
      </c>
      <c r="E76" s="25">
        <v>142.8</v>
      </c>
      <c r="F76" s="25">
        <v>1656542.0</v>
      </c>
    </row>
    <row r="77">
      <c r="A77" s="25">
        <v>38464.645833333336</v>
      </c>
      <c r="B77" s="25">
        <v>145.0</v>
      </c>
      <c r="C77" s="25">
        <v>146.46</v>
      </c>
      <c r="D77" s="25">
        <v>142.53</v>
      </c>
      <c r="E77" s="25">
        <v>145.85</v>
      </c>
      <c r="F77" s="25">
        <v>1619834.0</v>
      </c>
    </row>
    <row r="78">
      <c r="A78" s="25">
        <v>38467.645833333336</v>
      </c>
      <c r="B78" s="25">
        <v>145.6</v>
      </c>
      <c r="C78" s="25">
        <v>145.99</v>
      </c>
      <c r="D78" s="25">
        <v>143.5</v>
      </c>
      <c r="E78" s="25">
        <v>144.62</v>
      </c>
      <c r="F78" s="25">
        <v>860073.0</v>
      </c>
    </row>
    <row r="79">
      <c r="A79" s="25">
        <v>38468.645833333336</v>
      </c>
      <c r="B79" s="25">
        <v>144.63</v>
      </c>
      <c r="C79" s="25">
        <v>145.48</v>
      </c>
      <c r="D79" s="25">
        <v>141.76</v>
      </c>
      <c r="E79" s="25">
        <v>142.09</v>
      </c>
      <c r="F79" s="25">
        <v>692375.0</v>
      </c>
    </row>
    <row r="80">
      <c r="A80" s="25">
        <v>38469.645833333336</v>
      </c>
      <c r="B80" s="25">
        <v>142.64</v>
      </c>
      <c r="C80" s="25">
        <v>142.64</v>
      </c>
      <c r="D80" s="25">
        <v>138.88</v>
      </c>
      <c r="E80" s="25">
        <v>139.46</v>
      </c>
      <c r="F80" s="25">
        <v>817171.0</v>
      </c>
    </row>
    <row r="81">
      <c r="A81" s="25">
        <v>38470.645833333336</v>
      </c>
      <c r="B81" s="25">
        <v>139.39</v>
      </c>
      <c r="C81" s="25">
        <v>141.25</v>
      </c>
      <c r="D81" s="25">
        <v>137.15</v>
      </c>
      <c r="E81" s="25">
        <v>139.35</v>
      </c>
      <c r="F81" s="25">
        <v>1091109.0</v>
      </c>
    </row>
    <row r="82">
      <c r="A82" s="25">
        <v>38471.645833333336</v>
      </c>
      <c r="B82" s="25">
        <v>141.1</v>
      </c>
      <c r="C82" s="25">
        <v>143.09</v>
      </c>
      <c r="D82" s="25">
        <v>139.63</v>
      </c>
      <c r="E82" s="25">
        <v>141.39</v>
      </c>
      <c r="F82" s="25">
        <v>1383213.0</v>
      </c>
    </row>
    <row r="83">
      <c r="A83" s="25">
        <v>38474.645833333336</v>
      </c>
      <c r="B83" s="25">
        <v>143.75</v>
      </c>
      <c r="C83" s="25">
        <v>147.25</v>
      </c>
      <c r="D83" s="25">
        <v>139.76</v>
      </c>
      <c r="E83" s="25">
        <v>141.11</v>
      </c>
      <c r="F83" s="25">
        <v>641200.0</v>
      </c>
    </row>
    <row r="84">
      <c r="A84" s="25">
        <v>38475.645833333336</v>
      </c>
      <c r="B84" s="25">
        <v>141.25</v>
      </c>
      <c r="C84" s="25">
        <v>141.88</v>
      </c>
      <c r="D84" s="25">
        <v>138.17</v>
      </c>
      <c r="E84" s="25">
        <v>138.57</v>
      </c>
      <c r="F84" s="25">
        <v>687881.0</v>
      </c>
    </row>
    <row r="85">
      <c r="A85" s="25">
        <v>38476.645833333336</v>
      </c>
      <c r="B85" s="25">
        <v>138.31</v>
      </c>
      <c r="C85" s="25">
        <v>140.56</v>
      </c>
      <c r="D85" s="25">
        <v>138.31</v>
      </c>
      <c r="E85" s="25">
        <v>140.11</v>
      </c>
      <c r="F85" s="25">
        <v>599018.0</v>
      </c>
    </row>
    <row r="86">
      <c r="A86" s="25">
        <v>38477.645833333336</v>
      </c>
      <c r="B86" s="25">
        <v>143.74</v>
      </c>
      <c r="C86" s="25">
        <v>143.75</v>
      </c>
      <c r="D86" s="25">
        <v>140.7</v>
      </c>
      <c r="E86" s="25">
        <v>142.11</v>
      </c>
      <c r="F86" s="25">
        <v>811883.0</v>
      </c>
    </row>
    <row r="87">
      <c r="A87" s="25">
        <v>38478.645833333336</v>
      </c>
      <c r="B87" s="25">
        <v>142.5</v>
      </c>
      <c r="C87" s="25">
        <v>146.46</v>
      </c>
      <c r="D87" s="25">
        <v>141.52</v>
      </c>
      <c r="E87" s="25">
        <v>145.94</v>
      </c>
      <c r="F87" s="25">
        <v>1023583.0</v>
      </c>
    </row>
    <row r="88">
      <c r="A88" s="25">
        <v>38481.645833333336</v>
      </c>
      <c r="B88" s="25">
        <v>146.25</v>
      </c>
      <c r="C88" s="25">
        <v>147.78</v>
      </c>
      <c r="D88" s="25">
        <v>145.78</v>
      </c>
      <c r="E88" s="25">
        <v>146.91</v>
      </c>
      <c r="F88" s="25">
        <v>592380.0</v>
      </c>
    </row>
    <row r="89">
      <c r="A89" s="25">
        <v>38482.645833333336</v>
      </c>
      <c r="B89" s="25">
        <v>147.25</v>
      </c>
      <c r="C89" s="25">
        <v>147.25</v>
      </c>
      <c r="D89" s="25">
        <v>143.28</v>
      </c>
      <c r="E89" s="25">
        <v>144.06</v>
      </c>
      <c r="F89" s="25">
        <v>884494.0</v>
      </c>
    </row>
    <row r="90">
      <c r="A90" s="25">
        <v>38483.645833333336</v>
      </c>
      <c r="B90" s="25">
        <v>143.5</v>
      </c>
      <c r="C90" s="25">
        <v>144.07</v>
      </c>
      <c r="D90" s="25">
        <v>142.24</v>
      </c>
      <c r="E90" s="25">
        <v>143.64</v>
      </c>
      <c r="F90" s="25">
        <v>401661.0</v>
      </c>
    </row>
    <row r="91">
      <c r="A91" s="25">
        <v>38484.645833333336</v>
      </c>
      <c r="B91" s="25">
        <v>144.88</v>
      </c>
      <c r="C91" s="25">
        <v>145.21</v>
      </c>
      <c r="D91" s="25">
        <v>142.9</v>
      </c>
      <c r="E91" s="25">
        <v>143.35</v>
      </c>
      <c r="F91" s="25">
        <v>451118.0</v>
      </c>
    </row>
    <row r="92">
      <c r="A92" s="25">
        <v>38485.645833333336</v>
      </c>
      <c r="B92" s="25">
        <v>143.63</v>
      </c>
      <c r="C92" s="25">
        <v>143.88</v>
      </c>
      <c r="D92" s="25">
        <v>142.52</v>
      </c>
      <c r="E92" s="25">
        <v>143.57</v>
      </c>
      <c r="F92" s="25">
        <v>298594.0</v>
      </c>
    </row>
    <row r="93">
      <c r="A93" s="25">
        <v>38488.645833333336</v>
      </c>
      <c r="B93" s="25">
        <v>143.13</v>
      </c>
      <c r="C93" s="25">
        <v>144.86</v>
      </c>
      <c r="D93" s="25">
        <v>142.78</v>
      </c>
      <c r="E93" s="25">
        <v>144.29</v>
      </c>
      <c r="F93" s="25">
        <v>721900.0</v>
      </c>
    </row>
    <row r="94">
      <c r="A94" s="25">
        <v>38489.645833333336</v>
      </c>
      <c r="B94" s="25">
        <v>145.14</v>
      </c>
      <c r="C94" s="25">
        <v>145.59</v>
      </c>
      <c r="D94" s="25">
        <v>143.05</v>
      </c>
      <c r="E94" s="25">
        <v>143.82</v>
      </c>
      <c r="F94" s="25">
        <v>583322.0</v>
      </c>
    </row>
    <row r="95">
      <c r="A95" s="25">
        <v>38490.645833333336</v>
      </c>
      <c r="B95" s="25">
        <v>144.25</v>
      </c>
      <c r="C95" s="25">
        <v>144.25</v>
      </c>
      <c r="D95" s="25">
        <v>140.38</v>
      </c>
      <c r="E95" s="25">
        <v>142.84</v>
      </c>
      <c r="F95" s="25">
        <v>573528.0</v>
      </c>
    </row>
    <row r="96">
      <c r="A96" s="25">
        <v>38491.645833333336</v>
      </c>
      <c r="B96" s="25">
        <v>144.18</v>
      </c>
      <c r="C96" s="25">
        <v>146.5</v>
      </c>
      <c r="D96" s="25">
        <v>144.15</v>
      </c>
      <c r="E96" s="25">
        <v>145.31</v>
      </c>
      <c r="F96" s="25">
        <v>457431.0</v>
      </c>
    </row>
    <row r="97">
      <c r="A97" s="25">
        <v>38492.645833333336</v>
      </c>
      <c r="B97" s="25">
        <v>145.63</v>
      </c>
      <c r="C97" s="25">
        <v>146.84</v>
      </c>
      <c r="D97" s="25">
        <v>143.4</v>
      </c>
      <c r="E97" s="25">
        <v>146.21</v>
      </c>
      <c r="F97" s="25">
        <v>408202.0</v>
      </c>
    </row>
    <row r="98">
      <c r="A98" s="25">
        <v>38495.645833333336</v>
      </c>
      <c r="B98" s="25">
        <v>146.25</v>
      </c>
      <c r="C98" s="25">
        <v>154.36</v>
      </c>
      <c r="D98" s="25">
        <v>146.25</v>
      </c>
      <c r="E98" s="25">
        <v>152.98</v>
      </c>
      <c r="F98" s="25">
        <v>1295252.0</v>
      </c>
    </row>
    <row r="99">
      <c r="A99" s="25">
        <v>38496.645833333336</v>
      </c>
      <c r="B99" s="25">
        <v>155.59</v>
      </c>
      <c r="C99" s="25">
        <v>155.59</v>
      </c>
      <c r="D99" s="25">
        <v>150.66</v>
      </c>
      <c r="E99" s="25">
        <v>154.36</v>
      </c>
      <c r="F99" s="25">
        <v>766107.0</v>
      </c>
    </row>
    <row r="100">
      <c r="A100" s="25">
        <v>38497.645833333336</v>
      </c>
      <c r="B100" s="25">
        <v>153.71</v>
      </c>
      <c r="C100" s="25">
        <v>158.68</v>
      </c>
      <c r="D100" s="25">
        <v>151.88</v>
      </c>
      <c r="E100" s="25">
        <v>157.57</v>
      </c>
      <c r="F100" s="25">
        <v>986809.0</v>
      </c>
    </row>
    <row r="101">
      <c r="A101" s="25">
        <v>38498.645833333336</v>
      </c>
      <c r="B101" s="25">
        <v>157.25</v>
      </c>
      <c r="C101" s="25">
        <v>162.0</v>
      </c>
      <c r="D101" s="25">
        <v>156.4</v>
      </c>
      <c r="E101" s="25">
        <v>161.26</v>
      </c>
      <c r="F101" s="25">
        <v>1222762.0</v>
      </c>
    </row>
    <row r="102">
      <c r="A102" s="25">
        <v>38499.645833333336</v>
      </c>
      <c r="B102" s="25">
        <v>160.38</v>
      </c>
      <c r="C102" s="25">
        <v>162.38</v>
      </c>
      <c r="D102" s="25">
        <v>156.91</v>
      </c>
      <c r="E102" s="25">
        <v>158.65</v>
      </c>
      <c r="F102" s="25">
        <v>920435.0</v>
      </c>
    </row>
    <row r="103">
      <c r="A103" s="25">
        <v>38502.645833333336</v>
      </c>
      <c r="B103" s="25">
        <v>158.65</v>
      </c>
      <c r="C103" s="25">
        <v>166.63</v>
      </c>
      <c r="D103" s="25">
        <v>158.0</v>
      </c>
      <c r="E103" s="25">
        <v>164.89</v>
      </c>
      <c r="F103" s="25">
        <v>2236648.0</v>
      </c>
    </row>
    <row r="104">
      <c r="A104" s="25">
        <v>38503.645833333336</v>
      </c>
      <c r="B104" s="25">
        <v>165.0</v>
      </c>
      <c r="C104" s="25">
        <v>167.86</v>
      </c>
      <c r="D104" s="25">
        <v>163.2</v>
      </c>
      <c r="E104" s="25">
        <v>166.78</v>
      </c>
      <c r="F104" s="25">
        <v>1295696.0</v>
      </c>
    </row>
    <row r="105">
      <c r="A105" s="25">
        <v>38504.645833333336</v>
      </c>
      <c r="B105" s="25">
        <v>166.25</v>
      </c>
      <c r="C105" s="25">
        <v>166.25</v>
      </c>
      <c r="D105" s="25">
        <v>162.2</v>
      </c>
      <c r="E105" s="25">
        <v>163.06</v>
      </c>
      <c r="F105" s="25">
        <v>941261.0</v>
      </c>
    </row>
    <row r="106">
      <c r="A106" s="25">
        <v>38505.645833333336</v>
      </c>
      <c r="B106" s="25">
        <v>163.5</v>
      </c>
      <c r="C106" s="25">
        <v>163.63</v>
      </c>
      <c r="D106" s="25">
        <v>158.14</v>
      </c>
      <c r="E106" s="25">
        <v>158.57</v>
      </c>
      <c r="F106" s="25">
        <v>1384578.0</v>
      </c>
    </row>
    <row r="107">
      <c r="A107" s="25">
        <v>38506.645833333336</v>
      </c>
      <c r="B107" s="25">
        <v>158.57</v>
      </c>
      <c r="C107" s="25">
        <v>162.09</v>
      </c>
      <c r="D107" s="25">
        <v>157.63</v>
      </c>
      <c r="E107" s="25">
        <v>161.65</v>
      </c>
      <c r="F107" s="25">
        <v>818566.0</v>
      </c>
    </row>
    <row r="108">
      <c r="A108" s="25">
        <v>38509.645833333336</v>
      </c>
      <c r="B108" s="25">
        <v>161.88</v>
      </c>
      <c r="C108" s="25">
        <v>162.71</v>
      </c>
      <c r="D108" s="25">
        <v>158.79</v>
      </c>
      <c r="E108" s="25">
        <v>160.05</v>
      </c>
      <c r="F108" s="25">
        <v>724064.0</v>
      </c>
    </row>
    <row r="109">
      <c r="A109" s="25">
        <v>38510.645833333336</v>
      </c>
      <c r="B109" s="25">
        <v>161.1</v>
      </c>
      <c r="C109" s="25">
        <v>161.1</v>
      </c>
      <c r="D109" s="25">
        <v>158.63</v>
      </c>
      <c r="E109" s="25">
        <v>159.71</v>
      </c>
      <c r="F109" s="25">
        <v>462274.0</v>
      </c>
    </row>
    <row r="110">
      <c r="A110" s="25">
        <v>38511.645833333336</v>
      </c>
      <c r="B110" s="25">
        <v>160.0</v>
      </c>
      <c r="C110" s="25">
        <v>162.0</v>
      </c>
      <c r="D110" s="25">
        <v>159.51</v>
      </c>
      <c r="E110" s="25">
        <v>161.51</v>
      </c>
      <c r="F110" s="25">
        <v>604064.0</v>
      </c>
    </row>
    <row r="111">
      <c r="A111" s="25">
        <v>38512.645833333336</v>
      </c>
      <c r="B111" s="25">
        <v>161.75</v>
      </c>
      <c r="C111" s="25">
        <v>162.38</v>
      </c>
      <c r="D111" s="25">
        <v>158.92</v>
      </c>
      <c r="E111" s="25">
        <v>159.66</v>
      </c>
      <c r="F111" s="25">
        <v>449792.0</v>
      </c>
    </row>
    <row r="112">
      <c r="A112" s="25">
        <v>38513.645833333336</v>
      </c>
      <c r="B112" s="25">
        <v>160.0</v>
      </c>
      <c r="C112" s="25">
        <v>162.5</v>
      </c>
      <c r="D112" s="25">
        <v>157.64</v>
      </c>
      <c r="E112" s="25">
        <v>158.27</v>
      </c>
      <c r="F112" s="25">
        <v>830328.0</v>
      </c>
    </row>
    <row r="113">
      <c r="A113" s="25">
        <v>38516.645833333336</v>
      </c>
      <c r="B113" s="25">
        <v>159.38</v>
      </c>
      <c r="C113" s="25">
        <v>160.38</v>
      </c>
      <c r="D113" s="25">
        <v>157.53</v>
      </c>
      <c r="E113" s="25">
        <v>158.96</v>
      </c>
      <c r="F113" s="25">
        <v>323754.0</v>
      </c>
    </row>
    <row r="114">
      <c r="A114" s="25">
        <v>38517.645833333336</v>
      </c>
      <c r="B114" s="25">
        <v>159.63</v>
      </c>
      <c r="C114" s="25">
        <v>159.99</v>
      </c>
      <c r="D114" s="25">
        <v>157.53</v>
      </c>
      <c r="E114" s="25">
        <v>158.26</v>
      </c>
      <c r="F114" s="25">
        <v>431548.0</v>
      </c>
    </row>
    <row r="115">
      <c r="A115" s="25">
        <v>38518.645833333336</v>
      </c>
      <c r="B115" s="25">
        <v>158.72</v>
      </c>
      <c r="C115" s="25">
        <v>159.74</v>
      </c>
      <c r="D115" s="25">
        <v>158.29</v>
      </c>
      <c r="E115" s="25">
        <v>159.02</v>
      </c>
      <c r="F115" s="25">
        <v>348884.0</v>
      </c>
    </row>
    <row r="116">
      <c r="A116" s="25">
        <v>38519.645833333336</v>
      </c>
      <c r="B116" s="25">
        <v>159.73</v>
      </c>
      <c r="C116" s="25">
        <v>160.99</v>
      </c>
      <c r="D116" s="25">
        <v>158.11</v>
      </c>
      <c r="E116" s="25">
        <v>159.71</v>
      </c>
      <c r="F116" s="25">
        <v>574194.0</v>
      </c>
    </row>
    <row r="117">
      <c r="A117" s="25">
        <v>38520.645833333336</v>
      </c>
      <c r="B117" s="25">
        <v>160.34</v>
      </c>
      <c r="C117" s="25">
        <v>160.81</v>
      </c>
      <c r="D117" s="25">
        <v>157.89</v>
      </c>
      <c r="E117" s="25">
        <v>158.46</v>
      </c>
      <c r="F117" s="25">
        <v>383499.0</v>
      </c>
    </row>
    <row r="118">
      <c r="A118" s="25">
        <v>38523.645833333336</v>
      </c>
      <c r="B118" s="25">
        <v>159.38</v>
      </c>
      <c r="C118" s="25">
        <v>162.74</v>
      </c>
      <c r="D118" s="25">
        <v>158.79</v>
      </c>
      <c r="E118" s="25">
        <v>161.99</v>
      </c>
      <c r="F118" s="25">
        <v>801584.0</v>
      </c>
    </row>
    <row r="119">
      <c r="A119" s="25">
        <v>38524.645833333336</v>
      </c>
      <c r="B119" s="25">
        <v>162.5</v>
      </c>
      <c r="C119" s="25">
        <v>164.05</v>
      </c>
      <c r="D119" s="25">
        <v>160.41</v>
      </c>
      <c r="E119" s="25">
        <v>163.14</v>
      </c>
      <c r="F119" s="25">
        <v>1307943.0</v>
      </c>
    </row>
    <row r="120">
      <c r="A120" s="25">
        <v>38525.645833333336</v>
      </c>
      <c r="B120" s="25">
        <v>163.63</v>
      </c>
      <c r="C120" s="25">
        <v>167.38</v>
      </c>
      <c r="D120" s="25">
        <v>163.63</v>
      </c>
      <c r="E120" s="25">
        <v>166.67</v>
      </c>
      <c r="F120" s="25">
        <v>1442172.0</v>
      </c>
    </row>
    <row r="121">
      <c r="A121" s="25">
        <v>38526.645833333336</v>
      </c>
      <c r="B121" s="25">
        <v>166.25</v>
      </c>
      <c r="C121" s="25">
        <v>167.22</v>
      </c>
      <c r="D121" s="25">
        <v>163.13</v>
      </c>
      <c r="E121" s="25">
        <v>163.43</v>
      </c>
      <c r="F121" s="25">
        <v>459618.0</v>
      </c>
    </row>
    <row r="122">
      <c r="A122" s="25">
        <v>38527.645833333336</v>
      </c>
      <c r="B122" s="25">
        <v>162.5</v>
      </c>
      <c r="C122" s="25">
        <v>167.29</v>
      </c>
      <c r="D122" s="25">
        <v>161.88</v>
      </c>
      <c r="E122" s="25">
        <v>165.72</v>
      </c>
      <c r="F122" s="25">
        <v>752665.0</v>
      </c>
    </row>
    <row r="123">
      <c r="A123" s="25">
        <v>38530.645833333336</v>
      </c>
      <c r="B123" s="25">
        <v>164.96</v>
      </c>
      <c r="C123" s="25">
        <v>166.63</v>
      </c>
      <c r="D123" s="25">
        <v>163.5</v>
      </c>
      <c r="E123" s="25">
        <v>164.56</v>
      </c>
      <c r="F123" s="25">
        <v>443516.0</v>
      </c>
    </row>
    <row r="124">
      <c r="A124" s="25">
        <v>38531.645833333336</v>
      </c>
      <c r="B124" s="25">
        <v>164.75</v>
      </c>
      <c r="C124" s="25">
        <v>166.0</v>
      </c>
      <c r="D124" s="25">
        <v>164.26</v>
      </c>
      <c r="E124" s="25">
        <v>165.45</v>
      </c>
      <c r="F124" s="25">
        <v>722014.0</v>
      </c>
    </row>
    <row r="125">
      <c r="A125" s="25">
        <v>38532.645833333336</v>
      </c>
      <c r="B125" s="25">
        <v>165.63</v>
      </c>
      <c r="C125" s="25">
        <v>169.74</v>
      </c>
      <c r="D125" s="25">
        <v>165.27</v>
      </c>
      <c r="E125" s="25">
        <v>166.57</v>
      </c>
      <c r="F125" s="25">
        <v>805830.0</v>
      </c>
    </row>
    <row r="126">
      <c r="A126" s="25">
        <v>38533.645833333336</v>
      </c>
      <c r="B126" s="25">
        <v>167.35</v>
      </c>
      <c r="C126" s="25">
        <v>170.63</v>
      </c>
      <c r="D126" s="25">
        <v>167.35</v>
      </c>
      <c r="E126" s="25">
        <v>169.76</v>
      </c>
      <c r="F126" s="25">
        <v>898625.0</v>
      </c>
    </row>
    <row r="127">
      <c r="A127" s="25">
        <v>38534.645833333336</v>
      </c>
      <c r="B127" s="25">
        <v>168.75</v>
      </c>
      <c r="C127" s="25">
        <v>169.59</v>
      </c>
      <c r="D127" s="25">
        <v>167.55</v>
      </c>
      <c r="E127" s="25">
        <v>169.05</v>
      </c>
      <c r="F127" s="25">
        <v>602571.0</v>
      </c>
    </row>
    <row r="128">
      <c r="A128" s="25">
        <v>38537.645833333336</v>
      </c>
      <c r="B128" s="25">
        <v>169.85</v>
      </c>
      <c r="C128" s="25">
        <v>171.49</v>
      </c>
      <c r="D128" s="25">
        <v>166.38</v>
      </c>
      <c r="E128" s="25">
        <v>169.88</v>
      </c>
      <c r="F128" s="25">
        <v>493956.0</v>
      </c>
    </row>
    <row r="129">
      <c r="A129" s="25">
        <v>38538.645833333336</v>
      </c>
      <c r="B129" s="25">
        <v>171.22</v>
      </c>
      <c r="C129" s="25">
        <v>171.22</v>
      </c>
      <c r="D129" s="25">
        <v>164.08</v>
      </c>
      <c r="E129" s="25">
        <v>165.03</v>
      </c>
      <c r="F129" s="25">
        <v>648422.0</v>
      </c>
    </row>
    <row r="130">
      <c r="A130" s="25">
        <v>38539.645833333336</v>
      </c>
      <c r="B130" s="25">
        <v>165.75</v>
      </c>
      <c r="C130" s="25">
        <v>166.58</v>
      </c>
      <c r="D130" s="25">
        <v>164.52</v>
      </c>
      <c r="E130" s="25">
        <v>165.39</v>
      </c>
      <c r="F130" s="25">
        <v>382152.0</v>
      </c>
    </row>
    <row r="131">
      <c r="A131" s="25">
        <v>38540.645833333336</v>
      </c>
      <c r="B131" s="25">
        <v>165.39</v>
      </c>
      <c r="C131" s="25">
        <v>167.5</v>
      </c>
      <c r="D131" s="25">
        <v>162.91</v>
      </c>
      <c r="E131" s="25">
        <v>163.71</v>
      </c>
      <c r="F131" s="25">
        <v>436111.0</v>
      </c>
    </row>
    <row r="132">
      <c r="A132" s="25">
        <v>38541.645833333336</v>
      </c>
      <c r="B132" s="25">
        <v>163.82</v>
      </c>
      <c r="C132" s="25">
        <v>166.18</v>
      </c>
      <c r="D132" s="25">
        <v>161.7</v>
      </c>
      <c r="E132" s="25">
        <v>163.89</v>
      </c>
      <c r="F132" s="25">
        <v>761000.0</v>
      </c>
    </row>
    <row r="133">
      <c r="A133" s="25">
        <v>38544.645833333336</v>
      </c>
      <c r="B133" s="25">
        <v>163.89</v>
      </c>
      <c r="C133" s="25">
        <v>166.25</v>
      </c>
      <c r="D133" s="25">
        <v>163.89</v>
      </c>
      <c r="E133" s="25">
        <v>165.76</v>
      </c>
      <c r="F133" s="25">
        <v>473908.0</v>
      </c>
    </row>
    <row r="134">
      <c r="A134" s="25">
        <v>38545.645833333336</v>
      </c>
      <c r="B134" s="25">
        <v>164.83</v>
      </c>
      <c r="C134" s="25">
        <v>165.13</v>
      </c>
      <c r="D134" s="25">
        <v>159.04</v>
      </c>
      <c r="E134" s="25">
        <v>160.74</v>
      </c>
      <c r="F134" s="25">
        <v>768825.0</v>
      </c>
    </row>
    <row r="135">
      <c r="A135" s="25">
        <v>38546.645833333336</v>
      </c>
      <c r="B135" s="25">
        <v>160.63</v>
      </c>
      <c r="C135" s="25">
        <v>162.5</v>
      </c>
      <c r="D135" s="25">
        <v>158.38</v>
      </c>
      <c r="E135" s="25">
        <v>158.85</v>
      </c>
      <c r="F135" s="25">
        <v>808730.0</v>
      </c>
    </row>
    <row r="136">
      <c r="A136" s="25">
        <v>38547.645833333336</v>
      </c>
      <c r="B136" s="25">
        <v>159.83</v>
      </c>
      <c r="C136" s="25">
        <v>160.96</v>
      </c>
      <c r="D136" s="25">
        <v>152.04</v>
      </c>
      <c r="E136" s="25">
        <v>153.13</v>
      </c>
      <c r="F136" s="25">
        <v>1107551.0</v>
      </c>
    </row>
    <row r="137">
      <c r="A137" s="25">
        <v>38548.645833333336</v>
      </c>
      <c r="B137" s="25">
        <v>153.88</v>
      </c>
      <c r="C137" s="25">
        <v>157.74</v>
      </c>
      <c r="D137" s="25">
        <v>151.88</v>
      </c>
      <c r="E137" s="25">
        <v>156.06</v>
      </c>
      <c r="F137" s="25">
        <v>1167715.0</v>
      </c>
    </row>
    <row r="138">
      <c r="A138" s="25">
        <v>38551.645833333336</v>
      </c>
      <c r="B138" s="25">
        <v>156.5</v>
      </c>
      <c r="C138" s="25">
        <v>184.88</v>
      </c>
      <c r="D138" s="25">
        <v>156.5</v>
      </c>
      <c r="E138" s="25">
        <v>165.28</v>
      </c>
      <c r="F138" s="25">
        <v>1809451.0</v>
      </c>
    </row>
    <row r="139">
      <c r="A139" s="25">
        <v>38552.645833333336</v>
      </c>
      <c r="B139" s="25">
        <v>168.55</v>
      </c>
      <c r="C139" s="25">
        <v>169.75</v>
      </c>
      <c r="D139" s="25">
        <v>157.5</v>
      </c>
      <c r="E139" s="25">
        <v>164.9</v>
      </c>
      <c r="F139" s="25">
        <v>584718.0</v>
      </c>
    </row>
    <row r="140">
      <c r="A140" s="25">
        <v>38553.645833333336</v>
      </c>
      <c r="B140" s="25">
        <v>166.88</v>
      </c>
      <c r="C140" s="25">
        <v>166.88</v>
      </c>
      <c r="D140" s="25">
        <v>163.15</v>
      </c>
      <c r="E140" s="25">
        <v>163.53</v>
      </c>
      <c r="F140" s="25">
        <v>436788.0</v>
      </c>
    </row>
    <row r="141">
      <c r="A141" s="25">
        <v>38554.645833333336</v>
      </c>
      <c r="B141" s="25">
        <v>165.13</v>
      </c>
      <c r="C141" s="25">
        <v>165.13</v>
      </c>
      <c r="D141" s="25">
        <v>160.0</v>
      </c>
      <c r="E141" s="25">
        <v>161.29</v>
      </c>
      <c r="F141" s="25">
        <v>524873.0</v>
      </c>
    </row>
    <row r="142">
      <c r="A142" s="25">
        <v>38555.645833333336</v>
      </c>
      <c r="B142" s="25">
        <v>160.63</v>
      </c>
      <c r="C142" s="25">
        <v>162.23</v>
      </c>
      <c r="D142" s="25">
        <v>158.8</v>
      </c>
      <c r="E142" s="25">
        <v>161.74</v>
      </c>
      <c r="F142" s="25">
        <v>647412.0</v>
      </c>
    </row>
    <row r="143">
      <c r="A143" s="25">
        <v>38558.645833333336</v>
      </c>
      <c r="B143" s="25">
        <v>162.07</v>
      </c>
      <c r="C143" s="25">
        <v>162.79</v>
      </c>
      <c r="D143" s="25">
        <v>159.4</v>
      </c>
      <c r="E143" s="25">
        <v>160.54</v>
      </c>
      <c r="F143" s="25">
        <v>679128.0</v>
      </c>
    </row>
    <row r="144">
      <c r="A144" s="25">
        <v>38559.645833333336</v>
      </c>
      <c r="B144" s="25">
        <v>160.73</v>
      </c>
      <c r="C144" s="25">
        <v>161.5</v>
      </c>
      <c r="D144" s="25">
        <v>157.5</v>
      </c>
      <c r="E144" s="25">
        <v>158.16</v>
      </c>
      <c r="F144" s="25">
        <v>653710.0</v>
      </c>
    </row>
    <row r="145">
      <c r="A145" s="25">
        <v>38560.645833333336</v>
      </c>
      <c r="B145" s="25">
        <v>158.13</v>
      </c>
      <c r="C145" s="25">
        <v>161.0</v>
      </c>
      <c r="D145" s="25">
        <v>158.13</v>
      </c>
      <c r="E145" s="25">
        <v>160.56</v>
      </c>
      <c r="F145" s="25">
        <v>324676.0</v>
      </c>
    </row>
    <row r="146">
      <c r="A146" s="25">
        <v>38562.645833333336</v>
      </c>
      <c r="B146" s="25">
        <v>159.38</v>
      </c>
      <c r="C146" s="25">
        <v>161.25</v>
      </c>
      <c r="D146" s="25">
        <v>157.75</v>
      </c>
      <c r="E146" s="25">
        <v>158.6</v>
      </c>
      <c r="F146" s="25">
        <v>1044819.0</v>
      </c>
    </row>
    <row r="147">
      <c r="A147" s="25">
        <v>38565.645833333336</v>
      </c>
      <c r="B147" s="25">
        <v>158.38</v>
      </c>
      <c r="C147" s="25">
        <v>159.38</v>
      </c>
      <c r="D147" s="25">
        <v>155.33</v>
      </c>
      <c r="E147" s="25">
        <v>156.53</v>
      </c>
      <c r="F147" s="25">
        <v>678849.0</v>
      </c>
    </row>
    <row r="148">
      <c r="A148" s="25">
        <v>38566.645833333336</v>
      </c>
      <c r="B148" s="25">
        <v>161.5</v>
      </c>
      <c r="C148" s="25">
        <v>162.25</v>
      </c>
      <c r="D148" s="25">
        <v>157.25</v>
      </c>
      <c r="E148" s="25">
        <v>161.29</v>
      </c>
      <c r="F148" s="25">
        <v>602690.0</v>
      </c>
    </row>
    <row r="149">
      <c r="A149" s="25">
        <v>38567.645833333336</v>
      </c>
      <c r="B149" s="25">
        <v>162.19</v>
      </c>
      <c r="C149" s="25">
        <v>163.43</v>
      </c>
      <c r="D149" s="25">
        <v>160.38</v>
      </c>
      <c r="E149" s="25">
        <v>162.6</v>
      </c>
      <c r="F149" s="25">
        <v>909290.0</v>
      </c>
    </row>
    <row r="150">
      <c r="A150" s="25">
        <v>38568.645833333336</v>
      </c>
      <c r="B150" s="25">
        <v>163.13</v>
      </c>
      <c r="C150" s="25">
        <v>164.98</v>
      </c>
      <c r="D150" s="25">
        <v>161.0</v>
      </c>
      <c r="E150" s="25">
        <v>161.91</v>
      </c>
      <c r="F150" s="25">
        <v>793367.0</v>
      </c>
    </row>
    <row r="151">
      <c r="A151" s="25">
        <v>38569.645833333336</v>
      </c>
      <c r="B151" s="25">
        <v>162.5</v>
      </c>
      <c r="C151" s="25">
        <v>163.5</v>
      </c>
      <c r="D151" s="25">
        <v>159.65</v>
      </c>
      <c r="E151" s="25">
        <v>160.68</v>
      </c>
      <c r="F151" s="25">
        <v>395356.0</v>
      </c>
    </row>
    <row r="152">
      <c r="A152" s="25">
        <v>38572.645833333336</v>
      </c>
      <c r="B152" s="25">
        <v>161.25</v>
      </c>
      <c r="C152" s="25">
        <v>161.25</v>
      </c>
      <c r="D152" s="25">
        <v>158.41</v>
      </c>
      <c r="E152" s="25">
        <v>160.38</v>
      </c>
      <c r="F152" s="25">
        <v>513670.0</v>
      </c>
    </row>
    <row r="153">
      <c r="A153" s="25">
        <v>38573.645833333336</v>
      </c>
      <c r="B153" s="25">
        <v>159.38</v>
      </c>
      <c r="C153" s="25">
        <v>160.88</v>
      </c>
      <c r="D153" s="25">
        <v>158.0</v>
      </c>
      <c r="E153" s="25">
        <v>160.55</v>
      </c>
      <c r="F153" s="25">
        <v>592969.0</v>
      </c>
    </row>
    <row r="154">
      <c r="A154" s="25">
        <v>38574.645833333336</v>
      </c>
      <c r="B154" s="25">
        <v>160.71</v>
      </c>
      <c r="C154" s="25">
        <v>164.58</v>
      </c>
      <c r="D154" s="25">
        <v>160.71</v>
      </c>
      <c r="E154" s="25">
        <v>164.13</v>
      </c>
      <c r="F154" s="25">
        <v>869760.0</v>
      </c>
    </row>
    <row r="155">
      <c r="A155" s="25">
        <v>38575.645833333336</v>
      </c>
      <c r="B155" s="25">
        <v>164.58</v>
      </c>
      <c r="C155" s="25">
        <v>166.13</v>
      </c>
      <c r="D155" s="25">
        <v>163.32</v>
      </c>
      <c r="E155" s="25">
        <v>164.11</v>
      </c>
      <c r="F155" s="25">
        <v>455664.0</v>
      </c>
    </row>
    <row r="156">
      <c r="A156" s="25">
        <v>38576.645833333336</v>
      </c>
      <c r="B156" s="25">
        <v>166.05</v>
      </c>
      <c r="C156" s="25">
        <v>166.05</v>
      </c>
      <c r="D156" s="25">
        <v>159.45</v>
      </c>
      <c r="E156" s="25">
        <v>160.36</v>
      </c>
      <c r="F156" s="25">
        <v>477729.0</v>
      </c>
    </row>
    <row r="157">
      <c r="A157" s="25">
        <v>38580.645833333336</v>
      </c>
      <c r="B157" s="25">
        <v>161.25</v>
      </c>
      <c r="C157" s="25">
        <v>161.25</v>
      </c>
      <c r="D157" s="25">
        <v>158.13</v>
      </c>
      <c r="E157" s="25">
        <v>158.63</v>
      </c>
      <c r="F157" s="25">
        <v>456676.0</v>
      </c>
    </row>
    <row r="158">
      <c r="A158" s="25">
        <v>38581.645833333336</v>
      </c>
      <c r="B158" s="25">
        <v>160.0</v>
      </c>
      <c r="C158" s="25">
        <v>162.75</v>
      </c>
      <c r="D158" s="25">
        <v>157.66</v>
      </c>
      <c r="E158" s="25">
        <v>162.4</v>
      </c>
      <c r="F158" s="25">
        <v>704686.0</v>
      </c>
    </row>
    <row r="159">
      <c r="A159" s="25">
        <v>38582.645833333336</v>
      </c>
      <c r="B159" s="25">
        <v>163.38</v>
      </c>
      <c r="C159" s="25">
        <v>165.63</v>
      </c>
      <c r="D159" s="25">
        <v>163.16</v>
      </c>
      <c r="E159" s="25">
        <v>164.21</v>
      </c>
      <c r="F159" s="25">
        <v>976707.0</v>
      </c>
    </row>
    <row r="160">
      <c r="A160" s="25">
        <v>38583.645833333336</v>
      </c>
      <c r="B160" s="25">
        <v>164.38</v>
      </c>
      <c r="C160" s="25">
        <v>166.5</v>
      </c>
      <c r="D160" s="25">
        <v>163.89</v>
      </c>
      <c r="E160" s="25">
        <v>165.67</v>
      </c>
      <c r="F160" s="25">
        <v>620784.0</v>
      </c>
    </row>
    <row r="161">
      <c r="A161" s="25">
        <v>38586.645833333336</v>
      </c>
      <c r="B161" s="25">
        <v>165.63</v>
      </c>
      <c r="C161" s="25">
        <v>168.55</v>
      </c>
      <c r="D161" s="25">
        <v>155.63</v>
      </c>
      <c r="E161" s="25">
        <v>164.73</v>
      </c>
      <c r="F161" s="25">
        <v>561502.0</v>
      </c>
    </row>
    <row r="162">
      <c r="A162" s="25">
        <v>38587.645833333336</v>
      </c>
      <c r="B162" s="25">
        <v>165.88</v>
      </c>
      <c r="C162" s="25">
        <v>166.33</v>
      </c>
      <c r="D162" s="25">
        <v>164.13</v>
      </c>
      <c r="E162" s="25">
        <v>164.51</v>
      </c>
      <c r="F162" s="25">
        <v>585802.0</v>
      </c>
    </row>
    <row r="163">
      <c r="A163" s="25">
        <v>38588.645833333336</v>
      </c>
      <c r="B163" s="25">
        <v>164.51</v>
      </c>
      <c r="C163" s="25">
        <v>164.75</v>
      </c>
      <c r="D163" s="25">
        <v>160.5</v>
      </c>
      <c r="E163" s="25">
        <v>161.96</v>
      </c>
      <c r="F163" s="25">
        <v>504595.0</v>
      </c>
    </row>
    <row r="164">
      <c r="A164" s="25">
        <v>38589.645833333336</v>
      </c>
      <c r="B164" s="25">
        <v>163.13</v>
      </c>
      <c r="C164" s="25">
        <v>166.25</v>
      </c>
      <c r="D164" s="25">
        <v>162.5</v>
      </c>
      <c r="E164" s="25">
        <v>165.46</v>
      </c>
      <c r="F164" s="25">
        <v>792653.0</v>
      </c>
    </row>
    <row r="165">
      <c r="A165" s="25">
        <v>38590.645833333336</v>
      </c>
      <c r="B165" s="25">
        <v>166.06</v>
      </c>
      <c r="C165" s="25">
        <v>171.25</v>
      </c>
      <c r="D165" s="25">
        <v>165.63</v>
      </c>
      <c r="E165" s="25">
        <v>170.6</v>
      </c>
      <c r="F165" s="25">
        <v>1024833.0</v>
      </c>
    </row>
    <row r="166">
      <c r="A166" s="25">
        <v>38593.645833333336</v>
      </c>
      <c r="B166" s="25">
        <v>171.25</v>
      </c>
      <c r="C166" s="25">
        <v>172.25</v>
      </c>
      <c r="D166" s="25">
        <v>166.25</v>
      </c>
      <c r="E166" s="25">
        <v>169.42</v>
      </c>
      <c r="F166" s="25">
        <v>510167.0</v>
      </c>
    </row>
    <row r="167">
      <c r="A167" s="25">
        <v>38594.645833333336</v>
      </c>
      <c r="B167" s="25">
        <v>169.46</v>
      </c>
      <c r="C167" s="25">
        <v>173.88</v>
      </c>
      <c r="D167" s="25">
        <v>169.46</v>
      </c>
      <c r="E167" s="25">
        <v>173.05</v>
      </c>
      <c r="F167" s="25">
        <v>725949.0</v>
      </c>
    </row>
    <row r="168">
      <c r="A168" s="25">
        <v>38595.645833333336</v>
      </c>
      <c r="B168" s="25">
        <v>172.6</v>
      </c>
      <c r="C168" s="25">
        <v>176.92</v>
      </c>
      <c r="D168" s="25">
        <v>172.5</v>
      </c>
      <c r="E168" s="25">
        <v>175.61</v>
      </c>
      <c r="F168" s="25">
        <v>926112.0</v>
      </c>
    </row>
    <row r="169">
      <c r="A169" s="25">
        <v>38596.645833333336</v>
      </c>
      <c r="B169" s="25">
        <v>176.23</v>
      </c>
      <c r="C169" s="25">
        <v>179.25</v>
      </c>
      <c r="D169" s="25">
        <v>176.13</v>
      </c>
      <c r="E169" s="25">
        <v>178.03</v>
      </c>
      <c r="F169" s="25">
        <v>950023.0</v>
      </c>
    </row>
    <row r="170">
      <c r="A170" s="25">
        <v>38597.645833333336</v>
      </c>
      <c r="B170" s="25">
        <v>178.75</v>
      </c>
      <c r="C170" s="25">
        <v>180.0</v>
      </c>
      <c r="D170" s="25">
        <v>176.88</v>
      </c>
      <c r="E170" s="25">
        <v>178.4</v>
      </c>
      <c r="F170" s="25">
        <v>615108.0</v>
      </c>
    </row>
    <row r="171">
      <c r="A171" s="25">
        <v>38600.645833333336</v>
      </c>
      <c r="B171" s="25">
        <v>180.0</v>
      </c>
      <c r="C171" s="25">
        <v>183.36</v>
      </c>
      <c r="D171" s="25">
        <v>175.8</v>
      </c>
      <c r="E171" s="25">
        <v>176.28</v>
      </c>
      <c r="F171" s="25">
        <v>906848.0</v>
      </c>
    </row>
    <row r="172">
      <c r="A172" s="25">
        <v>38601.645833333336</v>
      </c>
      <c r="B172" s="25">
        <v>176.88</v>
      </c>
      <c r="C172" s="25">
        <v>177.49</v>
      </c>
      <c r="D172" s="25">
        <v>173.5</v>
      </c>
      <c r="E172" s="25">
        <v>174.81</v>
      </c>
      <c r="F172" s="25">
        <v>627930.0</v>
      </c>
    </row>
    <row r="173">
      <c r="A173" s="25">
        <v>38603.645833333336</v>
      </c>
      <c r="B173" s="25">
        <v>175.0</v>
      </c>
      <c r="C173" s="25">
        <v>176.88</v>
      </c>
      <c r="D173" s="25">
        <v>174.41</v>
      </c>
      <c r="E173" s="25">
        <v>175.76</v>
      </c>
      <c r="F173" s="25">
        <v>359774.0</v>
      </c>
    </row>
    <row r="174">
      <c r="A174" s="25">
        <v>38604.645833333336</v>
      </c>
      <c r="B174" s="25">
        <v>168.88</v>
      </c>
      <c r="C174" s="25">
        <v>176.75</v>
      </c>
      <c r="D174" s="25">
        <v>168.88</v>
      </c>
      <c r="E174" s="25">
        <v>173.99</v>
      </c>
      <c r="F174" s="25">
        <v>467722.0</v>
      </c>
    </row>
    <row r="175">
      <c r="A175" s="25">
        <v>38607.645833333336</v>
      </c>
      <c r="B175" s="25">
        <v>178.63</v>
      </c>
      <c r="C175" s="25">
        <v>204.75</v>
      </c>
      <c r="D175" s="25">
        <v>175.81</v>
      </c>
      <c r="E175" s="25">
        <v>178.78</v>
      </c>
      <c r="F175" s="25">
        <v>828884.0</v>
      </c>
    </row>
    <row r="176">
      <c r="A176" s="25">
        <v>38608.645833333336</v>
      </c>
      <c r="B176" s="25">
        <v>178.88</v>
      </c>
      <c r="C176" s="25">
        <v>178.88</v>
      </c>
      <c r="D176" s="25">
        <v>176.33</v>
      </c>
      <c r="E176" s="25">
        <v>177.8</v>
      </c>
      <c r="F176" s="25">
        <v>280623.0</v>
      </c>
    </row>
    <row r="177">
      <c r="A177" s="25">
        <v>38609.645833333336</v>
      </c>
      <c r="B177" s="25">
        <v>177.5</v>
      </c>
      <c r="C177" s="25">
        <v>178.38</v>
      </c>
      <c r="D177" s="25">
        <v>173.38</v>
      </c>
      <c r="E177" s="25">
        <v>175.02</v>
      </c>
      <c r="F177" s="25">
        <v>486260.0</v>
      </c>
    </row>
    <row r="178">
      <c r="A178" s="25">
        <v>38610.645833333336</v>
      </c>
      <c r="B178" s="25">
        <v>175.25</v>
      </c>
      <c r="C178" s="25">
        <v>181.85</v>
      </c>
      <c r="D178" s="25">
        <v>175.25</v>
      </c>
      <c r="E178" s="25">
        <v>181.24</v>
      </c>
      <c r="F178" s="25">
        <v>1380092.0</v>
      </c>
    </row>
    <row r="179">
      <c r="A179" s="25">
        <v>38611.645833333336</v>
      </c>
      <c r="B179" s="25">
        <v>181.85</v>
      </c>
      <c r="C179" s="25">
        <v>184.71</v>
      </c>
      <c r="D179" s="25">
        <v>179.53</v>
      </c>
      <c r="E179" s="25">
        <v>182.2</v>
      </c>
      <c r="F179" s="25">
        <v>685023.0</v>
      </c>
    </row>
    <row r="180">
      <c r="A180" s="25">
        <v>38614.645833333336</v>
      </c>
      <c r="B180" s="25">
        <v>184.71</v>
      </c>
      <c r="C180" s="25">
        <v>185.0</v>
      </c>
      <c r="D180" s="25">
        <v>180.38</v>
      </c>
      <c r="E180" s="25">
        <v>181.77</v>
      </c>
      <c r="F180" s="25">
        <v>359681.0</v>
      </c>
    </row>
    <row r="181">
      <c r="A181" s="25">
        <v>38615.645833333336</v>
      </c>
      <c r="B181" s="25">
        <v>181.88</v>
      </c>
      <c r="C181" s="25">
        <v>185.0</v>
      </c>
      <c r="D181" s="25">
        <v>177.5</v>
      </c>
      <c r="E181" s="25">
        <v>183.81</v>
      </c>
      <c r="F181" s="25">
        <v>786678.0</v>
      </c>
    </row>
    <row r="182">
      <c r="A182" s="25">
        <v>38616.645833333336</v>
      </c>
      <c r="B182" s="25">
        <v>184.25</v>
      </c>
      <c r="C182" s="25">
        <v>184.5</v>
      </c>
      <c r="D182" s="25">
        <v>175.0</v>
      </c>
      <c r="E182" s="25">
        <v>181.71</v>
      </c>
      <c r="F182" s="25">
        <v>776915.0</v>
      </c>
    </row>
    <row r="183">
      <c r="A183" s="25">
        <v>38617.645833333336</v>
      </c>
      <c r="B183" s="25">
        <v>184.5</v>
      </c>
      <c r="C183" s="25">
        <v>185.88</v>
      </c>
      <c r="D183" s="25">
        <v>174.63</v>
      </c>
      <c r="E183" s="25">
        <v>175.18</v>
      </c>
      <c r="F183" s="25">
        <v>810301.0</v>
      </c>
    </row>
    <row r="184">
      <c r="A184" s="25">
        <v>38618.645833333336</v>
      </c>
      <c r="B184" s="25">
        <v>175.05</v>
      </c>
      <c r="C184" s="25">
        <v>178.73</v>
      </c>
      <c r="D184" s="25">
        <v>175.05</v>
      </c>
      <c r="E184" s="25">
        <v>176.56</v>
      </c>
      <c r="F184" s="25">
        <v>476978.0</v>
      </c>
    </row>
    <row r="185">
      <c r="A185" s="25">
        <v>38621.645833333336</v>
      </c>
      <c r="B185" s="25">
        <v>177.5</v>
      </c>
      <c r="C185" s="25">
        <v>184.13</v>
      </c>
      <c r="D185" s="25">
        <v>177.0</v>
      </c>
      <c r="E185" s="25">
        <v>183.24</v>
      </c>
      <c r="F185" s="25">
        <v>286256.0</v>
      </c>
    </row>
    <row r="186">
      <c r="A186" s="25">
        <v>38622.645833333336</v>
      </c>
      <c r="B186" s="25">
        <v>184.38</v>
      </c>
      <c r="C186" s="25">
        <v>185.13</v>
      </c>
      <c r="D186" s="25">
        <v>180.79</v>
      </c>
      <c r="E186" s="25">
        <v>182.79</v>
      </c>
      <c r="F186" s="25">
        <v>800501.0</v>
      </c>
    </row>
    <row r="187">
      <c r="A187" s="25">
        <v>38623.645833333336</v>
      </c>
      <c r="B187" s="25">
        <v>183.0</v>
      </c>
      <c r="C187" s="25">
        <v>184.36</v>
      </c>
      <c r="D187" s="25">
        <v>180.88</v>
      </c>
      <c r="E187" s="25">
        <v>183.69</v>
      </c>
      <c r="F187" s="25">
        <v>737508.0</v>
      </c>
    </row>
    <row r="188">
      <c r="A188" s="25">
        <v>38624.645833333336</v>
      </c>
      <c r="B188" s="25">
        <v>185.0</v>
      </c>
      <c r="C188" s="25">
        <v>186.8</v>
      </c>
      <c r="D188" s="25">
        <v>183.13</v>
      </c>
      <c r="E188" s="25">
        <v>184.11</v>
      </c>
      <c r="F188" s="25">
        <v>1052736.0</v>
      </c>
    </row>
    <row r="189">
      <c r="A189" s="25">
        <v>38625.645833333336</v>
      </c>
      <c r="B189" s="25">
        <v>185.0</v>
      </c>
      <c r="C189" s="25">
        <v>186.48</v>
      </c>
      <c r="D189" s="25">
        <v>183.03</v>
      </c>
      <c r="E189" s="25">
        <v>185.3</v>
      </c>
      <c r="F189" s="25">
        <v>622872.0</v>
      </c>
    </row>
    <row r="190">
      <c r="A190" s="25">
        <v>38628.645833333336</v>
      </c>
      <c r="B190" s="25">
        <v>181.93</v>
      </c>
      <c r="C190" s="25">
        <v>188.11</v>
      </c>
      <c r="D190" s="25">
        <v>181.93</v>
      </c>
      <c r="E190" s="25">
        <v>187.24</v>
      </c>
      <c r="F190" s="25">
        <v>559065.0</v>
      </c>
    </row>
    <row r="191">
      <c r="A191" s="25">
        <v>38629.645833333336</v>
      </c>
      <c r="B191" s="25">
        <v>187.48</v>
      </c>
      <c r="C191" s="25">
        <v>187.75</v>
      </c>
      <c r="D191" s="25">
        <v>185.41</v>
      </c>
      <c r="E191" s="25">
        <v>186.22</v>
      </c>
      <c r="F191" s="25">
        <v>793809.0</v>
      </c>
    </row>
    <row r="192">
      <c r="A192" s="25">
        <v>38630.645833333336</v>
      </c>
      <c r="B192" s="25">
        <v>185.5</v>
      </c>
      <c r="C192" s="25">
        <v>186.13</v>
      </c>
      <c r="D192" s="25">
        <v>183.13</v>
      </c>
      <c r="E192" s="25">
        <v>183.75</v>
      </c>
      <c r="F192" s="25">
        <v>822215.0</v>
      </c>
    </row>
    <row r="193">
      <c r="A193" s="25">
        <v>38631.645833333336</v>
      </c>
      <c r="B193" s="25">
        <v>183.13</v>
      </c>
      <c r="C193" s="25">
        <v>183.13</v>
      </c>
      <c r="D193" s="25">
        <v>177.15</v>
      </c>
      <c r="E193" s="25">
        <v>178.08</v>
      </c>
      <c r="F193" s="25">
        <v>1029224.0</v>
      </c>
    </row>
    <row r="194">
      <c r="A194" s="25">
        <v>38632.645833333336</v>
      </c>
      <c r="B194" s="25">
        <v>178.13</v>
      </c>
      <c r="C194" s="25">
        <v>181.75</v>
      </c>
      <c r="D194" s="25">
        <v>176.9</v>
      </c>
      <c r="E194" s="25">
        <v>180.6</v>
      </c>
      <c r="F194" s="25">
        <v>775828.0</v>
      </c>
    </row>
    <row r="195">
      <c r="A195" s="25">
        <v>38635.645833333336</v>
      </c>
      <c r="B195" s="25">
        <v>181.23</v>
      </c>
      <c r="C195" s="25">
        <v>184.38</v>
      </c>
      <c r="D195" s="25">
        <v>180.41</v>
      </c>
      <c r="E195" s="25">
        <v>181.06</v>
      </c>
      <c r="F195" s="25">
        <v>671466.0</v>
      </c>
    </row>
    <row r="196">
      <c r="A196" s="25">
        <v>38636.645833333336</v>
      </c>
      <c r="B196" s="25">
        <v>182.5</v>
      </c>
      <c r="C196" s="25">
        <v>184.35</v>
      </c>
      <c r="D196" s="25">
        <v>177.75</v>
      </c>
      <c r="E196" s="25">
        <v>183.47</v>
      </c>
      <c r="F196" s="25">
        <v>1445640.0</v>
      </c>
    </row>
    <row r="197">
      <c r="A197" s="25">
        <v>38638.645833333336</v>
      </c>
      <c r="B197" s="25">
        <v>183.75</v>
      </c>
      <c r="C197" s="25">
        <v>185.63</v>
      </c>
      <c r="D197" s="25">
        <v>178.8</v>
      </c>
      <c r="E197" s="25">
        <v>180.16</v>
      </c>
      <c r="F197" s="25">
        <v>1700724.0</v>
      </c>
    </row>
    <row r="198">
      <c r="A198" s="25">
        <v>38639.645833333336</v>
      </c>
      <c r="B198" s="25">
        <v>181.25</v>
      </c>
      <c r="C198" s="25">
        <v>181.5</v>
      </c>
      <c r="D198" s="25">
        <v>176.88</v>
      </c>
      <c r="E198" s="25">
        <v>178.01</v>
      </c>
      <c r="F198" s="25">
        <v>653274.0</v>
      </c>
    </row>
    <row r="199">
      <c r="A199" s="25">
        <v>38642.645833333336</v>
      </c>
      <c r="B199" s="25">
        <v>178.75</v>
      </c>
      <c r="C199" s="25">
        <v>180.25</v>
      </c>
      <c r="D199" s="25">
        <v>177.99</v>
      </c>
      <c r="E199" s="25">
        <v>179.27</v>
      </c>
      <c r="F199" s="25">
        <v>548602.0</v>
      </c>
    </row>
    <row r="200">
      <c r="A200" s="25">
        <v>38643.645833333336</v>
      </c>
      <c r="B200" s="25">
        <v>180.25</v>
      </c>
      <c r="C200" s="25">
        <v>183.1</v>
      </c>
      <c r="D200" s="25">
        <v>178.89</v>
      </c>
      <c r="E200" s="25">
        <v>180.12</v>
      </c>
      <c r="F200" s="25">
        <v>1367700.0</v>
      </c>
    </row>
    <row r="201">
      <c r="A201" s="25">
        <v>38644.645833333336</v>
      </c>
      <c r="B201" s="25">
        <v>182.49</v>
      </c>
      <c r="C201" s="25">
        <v>182.5</v>
      </c>
      <c r="D201" s="25">
        <v>171.52</v>
      </c>
      <c r="E201" s="25">
        <v>175.2</v>
      </c>
      <c r="F201" s="25">
        <v>1257354.0</v>
      </c>
    </row>
    <row r="202">
      <c r="A202" s="25">
        <v>38645.645833333336</v>
      </c>
      <c r="B202" s="25">
        <v>176.89</v>
      </c>
      <c r="C202" s="25">
        <v>179.38</v>
      </c>
      <c r="D202" s="25">
        <v>173.88</v>
      </c>
      <c r="E202" s="25">
        <v>177.05</v>
      </c>
      <c r="F202" s="25">
        <v>794119.0</v>
      </c>
    </row>
    <row r="203">
      <c r="A203" s="25">
        <v>38646.645833333336</v>
      </c>
      <c r="B203" s="25">
        <v>178.63</v>
      </c>
      <c r="C203" s="25">
        <v>179.6</v>
      </c>
      <c r="D203" s="25">
        <v>176.13</v>
      </c>
      <c r="E203" s="25">
        <v>178.53</v>
      </c>
      <c r="F203" s="25">
        <v>740427.0</v>
      </c>
    </row>
    <row r="204">
      <c r="A204" s="25">
        <v>38649.645833333336</v>
      </c>
      <c r="B204" s="25">
        <v>179.03</v>
      </c>
      <c r="C204" s="25">
        <v>180.5</v>
      </c>
      <c r="D204" s="25">
        <v>175.13</v>
      </c>
      <c r="E204" s="25">
        <v>175.94</v>
      </c>
      <c r="F204" s="25">
        <v>393704.0</v>
      </c>
    </row>
    <row r="205">
      <c r="A205" s="25">
        <v>38650.645833333336</v>
      </c>
      <c r="B205" s="25">
        <v>177.3</v>
      </c>
      <c r="C205" s="25">
        <v>181.38</v>
      </c>
      <c r="D205" s="25">
        <v>176.06</v>
      </c>
      <c r="E205" s="25">
        <v>180.0</v>
      </c>
      <c r="F205" s="25">
        <v>677539.0</v>
      </c>
    </row>
    <row r="206">
      <c r="A206" s="25">
        <v>38651.645833333336</v>
      </c>
      <c r="B206" s="25">
        <v>180.0</v>
      </c>
      <c r="C206" s="25">
        <v>180.63</v>
      </c>
      <c r="D206" s="25">
        <v>177.39</v>
      </c>
      <c r="E206" s="25">
        <v>177.78</v>
      </c>
      <c r="F206" s="25">
        <v>517851.0</v>
      </c>
    </row>
    <row r="207">
      <c r="A207" s="25">
        <v>38652.645833333336</v>
      </c>
      <c r="B207" s="25">
        <v>177.88</v>
      </c>
      <c r="C207" s="25">
        <v>178.61</v>
      </c>
      <c r="D207" s="25">
        <v>173.75</v>
      </c>
      <c r="E207" s="25">
        <v>175.16</v>
      </c>
      <c r="F207" s="25">
        <v>846493.0</v>
      </c>
    </row>
    <row r="208">
      <c r="A208" s="25">
        <v>38653.645833333336</v>
      </c>
      <c r="B208" s="25">
        <v>176.13</v>
      </c>
      <c r="C208" s="25">
        <v>176.13</v>
      </c>
      <c r="D208" s="25">
        <v>169.38</v>
      </c>
      <c r="E208" s="25">
        <v>170.27</v>
      </c>
      <c r="F208" s="25">
        <v>562687.0</v>
      </c>
    </row>
    <row r="209">
      <c r="A209" s="25">
        <v>38656.645833333336</v>
      </c>
      <c r="B209" s="25">
        <v>170.63</v>
      </c>
      <c r="C209" s="25">
        <v>176.0</v>
      </c>
      <c r="D209" s="25">
        <v>170.05</v>
      </c>
      <c r="E209" s="25">
        <v>175.16</v>
      </c>
      <c r="F209" s="25">
        <v>356496.0</v>
      </c>
    </row>
    <row r="210">
      <c r="A210" s="25">
        <v>38657.645833333336</v>
      </c>
      <c r="B210" s="25">
        <v>181.09</v>
      </c>
      <c r="C210" s="25">
        <v>181.09</v>
      </c>
      <c r="D210" s="25">
        <v>175.0</v>
      </c>
      <c r="E210" s="25">
        <v>176.2</v>
      </c>
      <c r="F210" s="25">
        <v>66500.0</v>
      </c>
    </row>
    <row r="211">
      <c r="A211" s="25">
        <v>38658.645833333336</v>
      </c>
      <c r="B211" s="25">
        <v>175.16</v>
      </c>
      <c r="C211" s="25">
        <v>179.5</v>
      </c>
      <c r="D211" s="25">
        <v>173.55</v>
      </c>
      <c r="E211" s="25">
        <v>178.63</v>
      </c>
      <c r="F211" s="25">
        <v>356611.0</v>
      </c>
    </row>
    <row r="212">
      <c r="A212" s="25">
        <v>38663.645833333336</v>
      </c>
      <c r="B212" s="25">
        <v>176.0</v>
      </c>
      <c r="C212" s="25">
        <v>183.46</v>
      </c>
      <c r="D212" s="25">
        <v>176.0</v>
      </c>
      <c r="E212" s="25">
        <v>183.1</v>
      </c>
      <c r="F212" s="25">
        <v>523560.0</v>
      </c>
    </row>
    <row r="213">
      <c r="A213" s="25">
        <v>38664.645833333336</v>
      </c>
      <c r="B213" s="25">
        <v>184.25</v>
      </c>
      <c r="C213" s="25">
        <v>185.53</v>
      </c>
      <c r="D213" s="25">
        <v>183.8</v>
      </c>
      <c r="E213" s="25">
        <v>184.63</v>
      </c>
      <c r="F213" s="25">
        <v>722773.0</v>
      </c>
    </row>
    <row r="214">
      <c r="A214" s="25">
        <v>38665.645833333336</v>
      </c>
      <c r="B214" s="25">
        <v>184.63</v>
      </c>
      <c r="C214" s="25">
        <v>185.38</v>
      </c>
      <c r="D214" s="25">
        <v>181.28</v>
      </c>
      <c r="E214" s="25">
        <v>182.1</v>
      </c>
      <c r="F214" s="25">
        <v>625099.0</v>
      </c>
    </row>
    <row r="215">
      <c r="A215" s="25">
        <v>38666.645833333336</v>
      </c>
      <c r="B215" s="25">
        <v>182.13</v>
      </c>
      <c r="C215" s="25">
        <v>184.61</v>
      </c>
      <c r="D215" s="25">
        <v>182.13</v>
      </c>
      <c r="E215" s="25">
        <v>183.72</v>
      </c>
      <c r="F215" s="25">
        <v>386962.0</v>
      </c>
    </row>
    <row r="216">
      <c r="A216" s="25">
        <v>38667.645833333336</v>
      </c>
      <c r="B216" s="25">
        <v>183.13</v>
      </c>
      <c r="C216" s="25">
        <v>186.0</v>
      </c>
      <c r="D216" s="25">
        <v>183.13</v>
      </c>
      <c r="E216" s="25">
        <v>185.33</v>
      </c>
      <c r="F216" s="25">
        <v>739986.0</v>
      </c>
    </row>
    <row r="217">
      <c r="A217" s="25">
        <v>38670.645833333336</v>
      </c>
      <c r="B217" s="25">
        <v>186.25</v>
      </c>
      <c r="C217" s="25">
        <v>189.33</v>
      </c>
      <c r="D217" s="25">
        <v>186.25</v>
      </c>
      <c r="E217" s="25">
        <v>188.79</v>
      </c>
      <c r="F217" s="25">
        <v>1005045.0</v>
      </c>
    </row>
    <row r="218">
      <c r="A218" s="25">
        <v>38672.645833333336</v>
      </c>
      <c r="B218" s="25">
        <v>188.91</v>
      </c>
      <c r="C218" s="25">
        <v>189.63</v>
      </c>
      <c r="D218" s="25">
        <v>187.78</v>
      </c>
      <c r="E218" s="25">
        <v>188.96</v>
      </c>
      <c r="F218" s="25">
        <v>842822.0</v>
      </c>
    </row>
    <row r="219">
      <c r="A219" s="25">
        <v>38673.645833333336</v>
      </c>
      <c r="B219" s="25">
        <v>187.5</v>
      </c>
      <c r="C219" s="25">
        <v>189.75</v>
      </c>
      <c r="D219" s="25">
        <v>186.56</v>
      </c>
      <c r="E219" s="25">
        <v>188.46</v>
      </c>
      <c r="F219" s="25">
        <v>609808.0</v>
      </c>
    </row>
    <row r="220">
      <c r="A220" s="25">
        <v>38674.645833333336</v>
      </c>
      <c r="B220" s="25">
        <v>189.0</v>
      </c>
      <c r="C220" s="25">
        <v>191.38</v>
      </c>
      <c r="D220" s="25">
        <v>189.0</v>
      </c>
      <c r="E220" s="25">
        <v>190.87</v>
      </c>
      <c r="F220" s="25">
        <v>1088465.0</v>
      </c>
    </row>
    <row r="221">
      <c r="A221" s="25">
        <v>38677.645833333336</v>
      </c>
      <c r="B221" s="25">
        <v>191.18</v>
      </c>
      <c r="C221" s="25">
        <v>192.34</v>
      </c>
      <c r="D221" s="25">
        <v>188.25</v>
      </c>
      <c r="E221" s="25">
        <v>189.83</v>
      </c>
      <c r="F221" s="25">
        <v>824667.0</v>
      </c>
    </row>
    <row r="222">
      <c r="A222" s="25">
        <v>38678.645833333336</v>
      </c>
      <c r="B222" s="25">
        <v>189.25</v>
      </c>
      <c r="C222" s="25">
        <v>190.6</v>
      </c>
      <c r="D222" s="25">
        <v>186.0</v>
      </c>
      <c r="E222" s="25">
        <v>187.48</v>
      </c>
      <c r="F222" s="25">
        <v>593875.0</v>
      </c>
    </row>
    <row r="223">
      <c r="A223" s="25">
        <v>38679.645833333336</v>
      </c>
      <c r="B223" s="25">
        <v>187.5</v>
      </c>
      <c r="C223" s="25">
        <v>190.25</v>
      </c>
      <c r="D223" s="25">
        <v>187.38</v>
      </c>
      <c r="E223" s="25">
        <v>189.58</v>
      </c>
      <c r="F223" s="25">
        <v>756847.0</v>
      </c>
    </row>
    <row r="224">
      <c r="A224" s="25">
        <v>38680.645833333336</v>
      </c>
      <c r="B224" s="25">
        <v>189.5</v>
      </c>
      <c r="C224" s="25">
        <v>191.65</v>
      </c>
      <c r="D224" s="25">
        <v>189.5</v>
      </c>
      <c r="E224" s="25">
        <v>190.53</v>
      </c>
      <c r="F224" s="25">
        <v>568011.0</v>
      </c>
    </row>
    <row r="225">
      <c r="A225" s="25">
        <v>38681.645833333336</v>
      </c>
      <c r="B225" s="25">
        <v>190.53</v>
      </c>
      <c r="C225" s="25">
        <v>192.5</v>
      </c>
      <c r="D225" s="25">
        <v>188.8</v>
      </c>
      <c r="E225" s="25">
        <v>191.71</v>
      </c>
      <c r="F225" s="25">
        <v>418033.0</v>
      </c>
    </row>
    <row r="226">
      <c r="A226" s="25">
        <v>38684.645833333336</v>
      </c>
      <c r="B226" s="25">
        <v>192.35</v>
      </c>
      <c r="C226" s="25">
        <v>193.75</v>
      </c>
      <c r="D226" s="25">
        <v>192.0</v>
      </c>
      <c r="E226" s="25">
        <v>193.46</v>
      </c>
      <c r="F226" s="25">
        <v>316906.0</v>
      </c>
    </row>
    <row r="227">
      <c r="A227" s="25">
        <v>38685.645833333336</v>
      </c>
      <c r="B227" s="25">
        <v>193.1</v>
      </c>
      <c r="C227" s="25">
        <v>193.75</v>
      </c>
      <c r="D227" s="25">
        <v>190.07</v>
      </c>
      <c r="E227" s="25">
        <v>193.17</v>
      </c>
      <c r="F227" s="25">
        <v>412928.0</v>
      </c>
    </row>
    <row r="228">
      <c r="A228" s="25">
        <v>38686.645833333336</v>
      </c>
      <c r="B228" s="25">
        <v>191.5</v>
      </c>
      <c r="C228" s="25">
        <v>194.06</v>
      </c>
      <c r="D228" s="25">
        <v>189.38</v>
      </c>
      <c r="E228" s="25">
        <v>190.14</v>
      </c>
      <c r="F228" s="25">
        <v>502922.0</v>
      </c>
    </row>
    <row r="229">
      <c r="A229" s="25">
        <v>38687.645833333336</v>
      </c>
      <c r="B229" s="25">
        <v>190.0</v>
      </c>
      <c r="C229" s="25">
        <v>194.33</v>
      </c>
      <c r="D229" s="25">
        <v>189.85</v>
      </c>
      <c r="E229" s="25">
        <v>193.76</v>
      </c>
      <c r="F229" s="25">
        <v>520246.0</v>
      </c>
    </row>
    <row r="230">
      <c r="A230" s="25">
        <v>38688.645833333336</v>
      </c>
      <c r="B230" s="25">
        <v>194.33</v>
      </c>
      <c r="C230" s="25">
        <v>196.8</v>
      </c>
      <c r="D230" s="25">
        <v>192.63</v>
      </c>
      <c r="E230" s="25">
        <v>193.75</v>
      </c>
      <c r="F230" s="25">
        <v>598045.0</v>
      </c>
    </row>
    <row r="231">
      <c r="A231" s="25">
        <v>38691.645833333336</v>
      </c>
      <c r="B231" s="25">
        <v>194.0</v>
      </c>
      <c r="C231" s="25">
        <v>194.26</v>
      </c>
      <c r="D231" s="25">
        <v>190.78</v>
      </c>
      <c r="E231" s="25">
        <v>191.42</v>
      </c>
      <c r="F231" s="25">
        <v>239135.0</v>
      </c>
    </row>
    <row r="232">
      <c r="A232" s="25">
        <v>38692.645833333336</v>
      </c>
      <c r="B232" s="25">
        <v>191.88</v>
      </c>
      <c r="C232" s="25">
        <v>196.25</v>
      </c>
      <c r="D232" s="25">
        <v>190.79</v>
      </c>
      <c r="E232" s="25">
        <v>194.25</v>
      </c>
      <c r="F232" s="25">
        <v>404133.0</v>
      </c>
    </row>
    <row r="233">
      <c r="A233" s="25">
        <v>38693.645833333336</v>
      </c>
      <c r="B233" s="25">
        <v>195.25</v>
      </c>
      <c r="C233" s="25">
        <v>200.0</v>
      </c>
      <c r="D233" s="25">
        <v>195.04</v>
      </c>
      <c r="E233" s="25">
        <v>199.45</v>
      </c>
      <c r="F233" s="25">
        <v>702369.0</v>
      </c>
    </row>
    <row r="234">
      <c r="A234" s="25">
        <v>38694.645833333336</v>
      </c>
      <c r="B234" s="25">
        <v>199.38</v>
      </c>
      <c r="C234" s="25">
        <v>203.09</v>
      </c>
      <c r="D234" s="25">
        <v>199.03</v>
      </c>
      <c r="E234" s="25">
        <v>202.07</v>
      </c>
      <c r="F234" s="25">
        <v>1198149.0</v>
      </c>
    </row>
    <row r="235">
      <c r="A235" s="25">
        <v>38695.645833333336</v>
      </c>
      <c r="B235" s="25">
        <v>202.25</v>
      </c>
      <c r="C235" s="25">
        <v>211.83</v>
      </c>
      <c r="D235" s="25">
        <v>201.41</v>
      </c>
      <c r="E235" s="25">
        <v>210.34</v>
      </c>
      <c r="F235" s="25">
        <v>774278.0</v>
      </c>
    </row>
    <row r="236">
      <c r="A236" s="25">
        <v>38698.645833333336</v>
      </c>
      <c r="B236" s="25">
        <v>206.3</v>
      </c>
      <c r="C236" s="25">
        <v>213.13</v>
      </c>
      <c r="D236" s="25">
        <v>205.25</v>
      </c>
      <c r="E236" s="25">
        <v>206.28</v>
      </c>
      <c r="F236" s="25">
        <v>773936.0</v>
      </c>
    </row>
    <row r="237">
      <c r="A237" s="25">
        <v>38699.645833333336</v>
      </c>
      <c r="B237" s="25">
        <v>206.5</v>
      </c>
      <c r="C237" s="25">
        <v>209.75</v>
      </c>
      <c r="D237" s="25">
        <v>205.63</v>
      </c>
      <c r="E237" s="25">
        <v>208.45</v>
      </c>
      <c r="F237" s="25">
        <v>753384.0</v>
      </c>
    </row>
    <row r="238">
      <c r="A238" s="25">
        <v>38700.645833333336</v>
      </c>
      <c r="B238" s="25">
        <v>207.5</v>
      </c>
      <c r="C238" s="25">
        <v>212.5</v>
      </c>
      <c r="D238" s="25">
        <v>205.0</v>
      </c>
      <c r="E238" s="25">
        <v>210.49</v>
      </c>
      <c r="F238" s="25">
        <v>602401.0</v>
      </c>
    </row>
    <row r="239">
      <c r="A239" s="25">
        <v>38701.645833333336</v>
      </c>
      <c r="B239" s="25">
        <v>211.24</v>
      </c>
      <c r="C239" s="25">
        <v>212.31</v>
      </c>
      <c r="D239" s="25">
        <v>208.55</v>
      </c>
      <c r="E239" s="25">
        <v>210.35</v>
      </c>
      <c r="F239" s="25">
        <v>531127.0</v>
      </c>
    </row>
    <row r="240">
      <c r="A240" s="25">
        <v>38702.645833333336</v>
      </c>
      <c r="B240" s="25">
        <v>211.25</v>
      </c>
      <c r="C240" s="25">
        <v>215.75</v>
      </c>
      <c r="D240" s="25">
        <v>210.38</v>
      </c>
      <c r="E240" s="25">
        <v>214.3</v>
      </c>
      <c r="F240" s="25">
        <v>988429.0</v>
      </c>
    </row>
    <row r="241">
      <c r="A241" s="25">
        <v>38705.645833333336</v>
      </c>
      <c r="B241" s="25">
        <v>215.75</v>
      </c>
      <c r="C241" s="25">
        <v>219.13</v>
      </c>
      <c r="D241" s="25">
        <v>214.63</v>
      </c>
      <c r="E241" s="25">
        <v>216.82</v>
      </c>
      <c r="F241" s="25">
        <v>587646.0</v>
      </c>
    </row>
    <row r="242">
      <c r="A242" s="25">
        <v>38706.645833333336</v>
      </c>
      <c r="B242" s="25">
        <v>218.75</v>
      </c>
      <c r="C242" s="25">
        <v>218.75</v>
      </c>
      <c r="D242" s="25">
        <v>210.88</v>
      </c>
      <c r="E242" s="25">
        <v>211.69</v>
      </c>
      <c r="F242" s="25">
        <v>578571.0</v>
      </c>
    </row>
    <row r="243">
      <c r="A243" s="25">
        <v>38707.645833333336</v>
      </c>
      <c r="B243" s="25">
        <v>213.13</v>
      </c>
      <c r="C243" s="25">
        <v>214.33</v>
      </c>
      <c r="D243" s="25">
        <v>208.88</v>
      </c>
      <c r="E243" s="25">
        <v>210.76</v>
      </c>
      <c r="F243" s="25">
        <v>410304.0</v>
      </c>
    </row>
    <row r="244">
      <c r="A244" s="25">
        <v>38708.645833333336</v>
      </c>
      <c r="B244" s="25">
        <v>211.25</v>
      </c>
      <c r="C244" s="25">
        <v>212.46</v>
      </c>
      <c r="D244" s="25">
        <v>209.87</v>
      </c>
      <c r="E244" s="25">
        <v>210.59</v>
      </c>
      <c r="F244" s="25">
        <v>314901.0</v>
      </c>
    </row>
    <row r="245">
      <c r="A245" s="25">
        <v>38709.645833333336</v>
      </c>
      <c r="B245" s="25">
        <v>210.88</v>
      </c>
      <c r="C245" s="25">
        <v>213.13</v>
      </c>
      <c r="D245" s="25">
        <v>208.13</v>
      </c>
      <c r="E245" s="25">
        <v>208.97</v>
      </c>
      <c r="F245" s="25">
        <v>306879.0</v>
      </c>
    </row>
    <row r="246">
      <c r="A246" s="25">
        <v>38712.645833333336</v>
      </c>
      <c r="B246" s="25">
        <v>209.25</v>
      </c>
      <c r="C246" s="25">
        <v>209.25</v>
      </c>
      <c r="D246" s="25">
        <v>207.03</v>
      </c>
      <c r="E246" s="25">
        <v>207.86</v>
      </c>
      <c r="F246" s="25">
        <v>203160.0</v>
      </c>
    </row>
    <row r="247">
      <c r="A247" s="25">
        <v>38713.645833333336</v>
      </c>
      <c r="B247" s="25">
        <v>207.85</v>
      </c>
      <c r="C247" s="25">
        <v>212.88</v>
      </c>
      <c r="D247" s="25">
        <v>205.38</v>
      </c>
      <c r="E247" s="25">
        <v>212.27</v>
      </c>
      <c r="F247" s="25">
        <v>195651.0</v>
      </c>
    </row>
    <row r="248">
      <c r="A248" s="25">
        <v>38714.645833333336</v>
      </c>
      <c r="B248" s="25">
        <v>211.88</v>
      </c>
      <c r="C248" s="25">
        <v>213.75</v>
      </c>
      <c r="D248" s="25">
        <v>209.58</v>
      </c>
      <c r="E248" s="25">
        <v>210.71</v>
      </c>
      <c r="F248" s="25">
        <v>322757.0</v>
      </c>
    </row>
    <row r="249">
      <c r="A249" s="25">
        <v>38715.645833333336</v>
      </c>
      <c r="B249" s="25">
        <v>211.25</v>
      </c>
      <c r="C249" s="25">
        <v>214.99</v>
      </c>
      <c r="D249" s="25">
        <v>210.21</v>
      </c>
      <c r="E249" s="25">
        <v>213.76</v>
      </c>
      <c r="F249" s="25">
        <v>432723.0</v>
      </c>
    </row>
    <row r="250">
      <c r="A250" s="25">
        <v>38716.645833333336</v>
      </c>
      <c r="B250" s="25">
        <v>210.0</v>
      </c>
      <c r="C250" s="25">
        <v>214.99</v>
      </c>
      <c r="D250" s="25">
        <v>210.0</v>
      </c>
      <c r="E250" s="25">
        <v>212.86</v>
      </c>
      <c r="F250" s="25">
        <v>297531.0</v>
      </c>
    </row>
    <row r="251">
      <c r="A251" s="25">
        <v>38719.645833333336</v>
      </c>
      <c r="B251" s="25">
        <v>213.5</v>
      </c>
      <c r="C251" s="25">
        <v>213.86</v>
      </c>
      <c r="D251" s="25">
        <v>210.17</v>
      </c>
      <c r="E251" s="25">
        <v>210.95</v>
      </c>
      <c r="F251" s="25">
        <v>206688.0</v>
      </c>
    </row>
    <row r="252">
      <c r="A252" s="25">
        <v>38720.645833333336</v>
      </c>
      <c r="B252" s="25">
        <v>210.66</v>
      </c>
      <c r="C252" s="25">
        <v>217.49</v>
      </c>
      <c r="D252" s="25">
        <v>210.25</v>
      </c>
      <c r="E252" s="25">
        <v>216.65</v>
      </c>
      <c r="F252" s="25">
        <v>424617.0</v>
      </c>
    </row>
    <row r="253">
      <c r="A253" s="25">
        <v>38721.645833333336</v>
      </c>
      <c r="B253" s="25">
        <v>217.5</v>
      </c>
      <c r="C253" s="25">
        <v>218.74</v>
      </c>
      <c r="D253" s="25">
        <v>215.28</v>
      </c>
      <c r="E253" s="25">
        <v>217.89</v>
      </c>
      <c r="F253" s="25">
        <v>443202.0</v>
      </c>
    </row>
    <row r="254">
      <c r="A254" s="25">
        <v>38722.645833333336</v>
      </c>
      <c r="B254" s="25">
        <v>218.13</v>
      </c>
      <c r="C254" s="25">
        <v>218.25</v>
      </c>
      <c r="D254" s="25">
        <v>215.24</v>
      </c>
      <c r="E254" s="25">
        <v>216.55</v>
      </c>
      <c r="F254" s="25">
        <v>178978.0</v>
      </c>
    </row>
    <row r="255">
      <c r="A255" s="25">
        <v>38723.645833333336</v>
      </c>
      <c r="B255" s="25">
        <v>216.88</v>
      </c>
      <c r="C255" s="25">
        <v>217.49</v>
      </c>
      <c r="D255" s="25">
        <v>211.5</v>
      </c>
      <c r="E255" s="25">
        <v>213.2</v>
      </c>
      <c r="F255" s="25">
        <v>370718.0</v>
      </c>
    </row>
    <row r="256">
      <c r="A256" s="25">
        <v>38726.645833333336</v>
      </c>
      <c r="B256" s="25">
        <v>213.77</v>
      </c>
      <c r="C256" s="25">
        <v>216.25</v>
      </c>
      <c r="D256" s="25">
        <v>210.13</v>
      </c>
      <c r="E256" s="25">
        <v>211.12</v>
      </c>
      <c r="F256" s="25">
        <v>485409.0</v>
      </c>
    </row>
    <row r="257">
      <c r="A257" s="25">
        <v>38727.645833333336</v>
      </c>
      <c r="B257" s="25">
        <v>211.25</v>
      </c>
      <c r="C257" s="25">
        <v>212.48</v>
      </c>
      <c r="D257" s="25">
        <v>207.63</v>
      </c>
      <c r="E257" s="25">
        <v>209.06</v>
      </c>
      <c r="F257" s="25">
        <v>496581.0</v>
      </c>
    </row>
    <row r="258">
      <c r="A258" s="25">
        <v>38729.645833333336</v>
      </c>
      <c r="B258" s="25">
        <v>206.63</v>
      </c>
      <c r="C258" s="25">
        <v>211.13</v>
      </c>
      <c r="D258" s="25">
        <v>201.88</v>
      </c>
      <c r="E258" s="25">
        <v>209.21</v>
      </c>
      <c r="F258" s="25">
        <v>1739962.0</v>
      </c>
    </row>
    <row r="259">
      <c r="A259" s="25">
        <v>38730.645833333336</v>
      </c>
      <c r="B259" s="25">
        <v>210.0</v>
      </c>
      <c r="C259" s="25">
        <v>211.25</v>
      </c>
      <c r="D259" s="25">
        <v>205.5</v>
      </c>
      <c r="E259" s="25">
        <v>206.47</v>
      </c>
      <c r="F259" s="25">
        <v>451071.0</v>
      </c>
    </row>
    <row r="260">
      <c r="A260" s="25">
        <v>38733.645833333336</v>
      </c>
      <c r="B260" s="25">
        <v>206.38</v>
      </c>
      <c r="C260" s="25">
        <v>206.38</v>
      </c>
      <c r="D260" s="25">
        <v>200.32</v>
      </c>
      <c r="E260" s="25">
        <v>201.1</v>
      </c>
      <c r="F260" s="25">
        <v>600614.0</v>
      </c>
    </row>
    <row r="261">
      <c r="A261" s="25">
        <v>38734.645833333336</v>
      </c>
      <c r="B261" s="25">
        <v>201.38</v>
      </c>
      <c r="C261" s="25">
        <v>205.0</v>
      </c>
      <c r="D261" s="25">
        <v>201.25</v>
      </c>
      <c r="E261" s="25">
        <v>202.93</v>
      </c>
      <c r="F261" s="25">
        <v>469132.0</v>
      </c>
    </row>
    <row r="262">
      <c r="A262" s="25">
        <v>38735.645833333336</v>
      </c>
      <c r="B262" s="25">
        <v>202.28</v>
      </c>
      <c r="C262" s="25">
        <v>202.98</v>
      </c>
      <c r="D262" s="25">
        <v>200.26</v>
      </c>
      <c r="E262" s="25">
        <v>202.45</v>
      </c>
      <c r="F262" s="25">
        <v>395640.0</v>
      </c>
    </row>
    <row r="263">
      <c r="A263" s="25">
        <v>38736.645833333336</v>
      </c>
      <c r="B263" s="25">
        <v>202.98</v>
      </c>
      <c r="C263" s="25">
        <v>206.84</v>
      </c>
      <c r="D263" s="25">
        <v>202.98</v>
      </c>
      <c r="E263" s="25">
        <v>206.3</v>
      </c>
      <c r="F263" s="25">
        <v>446841.0</v>
      </c>
    </row>
    <row r="264">
      <c r="A264" s="25">
        <v>38737.645833333336</v>
      </c>
      <c r="B264" s="25">
        <v>206.88</v>
      </c>
      <c r="C264" s="25">
        <v>208.73</v>
      </c>
      <c r="D264" s="25">
        <v>204.38</v>
      </c>
      <c r="E264" s="25">
        <v>205.5</v>
      </c>
      <c r="F264" s="25">
        <v>411780.0</v>
      </c>
    </row>
    <row r="265">
      <c r="A265" s="25">
        <v>38740.645833333336</v>
      </c>
      <c r="B265" s="25">
        <v>204.38</v>
      </c>
      <c r="C265" s="25">
        <v>204.38</v>
      </c>
      <c r="D265" s="25">
        <v>201.41</v>
      </c>
      <c r="E265" s="25">
        <v>202.77</v>
      </c>
      <c r="F265" s="25">
        <v>285034.0</v>
      </c>
    </row>
    <row r="266">
      <c r="A266" s="25">
        <v>38741.645833333336</v>
      </c>
      <c r="B266" s="25">
        <v>204.38</v>
      </c>
      <c r="C266" s="25">
        <v>206.13</v>
      </c>
      <c r="D266" s="25">
        <v>203.8</v>
      </c>
      <c r="E266" s="25">
        <v>205.33</v>
      </c>
      <c r="F266" s="25">
        <v>236258.0</v>
      </c>
    </row>
    <row r="267">
      <c r="A267" s="25">
        <v>38742.645833333336</v>
      </c>
      <c r="B267" s="25">
        <v>206.13</v>
      </c>
      <c r="C267" s="25">
        <v>207.49</v>
      </c>
      <c r="D267" s="25">
        <v>205.44</v>
      </c>
      <c r="E267" s="25">
        <v>206.4</v>
      </c>
      <c r="F267" s="25">
        <v>795717.0</v>
      </c>
    </row>
    <row r="268">
      <c r="A268" s="25">
        <v>38744.645833333336</v>
      </c>
      <c r="B268" s="25">
        <v>210.0</v>
      </c>
      <c r="C268" s="25">
        <v>210.0</v>
      </c>
      <c r="D268" s="25">
        <v>206.33</v>
      </c>
      <c r="E268" s="25">
        <v>207.4</v>
      </c>
      <c r="F268" s="25">
        <v>375477.0</v>
      </c>
    </row>
    <row r="269">
      <c r="A269" s="25">
        <v>38747.645833333336</v>
      </c>
      <c r="B269" s="25">
        <v>208.18</v>
      </c>
      <c r="C269" s="25">
        <v>209.95</v>
      </c>
      <c r="D269" s="25">
        <v>206.51</v>
      </c>
      <c r="E269" s="25">
        <v>207.36</v>
      </c>
      <c r="F269" s="25">
        <v>172893.0</v>
      </c>
    </row>
    <row r="270">
      <c r="A270" s="25">
        <v>38748.645833333336</v>
      </c>
      <c r="B270" s="25">
        <v>209.95</v>
      </c>
      <c r="C270" s="25">
        <v>209.95</v>
      </c>
      <c r="D270" s="25">
        <v>206.55</v>
      </c>
      <c r="E270" s="25">
        <v>208.8</v>
      </c>
      <c r="F270" s="25">
        <v>187895.0</v>
      </c>
    </row>
    <row r="271">
      <c r="A271" s="25">
        <v>38749.645833333336</v>
      </c>
      <c r="B271" s="25">
        <v>207.0</v>
      </c>
      <c r="C271" s="25">
        <v>209.75</v>
      </c>
      <c r="D271" s="25">
        <v>206.3</v>
      </c>
      <c r="E271" s="25">
        <v>208.33</v>
      </c>
      <c r="F271" s="25">
        <v>487087.0</v>
      </c>
    </row>
    <row r="272">
      <c r="A272" s="25">
        <v>38750.645833333336</v>
      </c>
      <c r="B272" s="25">
        <v>208.75</v>
      </c>
      <c r="C272" s="25">
        <v>209.5</v>
      </c>
      <c r="D272" s="25">
        <v>203.71</v>
      </c>
      <c r="E272" s="25">
        <v>204.6</v>
      </c>
      <c r="F272" s="25">
        <v>391967.0</v>
      </c>
    </row>
    <row r="273">
      <c r="A273" s="25">
        <v>38751.645833333336</v>
      </c>
      <c r="B273" s="25">
        <v>204.99</v>
      </c>
      <c r="C273" s="25">
        <v>205.98</v>
      </c>
      <c r="D273" s="25">
        <v>201.55</v>
      </c>
      <c r="E273" s="25">
        <v>203.85</v>
      </c>
      <c r="F273" s="25">
        <v>544690.0</v>
      </c>
    </row>
    <row r="274">
      <c r="A274" s="25">
        <v>38754.645833333336</v>
      </c>
      <c r="B274" s="25">
        <v>203.74</v>
      </c>
      <c r="C274" s="25">
        <v>210.38</v>
      </c>
      <c r="D274" s="25">
        <v>203.3</v>
      </c>
      <c r="E274" s="25">
        <v>209.88</v>
      </c>
      <c r="F274" s="25">
        <v>361872.0</v>
      </c>
    </row>
    <row r="275">
      <c r="A275" s="25">
        <v>38755.645833333336</v>
      </c>
      <c r="B275" s="25">
        <v>210.0</v>
      </c>
      <c r="C275" s="25">
        <v>211.69</v>
      </c>
      <c r="D275" s="25">
        <v>205.53</v>
      </c>
      <c r="E275" s="25">
        <v>209.26</v>
      </c>
      <c r="F275" s="25">
        <v>875348.0</v>
      </c>
    </row>
    <row r="276">
      <c r="A276" s="25">
        <v>38756.645833333336</v>
      </c>
      <c r="B276" s="25">
        <v>208.25</v>
      </c>
      <c r="C276" s="25">
        <v>209.01</v>
      </c>
      <c r="D276" s="25">
        <v>206.55</v>
      </c>
      <c r="E276" s="25">
        <v>207.81</v>
      </c>
      <c r="F276" s="25">
        <v>416581.0</v>
      </c>
    </row>
    <row r="277">
      <c r="A277" s="25">
        <v>38758.645833333336</v>
      </c>
      <c r="B277" s="25">
        <v>208.77</v>
      </c>
      <c r="C277" s="25">
        <v>209.75</v>
      </c>
      <c r="D277" s="25">
        <v>205.63</v>
      </c>
      <c r="E277" s="25">
        <v>208.7</v>
      </c>
      <c r="F277" s="25">
        <v>341025.0</v>
      </c>
    </row>
    <row r="278">
      <c r="A278" s="25">
        <v>38761.645833333336</v>
      </c>
      <c r="B278" s="25">
        <v>208.7</v>
      </c>
      <c r="C278" s="25">
        <v>208.75</v>
      </c>
      <c r="D278" s="25">
        <v>206.0</v>
      </c>
      <c r="E278" s="25">
        <v>206.38</v>
      </c>
      <c r="F278" s="25">
        <v>252568.0</v>
      </c>
    </row>
    <row r="279">
      <c r="A279" s="25">
        <v>38762.645833333336</v>
      </c>
      <c r="B279" s="25">
        <v>208.75</v>
      </c>
      <c r="C279" s="25">
        <v>208.75</v>
      </c>
      <c r="D279" s="25">
        <v>201.75</v>
      </c>
      <c r="E279" s="25">
        <v>202.32</v>
      </c>
      <c r="F279" s="25">
        <v>870258.0</v>
      </c>
    </row>
    <row r="280">
      <c r="A280" s="25">
        <v>38763.645833333336</v>
      </c>
      <c r="B280" s="25">
        <v>205.99</v>
      </c>
      <c r="C280" s="25">
        <v>205.99</v>
      </c>
      <c r="D280" s="25">
        <v>200.63</v>
      </c>
      <c r="E280" s="25">
        <v>202.42</v>
      </c>
      <c r="F280" s="25">
        <v>526165.0</v>
      </c>
    </row>
    <row r="281">
      <c r="A281" s="25">
        <v>38764.645833333336</v>
      </c>
      <c r="B281" s="25">
        <v>203.13</v>
      </c>
      <c r="C281" s="25">
        <v>204.98</v>
      </c>
      <c r="D281" s="25">
        <v>201.5</v>
      </c>
      <c r="E281" s="25">
        <v>203.65</v>
      </c>
      <c r="F281" s="25">
        <v>660561.0</v>
      </c>
    </row>
    <row r="282">
      <c r="A282" s="25">
        <v>38765.645833333336</v>
      </c>
      <c r="B282" s="25">
        <v>206.25</v>
      </c>
      <c r="C282" s="25">
        <v>207.05</v>
      </c>
      <c r="D282" s="25">
        <v>202.5</v>
      </c>
      <c r="E282" s="25">
        <v>203.13</v>
      </c>
      <c r="F282" s="25">
        <v>365431.0</v>
      </c>
    </row>
    <row r="283">
      <c r="A283" s="25">
        <v>38768.645833333336</v>
      </c>
      <c r="B283" s="25">
        <v>204.88</v>
      </c>
      <c r="C283" s="25">
        <v>206.88</v>
      </c>
      <c r="D283" s="25">
        <v>203.43</v>
      </c>
      <c r="E283" s="25">
        <v>206.23</v>
      </c>
      <c r="F283" s="25">
        <v>330451.0</v>
      </c>
    </row>
    <row r="284">
      <c r="A284" s="25">
        <v>38769.645833333336</v>
      </c>
      <c r="B284" s="25">
        <v>206.88</v>
      </c>
      <c r="C284" s="25">
        <v>208.88</v>
      </c>
      <c r="D284" s="25">
        <v>206.39</v>
      </c>
      <c r="E284" s="25">
        <v>208.25</v>
      </c>
      <c r="F284" s="25">
        <v>287655.0</v>
      </c>
    </row>
    <row r="285">
      <c r="A285" s="25">
        <v>38770.645833333336</v>
      </c>
      <c r="B285" s="25">
        <v>208.75</v>
      </c>
      <c r="C285" s="25">
        <v>208.75</v>
      </c>
      <c r="D285" s="25">
        <v>206.41</v>
      </c>
      <c r="E285" s="25">
        <v>207.73</v>
      </c>
      <c r="F285" s="25">
        <v>144574.0</v>
      </c>
    </row>
    <row r="286">
      <c r="A286" s="25">
        <v>38771.645833333336</v>
      </c>
      <c r="B286" s="25">
        <v>207.5</v>
      </c>
      <c r="C286" s="25">
        <v>211.24</v>
      </c>
      <c r="D286" s="25">
        <v>207.5</v>
      </c>
      <c r="E286" s="25">
        <v>208.82</v>
      </c>
      <c r="F286" s="25">
        <v>517698.0</v>
      </c>
    </row>
    <row r="287">
      <c r="A287" s="25">
        <v>38772.645833333336</v>
      </c>
      <c r="B287" s="25">
        <v>208.78</v>
      </c>
      <c r="C287" s="25">
        <v>210.0</v>
      </c>
      <c r="D287" s="25">
        <v>207.04</v>
      </c>
      <c r="E287" s="25">
        <v>208.76</v>
      </c>
      <c r="F287" s="25">
        <v>137167.0</v>
      </c>
    </row>
    <row r="288">
      <c r="A288" s="25">
        <v>38775.645833333336</v>
      </c>
      <c r="B288" s="25">
        <v>208.38</v>
      </c>
      <c r="C288" s="25">
        <v>211.88</v>
      </c>
      <c r="D288" s="25">
        <v>208.3</v>
      </c>
      <c r="E288" s="25">
        <v>211.3</v>
      </c>
      <c r="F288" s="25">
        <v>315139.0</v>
      </c>
    </row>
    <row r="289">
      <c r="A289" s="25">
        <v>38776.645833333336</v>
      </c>
      <c r="B289" s="25">
        <v>211.88</v>
      </c>
      <c r="C289" s="25">
        <v>213.0</v>
      </c>
      <c r="D289" s="25">
        <v>208.75</v>
      </c>
      <c r="E289" s="25">
        <v>212.6</v>
      </c>
      <c r="F289" s="25">
        <v>352718.0</v>
      </c>
    </row>
    <row r="290">
      <c r="A290" s="25">
        <v>38777.645833333336</v>
      </c>
      <c r="B290" s="25">
        <v>212.5</v>
      </c>
      <c r="C290" s="25">
        <v>218.18</v>
      </c>
      <c r="D290" s="25">
        <v>210.91</v>
      </c>
      <c r="E290" s="25">
        <v>217.53</v>
      </c>
      <c r="F290" s="25">
        <v>563269.0</v>
      </c>
    </row>
    <row r="291">
      <c r="A291" s="25">
        <v>38778.645833333336</v>
      </c>
      <c r="B291" s="25">
        <v>218.18</v>
      </c>
      <c r="C291" s="25">
        <v>219.25</v>
      </c>
      <c r="D291" s="25">
        <v>215.05</v>
      </c>
      <c r="E291" s="25">
        <v>217.73</v>
      </c>
      <c r="F291" s="25">
        <v>409712.0</v>
      </c>
    </row>
    <row r="292">
      <c r="A292" s="25">
        <v>38779.645833333336</v>
      </c>
      <c r="B292" s="25">
        <v>217.75</v>
      </c>
      <c r="C292" s="25">
        <v>217.75</v>
      </c>
      <c r="D292" s="25">
        <v>212.17</v>
      </c>
      <c r="E292" s="25">
        <v>213.22</v>
      </c>
      <c r="F292" s="25">
        <v>265555.0</v>
      </c>
    </row>
    <row r="293">
      <c r="A293" s="25">
        <v>38782.645833333336</v>
      </c>
      <c r="B293" s="25">
        <v>214.5</v>
      </c>
      <c r="C293" s="25">
        <v>219.13</v>
      </c>
      <c r="D293" s="25">
        <v>213.75</v>
      </c>
      <c r="E293" s="25">
        <v>218.04</v>
      </c>
      <c r="F293" s="25">
        <v>453948.0</v>
      </c>
    </row>
    <row r="294">
      <c r="A294" s="25">
        <v>38783.645833333336</v>
      </c>
      <c r="B294" s="25">
        <v>217.52</v>
      </c>
      <c r="C294" s="25">
        <v>218.75</v>
      </c>
      <c r="D294" s="25">
        <v>215.0</v>
      </c>
      <c r="E294" s="25">
        <v>215.59</v>
      </c>
      <c r="F294" s="25">
        <v>248146.0</v>
      </c>
    </row>
    <row r="295">
      <c r="A295" s="25">
        <v>38784.645833333336</v>
      </c>
      <c r="B295" s="25">
        <v>216.5</v>
      </c>
      <c r="C295" s="25">
        <v>217.5</v>
      </c>
      <c r="D295" s="25">
        <v>213.13</v>
      </c>
      <c r="E295" s="25">
        <v>215.32</v>
      </c>
      <c r="F295" s="25">
        <v>476686.0</v>
      </c>
    </row>
    <row r="296">
      <c r="A296" s="25">
        <v>38785.645833333336</v>
      </c>
      <c r="B296" s="25">
        <v>215.0</v>
      </c>
      <c r="C296" s="25">
        <v>216.0</v>
      </c>
      <c r="D296" s="25">
        <v>211.25</v>
      </c>
      <c r="E296" s="25">
        <v>215.61</v>
      </c>
      <c r="F296" s="25">
        <v>582839.0</v>
      </c>
    </row>
    <row r="297">
      <c r="A297" s="25">
        <v>38786.645833333336</v>
      </c>
      <c r="B297" s="25">
        <v>211.5</v>
      </c>
      <c r="C297" s="25">
        <v>221.88</v>
      </c>
      <c r="D297" s="25">
        <v>211.25</v>
      </c>
      <c r="E297" s="25">
        <v>220.46</v>
      </c>
      <c r="F297" s="25">
        <v>804368.0</v>
      </c>
    </row>
    <row r="298">
      <c r="A298" s="25">
        <v>38789.645833333336</v>
      </c>
      <c r="B298" s="25">
        <v>221.73</v>
      </c>
      <c r="C298" s="25">
        <v>230.95</v>
      </c>
      <c r="D298" s="25">
        <v>221.73</v>
      </c>
      <c r="E298" s="25">
        <v>228.58</v>
      </c>
      <c r="F298" s="25">
        <v>897319.0</v>
      </c>
    </row>
    <row r="299">
      <c r="A299" s="25">
        <v>38790.645833333336</v>
      </c>
      <c r="B299" s="25">
        <v>228.11</v>
      </c>
      <c r="C299" s="25">
        <v>228.46</v>
      </c>
      <c r="D299" s="25">
        <v>223.89</v>
      </c>
      <c r="E299" s="25">
        <v>225.4</v>
      </c>
      <c r="F299" s="25">
        <v>434682.0</v>
      </c>
    </row>
    <row r="300">
      <c r="A300" s="25">
        <v>38792.645833333336</v>
      </c>
      <c r="B300" s="25">
        <v>227.13</v>
      </c>
      <c r="C300" s="25">
        <v>229.99</v>
      </c>
      <c r="D300" s="25">
        <v>225.79</v>
      </c>
      <c r="E300" s="25">
        <v>229.43</v>
      </c>
      <c r="F300" s="25">
        <v>575008.0</v>
      </c>
    </row>
    <row r="301">
      <c r="A301" s="25">
        <v>38793.645833333336</v>
      </c>
      <c r="B301" s="25">
        <v>230.0</v>
      </c>
      <c r="C301" s="25">
        <v>235.06</v>
      </c>
      <c r="D301" s="25">
        <v>230.0</v>
      </c>
      <c r="E301" s="25">
        <v>232.63</v>
      </c>
      <c r="F301" s="25">
        <v>741530.0</v>
      </c>
    </row>
    <row r="302">
      <c r="A302" s="25">
        <v>38796.645833333336</v>
      </c>
      <c r="B302" s="25">
        <v>234.25</v>
      </c>
      <c r="C302" s="25">
        <v>239.38</v>
      </c>
      <c r="D302" s="25">
        <v>233.19</v>
      </c>
      <c r="E302" s="25">
        <v>238.5</v>
      </c>
      <c r="F302" s="25">
        <v>876609.0</v>
      </c>
    </row>
    <row r="303">
      <c r="A303" s="25">
        <v>38797.645833333336</v>
      </c>
      <c r="B303" s="25">
        <v>238.5</v>
      </c>
      <c r="C303" s="25">
        <v>241.88</v>
      </c>
      <c r="D303" s="25">
        <v>237.33</v>
      </c>
      <c r="E303" s="25">
        <v>239.4</v>
      </c>
      <c r="F303" s="25">
        <v>662673.0</v>
      </c>
    </row>
    <row r="304">
      <c r="A304" s="25">
        <v>38798.645833333336</v>
      </c>
      <c r="B304" s="25">
        <v>240.0</v>
      </c>
      <c r="C304" s="25">
        <v>240.0</v>
      </c>
      <c r="D304" s="25">
        <v>235.15</v>
      </c>
      <c r="E304" s="25">
        <v>236.67</v>
      </c>
      <c r="F304" s="25">
        <v>640146.0</v>
      </c>
    </row>
    <row r="305">
      <c r="A305" s="25">
        <v>38799.645833333336</v>
      </c>
      <c r="B305" s="25">
        <v>237.5</v>
      </c>
      <c r="C305" s="25">
        <v>239.88</v>
      </c>
      <c r="D305" s="25">
        <v>233.53</v>
      </c>
      <c r="E305" s="25">
        <v>234.28</v>
      </c>
      <c r="F305" s="25">
        <v>330561.0</v>
      </c>
    </row>
    <row r="306">
      <c r="A306" s="25">
        <v>38800.645833333336</v>
      </c>
      <c r="B306" s="25">
        <v>235.88</v>
      </c>
      <c r="C306" s="25">
        <v>238.13</v>
      </c>
      <c r="D306" s="25">
        <v>233.63</v>
      </c>
      <c r="E306" s="25">
        <v>236.43</v>
      </c>
      <c r="F306" s="25">
        <v>364673.0</v>
      </c>
    </row>
    <row r="307">
      <c r="A307" s="25">
        <v>38803.645833333336</v>
      </c>
      <c r="B307" s="25">
        <v>236.88</v>
      </c>
      <c r="C307" s="25">
        <v>238.75</v>
      </c>
      <c r="D307" s="25">
        <v>235.7</v>
      </c>
      <c r="E307" s="25">
        <v>236.37</v>
      </c>
      <c r="F307" s="25">
        <v>366054.0</v>
      </c>
    </row>
    <row r="308">
      <c r="A308" s="25">
        <v>38804.645833333336</v>
      </c>
      <c r="B308" s="25">
        <v>237.5</v>
      </c>
      <c r="C308" s="25">
        <v>238.88</v>
      </c>
      <c r="D308" s="25">
        <v>235.13</v>
      </c>
      <c r="E308" s="25">
        <v>235.95</v>
      </c>
      <c r="F308" s="25">
        <v>468909.0</v>
      </c>
    </row>
    <row r="309">
      <c r="A309" s="25">
        <v>38805.645833333336</v>
      </c>
      <c r="B309" s="25">
        <v>234.88</v>
      </c>
      <c r="C309" s="25">
        <v>237.86</v>
      </c>
      <c r="D309" s="25">
        <v>233.38</v>
      </c>
      <c r="E309" s="25">
        <v>237.27</v>
      </c>
      <c r="F309" s="25">
        <v>535537.0</v>
      </c>
    </row>
    <row r="310">
      <c r="A310" s="25">
        <v>38806.645833333336</v>
      </c>
      <c r="B310" s="25">
        <v>237.86</v>
      </c>
      <c r="C310" s="25">
        <v>251.25</v>
      </c>
      <c r="D310" s="25">
        <v>237.86</v>
      </c>
      <c r="E310" s="25">
        <v>246.01</v>
      </c>
      <c r="F310" s="25">
        <v>723021.0</v>
      </c>
    </row>
    <row r="311">
      <c r="A311" s="25">
        <v>38807.645833333336</v>
      </c>
      <c r="B311" s="25">
        <v>244.74</v>
      </c>
      <c r="C311" s="25">
        <v>244.74</v>
      </c>
      <c r="D311" s="25">
        <v>238.75</v>
      </c>
      <c r="E311" s="25">
        <v>239.44</v>
      </c>
      <c r="F311" s="25">
        <v>365021.0</v>
      </c>
    </row>
    <row r="312">
      <c r="A312" s="25">
        <v>38810.645833333336</v>
      </c>
      <c r="B312" s="25">
        <v>240.88</v>
      </c>
      <c r="C312" s="25">
        <v>244.5</v>
      </c>
      <c r="D312" s="25">
        <v>240.0</v>
      </c>
      <c r="E312" s="25">
        <v>243.85</v>
      </c>
      <c r="F312" s="25">
        <v>388209.0</v>
      </c>
    </row>
    <row r="313">
      <c r="A313" s="25">
        <v>38811.645833333336</v>
      </c>
      <c r="B313" s="25">
        <v>243.8</v>
      </c>
      <c r="C313" s="25">
        <v>245.0</v>
      </c>
      <c r="D313" s="25">
        <v>242.51</v>
      </c>
      <c r="E313" s="25">
        <v>243.57</v>
      </c>
      <c r="F313" s="25">
        <v>371451.0</v>
      </c>
    </row>
    <row r="314">
      <c r="A314" s="25">
        <v>38812.645833333336</v>
      </c>
      <c r="B314" s="25">
        <v>243.76</v>
      </c>
      <c r="C314" s="25">
        <v>245.65</v>
      </c>
      <c r="D314" s="25">
        <v>240.0</v>
      </c>
      <c r="E314" s="25">
        <v>241.51</v>
      </c>
      <c r="F314" s="25">
        <v>347116.0</v>
      </c>
    </row>
    <row r="315">
      <c r="A315" s="25">
        <v>38814.645833333336</v>
      </c>
      <c r="B315" s="25">
        <v>243.5</v>
      </c>
      <c r="C315" s="25">
        <v>249.63</v>
      </c>
      <c r="D315" s="25">
        <v>234.38</v>
      </c>
      <c r="E315" s="25">
        <v>236.16</v>
      </c>
      <c r="F315" s="25">
        <v>923195.0</v>
      </c>
    </row>
    <row r="316">
      <c r="A316" s="25">
        <v>38817.645833333336</v>
      </c>
      <c r="B316" s="25">
        <v>237.5</v>
      </c>
      <c r="C316" s="25">
        <v>239.99</v>
      </c>
      <c r="D316" s="25">
        <v>235.0</v>
      </c>
      <c r="E316" s="25">
        <v>236.76</v>
      </c>
      <c r="F316" s="25">
        <v>879305.0</v>
      </c>
    </row>
    <row r="317">
      <c r="A317" s="25">
        <v>38819.645833333336</v>
      </c>
      <c r="B317" s="25">
        <v>237.28</v>
      </c>
      <c r="C317" s="25">
        <v>237.5</v>
      </c>
      <c r="D317" s="25">
        <v>220.38</v>
      </c>
      <c r="E317" s="25">
        <v>222.6</v>
      </c>
      <c r="F317" s="25">
        <v>1644672.0</v>
      </c>
    </row>
    <row r="318">
      <c r="A318" s="25">
        <v>38820.645833333336</v>
      </c>
      <c r="B318" s="25">
        <v>225.63</v>
      </c>
      <c r="C318" s="25">
        <v>228.71</v>
      </c>
      <c r="D318" s="25">
        <v>221.25</v>
      </c>
      <c r="E318" s="25">
        <v>224.65</v>
      </c>
      <c r="F318" s="25">
        <v>1075209.0</v>
      </c>
    </row>
    <row r="319">
      <c r="A319" s="25">
        <v>38824.645833333336</v>
      </c>
      <c r="B319" s="25">
        <v>228.13</v>
      </c>
      <c r="C319" s="25">
        <v>238.88</v>
      </c>
      <c r="D319" s="25">
        <v>226.91</v>
      </c>
      <c r="E319" s="25">
        <v>238.32</v>
      </c>
      <c r="F319" s="25">
        <v>1211094.0</v>
      </c>
    </row>
    <row r="320">
      <c r="A320" s="25">
        <v>38825.645833333336</v>
      </c>
      <c r="B320" s="25">
        <v>247.25</v>
      </c>
      <c r="C320" s="25">
        <v>261.0</v>
      </c>
      <c r="D320" s="25">
        <v>247.25</v>
      </c>
      <c r="E320" s="25">
        <v>251.19</v>
      </c>
      <c r="F320" s="25">
        <v>1847311.0</v>
      </c>
    </row>
    <row r="321">
      <c r="A321" s="25">
        <v>38826.645833333336</v>
      </c>
      <c r="B321" s="25">
        <v>253.63</v>
      </c>
      <c r="C321" s="25">
        <v>256.25</v>
      </c>
      <c r="D321" s="25">
        <v>249.75</v>
      </c>
      <c r="E321" s="25">
        <v>251.6</v>
      </c>
      <c r="F321" s="25">
        <v>1225414.0</v>
      </c>
    </row>
    <row r="322">
      <c r="A322" s="25">
        <v>38827.645833333336</v>
      </c>
      <c r="B322" s="25">
        <v>252.49</v>
      </c>
      <c r="C322" s="25">
        <v>253.12</v>
      </c>
      <c r="D322" s="25">
        <v>246.88</v>
      </c>
      <c r="E322" s="25">
        <v>248.74</v>
      </c>
      <c r="F322" s="25">
        <v>787118.0</v>
      </c>
    </row>
    <row r="323">
      <c r="A323" s="25">
        <v>38828.645833333336</v>
      </c>
      <c r="B323" s="25">
        <v>250.0</v>
      </c>
      <c r="C323" s="25">
        <v>253.75</v>
      </c>
      <c r="D323" s="25">
        <v>245.63</v>
      </c>
      <c r="E323" s="25">
        <v>249.88</v>
      </c>
      <c r="F323" s="25">
        <v>621625.0</v>
      </c>
    </row>
    <row r="324">
      <c r="A324" s="25">
        <v>38831.645833333336</v>
      </c>
      <c r="B324" s="25">
        <v>249.75</v>
      </c>
      <c r="C324" s="25">
        <v>249.96</v>
      </c>
      <c r="D324" s="25">
        <v>245.63</v>
      </c>
      <c r="E324" s="25">
        <v>247.41</v>
      </c>
      <c r="F324" s="25">
        <v>654351.0</v>
      </c>
    </row>
    <row r="325">
      <c r="A325" s="25">
        <v>38832.645833333336</v>
      </c>
      <c r="B325" s="25">
        <v>247.49</v>
      </c>
      <c r="C325" s="25">
        <v>247.49</v>
      </c>
      <c r="D325" s="25">
        <v>237.38</v>
      </c>
      <c r="E325" s="25">
        <v>240.87</v>
      </c>
      <c r="F325" s="25">
        <v>712776.0</v>
      </c>
    </row>
    <row r="326">
      <c r="A326" s="25">
        <v>38833.645833333336</v>
      </c>
      <c r="B326" s="25">
        <v>241.0</v>
      </c>
      <c r="C326" s="25">
        <v>244.5</v>
      </c>
      <c r="D326" s="25">
        <v>238.75</v>
      </c>
      <c r="E326" s="25">
        <v>242.8</v>
      </c>
      <c r="F326" s="25">
        <v>883892.0</v>
      </c>
    </row>
    <row r="327">
      <c r="A327" s="25">
        <v>38834.645833333336</v>
      </c>
      <c r="B327" s="25">
        <v>242.8</v>
      </c>
      <c r="C327" s="25">
        <v>250.38</v>
      </c>
      <c r="D327" s="25">
        <v>241.25</v>
      </c>
      <c r="E327" s="25">
        <v>243.23</v>
      </c>
      <c r="F327" s="25">
        <v>895606.0</v>
      </c>
    </row>
    <row r="328">
      <c r="A328" s="25">
        <v>38835.645833333336</v>
      </c>
      <c r="B328" s="25">
        <v>238.38</v>
      </c>
      <c r="C328" s="25">
        <v>248.88</v>
      </c>
      <c r="D328" s="25">
        <v>228.8</v>
      </c>
      <c r="E328" s="25">
        <v>247.26</v>
      </c>
      <c r="F328" s="25">
        <v>661545.0</v>
      </c>
    </row>
    <row r="329">
      <c r="A329" s="25">
        <v>38839.645833333336</v>
      </c>
      <c r="B329" s="25">
        <v>248.0</v>
      </c>
      <c r="C329" s="25">
        <v>253.05</v>
      </c>
      <c r="D329" s="25">
        <v>247.5</v>
      </c>
      <c r="E329" s="25">
        <v>251.65</v>
      </c>
      <c r="F329" s="25">
        <v>779910.0</v>
      </c>
    </row>
    <row r="330">
      <c r="A330" s="25">
        <v>38840.645833333336</v>
      </c>
      <c r="B330" s="25">
        <v>253.0</v>
      </c>
      <c r="C330" s="25">
        <v>254.99</v>
      </c>
      <c r="D330" s="25">
        <v>251.88</v>
      </c>
      <c r="E330" s="25">
        <v>253.95</v>
      </c>
      <c r="F330" s="25">
        <v>393520.0</v>
      </c>
    </row>
    <row r="331">
      <c r="A331" s="25">
        <v>38841.645833333336</v>
      </c>
      <c r="B331" s="25">
        <v>253.5</v>
      </c>
      <c r="C331" s="25">
        <v>257.24</v>
      </c>
      <c r="D331" s="25">
        <v>252.66</v>
      </c>
      <c r="E331" s="25">
        <v>255.46</v>
      </c>
      <c r="F331" s="25">
        <v>491228.0</v>
      </c>
    </row>
    <row r="332">
      <c r="A332" s="25">
        <v>38842.645833333336</v>
      </c>
      <c r="B332" s="25">
        <v>256.88</v>
      </c>
      <c r="C332" s="25">
        <v>256.88</v>
      </c>
      <c r="D332" s="25">
        <v>249.38</v>
      </c>
      <c r="E332" s="25">
        <v>250.83</v>
      </c>
      <c r="F332" s="25">
        <v>338815.0</v>
      </c>
    </row>
    <row r="333">
      <c r="A333" s="25">
        <v>38845.645833333336</v>
      </c>
      <c r="B333" s="25">
        <v>252.63</v>
      </c>
      <c r="C333" s="25">
        <v>261.5</v>
      </c>
      <c r="D333" s="25">
        <v>251.25</v>
      </c>
      <c r="E333" s="25">
        <v>252.43</v>
      </c>
      <c r="F333" s="25">
        <v>185589.0</v>
      </c>
    </row>
    <row r="334">
      <c r="A334" s="25">
        <v>38846.645833333336</v>
      </c>
      <c r="B334" s="25">
        <v>254.0</v>
      </c>
      <c r="C334" s="25">
        <v>255.55</v>
      </c>
      <c r="D334" s="25">
        <v>250.63</v>
      </c>
      <c r="E334" s="25">
        <v>253.11</v>
      </c>
      <c r="F334" s="25">
        <v>225049.0</v>
      </c>
    </row>
    <row r="335">
      <c r="A335" s="25">
        <v>38847.645833333336</v>
      </c>
      <c r="B335" s="25">
        <v>255.55</v>
      </c>
      <c r="C335" s="25">
        <v>255.88</v>
      </c>
      <c r="D335" s="25">
        <v>250.29</v>
      </c>
      <c r="E335" s="25">
        <v>252.71</v>
      </c>
      <c r="F335" s="25">
        <v>247274.0</v>
      </c>
    </row>
    <row r="336">
      <c r="A336" s="25">
        <v>38848.645833333336</v>
      </c>
      <c r="B336" s="25">
        <v>253.66</v>
      </c>
      <c r="C336" s="25">
        <v>253.66</v>
      </c>
      <c r="D336" s="25">
        <v>250.68</v>
      </c>
      <c r="E336" s="25">
        <v>252.34</v>
      </c>
      <c r="F336" s="25">
        <v>245503.0</v>
      </c>
    </row>
    <row r="337">
      <c r="A337" s="25">
        <v>38849.645833333336</v>
      </c>
      <c r="B337" s="25">
        <v>251.38</v>
      </c>
      <c r="C337" s="25">
        <v>253.11</v>
      </c>
      <c r="D337" s="25">
        <v>246.29</v>
      </c>
      <c r="E337" s="25">
        <v>249.52</v>
      </c>
      <c r="F337" s="25">
        <v>347142.0</v>
      </c>
    </row>
    <row r="338">
      <c r="A338" s="25">
        <v>38852.645833333336</v>
      </c>
      <c r="B338" s="25">
        <v>247.5</v>
      </c>
      <c r="C338" s="25">
        <v>250.13</v>
      </c>
      <c r="D338" s="25">
        <v>240.0</v>
      </c>
      <c r="E338" s="25">
        <v>245.11</v>
      </c>
      <c r="F338" s="25">
        <v>504313.0</v>
      </c>
    </row>
    <row r="339">
      <c r="A339" s="25">
        <v>38853.645833333336</v>
      </c>
      <c r="B339" s="25">
        <v>244.99</v>
      </c>
      <c r="C339" s="25">
        <v>249.38</v>
      </c>
      <c r="D339" s="25">
        <v>239.98</v>
      </c>
      <c r="E339" s="25">
        <v>246.84</v>
      </c>
      <c r="F339" s="25">
        <v>333946.0</v>
      </c>
    </row>
    <row r="340">
      <c r="A340" s="25">
        <v>38854.645833333336</v>
      </c>
      <c r="B340" s="25">
        <v>249.38</v>
      </c>
      <c r="C340" s="25">
        <v>252.5</v>
      </c>
      <c r="D340" s="25">
        <v>248.75</v>
      </c>
      <c r="E340" s="25">
        <v>252.07</v>
      </c>
      <c r="F340" s="25">
        <v>167921.0</v>
      </c>
    </row>
    <row r="341">
      <c r="A341" s="25">
        <v>38855.645833333336</v>
      </c>
      <c r="B341" s="25">
        <v>248.75</v>
      </c>
      <c r="C341" s="25">
        <v>249.99</v>
      </c>
      <c r="D341" s="25">
        <v>237.5</v>
      </c>
      <c r="E341" s="25">
        <v>240.71</v>
      </c>
      <c r="F341" s="25">
        <v>567795.0</v>
      </c>
    </row>
    <row r="342">
      <c r="A342" s="25">
        <v>38856.645833333336</v>
      </c>
      <c r="B342" s="25">
        <v>243.75</v>
      </c>
      <c r="C342" s="25">
        <v>244.98</v>
      </c>
      <c r="D342" s="25">
        <v>231.44</v>
      </c>
      <c r="E342" s="25">
        <v>236.55</v>
      </c>
      <c r="F342" s="25">
        <v>608527.0</v>
      </c>
    </row>
    <row r="343">
      <c r="A343" s="25">
        <v>38859.645833333336</v>
      </c>
      <c r="B343" s="25">
        <v>240.0</v>
      </c>
      <c r="C343" s="25">
        <v>240.0</v>
      </c>
      <c r="D343" s="25">
        <v>218.0</v>
      </c>
      <c r="E343" s="25">
        <v>222.56</v>
      </c>
      <c r="F343" s="25">
        <v>587427.0</v>
      </c>
    </row>
    <row r="344">
      <c r="A344" s="25">
        <v>38860.645833333336</v>
      </c>
      <c r="B344" s="25">
        <v>225.0</v>
      </c>
      <c r="C344" s="25">
        <v>234.25</v>
      </c>
      <c r="D344" s="25">
        <v>212.63</v>
      </c>
      <c r="E344" s="25">
        <v>228.78</v>
      </c>
      <c r="F344" s="25">
        <v>673517.0</v>
      </c>
    </row>
    <row r="345">
      <c r="A345" s="25">
        <v>38861.645833333336</v>
      </c>
      <c r="B345" s="25">
        <v>233.75</v>
      </c>
      <c r="C345" s="25">
        <v>235.0</v>
      </c>
      <c r="D345" s="25">
        <v>220.0</v>
      </c>
      <c r="E345" s="25">
        <v>223.83</v>
      </c>
      <c r="F345" s="25">
        <v>713196.0</v>
      </c>
    </row>
    <row r="346">
      <c r="A346" s="25">
        <v>38862.645833333336</v>
      </c>
      <c r="B346" s="25">
        <v>222.5</v>
      </c>
      <c r="C346" s="25">
        <v>237.3</v>
      </c>
      <c r="D346" s="25">
        <v>218.13</v>
      </c>
      <c r="E346" s="25">
        <v>234.62</v>
      </c>
      <c r="F346" s="25">
        <v>729881.0</v>
      </c>
    </row>
    <row r="347">
      <c r="A347" s="25">
        <v>38863.645833333336</v>
      </c>
      <c r="B347" s="25">
        <v>236.25</v>
      </c>
      <c r="C347" s="25">
        <v>237.5</v>
      </c>
      <c r="D347" s="25">
        <v>230.13</v>
      </c>
      <c r="E347" s="25">
        <v>233.3</v>
      </c>
      <c r="F347" s="25">
        <v>276023.0</v>
      </c>
    </row>
    <row r="348">
      <c r="A348" s="25">
        <v>38866.645833333336</v>
      </c>
      <c r="B348" s="25">
        <v>233.13</v>
      </c>
      <c r="C348" s="25">
        <v>233.13</v>
      </c>
      <c r="D348" s="25">
        <v>230.04</v>
      </c>
      <c r="E348" s="25">
        <v>231.32</v>
      </c>
      <c r="F348" s="25">
        <v>350336.0</v>
      </c>
    </row>
    <row r="349">
      <c r="A349" s="25">
        <v>38867.645833333336</v>
      </c>
      <c r="B349" s="25">
        <v>233.13</v>
      </c>
      <c r="C349" s="25">
        <v>236.89</v>
      </c>
      <c r="D349" s="25">
        <v>229.38</v>
      </c>
      <c r="E349" s="25">
        <v>232.55</v>
      </c>
      <c r="F349" s="25">
        <v>564507.0</v>
      </c>
    </row>
    <row r="350">
      <c r="A350" s="25">
        <v>38868.645833333336</v>
      </c>
      <c r="B350" s="25">
        <v>230.14</v>
      </c>
      <c r="C350" s="25">
        <v>230.14</v>
      </c>
      <c r="D350" s="25">
        <v>216.25</v>
      </c>
      <c r="E350" s="25">
        <v>222.86</v>
      </c>
      <c r="F350" s="25">
        <v>721232.0</v>
      </c>
    </row>
    <row r="351">
      <c r="A351" s="25">
        <v>38869.645833333336</v>
      </c>
      <c r="B351" s="25">
        <v>228.13</v>
      </c>
      <c r="C351" s="25">
        <v>228.13</v>
      </c>
      <c r="D351" s="25">
        <v>211.25</v>
      </c>
      <c r="E351" s="25">
        <v>213.67</v>
      </c>
      <c r="F351" s="25">
        <v>742845.0</v>
      </c>
    </row>
    <row r="352">
      <c r="A352" s="25">
        <v>38870.645833333336</v>
      </c>
      <c r="B352" s="25">
        <v>214.36</v>
      </c>
      <c r="C352" s="25">
        <v>225.0</v>
      </c>
      <c r="D352" s="25">
        <v>211.0</v>
      </c>
      <c r="E352" s="25">
        <v>224.25</v>
      </c>
      <c r="F352" s="25">
        <v>526695.0</v>
      </c>
    </row>
    <row r="353">
      <c r="A353" s="25">
        <v>38873.645833333336</v>
      </c>
      <c r="B353" s="25">
        <v>224.25</v>
      </c>
      <c r="C353" s="25">
        <v>225.55</v>
      </c>
      <c r="D353" s="25">
        <v>219.28</v>
      </c>
      <c r="E353" s="25">
        <v>220.95</v>
      </c>
      <c r="F353" s="25">
        <v>401460.0</v>
      </c>
    </row>
    <row r="354">
      <c r="A354" s="25">
        <v>38874.645833333336</v>
      </c>
      <c r="B354" s="25">
        <v>218.1</v>
      </c>
      <c r="C354" s="25">
        <v>223.48</v>
      </c>
      <c r="D354" s="25">
        <v>211.25</v>
      </c>
      <c r="E354" s="25">
        <v>218.61</v>
      </c>
      <c r="F354" s="25">
        <v>371392.0</v>
      </c>
    </row>
    <row r="355">
      <c r="A355" s="25">
        <v>38875.645833333336</v>
      </c>
      <c r="B355" s="25">
        <v>225.0</v>
      </c>
      <c r="C355" s="25">
        <v>225.0</v>
      </c>
      <c r="D355" s="25">
        <v>211.66</v>
      </c>
      <c r="E355" s="25">
        <v>212.99</v>
      </c>
      <c r="F355" s="25">
        <v>676317.0</v>
      </c>
    </row>
    <row r="356">
      <c r="A356" s="25">
        <v>38876.645833333336</v>
      </c>
      <c r="B356" s="25">
        <v>215.63</v>
      </c>
      <c r="C356" s="25">
        <v>215.63</v>
      </c>
      <c r="D356" s="25">
        <v>201.4</v>
      </c>
      <c r="E356" s="25">
        <v>205.99</v>
      </c>
      <c r="F356" s="25">
        <v>670124.0</v>
      </c>
    </row>
    <row r="357">
      <c r="A357" s="25">
        <v>38877.645833333336</v>
      </c>
      <c r="B357" s="25">
        <v>209.31</v>
      </c>
      <c r="C357" s="25">
        <v>211.5</v>
      </c>
      <c r="D357" s="25">
        <v>203.13</v>
      </c>
      <c r="E357" s="25">
        <v>208.9</v>
      </c>
      <c r="F357" s="25">
        <v>507739.0</v>
      </c>
    </row>
    <row r="358">
      <c r="A358" s="25">
        <v>38880.645833333336</v>
      </c>
      <c r="B358" s="25">
        <v>212.38</v>
      </c>
      <c r="C358" s="25">
        <v>212.38</v>
      </c>
      <c r="D358" s="25">
        <v>202.63</v>
      </c>
      <c r="E358" s="25">
        <v>204.85</v>
      </c>
      <c r="F358" s="25">
        <v>448988.0</v>
      </c>
    </row>
    <row r="359">
      <c r="A359" s="25">
        <v>38881.645833333336</v>
      </c>
      <c r="B359" s="25">
        <v>202.63</v>
      </c>
      <c r="C359" s="25">
        <v>203.68</v>
      </c>
      <c r="D359" s="25">
        <v>195.13</v>
      </c>
      <c r="E359" s="25">
        <v>196.3</v>
      </c>
      <c r="F359" s="25">
        <v>342123.0</v>
      </c>
    </row>
    <row r="360">
      <c r="A360" s="25">
        <v>38882.645833333336</v>
      </c>
      <c r="B360" s="25">
        <v>195.24</v>
      </c>
      <c r="C360" s="25">
        <v>203.12</v>
      </c>
      <c r="D360" s="25">
        <v>181.41</v>
      </c>
      <c r="E360" s="25">
        <v>185.46</v>
      </c>
      <c r="F360" s="25">
        <v>1598252.0</v>
      </c>
    </row>
    <row r="361">
      <c r="A361" s="25">
        <v>38883.645833333336</v>
      </c>
      <c r="B361" s="25">
        <v>198.25</v>
      </c>
      <c r="C361" s="25">
        <v>198.25</v>
      </c>
      <c r="D361" s="25">
        <v>187.63</v>
      </c>
      <c r="E361" s="25">
        <v>193.82</v>
      </c>
      <c r="F361" s="25">
        <v>745920.0</v>
      </c>
    </row>
    <row r="362">
      <c r="A362" s="25">
        <v>38884.645833333336</v>
      </c>
      <c r="B362" s="25">
        <v>198.25</v>
      </c>
      <c r="C362" s="25">
        <v>214.38</v>
      </c>
      <c r="D362" s="25">
        <v>197.55</v>
      </c>
      <c r="E362" s="25">
        <v>210.63</v>
      </c>
      <c r="F362" s="25">
        <v>1048771.0</v>
      </c>
    </row>
    <row r="363">
      <c r="A363" s="25">
        <v>38887.645833333336</v>
      </c>
      <c r="B363" s="25">
        <v>210.0</v>
      </c>
      <c r="C363" s="25">
        <v>210.63</v>
      </c>
      <c r="D363" s="25">
        <v>204.53</v>
      </c>
      <c r="E363" s="25">
        <v>208.55</v>
      </c>
      <c r="F363" s="25">
        <v>536761.0</v>
      </c>
    </row>
    <row r="364">
      <c r="A364" s="25">
        <v>38888.645833333336</v>
      </c>
      <c r="B364" s="25">
        <v>211.0</v>
      </c>
      <c r="C364" s="25">
        <v>211.0</v>
      </c>
      <c r="D364" s="25">
        <v>200.0</v>
      </c>
      <c r="E364" s="25">
        <v>200.92</v>
      </c>
      <c r="F364" s="25">
        <v>460990.0</v>
      </c>
    </row>
    <row r="365">
      <c r="A365" s="25">
        <v>38889.645833333336</v>
      </c>
      <c r="B365" s="25">
        <v>202.5</v>
      </c>
      <c r="C365" s="25">
        <v>205.88</v>
      </c>
      <c r="D365" s="25">
        <v>199.38</v>
      </c>
      <c r="E365" s="25">
        <v>205.16</v>
      </c>
      <c r="F365" s="25">
        <v>745437.0</v>
      </c>
    </row>
    <row r="366">
      <c r="A366" s="25">
        <v>38890.645833333336</v>
      </c>
      <c r="B366" s="25">
        <v>206.25</v>
      </c>
      <c r="C366" s="25">
        <v>211.25</v>
      </c>
      <c r="D366" s="25">
        <v>206.25</v>
      </c>
      <c r="E366" s="25">
        <v>209.6</v>
      </c>
      <c r="F366" s="25">
        <v>458513.0</v>
      </c>
    </row>
    <row r="367">
      <c r="A367" s="25">
        <v>38891.645833333336</v>
      </c>
      <c r="B367" s="25">
        <v>206.25</v>
      </c>
      <c r="C367" s="25">
        <v>212.5</v>
      </c>
      <c r="D367" s="25">
        <v>203.13</v>
      </c>
      <c r="E367" s="25">
        <v>211.86</v>
      </c>
      <c r="F367" s="25">
        <v>413090.0</v>
      </c>
    </row>
    <row r="368">
      <c r="A368" s="25">
        <v>38894.645833333336</v>
      </c>
      <c r="B368" s="25">
        <v>215.0</v>
      </c>
      <c r="C368" s="25">
        <v>215.0</v>
      </c>
      <c r="D368" s="25">
        <v>202.26</v>
      </c>
      <c r="E368" s="25">
        <v>204.19</v>
      </c>
      <c r="F368" s="25">
        <v>821882.0</v>
      </c>
    </row>
    <row r="369">
      <c r="A369" s="25">
        <v>38895.645833333336</v>
      </c>
      <c r="B369" s="25">
        <v>207.25</v>
      </c>
      <c r="C369" s="25">
        <v>207.25</v>
      </c>
      <c r="D369" s="25">
        <v>200.0</v>
      </c>
      <c r="E369" s="25">
        <v>205.57</v>
      </c>
      <c r="F369" s="25">
        <v>625329.0</v>
      </c>
    </row>
    <row r="370">
      <c r="A370" s="25">
        <v>38896.645833333336</v>
      </c>
      <c r="B370" s="25">
        <v>202.5</v>
      </c>
      <c r="C370" s="25">
        <v>214.07</v>
      </c>
      <c r="D370" s="25">
        <v>200.75</v>
      </c>
      <c r="E370" s="25">
        <v>212.33</v>
      </c>
      <c r="F370" s="25">
        <v>598175.0</v>
      </c>
    </row>
    <row r="371">
      <c r="A371" s="25">
        <v>38897.645833333336</v>
      </c>
      <c r="B371" s="25">
        <v>213.75</v>
      </c>
      <c r="C371" s="25">
        <v>215.0</v>
      </c>
      <c r="D371" s="25">
        <v>208.75</v>
      </c>
      <c r="E371" s="25">
        <v>210.1</v>
      </c>
      <c r="F371" s="25">
        <v>789822.0</v>
      </c>
    </row>
    <row r="372">
      <c r="A372" s="25">
        <v>38898.645833333336</v>
      </c>
      <c r="B372" s="25">
        <v>216.88</v>
      </c>
      <c r="C372" s="25">
        <v>220.88</v>
      </c>
      <c r="D372" s="25">
        <v>213.21</v>
      </c>
      <c r="E372" s="25">
        <v>217.35</v>
      </c>
      <c r="F372" s="25">
        <v>681220.0</v>
      </c>
    </row>
    <row r="373">
      <c r="A373" s="25">
        <v>38901.645833333336</v>
      </c>
      <c r="B373" s="25">
        <v>217.75</v>
      </c>
      <c r="C373" s="25">
        <v>225.94</v>
      </c>
      <c r="D373" s="25">
        <v>216.55</v>
      </c>
      <c r="E373" s="25">
        <v>225.03</v>
      </c>
      <c r="F373" s="25">
        <v>535690.0</v>
      </c>
    </row>
    <row r="374">
      <c r="A374" s="25">
        <v>38902.645833333336</v>
      </c>
      <c r="B374" s="25">
        <v>226.38</v>
      </c>
      <c r="C374" s="25">
        <v>228.88</v>
      </c>
      <c r="D374" s="25">
        <v>225.63</v>
      </c>
      <c r="E374" s="25">
        <v>226.89</v>
      </c>
      <c r="F374" s="25">
        <v>448096.0</v>
      </c>
    </row>
    <row r="375">
      <c r="A375" s="25">
        <v>38903.645833333336</v>
      </c>
      <c r="B375" s="25">
        <v>227.13</v>
      </c>
      <c r="C375" s="25">
        <v>232.75</v>
      </c>
      <c r="D375" s="25">
        <v>225.0</v>
      </c>
      <c r="E375" s="25">
        <v>230.33</v>
      </c>
      <c r="F375" s="25">
        <v>530634.0</v>
      </c>
    </row>
    <row r="376">
      <c r="A376" s="25">
        <v>38904.645833333336</v>
      </c>
      <c r="B376" s="25">
        <v>228.5</v>
      </c>
      <c r="C376" s="25">
        <v>229.0</v>
      </c>
      <c r="D376" s="25">
        <v>224.02</v>
      </c>
      <c r="E376" s="25">
        <v>225.54</v>
      </c>
      <c r="F376" s="25">
        <v>288865.0</v>
      </c>
    </row>
    <row r="377">
      <c r="A377" s="25">
        <v>38905.645833333336</v>
      </c>
      <c r="B377" s="25">
        <v>227.46</v>
      </c>
      <c r="C377" s="25">
        <v>228.98</v>
      </c>
      <c r="D377" s="25">
        <v>217.5</v>
      </c>
      <c r="E377" s="25">
        <v>218.34</v>
      </c>
      <c r="F377" s="25">
        <v>366084.0</v>
      </c>
    </row>
    <row r="378">
      <c r="A378" s="25">
        <v>38908.645833333336</v>
      </c>
      <c r="B378" s="25">
        <v>217.5</v>
      </c>
      <c r="C378" s="25">
        <v>227.2</v>
      </c>
      <c r="D378" s="25">
        <v>217.5</v>
      </c>
      <c r="E378" s="25">
        <v>224.8</v>
      </c>
      <c r="F378" s="25">
        <v>482414.0</v>
      </c>
    </row>
    <row r="379">
      <c r="A379" s="25">
        <v>38909.645833333336</v>
      </c>
      <c r="B379" s="25">
        <v>225.0</v>
      </c>
      <c r="C379" s="25">
        <v>226.88</v>
      </c>
      <c r="D379" s="25">
        <v>220.4</v>
      </c>
      <c r="E379" s="25">
        <v>221.24</v>
      </c>
      <c r="F379" s="25">
        <v>452373.0</v>
      </c>
    </row>
    <row r="380">
      <c r="A380" s="25">
        <v>38910.645833333336</v>
      </c>
      <c r="B380" s="25">
        <v>222.5</v>
      </c>
      <c r="C380" s="25">
        <v>238.63</v>
      </c>
      <c r="D380" s="25">
        <v>222.5</v>
      </c>
      <c r="E380" s="25">
        <v>236.29</v>
      </c>
      <c r="F380" s="25">
        <v>1190202.0</v>
      </c>
    </row>
    <row r="381">
      <c r="A381" s="25">
        <v>38911.645833333336</v>
      </c>
      <c r="B381" s="25">
        <v>236.5</v>
      </c>
      <c r="C381" s="25">
        <v>237.35</v>
      </c>
      <c r="D381" s="25">
        <v>231.28</v>
      </c>
      <c r="E381" s="25">
        <v>233.42</v>
      </c>
      <c r="F381" s="25">
        <v>672947.0</v>
      </c>
    </row>
    <row r="382">
      <c r="A382" s="25">
        <v>38912.645833333336</v>
      </c>
      <c r="B382" s="25">
        <v>230.0</v>
      </c>
      <c r="C382" s="25">
        <v>237.0</v>
      </c>
      <c r="D382" s="25">
        <v>228.14</v>
      </c>
      <c r="E382" s="25">
        <v>234.29</v>
      </c>
      <c r="F382" s="25">
        <v>618726.0</v>
      </c>
    </row>
    <row r="383">
      <c r="A383" s="25">
        <v>38915.645833333336</v>
      </c>
      <c r="B383" s="25">
        <v>235.6</v>
      </c>
      <c r="C383" s="25">
        <v>239.25</v>
      </c>
      <c r="D383" s="25">
        <v>231.38</v>
      </c>
      <c r="E383" s="25">
        <v>232.38</v>
      </c>
      <c r="F383" s="25">
        <v>1124604.0</v>
      </c>
    </row>
    <row r="384">
      <c r="A384" s="25">
        <v>38916.645833333336</v>
      </c>
      <c r="B384" s="25">
        <v>232.5</v>
      </c>
      <c r="C384" s="25">
        <v>243.75</v>
      </c>
      <c r="D384" s="25">
        <v>226.94</v>
      </c>
      <c r="E384" s="25">
        <v>229.31</v>
      </c>
      <c r="F384" s="25">
        <v>1380492.0</v>
      </c>
    </row>
    <row r="385">
      <c r="A385" s="25">
        <v>38917.645833333336</v>
      </c>
      <c r="B385" s="25">
        <v>235.25</v>
      </c>
      <c r="C385" s="25">
        <v>236.88</v>
      </c>
      <c r="D385" s="25">
        <v>218.2</v>
      </c>
      <c r="E385" s="25">
        <v>219.7</v>
      </c>
      <c r="F385" s="25">
        <v>1755798.0</v>
      </c>
    </row>
    <row r="386">
      <c r="A386" s="25">
        <v>38918.645833333336</v>
      </c>
      <c r="B386" s="25">
        <v>221.99</v>
      </c>
      <c r="C386" s="25">
        <v>227.5</v>
      </c>
      <c r="D386" s="25">
        <v>221.25</v>
      </c>
      <c r="E386" s="25">
        <v>225.77</v>
      </c>
      <c r="F386" s="25">
        <v>789090.0</v>
      </c>
    </row>
    <row r="387">
      <c r="A387" s="25">
        <v>38919.645833333336</v>
      </c>
      <c r="B387" s="25">
        <v>224.75</v>
      </c>
      <c r="C387" s="25">
        <v>225.6</v>
      </c>
      <c r="D387" s="25">
        <v>219.08</v>
      </c>
      <c r="E387" s="25">
        <v>220.95</v>
      </c>
      <c r="F387" s="25">
        <v>548958.0</v>
      </c>
    </row>
    <row r="388">
      <c r="A388" s="25">
        <v>38922.645833333336</v>
      </c>
      <c r="B388" s="25">
        <v>224.38</v>
      </c>
      <c r="C388" s="25">
        <v>229.0</v>
      </c>
      <c r="D388" s="25">
        <v>216.88</v>
      </c>
      <c r="E388" s="25">
        <v>227.26</v>
      </c>
      <c r="F388" s="25">
        <v>853136.0</v>
      </c>
    </row>
    <row r="389">
      <c r="A389" s="25">
        <v>38923.645833333336</v>
      </c>
      <c r="B389" s="25">
        <v>230.0</v>
      </c>
      <c r="C389" s="25">
        <v>231.88</v>
      </c>
      <c r="D389" s="25">
        <v>228.13</v>
      </c>
      <c r="E389" s="25">
        <v>230.91</v>
      </c>
      <c r="F389" s="25">
        <v>579575.0</v>
      </c>
    </row>
    <row r="390">
      <c r="A390" s="25">
        <v>38924.645833333336</v>
      </c>
      <c r="B390" s="25">
        <v>232.25</v>
      </c>
      <c r="C390" s="25">
        <v>236.88</v>
      </c>
      <c r="D390" s="25">
        <v>229.06</v>
      </c>
      <c r="E390" s="25">
        <v>236.1</v>
      </c>
      <c r="F390" s="25">
        <v>738590.0</v>
      </c>
    </row>
    <row r="391">
      <c r="A391" s="25">
        <v>38925.645833333336</v>
      </c>
      <c r="B391" s="25">
        <v>236.88</v>
      </c>
      <c r="C391" s="25">
        <v>239.99</v>
      </c>
      <c r="D391" s="25">
        <v>234.44</v>
      </c>
      <c r="E391" s="25">
        <v>237.46</v>
      </c>
      <c r="F391" s="25">
        <v>924981.0</v>
      </c>
    </row>
    <row r="392">
      <c r="A392" s="25">
        <v>38926.645833333336</v>
      </c>
      <c r="B392" s="25">
        <v>235.03</v>
      </c>
      <c r="C392" s="25">
        <v>243.74</v>
      </c>
      <c r="D392" s="25">
        <v>231.0</v>
      </c>
      <c r="E392" s="25">
        <v>232.11</v>
      </c>
      <c r="F392" s="25">
        <v>754902.0</v>
      </c>
    </row>
    <row r="393">
      <c r="A393" s="25">
        <v>38929.645833333336</v>
      </c>
      <c r="B393" s="25">
        <v>233.75</v>
      </c>
      <c r="C393" s="25">
        <v>241.25</v>
      </c>
      <c r="D393" s="25">
        <v>232.5</v>
      </c>
      <c r="E393" s="25">
        <v>234.04</v>
      </c>
      <c r="F393" s="25">
        <v>431175.0</v>
      </c>
    </row>
    <row r="394">
      <c r="A394" s="25">
        <v>38930.645833333336</v>
      </c>
      <c r="B394" s="25">
        <v>215.75</v>
      </c>
      <c r="C394" s="25">
        <v>234.94</v>
      </c>
      <c r="D394" s="25">
        <v>215.75</v>
      </c>
      <c r="E394" s="25">
        <v>233.0</v>
      </c>
      <c r="F394" s="25">
        <v>440627.0</v>
      </c>
    </row>
    <row r="395">
      <c r="A395" s="25">
        <v>38931.645833333336</v>
      </c>
      <c r="B395" s="25">
        <v>231.25</v>
      </c>
      <c r="C395" s="25">
        <v>235.63</v>
      </c>
      <c r="D395" s="25">
        <v>230.0</v>
      </c>
      <c r="E395" s="25">
        <v>235.05</v>
      </c>
      <c r="F395" s="25">
        <v>446183.0</v>
      </c>
    </row>
    <row r="396">
      <c r="A396" s="25">
        <v>38932.645833333336</v>
      </c>
      <c r="B396" s="25">
        <v>235.63</v>
      </c>
      <c r="C396" s="25">
        <v>238.0</v>
      </c>
      <c r="D396" s="25">
        <v>234.28</v>
      </c>
      <c r="E396" s="25">
        <v>236.18</v>
      </c>
      <c r="F396" s="25">
        <v>752568.0</v>
      </c>
    </row>
    <row r="397">
      <c r="A397" s="25">
        <v>38933.645833333336</v>
      </c>
      <c r="B397" s="25">
        <v>240.0</v>
      </c>
      <c r="C397" s="25">
        <v>240.95</v>
      </c>
      <c r="D397" s="25">
        <v>235.75</v>
      </c>
      <c r="E397" s="25">
        <v>237.14</v>
      </c>
      <c r="F397" s="25">
        <v>668550.0</v>
      </c>
    </row>
    <row r="398">
      <c r="A398" s="25">
        <v>38936.645833333336</v>
      </c>
      <c r="B398" s="25">
        <v>237.75</v>
      </c>
      <c r="C398" s="25">
        <v>238.0</v>
      </c>
      <c r="D398" s="25">
        <v>232.75</v>
      </c>
      <c r="E398" s="25">
        <v>234.03</v>
      </c>
      <c r="F398" s="25">
        <v>429991.0</v>
      </c>
    </row>
    <row r="399">
      <c r="A399" s="25">
        <v>38937.645833333336</v>
      </c>
      <c r="B399" s="25">
        <v>235.0</v>
      </c>
      <c r="C399" s="25">
        <v>239.5</v>
      </c>
      <c r="D399" s="25">
        <v>233.75</v>
      </c>
      <c r="E399" s="25">
        <v>238.7</v>
      </c>
      <c r="F399" s="25">
        <v>294600.0</v>
      </c>
    </row>
    <row r="400">
      <c r="A400" s="25">
        <v>38938.645833333336</v>
      </c>
      <c r="B400" s="25">
        <v>237.5</v>
      </c>
      <c r="C400" s="25">
        <v>243.75</v>
      </c>
      <c r="D400" s="25">
        <v>235.88</v>
      </c>
      <c r="E400" s="25">
        <v>241.53</v>
      </c>
      <c r="F400" s="25">
        <v>513030.0</v>
      </c>
    </row>
    <row r="401">
      <c r="A401" s="25">
        <v>38939.645833333336</v>
      </c>
      <c r="B401" s="25">
        <v>240.25</v>
      </c>
      <c r="C401" s="25">
        <v>243.75</v>
      </c>
      <c r="D401" s="25">
        <v>240.0</v>
      </c>
      <c r="E401" s="25">
        <v>241.44</v>
      </c>
      <c r="F401" s="25">
        <v>569781.0</v>
      </c>
    </row>
    <row r="402">
      <c r="A402" s="25">
        <v>38940.645833333336</v>
      </c>
      <c r="B402" s="25">
        <v>242.48</v>
      </c>
      <c r="C402" s="25">
        <v>243.46</v>
      </c>
      <c r="D402" s="25">
        <v>239.25</v>
      </c>
      <c r="E402" s="25">
        <v>241.9</v>
      </c>
      <c r="F402" s="25">
        <v>473493.0</v>
      </c>
    </row>
    <row r="403">
      <c r="A403" s="25">
        <v>38943.645833333336</v>
      </c>
      <c r="B403" s="25">
        <v>243.44</v>
      </c>
      <c r="C403" s="25">
        <v>243.75</v>
      </c>
      <c r="D403" s="25">
        <v>239.75</v>
      </c>
      <c r="E403" s="25">
        <v>241.16</v>
      </c>
      <c r="F403" s="25">
        <v>430357.0</v>
      </c>
    </row>
    <row r="404">
      <c r="A404" s="25">
        <v>38945.645833333336</v>
      </c>
      <c r="B404" s="25">
        <v>244.75</v>
      </c>
      <c r="C404" s="25">
        <v>246.13</v>
      </c>
      <c r="D404" s="25">
        <v>242.0</v>
      </c>
      <c r="E404" s="25">
        <v>243.05</v>
      </c>
      <c r="F404" s="25">
        <v>951067.0</v>
      </c>
    </row>
    <row r="405">
      <c r="A405" s="25">
        <v>38946.645833333336</v>
      </c>
      <c r="B405" s="25">
        <v>243.75</v>
      </c>
      <c r="C405" s="25">
        <v>245.75</v>
      </c>
      <c r="D405" s="25">
        <v>239.5</v>
      </c>
      <c r="E405" s="25">
        <v>240.04</v>
      </c>
      <c r="F405" s="25">
        <v>624292.0</v>
      </c>
    </row>
    <row r="406">
      <c r="A406" s="25">
        <v>38947.645833333336</v>
      </c>
      <c r="B406" s="25">
        <v>241.25</v>
      </c>
      <c r="C406" s="25">
        <v>243.13</v>
      </c>
      <c r="D406" s="25">
        <v>240.0</v>
      </c>
      <c r="E406" s="25">
        <v>242.43</v>
      </c>
      <c r="F406" s="25">
        <v>450910.0</v>
      </c>
    </row>
    <row r="407">
      <c r="A407" s="25">
        <v>38950.645833333336</v>
      </c>
      <c r="B407" s="25">
        <v>244.0</v>
      </c>
      <c r="C407" s="25">
        <v>244.0</v>
      </c>
      <c r="D407" s="25">
        <v>239.25</v>
      </c>
      <c r="E407" s="25">
        <v>242.33</v>
      </c>
      <c r="F407" s="25">
        <v>603522.0</v>
      </c>
    </row>
    <row r="408">
      <c r="A408" s="25">
        <v>38951.645833333336</v>
      </c>
      <c r="B408" s="25">
        <v>243.0</v>
      </c>
      <c r="C408" s="25">
        <v>245.75</v>
      </c>
      <c r="D408" s="25">
        <v>242.5</v>
      </c>
      <c r="E408" s="25">
        <v>243.85</v>
      </c>
      <c r="F408" s="25">
        <v>544524.0</v>
      </c>
    </row>
    <row r="409">
      <c r="A409" s="25">
        <v>38952.645833333336</v>
      </c>
      <c r="B409" s="25">
        <v>244.0</v>
      </c>
      <c r="C409" s="25">
        <v>244.69</v>
      </c>
      <c r="D409" s="25">
        <v>240.03</v>
      </c>
      <c r="E409" s="25">
        <v>240.78</v>
      </c>
      <c r="F409" s="25">
        <v>624434.0</v>
      </c>
    </row>
    <row r="410">
      <c r="A410" s="25">
        <v>38953.645833333336</v>
      </c>
      <c r="B410" s="25">
        <v>242.5</v>
      </c>
      <c r="C410" s="25">
        <v>243.73</v>
      </c>
      <c r="D410" s="25">
        <v>238.31</v>
      </c>
      <c r="E410" s="25">
        <v>242.6</v>
      </c>
      <c r="F410" s="25">
        <v>592463.0</v>
      </c>
    </row>
    <row r="411">
      <c r="A411" s="25">
        <v>38954.645833333336</v>
      </c>
      <c r="B411" s="25">
        <v>242.75</v>
      </c>
      <c r="C411" s="25">
        <v>244.23</v>
      </c>
      <c r="D411" s="25">
        <v>241.91</v>
      </c>
      <c r="E411" s="25">
        <v>243.6</v>
      </c>
      <c r="F411" s="25">
        <v>652938.0</v>
      </c>
    </row>
    <row r="412">
      <c r="A412" s="25">
        <v>38957.645833333336</v>
      </c>
      <c r="B412" s="25">
        <v>243.75</v>
      </c>
      <c r="C412" s="25">
        <v>246.33</v>
      </c>
      <c r="D412" s="25">
        <v>242.08</v>
      </c>
      <c r="E412" s="25">
        <v>245.28</v>
      </c>
      <c r="F412" s="25">
        <v>575079.0</v>
      </c>
    </row>
    <row r="413">
      <c r="A413" s="25">
        <v>38958.645833333336</v>
      </c>
      <c r="B413" s="25">
        <v>246.25</v>
      </c>
      <c r="C413" s="25">
        <v>248.0</v>
      </c>
      <c r="D413" s="25">
        <v>245.75</v>
      </c>
      <c r="E413" s="25">
        <v>247.53</v>
      </c>
      <c r="F413" s="25">
        <v>669899.0</v>
      </c>
    </row>
    <row r="414">
      <c r="A414" s="25">
        <v>38959.645833333336</v>
      </c>
      <c r="B414" s="25">
        <v>247.78</v>
      </c>
      <c r="C414" s="25">
        <v>248.75</v>
      </c>
      <c r="D414" s="25">
        <v>245.26</v>
      </c>
      <c r="E414" s="25">
        <v>245.95</v>
      </c>
      <c r="F414" s="25">
        <v>686193.0</v>
      </c>
    </row>
    <row r="415">
      <c r="A415" s="25">
        <v>38960.645833333336</v>
      </c>
      <c r="B415" s="25">
        <v>246.0</v>
      </c>
      <c r="C415" s="25">
        <v>251.0</v>
      </c>
      <c r="D415" s="25">
        <v>246.0</v>
      </c>
      <c r="E415" s="25">
        <v>249.51</v>
      </c>
      <c r="F415" s="25">
        <v>1519214.0</v>
      </c>
    </row>
    <row r="416">
      <c r="A416" s="25">
        <v>38961.645833333336</v>
      </c>
      <c r="B416" s="25">
        <v>249.0</v>
      </c>
      <c r="C416" s="25">
        <v>250.25</v>
      </c>
      <c r="D416" s="25">
        <v>247.78</v>
      </c>
      <c r="E416" s="25">
        <v>249.81</v>
      </c>
      <c r="F416" s="25">
        <v>432182.0</v>
      </c>
    </row>
    <row r="417">
      <c r="A417" s="25">
        <v>38964.645833333336</v>
      </c>
      <c r="B417" s="25">
        <v>249.75</v>
      </c>
      <c r="C417" s="25">
        <v>255.0</v>
      </c>
      <c r="D417" s="25">
        <v>249.75</v>
      </c>
      <c r="E417" s="25">
        <v>254.29</v>
      </c>
      <c r="F417" s="25">
        <v>502623.0</v>
      </c>
    </row>
    <row r="418">
      <c r="A418" s="25">
        <v>38965.645833333336</v>
      </c>
      <c r="B418" s="25">
        <v>255.75</v>
      </c>
      <c r="C418" s="25">
        <v>257.5</v>
      </c>
      <c r="D418" s="25">
        <v>250.25</v>
      </c>
      <c r="E418" s="25">
        <v>251.45</v>
      </c>
      <c r="F418" s="25">
        <v>986322.0</v>
      </c>
    </row>
    <row r="419">
      <c r="A419" s="25">
        <v>38966.645833333336</v>
      </c>
      <c r="B419" s="25">
        <v>254.38</v>
      </c>
      <c r="C419" s="25">
        <v>254.38</v>
      </c>
      <c r="D419" s="25">
        <v>247.78</v>
      </c>
      <c r="E419" s="25">
        <v>248.4</v>
      </c>
      <c r="F419" s="25">
        <v>700108.0</v>
      </c>
    </row>
    <row r="420">
      <c r="A420" s="25">
        <v>38967.645833333336</v>
      </c>
      <c r="B420" s="25">
        <v>245.08</v>
      </c>
      <c r="C420" s="25">
        <v>248.75</v>
      </c>
      <c r="D420" s="25">
        <v>245.08</v>
      </c>
      <c r="E420" s="25">
        <v>246.68</v>
      </c>
      <c r="F420" s="25">
        <v>395896.0</v>
      </c>
    </row>
    <row r="421">
      <c r="A421" s="25">
        <v>38968.645833333336</v>
      </c>
      <c r="B421" s="25">
        <v>251.5</v>
      </c>
      <c r="C421" s="25">
        <v>251.5</v>
      </c>
      <c r="D421" s="25">
        <v>246.25</v>
      </c>
      <c r="E421" s="25">
        <v>247.75</v>
      </c>
      <c r="F421" s="25">
        <v>392641.0</v>
      </c>
    </row>
    <row r="422">
      <c r="A422" s="25">
        <v>38971.645833333336</v>
      </c>
      <c r="B422" s="25">
        <v>249.75</v>
      </c>
      <c r="C422" s="25">
        <v>249.75</v>
      </c>
      <c r="D422" s="25">
        <v>237.25</v>
      </c>
      <c r="E422" s="25">
        <v>238.36</v>
      </c>
      <c r="F422" s="25">
        <v>1018370.0</v>
      </c>
    </row>
    <row r="423">
      <c r="A423" s="25">
        <v>38972.645833333336</v>
      </c>
      <c r="B423" s="25">
        <v>238.75</v>
      </c>
      <c r="C423" s="25">
        <v>245.0</v>
      </c>
      <c r="D423" s="25">
        <v>238.0</v>
      </c>
      <c r="E423" s="25">
        <v>244.48</v>
      </c>
      <c r="F423" s="25">
        <v>458814.0</v>
      </c>
    </row>
    <row r="424">
      <c r="A424" s="25">
        <v>38973.645833333336</v>
      </c>
      <c r="B424" s="25">
        <v>245.75</v>
      </c>
      <c r="C424" s="25">
        <v>252.0</v>
      </c>
      <c r="D424" s="25">
        <v>245.25</v>
      </c>
      <c r="E424" s="25">
        <v>249.99</v>
      </c>
      <c r="F424" s="25">
        <v>576908.0</v>
      </c>
    </row>
    <row r="425">
      <c r="A425" s="25">
        <v>38974.645833333336</v>
      </c>
      <c r="B425" s="25">
        <v>252.25</v>
      </c>
      <c r="C425" s="25">
        <v>254.0</v>
      </c>
      <c r="D425" s="25">
        <v>250.48</v>
      </c>
      <c r="E425" s="25">
        <v>253.35</v>
      </c>
      <c r="F425" s="25">
        <v>597182.0</v>
      </c>
    </row>
    <row r="426">
      <c r="A426" s="25">
        <v>38975.645833333336</v>
      </c>
      <c r="B426" s="25">
        <v>253.5</v>
      </c>
      <c r="C426" s="25">
        <v>253.5</v>
      </c>
      <c r="D426" s="25">
        <v>249.18</v>
      </c>
      <c r="E426" s="25">
        <v>250.68</v>
      </c>
      <c r="F426" s="25">
        <v>589925.0</v>
      </c>
    </row>
    <row r="427">
      <c r="A427" s="25">
        <v>38978.645833333336</v>
      </c>
      <c r="B427" s="25">
        <v>251.75</v>
      </c>
      <c r="C427" s="25">
        <v>252.75</v>
      </c>
      <c r="D427" s="25">
        <v>248.03</v>
      </c>
      <c r="E427" s="25">
        <v>249.04</v>
      </c>
      <c r="F427" s="25">
        <v>347597.0</v>
      </c>
    </row>
    <row r="428">
      <c r="A428" s="25">
        <v>38979.645833333336</v>
      </c>
      <c r="B428" s="25">
        <v>249.25</v>
      </c>
      <c r="C428" s="25">
        <v>255.0</v>
      </c>
      <c r="D428" s="25">
        <v>247.6</v>
      </c>
      <c r="E428" s="25">
        <v>252.51</v>
      </c>
      <c r="F428" s="25">
        <v>993486.0</v>
      </c>
    </row>
    <row r="429">
      <c r="A429" s="25">
        <v>38980.645833333336</v>
      </c>
      <c r="B429" s="25">
        <v>252.75</v>
      </c>
      <c r="C429" s="25">
        <v>258.5</v>
      </c>
      <c r="D429" s="25">
        <v>248.53</v>
      </c>
      <c r="E429" s="25">
        <v>257.51</v>
      </c>
      <c r="F429" s="25">
        <v>673974.0</v>
      </c>
    </row>
    <row r="430">
      <c r="A430" s="25">
        <v>38981.645833333336</v>
      </c>
      <c r="B430" s="25">
        <v>258.0</v>
      </c>
      <c r="C430" s="25">
        <v>264.48</v>
      </c>
      <c r="D430" s="25">
        <v>254.5</v>
      </c>
      <c r="E430" s="25">
        <v>263.25</v>
      </c>
      <c r="F430" s="25">
        <v>1276796.0</v>
      </c>
    </row>
    <row r="431">
      <c r="A431" s="25">
        <v>38982.645833333336</v>
      </c>
      <c r="B431" s="25">
        <v>261.25</v>
      </c>
      <c r="C431" s="25">
        <v>263.46</v>
      </c>
      <c r="D431" s="25">
        <v>257.52</v>
      </c>
      <c r="E431" s="25">
        <v>259.89</v>
      </c>
      <c r="F431" s="25">
        <v>622161.0</v>
      </c>
    </row>
    <row r="432">
      <c r="A432" s="25">
        <v>38985.645833333336</v>
      </c>
      <c r="B432" s="25">
        <v>261.75</v>
      </c>
      <c r="C432" s="25">
        <v>262.5</v>
      </c>
      <c r="D432" s="25">
        <v>255.56</v>
      </c>
      <c r="E432" s="25">
        <v>256.4</v>
      </c>
      <c r="F432" s="25">
        <v>337395.0</v>
      </c>
    </row>
    <row r="433">
      <c r="A433" s="25">
        <v>38986.645833333336</v>
      </c>
      <c r="B433" s="25">
        <v>257.5</v>
      </c>
      <c r="C433" s="25">
        <v>262.5</v>
      </c>
      <c r="D433" s="25">
        <v>256.23</v>
      </c>
      <c r="E433" s="25">
        <v>261.08</v>
      </c>
      <c r="F433" s="25">
        <v>929252.0</v>
      </c>
    </row>
    <row r="434">
      <c r="A434" s="25">
        <v>38987.645833333336</v>
      </c>
      <c r="B434" s="25">
        <v>262.5</v>
      </c>
      <c r="C434" s="25">
        <v>263.75</v>
      </c>
      <c r="D434" s="25">
        <v>259.04</v>
      </c>
      <c r="E434" s="25">
        <v>260.66</v>
      </c>
      <c r="F434" s="25">
        <v>838185.0</v>
      </c>
    </row>
    <row r="435">
      <c r="A435" s="25">
        <v>38988.645833333336</v>
      </c>
      <c r="B435" s="25">
        <v>261.26</v>
      </c>
      <c r="C435" s="25">
        <v>262.25</v>
      </c>
      <c r="D435" s="25">
        <v>253.25</v>
      </c>
      <c r="E435" s="25">
        <v>255.11</v>
      </c>
      <c r="F435" s="25">
        <v>1530393.0</v>
      </c>
    </row>
    <row r="436">
      <c r="A436" s="25">
        <v>38989.645833333336</v>
      </c>
      <c r="B436" s="25">
        <v>255.53</v>
      </c>
      <c r="C436" s="25">
        <v>258.77</v>
      </c>
      <c r="D436" s="25">
        <v>255.0</v>
      </c>
      <c r="E436" s="25">
        <v>255.51</v>
      </c>
      <c r="F436" s="25">
        <v>438201.0</v>
      </c>
    </row>
    <row r="437">
      <c r="A437" s="25">
        <v>38993.645833333336</v>
      </c>
      <c r="B437" s="25">
        <v>258.75</v>
      </c>
      <c r="C437" s="25">
        <v>258.75</v>
      </c>
      <c r="D437" s="25">
        <v>252.25</v>
      </c>
      <c r="E437" s="25">
        <v>253.58</v>
      </c>
      <c r="F437" s="25">
        <v>408178.0</v>
      </c>
    </row>
    <row r="438">
      <c r="A438" s="25">
        <v>38994.645833333336</v>
      </c>
      <c r="B438" s="25">
        <v>254.0</v>
      </c>
      <c r="C438" s="25">
        <v>254.0</v>
      </c>
      <c r="D438" s="25">
        <v>245.84</v>
      </c>
      <c r="E438" s="25">
        <v>246.85</v>
      </c>
      <c r="F438" s="25">
        <v>1736907.0</v>
      </c>
    </row>
    <row r="439">
      <c r="A439" s="25">
        <v>38995.645833333336</v>
      </c>
      <c r="B439" s="25">
        <v>249.5</v>
      </c>
      <c r="C439" s="25">
        <v>252.25</v>
      </c>
      <c r="D439" s="25">
        <v>248.25</v>
      </c>
      <c r="E439" s="25">
        <v>249.94</v>
      </c>
      <c r="F439" s="25">
        <v>1462350.0</v>
      </c>
    </row>
    <row r="440">
      <c r="A440" s="25">
        <v>38996.645833333336</v>
      </c>
      <c r="B440" s="25">
        <v>250.25</v>
      </c>
      <c r="C440" s="25">
        <v>251.75</v>
      </c>
      <c r="D440" s="25">
        <v>247.0</v>
      </c>
      <c r="E440" s="25">
        <v>248.55</v>
      </c>
      <c r="F440" s="25">
        <v>691736.0</v>
      </c>
    </row>
    <row r="441">
      <c r="A441" s="25">
        <v>38999.645833333336</v>
      </c>
      <c r="B441" s="25">
        <v>246.25</v>
      </c>
      <c r="C441" s="25">
        <v>252.25</v>
      </c>
      <c r="D441" s="25">
        <v>245.14</v>
      </c>
      <c r="E441" s="25">
        <v>250.54</v>
      </c>
      <c r="F441" s="25">
        <v>386708.0</v>
      </c>
    </row>
    <row r="442">
      <c r="A442" s="25">
        <v>39000.645833333336</v>
      </c>
      <c r="B442" s="25">
        <v>250.75</v>
      </c>
      <c r="C442" s="25">
        <v>254.45</v>
      </c>
      <c r="D442" s="25">
        <v>250.75</v>
      </c>
      <c r="E442" s="25">
        <v>252.88</v>
      </c>
      <c r="F442" s="25">
        <v>692445.0</v>
      </c>
    </row>
    <row r="443">
      <c r="A443" s="25">
        <v>39001.645833333336</v>
      </c>
      <c r="B443" s="25">
        <v>257.5</v>
      </c>
      <c r="C443" s="25">
        <v>269.85</v>
      </c>
      <c r="D443" s="25">
        <v>257.5</v>
      </c>
      <c r="E443" s="25">
        <v>261.19</v>
      </c>
      <c r="F443" s="25">
        <v>1693429.0</v>
      </c>
    </row>
    <row r="444">
      <c r="A444" s="25">
        <v>39002.645833333336</v>
      </c>
      <c r="B444" s="25">
        <v>262.5</v>
      </c>
      <c r="C444" s="25">
        <v>271.25</v>
      </c>
      <c r="D444" s="25">
        <v>260.25</v>
      </c>
      <c r="E444" s="25">
        <v>270.64</v>
      </c>
      <c r="F444" s="25">
        <v>1263212.0</v>
      </c>
    </row>
    <row r="445">
      <c r="A445" s="25">
        <v>39003.645833333336</v>
      </c>
      <c r="B445" s="25">
        <v>272.35</v>
      </c>
      <c r="C445" s="25">
        <v>280.0</v>
      </c>
      <c r="D445" s="25">
        <v>270.52</v>
      </c>
      <c r="E445" s="25">
        <v>275.9</v>
      </c>
      <c r="F445" s="25">
        <v>1218528.0</v>
      </c>
    </row>
    <row r="446">
      <c r="A446" s="25">
        <v>39006.645833333336</v>
      </c>
      <c r="B446" s="25">
        <v>281.25</v>
      </c>
      <c r="C446" s="25">
        <v>287.5</v>
      </c>
      <c r="D446" s="25">
        <v>278.75</v>
      </c>
      <c r="E446" s="25">
        <v>282.43</v>
      </c>
      <c r="F446" s="25">
        <v>2431765.0</v>
      </c>
    </row>
    <row r="447">
      <c r="A447" s="25">
        <v>39007.645833333336</v>
      </c>
      <c r="B447" s="25">
        <v>285.5</v>
      </c>
      <c r="C447" s="25">
        <v>292.44</v>
      </c>
      <c r="D447" s="25">
        <v>277.5</v>
      </c>
      <c r="E447" s="25">
        <v>279.23</v>
      </c>
      <c r="F447" s="25">
        <v>2187304.0</v>
      </c>
    </row>
    <row r="448">
      <c r="A448" s="25">
        <v>39008.645833333336</v>
      </c>
      <c r="B448" s="25">
        <v>277.52</v>
      </c>
      <c r="C448" s="25">
        <v>279.25</v>
      </c>
      <c r="D448" s="25">
        <v>275.25</v>
      </c>
      <c r="E448" s="25">
        <v>276.56</v>
      </c>
      <c r="F448" s="25">
        <v>1248771.0</v>
      </c>
    </row>
    <row r="449">
      <c r="A449" s="25">
        <v>39009.645833333336</v>
      </c>
      <c r="B449" s="25">
        <v>276.5</v>
      </c>
      <c r="C449" s="25">
        <v>278.19</v>
      </c>
      <c r="D449" s="25">
        <v>270.66</v>
      </c>
      <c r="E449" s="25">
        <v>273.1</v>
      </c>
      <c r="F449" s="25">
        <v>775905.0</v>
      </c>
    </row>
    <row r="450">
      <c r="A450" s="25">
        <v>39010.645833333336</v>
      </c>
      <c r="B450" s="25">
        <v>275.0</v>
      </c>
      <c r="C450" s="25">
        <v>275.5</v>
      </c>
      <c r="D450" s="25">
        <v>271.52</v>
      </c>
      <c r="E450" s="25">
        <v>272.4</v>
      </c>
      <c r="F450" s="25">
        <v>532351.0</v>
      </c>
    </row>
    <row r="451">
      <c r="A451" s="25">
        <v>39013.645833333336</v>
      </c>
      <c r="B451" s="25">
        <v>273.73</v>
      </c>
      <c r="C451" s="25">
        <v>273.73</v>
      </c>
      <c r="D451" s="25">
        <v>265.35</v>
      </c>
      <c r="E451" s="25">
        <v>270.02</v>
      </c>
      <c r="F451" s="25">
        <v>331976.0</v>
      </c>
    </row>
    <row r="452">
      <c r="A452" s="25">
        <v>39016.645833333336</v>
      </c>
      <c r="B452" s="25">
        <v>270.25</v>
      </c>
      <c r="C452" s="25">
        <v>272.98</v>
      </c>
      <c r="D452" s="25">
        <v>268.75</v>
      </c>
      <c r="E452" s="25">
        <v>269.81</v>
      </c>
      <c r="F452" s="25">
        <v>1285053.0</v>
      </c>
    </row>
    <row r="453">
      <c r="A453" s="25">
        <v>39017.645833333336</v>
      </c>
      <c r="B453" s="25">
        <v>270.29</v>
      </c>
      <c r="C453" s="25">
        <v>272.5</v>
      </c>
      <c r="D453" s="25">
        <v>265.6</v>
      </c>
      <c r="E453" s="25">
        <v>268.66</v>
      </c>
      <c r="F453" s="25">
        <v>781602.0</v>
      </c>
    </row>
    <row r="454">
      <c r="A454" s="25">
        <v>39020.645833333336</v>
      </c>
      <c r="B454" s="25">
        <v>269.0</v>
      </c>
      <c r="C454" s="25">
        <v>272.0</v>
      </c>
      <c r="D454" s="25">
        <v>265.05</v>
      </c>
      <c r="E454" s="25">
        <v>269.84</v>
      </c>
      <c r="F454" s="25">
        <v>1038543.0</v>
      </c>
    </row>
    <row r="455">
      <c r="A455" s="25">
        <v>39021.645833333336</v>
      </c>
      <c r="B455" s="25">
        <v>270.0</v>
      </c>
      <c r="C455" s="25">
        <v>274.7</v>
      </c>
      <c r="D455" s="25">
        <v>268.77</v>
      </c>
      <c r="E455" s="25">
        <v>271.77</v>
      </c>
      <c r="F455" s="25">
        <v>857734.0</v>
      </c>
    </row>
    <row r="456">
      <c r="A456" s="25">
        <v>39022.645833333336</v>
      </c>
      <c r="B456" s="25">
        <v>274.25</v>
      </c>
      <c r="C456" s="25">
        <v>276.48</v>
      </c>
      <c r="D456" s="25">
        <v>270.08</v>
      </c>
      <c r="E456" s="25">
        <v>270.8</v>
      </c>
      <c r="F456" s="25">
        <v>477726.0</v>
      </c>
    </row>
    <row r="457">
      <c r="A457" s="25">
        <v>39023.645833333336</v>
      </c>
      <c r="B457" s="25">
        <v>272.5</v>
      </c>
      <c r="C457" s="25">
        <v>272.5</v>
      </c>
      <c r="D457" s="25">
        <v>268.0</v>
      </c>
      <c r="E457" s="25">
        <v>270.01</v>
      </c>
      <c r="F457" s="25">
        <v>551094.0</v>
      </c>
    </row>
    <row r="458">
      <c r="A458" s="25">
        <v>39024.645833333336</v>
      </c>
      <c r="B458" s="25">
        <v>271.25</v>
      </c>
      <c r="C458" s="25">
        <v>272.0</v>
      </c>
      <c r="D458" s="25">
        <v>264.5</v>
      </c>
      <c r="E458" s="25">
        <v>266.74</v>
      </c>
      <c r="F458" s="25">
        <v>786110.0</v>
      </c>
    </row>
    <row r="459">
      <c r="A459" s="25">
        <v>39027.645833333336</v>
      </c>
      <c r="B459" s="25">
        <v>266.63</v>
      </c>
      <c r="C459" s="25">
        <v>267.48</v>
      </c>
      <c r="D459" s="25">
        <v>264.0</v>
      </c>
      <c r="E459" s="25">
        <v>264.85</v>
      </c>
      <c r="F459" s="25">
        <v>634223.0</v>
      </c>
    </row>
    <row r="460">
      <c r="A460" s="25">
        <v>39028.645833333336</v>
      </c>
      <c r="B460" s="25">
        <v>268.5</v>
      </c>
      <c r="C460" s="25">
        <v>271.23</v>
      </c>
      <c r="D460" s="25">
        <v>265.05</v>
      </c>
      <c r="E460" s="25">
        <v>266.29</v>
      </c>
      <c r="F460" s="25">
        <v>804795.0</v>
      </c>
    </row>
    <row r="461">
      <c r="A461" s="25">
        <v>39029.645833333336</v>
      </c>
      <c r="B461" s="25">
        <v>266.25</v>
      </c>
      <c r="C461" s="25">
        <v>267.73</v>
      </c>
      <c r="D461" s="25">
        <v>262.79</v>
      </c>
      <c r="E461" s="25">
        <v>265.83</v>
      </c>
      <c r="F461" s="25">
        <v>609190.0</v>
      </c>
    </row>
    <row r="462">
      <c r="A462" s="25">
        <v>39030.645833333336</v>
      </c>
      <c r="B462" s="25">
        <v>267.25</v>
      </c>
      <c r="C462" s="25">
        <v>268.75</v>
      </c>
      <c r="D462" s="25">
        <v>263.34</v>
      </c>
      <c r="E462" s="25">
        <v>265.9</v>
      </c>
      <c r="F462" s="25">
        <v>841355.0</v>
      </c>
    </row>
    <row r="463">
      <c r="A463" s="25">
        <v>39031.645833333336</v>
      </c>
      <c r="B463" s="25">
        <v>267.5</v>
      </c>
      <c r="C463" s="25">
        <v>273.68</v>
      </c>
      <c r="D463" s="25">
        <v>266.27</v>
      </c>
      <c r="E463" s="25">
        <v>267.18</v>
      </c>
      <c r="F463" s="25">
        <v>828369.0</v>
      </c>
    </row>
    <row r="464">
      <c r="A464" s="25">
        <v>39034.645833333336</v>
      </c>
      <c r="B464" s="25">
        <v>267.7</v>
      </c>
      <c r="C464" s="25">
        <v>270.0</v>
      </c>
      <c r="D464" s="25">
        <v>266.52</v>
      </c>
      <c r="E464" s="25">
        <v>268.94</v>
      </c>
      <c r="F464" s="25">
        <v>505829.0</v>
      </c>
    </row>
    <row r="465">
      <c r="A465" s="25">
        <v>39035.645833333336</v>
      </c>
      <c r="B465" s="25">
        <v>270.25</v>
      </c>
      <c r="C465" s="25">
        <v>277.5</v>
      </c>
      <c r="D465" s="25">
        <v>270.25</v>
      </c>
      <c r="E465" s="25">
        <v>276.56</v>
      </c>
      <c r="F465" s="25">
        <v>1500965.0</v>
      </c>
    </row>
    <row r="466">
      <c r="A466" s="25">
        <v>39036.645833333336</v>
      </c>
      <c r="B466" s="25">
        <v>278.75</v>
      </c>
      <c r="C466" s="25">
        <v>280.5</v>
      </c>
      <c r="D466" s="25">
        <v>272.64</v>
      </c>
      <c r="E466" s="25">
        <v>274.2</v>
      </c>
      <c r="F466" s="25">
        <v>674510.0</v>
      </c>
    </row>
    <row r="467">
      <c r="A467" s="25">
        <v>39037.645833333336</v>
      </c>
      <c r="B467" s="25">
        <v>275.0</v>
      </c>
      <c r="C467" s="25">
        <v>276.5</v>
      </c>
      <c r="D467" s="25">
        <v>270.88</v>
      </c>
      <c r="E467" s="25">
        <v>271.84</v>
      </c>
      <c r="F467" s="25">
        <v>525422.0</v>
      </c>
    </row>
    <row r="468">
      <c r="A468" s="25">
        <v>39038.645833333336</v>
      </c>
      <c r="B468" s="25">
        <v>273.5</v>
      </c>
      <c r="C468" s="25">
        <v>274.38</v>
      </c>
      <c r="D468" s="25">
        <v>270.3</v>
      </c>
      <c r="E468" s="25">
        <v>273.79</v>
      </c>
      <c r="F468" s="25">
        <v>555421.0</v>
      </c>
    </row>
    <row r="469">
      <c r="A469" s="25">
        <v>39041.645833333336</v>
      </c>
      <c r="B469" s="25">
        <v>271.26</v>
      </c>
      <c r="C469" s="25">
        <v>280.25</v>
      </c>
      <c r="D469" s="25">
        <v>266.39</v>
      </c>
      <c r="E469" s="25">
        <v>279.46</v>
      </c>
      <c r="F469" s="25">
        <v>1293734.0</v>
      </c>
    </row>
    <row r="470">
      <c r="A470" s="25">
        <v>39042.645833333336</v>
      </c>
      <c r="B470" s="25">
        <v>279.05</v>
      </c>
      <c r="C470" s="25">
        <v>288.0</v>
      </c>
      <c r="D470" s="25">
        <v>278.5</v>
      </c>
      <c r="E470" s="25">
        <v>287.14</v>
      </c>
      <c r="F470" s="25">
        <v>1039538.0</v>
      </c>
    </row>
    <row r="471">
      <c r="A471" s="25">
        <v>39043.645833333336</v>
      </c>
      <c r="B471" s="25">
        <v>288.5</v>
      </c>
      <c r="C471" s="25">
        <v>292.75</v>
      </c>
      <c r="D471" s="25">
        <v>283.84</v>
      </c>
      <c r="E471" s="25">
        <v>287.02</v>
      </c>
      <c r="F471" s="25">
        <v>1397866.0</v>
      </c>
    </row>
    <row r="472">
      <c r="A472" s="25">
        <v>39044.645833333336</v>
      </c>
      <c r="B472" s="25">
        <v>289.0</v>
      </c>
      <c r="C472" s="25">
        <v>292.35</v>
      </c>
      <c r="D472" s="25">
        <v>285.0</v>
      </c>
      <c r="E472" s="25">
        <v>286.04</v>
      </c>
      <c r="F472" s="25">
        <v>967581.0</v>
      </c>
    </row>
    <row r="473">
      <c r="A473" s="25">
        <v>39045.645833333336</v>
      </c>
      <c r="B473" s="25">
        <v>287.5</v>
      </c>
      <c r="C473" s="25">
        <v>289.23</v>
      </c>
      <c r="D473" s="25">
        <v>284.04</v>
      </c>
      <c r="E473" s="25">
        <v>287.5</v>
      </c>
      <c r="F473" s="25">
        <v>801326.0</v>
      </c>
    </row>
    <row r="474">
      <c r="A474" s="25">
        <v>39048.645833333336</v>
      </c>
      <c r="B474" s="25">
        <v>287.5</v>
      </c>
      <c r="C474" s="25">
        <v>291.0</v>
      </c>
      <c r="D474" s="25">
        <v>287.5</v>
      </c>
      <c r="E474" s="25">
        <v>290.2</v>
      </c>
      <c r="F474" s="25">
        <v>733427.0</v>
      </c>
    </row>
    <row r="475">
      <c r="A475" s="25">
        <v>39049.645833333336</v>
      </c>
      <c r="B475" s="25">
        <v>287.5</v>
      </c>
      <c r="C475" s="25">
        <v>289.0</v>
      </c>
      <c r="D475" s="25">
        <v>277.79</v>
      </c>
      <c r="E475" s="25">
        <v>287.46</v>
      </c>
      <c r="F475" s="25">
        <v>670740.0</v>
      </c>
    </row>
    <row r="476">
      <c r="A476" s="25">
        <v>39050.645833333336</v>
      </c>
      <c r="B476" s="25">
        <v>290.0</v>
      </c>
      <c r="C476" s="25">
        <v>292.2</v>
      </c>
      <c r="D476" s="25">
        <v>287.5</v>
      </c>
      <c r="E476" s="25">
        <v>291.14</v>
      </c>
      <c r="F476" s="25">
        <v>650789.0</v>
      </c>
    </row>
    <row r="477">
      <c r="A477" s="25">
        <v>39051.645833333336</v>
      </c>
      <c r="B477" s="25">
        <v>293.2</v>
      </c>
      <c r="C477" s="25">
        <v>301.25</v>
      </c>
      <c r="D477" s="25">
        <v>291.5</v>
      </c>
      <c r="E477" s="25">
        <v>299.7</v>
      </c>
      <c r="F477" s="25">
        <v>1563638.0</v>
      </c>
    </row>
    <row r="478">
      <c r="A478" s="25">
        <v>39052.645833333336</v>
      </c>
      <c r="B478" s="25">
        <v>300.0</v>
      </c>
      <c r="C478" s="25">
        <v>300.0</v>
      </c>
      <c r="D478" s="25">
        <v>295.31</v>
      </c>
      <c r="E478" s="25">
        <v>297.34</v>
      </c>
      <c r="F478" s="25">
        <v>940535.0</v>
      </c>
    </row>
    <row r="479">
      <c r="A479" s="25">
        <v>39055.645833333336</v>
      </c>
      <c r="B479" s="25">
        <v>300.0</v>
      </c>
      <c r="C479" s="25">
        <v>302.75</v>
      </c>
      <c r="D479" s="25">
        <v>297.5</v>
      </c>
      <c r="E479" s="25">
        <v>298.1</v>
      </c>
      <c r="F479" s="25">
        <v>558523.0</v>
      </c>
    </row>
    <row r="480">
      <c r="A480" s="25">
        <v>39056.645833333336</v>
      </c>
      <c r="B480" s="25">
        <v>302.43</v>
      </c>
      <c r="C480" s="25">
        <v>302.43</v>
      </c>
      <c r="D480" s="25">
        <v>296.25</v>
      </c>
      <c r="E480" s="25">
        <v>297.98</v>
      </c>
      <c r="F480" s="25">
        <v>529119.0</v>
      </c>
    </row>
    <row r="481">
      <c r="A481" s="25">
        <v>39057.645833333336</v>
      </c>
      <c r="B481" s="25">
        <v>293.05</v>
      </c>
      <c r="C481" s="25">
        <v>301.75</v>
      </c>
      <c r="D481" s="25">
        <v>293.05</v>
      </c>
      <c r="E481" s="25">
        <v>299.65</v>
      </c>
      <c r="F481" s="25">
        <v>795214.0</v>
      </c>
    </row>
    <row r="482">
      <c r="A482" s="25">
        <v>39058.645833333336</v>
      </c>
      <c r="B482" s="25">
        <v>301.25</v>
      </c>
      <c r="C482" s="25">
        <v>308.61</v>
      </c>
      <c r="D482" s="25">
        <v>296.77</v>
      </c>
      <c r="E482" s="25">
        <v>298.58</v>
      </c>
      <c r="F482" s="25">
        <v>718218.0</v>
      </c>
    </row>
    <row r="483">
      <c r="A483" s="25">
        <v>39059.645833333336</v>
      </c>
      <c r="B483" s="25">
        <v>299.75</v>
      </c>
      <c r="C483" s="25">
        <v>299.75</v>
      </c>
      <c r="D483" s="25">
        <v>293.34</v>
      </c>
      <c r="E483" s="25">
        <v>294.23</v>
      </c>
      <c r="F483" s="25">
        <v>471817.0</v>
      </c>
    </row>
    <row r="484">
      <c r="A484" s="25">
        <v>39062.645833333336</v>
      </c>
      <c r="B484" s="25">
        <v>293.75</v>
      </c>
      <c r="C484" s="25">
        <v>297.25</v>
      </c>
      <c r="D484" s="25">
        <v>283.5</v>
      </c>
      <c r="E484" s="25">
        <v>293.36</v>
      </c>
      <c r="F484" s="25">
        <v>1069858.0</v>
      </c>
    </row>
    <row r="485">
      <c r="A485" s="25">
        <v>39063.645833333336</v>
      </c>
      <c r="B485" s="25">
        <v>292.5</v>
      </c>
      <c r="C485" s="25">
        <v>295.0</v>
      </c>
      <c r="D485" s="25">
        <v>276.25</v>
      </c>
      <c r="E485" s="25">
        <v>280.13</v>
      </c>
      <c r="F485" s="25">
        <v>1279575.0</v>
      </c>
    </row>
    <row r="486">
      <c r="A486" s="25">
        <v>39064.645833333336</v>
      </c>
      <c r="B486" s="25">
        <v>280.13</v>
      </c>
      <c r="C486" s="25">
        <v>285.25</v>
      </c>
      <c r="D486" s="25">
        <v>270.09</v>
      </c>
      <c r="E486" s="25">
        <v>280.21</v>
      </c>
      <c r="F486" s="25">
        <v>904305.0</v>
      </c>
    </row>
    <row r="487">
      <c r="A487" s="25">
        <v>39065.645833333336</v>
      </c>
      <c r="B487" s="25">
        <v>276.26</v>
      </c>
      <c r="C487" s="25">
        <v>290.0</v>
      </c>
      <c r="D487" s="25">
        <v>276.26</v>
      </c>
      <c r="E487" s="25">
        <v>287.4</v>
      </c>
      <c r="F487" s="25">
        <v>729006.0</v>
      </c>
    </row>
    <row r="488">
      <c r="A488" s="25">
        <v>39066.645833333336</v>
      </c>
      <c r="B488" s="25">
        <v>292.1</v>
      </c>
      <c r="C488" s="25">
        <v>292.1</v>
      </c>
      <c r="D488" s="25">
        <v>287.0</v>
      </c>
      <c r="E488" s="25">
        <v>290.05</v>
      </c>
      <c r="F488" s="25">
        <v>576429.0</v>
      </c>
    </row>
    <row r="489">
      <c r="A489" s="25">
        <v>39069.645833333336</v>
      </c>
      <c r="B489" s="25">
        <v>288.75</v>
      </c>
      <c r="C489" s="25">
        <v>297.1</v>
      </c>
      <c r="D489" s="25">
        <v>281.0</v>
      </c>
      <c r="E489" s="25">
        <v>295.31</v>
      </c>
      <c r="F489" s="25">
        <v>587856.0</v>
      </c>
    </row>
    <row r="490">
      <c r="A490" s="25">
        <v>39070.645833333336</v>
      </c>
      <c r="B490" s="25">
        <v>295.25</v>
      </c>
      <c r="C490" s="25">
        <v>295.95</v>
      </c>
      <c r="D490" s="25">
        <v>281.25</v>
      </c>
      <c r="E490" s="25">
        <v>285.46</v>
      </c>
      <c r="F490" s="25">
        <v>905907.0</v>
      </c>
    </row>
    <row r="491">
      <c r="A491" s="25">
        <v>39071.645833333336</v>
      </c>
      <c r="B491" s="25">
        <v>287.5</v>
      </c>
      <c r="C491" s="25">
        <v>291.96</v>
      </c>
      <c r="D491" s="25">
        <v>278.76</v>
      </c>
      <c r="E491" s="25">
        <v>282.19</v>
      </c>
      <c r="F491" s="25">
        <v>938915.0</v>
      </c>
    </row>
    <row r="492">
      <c r="A492" s="25">
        <v>39072.645833333336</v>
      </c>
      <c r="B492" s="25">
        <v>284.25</v>
      </c>
      <c r="C492" s="25">
        <v>287.5</v>
      </c>
      <c r="D492" s="25">
        <v>277.75</v>
      </c>
      <c r="E492" s="25">
        <v>284.24</v>
      </c>
      <c r="F492" s="25">
        <v>563954.0</v>
      </c>
    </row>
    <row r="493">
      <c r="A493" s="25">
        <v>39073.645833333336</v>
      </c>
      <c r="B493" s="25">
        <v>283.75</v>
      </c>
      <c r="C493" s="25">
        <v>290.0</v>
      </c>
      <c r="D493" s="25">
        <v>282.02</v>
      </c>
      <c r="E493" s="25">
        <v>288.49</v>
      </c>
      <c r="F493" s="25">
        <v>437504.0</v>
      </c>
    </row>
    <row r="494">
      <c r="A494" s="25">
        <v>39077.645833333336</v>
      </c>
      <c r="B494" s="25">
        <v>288.25</v>
      </c>
      <c r="C494" s="25">
        <v>298.6</v>
      </c>
      <c r="D494" s="25">
        <v>288.25</v>
      </c>
      <c r="E494" s="25">
        <v>297.85</v>
      </c>
      <c r="F494" s="25">
        <v>449348.0</v>
      </c>
    </row>
    <row r="495">
      <c r="A495" s="25">
        <v>39078.645833333336</v>
      </c>
      <c r="B495" s="25">
        <v>298.75</v>
      </c>
      <c r="C495" s="25">
        <v>301.5</v>
      </c>
      <c r="D495" s="25">
        <v>295.26</v>
      </c>
      <c r="E495" s="25">
        <v>299.0</v>
      </c>
      <c r="F495" s="25">
        <v>598600.0</v>
      </c>
    </row>
    <row r="496">
      <c r="A496" s="25">
        <v>39079.645833333336</v>
      </c>
      <c r="B496" s="25">
        <v>301.35</v>
      </c>
      <c r="C496" s="25">
        <v>305.0</v>
      </c>
      <c r="D496" s="25">
        <v>297.0</v>
      </c>
      <c r="E496" s="25">
        <v>302.98</v>
      </c>
      <c r="F496" s="25">
        <v>604577.0</v>
      </c>
    </row>
    <row r="497">
      <c r="A497" s="25">
        <v>39080.645833333336</v>
      </c>
      <c r="B497" s="25">
        <v>303.36</v>
      </c>
      <c r="C497" s="25">
        <v>307.35</v>
      </c>
      <c r="D497" s="25">
        <v>300.63</v>
      </c>
      <c r="E497" s="25">
        <v>305.5</v>
      </c>
      <c r="F497" s="25">
        <v>468617.0</v>
      </c>
    </row>
    <row r="498">
      <c r="A498" s="25">
        <v>39084.645833333336</v>
      </c>
      <c r="B498" s="25">
        <v>307.35</v>
      </c>
      <c r="C498" s="25">
        <v>314.5</v>
      </c>
      <c r="D498" s="25">
        <v>304.0</v>
      </c>
      <c r="E498" s="25">
        <v>312.13</v>
      </c>
      <c r="F498" s="25">
        <v>386265.0</v>
      </c>
    </row>
    <row r="499">
      <c r="A499" s="25">
        <v>39085.645833333336</v>
      </c>
      <c r="B499" s="25">
        <v>313.25</v>
      </c>
      <c r="C499" s="25">
        <v>322.0</v>
      </c>
      <c r="D499" s="25">
        <v>309.79</v>
      </c>
      <c r="E499" s="25">
        <v>320.04</v>
      </c>
      <c r="F499" s="25">
        <v>1096243.0</v>
      </c>
    </row>
    <row r="500">
      <c r="A500" s="25">
        <v>39086.645833333336</v>
      </c>
      <c r="B500" s="25">
        <v>321.25</v>
      </c>
      <c r="C500" s="25">
        <v>321.25</v>
      </c>
      <c r="D500" s="25">
        <v>312.52</v>
      </c>
      <c r="E500" s="25">
        <v>314.76</v>
      </c>
      <c r="F500" s="25">
        <v>992675.0</v>
      </c>
    </row>
    <row r="501">
      <c r="A501" s="25">
        <v>39087.645833333336</v>
      </c>
      <c r="B501" s="25">
        <v>316.25</v>
      </c>
      <c r="C501" s="25">
        <v>317.15</v>
      </c>
      <c r="D501" s="25">
        <v>313.27</v>
      </c>
      <c r="E501" s="25">
        <v>315.75</v>
      </c>
      <c r="F501" s="25">
        <v>679685.0</v>
      </c>
    </row>
    <row r="502">
      <c r="A502" s="25">
        <v>39090.645833333336</v>
      </c>
      <c r="B502" s="25">
        <v>314.75</v>
      </c>
      <c r="C502" s="25">
        <v>314.75</v>
      </c>
      <c r="D502" s="25">
        <v>303.75</v>
      </c>
      <c r="E502" s="25">
        <v>310.95</v>
      </c>
      <c r="F502" s="25">
        <v>1237973.0</v>
      </c>
    </row>
    <row r="503">
      <c r="A503" s="25">
        <v>39091.645833333336</v>
      </c>
      <c r="B503" s="25">
        <v>311.98</v>
      </c>
      <c r="C503" s="25">
        <v>315.46</v>
      </c>
      <c r="D503" s="25">
        <v>306.31</v>
      </c>
      <c r="E503" s="25">
        <v>314.1</v>
      </c>
      <c r="F503" s="25">
        <v>1005142.0</v>
      </c>
    </row>
    <row r="504">
      <c r="A504" s="25">
        <v>39092.645833333336</v>
      </c>
      <c r="B504" s="25">
        <v>311.14</v>
      </c>
      <c r="C504" s="25">
        <v>313.75</v>
      </c>
      <c r="D504" s="25">
        <v>307.5</v>
      </c>
      <c r="E504" s="25">
        <v>308.85</v>
      </c>
      <c r="F504" s="25">
        <v>732857.0</v>
      </c>
    </row>
    <row r="505">
      <c r="A505" s="25">
        <v>39093.645833333336</v>
      </c>
      <c r="B505" s="25">
        <v>299.73</v>
      </c>
      <c r="C505" s="25">
        <v>324.5</v>
      </c>
      <c r="D505" s="25">
        <v>299.73</v>
      </c>
      <c r="E505" s="25">
        <v>319.41</v>
      </c>
      <c r="F505" s="25">
        <v>1850166.0</v>
      </c>
    </row>
    <row r="506">
      <c r="A506" s="25">
        <v>39094.645833333336</v>
      </c>
      <c r="B506" s="25">
        <v>322.54</v>
      </c>
      <c r="C506" s="25">
        <v>332.25</v>
      </c>
      <c r="D506" s="25">
        <v>322.54</v>
      </c>
      <c r="E506" s="25">
        <v>330.99</v>
      </c>
      <c r="F506" s="25">
        <v>1543937.0</v>
      </c>
    </row>
    <row r="507">
      <c r="A507" s="25">
        <v>39097.645833333336</v>
      </c>
      <c r="B507" s="25">
        <v>337.5</v>
      </c>
      <c r="C507" s="25">
        <v>342.0</v>
      </c>
      <c r="D507" s="25">
        <v>325.01</v>
      </c>
      <c r="E507" s="25">
        <v>331.59</v>
      </c>
      <c r="F507" s="25">
        <v>3063958.0</v>
      </c>
    </row>
    <row r="508">
      <c r="A508" s="25">
        <v>39098.645833333336</v>
      </c>
      <c r="B508" s="25">
        <v>347.24</v>
      </c>
      <c r="C508" s="25">
        <v>347.24</v>
      </c>
      <c r="D508" s="25">
        <v>329.75</v>
      </c>
      <c r="E508" s="25">
        <v>331.03</v>
      </c>
      <c r="F508" s="25">
        <v>1906491.0</v>
      </c>
    </row>
    <row r="509">
      <c r="A509" s="25">
        <v>39099.645833333336</v>
      </c>
      <c r="B509" s="25">
        <v>332.48</v>
      </c>
      <c r="C509" s="25">
        <v>333.75</v>
      </c>
      <c r="D509" s="25">
        <v>325.0</v>
      </c>
      <c r="E509" s="25">
        <v>326.16</v>
      </c>
      <c r="F509" s="25">
        <v>658457.0</v>
      </c>
    </row>
    <row r="510">
      <c r="A510" s="25">
        <v>39100.645833333336</v>
      </c>
      <c r="B510" s="25">
        <v>326.25</v>
      </c>
      <c r="C510" s="25">
        <v>331.49</v>
      </c>
      <c r="D510" s="25">
        <v>326.25</v>
      </c>
      <c r="E510" s="25">
        <v>328.86</v>
      </c>
      <c r="F510" s="25">
        <v>679954.0</v>
      </c>
    </row>
    <row r="511">
      <c r="A511" s="25">
        <v>39101.645833333336</v>
      </c>
      <c r="B511" s="25">
        <v>328.86</v>
      </c>
      <c r="C511" s="25">
        <v>331.63</v>
      </c>
      <c r="D511" s="25">
        <v>323.04</v>
      </c>
      <c r="E511" s="25">
        <v>324.54</v>
      </c>
      <c r="F511" s="25">
        <v>720514.0</v>
      </c>
    </row>
    <row r="512">
      <c r="A512" s="25">
        <v>39104.645833333336</v>
      </c>
      <c r="B512" s="25">
        <v>325.02</v>
      </c>
      <c r="C512" s="25">
        <v>330.6</v>
      </c>
      <c r="D512" s="25">
        <v>322.51</v>
      </c>
      <c r="E512" s="25">
        <v>328.36</v>
      </c>
      <c r="F512" s="25">
        <v>795239.0</v>
      </c>
    </row>
    <row r="513">
      <c r="A513" s="25">
        <v>39105.645833333336</v>
      </c>
      <c r="B513" s="25">
        <v>328.28</v>
      </c>
      <c r="C513" s="25">
        <v>328.49</v>
      </c>
      <c r="D513" s="25">
        <v>325.0</v>
      </c>
      <c r="E513" s="25">
        <v>325.68</v>
      </c>
      <c r="F513" s="25">
        <v>781038.0</v>
      </c>
    </row>
    <row r="514">
      <c r="A514" s="25">
        <v>39106.645833333336</v>
      </c>
      <c r="B514" s="25">
        <v>327.88</v>
      </c>
      <c r="C514" s="25">
        <v>328.5</v>
      </c>
      <c r="D514" s="25">
        <v>324.54</v>
      </c>
      <c r="E514" s="25">
        <v>326.79</v>
      </c>
      <c r="F514" s="25">
        <v>588787.0</v>
      </c>
    </row>
    <row r="515">
      <c r="A515" s="25">
        <v>39107.645833333336</v>
      </c>
      <c r="B515" s="25">
        <v>331.25</v>
      </c>
      <c r="C515" s="25">
        <v>342.25</v>
      </c>
      <c r="D515" s="25">
        <v>325.73</v>
      </c>
      <c r="E515" s="25">
        <v>328.86</v>
      </c>
      <c r="F515" s="25">
        <v>1388494.0</v>
      </c>
    </row>
    <row r="516">
      <c r="A516" s="25">
        <v>39111.645833333336</v>
      </c>
      <c r="B516" s="25">
        <v>328.75</v>
      </c>
      <c r="C516" s="25">
        <v>328.75</v>
      </c>
      <c r="D516" s="25">
        <v>322.75</v>
      </c>
      <c r="E516" s="25">
        <v>324.44</v>
      </c>
      <c r="F516" s="25">
        <v>745581.0</v>
      </c>
    </row>
    <row r="517">
      <c r="A517" s="25">
        <v>39113.645833333336</v>
      </c>
      <c r="B517" s="25">
        <v>324.27</v>
      </c>
      <c r="C517" s="25">
        <v>328.48</v>
      </c>
      <c r="D517" s="25">
        <v>318.0</v>
      </c>
      <c r="E517" s="25">
        <v>319.48</v>
      </c>
      <c r="F517" s="25">
        <v>1216482.0</v>
      </c>
    </row>
    <row r="518">
      <c r="A518" s="25">
        <v>39114.645833333336</v>
      </c>
      <c r="B518" s="25">
        <v>322.49</v>
      </c>
      <c r="C518" s="25">
        <v>323.75</v>
      </c>
      <c r="D518" s="25">
        <v>318.75</v>
      </c>
      <c r="E518" s="25">
        <v>323.01</v>
      </c>
      <c r="F518" s="25">
        <v>464976.0</v>
      </c>
    </row>
    <row r="519">
      <c r="A519" s="25">
        <v>39115.645833333336</v>
      </c>
      <c r="B519" s="25">
        <v>324.75</v>
      </c>
      <c r="C519" s="25">
        <v>326.75</v>
      </c>
      <c r="D519" s="25">
        <v>323.76</v>
      </c>
      <c r="E519" s="25">
        <v>325.13</v>
      </c>
      <c r="F519" s="25">
        <v>1068654.0</v>
      </c>
    </row>
    <row r="520">
      <c r="A520" s="25">
        <v>39118.645833333336</v>
      </c>
      <c r="B520" s="25">
        <v>326.25</v>
      </c>
      <c r="C520" s="25">
        <v>328.48</v>
      </c>
      <c r="D520" s="25">
        <v>323.5</v>
      </c>
      <c r="E520" s="25">
        <v>326.45</v>
      </c>
      <c r="F520" s="25">
        <v>752684.0</v>
      </c>
    </row>
    <row r="521">
      <c r="A521" s="25">
        <v>39119.645833333336</v>
      </c>
      <c r="B521" s="25">
        <v>328.25</v>
      </c>
      <c r="C521" s="25">
        <v>328.48</v>
      </c>
      <c r="D521" s="25">
        <v>322.51</v>
      </c>
      <c r="E521" s="25">
        <v>324.6</v>
      </c>
      <c r="F521" s="25">
        <v>852991.0</v>
      </c>
    </row>
    <row r="522">
      <c r="A522" s="25">
        <v>39120.645833333336</v>
      </c>
      <c r="B522" s="25">
        <v>325.0</v>
      </c>
      <c r="C522" s="25">
        <v>328.1</v>
      </c>
      <c r="D522" s="25">
        <v>323.8</v>
      </c>
      <c r="E522" s="25">
        <v>326.58</v>
      </c>
      <c r="F522" s="25">
        <v>649996.0</v>
      </c>
    </row>
    <row r="523">
      <c r="A523" s="25">
        <v>39121.645833333336</v>
      </c>
      <c r="B523" s="25">
        <v>327.85</v>
      </c>
      <c r="C523" s="25">
        <v>328.73</v>
      </c>
      <c r="D523" s="25">
        <v>324.34</v>
      </c>
      <c r="E523" s="25">
        <v>326.13</v>
      </c>
      <c r="F523" s="25">
        <v>662506.0</v>
      </c>
    </row>
    <row r="524">
      <c r="A524" s="25">
        <v>39122.645833333336</v>
      </c>
      <c r="B524" s="25">
        <v>327.35</v>
      </c>
      <c r="C524" s="25">
        <v>329.36</v>
      </c>
      <c r="D524" s="25">
        <v>320.79</v>
      </c>
      <c r="E524" s="25">
        <v>321.85</v>
      </c>
      <c r="F524" s="25">
        <v>498340.0</v>
      </c>
    </row>
    <row r="525">
      <c r="A525" s="25">
        <v>39125.645833333336</v>
      </c>
      <c r="B525" s="25">
        <v>312.5</v>
      </c>
      <c r="C525" s="25">
        <v>324.68</v>
      </c>
      <c r="D525" s="25">
        <v>312.5</v>
      </c>
      <c r="E525" s="25">
        <v>313.95</v>
      </c>
      <c r="F525" s="25">
        <v>446597.0</v>
      </c>
    </row>
    <row r="526">
      <c r="A526" s="25">
        <v>39126.645833333336</v>
      </c>
      <c r="B526" s="25">
        <v>314.0</v>
      </c>
      <c r="C526" s="25">
        <v>321.23</v>
      </c>
      <c r="D526" s="25">
        <v>308.75</v>
      </c>
      <c r="E526" s="25">
        <v>313.23</v>
      </c>
      <c r="F526" s="25">
        <v>1032588.0</v>
      </c>
    </row>
    <row r="527">
      <c r="A527" s="25">
        <v>39127.645833333336</v>
      </c>
      <c r="B527" s="25">
        <v>313.25</v>
      </c>
      <c r="C527" s="25">
        <v>316.75</v>
      </c>
      <c r="D527" s="25">
        <v>310.0</v>
      </c>
      <c r="E527" s="25">
        <v>315.19</v>
      </c>
      <c r="F527" s="25">
        <v>784469.0</v>
      </c>
    </row>
    <row r="528">
      <c r="A528" s="25">
        <v>39128.645833333336</v>
      </c>
      <c r="B528" s="25">
        <v>316.25</v>
      </c>
      <c r="C528" s="25">
        <v>325.0</v>
      </c>
      <c r="D528" s="25">
        <v>306.27</v>
      </c>
      <c r="E528" s="25">
        <v>323.06</v>
      </c>
      <c r="F528" s="25">
        <v>918389.0</v>
      </c>
    </row>
    <row r="529">
      <c r="A529" s="25">
        <v>39132.645833333336</v>
      </c>
      <c r="B529" s="25">
        <v>325.35</v>
      </c>
      <c r="C529" s="25">
        <v>329.68</v>
      </c>
      <c r="D529" s="25">
        <v>323.8</v>
      </c>
      <c r="E529" s="25">
        <v>327.45</v>
      </c>
      <c r="F529" s="25">
        <v>1184674.0</v>
      </c>
    </row>
    <row r="530">
      <c r="A530" s="25">
        <v>39133.645833333336</v>
      </c>
      <c r="B530" s="25">
        <v>328.48</v>
      </c>
      <c r="C530" s="25">
        <v>330.95</v>
      </c>
      <c r="D530" s="25">
        <v>323.75</v>
      </c>
      <c r="E530" s="25">
        <v>324.89</v>
      </c>
      <c r="F530" s="25">
        <v>1350037.0</v>
      </c>
    </row>
    <row r="531">
      <c r="A531" s="25">
        <v>39134.645833333336</v>
      </c>
      <c r="B531" s="25">
        <v>325.0</v>
      </c>
      <c r="C531" s="25">
        <v>327.94</v>
      </c>
      <c r="D531" s="25">
        <v>320.0</v>
      </c>
      <c r="E531" s="25">
        <v>320.96</v>
      </c>
      <c r="F531" s="25">
        <v>984547.0</v>
      </c>
    </row>
    <row r="532">
      <c r="A532" s="25">
        <v>39135.645833333336</v>
      </c>
      <c r="B532" s="25">
        <v>325.0</v>
      </c>
      <c r="C532" s="25">
        <v>328.1</v>
      </c>
      <c r="D532" s="25">
        <v>321.5</v>
      </c>
      <c r="E532" s="25">
        <v>323.58</v>
      </c>
      <c r="F532" s="25">
        <v>1734778.0</v>
      </c>
    </row>
    <row r="533">
      <c r="A533" s="25">
        <v>39136.645833333336</v>
      </c>
      <c r="B533" s="25">
        <v>323.75</v>
      </c>
      <c r="C533" s="25">
        <v>324.88</v>
      </c>
      <c r="D533" s="25">
        <v>318.25</v>
      </c>
      <c r="E533" s="25">
        <v>319.34</v>
      </c>
      <c r="F533" s="25">
        <v>791922.0</v>
      </c>
    </row>
    <row r="534">
      <c r="A534" s="25">
        <v>39139.645833333336</v>
      </c>
      <c r="B534" s="25">
        <v>318.0</v>
      </c>
      <c r="C534" s="25">
        <v>323.46</v>
      </c>
      <c r="D534" s="25">
        <v>308.13</v>
      </c>
      <c r="E534" s="25">
        <v>321.52</v>
      </c>
      <c r="F534" s="25">
        <v>1169421.0</v>
      </c>
    </row>
    <row r="535">
      <c r="A535" s="25">
        <v>39140.645833333336</v>
      </c>
      <c r="B535" s="25">
        <v>313.5</v>
      </c>
      <c r="C535" s="25">
        <v>323.55</v>
      </c>
      <c r="D535" s="25">
        <v>313.5</v>
      </c>
      <c r="E535" s="25">
        <v>316.04</v>
      </c>
      <c r="F535" s="25">
        <v>1177492.0</v>
      </c>
    </row>
    <row r="536">
      <c r="A536" s="25">
        <v>39141.645833333336</v>
      </c>
      <c r="B536" s="25">
        <v>308.25</v>
      </c>
      <c r="C536" s="25">
        <v>311.24</v>
      </c>
      <c r="D536" s="25">
        <v>293.0</v>
      </c>
      <c r="E536" s="25">
        <v>298.35</v>
      </c>
      <c r="F536" s="25">
        <v>2336989.0</v>
      </c>
    </row>
    <row r="537">
      <c r="A537" s="25">
        <v>39142.645833333336</v>
      </c>
      <c r="B537" s="25">
        <v>300.0</v>
      </c>
      <c r="C537" s="25">
        <v>317.0</v>
      </c>
      <c r="D537" s="25">
        <v>297.6</v>
      </c>
      <c r="E537" s="25">
        <v>313.66</v>
      </c>
      <c r="F537" s="25">
        <v>1964641.0</v>
      </c>
    </row>
    <row r="538">
      <c r="A538" s="25">
        <v>39143.645833333336</v>
      </c>
      <c r="B538" s="25">
        <v>313.7</v>
      </c>
      <c r="C538" s="25">
        <v>315.0</v>
      </c>
      <c r="D538" s="25">
        <v>300.25</v>
      </c>
      <c r="E538" s="25">
        <v>302.14</v>
      </c>
      <c r="F538" s="25">
        <v>1327938.0</v>
      </c>
    </row>
    <row r="539">
      <c r="A539" s="25">
        <v>39146.645833333336</v>
      </c>
      <c r="B539" s="25">
        <v>297.5</v>
      </c>
      <c r="C539" s="25">
        <v>299.75</v>
      </c>
      <c r="D539" s="25">
        <v>287.5</v>
      </c>
      <c r="E539" s="25">
        <v>288.89</v>
      </c>
      <c r="F539" s="25">
        <v>1280220.0</v>
      </c>
    </row>
    <row r="540">
      <c r="A540" s="25">
        <v>39147.645833333336</v>
      </c>
      <c r="B540" s="25">
        <v>302.5</v>
      </c>
      <c r="C540" s="25">
        <v>333.75</v>
      </c>
      <c r="D540" s="25">
        <v>290.27</v>
      </c>
      <c r="E540" s="25">
        <v>299.31</v>
      </c>
      <c r="F540" s="25">
        <v>905980.0</v>
      </c>
    </row>
    <row r="541">
      <c r="A541" s="25">
        <v>39148.645833333336</v>
      </c>
      <c r="B541" s="25">
        <v>300.5</v>
      </c>
      <c r="C541" s="25">
        <v>306.18</v>
      </c>
      <c r="D541" s="25">
        <v>289.35</v>
      </c>
      <c r="E541" s="25">
        <v>297.95</v>
      </c>
      <c r="F541" s="25">
        <v>1110158.0</v>
      </c>
    </row>
    <row r="542">
      <c r="A542" s="25">
        <v>39149.645833333336</v>
      </c>
      <c r="B542" s="25">
        <v>297.5</v>
      </c>
      <c r="C542" s="25">
        <v>307.43</v>
      </c>
      <c r="D542" s="25">
        <v>297.5</v>
      </c>
      <c r="E542" s="25">
        <v>304.6</v>
      </c>
      <c r="F542" s="25">
        <v>568747.0</v>
      </c>
    </row>
    <row r="543">
      <c r="A543" s="25">
        <v>39150.645833333336</v>
      </c>
      <c r="B543" s="25">
        <v>307.08</v>
      </c>
      <c r="C543" s="25">
        <v>308.25</v>
      </c>
      <c r="D543" s="25">
        <v>299.5</v>
      </c>
      <c r="E543" s="25">
        <v>303.04</v>
      </c>
      <c r="F543" s="25">
        <v>808037.0</v>
      </c>
    </row>
    <row r="544">
      <c r="A544" s="25">
        <v>39153.645833333336</v>
      </c>
      <c r="B544" s="25">
        <v>306.18</v>
      </c>
      <c r="C544" s="25">
        <v>313.43</v>
      </c>
      <c r="D544" s="25">
        <v>302.75</v>
      </c>
      <c r="E544" s="25">
        <v>308.75</v>
      </c>
      <c r="F544" s="25">
        <v>909234.0</v>
      </c>
    </row>
    <row r="545">
      <c r="A545" s="25">
        <v>39154.645833333336</v>
      </c>
      <c r="B545" s="25">
        <v>306.38</v>
      </c>
      <c r="C545" s="25">
        <v>317.23</v>
      </c>
      <c r="D545" s="25">
        <v>300.02</v>
      </c>
      <c r="E545" s="25">
        <v>316.35</v>
      </c>
      <c r="F545" s="25">
        <v>508022.0</v>
      </c>
    </row>
    <row r="546">
      <c r="A546" s="25">
        <v>39155.645833333336</v>
      </c>
      <c r="B546" s="25">
        <v>306.25</v>
      </c>
      <c r="C546" s="25">
        <v>310.48</v>
      </c>
      <c r="D546" s="25">
        <v>301.25</v>
      </c>
      <c r="E546" s="25">
        <v>303.39</v>
      </c>
      <c r="F546" s="25">
        <v>956237.0</v>
      </c>
    </row>
    <row r="547">
      <c r="A547" s="25">
        <v>39156.645833333336</v>
      </c>
      <c r="B547" s="25">
        <v>307.5</v>
      </c>
      <c r="C547" s="25">
        <v>312.75</v>
      </c>
      <c r="D547" s="25">
        <v>307.0</v>
      </c>
      <c r="E547" s="25">
        <v>308.58</v>
      </c>
      <c r="F547" s="25">
        <v>955822.0</v>
      </c>
    </row>
    <row r="548">
      <c r="A548" s="25">
        <v>39157.645833333336</v>
      </c>
      <c r="B548" s="25">
        <v>310.35</v>
      </c>
      <c r="C548" s="25">
        <v>314.46</v>
      </c>
      <c r="D548" s="25">
        <v>303.79</v>
      </c>
      <c r="E548" s="25">
        <v>309.41</v>
      </c>
      <c r="F548" s="25">
        <v>1056071.0</v>
      </c>
    </row>
    <row r="549">
      <c r="A549" s="25">
        <v>39160.645833333336</v>
      </c>
      <c r="B549" s="25">
        <v>304.08</v>
      </c>
      <c r="C549" s="25">
        <v>316.19</v>
      </c>
      <c r="D549" s="25">
        <v>300.45</v>
      </c>
      <c r="E549" s="25">
        <v>315.23</v>
      </c>
      <c r="F549" s="25">
        <v>303424.0</v>
      </c>
    </row>
    <row r="550">
      <c r="A550" s="25">
        <v>39161.645833333336</v>
      </c>
      <c r="B550" s="25">
        <v>315.0</v>
      </c>
      <c r="C550" s="25">
        <v>319.13</v>
      </c>
      <c r="D550" s="25">
        <v>312.0</v>
      </c>
      <c r="E550" s="25">
        <v>313.25</v>
      </c>
      <c r="F550" s="25">
        <v>693898.0</v>
      </c>
    </row>
    <row r="551">
      <c r="A551" s="25">
        <v>39162.645833333336</v>
      </c>
      <c r="B551" s="25">
        <v>315.25</v>
      </c>
      <c r="C551" s="25">
        <v>317.35</v>
      </c>
      <c r="D551" s="25">
        <v>310.0</v>
      </c>
      <c r="E551" s="25">
        <v>316.75</v>
      </c>
      <c r="F551" s="25">
        <v>492509.0</v>
      </c>
    </row>
    <row r="552">
      <c r="A552" s="25">
        <v>39163.645833333336</v>
      </c>
      <c r="B552" s="25">
        <v>319.25</v>
      </c>
      <c r="C552" s="25">
        <v>326.75</v>
      </c>
      <c r="D552" s="25">
        <v>319.25</v>
      </c>
      <c r="E552" s="25">
        <v>325.76</v>
      </c>
      <c r="F552" s="25">
        <v>1031398.0</v>
      </c>
    </row>
    <row r="553">
      <c r="A553" s="25">
        <v>39164.645833333336</v>
      </c>
      <c r="B553" s="25">
        <v>328.0</v>
      </c>
      <c r="C553" s="25">
        <v>330.0</v>
      </c>
      <c r="D553" s="25">
        <v>320.0</v>
      </c>
      <c r="E553" s="25">
        <v>322.05</v>
      </c>
      <c r="F553" s="25">
        <v>1316324.0</v>
      </c>
    </row>
    <row r="554">
      <c r="A554" s="25">
        <v>39167.645833333336</v>
      </c>
      <c r="B554" s="25">
        <v>321.25</v>
      </c>
      <c r="C554" s="25">
        <v>324.68</v>
      </c>
      <c r="D554" s="25">
        <v>313.81</v>
      </c>
      <c r="E554" s="25">
        <v>315.34</v>
      </c>
      <c r="F554" s="25">
        <v>1524684.0</v>
      </c>
    </row>
    <row r="555">
      <c r="A555" s="25">
        <v>39169.645833333336</v>
      </c>
      <c r="B555" s="25">
        <v>317.48</v>
      </c>
      <c r="C555" s="25">
        <v>317.48</v>
      </c>
      <c r="D555" s="25">
        <v>298.51</v>
      </c>
      <c r="E555" s="25">
        <v>300.25</v>
      </c>
      <c r="F555" s="25">
        <v>2204512.0</v>
      </c>
    </row>
    <row r="556">
      <c r="A556" s="25">
        <v>39170.645833333336</v>
      </c>
      <c r="B556" s="25">
        <v>297.24</v>
      </c>
      <c r="C556" s="25">
        <v>314.2</v>
      </c>
      <c r="D556" s="25">
        <v>297.24</v>
      </c>
      <c r="E556" s="25">
        <v>312.09</v>
      </c>
      <c r="F556" s="25">
        <v>2566656.0</v>
      </c>
    </row>
    <row r="557">
      <c r="A557" s="25">
        <v>39171.645833333336</v>
      </c>
      <c r="B557" s="25">
        <v>312.09</v>
      </c>
      <c r="C557" s="25">
        <v>313.7</v>
      </c>
      <c r="D557" s="25">
        <v>305.06</v>
      </c>
      <c r="E557" s="25">
        <v>308.46</v>
      </c>
      <c r="F557" s="25">
        <v>701764.0</v>
      </c>
    </row>
    <row r="558">
      <c r="A558" s="25">
        <v>39174.645833333336</v>
      </c>
      <c r="B558" s="25">
        <v>302.5</v>
      </c>
      <c r="C558" s="25">
        <v>305.0</v>
      </c>
      <c r="D558" s="25">
        <v>296.25</v>
      </c>
      <c r="E558" s="25">
        <v>297.3</v>
      </c>
      <c r="F558" s="25">
        <v>968974.0</v>
      </c>
    </row>
    <row r="559">
      <c r="A559" s="25">
        <v>39175.645833333336</v>
      </c>
      <c r="B559" s="25">
        <v>298.75</v>
      </c>
      <c r="C559" s="25">
        <v>304.2</v>
      </c>
      <c r="D559" s="25">
        <v>297.0</v>
      </c>
      <c r="E559" s="25">
        <v>300.66</v>
      </c>
      <c r="F559" s="25">
        <v>814213.0</v>
      </c>
    </row>
    <row r="560">
      <c r="A560" s="25">
        <v>39176.645833333336</v>
      </c>
      <c r="B560" s="25">
        <v>304.5</v>
      </c>
      <c r="C560" s="25">
        <v>306.18</v>
      </c>
      <c r="D560" s="25">
        <v>297.6</v>
      </c>
      <c r="E560" s="25">
        <v>299.6</v>
      </c>
      <c r="F560" s="25">
        <v>600624.0</v>
      </c>
    </row>
    <row r="561">
      <c r="A561" s="25">
        <v>39177.645833333336</v>
      </c>
      <c r="B561" s="25">
        <v>299.86</v>
      </c>
      <c r="C561" s="25">
        <v>301.5</v>
      </c>
      <c r="D561" s="25">
        <v>296.52</v>
      </c>
      <c r="E561" s="25">
        <v>298.55</v>
      </c>
      <c r="F561" s="25">
        <v>633498.0</v>
      </c>
    </row>
    <row r="562">
      <c r="A562" s="25">
        <v>39181.645833333336</v>
      </c>
      <c r="B562" s="25">
        <v>300.13</v>
      </c>
      <c r="C562" s="25">
        <v>306.69</v>
      </c>
      <c r="D562" s="25">
        <v>300.13</v>
      </c>
      <c r="E562" s="25">
        <v>304.3</v>
      </c>
      <c r="F562" s="25">
        <v>571131.0</v>
      </c>
    </row>
    <row r="563">
      <c r="A563" s="25">
        <v>39182.645833333336</v>
      </c>
      <c r="B563" s="25">
        <v>304.3</v>
      </c>
      <c r="C563" s="25">
        <v>306.25</v>
      </c>
      <c r="D563" s="25">
        <v>298.84</v>
      </c>
      <c r="E563" s="25">
        <v>299.34</v>
      </c>
      <c r="F563" s="25">
        <v>870060.0</v>
      </c>
    </row>
    <row r="564">
      <c r="A564" s="25">
        <v>39183.645833333336</v>
      </c>
      <c r="B564" s="25">
        <v>301.35</v>
      </c>
      <c r="C564" s="25">
        <v>302.36</v>
      </c>
      <c r="D564" s="25">
        <v>296.75</v>
      </c>
      <c r="E564" s="25">
        <v>297.64</v>
      </c>
      <c r="F564" s="25">
        <v>956584.0</v>
      </c>
    </row>
    <row r="565">
      <c r="A565" s="25">
        <v>39184.645833333336</v>
      </c>
      <c r="B565" s="25">
        <v>297.0</v>
      </c>
      <c r="C565" s="25">
        <v>302.25</v>
      </c>
      <c r="D565" s="25">
        <v>293.0</v>
      </c>
      <c r="E565" s="25">
        <v>300.24</v>
      </c>
      <c r="F565" s="25">
        <v>923739.0</v>
      </c>
    </row>
    <row r="566">
      <c r="A566" s="25">
        <v>39185.645833333336</v>
      </c>
      <c r="B566" s="25">
        <v>302.5</v>
      </c>
      <c r="C566" s="25">
        <v>317.1</v>
      </c>
      <c r="D566" s="25">
        <v>298.5</v>
      </c>
      <c r="E566" s="25">
        <v>315.5</v>
      </c>
      <c r="F566" s="25">
        <v>2444712.0</v>
      </c>
    </row>
    <row r="567">
      <c r="A567" s="25">
        <v>39188.645833333336</v>
      </c>
      <c r="B567" s="25">
        <v>321.0</v>
      </c>
      <c r="C567" s="25">
        <v>326.48</v>
      </c>
      <c r="D567" s="25">
        <v>317.56</v>
      </c>
      <c r="E567" s="25">
        <v>320.06</v>
      </c>
      <c r="F567" s="25">
        <v>2496555.0</v>
      </c>
    </row>
    <row r="568">
      <c r="A568" s="25">
        <v>39189.645833333336</v>
      </c>
      <c r="B568" s="25">
        <v>321.43</v>
      </c>
      <c r="C568" s="25">
        <v>328.75</v>
      </c>
      <c r="D568" s="25">
        <v>309.5</v>
      </c>
      <c r="E568" s="25">
        <v>312.56</v>
      </c>
      <c r="F568" s="25">
        <v>2616241.0</v>
      </c>
    </row>
    <row r="569">
      <c r="A569" s="25">
        <v>39190.645833333336</v>
      </c>
      <c r="B569" s="25">
        <v>313.5</v>
      </c>
      <c r="C569" s="25">
        <v>316.25</v>
      </c>
      <c r="D569" s="25">
        <v>310.25</v>
      </c>
      <c r="E569" s="25">
        <v>311.88</v>
      </c>
      <c r="F569" s="25">
        <v>713396.0</v>
      </c>
    </row>
    <row r="570">
      <c r="A570" s="25">
        <v>39191.645833333336</v>
      </c>
      <c r="B570" s="25">
        <v>307.5</v>
      </c>
      <c r="C570" s="25">
        <v>312.0</v>
      </c>
      <c r="D570" s="25">
        <v>301.27</v>
      </c>
      <c r="E570" s="25">
        <v>310.73</v>
      </c>
      <c r="F570" s="25">
        <v>791163.0</v>
      </c>
    </row>
    <row r="571">
      <c r="A571" s="25">
        <v>39192.645833333336</v>
      </c>
      <c r="B571" s="25">
        <v>313.0</v>
      </c>
      <c r="C571" s="25">
        <v>316.99</v>
      </c>
      <c r="D571" s="25">
        <v>312.52</v>
      </c>
      <c r="E571" s="25">
        <v>314.41</v>
      </c>
      <c r="F571" s="25">
        <v>717688.0</v>
      </c>
    </row>
    <row r="572">
      <c r="A572" s="25">
        <v>39195.645833333336</v>
      </c>
      <c r="B572" s="25">
        <v>313.75</v>
      </c>
      <c r="C572" s="25">
        <v>317.45</v>
      </c>
      <c r="D572" s="25">
        <v>311.25</v>
      </c>
      <c r="E572" s="25">
        <v>311.95</v>
      </c>
      <c r="F572" s="25">
        <v>566306.0</v>
      </c>
    </row>
    <row r="573">
      <c r="A573" s="25">
        <v>39196.645833333336</v>
      </c>
      <c r="B573" s="25">
        <v>311.0</v>
      </c>
      <c r="C573" s="25">
        <v>315.5</v>
      </c>
      <c r="D573" s="25">
        <v>304.75</v>
      </c>
      <c r="E573" s="25">
        <v>306.21</v>
      </c>
      <c r="F573" s="25">
        <v>1730629.0</v>
      </c>
    </row>
    <row r="574">
      <c r="A574" s="25">
        <v>39197.645833333336</v>
      </c>
      <c r="B574" s="25">
        <v>306.25</v>
      </c>
      <c r="C574" s="25">
        <v>306.73</v>
      </c>
      <c r="D574" s="25">
        <v>302.0</v>
      </c>
      <c r="E574" s="25">
        <v>305.34</v>
      </c>
      <c r="F574" s="25">
        <v>5438101.0</v>
      </c>
    </row>
    <row r="575">
      <c r="A575" s="25">
        <v>39198.645833333336</v>
      </c>
      <c r="B575" s="25">
        <v>306.75</v>
      </c>
      <c r="C575" s="25">
        <v>312.4</v>
      </c>
      <c r="D575" s="25">
        <v>305.0</v>
      </c>
      <c r="E575" s="25">
        <v>310.1</v>
      </c>
      <c r="F575" s="25">
        <v>1485439.0</v>
      </c>
    </row>
    <row r="576">
      <c r="A576" s="25">
        <v>39199.645833333336</v>
      </c>
      <c r="B576" s="25">
        <v>308.75</v>
      </c>
      <c r="C576" s="25">
        <v>309.13</v>
      </c>
      <c r="D576" s="25">
        <v>304.31</v>
      </c>
      <c r="E576" s="25">
        <v>308.63</v>
      </c>
      <c r="F576" s="25">
        <v>1201321.0</v>
      </c>
    </row>
    <row r="577">
      <c r="A577" s="25">
        <v>39202.645833333336</v>
      </c>
      <c r="B577" s="25">
        <v>310.26</v>
      </c>
      <c r="C577" s="25">
        <v>317.48</v>
      </c>
      <c r="D577" s="25">
        <v>301.25</v>
      </c>
      <c r="E577" s="25">
        <v>316.5</v>
      </c>
      <c r="F577" s="25">
        <v>972013.0</v>
      </c>
    </row>
    <row r="578">
      <c r="A578" s="25">
        <v>39205.645833333336</v>
      </c>
      <c r="B578" s="25">
        <v>318.7</v>
      </c>
      <c r="C578" s="25">
        <v>323.7</v>
      </c>
      <c r="D578" s="25">
        <v>318.14</v>
      </c>
      <c r="E578" s="25">
        <v>322.55</v>
      </c>
      <c r="F578" s="25">
        <v>1660757.0</v>
      </c>
    </row>
    <row r="579">
      <c r="A579" s="25">
        <v>39206.645833333336</v>
      </c>
      <c r="B579" s="25">
        <v>324.75</v>
      </c>
      <c r="C579" s="25">
        <v>332.48</v>
      </c>
      <c r="D579" s="25">
        <v>317.25</v>
      </c>
      <c r="E579" s="25">
        <v>318.26</v>
      </c>
      <c r="F579" s="25">
        <v>1775300.0</v>
      </c>
    </row>
    <row r="580">
      <c r="A580" s="25">
        <v>39209.645833333336</v>
      </c>
      <c r="B580" s="25">
        <v>320.5</v>
      </c>
      <c r="C580" s="25">
        <v>321.23</v>
      </c>
      <c r="D580" s="25">
        <v>316.29</v>
      </c>
      <c r="E580" s="25">
        <v>318.23</v>
      </c>
      <c r="F580" s="25">
        <v>1388332.0</v>
      </c>
    </row>
    <row r="581">
      <c r="A581" s="25">
        <v>39210.645833333336</v>
      </c>
      <c r="B581" s="25">
        <v>317.5</v>
      </c>
      <c r="C581" s="25">
        <v>320.0</v>
      </c>
      <c r="D581" s="25">
        <v>314.31</v>
      </c>
      <c r="E581" s="25">
        <v>316.64</v>
      </c>
      <c r="F581" s="25">
        <v>2047751.0</v>
      </c>
    </row>
    <row r="582">
      <c r="A582" s="25">
        <v>39211.645833333336</v>
      </c>
      <c r="B582" s="25">
        <v>325.0</v>
      </c>
      <c r="C582" s="25">
        <v>325.0</v>
      </c>
      <c r="D582" s="25">
        <v>306.25</v>
      </c>
      <c r="E582" s="25">
        <v>309.88</v>
      </c>
      <c r="F582" s="25">
        <v>1174957.0</v>
      </c>
    </row>
    <row r="583">
      <c r="A583" s="25">
        <v>39212.645833333336</v>
      </c>
      <c r="B583" s="25">
        <v>311.25</v>
      </c>
      <c r="C583" s="25">
        <v>322.48</v>
      </c>
      <c r="D583" s="25">
        <v>306.5</v>
      </c>
      <c r="E583" s="25">
        <v>307.43</v>
      </c>
      <c r="F583" s="25">
        <v>761050.0</v>
      </c>
    </row>
    <row r="584">
      <c r="A584" s="25">
        <v>39213.645833333336</v>
      </c>
      <c r="B584" s="25">
        <v>312.5</v>
      </c>
      <c r="C584" s="25">
        <v>314.75</v>
      </c>
      <c r="D584" s="25">
        <v>302.5</v>
      </c>
      <c r="E584" s="25">
        <v>313.14</v>
      </c>
      <c r="F584" s="25">
        <v>966914.0</v>
      </c>
    </row>
    <row r="585">
      <c r="A585" s="25">
        <v>39216.645833333336</v>
      </c>
      <c r="B585" s="25">
        <v>319.63</v>
      </c>
      <c r="C585" s="25">
        <v>319.63</v>
      </c>
      <c r="D585" s="25">
        <v>311.52</v>
      </c>
      <c r="E585" s="25">
        <v>312.56</v>
      </c>
      <c r="F585" s="25">
        <v>315094.0</v>
      </c>
    </row>
    <row r="586">
      <c r="A586" s="25">
        <v>39217.645833333336</v>
      </c>
      <c r="B586" s="25">
        <v>315.0</v>
      </c>
      <c r="C586" s="25">
        <v>315.0</v>
      </c>
      <c r="D586" s="25">
        <v>306.25</v>
      </c>
      <c r="E586" s="25">
        <v>309.51</v>
      </c>
      <c r="F586" s="25">
        <v>1050780.0</v>
      </c>
    </row>
    <row r="587">
      <c r="A587" s="25">
        <v>39218.645833333336</v>
      </c>
      <c r="B587" s="25">
        <v>316.25</v>
      </c>
      <c r="C587" s="25">
        <v>316.25</v>
      </c>
      <c r="D587" s="25">
        <v>302.64</v>
      </c>
      <c r="E587" s="25">
        <v>306.05</v>
      </c>
      <c r="F587" s="25">
        <v>1630904.0</v>
      </c>
    </row>
    <row r="588">
      <c r="A588" s="25">
        <v>39219.645833333336</v>
      </c>
      <c r="B588" s="25">
        <v>308.27</v>
      </c>
      <c r="C588" s="25">
        <v>313.43</v>
      </c>
      <c r="D588" s="25">
        <v>307.5</v>
      </c>
      <c r="E588" s="25">
        <v>312.5</v>
      </c>
      <c r="F588" s="25">
        <v>732815.0</v>
      </c>
    </row>
    <row r="589">
      <c r="A589" s="25">
        <v>39220.645833333336</v>
      </c>
      <c r="B589" s="25">
        <v>314.99</v>
      </c>
      <c r="C589" s="25">
        <v>319.0</v>
      </c>
      <c r="D589" s="25">
        <v>312.5</v>
      </c>
      <c r="E589" s="25">
        <v>313.21</v>
      </c>
      <c r="F589" s="25">
        <v>730251.0</v>
      </c>
    </row>
    <row r="590">
      <c r="A590" s="25">
        <v>39223.645833333336</v>
      </c>
      <c r="B590" s="25">
        <v>317.5</v>
      </c>
      <c r="C590" s="25">
        <v>317.5</v>
      </c>
      <c r="D590" s="25">
        <v>307.5</v>
      </c>
      <c r="E590" s="25">
        <v>309.26</v>
      </c>
      <c r="F590" s="25">
        <v>714211.0</v>
      </c>
    </row>
    <row r="591">
      <c r="A591" s="25">
        <v>39224.645833333336</v>
      </c>
      <c r="B591" s="25">
        <v>309.38</v>
      </c>
      <c r="C591" s="25">
        <v>311.0</v>
      </c>
      <c r="D591" s="25">
        <v>305.26</v>
      </c>
      <c r="E591" s="25">
        <v>307.66</v>
      </c>
      <c r="F591" s="25">
        <v>1540056.0</v>
      </c>
    </row>
    <row r="592">
      <c r="A592" s="25">
        <v>39225.645833333336</v>
      </c>
      <c r="B592" s="25">
        <v>310.38</v>
      </c>
      <c r="C592" s="25">
        <v>310.38</v>
      </c>
      <c r="D592" s="25">
        <v>306.27</v>
      </c>
      <c r="E592" s="25">
        <v>308.35</v>
      </c>
      <c r="F592" s="25">
        <v>317953.0</v>
      </c>
    </row>
    <row r="593">
      <c r="A593" s="25">
        <v>39226.645833333336</v>
      </c>
      <c r="B593" s="25">
        <v>312.5</v>
      </c>
      <c r="C593" s="25">
        <v>312.5</v>
      </c>
      <c r="D593" s="25">
        <v>305.25</v>
      </c>
      <c r="E593" s="25">
        <v>306.19</v>
      </c>
      <c r="F593" s="25">
        <v>1138201.0</v>
      </c>
    </row>
    <row r="594">
      <c r="A594" s="25">
        <v>39227.645833333336</v>
      </c>
      <c r="B594" s="25">
        <v>305.24</v>
      </c>
      <c r="C594" s="25">
        <v>308.75</v>
      </c>
      <c r="D594" s="25">
        <v>302.0</v>
      </c>
      <c r="E594" s="25">
        <v>307.49</v>
      </c>
      <c r="F594" s="25">
        <v>1311042.0</v>
      </c>
    </row>
    <row r="595">
      <c r="A595" s="25">
        <v>39230.645833333336</v>
      </c>
      <c r="B595" s="25">
        <v>312.5</v>
      </c>
      <c r="C595" s="25">
        <v>312.5</v>
      </c>
      <c r="D595" s="25">
        <v>305.89</v>
      </c>
      <c r="E595" s="25">
        <v>306.38</v>
      </c>
      <c r="F595" s="25">
        <v>646293.0</v>
      </c>
    </row>
    <row r="596">
      <c r="A596" s="25">
        <v>39231.645833333336</v>
      </c>
      <c r="B596" s="25">
        <v>306.23</v>
      </c>
      <c r="C596" s="25">
        <v>308.75</v>
      </c>
      <c r="D596" s="25">
        <v>305.0</v>
      </c>
      <c r="E596" s="25">
        <v>307.79</v>
      </c>
      <c r="F596" s="25">
        <v>741820.0</v>
      </c>
    </row>
    <row r="597">
      <c r="A597" s="25">
        <v>39232.645833333336</v>
      </c>
      <c r="B597" s="25">
        <v>312.5</v>
      </c>
      <c r="C597" s="25">
        <v>312.5</v>
      </c>
      <c r="D597" s="25">
        <v>302.55</v>
      </c>
      <c r="E597" s="25">
        <v>303.91</v>
      </c>
      <c r="F597" s="25">
        <v>650014.0</v>
      </c>
    </row>
    <row r="598">
      <c r="A598" s="25">
        <v>39233.645833333336</v>
      </c>
      <c r="B598" s="25">
        <v>307.25</v>
      </c>
      <c r="C598" s="25">
        <v>307.25</v>
      </c>
      <c r="D598" s="25">
        <v>300.0</v>
      </c>
      <c r="E598" s="25">
        <v>302.09</v>
      </c>
      <c r="F598" s="25">
        <v>1294123.0</v>
      </c>
    </row>
    <row r="599">
      <c r="A599" s="25">
        <v>39234.645833333336</v>
      </c>
      <c r="B599" s="25">
        <v>307.27</v>
      </c>
      <c r="C599" s="25">
        <v>307.27</v>
      </c>
      <c r="D599" s="25">
        <v>302.79</v>
      </c>
      <c r="E599" s="25">
        <v>304.68</v>
      </c>
      <c r="F599" s="25">
        <v>432247.0</v>
      </c>
    </row>
    <row r="600">
      <c r="A600" s="25">
        <v>39237.645833333336</v>
      </c>
      <c r="B600" s="25">
        <v>307.0</v>
      </c>
      <c r="C600" s="25">
        <v>312.5</v>
      </c>
      <c r="D600" s="25">
        <v>300.5</v>
      </c>
      <c r="E600" s="25">
        <v>302.02</v>
      </c>
      <c r="F600" s="25">
        <v>463346.0</v>
      </c>
    </row>
    <row r="601">
      <c r="A601" s="25">
        <v>39238.645833333336</v>
      </c>
      <c r="B601" s="25">
        <v>304.45</v>
      </c>
      <c r="C601" s="25">
        <v>304.45</v>
      </c>
      <c r="D601" s="25">
        <v>300.0</v>
      </c>
      <c r="E601" s="25">
        <v>302.01</v>
      </c>
      <c r="F601" s="25">
        <v>437900.0</v>
      </c>
    </row>
    <row r="602">
      <c r="A602" s="25">
        <v>39239.645833333336</v>
      </c>
      <c r="B602" s="25">
        <v>303.75</v>
      </c>
      <c r="C602" s="25">
        <v>304.25</v>
      </c>
      <c r="D602" s="25">
        <v>294.55</v>
      </c>
      <c r="E602" s="25">
        <v>300.09</v>
      </c>
      <c r="F602" s="25">
        <v>958005.0</v>
      </c>
    </row>
    <row r="603">
      <c r="A603" s="25">
        <v>39240.645833333336</v>
      </c>
      <c r="B603" s="25">
        <v>300.0</v>
      </c>
      <c r="C603" s="25">
        <v>303.6</v>
      </c>
      <c r="D603" s="25">
        <v>291.33</v>
      </c>
      <c r="E603" s="25">
        <v>301.75</v>
      </c>
      <c r="F603" s="25">
        <v>502235.0</v>
      </c>
    </row>
    <row r="604">
      <c r="A604" s="25">
        <v>39241.645833333336</v>
      </c>
      <c r="B604" s="25">
        <v>301.63</v>
      </c>
      <c r="C604" s="25">
        <v>307.63</v>
      </c>
      <c r="D604" s="25">
        <v>297.5</v>
      </c>
      <c r="E604" s="25">
        <v>305.02</v>
      </c>
      <c r="F604" s="25">
        <v>1504769.0</v>
      </c>
    </row>
    <row r="605">
      <c r="A605" s="25">
        <v>39244.645833333336</v>
      </c>
      <c r="B605" s="25">
        <v>309.14</v>
      </c>
      <c r="C605" s="25">
        <v>309.85</v>
      </c>
      <c r="D605" s="25">
        <v>304.51</v>
      </c>
      <c r="E605" s="25">
        <v>305.34</v>
      </c>
      <c r="F605" s="25">
        <v>662034.0</v>
      </c>
    </row>
    <row r="606">
      <c r="A606" s="25">
        <v>39245.645833333336</v>
      </c>
      <c r="B606" s="25">
        <v>302.5</v>
      </c>
      <c r="C606" s="25">
        <v>307.5</v>
      </c>
      <c r="D606" s="25">
        <v>300.0</v>
      </c>
      <c r="E606" s="25">
        <v>304.34</v>
      </c>
      <c r="F606" s="25">
        <v>350518.0</v>
      </c>
    </row>
    <row r="607">
      <c r="A607" s="25">
        <v>39246.645833333336</v>
      </c>
      <c r="B607" s="25">
        <v>304.75</v>
      </c>
      <c r="C607" s="25">
        <v>305.0</v>
      </c>
      <c r="D607" s="25">
        <v>298.33</v>
      </c>
      <c r="E607" s="25">
        <v>300.81</v>
      </c>
      <c r="F607" s="25">
        <v>442122.0</v>
      </c>
    </row>
    <row r="608">
      <c r="A608" s="25">
        <v>39247.645833333336</v>
      </c>
      <c r="B608" s="25">
        <v>302.5</v>
      </c>
      <c r="C608" s="25">
        <v>305.0</v>
      </c>
      <c r="D608" s="25">
        <v>300.33</v>
      </c>
      <c r="E608" s="25">
        <v>301.14</v>
      </c>
      <c r="F608" s="25">
        <v>1044017.0</v>
      </c>
    </row>
    <row r="609">
      <c r="A609" s="25">
        <v>39248.645833333336</v>
      </c>
      <c r="B609" s="25">
        <v>305.0</v>
      </c>
      <c r="C609" s="25">
        <v>305.0</v>
      </c>
      <c r="D609" s="25">
        <v>295.0</v>
      </c>
      <c r="E609" s="25">
        <v>296.1</v>
      </c>
      <c r="F609" s="25">
        <v>1245788.0</v>
      </c>
    </row>
    <row r="610">
      <c r="A610" s="25">
        <v>39251.645833333336</v>
      </c>
      <c r="B610" s="25">
        <v>298.25</v>
      </c>
      <c r="C610" s="25">
        <v>298.75</v>
      </c>
      <c r="D610" s="25">
        <v>290.0</v>
      </c>
      <c r="E610" s="25">
        <v>290.65</v>
      </c>
      <c r="F610" s="25">
        <v>718614.0</v>
      </c>
    </row>
    <row r="611">
      <c r="A611" s="25">
        <v>39252.645833333336</v>
      </c>
      <c r="B611" s="25">
        <v>291.27</v>
      </c>
      <c r="C611" s="25">
        <v>291.38</v>
      </c>
      <c r="D611" s="25">
        <v>285.83</v>
      </c>
      <c r="E611" s="25">
        <v>290.0</v>
      </c>
      <c r="F611" s="25">
        <v>873859.0</v>
      </c>
    </row>
    <row r="612">
      <c r="A612" s="25">
        <v>39253.645833333336</v>
      </c>
      <c r="B612" s="25">
        <v>290.25</v>
      </c>
      <c r="C612" s="25">
        <v>293.25</v>
      </c>
      <c r="D612" s="25">
        <v>285.25</v>
      </c>
      <c r="E612" s="25">
        <v>286.75</v>
      </c>
      <c r="F612" s="25">
        <v>1006242.0</v>
      </c>
    </row>
    <row r="613">
      <c r="A613" s="25">
        <v>39254.645833333336</v>
      </c>
      <c r="B613" s="25">
        <v>286.25</v>
      </c>
      <c r="C613" s="25">
        <v>287.7</v>
      </c>
      <c r="D613" s="25">
        <v>282.5</v>
      </c>
      <c r="E613" s="25">
        <v>286.4</v>
      </c>
      <c r="F613" s="25">
        <v>760932.0</v>
      </c>
    </row>
    <row r="614">
      <c r="A614" s="25">
        <v>39255.645833333336</v>
      </c>
      <c r="B614" s="25">
        <v>286.25</v>
      </c>
      <c r="C614" s="25">
        <v>288.75</v>
      </c>
      <c r="D614" s="25">
        <v>283.63</v>
      </c>
      <c r="E614" s="25">
        <v>284.99</v>
      </c>
      <c r="F614" s="25">
        <v>669326.0</v>
      </c>
    </row>
    <row r="615">
      <c r="A615" s="25">
        <v>39258.645833333336</v>
      </c>
      <c r="B615" s="25">
        <v>284.99</v>
      </c>
      <c r="C615" s="25">
        <v>287.5</v>
      </c>
      <c r="D615" s="25">
        <v>279.69</v>
      </c>
      <c r="E615" s="25">
        <v>281.44</v>
      </c>
      <c r="F615" s="25">
        <v>700944.0</v>
      </c>
    </row>
    <row r="616">
      <c r="A616" s="25">
        <v>39259.645833333336</v>
      </c>
      <c r="B616" s="25">
        <v>282.75</v>
      </c>
      <c r="C616" s="25">
        <v>285.0</v>
      </c>
      <c r="D616" s="25">
        <v>279.46</v>
      </c>
      <c r="E616" s="25">
        <v>280.44</v>
      </c>
      <c r="F616" s="25">
        <v>708186.0</v>
      </c>
    </row>
    <row r="617">
      <c r="A617" s="25">
        <v>39260.645833333336</v>
      </c>
      <c r="B617" s="25">
        <v>282.48</v>
      </c>
      <c r="C617" s="25">
        <v>284.68</v>
      </c>
      <c r="D617" s="25">
        <v>281.0</v>
      </c>
      <c r="E617" s="25">
        <v>283.29</v>
      </c>
      <c r="F617" s="25">
        <v>739174.0</v>
      </c>
    </row>
    <row r="618">
      <c r="A618" s="25">
        <v>39261.645833333336</v>
      </c>
      <c r="B618" s="25">
        <v>285.99</v>
      </c>
      <c r="C618" s="25">
        <v>285.99</v>
      </c>
      <c r="D618" s="25">
        <v>281.25</v>
      </c>
      <c r="E618" s="25">
        <v>284.21</v>
      </c>
      <c r="F618" s="25">
        <v>1085698.0</v>
      </c>
    </row>
    <row r="619">
      <c r="A619" s="25">
        <v>39262.645833333336</v>
      </c>
      <c r="B619" s="25">
        <v>285.25</v>
      </c>
      <c r="C619" s="25">
        <v>289.0</v>
      </c>
      <c r="D619" s="25">
        <v>285.01</v>
      </c>
      <c r="E619" s="25">
        <v>287.34</v>
      </c>
      <c r="F619" s="25">
        <v>751114.0</v>
      </c>
    </row>
    <row r="620">
      <c r="A620" s="25">
        <v>39265.645833333336</v>
      </c>
      <c r="B620" s="25">
        <v>288.25</v>
      </c>
      <c r="C620" s="25">
        <v>288.25</v>
      </c>
      <c r="D620" s="25">
        <v>282.75</v>
      </c>
      <c r="E620" s="25">
        <v>283.61</v>
      </c>
      <c r="F620" s="25">
        <v>369288.0</v>
      </c>
    </row>
    <row r="621">
      <c r="A621" s="25">
        <v>39266.645833333336</v>
      </c>
      <c r="B621" s="25">
        <v>287.5</v>
      </c>
      <c r="C621" s="25">
        <v>287.5</v>
      </c>
      <c r="D621" s="25">
        <v>281.0</v>
      </c>
      <c r="E621" s="25">
        <v>281.9</v>
      </c>
      <c r="F621" s="25">
        <v>457342.0</v>
      </c>
    </row>
    <row r="622">
      <c r="A622" s="25">
        <v>39267.645833333336</v>
      </c>
      <c r="B622" s="25">
        <v>282.0</v>
      </c>
      <c r="C622" s="25">
        <v>285.0</v>
      </c>
      <c r="D622" s="25">
        <v>279.0</v>
      </c>
      <c r="E622" s="25">
        <v>279.41</v>
      </c>
      <c r="F622" s="25">
        <v>603866.0</v>
      </c>
    </row>
    <row r="623">
      <c r="A623" s="25">
        <v>39268.645833333336</v>
      </c>
      <c r="B623" s="25">
        <v>282.05</v>
      </c>
      <c r="C623" s="25">
        <v>282.05</v>
      </c>
      <c r="D623" s="25">
        <v>275.2</v>
      </c>
      <c r="E623" s="25">
        <v>277.91</v>
      </c>
      <c r="F623" s="25">
        <v>794801.0</v>
      </c>
    </row>
    <row r="624">
      <c r="A624" s="25">
        <v>39269.645833333336</v>
      </c>
      <c r="B624" s="25">
        <v>278.75</v>
      </c>
      <c r="C624" s="25">
        <v>291.23</v>
      </c>
      <c r="D624" s="25">
        <v>275.02</v>
      </c>
      <c r="E624" s="25">
        <v>289.66</v>
      </c>
      <c r="F624" s="25">
        <v>1901421.0</v>
      </c>
    </row>
    <row r="625">
      <c r="A625" s="25">
        <v>39272.645833333336</v>
      </c>
      <c r="B625" s="25">
        <v>292.1</v>
      </c>
      <c r="C625" s="25">
        <v>295.6</v>
      </c>
      <c r="D625" s="25">
        <v>291.25</v>
      </c>
      <c r="E625" s="25">
        <v>294.19</v>
      </c>
      <c r="F625" s="25">
        <v>1339942.0</v>
      </c>
    </row>
    <row r="626">
      <c r="A626" s="25">
        <v>39273.645833333336</v>
      </c>
      <c r="B626" s="25">
        <v>296.25</v>
      </c>
      <c r="C626" s="25">
        <v>300.0</v>
      </c>
      <c r="D626" s="25">
        <v>292.0</v>
      </c>
      <c r="E626" s="25">
        <v>295.79</v>
      </c>
      <c r="F626" s="25">
        <v>1873242.0</v>
      </c>
    </row>
    <row r="627">
      <c r="A627" s="25">
        <v>39274.645833333336</v>
      </c>
      <c r="B627" s="25">
        <v>295.5</v>
      </c>
      <c r="C627" s="25">
        <v>296.25</v>
      </c>
      <c r="D627" s="25">
        <v>275.0</v>
      </c>
      <c r="E627" s="25">
        <v>287.23</v>
      </c>
      <c r="F627" s="25">
        <v>1515531.0</v>
      </c>
    </row>
    <row r="628">
      <c r="A628" s="25">
        <v>39275.645833333336</v>
      </c>
      <c r="B628" s="25">
        <v>288.75</v>
      </c>
      <c r="C628" s="25">
        <v>292.25</v>
      </c>
      <c r="D628" s="25">
        <v>283.5</v>
      </c>
      <c r="E628" s="25">
        <v>290.64</v>
      </c>
      <c r="F628" s="25">
        <v>1440986.0</v>
      </c>
    </row>
    <row r="629">
      <c r="A629" s="25">
        <v>39276.645833333336</v>
      </c>
      <c r="B629" s="25">
        <v>309.02</v>
      </c>
      <c r="C629" s="25">
        <v>315.38</v>
      </c>
      <c r="D629" s="25">
        <v>282.56</v>
      </c>
      <c r="E629" s="25">
        <v>284.0</v>
      </c>
      <c r="F629" s="25">
        <v>1446162.0</v>
      </c>
    </row>
    <row r="630">
      <c r="A630" s="25">
        <v>39279.645833333336</v>
      </c>
      <c r="B630" s="25">
        <v>283.75</v>
      </c>
      <c r="C630" s="25">
        <v>284.5</v>
      </c>
      <c r="D630" s="25">
        <v>278.5</v>
      </c>
      <c r="E630" s="25">
        <v>282.08</v>
      </c>
      <c r="F630" s="25">
        <v>997560.0</v>
      </c>
    </row>
    <row r="631">
      <c r="A631" s="25">
        <v>39280.645833333336</v>
      </c>
      <c r="B631" s="25">
        <v>293.95</v>
      </c>
      <c r="C631" s="25">
        <v>293.95</v>
      </c>
      <c r="D631" s="25">
        <v>287.5</v>
      </c>
      <c r="E631" s="25">
        <v>288.94</v>
      </c>
      <c r="F631" s="25">
        <v>1541172.0</v>
      </c>
    </row>
    <row r="632">
      <c r="A632" s="25">
        <v>39281.645833333336</v>
      </c>
      <c r="B632" s="25">
        <v>289.25</v>
      </c>
      <c r="C632" s="25">
        <v>292.5</v>
      </c>
      <c r="D632" s="25">
        <v>286.84</v>
      </c>
      <c r="E632" s="25">
        <v>291.66</v>
      </c>
      <c r="F632" s="25">
        <v>1092795.0</v>
      </c>
    </row>
    <row r="633">
      <c r="A633" s="25">
        <v>39282.645833333336</v>
      </c>
      <c r="B633" s="25">
        <v>291.75</v>
      </c>
      <c r="C633" s="25">
        <v>296.25</v>
      </c>
      <c r="D633" s="25">
        <v>291.38</v>
      </c>
      <c r="E633" s="25">
        <v>295.55</v>
      </c>
      <c r="F633" s="25">
        <v>1018878.0</v>
      </c>
    </row>
    <row r="634">
      <c r="A634" s="25">
        <v>39283.645833333336</v>
      </c>
      <c r="B634" s="25">
        <v>297.25</v>
      </c>
      <c r="C634" s="25">
        <v>297.49</v>
      </c>
      <c r="D634" s="25">
        <v>291.85</v>
      </c>
      <c r="E634" s="25">
        <v>293.98</v>
      </c>
      <c r="F634" s="25">
        <v>936233.0</v>
      </c>
    </row>
    <row r="635">
      <c r="A635" s="25">
        <v>39286.645833333336</v>
      </c>
      <c r="B635" s="25">
        <v>292.45</v>
      </c>
      <c r="C635" s="25">
        <v>298.75</v>
      </c>
      <c r="D635" s="25">
        <v>290.52</v>
      </c>
      <c r="E635" s="25">
        <v>297.74</v>
      </c>
      <c r="F635" s="25">
        <v>1179114.0</v>
      </c>
    </row>
    <row r="636">
      <c r="A636" s="25">
        <v>39287.645833333336</v>
      </c>
      <c r="B636" s="25">
        <v>297.48</v>
      </c>
      <c r="C636" s="25">
        <v>298.0</v>
      </c>
      <c r="D636" s="25">
        <v>291.75</v>
      </c>
      <c r="E636" s="25">
        <v>292.98</v>
      </c>
      <c r="F636" s="25">
        <v>781794.0</v>
      </c>
    </row>
    <row r="637">
      <c r="A637" s="25">
        <v>39288.645833333336</v>
      </c>
      <c r="B637" s="25">
        <v>292.0</v>
      </c>
      <c r="C637" s="25">
        <v>292.75</v>
      </c>
      <c r="D637" s="25">
        <v>286.25</v>
      </c>
      <c r="E637" s="25">
        <v>287.05</v>
      </c>
      <c r="F637" s="25">
        <v>667543.0</v>
      </c>
    </row>
    <row r="638">
      <c r="A638" s="25">
        <v>39289.645833333336</v>
      </c>
      <c r="B638" s="25">
        <v>288.75</v>
      </c>
      <c r="C638" s="25">
        <v>302.5</v>
      </c>
      <c r="D638" s="25">
        <v>286.27</v>
      </c>
      <c r="E638" s="25">
        <v>297.27</v>
      </c>
      <c r="F638" s="25">
        <v>1500701.0</v>
      </c>
    </row>
    <row r="639">
      <c r="A639" s="25">
        <v>39290.645833333336</v>
      </c>
      <c r="B639" s="25">
        <v>290.0</v>
      </c>
      <c r="C639" s="25">
        <v>293.75</v>
      </c>
      <c r="D639" s="25">
        <v>281.5</v>
      </c>
      <c r="E639" s="25">
        <v>288.25</v>
      </c>
      <c r="F639" s="25">
        <v>800809.0</v>
      </c>
    </row>
    <row r="640">
      <c r="A640" s="25">
        <v>39293.645833333336</v>
      </c>
      <c r="B640" s="25">
        <v>287.5</v>
      </c>
      <c r="C640" s="25">
        <v>292.5</v>
      </c>
      <c r="D640" s="25">
        <v>282.56</v>
      </c>
      <c r="E640" s="25">
        <v>284.11</v>
      </c>
      <c r="F640" s="25">
        <v>458962.0</v>
      </c>
    </row>
    <row r="641">
      <c r="A641" s="25">
        <v>39294.645833333336</v>
      </c>
      <c r="B641" s="25">
        <v>287.75</v>
      </c>
      <c r="C641" s="25">
        <v>290.5</v>
      </c>
      <c r="D641" s="25">
        <v>282.5</v>
      </c>
      <c r="E641" s="25">
        <v>289.08</v>
      </c>
      <c r="F641" s="25">
        <v>804635.0</v>
      </c>
    </row>
    <row r="642">
      <c r="A642" s="25">
        <v>39295.645833333336</v>
      </c>
      <c r="B642" s="25">
        <v>286.25</v>
      </c>
      <c r="C642" s="25">
        <v>286.25</v>
      </c>
      <c r="D642" s="25">
        <v>277.75</v>
      </c>
      <c r="E642" s="25">
        <v>278.79</v>
      </c>
      <c r="F642" s="25">
        <v>1095543.0</v>
      </c>
    </row>
    <row r="643">
      <c r="A643" s="25">
        <v>39296.645833333336</v>
      </c>
      <c r="B643" s="25">
        <v>280.0</v>
      </c>
      <c r="C643" s="25">
        <v>281.13</v>
      </c>
      <c r="D643" s="25">
        <v>272.5</v>
      </c>
      <c r="E643" s="25">
        <v>273.79</v>
      </c>
      <c r="F643" s="25">
        <v>478002.0</v>
      </c>
    </row>
    <row r="644">
      <c r="A644" s="25">
        <v>39297.645833333336</v>
      </c>
      <c r="B644" s="25">
        <v>278.5</v>
      </c>
      <c r="C644" s="25">
        <v>278.5</v>
      </c>
      <c r="D644" s="25">
        <v>270.88</v>
      </c>
      <c r="E644" s="25">
        <v>274.23</v>
      </c>
      <c r="F644" s="25">
        <v>498296.0</v>
      </c>
    </row>
    <row r="645">
      <c r="A645" s="25">
        <v>39300.645833333336</v>
      </c>
      <c r="B645" s="25">
        <v>272.5</v>
      </c>
      <c r="C645" s="25">
        <v>279.5</v>
      </c>
      <c r="D645" s="25">
        <v>268.5</v>
      </c>
      <c r="E645" s="25">
        <v>274.86</v>
      </c>
      <c r="F645" s="25">
        <v>684387.0</v>
      </c>
    </row>
    <row r="646">
      <c r="A646" s="25">
        <v>39301.645833333336</v>
      </c>
      <c r="B646" s="25">
        <v>278.27</v>
      </c>
      <c r="C646" s="25">
        <v>279.45</v>
      </c>
      <c r="D646" s="25">
        <v>273.52</v>
      </c>
      <c r="E646" s="25">
        <v>277.33</v>
      </c>
      <c r="F646" s="25">
        <v>746303.0</v>
      </c>
    </row>
    <row r="647">
      <c r="A647" s="25">
        <v>39302.645833333336</v>
      </c>
      <c r="B647" s="25">
        <v>287.5</v>
      </c>
      <c r="C647" s="25">
        <v>292.25</v>
      </c>
      <c r="D647" s="25">
        <v>279.5</v>
      </c>
      <c r="E647" s="25">
        <v>288.15</v>
      </c>
      <c r="F647" s="25">
        <v>1013791.0</v>
      </c>
    </row>
    <row r="648">
      <c r="A648" s="25">
        <v>39303.645833333336</v>
      </c>
      <c r="B648" s="25">
        <v>290.0</v>
      </c>
      <c r="C648" s="25">
        <v>297.21</v>
      </c>
      <c r="D648" s="25">
        <v>283.8</v>
      </c>
      <c r="E648" s="25">
        <v>286.43</v>
      </c>
      <c r="F648" s="25">
        <v>1268609.0</v>
      </c>
    </row>
    <row r="649">
      <c r="A649" s="25">
        <v>39304.645833333336</v>
      </c>
      <c r="B649" s="25">
        <v>278.75</v>
      </c>
      <c r="C649" s="25">
        <v>288.38</v>
      </c>
      <c r="D649" s="25">
        <v>270.1</v>
      </c>
      <c r="E649" s="25">
        <v>286.13</v>
      </c>
      <c r="F649" s="25">
        <v>1572640.0</v>
      </c>
    </row>
    <row r="650">
      <c r="A650" s="25">
        <v>39307.645833333336</v>
      </c>
      <c r="B650" s="25">
        <v>287.5</v>
      </c>
      <c r="C650" s="25">
        <v>287.5</v>
      </c>
      <c r="D650" s="25">
        <v>281.29</v>
      </c>
      <c r="E650" s="25">
        <v>283.63</v>
      </c>
      <c r="F650" s="25">
        <v>301381.0</v>
      </c>
    </row>
    <row r="651">
      <c r="A651" s="25">
        <v>39308.645833333336</v>
      </c>
      <c r="B651" s="25">
        <v>283.75</v>
      </c>
      <c r="C651" s="25">
        <v>285.0</v>
      </c>
      <c r="D651" s="25">
        <v>280.0</v>
      </c>
      <c r="E651" s="25">
        <v>282.56</v>
      </c>
      <c r="F651" s="25">
        <v>305699.0</v>
      </c>
    </row>
    <row r="652">
      <c r="A652" s="25">
        <v>39310.645833333336</v>
      </c>
      <c r="B652" s="25">
        <v>275.0</v>
      </c>
      <c r="C652" s="25">
        <v>279.9</v>
      </c>
      <c r="D652" s="25">
        <v>271.25</v>
      </c>
      <c r="E652" s="25">
        <v>272.0</v>
      </c>
      <c r="F652" s="25">
        <v>1665780.0</v>
      </c>
    </row>
    <row r="653">
      <c r="A653" s="25">
        <v>39311.645833333336</v>
      </c>
      <c r="B653" s="25">
        <v>272.0</v>
      </c>
      <c r="C653" s="25">
        <v>273.25</v>
      </c>
      <c r="D653" s="25">
        <v>259.8</v>
      </c>
      <c r="E653" s="25">
        <v>264.04</v>
      </c>
      <c r="F653" s="25">
        <v>1725276.0</v>
      </c>
    </row>
    <row r="654">
      <c r="A654" s="25">
        <v>39314.645833333336</v>
      </c>
      <c r="B654" s="25">
        <v>270.88</v>
      </c>
      <c r="C654" s="25">
        <v>274.85</v>
      </c>
      <c r="D654" s="25">
        <v>262.77</v>
      </c>
      <c r="E654" s="25">
        <v>263.89</v>
      </c>
      <c r="F654" s="25">
        <v>1096711.0</v>
      </c>
    </row>
    <row r="655">
      <c r="A655" s="25">
        <v>39315.645833333336</v>
      </c>
      <c r="B655" s="25">
        <v>269.13</v>
      </c>
      <c r="C655" s="25">
        <v>269.13</v>
      </c>
      <c r="D655" s="25">
        <v>251.13</v>
      </c>
      <c r="E655" s="25">
        <v>253.81</v>
      </c>
      <c r="F655" s="25">
        <v>1090841.0</v>
      </c>
    </row>
    <row r="656">
      <c r="A656" s="25">
        <v>39316.645833333336</v>
      </c>
      <c r="B656" s="25">
        <v>255.0</v>
      </c>
      <c r="C656" s="25">
        <v>258.18</v>
      </c>
      <c r="D656" s="25">
        <v>249.0</v>
      </c>
      <c r="E656" s="25">
        <v>256.48</v>
      </c>
      <c r="F656" s="25">
        <v>956655.0</v>
      </c>
    </row>
    <row r="657">
      <c r="A657" s="25">
        <v>39317.645833333336</v>
      </c>
      <c r="B657" s="25">
        <v>258.0</v>
      </c>
      <c r="C657" s="25">
        <v>262.0</v>
      </c>
      <c r="D657" s="25">
        <v>251.0</v>
      </c>
      <c r="E657" s="25">
        <v>251.98</v>
      </c>
      <c r="F657" s="25">
        <v>778437.0</v>
      </c>
    </row>
    <row r="658">
      <c r="A658" s="25">
        <v>39318.645833333336</v>
      </c>
      <c r="B658" s="25">
        <v>253.75</v>
      </c>
      <c r="C658" s="25">
        <v>256.63</v>
      </c>
      <c r="D658" s="25">
        <v>249.88</v>
      </c>
      <c r="E658" s="25">
        <v>254.6</v>
      </c>
      <c r="F658" s="25">
        <v>481743.0</v>
      </c>
    </row>
    <row r="659">
      <c r="A659" s="25">
        <v>39321.645833333336</v>
      </c>
      <c r="B659" s="25">
        <v>256.24</v>
      </c>
      <c r="C659" s="25">
        <v>259.7</v>
      </c>
      <c r="D659" s="25">
        <v>255.01</v>
      </c>
      <c r="E659" s="25">
        <v>256.63</v>
      </c>
      <c r="F659" s="25">
        <v>666714.0</v>
      </c>
    </row>
    <row r="660">
      <c r="A660" s="25">
        <v>39322.645833333336</v>
      </c>
      <c r="B660" s="25">
        <v>259.0</v>
      </c>
      <c r="C660" s="25">
        <v>259.75</v>
      </c>
      <c r="D660" s="25">
        <v>252.75</v>
      </c>
      <c r="E660" s="25">
        <v>257.19</v>
      </c>
      <c r="F660" s="25">
        <v>565876.0</v>
      </c>
    </row>
    <row r="661">
      <c r="A661" s="25">
        <v>39323.645833333336</v>
      </c>
      <c r="B661" s="25">
        <v>255.0</v>
      </c>
      <c r="C661" s="25">
        <v>259.95</v>
      </c>
      <c r="D661" s="25">
        <v>250.25</v>
      </c>
      <c r="E661" s="25">
        <v>257.9</v>
      </c>
      <c r="F661" s="25">
        <v>799172.0</v>
      </c>
    </row>
    <row r="662">
      <c r="A662" s="25">
        <v>39324.645833333336</v>
      </c>
      <c r="B662" s="25">
        <v>260.5</v>
      </c>
      <c r="C662" s="25">
        <v>264.75</v>
      </c>
      <c r="D662" s="25">
        <v>256.25</v>
      </c>
      <c r="E662" s="25">
        <v>261.5</v>
      </c>
      <c r="F662" s="25">
        <v>1750793.0</v>
      </c>
    </row>
    <row r="663">
      <c r="A663" s="25">
        <v>39325.645833333336</v>
      </c>
      <c r="B663" s="25">
        <v>263.0</v>
      </c>
      <c r="C663" s="25">
        <v>267.43</v>
      </c>
      <c r="D663" s="25">
        <v>261.75</v>
      </c>
      <c r="E663" s="25">
        <v>266.09</v>
      </c>
      <c r="F663" s="25">
        <v>594374.0</v>
      </c>
    </row>
    <row r="664">
      <c r="A664" s="25">
        <v>39328.645833333336</v>
      </c>
      <c r="B664" s="25">
        <v>267.5</v>
      </c>
      <c r="C664" s="25">
        <v>268.75</v>
      </c>
      <c r="D664" s="25">
        <v>263.35</v>
      </c>
      <c r="E664" s="25">
        <v>265.31</v>
      </c>
      <c r="F664" s="25">
        <v>624066.0</v>
      </c>
    </row>
    <row r="665">
      <c r="A665" s="25">
        <v>39329.645833333336</v>
      </c>
      <c r="B665" s="25">
        <v>266.25</v>
      </c>
      <c r="C665" s="25">
        <v>271.93</v>
      </c>
      <c r="D665" s="25">
        <v>265.25</v>
      </c>
      <c r="E665" s="25">
        <v>266.52</v>
      </c>
      <c r="F665" s="25">
        <v>545689.0</v>
      </c>
    </row>
    <row r="666">
      <c r="A666" s="25">
        <v>39330.645833333336</v>
      </c>
      <c r="B666" s="25">
        <v>266.75</v>
      </c>
      <c r="C666" s="25">
        <v>270.74</v>
      </c>
      <c r="D666" s="25">
        <v>266.27</v>
      </c>
      <c r="E666" s="25">
        <v>268.09</v>
      </c>
      <c r="F666" s="25">
        <v>879241.0</v>
      </c>
    </row>
    <row r="667">
      <c r="A667" s="25">
        <v>39331.645833333336</v>
      </c>
      <c r="B667" s="25">
        <v>266.25</v>
      </c>
      <c r="C667" s="25">
        <v>270.25</v>
      </c>
      <c r="D667" s="25">
        <v>265.25</v>
      </c>
      <c r="E667" s="25">
        <v>269.5</v>
      </c>
      <c r="F667" s="25">
        <v>467965.0</v>
      </c>
    </row>
    <row r="668">
      <c r="A668" s="25">
        <v>39332.645833333336</v>
      </c>
      <c r="B668" s="25">
        <v>269.25</v>
      </c>
      <c r="C668" s="25">
        <v>271.13</v>
      </c>
      <c r="D668" s="25">
        <v>267.5</v>
      </c>
      <c r="E668" s="25">
        <v>269.06</v>
      </c>
      <c r="F668" s="25">
        <v>422894.0</v>
      </c>
    </row>
    <row r="669">
      <c r="A669" s="25">
        <v>39335.645833333336</v>
      </c>
      <c r="B669" s="25">
        <v>269.06</v>
      </c>
      <c r="C669" s="25">
        <v>269.06</v>
      </c>
      <c r="D669" s="25">
        <v>261.0</v>
      </c>
      <c r="E669" s="25">
        <v>261.81</v>
      </c>
      <c r="F669" s="25">
        <v>550265.0</v>
      </c>
    </row>
    <row r="670">
      <c r="A670" s="25">
        <v>39336.645833333336</v>
      </c>
      <c r="B670" s="25">
        <v>273.61</v>
      </c>
      <c r="C670" s="25">
        <v>273.61</v>
      </c>
      <c r="D670" s="25">
        <v>255.0</v>
      </c>
      <c r="E670" s="25">
        <v>255.84</v>
      </c>
      <c r="F670" s="25">
        <v>846639.0</v>
      </c>
    </row>
    <row r="671">
      <c r="A671" s="25">
        <v>39337.645833333336</v>
      </c>
      <c r="B671" s="25">
        <v>257.5</v>
      </c>
      <c r="C671" s="25">
        <v>259.44</v>
      </c>
      <c r="D671" s="25">
        <v>253.38</v>
      </c>
      <c r="E671" s="25">
        <v>253.9</v>
      </c>
      <c r="F671" s="25">
        <v>586026.0</v>
      </c>
    </row>
    <row r="672">
      <c r="A672" s="25">
        <v>39338.645833333336</v>
      </c>
      <c r="B672" s="25">
        <v>256.23</v>
      </c>
      <c r="C672" s="25">
        <v>258.75</v>
      </c>
      <c r="D672" s="25">
        <v>252.6</v>
      </c>
      <c r="E672" s="25">
        <v>257.7</v>
      </c>
      <c r="F672" s="25">
        <v>538268.0</v>
      </c>
    </row>
    <row r="673">
      <c r="A673" s="25">
        <v>39339.645833333336</v>
      </c>
      <c r="B673" s="25">
        <v>262.5</v>
      </c>
      <c r="C673" s="25">
        <v>262.5</v>
      </c>
      <c r="D673" s="25">
        <v>254.53</v>
      </c>
      <c r="E673" s="25">
        <v>255.61</v>
      </c>
      <c r="F673" s="25">
        <v>475057.0</v>
      </c>
    </row>
    <row r="674">
      <c r="A674" s="25">
        <v>39342.645833333336</v>
      </c>
      <c r="B674" s="25">
        <v>256.25</v>
      </c>
      <c r="C674" s="25">
        <v>257.95</v>
      </c>
      <c r="D674" s="25">
        <v>248.93</v>
      </c>
      <c r="E674" s="25">
        <v>249.41</v>
      </c>
      <c r="F674" s="25">
        <v>1271544.0</v>
      </c>
    </row>
    <row r="675">
      <c r="A675" s="25">
        <v>39343.645833333336</v>
      </c>
      <c r="B675" s="25">
        <v>249.25</v>
      </c>
      <c r="C675" s="25">
        <v>251.93</v>
      </c>
      <c r="D675" s="25">
        <v>248.25</v>
      </c>
      <c r="E675" s="25">
        <v>250.61</v>
      </c>
      <c r="F675" s="25">
        <v>1235702.0</v>
      </c>
    </row>
    <row r="676">
      <c r="A676" s="25">
        <v>39344.645833333336</v>
      </c>
      <c r="B676" s="25">
        <v>256.25</v>
      </c>
      <c r="C676" s="25">
        <v>258.43</v>
      </c>
      <c r="D676" s="25">
        <v>254.3</v>
      </c>
      <c r="E676" s="25">
        <v>255.76</v>
      </c>
      <c r="F676" s="25">
        <v>1160667.0</v>
      </c>
    </row>
    <row r="677">
      <c r="A677" s="25">
        <v>39345.645833333336</v>
      </c>
      <c r="B677" s="25">
        <v>255.0</v>
      </c>
      <c r="C677" s="25">
        <v>255.53</v>
      </c>
      <c r="D677" s="25">
        <v>249.3</v>
      </c>
      <c r="E677" s="25">
        <v>250.51</v>
      </c>
      <c r="F677" s="25">
        <v>588789.0</v>
      </c>
    </row>
    <row r="678">
      <c r="A678" s="25">
        <v>39346.645833333336</v>
      </c>
      <c r="B678" s="25">
        <v>247.75</v>
      </c>
      <c r="C678" s="25">
        <v>256.25</v>
      </c>
      <c r="D678" s="25">
        <v>244.5</v>
      </c>
      <c r="E678" s="25">
        <v>254.45</v>
      </c>
      <c r="F678" s="25">
        <v>1982165.0</v>
      </c>
    </row>
    <row r="679">
      <c r="A679" s="25">
        <v>39349.645833333336</v>
      </c>
      <c r="B679" s="25">
        <v>255.0</v>
      </c>
      <c r="C679" s="25">
        <v>257.5</v>
      </c>
      <c r="D679" s="25">
        <v>250.05</v>
      </c>
      <c r="E679" s="25">
        <v>251.81</v>
      </c>
      <c r="F679" s="25">
        <v>898767.0</v>
      </c>
    </row>
    <row r="680">
      <c r="A680" s="25">
        <v>39350.645833333336</v>
      </c>
      <c r="B680" s="25">
        <v>252.5</v>
      </c>
      <c r="C680" s="25">
        <v>253.5</v>
      </c>
      <c r="D680" s="25">
        <v>249.05</v>
      </c>
      <c r="E680" s="25">
        <v>250.43</v>
      </c>
      <c r="F680" s="25">
        <v>1350124.0</v>
      </c>
    </row>
    <row r="681">
      <c r="A681" s="25">
        <v>39351.645833333336</v>
      </c>
      <c r="B681" s="25">
        <v>252.5</v>
      </c>
      <c r="C681" s="25">
        <v>262.2</v>
      </c>
      <c r="D681" s="25">
        <v>251.25</v>
      </c>
      <c r="E681" s="25">
        <v>260.19</v>
      </c>
      <c r="F681" s="25">
        <v>2085223.0</v>
      </c>
    </row>
    <row r="682">
      <c r="A682" s="25">
        <v>39352.645833333336</v>
      </c>
      <c r="B682" s="25">
        <v>262.5</v>
      </c>
      <c r="C682" s="25">
        <v>266.88</v>
      </c>
      <c r="D682" s="25">
        <v>261.75</v>
      </c>
      <c r="E682" s="25">
        <v>265.63</v>
      </c>
      <c r="F682" s="25">
        <v>2150535.0</v>
      </c>
    </row>
    <row r="683">
      <c r="A683" s="25">
        <v>39353.645833333336</v>
      </c>
      <c r="B683" s="25">
        <v>256.25</v>
      </c>
      <c r="C683" s="25">
        <v>270.0</v>
      </c>
      <c r="D683" s="25">
        <v>256.25</v>
      </c>
      <c r="E683" s="25">
        <v>265.04</v>
      </c>
      <c r="F683" s="25">
        <v>1562383.0</v>
      </c>
    </row>
    <row r="684">
      <c r="A684" s="25">
        <v>39356.645833333336</v>
      </c>
      <c r="B684" s="25">
        <v>265.25</v>
      </c>
      <c r="C684" s="25">
        <v>265.25</v>
      </c>
      <c r="D684" s="25">
        <v>255.75</v>
      </c>
      <c r="E684" s="25">
        <v>260.41</v>
      </c>
      <c r="F684" s="25">
        <v>544145.0</v>
      </c>
    </row>
    <row r="685">
      <c r="A685" s="25">
        <v>39358.645833333336</v>
      </c>
      <c r="B685" s="25">
        <v>262.5</v>
      </c>
      <c r="C685" s="25">
        <v>273.75</v>
      </c>
      <c r="D685" s="25">
        <v>262.48</v>
      </c>
      <c r="E685" s="25">
        <v>269.8</v>
      </c>
      <c r="F685" s="25">
        <v>1280718.0</v>
      </c>
    </row>
    <row r="686">
      <c r="A686" s="25">
        <v>39359.645833333336</v>
      </c>
      <c r="B686" s="25">
        <v>271.25</v>
      </c>
      <c r="C686" s="25">
        <v>271.25</v>
      </c>
      <c r="D686" s="25">
        <v>263.5</v>
      </c>
      <c r="E686" s="25">
        <v>269.83</v>
      </c>
      <c r="F686" s="25">
        <v>1089951.0</v>
      </c>
    </row>
    <row r="687">
      <c r="A687" s="25">
        <v>39360.645833333336</v>
      </c>
      <c r="B687" s="25">
        <v>269.83</v>
      </c>
      <c r="C687" s="25">
        <v>269.83</v>
      </c>
      <c r="D687" s="25">
        <v>264.33</v>
      </c>
      <c r="E687" s="25">
        <v>268.2</v>
      </c>
      <c r="F687" s="25">
        <v>436012.0</v>
      </c>
    </row>
    <row r="688">
      <c r="A688" s="25">
        <v>39363.645833333336</v>
      </c>
      <c r="B688" s="25">
        <v>270.26</v>
      </c>
      <c r="C688" s="25">
        <v>274.7</v>
      </c>
      <c r="D688" s="25">
        <v>265.55</v>
      </c>
      <c r="E688" s="25">
        <v>269.59</v>
      </c>
      <c r="F688" s="25">
        <v>665536.0</v>
      </c>
    </row>
    <row r="689">
      <c r="A689" s="25">
        <v>39364.645833333336</v>
      </c>
      <c r="B689" s="25">
        <v>270.0</v>
      </c>
      <c r="C689" s="25">
        <v>276.2</v>
      </c>
      <c r="D689" s="25">
        <v>268.83</v>
      </c>
      <c r="E689" s="25">
        <v>273.74</v>
      </c>
      <c r="F689" s="25">
        <v>926910.0</v>
      </c>
    </row>
    <row r="690">
      <c r="A690" s="25">
        <v>39365.645833333336</v>
      </c>
      <c r="B690" s="25">
        <v>276.18</v>
      </c>
      <c r="C690" s="25">
        <v>282.56</v>
      </c>
      <c r="D690" s="25">
        <v>274.6</v>
      </c>
      <c r="E690" s="25">
        <v>281.38</v>
      </c>
      <c r="F690" s="25">
        <v>995809.0</v>
      </c>
    </row>
    <row r="691">
      <c r="A691" s="25">
        <v>39366.645833333336</v>
      </c>
      <c r="B691" s="25">
        <v>283.75</v>
      </c>
      <c r="C691" s="25">
        <v>283.85</v>
      </c>
      <c r="D691" s="25">
        <v>265.0</v>
      </c>
      <c r="E691" s="25">
        <v>268.0</v>
      </c>
      <c r="F691" s="25">
        <v>1399585.0</v>
      </c>
    </row>
    <row r="692">
      <c r="A692" s="25">
        <v>39367.645833333336</v>
      </c>
      <c r="B692" s="25">
        <v>263.0</v>
      </c>
      <c r="C692" s="25">
        <v>268.75</v>
      </c>
      <c r="D692" s="25">
        <v>257.58</v>
      </c>
      <c r="E692" s="25">
        <v>265.88</v>
      </c>
      <c r="F692" s="25">
        <v>1228230.0</v>
      </c>
    </row>
    <row r="693">
      <c r="A693" s="25">
        <v>39370.645833333336</v>
      </c>
      <c r="B693" s="25">
        <v>267.5</v>
      </c>
      <c r="C693" s="25">
        <v>272.91</v>
      </c>
      <c r="D693" s="25">
        <v>264.94</v>
      </c>
      <c r="E693" s="25">
        <v>268.54</v>
      </c>
      <c r="F693" s="25">
        <v>1717900.0</v>
      </c>
    </row>
    <row r="694">
      <c r="A694" s="25">
        <v>39371.645833333336</v>
      </c>
      <c r="B694" s="25">
        <v>275.0</v>
      </c>
      <c r="C694" s="25">
        <v>278.75</v>
      </c>
      <c r="D694" s="25">
        <v>265.25</v>
      </c>
      <c r="E694" s="25">
        <v>267.1</v>
      </c>
      <c r="F694" s="25">
        <v>1765132.0</v>
      </c>
    </row>
    <row r="695">
      <c r="A695" s="25">
        <v>39372.645833333336</v>
      </c>
      <c r="B695" s="25">
        <v>265.0</v>
      </c>
      <c r="C695" s="25">
        <v>278.75</v>
      </c>
      <c r="D695" s="25">
        <v>250.0</v>
      </c>
      <c r="E695" s="25">
        <v>273.68</v>
      </c>
      <c r="F695" s="25">
        <v>1731310.0</v>
      </c>
    </row>
    <row r="696">
      <c r="A696" s="25">
        <v>39373.645833333336</v>
      </c>
      <c r="B696" s="25">
        <v>283.75</v>
      </c>
      <c r="C696" s="25">
        <v>287.48</v>
      </c>
      <c r="D696" s="25">
        <v>269.33</v>
      </c>
      <c r="E696" s="25">
        <v>280.96</v>
      </c>
      <c r="F696" s="25">
        <v>3411359.0</v>
      </c>
    </row>
    <row r="697">
      <c r="A697" s="25">
        <v>39374.645833333336</v>
      </c>
      <c r="B697" s="25">
        <v>286.96</v>
      </c>
      <c r="C697" s="25">
        <v>287.5</v>
      </c>
      <c r="D697" s="25">
        <v>270.6</v>
      </c>
      <c r="E697" s="25">
        <v>277.21</v>
      </c>
      <c r="F697" s="25">
        <v>2023533.0</v>
      </c>
    </row>
    <row r="698">
      <c r="A698" s="25">
        <v>39377.645833333336</v>
      </c>
      <c r="B698" s="25">
        <v>279.25</v>
      </c>
      <c r="C698" s="25">
        <v>279.25</v>
      </c>
      <c r="D698" s="25">
        <v>266.27</v>
      </c>
      <c r="E698" s="25">
        <v>267.99</v>
      </c>
      <c r="F698" s="25">
        <v>959202.0</v>
      </c>
    </row>
    <row r="699">
      <c r="A699" s="25">
        <v>39378.645833333336</v>
      </c>
      <c r="B699" s="25">
        <v>267.0</v>
      </c>
      <c r="C699" s="25">
        <v>275.0</v>
      </c>
      <c r="D699" s="25">
        <v>264.75</v>
      </c>
      <c r="E699" s="25">
        <v>265.9</v>
      </c>
      <c r="F699" s="25">
        <v>1465591.0</v>
      </c>
    </row>
    <row r="700">
      <c r="A700" s="25">
        <v>39379.645833333336</v>
      </c>
      <c r="B700" s="25">
        <v>275.0</v>
      </c>
      <c r="C700" s="25">
        <v>275.0</v>
      </c>
      <c r="D700" s="25">
        <v>260.83</v>
      </c>
      <c r="E700" s="25">
        <v>262.0</v>
      </c>
      <c r="F700" s="25">
        <v>1025247.0</v>
      </c>
    </row>
    <row r="701">
      <c r="A701" s="25">
        <v>39380.645833333336</v>
      </c>
      <c r="B701" s="25">
        <v>264.75</v>
      </c>
      <c r="C701" s="25">
        <v>265.0</v>
      </c>
      <c r="D701" s="25">
        <v>259.54</v>
      </c>
      <c r="E701" s="25">
        <v>262.4</v>
      </c>
      <c r="F701" s="25">
        <v>1231318.0</v>
      </c>
    </row>
    <row r="702">
      <c r="A702" s="25">
        <v>39381.645833333336</v>
      </c>
      <c r="B702" s="25">
        <v>262.5</v>
      </c>
      <c r="C702" s="25">
        <v>271.0</v>
      </c>
      <c r="D702" s="25">
        <v>260.55</v>
      </c>
      <c r="E702" s="25">
        <v>267.83</v>
      </c>
      <c r="F702" s="25">
        <v>740015.0</v>
      </c>
    </row>
    <row r="703">
      <c r="A703" s="25">
        <v>39384.645833333336</v>
      </c>
      <c r="B703" s="25">
        <v>272.25</v>
      </c>
      <c r="C703" s="25">
        <v>272.5</v>
      </c>
      <c r="D703" s="25">
        <v>265.35</v>
      </c>
      <c r="E703" s="25">
        <v>267.0</v>
      </c>
      <c r="F703" s="25">
        <v>884013.0</v>
      </c>
    </row>
    <row r="704">
      <c r="A704" s="25">
        <v>39385.645833333336</v>
      </c>
      <c r="B704" s="25">
        <v>268.0</v>
      </c>
      <c r="C704" s="25">
        <v>268.75</v>
      </c>
      <c r="D704" s="25">
        <v>260.08</v>
      </c>
      <c r="E704" s="25">
        <v>262.13</v>
      </c>
      <c r="F704" s="25">
        <v>786451.0</v>
      </c>
    </row>
    <row r="705">
      <c r="A705" s="25">
        <v>39386.645833333336</v>
      </c>
      <c r="B705" s="25">
        <v>261.75</v>
      </c>
      <c r="C705" s="25">
        <v>265.93</v>
      </c>
      <c r="D705" s="25">
        <v>254.25</v>
      </c>
      <c r="E705" s="25">
        <v>259.5</v>
      </c>
      <c r="F705" s="25">
        <v>1.1804132E7</v>
      </c>
    </row>
    <row r="706">
      <c r="A706" s="25">
        <v>39387.645833333336</v>
      </c>
      <c r="B706" s="25">
        <v>263.75</v>
      </c>
      <c r="C706" s="25">
        <v>263.75</v>
      </c>
      <c r="D706" s="25">
        <v>254.88</v>
      </c>
      <c r="E706" s="25">
        <v>255.76</v>
      </c>
      <c r="F706" s="25">
        <v>1379601.0</v>
      </c>
    </row>
    <row r="707">
      <c r="A707" s="25">
        <v>39388.645833333336</v>
      </c>
      <c r="B707" s="25">
        <v>252.5</v>
      </c>
      <c r="C707" s="25">
        <v>257.5</v>
      </c>
      <c r="D707" s="25">
        <v>250.75</v>
      </c>
      <c r="E707" s="25">
        <v>255.3</v>
      </c>
      <c r="F707" s="25">
        <v>873670.0</v>
      </c>
    </row>
    <row r="708">
      <c r="A708" s="25">
        <v>39391.645833333336</v>
      </c>
      <c r="B708" s="25">
        <v>255.25</v>
      </c>
      <c r="C708" s="25">
        <v>257.7</v>
      </c>
      <c r="D708" s="25">
        <v>251.31</v>
      </c>
      <c r="E708" s="25">
        <v>252.83</v>
      </c>
      <c r="F708" s="25">
        <v>469117.0</v>
      </c>
    </row>
    <row r="709">
      <c r="A709" s="25">
        <v>39392.645833333336</v>
      </c>
      <c r="B709" s="25">
        <v>253.75</v>
      </c>
      <c r="C709" s="25">
        <v>254.95</v>
      </c>
      <c r="D709" s="25">
        <v>250.0</v>
      </c>
      <c r="E709" s="25">
        <v>251.08</v>
      </c>
      <c r="F709" s="25">
        <v>549747.0</v>
      </c>
    </row>
    <row r="710">
      <c r="A710" s="25">
        <v>39393.645833333336</v>
      </c>
      <c r="B710" s="25">
        <v>251.28</v>
      </c>
      <c r="C710" s="25">
        <v>252.29</v>
      </c>
      <c r="D710" s="25">
        <v>246.53</v>
      </c>
      <c r="E710" s="25">
        <v>249.26</v>
      </c>
      <c r="F710" s="25">
        <v>876004.0</v>
      </c>
    </row>
    <row r="711">
      <c r="A711" s="25">
        <v>39394.645833333336</v>
      </c>
      <c r="B711" s="25">
        <v>247.53</v>
      </c>
      <c r="C711" s="25">
        <v>249.95</v>
      </c>
      <c r="D711" s="25">
        <v>245.0</v>
      </c>
      <c r="E711" s="25">
        <v>247.41</v>
      </c>
      <c r="F711" s="25">
        <v>671741.0</v>
      </c>
    </row>
    <row r="712">
      <c r="A712" s="25">
        <v>39395.645833333336</v>
      </c>
      <c r="B712" s="25">
        <v>253.75</v>
      </c>
      <c r="C712" s="25">
        <v>253.75</v>
      </c>
      <c r="D712" s="25">
        <v>245.78</v>
      </c>
      <c r="E712" s="25">
        <v>246.31</v>
      </c>
      <c r="F712" s="25">
        <v>84775.0</v>
      </c>
    </row>
    <row r="713">
      <c r="A713" s="25">
        <v>39398.645833333336</v>
      </c>
      <c r="B713" s="25">
        <v>246.31</v>
      </c>
      <c r="C713" s="25">
        <v>246.31</v>
      </c>
      <c r="D713" s="25">
        <v>240.0</v>
      </c>
      <c r="E713" s="25">
        <v>240.96</v>
      </c>
      <c r="F713" s="25">
        <v>1320247.0</v>
      </c>
    </row>
    <row r="714">
      <c r="A714" s="25">
        <v>39399.645833333336</v>
      </c>
      <c r="B714" s="25">
        <v>240.96</v>
      </c>
      <c r="C714" s="25">
        <v>243.18</v>
      </c>
      <c r="D714" s="25">
        <v>231.66</v>
      </c>
      <c r="E714" s="25">
        <v>236.84</v>
      </c>
      <c r="F714" s="25">
        <v>1174497.0</v>
      </c>
    </row>
    <row r="715">
      <c r="A715" s="25">
        <v>39400.645833333336</v>
      </c>
      <c r="B715" s="25">
        <v>240.0</v>
      </c>
      <c r="C715" s="25">
        <v>261.27</v>
      </c>
      <c r="D715" s="25">
        <v>240.0</v>
      </c>
      <c r="E715" s="25">
        <v>246.68</v>
      </c>
      <c r="F715" s="25">
        <v>897092.0</v>
      </c>
    </row>
    <row r="716">
      <c r="A716" s="25">
        <v>39401.645833333336</v>
      </c>
      <c r="B716" s="25">
        <v>247.75</v>
      </c>
      <c r="C716" s="25">
        <v>249.48</v>
      </c>
      <c r="D716" s="25">
        <v>242.5</v>
      </c>
      <c r="E716" s="25">
        <v>245.05</v>
      </c>
      <c r="F716" s="25">
        <v>573849.0</v>
      </c>
    </row>
    <row r="717">
      <c r="A717" s="25">
        <v>39402.645833333336</v>
      </c>
      <c r="B717" s="25">
        <v>245.0</v>
      </c>
      <c r="C717" s="25">
        <v>249.5</v>
      </c>
      <c r="D717" s="25">
        <v>241.79</v>
      </c>
      <c r="E717" s="25">
        <v>245.73</v>
      </c>
      <c r="F717" s="25">
        <v>916704.0</v>
      </c>
    </row>
    <row r="718">
      <c r="A718" s="25">
        <v>39405.645833333336</v>
      </c>
      <c r="B718" s="25">
        <v>240.03</v>
      </c>
      <c r="C718" s="25">
        <v>251.75</v>
      </c>
      <c r="D718" s="25">
        <v>240.03</v>
      </c>
      <c r="E718" s="25">
        <v>248.38</v>
      </c>
      <c r="F718" s="25">
        <v>735887.0</v>
      </c>
    </row>
    <row r="719">
      <c r="A719" s="25">
        <v>39406.645833333336</v>
      </c>
      <c r="B719" s="25">
        <v>247.25</v>
      </c>
      <c r="C719" s="25">
        <v>247.25</v>
      </c>
      <c r="D719" s="25">
        <v>239.53</v>
      </c>
      <c r="E719" s="25">
        <v>240.33</v>
      </c>
      <c r="F719" s="25">
        <v>1027848.0</v>
      </c>
    </row>
    <row r="720">
      <c r="A720" s="25">
        <v>39407.645833333336</v>
      </c>
      <c r="B720" s="25">
        <v>240.33</v>
      </c>
      <c r="C720" s="25">
        <v>245.0</v>
      </c>
      <c r="D720" s="25">
        <v>234.0</v>
      </c>
      <c r="E720" s="25">
        <v>236.2</v>
      </c>
      <c r="F720" s="25">
        <v>834257.0</v>
      </c>
    </row>
    <row r="721">
      <c r="A721" s="25">
        <v>39408.645833333336</v>
      </c>
      <c r="B721" s="25">
        <v>242.43</v>
      </c>
      <c r="C721" s="25">
        <v>242.43</v>
      </c>
      <c r="D721" s="25">
        <v>233.75</v>
      </c>
      <c r="E721" s="25">
        <v>237.55</v>
      </c>
      <c r="F721" s="25">
        <v>600589.0</v>
      </c>
    </row>
    <row r="722">
      <c r="A722" s="25">
        <v>39409.645833333336</v>
      </c>
      <c r="B722" s="25">
        <v>238.13</v>
      </c>
      <c r="C722" s="25">
        <v>241.5</v>
      </c>
      <c r="D722" s="25">
        <v>237.44</v>
      </c>
      <c r="E722" s="25">
        <v>240.24</v>
      </c>
      <c r="F722" s="25">
        <v>568385.0</v>
      </c>
    </row>
    <row r="723">
      <c r="A723" s="25">
        <v>39412.645833333336</v>
      </c>
      <c r="B723" s="25">
        <v>245.0</v>
      </c>
      <c r="C723" s="25">
        <v>248.5</v>
      </c>
      <c r="D723" s="25">
        <v>242.5</v>
      </c>
      <c r="E723" s="25">
        <v>246.28</v>
      </c>
      <c r="F723" s="25">
        <v>558575.0</v>
      </c>
    </row>
    <row r="724">
      <c r="A724" s="25">
        <v>39413.645833333336</v>
      </c>
      <c r="B724" s="25">
        <v>247.63</v>
      </c>
      <c r="C724" s="25">
        <v>249.73</v>
      </c>
      <c r="D724" s="25">
        <v>242.53</v>
      </c>
      <c r="E724" s="25">
        <v>248.99</v>
      </c>
      <c r="F724" s="25">
        <v>375991.0</v>
      </c>
    </row>
    <row r="725">
      <c r="A725" s="25">
        <v>39414.645833333336</v>
      </c>
      <c r="B725" s="25">
        <v>250.0</v>
      </c>
      <c r="C725" s="25">
        <v>250.95</v>
      </c>
      <c r="D725" s="25">
        <v>242.5</v>
      </c>
      <c r="E725" s="25">
        <v>244.13</v>
      </c>
      <c r="F725" s="25">
        <v>731922.0</v>
      </c>
    </row>
    <row r="726">
      <c r="A726" s="25">
        <v>39415.645833333336</v>
      </c>
      <c r="B726" s="25">
        <v>250.0</v>
      </c>
      <c r="C726" s="25">
        <v>250.13</v>
      </c>
      <c r="D726" s="25">
        <v>238.75</v>
      </c>
      <c r="E726" s="25">
        <v>241.51</v>
      </c>
      <c r="F726" s="25">
        <v>1257422.0</v>
      </c>
    </row>
    <row r="727">
      <c r="A727" s="25">
        <v>39416.645833333336</v>
      </c>
      <c r="B727" s="25">
        <v>241.51</v>
      </c>
      <c r="C727" s="25">
        <v>254.5</v>
      </c>
      <c r="D727" s="25">
        <v>241.51</v>
      </c>
      <c r="E727" s="25">
        <v>253.05</v>
      </c>
      <c r="F727" s="25">
        <v>1333653.0</v>
      </c>
    </row>
    <row r="728">
      <c r="A728" s="25">
        <v>39419.645833333336</v>
      </c>
      <c r="B728" s="25">
        <v>254.0</v>
      </c>
      <c r="C728" s="25">
        <v>266.5</v>
      </c>
      <c r="D728" s="25">
        <v>252.6</v>
      </c>
      <c r="E728" s="25">
        <v>262.48</v>
      </c>
      <c r="F728" s="25">
        <v>1629087.0</v>
      </c>
    </row>
    <row r="729">
      <c r="A729" s="25">
        <v>39420.645833333336</v>
      </c>
      <c r="B729" s="25">
        <v>262.48</v>
      </c>
      <c r="C729" s="25">
        <v>262.5</v>
      </c>
      <c r="D729" s="25">
        <v>256.26</v>
      </c>
      <c r="E729" s="25">
        <v>257.43</v>
      </c>
      <c r="F729" s="25">
        <v>445956.0</v>
      </c>
    </row>
    <row r="730">
      <c r="A730" s="25">
        <v>39421.645833333336</v>
      </c>
      <c r="B730" s="25">
        <v>257.5</v>
      </c>
      <c r="C730" s="25">
        <v>261.25</v>
      </c>
      <c r="D730" s="25">
        <v>255.13</v>
      </c>
      <c r="E730" s="25">
        <v>258.3</v>
      </c>
      <c r="F730" s="25">
        <v>517310.0</v>
      </c>
    </row>
    <row r="731">
      <c r="A731" s="25">
        <v>39422.645833333336</v>
      </c>
      <c r="B731" s="25">
        <v>260.0</v>
      </c>
      <c r="C731" s="25">
        <v>262.93</v>
      </c>
      <c r="D731" s="25">
        <v>257.8</v>
      </c>
      <c r="E731" s="25">
        <v>258.89</v>
      </c>
      <c r="F731" s="25">
        <v>1040863.0</v>
      </c>
    </row>
    <row r="732">
      <c r="A732" s="25">
        <v>39423.645833333336</v>
      </c>
      <c r="B732" s="25">
        <v>260.0</v>
      </c>
      <c r="C732" s="25">
        <v>268.01</v>
      </c>
      <c r="D732" s="25">
        <v>256.56</v>
      </c>
      <c r="E732" s="25">
        <v>265.65</v>
      </c>
      <c r="F732" s="25">
        <v>1201452.0</v>
      </c>
    </row>
    <row r="733">
      <c r="A733" s="25">
        <v>39426.645833333336</v>
      </c>
      <c r="B733" s="25">
        <v>267.52</v>
      </c>
      <c r="C733" s="25">
        <v>268.5</v>
      </c>
      <c r="D733" s="25">
        <v>257.5</v>
      </c>
      <c r="E733" s="25">
        <v>258.9</v>
      </c>
      <c r="F733" s="25">
        <v>966005.0</v>
      </c>
    </row>
    <row r="734">
      <c r="A734" s="25">
        <v>39427.645833333336</v>
      </c>
      <c r="B734" s="25">
        <v>262.25</v>
      </c>
      <c r="C734" s="25">
        <v>262.25</v>
      </c>
      <c r="D734" s="25">
        <v>256.31</v>
      </c>
      <c r="E734" s="25">
        <v>260.33</v>
      </c>
      <c r="F734" s="25">
        <v>726864.0</v>
      </c>
    </row>
    <row r="735">
      <c r="A735" s="25">
        <v>39428.645833333336</v>
      </c>
      <c r="B735" s="25">
        <v>257.05</v>
      </c>
      <c r="C735" s="25">
        <v>265.0</v>
      </c>
      <c r="D735" s="25">
        <v>256.52</v>
      </c>
      <c r="E735" s="25">
        <v>263.35</v>
      </c>
      <c r="F735" s="25">
        <v>929652.0</v>
      </c>
    </row>
    <row r="736">
      <c r="A736" s="25">
        <v>39429.645833333336</v>
      </c>
      <c r="B736" s="25">
        <v>262.43</v>
      </c>
      <c r="C736" s="25">
        <v>265.52</v>
      </c>
      <c r="D736" s="25">
        <v>256.93</v>
      </c>
      <c r="E736" s="25">
        <v>257.4</v>
      </c>
      <c r="F736" s="25">
        <v>1161434.0</v>
      </c>
    </row>
    <row r="737">
      <c r="A737" s="25">
        <v>39430.645833333336</v>
      </c>
      <c r="B737" s="25">
        <v>253.83</v>
      </c>
      <c r="C737" s="25">
        <v>263.75</v>
      </c>
      <c r="D737" s="25">
        <v>253.83</v>
      </c>
      <c r="E737" s="25">
        <v>260.1</v>
      </c>
      <c r="F737" s="25">
        <v>680109.0</v>
      </c>
    </row>
    <row r="738">
      <c r="A738" s="25">
        <v>39433.645833333336</v>
      </c>
      <c r="B738" s="25">
        <v>268.1</v>
      </c>
      <c r="C738" s="25">
        <v>268.1</v>
      </c>
      <c r="D738" s="25">
        <v>251.25</v>
      </c>
      <c r="E738" s="25">
        <v>253.1</v>
      </c>
      <c r="F738" s="25">
        <v>800832.0</v>
      </c>
    </row>
    <row r="739">
      <c r="A739" s="25">
        <v>39435.645833333336</v>
      </c>
      <c r="B739" s="25">
        <v>253.0</v>
      </c>
      <c r="C739" s="25">
        <v>257.2</v>
      </c>
      <c r="D739" s="25">
        <v>252.0</v>
      </c>
      <c r="E739" s="25">
        <v>256.13</v>
      </c>
      <c r="F739" s="25">
        <v>667755.0</v>
      </c>
    </row>
    <row r="740">
      <c r="A740" s="25">
        <v>39436.645833333336</v>
      </c>
      <c r="B740" s="25">
        <v>257.38</v>
      </c>
      <c r="C740" s="25">
        <v>263.49</v>
      </c>
      <c r="D740" s="25">
        <v>255.75</v>
      </c>
      <c r="E740" s="25">
        <v>261.34</v>
      </c>
      <c r="F740" s="25">
        <v>759005.0</v>
      </c>
    </row>
    <row r="741">
      <c r="A741" s="25">
        <v>39440.645833333336</v>
      </c>
      <c r="B741" s="25">
        <v>270.0</v>
      </c>
      <c r="C741" s="25">
        <v>280.0</v>
      </c>
      <c r="D741" s="25">
        <v>262.5</v>
      </c>
      <c r="E741" s="25">
        <v>277.43</v>
      </c>
      <c r="F741" s="25">
        <v>1163916.0</v>
      </c>
    </row>
    <row r="742">
      <c r="A742" s="25">
        <v>39442.645833333336</v>
      </c>
      <c r="B742" s="25">
        <v>278.75</v>
      </c>
      <c r="C742" s="25">
        <v>279.93</v>
      </c>
      <c r="D742" s="25">
        <v>271.54</v>
      </c>
      <c r="E742" s="25">
        <v>275.08</v>
      </c>
      <c r="F742" s="25">
        <v>726499.0</v>
      </c>
    </row>
    <row r="743">
      <c r="A743" s="25">
        <v>39443.645833333336</v>
      </c>
      <c r="B743" s="25">
        <v>276.27</v>
      </c>
      <c r="C743" s="25">
        <v>280.0</v>
      </c>
      <c r="D743" s="25">
        <v>271.64</v>
      </c>
      <c r="E743" s="25">
        <v>277.69</v>
      </c>
      <c r="F743" s="25">
        <v>1002142.0</v>
      </c>
    </row>
    <row r="744">
      <c r="A744" s="25">
        <v>39444.645833333336</v>
      </c>
      <c r="B744" s="25">
        <v>275.0</v>
      </c>
      <c r="C744" s="25">
        <v>275.0</v>
      </c>
      <c r="D744" s="25">
        <v>265.0</v>
      </c>
      <c r="E744" s="25">
        <v>270.54</v>
      </c>
      <c r="F744" s="25">
        <v>549149.0</v>
      </c>
    </row>
    <row r="745">
      <c r="A745" s="25">
        <v>39447.645833333336</v>
      </c>
      <c r="B745" s="25">
        <v>270.75</v>
      </c>
      <c r="C745" s="25">
        <v>274.01</v>
      </c>
      <c r="D745" s="25">
        <v>263.0</v>
      </c>
      <c r="E745" s="25">
        <v>269.35</v>
      </c>
      <c r="F745" s="25">
        <v>539042.0</v>
      </c>
    </row>
    <row r="746">
      <c r="A746" s="25">
        <v>39448.645833333336</v>
      </c>
      <c r="B746" s="25">
        <v>269.25</v>
      </c>
      <c r="C746" s="25">
        <v>269.25</v>
      </c>
      <c r="D746" s="25">
        <v>263.0</v>
      </c>
      <c r="E746" s="25">
        <v>263.64</v>
      </c>
      <c r="F746" s="25">
        <v>232097.0</v>
      </c>
    </row>
    <row r="747">
      <c r="A747" s="25">
        <v>39449.645833333336</v>
      </c>
      <c r="B747" s="25">
        <v>265.0</v>
      </c>
      <c r="C747" s="25">
        <v>265.25</v>
      </c>
      <c r="D747" s="25">
        <v>257.88</v>
      </c>
      <c r="E747" s="25">
        <v>262.5</v>
      </c>
      <c r="F747" s="25">
        <v>716231.0</v>
      </c>
    </row>
    <row r="748">
      <c r="A748" s="25">
        <v>39450.645833333336</v>
      </c>
      <c r="B748" s="25">
        <v>257.52</v>
      </c>
      <c r="C748" s="25">
        <v>261.25</v>
      </c>
      <c r="D748" s="25">
        <v>251.34</v>
      </c>
      <c r="E748" s="25">
        <v>252.76</v>
      </c>
      <c r="F748" s="25">
        <v>1292070.0</v>
      </c>
    </row>
    <row r="749">
      <c r="A749" s="25">
        <v>39451.645833333336</v>
      </c>
      <c r="B749" s="25">
        <v>252.76</v>
      </c>
      <c r="C749" s="25">
        <v>255.73</v>
      </c>
      <c r="D749" s="25">
        <v>250.58</v>
      </c>
      <c r="E749" s="25">
        <v>251.3</v>
      </c>
      <c r="F749" s="25">
        <v>579717.0</v>
      </c>
    </row>
    <row r="750">
      <c r="A750" s="25">
        <v>39454.645833333336</v>
      </c>
      <c r="B750" s="25">
        <v>250.0</v>
      </c>
      <c r="C750" s="25">
        <v>252.2</v>
      </c>
      <c r="D750" s="25">
        <v>243.13</v>
      </c>
      <c r="E750" s="25">
        <v>243.9</v>
      </c>
      <c r="F750" s="25">
        <v>911836.0</v>
      </c>
    </row>
    <row r="751">
      <c r="A751" s="25">
        <v>39455.645833333336</v>
      </c>
      <c r="B751" s="25">
        <v>245.0</v>
      </c>
      <c r="C751" s="25">
        <v>248.0</v>
      </c>
      <c r="D751" s="25">
        <v>242.33</v>
      </c>
      <c r="E751" s="25">
        <v>246.96</v>
      </c>
      <c r="F751" s="25">
        <v>801933.0</v>
      </c>
    </row>
    <row r="752">
      <c r="A752" s="25">
        <v>39456.645833333336</v>
      </c>
      <c r="B752" s="25">
        <v>248.7</v>
      </c>
      <c r="C752" s="25">
        <v>251.5</v>
      </c>
      <c r="D752" s="25">
        <v>247.48</v>
      </c>
      <c r="E752" s="25">
        <v>249.08</v>
      </c>
      <c r="F752" s="25">
        <v>612532.0</v>
      </c>
    </row>
    <row r="753">
      <c r="A753" s="25">
        <v>39457.645833333336</v>
      </c>
      <c r="B753" s="25">
        <v>249.5</v>
      </c>
      <c r="C753" s="25">
        <v>252.38</v>
      </c>
      <c r="D753" s="25">
        <v>240.5</v>
      </c>
      <c r="E753" s="25">
        <v>245.41</v>
      </c>
      <c r="F753" s="25">
        <v>835594.0</v>
      </c>
    </row>
    <row r="754">
      <c r="A754" s="25">
        <v>39458.645833333336</v>
      </c>
      <c r="B754" s="25">
        <v>228.84</v>
      </c>
      <c r="C754" s="25">
        <v>251.0</v>
      </c>
      <c r="D754" s="25">
        <v>228.84</v>
      </c>
      <c r="E754" s="25">
        <v>247.44</v>
      </c>
      <c r="F754" s="25">
        <v>537297.0</v>
      </c>
    </row>
    <row r="755">
      <c r="A755" s="25">
        <v>39461.645833333336</v>
      </c>
      <c r="B755" s="25">
        <v>249.95</v>
      </c>
      <c r="C755" s="25">
        <v>249.95</v>
      </c>
      <c r="D755" s="25">
        <v>238.9</v>
      </c>
      <c r="E755" s="25">
        <v>240.29</v>
      </c>
      <c r="F755" s="25">
        <v>1039716.0</v>
      </c>
    </row>
    <row r="756">
      <c r="A756" s="25">
        <v>39462.645833333336</v>
      </c>
      <c r="B756" s="25">
        <v>241.25</v>
      </c>
      <c r="C756" s="25">
        <v>242.0</v>
      </c>
      <c r="D756" s="25">
        <v>233.5</v>
      </c>
      <c r="E756" s="25">
        <v>235.0</v>
      </c>
      <c r="F756" s="25">
        <v>733897.0</v>
      </c>
    </row>
    <row r="757">
      <c r="A757" s="25">
        <v>39463.645833333336</v>
      </c>
      <c r="B757" s="25">
        <v>235.0</v>
      </c>
      <c r="C757" s="25">
        <v>241.68</v>
      </c>
      <c r="D757" s="25">
        <v>231.25</v>
      </c>
      <c r="E757" s="25">
        <v>236.24</v>
      </c>
      <c r="F757" s="25">
        <v>782989.0</v>
      </c>
    </row>
    <row r="758">
      <c r="A758" s="25">
        <v>39464.645833333336</v>
      </c>
      <c r="B758" s="25">
        <v>241.45</v>
      </c>
      <c r="C758" s="25">
        <v>241.5</v>
      </c>
      <c r="D758" s="25">
        <v>229.75</v>
      </c>
      <c r="E758" s="25">
        <v>230.68</v>
      </c>
      <c r="F758" s="25">
        <v>1575524.0</v>
      </c>
    </row>
    <row r="759">
      <c r="A759" s="25">
        <v>39465.645833333336</v>
      </c>
      <c r="B759" s="25">
        <v>232.38</v>
      </c>
      <c r="C759" s="25">
        <v>235.0</v>
      </c>
      <c r="D759" s="25">
        <v>224.28</v>
      </c>
      <c r="E759" s="25">
        <v>225.8</v>
      </c>
      <c r="F759" s="25">
        <v>1083454.0</v>
      </c>
    </row>
    <row r="760">
      <c r="A760" s="25">
        <v>39468.645833333336</v>
      </c>
      <c r="B760" s="25">
        <v>226.0</v>
      </c>
      <c r="C760" s="25">
        <v>226.18</v>
      </c>
      <c r="D760" s="25">
        <v>201.31</v>
      </c>
      <c r="E760" s="25">
        <v>207.76</v>
      </c>
      <c r="F760" s="25">
        <v>1210008.0</v>
      </c>
    </row>
    <row r="761">
      <c r="A761" s="25">
        <v>39469.645833333336</v>
      </c>
      <c r="B761" s="25">
        <v>203.68</v>
      </c>
      <c r="C761" s="25">
        <v>247.5</v>
      </c>
      <c r="D761" s="25">
        <v>181.25</v>
      </c>
      <c r="E761" s="25">
        <v>199.56</v>
      </c>
      <c r="F761" s="25">
        <v>1594218.0</v>
      </c>
    </row>
    <row r="762">
      <c r="A762" s="25">
        <v>39470.645833333336</v>
      </c>
      <c r="B762" s="25">
        <v>214.75</v>
      </c>
      <c r="C762" s="25">
        <v>222.5</v>
      </c>
      <c r="D762" s="25">
        <v>201.25</v>
      </c>
      <c r="E762" s="25">
        <v>217.99</v>
      </c>
      <c r="F762" s="25">
        <v>1339780.0</v>
      </c>
    </row>
    <row r="763">
      <c r="A763" s="25">
        <v>39471.645833333336</v>
      </c>
      <c r="B763" s="25">
        <v>217.5</v>
      </c>
      <c r="C763" s="25">
        <v>222.0</v>
      </c>
      <c r="D763" s="25">
        <v>206.44</v>
      </c>
      <c r="E763" s="25">
        <v>210.81</v>
      </c>
      <c r="F763" s="25">
        <v>503334.0</v>
      </c>
    </row>
    <row r="764">
      <c r="A764" s="25">
        <v>39472.645833333336</v>
      </c>
      <c r="B764" s="25">
        <v>213.25</v>
      </c>
      <c r="C764" s="25">
        <v>224.43</v>
      </c>
      <c r="D764" s="25">
        <v>212.53</v>
      </c>
      <c r="E764" s="25">
        <v>221.15</v>
      </c>
      <c r="F764" s="25">
        <v>560779.0</v>
      </c>
    </row>
    <row r="765">
      <c r="A765" s="25">
        <v>39475.645833333336</v>
      </c>
      <c r="B765" s="25">
        <v>217.5</v>
      </c>
      <c r="C765" s="25">
        <v>217.5</v>
      </c>
      <c r="D765" s="25">
        <v>206.25</v>
      </c>
      <c r="E765" s="25">
        <v>213.58</v>
      </c>
      <c r="F765" s="25">
        <v>621415.0</v>
      </c>
    </row>
    <row r="766">
      <c r="A766" s="25">
        <v>39476.645833333336</v>
      </c>
      <c r="B766" s="25">
        <v>214.0</v>
      </c>
      <c r="C766" s="25">
        <v>221.15</v>
      </c>
      <c r="D766" s="25">
        <v>213.75</v>
      </c>
      <c r="E766" s="25">
        <v>216.93</v>
      </c>
      <c r="F766" s="25">
        <v>814678.0</v>
      </c>
    </row>
    <row r="767">
      <c r="A767" s="25">
        <v>39477.645833333336</v>
      </c>
      <c r="B767" s="25">
        <v>220.5</v>
      </c>
      <c r="C767" s="25">
        <v>223.0</v>
      </c>
      <c r="D767" s="25">
        <v>215.0</v>
      </c>
      <c r="E767" s="25">
        <v>217.46</v>
      </c>
      <c r="F767" s="25">
        <v>758214.0</v>
      </c>
    </row>
    <row r="768">
      <c r="A768" s="25">
        <v>39478.645833333336</v>
      </c>
      <c r="B768" s="25">
        <v>217.5</v>
      </c>
      <c r="C768" s="25">
        <v>222.5</v>
      </c>
      <c r="D768" s="25">
        <v>208.84</v>
      </c>
      <c r="E768" s="25">
        <v>218.44</v>
      </c>
      <c r="F768" s="25">
        <v>1491739.0</v>
      </c>
    </row>
    <row r="769">
      <c r="A769" s="25">
        <v>39479.645833333336</v>
      </c>
      <c r="B769" s="25">
        <v>221.25</v>
      </c>
      <c r="C769" s="25">
        <v>235.28</v>
      </c>
      <c r="D769" s="25">
        <v>218.33</v>
      </c>
      <c r="E769" s="25">
        <v>232.38</v>
      </c>
      <c r="F769" s="25">
        <v>1042380.0</v>
      </c>
    </row>
    <row r="770">
      <c r="A770" s="25">
        <v>39482.645833333336</v>
      </c>
      <c r="B770" s="25">
        <v>236.25</v>
      </c>
      <c r="C770" s="25">
        <v>247.25</v>
      </c>
      <c r="D770" s="25">
        <v>234.75</v>
      </c>
      <c r="E770" s="25">
        <v>243.91</v>
      </c>
      <c r="F770" s="25">
        <v>932630.0</v>
      </c>
    </row>
    <row r="771">
      <c r="A771" s="25">
        <v>39483.645833333336</v>
      </c>
      <c r="B771" s="25">
        <v>240.0</v>
      </c>
      <c r="C771" s="25">
        <v>243.75</v>
      </c>
      <c r="D771" s="25">
        <v>233.91</v>
      </c>
      <c r="E771" s="25">
        <v>238.76</v>
      </c>
      <c r="F771" s="25">
        <v>430718.0</v>
      </c>
    </row>
    <row r="772">
      <c r="A772" s="25">
        <v>39484.645833333336</v>
      </c>
      <c r="B772" s="25">
        <v>232.5</v>
      </c>
      <c r="C772" s="25">
        <v>232.5</v>
      </c>
      <c r="D772" s="25">
        <v>223.63</v>
      </c>
      <c r="E772" s="25">
        <v>226.53</v>
      </c>
      <c r="F772" s="25">
        <v>1001988.0</v>
      </c>
    </row>
    <row r="773">
      <c r="A773" s="25">
        <v>39485.645833333336</v>
      </c>
      <c r="B773" s="25">
        <v>226.53</v>
      </c>
      <c r="C773" s="25">
        <v>226.53</v>
      </c>
      <c r="D773" s="25">
        <v>217.76</v>
      </c>
      <c r="E773" s="25">
        <v>219.76</v>
      </c>
      <c r="F773" s="25">
        <v>643663.0</v>
      </c>
    </row>
    <row r="774">
      <c r="A774" s="25">
        <v>39486.645833333336</v>
      </c>
      <c r="B774" s="25">
        <v>221.0</v>
      </c>
      <c r="C774" s="25">
        <v>231.25</v>
      </c>
      <c r="D774" s="25">
        <v>220.0</v>
      </c>
      <c r="E774" s="25">
        <v>224.6</v>
      </c>
      <c r="F774" s="25">
        <v>644205.0</v>
      </c>
    </row>
    <row r="775">
      <c r="A775" s="25">
        <v>39489.645833333336</v>
      </c>
      <c r="B775" s="25">
        <v>224.6</v>
      </c>
      <c r="C775" s="25">
        <v>233.0</v>
      </c>
      <c r="D775" s="25">
        <v>215.03</v>
      </c>
      <c r="E775" s="25">
        <v>226.53</v>
      </c>
      <c r="F775" s="25">
        <v>800247.0</v>
      </c>
    </row>
    <row r="776">
      <c r="A776" s="25">
        <v>39490.645833333336</v>
      </c>
      <c r="B776" s="25">
        <v>226.25</v>
      </c>
      <c r="C776" s="25">
        <v>231.25</v>
      </c>
      <c r="D776" s="25">
        <v>215.0</v>
      </c>
      <c r="E776" s="25">
        <v>216.16</v>
      </c>
      <c r="F776" s="25">
        <v>1290332.0</v>
      </c>
    </row>
    <row r="777">
      <c r="A777" s="25">
        <v>39491.645833333336</v>
      </c>
      <c r="B777" s="25">
        <v>218.75</v>
      </c>
      <c r="C777" s="25">
        <v>224.25</v>
      </c>
      <c r="D777" s="25">
        <v>212.83</v>
      </c>
      <c r="E777" s="25">
        <v>217.24</v>
      </c>
      <c r="F777" s="25">
        <v>546344.0</v>
      </c>
    </row>
    <row r="778">
      <c r="A778" s="25">
        <v>39492.645833333336</v>
      </c>
      <c r="B778" s="25">
        <v>221.25</v>
      </c>
      <c r="C778" s="25">
        <v>225.0</v>
      </c>
      <c r="D778" s="25">
        <v>215.25</v>
      </c>
      <c r="E778" s="25">
        <v>218.45</v>
      </c>
      <c r="F778" s="25">
        <v>561620.0</v>
      </c>
    </row>
    <row r="779">
      <c r="A779" s="25">
        <v>39493.645833333336</v>
      </c>
      <c r="B779" s="25">
        <v>215.0</v>
      </c>
      <c r="C779" s="25">
        <v>221.76</v>
      </c>
      <c r="D779" s="25">
        <v>215.0</v>
      </c>
      <c r="E779" s="25">
        <v>218.18</v>
      </c>
      <c r="F779" s="25">
        <v>553261.0</v>
      </c>
    </row>
    <row r="780">
      <c r="A780" s="25">
        <v>39496.645833333336</v>
      </c>
      <c r="B780" s="25">
        <v>218.18</v>
      </c>
      <c r="C780" s="25">
        <v>218.75</v>
      </c>
      <c r="D780" s="25">
        <v>212.5</v>
      </c>
      <c r="E780" s="25">
        <v>213.3</v>
      </c>
      <c r="F780" s="25">
        <v>430790.0</v>
      </c>
    </row>
    <row r="781">
      <c r="A781" s="25">
        <v>39497.645833333336</v>
      </c>
      <c r="B781" s="25">
        <v>214.0</v>
      </c>
      <c r="C781" s="25">
        <v>221.0</v>
      </c>
      <c r="D781" s="25">
        <v>213.75</v>
      </c>
      <c r="E781" s="25">
        <v>218.86</v>
      </c>
      <c r="F781" s="25">
        <v>486822.0</v>
      </c>
    </row>
    <row r="782">
      <c r="A782" s="25">
        <v>39498.645833333336</v>
      </c>
      <c r="B782" s="25">
        <v>219.98</v>
      </c>
      <c r="C782" s="25">
        <v>223.66</v>
      </c>
      <c r="D782" s="25">
        <v>218.31</v>
      </c>
      <c r="E782" s="25">
        <v>221.53</v>
      </c>
      <c r="F782" s="25">
        <v>765156.0</v>
      </c>
    </row>
    <row r="783">
      <c r="A783" s="25">
        <v>39499.645833333336</v>
      </c>
      <c r="B783" s="25">
        <v>224.5</v>
      </c>
      <c r="C783" s="25">
        <v>232.75</v>
      </c>
      <c r="D783" s="25">
        <v>220.5</v>
      </c>
      <c r="E783" s="25">
        <v>228.66</v>
      </c>
      <c r="F783" s="25">
        <v>890513.0</v>
      </c>
    </row>
    <row r="784">
      <c r="A784" s="25">
        <v>39500.645833333336</v>
      </c>
      <c r="B784" s="25">
        <v>230.0</v>
      </c>
      <c r="C784" s="25">
        <v>230.23</v>
      </c>
      <c r="D784" s="25">
        <v>221.25</v>
      </c>
      <c r="E784" s="25">
        <v>225.14</v>
      </c>
      <c r="F784" s="25">
        <v>600379.0</v>
      </c>
    </row>
    <row r="785">
      <c r="A785" s="25">
        <v>39503.645833333336</v>
      </c>
      <c r="B785" s="25">
        <v>232.0</v>
      </c>
      <c r="C785" s="25">
        <v>232.25</v>
      </c>
      <c r="D785" s="25">
        <v>222.56</v>
      </c>
      <c r="E785" s="25">
        <v>225.19</v>
      </c>
      <c r="F785" s="25">
        <v>813865.0</v>
      </c>
    </row>
    <row r="786">
      <c r="A786" s="25">
        <v>39504.645833333336</v>
      </c>
      <c r="B786" s="25">
        <v>231.0</v>
      </c>
      <c r="C786" s="25">
        <v>231.0</v>
      </c>
      <c r="D786" s="25">
        <v>223.75</v>
      </c>
      <c r="E786" s="25">
        <v>224.6</v>
      </c>
      <c r="F786" s="25">
        <v>1249896.0</v>
      </c>
    </row>
    <row r="787">
      <c r="A787" s="25">
        <v>39505.645833333336</v>
      </c>
      <c r="B787" s="25">
        <v>227.0</v>
      </c>
      <c r="C787" s="25">
        <v>228.71</v>
      </c>
      <c r="D787" s="25">
        <v>218.51</v>
      </c>
      <c r="E787" s="25">
        <v>219.39</v>
      </c>
      <c r="F787" s="25">
        <v>591014.0</v>
      </c>
    </row>
    <row r="788">
      <c r="A788" s="25">
        <v>39506.645833333336</v>
      </c>
      <c r="B788" s="25">
        <v>221.25</v>
      </c>
      <c r="C788" s="25">
        <v>222.5</v>
      </c>
      <c r="D788" s="25">
        <v>218.0</v>
      </c>
      <c r="E788" s="25">
        <v>220.23</v>
      </c>
      <c r="F788" s="25">
        <v>1394751.0</v>
      </c>
    </row>
    <row r="789">
      <c r="A789" s="25">
        <v>39507.645833333336</v>
      </c>
      <c r="B789" s="25">
        <v>220.0</v>
      </c>
      <c r="C789" s="25">
        <v>222.93</v>
      </c>
      <c r="D789" s="25">
        <v>215.88</v>
      </c>
      <c r="E789" s="25">
        <v>219.35</v>
      </c>
      <c r="F789" s="25">
        <v>854120.0</v>
      </c>
    </row>
    <row r="790">
      <c r="A790" s="25">
        <v>39510.645833333336</v>
      </c>
      <c r="B790" s="25">
        <v>216.5</v>
      </c>
      <c r="C790" s="25">
        <v>217.18</v>
      </c>
      <c r="D790" s="25">
        <v>210.0</v>
      </c>
      <c r="E790" s="25">
        <v>212.15</v>
      </c>
      <c r="F790" s="25">
        <v>785332.0</v>
      </c>
    </row>
    <row r="791">
      <c r="A791" s="25">
        <v>39511.645833333336</v>
      </c>
      <c r="B791" s="25">
        <v>214.5</v>
      </c>
      <c r="C791" s="25">
        <v>217.5</v>
      </c>
      <c r="D791" s="25">
        <v>211.78</v>
      </c>
      <c r="E791" s="25">
        <v>214.7</v>
      </c>
      <c r="F791" s="25">
        <v>752633.0</v>
      </c>
    </row>
    <row r="792">
      <c r="A792" s="25">
        <v>39512.645833333336</v>
      </c>
      <c r="B792" s="25">
        <v>211.25</v>
      </c>
      <c r="C792" s="25">
        <v>220.7</v>
      </c>
      <c r="D792" s="25">
        <v>211.25</v>
      </c>
      <c r="E792" s="25">
        <v>218.83</v>
      </c>
      <c r="F792" s="25">
        <v>552337.0</v>
      </c>
    </row>
    <row r="793">
      <c r="A793" s="25">
        <v>39514.645833333336</v>
      </c>
      <c r="B793" s="25">
        <v>215.65</v>
      </c>
      <c r="C793" s="25">
        <v>216.53</v>
      </c>
      <c r="D793" s="25">
        <v>210.56</v>
      </c>
      <c r="E793" s="25">
        <v>211.54</v>
      </c>
      <c r="F793" s="25">
        <v>499207.0</v>
      </c>
    </row>
    <row r="794">
      <c r="A794" s="25">
        <v>39517.645833333336</v>
      </c>
      <c r="B794" s="25">
        <v>211.54</v>
      </c>
      <c r="C794" s="25">
        <v>213.5</v>
      </c>
      <c r="D794" s="25">
        <v>207.5</v>
      </c>
      <c r="E794" s="25">
        <v>208.41</v>
      </c>
      <c r="F794" s="25">
        <v>623542.0</v>
      </c>
    </row>
    <row r="795">
      <c r="A795" s="25">
        <v>39518.645833333336</v>
      </c>
      <c r="B795" s="25">
        <v>210.0</v>
      </c>
      <c r="C795" s="25">
        <v>210.0</v>
      </c>
      <c r="D795" s="25">
        <v>205.0</v>
      </c>
      <c r="E795" s="25">
        <v>205.88</v>
      </c>
      <c r="F795" s="25">
        <v>1010880.0</v>
      </c>
    </row>
    <row r="796">
      <c r="A796" s="25">
        <v>39519.645833333336</v>
      </c>
      <c r="B796" s="25">
        <v>209.75</v>
      </c>
      <c r="C796" s="25">
        <v>212.5</v>
      </c>
      <c r="D796" s="25">
        <v>202.56</v>
      </c>
      <c r="E796" s="25">
        <v>205.89</v>
      </c>
      <c r="F796" s="25">
        <v>471103.0</v>
      </c>
    </row>
    <row r="797">
      <c r="A797" s="25">
        <v>39520.645833333336</v>
      </c>
      <c r="B797" s="25">
        <v>203.75</v>
      </c>
      <c r="C797" s="25">
        <v>203.75</v>
      </c>
      <c r="D797" s="25">
        <v>190.25</v>
      </c>
      <c r="E797" s="25">
        <v>194.93</v>
      </c>
      <c r="F797" s="25">
        <v>852150.0</v>
      </c>
    </row>
    <row r="798">
      <c r="A798" s="25">
        <v>39521.645833333336</v>
      </c>
      <c r="B798" s="25">
        <v>195.0</v>
      </c>
      <c r="C798" s="25">
        <v>203.23</v>
      </c>
      <c r="D798" s="25">
        <v>187.5</v>
      </c>
      <c r="E798" s="25">
        <v>200.96</v>
      </c>
      <c r="F798" s="25">
        <v>554014.0</v>
      </c>
    </row>
    <row r="799">
      <c r="A799" s="25">
        <v>39524.645833333336</v>
      </c>
      <c r="B799" s="25">
        <v>193.75</v>
      </c>
      <c r="C799" s="25">
        <v>199.43</v>
      </c>
      <c r="D799" s="25">
        <v>192.19</v>
      </c>
      <c r="E799" s="25">
        <v>197.96</v>
      </c>
      <c r="F799" s="25">
        <v>489726.0</v>
      </c>
    </row>
    <row r="800">
      <c r="A800" s="25">
        <v>39525.645833333336</v>
      </c>
      <c r="B800" s="25">
        <v>197.5</v>
      </c>
      <c r="C800" s="25">
        <v>207.2</v>
      </c>
      <c r="D800" s="25">
        <v>192.5</v>
      </c>
      <c r="E800" s="25">
        <v>204.43</v>
      </c>
      <c r="F800" s="25">
        <v>899020.0</v>
      </c>
    </row>
    <row r="801">
      <c r="A801" s="25">
        <v>39526.645833333336</v>
      </c>
      <c r="B801" s="25">
        <v>207.0</v>
      </c>
      <c r="C801" s="25">
        <v>210.0</v>
      </c>
      <c r="D801" s="25">
        <v>201.39</v>
      </c>
      <c r="E801" s="25">
        <v>202.86</v>
      </c>
      <c r="F801" s="25">
        <v>1090481.0</v>
      </c>
    </row>
    <row r="802">
      <c r="A802" s="25">
        <v>39531.645833333336</v>
      </c>
      <c r="B802" s="25">
        <v>202.86</v>
      </c>
      <c r="C802" s="25">
        <v>209.38</v>
      </c>
      <c r="D802" s="25">
        <v>202.86</v>
      </c>
      <c r="E802" s="25">
        <v>205.93</v>
      </c>
      <c r="F802" s="25">
        <v>825496.0</v>
      </c>
    </row>
    <row r="803">
      <c r="A803" s="25">
        <v>39532.645833333336</v>
      </c>
      <c r="B803" s="25">
        <v>210.0</v>
      </c>
      <c r="C803" s="25">
        <v>224.96</v>
      </c>
      <c r="D803" s="25">
        <v>208.75</v>
      </c>
      <c r="E803" s="25">
        <v>219.13</v>
      </c>
      <c r="F803" s="25">
        <v>732224.0</v>
      </c>
    </row>
    <row r="804">
      <c r="A804" s="25">
        <v>39533.645833333336</v>
      </c>
      <c r="B804" s="25">
        <v>235.0</v>
      </c>
      <c r="C804" s="25">
        <v>235.0</v>
      </c>
      <c r="D804" s="25">
        <v>212.89</v>
      </c>
      <c r="E804" s="25">
        <v>219.59</v>
      </c>
      <c r="F804" s="25">
        <v>542942.0</v>
      </c>
    </row>
    <row r="805">
      <c r="A805" s="25">
        <v>39534.645833333336</v>
      </c>
      <c r="B805" s="25">
        <v>218.0</v>
      </c>
      <c r="C805" s="25">
        <v>219.0</v>
      </c>
      <c r="D805" s="25">
        <v>210.28</v>
      </c>
      <c r="E805" s="25">
        <v>213.13</v>
      </c>
      <c r="F805" s="25">
        <v>1537788.0</v>
      </c>
    </row>
    <row r="806">
      <c r="A806" s="25">
        <v>39535.645833333336</v>
      </c>
      <c r="B806" s="25">
        <v>213.25</v>
      </c>
      <c r="C806" s="25">
        <v>218.68</v>
      </c>
      <c r="D806" s="25">
        <v>213.0</v>
      </c>
      <c r="E806" s="25">
        <v>217.76</v>
      </c>
      <c r="F806" s="25">
        <v>908424.0</v>
      </c>
    </row>
    <row r="807">
      <c r="A807" s="25">
        <v>39538.645833333336</v>
      </c>
      <c r="B807" s="25">
        <v>217.76</v>
      </c>
      <c r="C807" s="25">
        <v>217.76</v>
      </c>
      <c r="D807" s="25">
        <v>199.25</v>
      </c>
      <c r="E807" s="25">
        <v>202.61</v>
      </c>
      <c r="F807" s="25">
        <v>1012965.0</v>
      </c>
    </row>
    <row r="808">
      <c r="A808" s="25">
        <v>39539.645833333336</v>
      </c>
      <c r="B808" s="25">
        <v>205.0</v>
      </c>
      <c r="C808" s="25">
        <v>213.23</v>
      </c>
      <c r="D808" s="25">
        <v>202.5</v>
      </c>
      <c r="E808" s="25">
        <v>208.09</v>
      </c>
      <c r="F808" s="25">
        <v>521682.0</v>
      </c>
    </row>
    <row r="809">
      <c r="A809" s="25">
        <v>39540.645833333336</v>
      </c>
      <c r="B809" s="25">
        <v>212.5</v>
      </c>
      <c r="C809" s="25">
        <v>217.25</v>
      </c>
      <c r="D809" s="25">
        <v>212.31</v>
      </c>
      <c r="E809" s="25">
        <v>212.81</v>
      </c>
      <c r="F809" s="25">
        <v>357211.0</v>
      </c>
    </row>
    <row r="810">
      <c r="A810" s="25">
        <v>39541.645833333336</v>
      </c>
      <c r="B810" s="25">
        <v>212.5</v>
      </c>
      <c r="C810" s="25">
        <v>223.0</v>
      </c>
      <c r="D810" s="25">
        <v>212.5</v>
      </c>
      <c r="E810" s="25">
        <v>221.35</v>
      </c>
      <c r="F810" s="25">
        <v>821793.0</v>
      </c>
    </row>
    <row r="811">
      <c r="A811" s="25">
        <v>39542.645833333336</v>
      </c>
      <c r="B811" s="25">
        <v>221.5</v>
      </c>
      <c r="C811" s="25">
        <v>222.48</v>
      </c>
      <c r="D811" s="25">
        <v>215.01</v>
      </c>
      <c r="E811" s="25">
        <v>218.23</v>
      </c>
      <c r="F811" s="25">
        <v>505211.0</v>
      </c>
    </row>
    <row r="812">
      <c r="A812" s="25">
        <v>39545.645833333336</v>
      </c>
      <c r="B812" s="25">
        <v>223.75</v>
      </c>
      <c r="C812" s="25">
        <v>230.03</v>
      </c>
      <c r="D812" s="25">
        <v>219.55</v>
      </c>
      <c r="E812" s="25">
        <v>226.03</v>
      </c>
      <c r="F812" s="25">
        <v>914882.0</v>
      </c>
    </row>
    <row r="813">
      <c r="A813" s="25">
        <v>39546.645833333336</v>
      </c>
      <c r="B813" s="25">
        <v>226.25</v>
      </c>
      <c r="C813" s="25">
        <v>226.75</v>
      </c>
      <c r="D813" s="25">
        <v>218.75</v>
      </c>
      <c r="E813" s="25">
        <v>221.84</v>
      </c>
      <c r="F813" s="25">
        <v>1013838.0</v>
      </c>
    </row>
    <row r="814">
      <c r="A814" s="25">
        <v>39547.645833333336</v>
      </c>
      <c r="B814" s="25">
        <v>220.0</v>
      </c>
      <c r="C814" s="25">
        <v>223.0</v>
      </c>
      <c r="D814" s="25">
        <v>217.25</v>
      </c>
      <c r="E814" s="25">
        <v>219.06</v>
      </c>
      <c r="F814" s="25">
        <v>370650.0</v>
      </c>
    </row>
    <row r="815">
      <c r="A815" s="25">
        <v>39548.645833333336</v>
      </c>
      <c r="B815" s="25">
        <v>220.0</v>
      </c>
      <c r="C815" s="25">
        <v>229.91</v>
      </c>
      <c r="D815" s="25">
        <v>219.25</v>
      </c>
      <c r="E815" s="25">
        <v>224.89</v>
      </c>
      <c r="F815" s="25">
        <v>731483.0</v>
      </c>
    </row>
    <row r="816">
      <c r="A816" s="25">
        <v>39549.645833333336</v>
      </c>
      <c r="B816" s="25">
        <v>225.76</v>
      </c>
      <c r="C816" s="25">
        <v>231.25</v>
      </c>
      <c r="D816" s="25">
        <v>223.31</v>
      </c>
      <c r="E816" s="25">
        <v>227.0</v>
      </c>
      <c r="F816" s="25">
        <v>547316.0</v>
      </c>
    </row>
    <row r="817">
      <c r="A817" s="25">
        <v>39553.645833333336</v>
      </c>
      <c r="B817" s="25">
        <v>230.5</v>
      </c>
      <c r="C817" s="25">
        <v>246.25</v>
      </c>
      <c r="D817" s="25">
        <v>220.1</v>
      </c>
      <c r="E817" s="25">
        <v>243.54</v>
      </c>
      <c r="F817" s="25">
        <v>1425943.0</v>
      </c>
    </row>
    <row r="818">
      <c r="A818" s="25">
        <v>39554.645833333336</v>
      </c>
      <c r="B818" s="25">
        <v>246.25</v>
      </c>
      <c r="C818" s="25">
        <v>250.5</v>
      </c>
      <c r="D818" s="25">
        <v>240.5</v>
      </c>
      <c r="E818" s="25">
        <v>242.98</v>
      </c>
      <c r="F818" s="25">
        <v>1609692.0</v>
      </c>
    </row>
    <row r="819">
      <c r="A819" s="25">
        <v>39555.645833333336</v>
      </c>
      <c r="B819" s="25">
        <v>249.93</v>
      </c>
      <c r="C819" s="25">
        <v>252.5</v>
      </c>
      <c r="D819" s="25">
        <v>244.89</v>
      </c>
      <c r="E819" s="25">
        <v>250.23</v>
      </c>
      <c r="F819" s="25">
        <v>999889.0</v>
      </c>
    </row>
    <row r="820">
      <c r="A820" s="25">
        <v>39559.645833333336</v>
      </c>
      <c r="B820" s="25">
        <v>252.25</v>
      </c>
      <c r="C820" s="25">
        <v>258.75</v>
      </c>
      <c r="D820" s="25">
        <v>246.65</v>
      </c>
      <c r="E820" s="25">
        <v>248.35</v>
      </c>
      <c r="F820" s="25">
        <v>849824.0</v>
      </c>
    </row>
    <row r="821">
      <c r="A821" s="25">
        <v>39560.645833333336</v>
      </c>
      <c r="B821" s="25">
        <v>246.24</v>
      </c>
      <c r="C821" s="25">
        <v>246.24</v>
      </c>
      <c r="D821" s="25">
        <v>220.5</v>
      </c>
      <c r="E821" s="25">
        <v>221.8</v>
      </c>
      <c r="F821" s="25">
        <v>3446299.0</v>
      </c>
    </row>
    <row r="822">
      <c r="A822" s="25">
        <v>39561.645833333336</v>
      </c>
      <c r="B822" s="25">
        <v>221.75</v>
      </c>
      <c r="C822" s="25">
        <v>226.43</v>
      </c>
      <c r="D822" s="25">
        <v>220.01</v>
      </c>
      <c r="E822" s="25">
        <v>222.29</v>
      </c>
      <c r="F822" s="25">
        <v>1581539.0</v>
      </c>
    </row>
    <row r="823">
      <c r="A823" s="25">
        <v>39562.645833333336</v>
      </c>
      <c r="B823" s="25">
        <v>226.0</v>
      </c>
      <c r="C823" s="25">
        <v>226.23</v>
      </c>
      <c r="D823" s="25">
        <v>216.0</v>
      </c>
      <c r="E823" s="25">
        <v>222.69</v>
      </c>
      <c r="F823" s="25">
        <v>3822524.0</v>
      </c>
    </row>
    <row r="824">
      <c r="A824" s="25">
        <v>39563.645833333336</v>
      </c>
      <c r="B824" s="25">
        <v>228.0</v>
      </c>
      <c r="C824" s="25">
        <v>228.0</v>
      </c>
      <c r="D824" s="25">
        <v>221.25</v>
      </c>
      <c r="E824" s="25">
        <v>222.33</v>
      </c>
      <c r="F824" s="25">
        <v>1707142.0</v>
      </c>
    </row>
    <row r="825">
      <c r="A825" s="25">
        <v>39566.645833333336</v>
      </c>
      <c r="B825" s="25">
        <v>202.25</v>
      </c>
      <c r="C825" s="25">
        <v>224.0</v>
      </c>
      <c r="D825" s="25">
        <v>180.0</v>
      </c>
      <c r="E825" s="25">
        <v>220.43</v>
      </c>
      <c r="F825" s="25">
        <v>1649534.0</v>
      </c>
    </row>
    <row r="826">
      <c r="A826" s="25">
        <v>39567.645833333336</v>
      </c>
      <c r="B826" s="25">
        <v>220.51</v>
      </c>
      <c r="C826" s="25">
        <v>232.5</v>
      </c>
      <c r="D826" s="25">
        <v>217.54</v>
      </c>
      <c r="E826" s="25">
        <v>227.64</v>
      </c>
      <c r="F826" s="25">
        <v>4052462.0</v>
      </c>
    </row>
    <row r="827">
      <c r="A827" s="25">
        <v>39568.645833333336</v>
      </c>
      <c r="B827" s="25">
        <v>229.03</v>
      </c>
      <c r="C827" s="25">
        <v>233.94</v>
      </c>
      <c r="D827" s="25">
        <v>226.63</v>
      </c>
      <c r="E827" s="25">
        <v>230.25</v>
      </c>
      <c r="F827" s="25">
        <v>2371995.0</v>
      </c>
    </row>
    <row r="828">
      <c r="A828" s="25">
        <v>39570.645833333336</v>
      </c>
      <c r="B828" s="25">
        <v>231.25</v>
      </c>
      <c r="C828" s="25">
        <v>240.5</v>
      </c>
      <c r="D828" s="25">
        <v>231.0</v>
      </c>
      <c r="E828" s="25">
        <v>235.94</v>
      </c>
      <c r="F828" s="25">
        <v>1324695.0</v>
      </c>
    </row>
    <row r="829">
      <c r="A829" s="25">
        <v>39573.645833333336</v>
      </c>
      <c r="B829" s="25">
        <v>236.25</v>
      </c>
      <c r="C829" s="25">
        <v>237.38</v>
      </c>
      <c r="D829" s="25">
        <v>230.29</v>
      </c>
      <c r="E829" s="25">
        <v>231.86</v>
      </c>
      <c r="F829" s="25">
        <v>903441.0</v>
      </c>
    </row>
    <row r="830">
      <c r="A830" s="25">
        <v>39574.645833333336</v>
      </c>
      <c r="B830" s="25">
        <v>227.5</v>
      </c>
      <c r="C830" s="25">
        <v>237.5</v>
      </c>
      <c r="D830" s="25">
        <v>218.15</v>
      </c>
      <c r="E830" s="25">
        <v>234.26</v>
      </c>
      <c r="F830" s="25">
        <v>995699.0</v>
      </c>
    </row>
    <row r="831">
      <c r="A831" s="25">
        <v>39575.645833333336</v>
      </c>
      <c r="B831" s="25">
        <v>237.5</v>
      </c>
      <c r="C831" s="25">
        <v>244.98</v>
      </c>
      <c r="D831" s="25">
        <v>237.5</v>
      </c>
      <c r="E831" s="25">
        <v>241.69</v>
      </c>
      <c r="F831" s="25">
        <v>3146385.0</v>
      </c>
    </row>
    <row r="832">
      <c r="A832" s="25">
        <v>39576.645833333336</v>
      </c>
      <c r="B832" s="25">
        <v>241.23</v>
      </c>
      <c r="C832" s="25">
        <v>241.25</v>
      </c>
      <c r="D832" s="25">
        <v>229.5</v>
      </c>
      <c r="E832" s="25">
        <v>236.75</v>
      </c>
      <c r="F832" s="25">
        <v>2711458.0</v>
      </c>
    </row>
    <row r="833">
      <c r="A833" s="25">
        <v>39577.645833333336</v>
      </c>
      <c r="B833" s="25">
        <v>239.75</v>
      </c>
      <c r="C833" s="25">
        <v>239.75</v>
      </c>
      <c r="D833" s="25">
        <v>227.5</v>
      </c>
      <c r="E833" s="25">
        <v>229.25</v>
      </c>
      <c r="F833" s="25">
        <v>1123074.0</v>
      </c>
    </row>
    <row r="834">
      <c r="A834" s="25">
        <v>39580.645833333336</v>
      </c>
      <c r="B834" s="25">
        <v>229.25</v>
      </c>
      <c r="C834" s="25">
        <v>233.71</v>
      </c>
      <c r="D834" s="25">
        <v>227.58</v>
      </c>
      <c r="E834" s="25">
        <v>231.73</v>
      </c>
      <c r="F834" s="25">
        <v>974627.0</v>
      </c>
    </row>
    <row r="835">
      <c r="A835" s="25">
        <v>39581.645833333336</v>
      </c>
      <c r="B835" s="25">
        <v>232.5</v>
      </c>
      <c r="C835" s="25">
        <v>235.35</v>
      </c>
      <c r="D835" s="25">
        <v>222.25</v>
      </c>
      <c r="E835" s="25">
        <v>226.26</v>
      </c>
      <c r="F835" s="25">
        <v>1115719.0</v>
      </c>
    </row>
    <row r="836">
      <c r="A836" s="25">
        <v>39582.645833333336</v>
      </c>
      <c r="B836" s="25">
        <v>226.25</v>
      </c>
      <c r="C836" s="25">
        <v>244.74</v>
      </c>
      <c r="D836" s="25">
        <v>222.79</v>
      </c>
      <c r="E836" s="25">
        <v>242.79</v>
      </c>
      <c r="F836" s="25">
        <v>2343297.0</v>
      </c>
    </row>
    <row r="837">
      <c r="A837" s="25">
        <v>39583.645833333336</v>
      </c>
      <c r="B837" s="25">
        <v>243.25</v>
      </c>
      <c r="C837" s="25">
        <v>250.5</v>
      </c>
      <c r="D837" s="25">
        <v>240.03</v>
      </c>
      <c r="E837" s="25">
        <v>246.19</v>
      </c>
      <c r="F837" s="25">
        <v>1794474.0</v>
      </c>
    </row>
    <row r="838">
      <c r="A838" s="25">
        <v>39584.645833333336</v>
      </c>
      <c r="B838" s="25">
        <v>248.5</v>
      </c>
      <c r="C838" s="25">
        <v>248.5</v>
      </c>
      <c r="D838" s="25">
        <v>242.13</v>
      </c>
      <c r="E838" s="25">
        <v>245.26</v>
      </c>
      <c r="F838" s="25">
        <v>959662.0</v>
      </c>
    </row>
    <row r="839">
      <c r="A839" s="25">
        <v>39588.645833333336</v>
      </c>
      <c r="B839" s="25">
        <v>243.75</v>
      </c>
      <c r="C839" s="25">
        <v>247.5</v>
      </c>
      <c r="D839" s="25">
        <v>236.81</v>
      </c>
      <c r="E839" s="25">
        <v>239.03</v>
      </c>
      <c r="F839" s="25">
        <v>1236726.0</v>
      </c>
    </row>
    <row r="840">
      <c r="A840" s="25">
        <v>39589.645833333336</v>
      </c>
      <c r="B840" s="25">
        <v>232.0</v>
      </c>
      <c r="C840" s="25">
        <v>242.0</v>
      </c>
      <c r="D840" s="25">
        <v>228.75</v>
      </c>
      <c r="E840" s="25">
        <v>241.28</v>
      </c>
      <c r="F840" s="25">
        <v>785046.0</v>
      </c>
    </row>
    <row r="841">
      <c r="A841" s="25">
        <v>39590.645833333336</v>
      </c>
      <c r="B841" s="25">
        <v>239.13</v>
      </c>
      <c r="C841" s="25">
        <v>246.38</v>
      </c>
      <c r="D841" s="25">
        <v>237.75</v>
      </c>
      <c r="E841" s="25">
        <v>240.29</v>
      </c>
      <c r="F841" s="25">
        <v>1361300.0</v>
      </c>
    </row>
    <row r="842">
      <c r="A842" s="25">
        <v>39591.645833333336</v>
      </c>
      <c r="B842" s="25">
        <v>243.73</v>
      </c>
      <c r="C842" s="25">
        <v>244.93</v>
      </c>
      <c r="D842" s="25">
        <v>231.53</v>
      </c>
      <c r="E842" s="25">
        <v>233.1</v>
      </c>
      <c r="F842" s="25">
        <v>1350346.0</v>
      </c>
    </row>
    <row r="843">
      <c r="A843" s="25">
        <v>39594.645833333336</v>
      </c>
      <c r="B843" s="25">
        <v>230.0</v>
      </c>
      <c r="C843" s="25">
        <v>240.73</v>
      </c>
      <c r="D843" s="25">
        <v>229.0</v>
      </c>
      <c r="E843" s="25">
        <v>238.86</v>
      </c>
      <c r="F843" s="25">
        <v>1364318.0</v>
      </c>
    </row>
    <row r="844">
      <c r="A844" s="25">
        <v>39595.645833333336</v>
      </c>
      <c r="B844" s="25">
        <v>245.0</v>
      </c>
      <c r="C844" s="25">
        <v>248.5</v>
      </c>
      <c r="D844" s="25">
        <v>236.5</v>
      </c>
      <c r="E844" s="25">
        <v>242.23</v>
      </c>
      <c r="F844" s="25">
        <v>1420518.0</v>
      </c>
    </row>
    <row r="845">
      <c r="A845" s="25">
        <v>39596.645833333336</v>
      </c>
      <c r="B845" s="25">
        <v>242.53</v>
      </c>
      <c r="C845" s="25">
        <v>253.81</v>
      </c>
      <c r="D845" s="25">
        <v>242.53</v>
      </c>
      <c r="E845" s="25">
        <v>252.36</v>
      </c>
      <c r="F845" s="25">
        <v>1367397.0</v>
      </c>
    </row>
    <row r="846">
      <c r="A846" s="25">
        <v>39597.645833333336</v>
      </c>
      <c r="B846" s="25">
        <v>252.25</v>
      </c>
      <c r="C846" s="25">
        <v>257.09</v>
      </c>
      <c r="D846" s="25">
        <v>246.0</v>
      </c>
      <c r="E846" s="25">
        <v>248.66</v>
      </c>
      <c r="F846" s="25">
        <v>2064735.0</v>
      </c>
    </row>
    <row r="847">
      <c r="A847" s="25">
        <v>39598.645833333336</v>
      </c>
      <c r="B847" s="25">
        <v>247.75</v>
      </c>
      <c r="C847" s="25">
        <v>262.25</v>
      </c>
      <c r="D847" s="25">
        <v>244.5</v>
      </c>
      <c r="E847" s="25">
        <v>259.79</v>
      </c>
      <c r="F847" s="25">
        <v>3871321.0</v>
      </c>
    </row>
    <row r="848">
      <c r="A848" s="25">
        <v>39601.645833333336</v>
      </c>
      <c r="B848" s="25">
        <v>253.75</v>
      </c>
      <c r="C848" s="25">
        <v>264.35</v>
      </c>
      <c r="D848" s="25">
        <v>241.25</v>
      </c>
      <c r="E848" s="25">
        <v>245.96</v>
      </c>
      <c r="F848" s="25">
        <v>1763691.0</v>
      </c>
    </row>
    <row r="849">
      <c r="A849" s="25">
        <v>39602.645833333336</v>
      </c>
      <c r="B849" s="25">
        <v>240.0</v>
      </c>
      <c r="C849" s="25">
        <v>247.5</v>
      </c>
      <c r="D849" s="25">
        <v>234.54</v>
      </c>
      <c r="E849" s="25">
        <v>243.79</v>
      </c>
      <c r="F849" s="25">
        <v>1225064.0</v>
      </c>
    </row>
    <row r="850">
      <c r="A850" s="25">
        <v>39603.645833333336</v>
      </c>
      <c r="B850" s="25">
        <v>247.45</v>
      </c>
      <c r="C850" s="25">
        <v>247.45</v>
      </c>
      <c r="D850" s="25">
        <v>236.59</v>
      </c>
      <c r="E850" s="25">
        <v>239.19</v>
      </c>
      <c r="F850" s="25">
        <v>946964.0</v>
      </c>
    </row>
    <row r="851">
      <c r="A851" s="25">
        <v>39604.645833333336</v>
      </c>
      <c r="B851" s="25">
        <v>241.03</v>
      </c>
      <c r="C851" s="25">
        <v>249.2</v>
      </c>
      <c r="D851" s="25">
        <v>241.0</v>
      </c>
      <c r="E851" s="25">
        <v>245.46</v>
      </c>
      <c r="F851" s="25">
        <v>1476314.0</v>
      </c>
    </row>
    <row r="852">
      <c r="A852" s="25">
        <v>39605.645833333336</v>
      </c>
      <c r="B852" s="25">
        <v>247.5</v>
      </c>
      <c r="C852" s="25">
        <v>249.66</v>
      </c>
      <c r="D852" s="25">
        <v>239.45</v>
      </c>
      <c r="E852" s="25">
        <v>241.55</v>
      </c>
      <c r="F852" s="25">
        <v>1034446.0</v>
      </c>
    </row>
    <row r="853">
      <c r="A853" s="25">
        <v>39608.645833333336</v>
      </c>
      <c r="B853" s="25">
        <v>225.56</v>
      </c>
      <c r="C853" s="25">
        <v>241.23</v>
      </c>
      <c r="D853" s="25">
        <v>222.5</v>
      </c>
      <c r="E853" s="25">
        <v>228.53</v>
      </c>
      <c r="F853" s="25">
        <v>1535035.0</v>
      </c>
    </row>
    <row r="854">
      <c r="A854" s="25">
        <v>39609.645833333336</v>
      </c>
      <c r="B854" s="25">
        <v>227.5</v>
      </c>
      <c r="C854" s="25">
        <v>229.75</v>
      </c>
      <c r="D854" s="25">
        <v>216.75</v>
      </c>
      <c r="E854" s="25">
        <v>219.75</v>
      </c>
      <c r="F854" s="25">
        <v>1538843.0</v>
      </c>
    </row>
    <row r="855">
      <c r="A855" s="25">
        <v>39610.645833333336</v>
      </c>
      <c r="B855" s="25">
        <v>222.5</v>
      </c>
      <c r="C855" s="25">
        <v>227.5</v>
      </c>
      <c r="D855" s="25">
        <v>220.0</v>
      </c>
      <c r="E855" s="25">
        <v>222.59</v>
      </c>
      <c r="F855" s="25">
        <v>1028342.0</v>
      </c>
    </row>
    <row r="856">
      <c r="A856" s="25">
        <v>39611.645833333336</v>
      </c>
      <c r="B856" s="25">
        <v>223.5</v>
      </c>
      <c r="C856" s="25">
        <v>225.6</v>
      </c>
      <c r="D856" s="25">
        <v>214.25</v>
      </c>
      <c r="E856" s="25">
        <v>222.06</v>
      </c>
      <c r="F856" s="25">
        <v>616001.0</v>
      </c>
    </row>
    <row r="857">
      <c r="A857" s="25">
        <v>39612.645833333336</v>
      </c>
      <c r="B857" s="25">
        <v>220.0</v>
      </c>
      <c r="C857" s="25">
        <v>230.48</v>
      </c>
      <c r="D857" s="25">
        <v>220.0</v>
      </c>
      <c r="E857" s="25">
        <v>227.4</v>
      </c>
      <c r="F857" s="25">
        <v>1683108.0</v>
      </c>
    </row>
    <row r="858">
      <c r="A858" s="25">
        <v>39615.645833333336</v>
      </c>
      <c r="B858" s="25">
        <v>229.75</v>
      </c>
      <c r="C858" s="25">
        <v>232.0</v>
      </c>
      <c r="D858" s="25">
        <v>225.81</v>
      </c>
      <c r="E858" s="25">
        <v>227.7</v>
      </c>
      <c r="F858" s="25">
        <v>1635446.0</v>
      </c>
    </row>
    <row r="859">
      <c r="A859" s="25">
        <v>39616.645833333336</v>
      </c>
      <c r="B859" s="25">
        <v>226.25</v>
      </c>
      <c r="C859" s="25">
        <v>231.75</v>
      </c>
      <c r="D859" s="25">
        <v>226.25</v>
      </c>
      <c r="E859" s="25">
        <v>230.33</v>
      </c>
      <c r="F859" s="25">
        <v>876206.0</v>
      </c>
    </row>
    <row r="860">
      <c r="A860" s="25">
        <v>39617.645833333336</v>
      </c>
      <c r="B860" s="25">
        <v>230.2</v>
      </c>
      <c r="C860" s="25">
        <v>230.25</v>
      </c>
      <c r="D860" s="25">
        <v>222.75</v>
      </c>
      <c r="E860" s="25">
        <v>225.23</v>
      </c>
      <c r="F860" s="25">
        <v>1607834.0</v>
      </c>
    </row>
    <row r="861">
      <c r="A861" s="25">
        <v>39618.645833333336</v>
      </c>
      <c r="B861" s="25">
        <v>220.06</v>
      </c>
      <c r="C861" s="25">
        <v>224.5</v>
      </c>
      <c r="D861" s="25">
        <v>220.0</v>
      </c>
      <c r="E861" s="25">
        <v>222.0</v>
      </c>
      <c r="F861" s="25">
        <v>822267.0</v>
      </c>
    </row>
    <row r="862">
      <c r="A862" s="25">
        <v>39619.645833333336</v>
      </c>
      <c r="B862" s="25">
        <v>224.98</v>
      </c>
      <c r="C862" s="25">
        <v>224.98</v>
      </c>
      <c r="D862" s="25">
        <v>210.39</v>
      </c>
      <c r="E862" s="25">
        <v>215.96</v>
      </c>
      <c r="F862" s="25">
        <v>2039440.0</v>
      </c>
    </row>
    <row r="863">
      <c r="A863" s="25">
        <v>39622.645833333336</v>
      </c>
      <c r="B863" s="25">
        <v>215.96</v>
      </c>
      <c r="C863" s="25">
        <v>219.86</v>
      </c>
      <c r="D863" s="25">
        <v>210.75</v>
      </c>
      <c r="E863" s="25">
        <v>214.61</v>
      </c>
      <c r="F863" s="25">
        <v>893078.0</v>
      </c>
    </row>
    <row r="864">
      <c r="A864" s="25">
        <v>39623.645833333336</v>
      </c>
      <c r="B864" s="25">
        <v>212.5</v>
      </c>
      <c r="C864" s="25">
        <v>216.93</v>
      </c>
      <c r="D864" s="25">
        <v>205.85</v>
      </c>
      <c r="E864" s="25">
        <v>211.1</v>
      </c>
      <c r="F864" s="25">
        <v>2321794.0</v>
      </c>
    </row>
    <row r="865">
      <c r="A865" s="25">
        <v>39624.645833333336</v>
      </c>
      <c r="B865" s="25">
        <v>210.0</v>
      </c>
      <c r="C865" s="25">
        <v>221.25</v>
      </c>
      <c r="D865" s="25">
        <v>207.83</v>
      </c>
      <c r="E865" s="25">
        <v>219.2</v>
      </c>
      <c r="F865" s="25">
        <v>1478549.0</v>
      </c>
    </row>
    <row r="866">
      <c r="A866" s="25">
        <v>39625.645833333336</v>
      </c>
      <c r="B866" s="25">
        <v>221.0</v>
      </c>
      <c r="C866" s="25">
        <v>224.5</v>
      </c>
      <c r="D866" s="25">
        <v>215.1</v>
      </c>
      <c r="E866" s="25">
        <v>220.34</v>
      </c>
      <c r="F866" s="25">
        <v>1757079.0</v>
      </c>
    </row>
    <row r="867">
      <c r="A867" s="25">
        <v>39626.645833333336</v>
      </c>
      <c r="B867" s="25">
        <v>220.34</v>
      </c>
      <c r="C867" s="25">
        <v>220.34</v>
      </c>
      <c r="D867" s="25">
        <v>212.79</v>
      </c>
      <c r="E867" s="25">
        <v>216.38</v>
      </c>
      <c r="F867" s="25">
        <v>1565237.0</v>
      </c>
    </row>
    <row r="868">
      <c r="A868" s="25">
        <v>39629.645833333336</v>
      </c>
      <c r="B868" s="25">
        <v>217.75</v>
      </c>
      <c r="C868" s="25">
        <v>219.5</v>
      </c>
      <c r="D868" s="25">
        <v>212.5</v>
      </c>
      <c r="E868" s="25">
        <v>214.55</v>
      </c>
      <c r="F868" s="25">
        <v>814511.0</v>
      </c>
    </row>
    <row r="869">
      <c r="A869" s="25">
        <v>39630.645833333336</v>
      </c>
      <c r="B869" s="25">
        <v>216.25</v>
      </c>
      <c r="C869" s="25">
        <v>218.0</v>
      </c>
      <c r="D869" s="25">
        <v>208.76</v>
      </c>
      <c r="E869" s="25">
        <v>211.93</v>
      </c>
      <c r="F869" s="25">
        <v>1264904.0</v>
      </c>
    </row>
    <row r="870">
      <c r="A870" s="25">
        <v>39631.645833333336</v>
      </c>
      <c r="B870" s="25">
        <v>212.5</v>
      </c>
      <c r="C870" s="25">
        <v>222.0</v>
      </c>
      <c r="D870" s="25">
        <v>210.0</v>
      </c>
      <c r="E870" s="25">
        <v>219.13</v>
      </c>
      <c r="F870" s="25">
        <v>2035278.0</v>
      </c>
    </row>
    <row r="871">
      <c r="A871" s="25">
        <v>39632.645833333336</v>
      </c>
      <c r="B871" s="25">
        <v>220.25</v>
      </c>
      <c r="C871" s="25">
        <v>220.25</v>
      </c>
      <c r="D871" s="25">
        <v>205.14</v>
      </c>
      <c r="E871" s="25">
        <v>214.16</v>
      </c>
      <c r="F871" s="25">
        <v>1043132.0</v>
      </c>
    </row>
    <row r="872">
      <c r="A872" s="25">
        <v>39633.645833333336</v>
      </c>
      <c r="B872" s="25">
        <v>217.48</v>
      </c>
      <c r="C872" s="25">
        <v>217.51</v>
      </c>
      <c r="D872" s="25">
        <v>208.88</v>
      </c>
      <c r="E872" s="25">
        <v>211.13</v>
      </c>
      <c r="F872" s="25">
        <v>984896.0</v>
      </c>
    </row>
    <row r="873">
      <c r="A873" s="25">
        <v>39636.645833333336</v>
      </c>
      <c r="B873" s="25">
        <v>211.25</v>
      </c>
      <c r="C873" s="25">
        <v>216.0</v>
      </c>
      <c r="D873" s="25">
        <v>208.0</v>
      </c>
      <c r="E873" s="25">
        <v>213.06</v>
      </c>
      <c r="F873" s="25">
        <v>448533.0</v>
      </c>
    </row>
    <row r="874">
      <c r="A874" s="25">
        <v>39637.645833333336</v>
      </c>
      <c r="B874" s="25">
        <v>207.54</v>
      </c>
      <c r="C874" s="25">
        <v>211.25</v>
      </c>
      <c r="D874" s="25">
        <v>204.5</v>
      </c>
      <c r="E874" s="25">
        <v>207.55</v>
      </c>
      <c r="F874" s="25">
        <v>986906.0</v>
      </c>
    </row>
    <row r="875">
      <c r="A875" s="25">
        <v>39638.645833333336</v>
      </c>
      <c r="B875" s="25">
        <v>212.5</v>
      </c>
      <c r="C875" s="25">
        <v>222.49</v>
      </c>
      <c r="D875" s="25">
        <v>212.5</v>
      </c>
      <c r="E875" s="25">
        <v>219.19</v>
      </c>
      <c r="F875" s="25">
        <v>894637.0</v>
      </c>
    </row>
    <row r="876">
      <c r="A876" s="25">
        <v>39639.645833333336</v>
      </c>
      <c r="B876" s="25">
        <v>217.5</v>
      </c>
      <c r="C876" s="25">
        <v>222.25</v>
      </c>
      <c r="D876" s="25">
        <v>213.09</v>
      </c>
      <c r="E876" s="25">
        <v>217.1</v>
      </c>
      <c r="F876" s="25">
        <v>876092.0</v>
      </c>
    </row>
    <row r="877">
      <c r="A877" s="25">
        <v>39640.645833333336</v>
      </c>
      <c r="B877" s="25">
        <v>229.25</v>
      </c>
      <c r="C877" s="25">
        <v>235.75</v>
      </c>
      <c r="D877" s="25">
        <v>196.35</v>
      </c>
      <c r="E877" s="25">
        <v>199.65</v>
      </c>
      <c r="F877" s="25">
        <v>1380946.0</v>
      </c>
    </row>
    <row r="878">
      <c r="A878" s="25">
        <v>39643.645833333336</v>
      </c>
      <c r="B878" s="25">
        <v>200.0</v>
      </c>
      <c r="C878" s="25">
        <v>200.0</v>
      </c>
      <c r="D878" s="25">
        <v>190.25</v>
      </c>
      <c r="E878" s="25">
        <v>191.96</v>
      </c>
      <c r="F878" s="25">
        <v>1139974.0</v>
      </c>
    </row>
    <row r="879">
      <c r="A879" s="25">
        <v>39644.645833333336</v>
      </c>
      <c r="B879" s="25">
        <v>191.96</v>
      </c>
      <c r="C879" s="25">
        <v>196.61</v>
      </c>
      <c r="D879" s="25">
        <v>184.29</v>
      </c>
      <c r="E879" s="25">
        <v>187.66</v>
      </c>
      <c r="F879" s="25">
        <v>1127461.0</v>
      </c>
    </row>
    <row r="880">
      <c r="A880" s="25">
        <v>39645.645833333336</v>
      </c>
      <c r="B880" s="25">
        <v>188.66</v>
      </c>
      <c r="C880" s="25">
        <v>193.41</v>
      </c>
      <c r="D880" s="25">
        <v>178.98</v>
      </c>
      <c r="E880" s="25">
        <v>182.03</v>
      </c>
      <c r="F880" s="25">
        <v>1434975.0</v>
      </c>
    </row>
    <row r="881">
      <c r="A881" s="25">
        <v>39646.645833333336</v>
      </c>
      <c r="B881" s="25">
        <v>183.75</v>
      </c>
      <c r="C881" s="25">
        <v>196.73</v>
      </c>
      <c r="D881" s="25">
        <v>182.51</v>
      </c>
      <c r="E881" s="25">
        <v>195.81</v>
      </c>
      <c r="F881" s="25">
        <v>2587679.0</v>
      </c>
    </row>
    <row r="882">
      <c r="A882" s="25">
        <v>39647.645833333336</v>
      </c>
      <c r="B882" s="25">
        <v>195.0</v>
      </c>
      <c r="C882" s="25">
        <v>200.5</v>
      </c>
      <c r="D882" s="25">
        <v>187.25</v>
      </c>
      <c r="E882" s="25">
        <v>198.46</v>
      </c>
      <c r="F882" s="25">
        <v>2084874.0</v>
      </c>
    </row>
    <row r="883">
      <c r="A883" s="25">
        <v>39650.645833333336</v>
      </c>
      <c r="B883" s="25">
        <v>199.75</v>
      </c>
      <c r="C883" s="25">
        <v>203.75</v>
      </c>
      <c r="D883" s="25">
        <v>195.75</v>
      </c>
      <c r="E883" s="25">
        <v>203.2</v>
      </c>
      <c r="F883" s="25">
        <v>895517.0</v>
      </c>
    </row>
    <row r="884">
      <c r="A884" s="25">
        <v>39651.645833333336</v>
      </c>
      <c r="B884" s="25">
        <v>204.0</v>
      </c>
      <c r="C884" s="25">
        <v>210.99</v>
      </c>
      <c r="D884" s="25">
        <v>201.51</v>
      </c>
      <c r="E884" s="25">
        <v>207.96</v>
      </c>
      <c r="F884" s="25">
        <v>1060291.0</v>
      </c>
    </row>
    <row r="885">
      <c r="A885" s="25">
        <v>39652.645833333336</v>
      </c>
      <c r="B885" s="25">
        <v>207.5</v>
      </c>
      <c r="C885" s="25">
        <v>217.5</v>
      </c>
      <c r="D885" s="25">
        <v>204.73</v>
      </c>
      <c r="E885" s="25">
        <v>215.14</v>
      </c>
      <c r="F885" s="25">
        <v>1492855.0</v>
      </c>
    </row>
    <row r="886">
      <c r="A886" s="25">
        <v>39653.645833333336</v>
      </c>
      <c r="B886" s="25">
        <v>218.63</v>
      </c>
      <c r="C886" s="25">
        <v>218.63</v>
      </c>
      <c r="D886" s="25">
        <v>198.09</v>
      </c>
      <c r="E886" s="25">
        <v>200.64</v>
      </c>
      <c r="F886" s="25">
        <v>2935584.0</v>
      </c>
    </row>
    <row r="887">
      <c r="A887" s="25">
        <v>39654.645833333336</v>
      </c>
      <c r="B887" s="25">
        <v>199.8</v>
      </c>
      <c r="C887" s="25">
        <v>212.38</v>
      </c>
      <c r="D887" s="25">
        <v>195.5</v>
      </c>
      <c r="E887" s="25">
        <v>199.8</v>
      </c>
      <c r="F887" s="25">
        <v>2210634.0</v>
      </c>
    </row>
    <row r="888">
      <c r="A888" s="25">
        <v>39657.645833333336</v>
      </c>
      <c r="B888" s="25">
        <v>200.0</v>
      </c>
      <c r="C888" s="25">
        <v>204.24</v>
      </c>
      <c r="D888" s="25">
        <v>196.25</v>
      </c>
      <c r="E888" s="25">
        <v>201.56</v>
      </c>
      <c r="F888" s="25">
        <v>492343.0</v>
      </c>
    </row>
    <row r="889">
      <c r="A889" s="25">
        <v>39658.645833333336</v>
      </c>
      <c r="B889" s="25">
        <v>201.68</v>
      </c>
      <c r="C889" s="25">
        <v>203.45</v>
      </c>
      <c r="D889" s="25">
        <v>198.0</v>
      </c>
      <c r="E889" s="25">
        <v>202.24</v>
      </c>
      <c r="F889" s="25">
        <v>618048.0</v>
      </c>
    </row>
    <row r="890">
      <c r="A890" s="25">
        <v>39659.645833333336</v>
      </c>
      <c r="B890" s="25">
        <v>211.5</v>
      </c>
      <c r="C890" s="25">
        <v>211.5</v>
      </c>
      <c r="D890" s="25">
        <v>200.0</v>
      </c>
      <c r="E890" s="25">
        <v>209.74</v>
      </c>
      <c r="F890" s="25">
        <v>1105019.0</v>
      </c>
    </row>
    <row r="891">
      <c r="A891" s="25">
        <v>39660.645833333336</v>
      </c>
      <c r="B891" s="25">
        <v>210.0</v>
      </c>
      <c r="C891" s="25">
        <v>210.5</v>
      </c>
      <c r="D891" s="25">
        <v>205.38</v>
      </c>
      <c r="E891" s="25">
        <v>208.44</v>
      </c>
      <c r="F891" s="25">
        <v>1298895.0</v>
      </c>
    </row>
    <row r="892">
      <c r="A892" s="25">
        <v>39661.645833333336</v>
      </c>
      <c r="B892" s="25">
        <v>206.25</v>
      </c>
      <c r="C892" s="25">
        <v>214.24</v>
      </c>
      <c r="D892" s="25">
        <v>202.81</v>
      </c>
      <c r="E892" s="25">
        <v>210.16</v>
      </c>
      <c r="F892" s="25">
        <v>1002931.0</v>
      </c>
    </row>
    <row r="893">
      <c r="A893" s="25">
        <v>39664.645833333336</v>
      </c>
      <c r="B893" s="25">
        <v>203.75</v>
      </c>
      <c r="C893" s="25">
        <v>210.0</v>
      </c>
      <c r="D893" s="25">
        <v>202.75</v>
      </c>
      <c r="E893" s="25">
        <v>203.84</v>
      </c>
      <c r="F893" s="25">
        <v>1309732.0</v>
      </c>
    </row>
    <row r="894">
      <c r="A894" s="25">
        <v>39665.645833333336</v>
      </c>
      <c r="B894" s="25">
        <v>203.85</v>
      </c>
      <c r="C894" s="25">
        <v>208.75</v>
      </c>
      <c r="D894" s="25">
        <v>201.31</v>
      </c>
      <c r="E894" s="25">
        <v>207.43</v>
      </c>
      <c r="F894" s="25">
        <v>1192050.0</v>
      </c>
    </row>
    <row r="895">
      <c r="A895" s="25">
        <v>39666.645833333336</v>
      </c>
      <c r="B895" s="25">
        <v>209.98</v>
      </c>
      <c r="C895" s="25">
        <v>217.49</v>
      </c>
      <c r="D895" s="25">
        <v>209.1</v>
      </c>
      <c r="E895" s="25">
        <v>215.14</v>
      </c>
      <c r="F895" s="25">
        <v>1252483.0</v>
      </c>
    </row>
    <row r="896">
      <c r="A896" s="25">
        <v>39667.645833333336</v>
      </c>
      <c r="B896" s="25">
        <v>214.75</v>
      </c>
      <c r="C896" s="25">
        <v>217.48</v>
      </c>
      <c r="D896" s="25">
        <v>211.25</v>
      </c>
      <c r="E896" s="25">
        <v>213.34</v>
      </c>
      <c r="F896" s="25">
        <v>768080.0</v>
      </c>
    </row>
    <row r="897">
      <c r="A897" s="25">
        <v>39668.645833333336</v>
      </c>
      <c r="B897" s="25">
        <v>211.24</v>
      </c>
      <c r="C897" s="25">
        <v>214.25</v>
      </c>
      <c r="D897" s="25">
        <v>208.35</v>
      </c>
      <c r="E897" s="25">
        <v>211.28</v>
      </c>
      <c r="F897" s="25">
        <v>521668.0</v>
      </c>
    </row>
    <row r="898">
      <c r="A898" s="25">
        <v>39671.645833333336</v>
      </c>
      <c r="B898" s="25">
        <v>213.0</v>
      </c>
      <c r="C898" s="25">
        <v>214.45</v>
      </c>
      <c r="D898" s="25">
        <v>206.13</v>
      </c>
      <c r="E898" s="25">
        <v>208.49</v>
      </c>
      <c r="F898" s="25">
        <v>851275.0</v>
      </c>
    </row>
    <row r="899">
      <c r="A899" s="25">
        <v>39672.645833333336</v>
      </c>
      <c r="B899" s="25">
        <v>208.75</v>
      </c>
      <c r="C899" s="25">
        <v>210.93</v>
      </c>
      <c r="D899" s="25">
        <v>203.75</v>
      </c>
      <c r="E899" s="25">
        <v>204.81</v>
      </c>
      <c r="F899" s="25">
        <v>830876.0</v>
      </c>
    </row>
    <row r="900">
      <c r="A900" s="25">
        <v>39673.645833333336</v>
      </c>
      <c r="B900" s="25">
        <v>200.0</v>
      </c>
      <c r="C900" s="25">
        <v>209.43</v>
      </c>
      <c r="D900" s="25">
        <v>200.0</v>
      </c>
      <c r="E900" s="25">
        <v>207.08</v>
      </c>
      <c r="F900" s="25">
        <v>924492.0</v>
      </c>
    </row>
    <row r="901">
      <c r="A901" s="25">
        <v>39674.645833333336</v>
      </c>
      <c r="B901" s="25">
        <v>207.25</v>
      </c>
      <c r="C901" s="25">
        <v>211.16</v>
      </c>
      <c r="D901" s="25">
        <v>202.75</v>
      </c>
      <c r="E901" s="25">
        <v>208.3</v>
      </c>
      <c r="F901" s="25">
        <v>935377.0</v>
      </c>
    </row>
    <row r="902">
      <c r="A902" s="25">
        <v>39678.645833333336</v>
      </c>
      <c r="B902" s="25">
        <v>210.0</v>
      </c>
      <c r="C902" s="25">
        <v>213.1</v>
      </c>
      <c r="D902" s="25">
        <v>208.75</v>
      </c>
      <c r="E902" s="25">
        <v>210.39</v>
      </c>
      <c r="F902" s="25">
        <v>489162.0</v>
      </c>
    </row>
    <row r="903">
      <c r="A903" s="25">
        <v>39679.645833333336</v>
      </c>
      <c r="B903" s="25">
        <v>211.13</v>
      </c>
      <c r="C903" s="25">
        <v>212.75</v>
      </c>
      <c r="D903" s="25">
        <v>208.78</v>
      </c>
      <c r="E903" s="25">
        <v>210.31</v>
      </c>
      <c r="F903" s="25">
        <v>488325.0</v>
      </c>
    </row>
    <row r="904">
      <c r="A904" s="25">
        <v>39680.645833333336</v>
      </c>
      <c r="B904" s="25">
        <v>210.68</v>
      </c>
      <c r="C904" s="25">
        <v>212.25</v>
      </c>
      <c r="D904" s="25">
        <v>208.75</v>
      </c>
      <c r="E904" s="25">
        <v>210.4</v>
      </c>
      <c r="F904" s="25">
        <v>281814.0</v>
      </c>
    </row>
    <row r="905">
      <c r="A905" s="25">
        <v>39681.645833333336</v>
      </c>
      <c r="B905" s="25">
        <v>209.0</v>
      </c>
      <c r="C905" s="25">
        <v>210.5</v>
      </c>
      <c r="D905" s="25">
        <v>203.8</v>
      </c>
      <c r="E905" s="25">
        <v>204.46</v>
      </c>
      <c r="F905" s="25">
        <v>494129.0</v>
      </c>
    </row>
    <row r="906">
      <c r="A906" s="25">
        <v>39682.645833333336</v>
      </c>
      <c r="B906" s="25">
        <v>204.75</v>
      </c>
      <c r="C906" s="25">
        <v>206.19</v>
      </c>
      <c r="D906" s="25">
        <v>200.88</v>
      </c>
      <c r="E906" s="25">
        <v>204.75</v>
      </c>
      <c r="F906" s="25">
        <v>661321.0</v>
      </c>
    </row>
    <row r="907">
      <c r="A907" s="25">
        <v>39685.645833333336</v>
      </c>
      <c r="B907" s="25">
        <v>206.0</v>
      </c>
      <c r="C907" s="25">
        <v>208.75</v>
      </c>
      <c r="D907" s="25">
        <v>204.0</v>
      </c>
      <c r="E907" s="25">
        <v>204.55</v>
      </c>
      <c r="F907" s="25">
        <v>235561.0</v>
      </c>
    </row>
    <row r="908">
      <c r="A908" s="25">
        <v>39686.645833333336</v>
      </c>
      <c r="B908" s="25">
        <v>202.49</v>
      </c>
      <c r="C908" s="25">
        <v>209.24</v>
      </c>
      <c r="D908" s="25">
        <v>202.49</v>
      </c>
      <c r="E908" s="25">
        <v>208.51</v>
      </c>
      <c r="F908" s="25">
        <v>551251.0</v>
      </c>
    </row>
    <row r="909">
      <c r="A909" s="25">
        <v>39687.645833333336</v>
      </c>
      <c r="B909" s="25">
        <v>205.03</v>
      </c>
      <c r="C909" s="25">
        <v>209.0</v>
      </c>
      <c r="D909" s="25">
        <v>203.28</v>
      </c>
      <c r="E909" s="25">
        <v>204.61</v>
      </c>
      <c r="F909" s="25">
        <v>532947.0</v>
      </c>
    </row>
    <row r="910">
      <c r="A910" s="25">
        <v>39688.645833333336</v>
      </c>
      <c r="B910" s="25">
        <v>205.0</v>
      </c>
      <c r="C910" s="25">
        <v>206.06</v>
      </c>
      <c r="D910" s="25">
        <v>195.66</v>
      </c>
      <c r="E910" s="25">
        <v>198.09</v>
      </c>
      <c r="F910" s="25">
        <v>1645172.0</v>
      </c>
    </row>
    <row r="911">
      <c r="A911" s="25">
        <v>39689.645833333336</v>
      </c>
      <c r="B911" s="25">
        <v>200.0</v>
      </c>
      <c r="C911" s="25">
        <v>204.99</v>
      </c>
      <c r="D911" s="25">
        <v>200.0</v>
      </c>
      <c r="E911" s="25">
        <v>203.05</v>
      </c>
      <c r="F911" s="25">
        <v>499625.0</v>
      </c>
    </row>
    <row r="912">
      <c r="A912" s="25">
        <v>39692.645833333336</v>
      </c>
      <c r="B912" s="25">
        <v>203.75</v>
      </c>
      <c r="C912" s="25">
        <v>205.0</v>
      </c>
      <c r="D912" s="25">
        <v>201.75</v>
      </c>
      <c r="E912" s="25">
        <v>203.74</v>
      </c>
      <c r="F912" s="25">
        <v>381858.0</v>
      </c>
    </row>
    <row r="913">
      <c r="A913" s="25">
        <v>39693.645833333336</v>
      </c>
      <c r="B913" s="25">
        <v>203.74</v>
      </c>
      <c r="C913" s="25">
        <v>213.25</v>
      </c>
      <c r="D913" s="25">
        <v>203.74</v>
      </c>
      <c r="E913" s="25">
        <v>212.2</v>
      </c>
      <c r="F913" s="25">
        <v>661962.0</v>
      </c>
    </row>
    <row r="914">
      <c r="A914" s="25">
        <v>39695.645833333336</v>
      </c>
      <c r="B914" s="25">
        <v>211.25</v>
      </c>
      <c r="C914" s="25">
        <v>213.7</v>
      </c>
      <c r="D914" s="25">
        <v>208.09</v>
      </c>
      <c r="E914" s="25">
        <v>211.05</v>
      </c>
      <c r="F914" s="25">
        <v>615419.0</v>
      </c>
    </row>
    <row r="915">
      <c r="A915" s="25">
        <v>39696.645833333336</v>
      </c>
      <c r="B915" s="25">
        <v>212.5</v>
      </c>
      <c r="C915" s="25">
        <v>212.5</v>
      </c>
      <c r="D915" s="25">
        <v>206.25</v>
      </c>
      <c r="E915" s="25">
        <v>209.6</v>
      </c>
      <c r="F915" s="25">
        <v>611342.0</v>
      </c>
    </row>
    <row r="916">
      <c r="A916" s="25">
        <v>39699.645833333336</v>
      </c>
      <c r="B916" s="25">
        <v>215.0</v>
      </c>
      <c r="C916" s="25">
        <v>218.6</v>
      </c>
      <c r="D916" s="25">
        <v>210.5</v>
      </c>
      <c r="E916" s="25">
        <v>214.18</v>
      </c>
      <c r="F916" s="25">
        <v>1292608.0</v>
      </c>
    </row>
    <row r="917">
      <c r="A917" s="25">
        <v>39700.645833333336</v>
      </c>
      <c r="B917" s="25">
        <v>213.75</v>
      </c>
      <c r="C917" s="25">
        <v>217.93</v>
      </c>
      <c r="D917" s="25">
        <v>210.0</v>
      </c>
      <c r="E917" s="25">
        <v>216.2</v>
      </c>
      <c r="F917" s="25">
        <v>703832.0</v>
      </c>
    </row>
    <row r="918">
      <c r="A918" s="25">
        <v>39701.645833333336</v>
      </c>
      <c r="B918" s="25">
        <v>215.29</v>
      </c>
      <c r="C918" s="25">
        <v>217.55</v>
      </c>
      <c r="D918" s="25">
        <v>212.03</v>
      </c>
      <c r="E918" s="25">
        <v>212.73</v>
      </c>
      <c r="F918" s="25">
        <v>765864.0</v>
      </c>
    </row>
    <row r="919">
      <c r="A919" s="25">
        <v>39702.645833333336</v>
      </c>
      <c r="B919" s="25">
        <v>212.73</v>
      </c>
      <c r="C919" s="25">
        <v>217.0</v>
      </c>
      <c r="D919" s="25">
        <v>207.25</v>
      </c>
      <c r="E919" s="25">
        <v>209.18</v>
      </c>
      <c r="F919" s="25">
        <v>477244.0</v>
      </c>
    </row>
    <row r="920">
      <c r="A920" s="25">
        <v>39703.645833333336</v>
      </c>
      <c r="B920" s="25">
        <v>216.25</v>
      </c>
      <c r="C920" s="25">
        <v>216.25</v>
      </c>
      <c r="D920" s="25">
        <v>200.24</v>
      </c>
      <c r="E920" s="25">
        <v>202.64</v>
      </c>
      <c r="F920" s="25">
        <v>893491.0</v>
      </c>
    </row>
    <row r="921">
      <c r="A921" s="25">
        <v>39706.645833333336</v>
      </c>
      <c r="B921" s="25">
        <v>195.0</v>
      </c>
      <c r="C921" s="25">
        <v>199.75</v>
      </c>
      <c r="D921" s="25">
        <v>186.25</v>
      </c>
      <c r="E921" s="25">
        <v>190.7</v>
      </c>
      <c r="F921" s="25">
        <v>2137737.0</v>
      </c>
    </row>
    <row r="922">
      <c r="A922" s="25">
        <v>39707.645833333336</v>
      </c>
      <c r="B922" s="25">
        <v>187.38</v>
      </c>
      <c r="C922" s="25">
        <v>187.75</v>
      </c>
      <c r="D922" s="25">
        <v>181.25</v>
      </c>
      <c r="E922" s="25">
        <v>187.21</v>
      </c>
      <c r="F922" s="25">
        <v>1268091.0</v>
      </c>
    </row>
    <row r="923">
      <c r="A923" s="25">
        <v>39708.645833333336</v>
      </c>
      <c r="B923" s="25">
        <v>187.0</v>
      </c>
      <c r="C923" s="25">
        <v>191.16</v>
      </c>
      <c r="D923" s="25">
        <v>182.0</v>
      </c>
      <c r="E923" s="25">
        <v>182.53</v>
      </c>
      <c r="F923" s="25">
        <v>1050217.0</v>
      </c>
    </row>
    <row r="924">
      <c r="A924" s="25">
        <v>39709.645833333336</v>
      </c>
      <c r="B924" s="25">
        <v>182.0</v>
      </c>
      <c r="C924" s="25">
        <v>187.25</v>
      </c>
      <c r="D924" s="25">
        <v>167.75</v>
      </c>
      <c r="E924" s="25">
        <v>180.29</v>
      </c>
      <c r="F924" s="25">
        <v>1589276.0</v>
      </c>
    </row>
    <row r="925">
      <c r="A925" s="25">
        <v>39710.645833333336</v>
      </c>
      <c r="B925" s="25">
        <v>194.93</v>
      </c>
      <c r="C925" s="25">
        <v>194.93</v>
      </c>
      <c r="D925" s="25">
        <v>182.53</v>
      </c>
      <c r="E925" s="25">
        <v>191.71</v>
      </c>
      <c r="F925" s="25">
        <v>2386092.0</v>
      </c>
    </row>
    <row r="926">
      <c r="A926" s="25">
        <v>39713.645833333336</v>
      </c>
      <c r="B926" s="25">
        <v>217.0</v>
      </c>
      <c r="C926" s="25">
        <v>217.0</v>
      </c>
      <c r="D926" s="25">
        <v>188.25</v>
      </c>
      <c r="E926" s="25">
        <v>191.7</v>
      </c>
      <c r="F926" s="25">
        <v>1118236.0</v>
      </c>
    </row>
    <row r="927">
      <c r="A927" s="25">
        <v>39714.645833333336</v>
      </c>
      <c r="B927" s="25">
        <v>178.84</v>
      </c>
      <c r="C927" s="25">
        <v>191.93</v>
      </c>
      <c r="D927" s="25">
        <v>178.84</v>
      </c>
      <c r="E927" s="25">
        <v>180.25</v>
      </c>
      <c r="F927" s="25">
        <v>741530.0</v>
      </c>
    </row>
    <row r="928">
      <c r="A928" s="25">
        <v>39715.645833333336</v>
      </c>
      <c r="B928" s="25">
        <v>181.14</v>
      </c>
      <c r="C928" s="25">
        <v>187.0</v>
      </c>
      <c r="D928" s="25">
        <v>172.58</v>
      </c>
      <c r="E928" s="25">
        <v>178.26</v>
      </c>
      <c r="F928" s="25">
        <v>1845181.0</v>
      </c>
    </row>
    <row r="929">
      <c r="A929" s="25">
        <v>39716.645833333336</v>
      </c>
      <c r="B929" s="25">
        <v>178.28</v>
      </c>
      <c r="C929" s="25">
        <v>179.96</v>
      </c>
      <c r="D929" s="25">
        <v>167.76</v>
      </c>
      <c r="E929" s="25">
        <v>172.1</v>
      </c>
      <c r="F929" s="25">
        <v>3780658.0</v>
      </c>
    </row>
    <row r="930">
      <c r="A930" s="25">
        <v>39717.645833333336</v>
      </c>
      <c r="B930" s="25">
        <v>175.0</v>
      </c>
      <c r="C930" s="25">
        <v>175.0</v>
      </c>
      <c r="D930" s="25">
        <v>166.55</v>
      </c>
      <c r="E930" s="25">
        <v>169.05</v>
      </c>
      <c r="F930" s="25">
        <v>1054311.0</v>
      </c>
    </row>
    <row r="931">
      <c r="A931" s="25">
        <v>39720.645833333336</v>
      </c>
      <c r="B931" s="25">
        <v>169.7</v>
      </c>
      <c r="C931" s="25">
        <v>169.7</v>
      </c>
      <c r="D931" s="25">
        <v>153.0</v>
      </c>
      <c r="E931" s="25">
        <v>155.0</v>
      </c>
      <c r="F931" s="25">
        <v>1394659.0</v>
      </c>
    </row>
    <row r="932">
      <c r="A932" s="25">
        <v>39721.645833333336</v>
      </c>
      <c r="B932" s="25">
        <v>148.0</v>
      </c>
      <c r="C932" s="25">
        <v>169.18</v>
      </c>
      <c r="D932" s="25">
        <v>147.5</v>
      </c>
      <c r="E932" s="25">
        <v>166.4</v>
      </c>
      <c r="F932" s="25">
        <v>2097843.0</v>
      </c>
    </row>
    <row r="933">
      <c r="A933" s="25">
        <v>39722.645833333336</v>
      </c>
      <c r="B933" s="25">
        <v>167.4</v>
      </c>
      <c r="C933" s="25">
        <v>171.23</v>
      </c>
      <c r="D933" s="25">
        <v>161.34</v>
      </c>
      <c r="E933" s="25">
        <v>167.94</v>
      </c>
      <c r="F933" s="25">
        <v>1504479.0</v>
      </c>
    </row>
    <row r="934">
      <c r="A934" s="25">
        <v>39724.645833333336</v>
      </c>
      <c r="B934" s="25">
        <v>166.24</v>
      </c>
      <c r="C934" s="25">
        <v>166.24</v>
      </c>
      <c r="D934" s="25">
        <v>160.59</v>
      </c>
      <c r="E934" s="25">
        <v>164.38</v>
      </c>
      <c r="F934" s="25">
        <v>1043101.0</v>
      </c>
    </row>
    <row r="935">
      <c r="A935" s="25">
        <v>39727.645833333336</v>
      </c>
      <c r="B935" s="25">
        <v>162.81</v>
      </c>
      <c r="C935" s="25">
        <v>162.81</v>
      </c>
      <c r="D935" s="25">
        <v>150.0</v>
      </c>
      <c r="E935" s="25">
        <v>154.75</v>
      </c>
      <c r="F935" s="25">
        <v>1470746.0</v>
      </c>
    </row>
    <row r="936">
      <c r="A936" s="25">
        <v>39728.645833333336</v>
      </c>
      <c r="B936" s="25">
        <v>157.79</v>
      </c>
      <c r="C936" s="25">
        <v>166.25</v>
      </c>
      <c r="D936" s="25">
        <v>141.5</v>
      </c>
      <c r="E936" s="25">
        <v>143.98</v>
      </c>
      <c r="F936" s="25">
        <v>2221151.0</v>
      </c>
    </row>
    <row r="937">
      <c r="A937" s="25">
        <v>39729.645833333336</v>
      </c>
      <c r="B937" s="25">
        <v>138.75</v>
      </c>
      <c r="C937" s="25">
        <v>140.74</v>
      </c>
      <c r="D937" s="25">
        <v>127.0</v>
      </c>
      <c r="E937" s="25">
        <v>136.65</v>
      </c>
      <c r="F937" s="25">
        <v>2075345.0</v>
      </c>
    </row>
    <row r="938">
      <c r="A938" s="25">
        <v>39731.645833333336</v>
      </c>
      <c r="B938" s="25">
        <v>135.0</v>
      </c>
      <c r="C938" s="25">
        <v>137.5</v>
      </c>
      <c r="D938" s="25">
        <v>120.1</v>
      </c>
      <c r="E938" s="25">
        <v>131.2</v>
      </c>
      <c r="F938" s="25">
        <v>3435519.0</v>
      </c>
    </row>
    <row r="939">
      <c r="A939" s="25">
        <v>39734.645833333336</v>
      </c>
      <c r="B939" s="25">
        <v>131.99</v>
      </c>
      <c r="C939" s="25">
        <v>150.73</v>
      </c>
      <c r="D939" s="25">
        <v>131.2</v>
      </c>
      <c r="E939" s="25">
        <v>143.21</v>
      </c>
      <c r="F939" s="25">
        <v>3466506.0</v>
      </c>
    </row>
    <row r="940">
      <c r="A940" s="25">
        <v>39735.645833333336</v>
      </c>
      <c r="B940" s="25">
        <v>149.75</v>
      </c>
      <c r="C940" s="25">
        <v>154.85</v>
      </c>
      <c r="D940" s="25">
        <v>145.34</v>
      </c>
      <c r="E940" s="25">
        <v>148.18</v>
      </c>
      <c r="F940" s="25">
        <v>1856156.0</v>
      </c>
    </row>
    <row r="941">
      <c r="A941" s="25">
        <v>39736.645833333336</v>
      </c>
      <c r="B941" s="25">
        <v>146.25</v>
      </c>
      <c r="C941" s="25">
        <v>147.16</v>
      </c>
      <c r="D941" s="25">
        <v>133.82</v>
      </c>
      <c r="E941" s="25">
        <v>135.78</v>
      </c>
      <c r="F941" s="25">
        <v>1327188.0</v>
      </c>
    </row>
    <row r="942">
      <c r="A942" s="25">
        <v>39737.645833333336</v>
      </c>
      <c r="B942" s="25">
        <v>131.25</v>
      </c>
      <c r="C942" s="25">
        <v>132.18</v>
      </c>
      <c r="D942" s="25">
        <v>116.98</v>
      </c>
      <c r="E942" s="25">
        <v>123.75</v>
      </c>
      <c r="F942" s="25">
        <v>2007950.0</v>
      </c>
    </row>
    <row r="943">
      <c r="A943" s="25">
        <v>39738.645833333336</v>
      </c>
      <c r="B943" s="25">
        <v>125.0</v>
      </c>
      <c r="C943" s="25">
        <v>132.25</v>
      </c>
      <c r="D943" s="25">
        <v>111.25</v>
      </c>
      <c r="E943" s="25">
        <v>113.46</v>
      </c>
      <c r="F943" s="25">
        <v>2435885.0</v>
      </c>
    </row>
    <row r="944">
      <c r="A944" s="25">
        <v>39741.645833333336</v>
      </c>
      <c r="B944" s="25">
        <v>124.16</v>
      </c>
      <c r="C944" s="25">
        <v>126.25</v>
      </c>
      <c r="D944" s="25">
        <v>113.81</v>
      </c>
      <c r="E944" s="25">
        <v>122.84</v>
      </c>
      <c r="F944" s="25">
        <v>3103265.0</v>
      </c>
    </row>
    <row r="945">
      <c r="A945" s="25">
        <v>39742.645833333336</v>
      </c>
      <c r="B945" s="25">
        <v>134.6</v>
      </c>
      <c r="C945" s="25">
        <v>141.98</v>
      </c>
      <c r="D945" s="25">
        <v>123.34</v>
      </c>
      <c r="E945" s="25">
        <v>139.78</v>
      </c>
      <c r="F945" s="25">
        <v>2951225.0</v>
      </c>
    </row>
    <row r="946">
      <c r="A946" s="25">
        <v>39743.645833333336</v>
      </c>
      <c r="B946" s="25">
        <v>138.75</v>
      </c>
      <c r="C946" s="25">
        <v>138.75</v>
      </c>
      <c r="D946" s="25">
        <v>127.78</v>
      </c>
      <c r="E946" s="25">
        <v>136.66</v>
      </c>
      <c r="F946" s="25">
        <v>1505167.0</v>
      </c>
    </row>
    <row r="947">
      <c r="A947" s="25">
        <v>39744.645833333336</v>
      </c>
      <c r="B947" s="25">
        <v>131.16</v>
      </c>
      <c r="C947" s="25">
        <v>147.0</v>
      </c>
      <c r="D947" s="25">
        <v>125.31</v>
      </c>
      <c r="E947" s="25">
        <v>136.82</v>
      </c>
      <c r="F947" s="25">
        <v>2625254.0</v>
      </c>
    </row>
    <row r="948">
      <c r="A948" s="25">
        <v>39745.645833333336</v>
      </c>
      <c r="B948" s="25">
        <v>125.93</v>
      </c>
      <c r="C948" s="25">
        <v>134.1</v>
      </c>
      <c r="D948" s="25">
        <v>110.0</v>
      </c>
      <c r="E948" s="25">
        <v>124.71</v>
      </c>
      <c r="F948" s="25">
        <v>2119984.0</v>
      </c>
    </row>
    <row r="949">
      <c r="A949" s="25">
        <v>39748.645833333336</v>
      </c>
      <c r="B949" s="25">
        <v>120.25</v>
      </c>
      <c r="C949" s="25">
        <v>129.5</v>
      </c>
      <c r="D949" s="25">
        <v>103.84</v>
      </c>
      <c r="E949" s="25">
        <v>124.19</v>
      </c>
      <c r="F949" s="25">
        <v>2243144.0</v>
      </c>
    </row>
    <row r="950">
      <c r="A950" s="25">
        <v>39750.645833333336</v>
      </c>
      <c r="B950" s="25">
        <v>140.5</v>
      </c>
      <c r="C950" s="25">
        <v>143.75</v>
      </c>
      <c r="D950" s="25">
        <v>132.56</v>
      </c>
      <c r="E950" s="25">
        <v>135.2</v>
      </c>
      <c r="F950" s="25">
        <v>2738893.0</v>
      </c>
    </row>
    <row r="951">
      <c r="A951" s="25">
        <v>39752.645833333336</v>
      </c>
      <c r="B951" s="25">
        <v>142.25</v>
      </c>
      <c r="C951" s="25">
        <v>148.75</v>
      </c>
      <c r="D951" s="25">
        <v>132.44</v>
      </c>
      <c r="E951" s="25">
        <v>134.38</v>
      </c>
      <c r="F951" s="25">
        <v>2593995.0</v>
      </c>
    </row>
    <row r="952">
      <c r="A952" s="25">
        <v>39755.645833333336</v>
      </c>
      <c r="B952" s="25">
        <v>139.99</v>
      </c>
      <c r="C952" s="25">
        <v>145.75</v>
      </c>
      <c r="D952" s="25">
        <v>131.76</v>
      </c>
      <c r="E952" s="25">
        <v>136.85</v>
      </c>
      <c r="F952" s="25">
        <v>1883005.0</v>
      </c>
    </row>
    <row r="953">
      <c r="A953" s="25">
        <v>39756.645833333336</v>
      </c>
      <c r="B953" s="25">
        <v>149.15</v>
      </c>
      <c r="C953" s="25">
        <v>149.15</v>
      </c>
      <c r="D953" s="25">
        <v>122.5</v>
      </c>
      <c r="E953" s="25">
        <v>127.13</v>
      </c>
      <c r="F953" s="25">
        <v>2355635.0</v>
      </c>
    </row>
    <row r="954">
      <c r="A954" s="25">
        <v>39757.645833333336</v>
      </c>
      <c r="B954" s="25">
        <v>128.75</v>
      </c>
      <c r="C954" s="25">
        <v>137.23</v>
      </c>
      <c r="D954" s="25">
        <v>125.0</v>
      </c>
      <c r="E954" s="25">
        <v>126.6</v>
      </c>
      <c r="F954" s="25">
        <v>2308291.0</v>
      </c>
    </row>
    <row r="955">
      <c r="A955" s="25">
        <v>39758.645833333336</v>
      </c>
      <c r="B955" s="25">
        <v>132.13</v>
      </c>
      <c r="C955" s="25">
        <v>132.13</v>
      </c>
      <c r="D955" s="25">
        <v>120.53</v>
      </c>
      <c r="E955" s="25">
        <v>125.05</v>
      </c>
      <c r="F955" s="25">
        <v>1965479.0</v>
      </c>
    </row>
    <row r="956">
      <c r="A956" s="25">
        <v>39759.645833333336</v>
      </c>
      <c r="B956" s="25">
        <v>125.0</v>
      </c>
      <c r="C956" s="25">
        <v>133.75</v>
      </c>
      <c r="D956" s="25">
        <v>121.44</v>
      </c>
      <c r="E956" s="25">
        <v>131.29</v>
      </c>
      <c r="F956" s="25">
        <v>1469430.0</v>
      </c>
    </row>
    <row r="957">
      <c r="A957" s="25">
        <v>39762.645833333336</v>
      </c>
      <c r="B957" s="25">
        <v>137.48</v>
      </c>
      <c r="C957" s="25">
        <v>138.13</v>
      </c>
      <c r="D957" s="25">
        <v>128.76</v>
      </c>
      <c r="E957" s="25">
        <v>136.61</v>
      </c>
      <c r="F957" s="25">
        <v>1024754.0</v>
      </c>
    </row>
    <row r="958">
      <c r="A958" s="25">
        <v>39763.645833333336</v>
      </c>
      <c r="B958" s="25">
        <v>135.5</v>
      </c>
      <c r="C958" s="25">
        <v>136.94</v>
      </c>
      <c r="D958" s="25">
        <v>130.0</v>
      </c>
      <c r="E958" s="25">
        <v>132.21</v>
      </c>
      <c r="F958" s="25">
        <v>1624694.0</v>
      </c>
    </row>
    <row r="959">
      <c r="A959" s="25">
        <v>39764.645833333336</v>
      </c>
      <c r="B959" s="25">
        <v>132.21</v>
      </c>
      <c r="C959" s="25">
        <v>138.61</v>
      </c>
      <c r="D959" s="25">
        <v>128.76</v>
      </c>
      <c r="E959" s="25">
        <v>133.73</v>
      </c>
      <c r="F959" s="25">
        <v>1935511.0</v>
      </c>
    </row>
    <row r="960">
      <c r="A960" s="25">
        <v>39766.645833333336</v>
      </c>
      <c r="B960" s="25">
        <v>136.25</v>
      </c>
      <c r="C960" s="25">
        <v>137.13</v>
      </c>
      <c r="D960" s="25">
        <v>130.88</v>
      </c>
      <c r="E960" s="25">
        <v>132.71</v>
      </c>
      <c r="F960" s="25">
        <v>1654366.0</v>
      </c>
    </row>
    <row r="961">
      <c r="A961" s="25">
        <v>39769.645833333336</v>
      </c>
      <c r="B961" s="25">
        <v>132.25</v>
      </c>
      <c r="C961" s="25">
        <v>134.25</v>
      </c>
      <c r="D961" s="25">
        <v>126.38</v>
      </c>
      <c r="E961" s="25">
        <v>129.75</v>
      </c>
      <c r="F961" s="25">
        <v>2022743.0</v>
      </c>
    </row>
    <row r="962">
      <c r="A962" s="25">
        <v>39770.645833333336</v>
      </c>
      <c r="B962" s="25">
        <v>130.0</v>
      </c>
      <c r="C962" s="25">
        <v>130.0</v>
      </c>
      <c r="D962" s="25">
        <v>120.0</v>
      </c>
      <c r="E962" s="25">
        <v>120.79</v>
      </c>
      <c r="F962" s="25">
        <v>2438788.0</v>
      </c>
    </row>
    <row r="963">
      <c r="A963" s="25">
        <v>39771.645833333336</v>
      </c>
      <c r="B963" s="25">
        <v>122.5</v>
      </c>
      <c r="C963" s="25">
        <v>124.0</v>
      </c>
      <c r="D963" s="25">
        <v>117.93</v>
      </c>
      <c r="E963" s="25">
        <v>120.66</v>
      </c>
      <c r="F963" s="25">
        <v>2043772.0</v>
      </c>
    </row>
    <row r="964">
      <c r="A964" s="25">
        <v>39773.645833333336</v>
      </c>
      <c r="B964" s="25">
        <v>117.43</v>
      </c>
      <c r="C964" s="25">
        <v>129.25</v>
      </c>
      <c r="D964" s="25">
        <v>115.0</v>
      </c>
      <c r="E964" s="25">
        <v>126.61</v>
      </c>
      <c r="F964" s="25">
        <v>1711423.0</v>
      </c>
    </row>
    <row r="965">
      <c r="A965" s="25">
        <v>39776.645833333336</v>
      </c>
      <c r="B965" s="25">
        <v>126.0</v>
      </c>
      <c r="C965" s="25">
        <v>132.91</v>
      </c>
      <c r="D965" s="25">
        <v>122.56</v>
      </c>
      <c r="E965" s="25">
        <v>129.98</v>
      </c>
      <c r="F965" s="25">
        <v>2092639.0</v>
      </c>
    </row>
    <row r="966">
      <c r="A966" s="25">
        <v>39777.645833333336</v>
      </c>
      <c r="B966" s="25">
        <v>129.78</v>
      </c>
      <c r="C966" s="25">
        <v>134.99</v>
      </c>
      <c r="D966" s="25">
        <v>125.01</v>
      </c>
      <c r="E966" s="25">
        <v>126.0</v>
      </c>
      <c r="F966" s="25">
        <v>1443505.0</v>
      </c>
    </row>
    <row r="967">
      <c r="A967" s="25">
        <v>39778.645833333336</v>
      </c>
      <c r="B967" s="25">
        <v>125.81</v>
      </c>
      <c r="C967" s="25">
        <v>132.5</v>
      </c>
      <c r="D967" s="25">
        <v>124.29</v>
      </c>
      <c r="E967" s="25">
        <v>131.86</v>
      </c>
      <c r="F967" s="25">
        <v>1533889.0</v>
      </c>
    </row>
    <row r="968">
      <c r="A968" s="25">
        <v>39780.645833333336</v>
      </c>
      <c r="B968" s="25">
        <v>129.5</v>
      </c>
      <c r="C968" s="25">
        <v>142.0</v>
      </c>
      <c r="D968" s="25">
        <v>129.5</v>
      </c>
      <c r="E968" s="25">
        <v>139.85</v>
      </c>
      <c r="F968" s="25">
        <v>3034516.0</v>
      </c>
    </row>
    <row r="969">
      <c r="A969" s="25">
        <v>39783.645833333336</v>
      </c>
      <c r="B969" s="25">
        <v>139.85</v>
      </c>
      <c r="C969" s="25">
        <v>148.44</v>
      </c>
      <c r="D969" s="25">
        <v>139.09</v>
      </c>
      <c r="E969" s="25">
        <v>141.04</v>
      </c>
      <c r="F969" s="25">
        <v>2989676.0</v>
      </c>
    </row>
    <row r="970">
      <c r="A970" s="25">
        <v>39784.645833333336</v>
      </c>
      <c r="B970" s="25">
        <v>142.5</v>
      </c>
      <c r="C970" s="25">
        <v>142.5</v>
      </c>
      <c r="D970" s="25">
        <v>130.76</v>
      </c>
      <c r="E970" s="25">
        <v>133.21</v>
      </c>
      <c r="F970" s="25">
        <v>1664702.0</v>
      </c>
    </row>
    <row r="971">
      <c r="A971" s="25">
        <v>39785.645833333336</v>
      </c>
      <c r="B971" s="25">
        <v>134.09</v>
      </c>
      <c r="C971" s="25">
        <v>137.93</v>
      </c>
      <c r="D971" s="25">
        <v>130.4</v>
      </c>
      <c r="E971" s="25">
        <v>133.7</v>
      </c>
      <c r="F971" s="25">
        <v>2499498.0</v>
      </c>
    </row>
    <row r="972">
      <c r="A972" s="25">
        <v>39786.645833333336</v>
      </c>
      <c r="B972" s="25">
        <v>133.75</v>
      </c>
      <c r="C972" s="25">
        <v>138.43</v>
      </c>
      <c r="D972" s="25">
        <v>125.84</v>
      </c>
      <c r="E972" s="25">
        <v>137.35</v>
      </c>
      <c r="F972" s="25">
        <v>2064127.0</v>
      </c>
    </row>
    <row r="973">
      <c r="A973" s="25">
        <v>39787.645833333336</v>
      </c>
      <c r="B973" s="25">
        <v>134.6</v>
      </c>
      <c r="C973" s="25">
        <v>136.32</v>
      </c>
      <c r="D973" s="25">
        <v>129.56</v>
      </c>
      <c r="E973" s="25">
        <v>130.45</v>
      </c>
      <c r="F973" s="25">
        <v>1776362.0</v>
      </c>
    </row>
    <row r="974">
      <c r="A974" s="25">
        <v>39790.645833333336</v>
      </c>
      <c r="B974" s="25">
        <v>133.75</v>
      </c>
      <c r="C974" s="25">
        <v>136.56</v>
      </c>
      <c r="D974" s="25">
        <v>128.1</v>
      </c>
      <c r="E974" s="25">
        <v>130.56</v>
      </c>
      <c r="F974" s="25">
        <v>1905351.0</v>
      </c>
    </row>
    <row r="975">
      <c r="A975" s="25">
        <v>39792.645833333336</v>
      </c>
      <c r="B975" s="25">
        <v>137.45</v>
      </c>
      <c r="C975" s="25">
        <v>139.2</v>
      </c>
      <c r="D975" s="25">
        <v>132.38</v>
      </c>
      <c r="E975" s="25">
        <v>135.26</v>
      </c>
      <c r="F975" s="25">
        <v>2022095.0</v>
      </c>
    </row>
    <row r="976">
      <c r="A976" s="25">
        <v>39793.645833333336</v>
      </c>
      <c r="B976" s="25">
        <v>137.43</v>
      </c>
      <c r="C976" s="25">
        <v>137.43</v>
      </c>
      <c r="D976" s="25">
        <v>125.5</v>
      </c>
      <c r="E976" s="25">
        <v>126.91</v>
      </c>
      <c r="F976" s="25">
        <v>1825063.0</v>
      </c>
    </row>
    <row r="977">
      <c r="A977" s="25">
        <v>39794.645833333336</v>
      </c>
      <c r="B977" s="25">
        <v>127.49</v>
      </c>
      <c r="C977" s="25">
        <v>127.49</v>
      </c>
      <c r="D977" s="25">
        <v>118.81</v>
      </c>
      <c r="E977" s="25">
        <v>120.33</v>
      </c>
      <c r="F977" s="25">
        <v>1780259.0</v>
      </c>
    </row>
    <row r="978">
      <c r="A978" s="25">
        <v>39797.645833333336</v>
      </c>
      <c r="B978" s="25">
        <v>125.5</v>
      </c>
      <c r="C978" s="25">
        <v>125.5</v>
      </c>
      <c r="D978" s="25">
        <v>116.81</v>
      </c>
      <c r="E978" s="25">
        <v>117.41</v>
      </c>
      <c r="F978" s="25">
        <v>1499429.0</v>
      </c>
    </row>
    <row r="979">
      <c r="A979" s="25">
        <v>39798.645833333336</v>
      </c>
      <c r="B979" s="25">
        <v>117.5</v>
      </c>
      <c r="C979" s="25">
        <v>121.23</v>
      </c>
      <c r="D979" s="25">
        <v>116.25</v>
      </c>
      <c r="E979" s="25">
        <v>119.84</v>
      </c>
      <c r="F979" s="25">
        <v>1461967.0</v>
      </c>
    </row>
    <row r="980">
      <c r="A980" s="25">
        <v>39799.645833333336</v>
      </c>
      <c r="B980" s="25">
        <v>121.34</v>
      </c>
      <c r="C980" s="25">
        <v>123.0</v>
      </c>
      <c r="D980" s="25">
        <v>118.0</v>
      </c>
      <c r="E980" s="25">
        <v>119.33</v>
      </c>
      <c r="F980" s="25">
        <v>1619017.0</v>
      </c>
    </row>
    <row r="981">
      <c r="A981" s="25">
        <v>39800.645833333336</v>
      </c>
      <c r="B981" s="25">
        <v>118.73</v>
      </c>
      <c r="C981" s="25">
        <v>128.53</v>
      </c>
      <c r="D981" s="25">
        <v>118.0</v>
      </c>
      <c r="E981" s="25">
        <v>127.63</v>
      </c>
      <c r="F981" s="25">
        <v>1430984.0</v>
      </c>
    </row>
    <row r="982">
      <c r="A982" s="25">
        <v>39801.645833333336</v>
      </c>
      <c r="B982" s="25">
        <v>125.75</v>
      </c>
      <c r="C982" s="25">
        <v>133.5</v>
      </c>
      <c r="D982" s="25">
        <v>123.53</v>
      </c>
      <c r="E982" s="25">
        <v>128.39</v>
      </c>
      <c r="F982" s="25">
        <v>1235997.0</v>
      </c>
    </row>
    <row r="983">
      <c r="A983" s="25">
        <v>39804.645833333336</v>
      </c>
      <c r="B983" s="25">
        <v>129.88</v>
      </c>
      <c r="C983" s="25">
        <v>129.88</v>
      </c>
      <c r="D983" s="25">
        <v>125.85</v>
      </c>
      <c r="E983" s="25">
        <v>127.64</v>
      </c>
      <c r="F983" s="25">
        <v>1026713.0</v>
      </c>
    </row>
    <row r="984">
      <c r="A984" s="25">
        <v>39805.645833333336</v>
      </c>
      <c r="B984" s="25">
        <v>123.8</v>
      </c>
      <c r="C984" s="25">
        <v>127.9</v>
      </c>
      <c r="D984" s="25">
        <v>123.06</v>
      </c>
      <c r="E984" s="25">
        <v>125.15</v>
      </c>
      <c r="F984" s="25">
        <v>891780.0</v>
      </c>
    </row>
    <row r="985">
      <c r="A985" s="25">
        <v>39806.645833333336</v>
      </c>
      <c r="B985" s="25">
        <v>124.18</v>
      </c>
      <c r="C985" s="25">
        <v>126.19</v>
      </c>
      <c r="D985" s="25">
        <v>118.06</v>
      </c>
      <c r="E985" s="25">
        <v>119.54</v>
      </c>
      <c r="F985" s="25">
        <v>2287109.0</v>
      </c>
    </row>
    <row r="986">
      <c r="A986" s="25">
        <v>39808.645833333336</v>
      </c>
      <c r="B986" s="25">
        <v>116.3</v>
      </c>
      <c r="C986" s="25">
        <v>123.75</v>
      </c>
      <c r="D986" s="25">
        <v>116.3</v>
      </c>
      <c r="E986" s="25">
        <v>117.91</v>
      </c>
      <c r="F986" s="25">
        <v>788641.0</v>
      </c>
    </row>
    <row r="987">
      <c r="A987" s="25">
        <v>39811.645833333336</v>
      </c>
      <c r="B987" s="25">
        <v>119.0</v>
      </c>
      <c r="C987" s="25">
        <v>119.88</v>
      </c>
      <c r="D987" s="25">
        <v>115.0</v>
      </c>
      <c r="E987" s="25">
        <v>119.2</v>
      </c>
      <c r="F987" s="25">
        <v>1218902.0</v>
      </c>
    </row>
    <row r="988">
      <c r="A988" s="25">
        <v>39812.645833333336</v>
      </c>
      <c r="B988" s="25">
        <v>121.25</v>
      </c>
      <c r="C988" s="25">
        <v>123.38</v>
      </c>
      <c r="D988" s="25">
        <v>117.5</v>
      </c>
      <c r="E988" s="25">
        <v>120.64</v>
      </c>
      <c r="F988" s="25">
        <v>880632.0</v>
      </c>
    </row>
    <row r="989">
      <c r="A989" s="25">
        <v>39813.645833333336</v>
      </c>
      <c r="B989" s="25">
        <v>123.08</v>
      </c>
      <c r="C989" s="25">
        <v>123.08</v>
      </c>
      <c r="D989" s="25">
        <v>118.06</v>
      </c>
      <c r="E989" s="25">
        <v>119.48</v>
      </c>
      <c r="F989" s="25">
        <v>635924.0</v>
      </c>
    </row>
    <row r="990">
      <c r="A990" s="25">
        <v>39814.645833333336</v>
      </c>
      <c r="B990" s="25">
        <v>120.0</v>
      </c>
      <c r="C990" s="25">
        <v>124.71</v>
      </c>
      <c r="D990" s="25">
        <v>119.29</v>
      </c>
      <c r="E990" s="25">
        <v>124.21</v>
      </c>
      <c r="F990" s="25">
        <v>609108.0</v>
      </c>
    </row>
    <row r="991">
      <c r="A991" s="25">
        <v>39815.645833333336</v>
      </c>
      <c r="B991" s="25">
        <v>124.26</v>
      </c>
      <c r="C991" s="25">
        <v>127.18</v>
      </c>
      <c r="D991" s="25">
        <v>123.54</v>
      </c>
      <c r="E991" s="25">
        <v>124.58</v>
      </c>
      <c r="F991" s="25">
        <v>1343935.0</v>
      </c>
    </row>
    <row r="992">
      <c r="A992" s="25">
        <v>39818.645833333336</v>
      </c>
      <c r="B992" s="25">
        <v>125.5</v>
      </c>
      <c r="C992" s="25">
        <v>130.75</v>
      </c>
      <c r="D992" s="25">
        <v>124.5</v>
      </c>
      <c r="E992" s="25">
        <v>128.81</v>
      </c>
      <c r="F992" s="25">
        <v>1207444.0</v>
      </c>
    </row>
    <row r="993">
      <c r="A993" s="25">
        <v>39819.645833333336</v>
      </c>
      <c r="B993" s="25">
        <v>128.75</v>
      </c>
      <c r="C993" s="25">
        <v>130.5</v>
      </c>
      <c r="D993" s="25">
        <v>124.56</v>
      </c>
      <c r="E993" s="25">
        <v>126.6</v>
      </c>
      <c r="F993" s="25">
        <v>1479748.0</v>
      </c>
    </row>
    <row r="994">
      <c r="A994" s="25">
        <v>39820.645833333336</v>
      </c>
      <c r="B994" s="25">
        <v>129.75</v>
      </c>
      <c r="C994" s="25">
        <v>129.95</v>
      </c>
      <c r="D994" s="25">
        <v>116.15</v>
      </c>
      <c r="E994" s="25">
        <v>126.2</v>
      </c>
      <c r="F994" s="25">
        <v>2253457.0</v>
      </c>
    </row>
    <row r="995">
      <c r="A995" s="25">
        <v>39822.645833333336</v>
      </c>
      <c r="B995" s="25">
        <v>124.98</v>
      </c>
      <c r="C995" s="25">
        <v>137.45</v>
      </c>
      <c r="D995" s="25">
        <v>121.25</v>
      </c>
      <c r="E995" s="25">
        <v>134.24</v>
      </c>
      <c r="F995" s="25">
        <v>3554995.0</v>
      </c>
    </row>
    <row r="996">
      <c r="A996" s="25">
        <v>39825.645833333336</v>
      </c>
      <c r="B996" s="25">
        <v>127.91</v>
      </c>
      <c r="C996" s="25">
        <v>132.5</v>
      </c>
      <c r="D996" s="25">
        <v>126.28</v>
      </c>
      <c r="E996" s="25">
        <v>128.14</v>
      </c>
      <c r="F996" s="25">
        <v>1898854.0</v>
      </c>
    </row>
    <row r="997">
      <c r="A997" s="25">
        <v>39826.645833333336</v>
      </c>
      <c r="B997" s="25">
        <v>124.9</v>
      </c>
      <c r="C997" s="25">
        <v>134.25</v>
      </c>
      <c r="D997" s="25">
        <v>122.05</v>
      </c>
      <c r="E997" s="25">
        <v>131.41</v>
      </c>
      <c r="F997" s="25">
        <v>3339952.0</v>
      </c>
    </row>
    <row r="998">
      <c r="A998" s="25">
        <v>39827.645833333336</v>
      </c>
      <c r="B998" s="25">
        <v>132.0</v>
      </c>
      <c r="C998" s="25">
        <v>139.4</v>
      </c>
      <c r="D998" s="25">
        <v>132.0</v>
      </c>
      <c r="E998" s="25">
        <v>134.74</v>
      </c>
      <c r="F998" s="25">
        <v>1489726.0</v>
      </c>
    </row>
    <row r="999">
      <c r="A999" s="25">
        <v>39828.645833333336</v>
      </c>
      <c r="B999" s="25">
        <v>130.0</v>
      </c>
      <c r="C999" s="25">
        <v>130.75</v>
      </c>
      <c r="D999" s="25">
        <v>124.59</v>
      </c>
      <c r="E999" s="25">
        <v>127.61</v>
      </c>
      <c r="F999" s="25">
        <v>1792881.0</v>
      </c>
    </row>
    <row r="1000">
      <c r="A1000" s="25">
        <v>39829.645833333336</v>
      </c>
      <c r="B1000" s="25">
        <v>127.18</v>
      </c>
      <c r="C1000" s="25">
        <v>129.75</v>
      </c>
      <c r="D1000" s="25">
        <v>121.63</v>
      </c>
      <c r="E1000" s="25">
        <v>125.75</v>
      </c>
      <c r="F1000" s="25">
        <v>2447519.0</v>
      </c>
    </row>
    <row r="1001">
      <c r="A1001" s="25">
        <v>39832.645833333336</v>
      </c>
      <c r="B1001" s="25">
        <v>129.48</v>
      </c>
      <c r="C1001" s="25">
        <v>129.48</v>
      </c>
      <c r="D1001" s="25">
        <v>121.83</v>
      </c>
      <c r="E1001" s="25">
        <v>125.19</v>
      </c>
      <c r="F1001" s="25">
        <v>1717094.0</v>
      </c>
    </row>
    <row r="1002">
      <c r="A1002" s="25">
        <v>39833.645833333336</v>
      </c>
      <c r="B1002" s="25">
        <v>123.68</v>
      </c>
      <c r="C1002" s="25">
        <v>126.98</v>
      </c>
      <c r="D1002" s="25">
        <v>122.5</v>
      </c>
      <c r="E1002" s="25">
        <v>124.11</v>
      </c>
      <c r="F1002" s="25">
        <v>1158799.0</v>
      </c>
    </row>
    <row r="1003">
      <c r="A1003" s="25">
        <v>39834.645833333336</v>
      </c>
      <c r="B1003" s="25">
        <v>122.75</v>
      </c>
      <c r="C1003" s="25">
        <v>125.25</v>
      </c>
      <c r="D1003" s="25">
        <v>121.25</v>
      </c>
      <c r="E1003" s="25">
        <v>123.08</v>
      </c>
      <c r="F1003" s="25">
        <v>917465.0</v>
      </c>
    </row>
    <row r="1004">
      <c r="A1004" s="25">
        <v>39835.645833333336</v>
      </c>
      <c r="B1004" s="25">
        <v>123.75</v>
      </c>
      <c r="C1004" s="25">
        <v>126.01</v>
      </c>
      <c r="D1004" s="25">
        <v>120.79</v>
      </c>
      <c r="E1004" s="25">
        <v>124.15</v>
      </c>
      <c r="F1004" s="25">
        <v>1212034.0</v>
      </c>
    </row>
    <row r="1005">
      <c r="A1005" s="25">
        <v>39836.645833333336</v>
      </c>
      <c r="B1005" s="25">
        <v>122.53</v>
      </c>
      <c r="C1005" s="25">
        <v>124.73</v>
      </c>
      <c r="D1005" s="25">
        <v>120.83</v>
      </c>
      <c r="E1005" s="25">
        <v>121.54</v>
      </c>
      <c r="F1005" s="25">
        <v>757805.0</v>
      </c>
    </row>
    <row r="1006">
      <c r="A1006" s="25">
        <v>39840.645833333336</v>
      </c>
      <c r="B1006" s="25">
        <v>122.75</v>
      </c>
      <c r="C1006" s="25">
        <v>128.75</v>
      </c>
      <c r="D1006" s="25">
        <v>122.75</v>
      </c>
      <c r="E1006" s="25">
        <v>124.78</v>
      </c>
      <c r="F1006" s="25">
        <v>1310989.0</v>
      </c>
    </row>
    <row r="1007">
      <c r="A1007" s="25">
        <v>39841.645833333336</v>
      </c>
      <c r="B1007" s="25">
        <v>118.8</v>
      </c>
      <c r="C1007" s="25">
        <v>127.5</v>
      </c>
      <c r="D1007" s="25">
        <v>118.8</v>
      </c>
      <c r="E1007" s="25">
        <v>126.86</v>
      </c>
      <c r="F1007" s="25">
        <v>1197349.0</v>
      </c>
    </row>
    <row r="1008">
      <c r="A1008" s="25">
        <v>39843.645833333336</v>
      </c>
      <c r="B1008" s="25">
        <v>126.25</v>
      </c>
      <c r="C1008" s="25">
        <v>128.75</v>
      </c>
      <c r="D1008" s="25">
        <v>124.58</v>
      </c>
      <c r="E1008" s="25">
        <v>127.9</v>
      </c>
      <c r="F1008" s="25">
        <v>2176881.0</v>
      </c>
    </row>
    <row r="1009">
      <c r="A1009" s="25">
        <v>39846.645833333336</v>
      </c>
      <c r="B1009" s="25">
        <v>127.2</v>
      </c>
      <c r="C1009" s="25">
        <v>127.2</v>
      </c>
      <c r="D1009" s="25">
        <v>121.79</v>
      </c>
      <c r="E1009" s="25">
        <v>122.83</v>
      </c>
      <c r="F1009" s="25">
        <v>808673.0</v>
      </c>
    </row>
    <row r="1010">
      <c r="A1010" s="25">
        <v>39847.645833333336</v>
      </c>
      <c r="B1010" s="25">
        <v>123.25</v>
      </c>
      <c r="C1010" s="25">
        <v>127.45</v>
      </c>
      <c r="D1010" s="25">
        <v>123.25</v>
      </c>
      <c r="E1010" s="25">
        <v>124.96</v>
      </c>
      <c r="F1010" s="25">
        <v>952140.0</v>
      </c>
    </row>
    <row r="1011">
      <c r="A1011" s="25">
        <v>39848.645833333336</v>
      </c>
      <c r="B1011" s="25">
        <v>125.75</v>
      </c>
      <c r="C1011" s="25">
        <v>128.23</v>
      </c>
      <c r="D1011" s="25">
        <v>123.25</v>
      </c>
      <c r="E1011" s="25">
        <v>124.66</v>
      </c>
      <c r="F1011" s="25">
        <v>621189.0</v>
      </c>
    </row>
    <row r="1012">
      <c r="A1012" s="25">
        <v>39849.645833333336</v>
      </c>
      <c r="B1012" s="25">
        <v>125.0</v>
      </c>
      <c r="C1012" s="25">
        <v>125.65</v>
      </c>
      <c r="D1012" s="25">
        <v>119.56</v>
      </c>
      <c r="E1012" s="25">
        <v>120.73</v>
      </c>
      <c r="F1012" s="25">
        <v>1085387.0</v>
      </c>
    </row>
    <row r="1013">
      <c r="A1013" s="25">
        <v>39850.645833333336</v>
      </c>
      <c r="B1013" s="25">
        <v>122.5</v>
      </c>
      <c r="C1013" s="25">
        <v>126.98</v>
      </c>
      <c r="D1013" s="25">
        <v>121.75</v>
      </c>
      <c r="E1013" s="25">
        <v>125.7</v>
      </c>
      <c r="F1013" s="25">
        <v>1710097.0</v>
      </c>
    </row>
    <row r="1014">
      <c r="A1014" s="25">
        <v>39853.645833333336</v>
      </c>
      <c r="B1014" s="25">
        <v>125.0</v>
      </c>
      <c r="C1014" s="25">
        <v>130.91</v>
      </c>
      <c r="D1014" s="25">
        <v>124.16</v>
      </c>
      <c r="E1014" s="25">
        <v>128.75</v>
      </c>
      <c r="F1014" s="25">
        <v>1148806.0</v>
      </c>
    </row>
    <row r="1015">
      <c r="A1015" s="25">
        <v>39854.645833333336</v>
      </c>
      <c r="B1015" s="25">
        <v>129.25</v>
      </c>
      <c r="C1015" s="25">
        <v>132.0</v>
      </c>
      <c r="D1015" s="25">
        <v>127.75</v>
      </c>
      <c r="E1015" s="25">
        <v>131.15</v>
      </c>
      <c r="F1015" s="25">
        <v>1697693.0</v>
      </c>
    </row>
    <row r="1016">
      <c r="A1016" s="25">
        <v>39855.645833333336</v>
      </c>
      <c r="B1016" s="25">
        <v>129.5</v>
      </c>
      <c r="C1016" s="25">
        <v>130.75</v>
      </c>
      <c r="D1016" s="25">
        <v>128.0</v>
      </c>
      <c r="E1016" s="25">
        <v>128.69</v>
      </c>
      <c r="F1016" s="25">
        <v>1125683.0</v>
      </c>
    </row>
    <row r="1017">
      <c r="A1017" s="25">
        <v>39856.645833333336</v>
      </c>
      <c r="B1017" s="25">
        <v>128.0</v>
      </c>
      <c r="C1017" s="25">
        <v>128.93</v>
      </c>
      <c r="D1017" s="25">
        <v>126.03</v>
      </c>
      <c r="E1017" s="25">
        <v>127.48</v>
      </c>
      <c r="F1017" s="25">
        <v>711093.0</v>
      </c>
    </row>
    <row r="1018">
      <c r="A1018" s="25">
        <v>39857.645833333336</v>
      </c>
      <c r="B1018" s="25">
        <v>127.5</v>
      </c>
      <c r="C1018" s="25">
        <v>130.0</v>
      </c>
      <c r="D1018" s="25">
        <v>126.75</v>
      </c>
      <c r="E1018" s="25">
        <v>127.8</v>
      </c>
      <c r="F1018" s="25">
        <v>814302.0</v>
      </c>
    </row>
    <row r="1019">
      <c r="A1019" s="25">
        <v>39860.645833333336</v>
      </c>
      <c r="B1019" s="25">
        <v>126.9</v>
      </c>
      <c r="C1019" s="25">
        <v>128.74</v>
      </c>
      <c r="D1019" s="25">
        <v>124.5</v>
      </c>
      <c r="E1019" s="25">
        <v>125.19</v>
      </c>
      <c r="F1019" s="25">
        <v>625499.0</v>
      </c>
    </row>
    <row r="1020">
      <c r="A1020" s="25">
        <v>39861.645833333336</v>
      </c>
      <c r="B1020" s="25">
        <v>124.0</v>
      </c>
      <c r="C1020" s="25">
        <v>124.95</v>
      </c>
      <c r="D1020" s="25">
        <v>120.0</v>
      </c>
      <c r="E1020" s="25">
        <v>121.31</v>
      </c>
      <c r="F1020" s="25">
        <v>737597.0</v>
      </c>
    </row>
    <row r="1021">
      <c r="A1021" s="25">
        <v>39862.645833333336</v>
      </c>
      <c r="B1021" s="25">
        <v>120.34</v>
      </c>
      <c r="C1021" s="25">
        <v>122.73</v>
      </c>
      <c r="D1021" s="25">
        <v>119.25</v>
      </c>
      <c r="E1021" s="25">
        <v>120.19</v>
      </c>
      <c r="F1021" s="25">
        <v>657353.0</v>
      </c>
    </row>
    <row r="1022">
      <c r="A1022" s="25">
        <v>39863.645833333336</v>
      </c>
      <c r="B1022" s="25">
        <v>120.5</v>
      </c>
      <c r="C1022" s="25">
        <v>123.2</v>
      </c>
      <c r="D1022" s="25">
        <v>119.75</v>
      </c>
      <c r="E1022" s="25">
        <v>122.38</v>
      </c>
      <c r="F1022" s="25">
        <v>869268.0</v>
      </c>
    </row>
    <row r="1023">
      <c r="A1023" s="25">
        <v>39864.645833333336</v>
      </c>
      <c r="B1023" s="25">
        <v>121.63</v>
      </c>
      <c r="C1023" s="25">
        <v>121.88</v>
      </c>
      <c r="D1023" s="25">
        <v>116.08</v>
      </c>
      <c r="E1023" s="25">
        <v>118.51</v>
      </c>
      <c r="F1023" s="25">
        <v>1192847.0</v>
      </c>
    </row>
    <row r="1024">
      <c r="A1024" s="25">
        <v>39868.645833333336</v>
      </c>
      <c r="B1024" s="25">
        <v>117.5</v>
      </c>
      <c r="C1024" s="25">
        <v>118.93</v>
      </c>
      <c r="D1024" s="25">
        <v>115.13</v>
      </c>
      <c r="E1024" s="25">
        <v>117.23</v>
      </c>
      <c r="F1024" s="25">
        <v>1123883.0</v>
      </c>
    </row>
    <row r="1025">
      <c r="A1025" s="25">
        <v>39869.645833333336</v>
      </c>
      <c r="B1025" s="25">
        <v>117.5</v>
      </c>
      <c r="C1025" s="25">
        <v>121.2</v>
      </c>
      <c r="D1025" s="25">
        <v>117.5</v>
      </c>
      <c r="E1025" s="25">
        <v>120.19</v>
      </c>
      <c r="F1025" s="25">
        <v>1379482.0</v>
      </c>
    </row>
    <row r="1026">
      <c r="A1026" s="25">
        <v>39870.645833333336</v>
      </c>
      <c r="B1026" s="25">
        <v>120.25</v>
      </c>
      <c r="C1026" s="25">
        <v>122.65</v>
      </c>
      <c r="D1026" s="25">
        <v>119.25</v>
      </c>
      <c r="E1026" s="25">
        <v>120.55</v>
      </c>
      <c r="F1026" s="25">
        <v>2202072.0</v>
      </c>
    </row>
    <row r="1027">
      <c r="A1027" s="25">
        <v>39871.645833333336</v>
      </c>
      <c r="B1027" s="25">
        <v>120.5</v>
      </c>
      <c r="C1027" s="25">
        <v>122.25</v>
      </c>
      <c r="D1027" s="25">
        <v>113.81</v>
      </c>
      <c r="E1027" s="25">
        <v>120.78</v>
      </c>
      <c r="F1027" s="25">
        <v>1687537.0</v>
      </c>
    </row>
    <row r="1028">
      <c r="A1028" s="25">
        <v>39874.645833333336</v>
      </c>
      <c r="B1028" s="25">
        <v>118.53</v>
      </c>
      <c r="C1028" s="25">
        <v>120.5</v>
      </c>
      <c r="D1028" s="25">
        <v>113.7</v>
      </c>
      <c r="E1028" s="25">
        <v>114.96</v>
      </c>
      <c r="F1028" s="25">
        <v>997236.0</v>
      </c>
    </row>
    <row r="1029">
      <c r="A1029" s="25">
        <v>39875.645833333336</v>
      </c>
      <c r="B1029" s="25">
        <v>113.0</v>
      </c>
      <c r="C1029" s="25">
        <v>116.5</v>
      </c>
      <c r="D1029" s="25">
        <v>109.84</v>
      </c>
      <c r="E1029" s="25">
        <v>111.55</v>
      </c>
      <c r="F1029" s="25">
        <v>890224.0</v>
      </c>
    </row>
    <row r="1030">
      <c r="A1030" s="25">
        <v>39876.645833333336</v>
      </c>
      <c r="B1030" s="25">
        <v>112.0</v>
      </c>
      <c r="C1030" s="25">
        <v>116.11</v>
      </c>
      <c r="D1030" s="25">
        <v>111.55</v>
      </c>
      <c r="E1030" s="25">
        <v>115.14</v>
      </c>
      <c r="F1030" s="25">
        <v>814575.0</v>
      </c>
    </row>
    <row r="1031">
      <c r="A1031" s="25">
        <v>39877.645833333336</v>
      </c>
      <c r="B1031" s="25">
        <v>116.24</v>
      </c>
      <c r="C1031" s="25">
        <v>117.73</v>
      </c>
      <c r="D1031" s="25">
        <v>114.5</v>
      </c>
      <c r="E1031" s="25">
        <v>115.8</v>
      </c>
      <c r="F1031" s="25">
        <v>1071124.0</v>
      </c>
    </row>
    <row r="1032">
      <c r="A1032" s="25">
        <v>39878.645833333336</v>
      </c>
      <c r="B1032" s="25">
        <v>115.0</v>
      </c>
      <c r="C1032" s="25">
        <v>121.21</v>
      </c>
      <c r="D1032" s="25">
        <v>114.41</v>
      </c>
      <c r="E1032" s="25">
        <v>120.43</v>
      </c>
      <c r="F1032" s="25">
        <v>1451401.0</v>
      </c>
    </row>
    <row r="1033">
      <c r="A1033" s="25">
        <v>39881.645833333336</v>
      </c>
      <c r="B1033" s="25">
        <v>117.78</v>
      </c>
      <c r="C1033" s="25">
        <v>120.0</v>
      </c>
      <c r="D1033" s="25">
        <v>114.75</v>
      </c>
      <c r="E1033" s="25">
        <v>115.75</v>
      </c>
      <c r="F1033" s="25">
        <v>1133796.0</v>
      </c>
    </row>
    <row r="1034">
      <c r="A1034" s="25">
        <v>39884.645833333336</v>
      </c>
      <c r="B1034" s="25">
        <v>115.41</v>
      </c>
      <c r="C1034" s="25">
        <v>121.25</v>
      </c>
      <c r="D1034" s="25">
        <v>115.41</v>
      </c>
      <c r="E1034" s="25">
        <v>119.35</v>
      </c>
      <c r="F1034" s="25">
        <v>2154364.0</v>
      </c>
    </row>
    <row r="1035">
      <c r="A1035" s="25">
        <v>39885.645833333336</v>
      </c>
      <c r="B1035" s="25">
        <v>118.34</v>
      </c>
      <c r="C1035" s="25">
        <v>127.5</v>
      </c>
      <c r="D1035" s="25">
        <v>118.34</v>
      </c>
      <c r="E1035" s="25">
        <v>126.71</v>
      </c>
      <c r="F1035" s="25">
        <v>2549925.0</v>
      </c>
    </row>
    <row r="1036">
      <c r="A1036" s="25">
        <v>39888.645833333336</v>
      </c>
      <c r="B1036" s="25">
        <v>127.5</v>
      </c>
      <c r="C1036" s="25">
        <v>130.7</v>
      </c>
      <c r="D1036" s="25">
        <v>125.6</v>
      </c>
      <c r="E1036" s="25">
        <v>129.95</v>
      </c>
      <c r="F1036" s="25">
        <v>1168224.0</v>
      </c>
    </row>
    <row r="1037">
      <c r="A1037" s="25">
        <v>39889.645833333336</v>
      </c>
      <c r="B1037" s="25">
        <v>128.75</v>
      </c>
      <c r="C1037" s="25">
        <v>129.5</v>
      </c>
      <c r="D1037" s="25">
        <v>123.26</v>
      </c>
      <c r="E1037" s="25">
        <v>124.39</v>
      </c>
      <c r="F1037" s="25">
        <v>1736543.0</v>
      </c>
    </row>
    <row r="1038">
      <c r="A1038" s="25">
        <v>39890.645833333336</v>
      </c>
      <c r="B1038" s="25">
        <v>125.0</v>
      </c>
      <c r="C1038" s="25">
        <v>128.63</v>
      </c>
      <c r="D1038" s="25">
        <v>125.0</v>
      </c>
      <c r="E1038" s="25">
        <v>126.29</v>
      </c>
      <c r="F1038" s="25">
        <v>1603450.0</v>
      </c>
    </row>
    <row r="1039">
      <c r="A1039" s="25">
        <v>39891.645833333336</v>
      </c>
      <c r="B1039" s="25">
        <v>126.38</v>
      </c>
      <c r="C1039" s="25">
        <v>129.5</v>
      </c>
      <c r="D1039" s="25">
        <v>125.4</v>
      </c>
      <c r="E1039" s="25">
        <v>128.74</v>
      </c>
      <c r="F1039" s="25">
        <v>1845646.0</v>
      </c>
    </row>
    <row r="1040">
      <c r="A1040" s="25">
        <v>39892.645833333336</v>
      </c>
      <c r="B1040" s="25">
        <v>132.23</v>
      </c>
      <c r="C1040" s="25">
        <v>132.23</v>
      </c>
      <c r="D1040" s="25">
        <v>126.38</v>
      </c>
      <c r="E1040" s="25">
        <v>127.45</v>
      </c>
      <c r="F1040" s="25">
        <v>1034845.0</v>
      </c>
    </row>
    <row r="1041">
      <c r="A1041" s="25">
        <v>39895.645833333336</v>
      </c>
      <c r="B1041" s="25">
        <v>131.13</v>
      </c>
      <c r="C1041" s="25">
        <v>132.4</v>
      </c>
      <c r="D1041" s="25">
        <v>127.75</v>
      </c>
      <c r="E1041" s="25">
        <v>129.91</v>
      </c>
      <c r="F1041" s="25">
        <v>1146828.0</v>
      </c>
    </row>
    <row r="1042">
      <c r="A1042" s="25">
        <v>39896.645833333336</v>
      </c>
      <c r="B1042" s="25">
        <v>130.55</v>
      </c>
      <c r="C1042" s="25">
        <v>133.13</v>
      </c>
      <c r="D1042" s="25">
        <v>128.05</v>
      </c>
      <c r="E1042" s="25">
        <v>130.41</v>
      </c>
      <c r="F1042" s="25">
        <v>1670386.0</v>
      </c>
    </row>
    <row r="1043">
      <c r="A1043" s="25">
        <v>39897.645833333336</v>
      </c>
      <c r="B1043" s="25">
        <v>125.91</v>
      </c>
      <c r="C1043" s="25">
        <v>132.48</v>
      </c>
      <c r="D1043" s="25">
        <v>125.91</v>
      </c>
      <c r="E1043" s="25">
        <v>131.5</v>
      </c>
      <c r="F1043" s="25">
        <v>957904.0</v>
      </c>
    </row>
    <row r="1044">
      <c r="A1044" s="25">
        <v>39898.645833333336</v>
      </c>
      <c r="B1044" s="25">
        <v>128.16</v>
      </c>
      <c r="C1044" s="25">
        <v>144.49</v>
      </c>
      <c r="D1044" s="25">
        <v>128.16</v>
      </c>
      <c r="E1044" s="25">
        <v>139.61</v>
      </c>
      <c r="F1044" s="25">
        <v>3807582.0</v>
      </c>
    </row>
    <row r="1045">
      <c r="A1045" s="25">
        <v>39899.645833333336</v>
      </c>
      <c r="B1045" s="25">
        <v>134.16</v>
      </c>
      <c r="C1045" s="25">
        <v>146.25</v>
      </c>
      <c r="D1045" s="25">
        <v>134.16</v>
      </c>
      <c r="E1045" s="25">
        <v>143.71</v>
      </c>
      <c r="F1045" s="25">
        <v>1769856.0</v>
      </c>
    </row>
    <row r="1046">
      <c r="A1046" s="25">
        <v>39902.645833333336</v>
      </c>
      <c r="B1046" s="25">
        <v>133.44</v>
      </c>
      <c r="C1046" s="25">
        <v>142.5</v>
      </c>
      <c r="D1046" s="25">
        <v>129.5</v>
      </c>
      <c r="E1046" s="25">
        <v>130.81</v>
      </c>
      <c r="F1046" s="25">
        <v>1287047.0</v>
      </c>
    </row>
    <row r="1047">
      <c r="A1047" s="25">
        <v>39903.645833333336</v>
      </c>
      <c r="B1047" s="25">
        <v>131.25</v>
      </c>
      <c r="C1047" s="25">
        <v>135.98</v>
      </c>
      <c r="D1047" s="25">
        <v>131.25</v>
      </c>
      <c r="E1047" s="25">
        <v>134.64</v>
      </c>
      <c r="F1047" s="25">
        <v>1194418.0</v>
      </c>
    </row>
    <row r="1048">
      <c r="A1048" s="25">
        <v>39904.645833333336</v>
      </c>
      <c r="B1048" s="25">
        <v>134.0</v>
      </c>
      <c r="C1048" s="25">
        <v>138.45</v>
      </c>
      <c r="D1048" s="25">
        <v>130.13</v>
      </c>
      <c r="E1048" s="25">
        <v>136.13</v>
      </c>
      <c r="F1048" s="25">
        <v>1681142.0</v>
      </c>
    </row>
    <row r="1049">
      <c r="A1049" s="25">
        <v>39905.645833333336</v>
      </c>
      <c r="B1049" s="25">
        <v>136.41</v>
      </c>
      <c r="C1049" s="25">
        <v>146.75</v>
      </c>
      <c r="D1049" s="25">
        <v>136.41</v>
      </c>
      <c r="E1049" s="25">
        <v>144.69</v>
      </c>
      <c r="F1049" s="25">
        <v>2125941.0</v>
      </c>
    </row>
    <row r="1050">
      <c r="A1050" s="25">
        <v>39909.645833333336</v>
      </c>
      <c r="B1050" s="25">
        <v>146.2</v>
      </c>
      <c r="C1050" s="25">
        <v>148.5</v>
      </c>
      <c r="D1050" s="25">
        <v>143.93</v>
      </c>
      <c r="E1050" s="25">
        <v>144.89</v>
      </c>
      <c r="F1050" s="25">
        <v>1353645.0</v>
      </c>
    </row>
    <row r="1051">
      <c r="A1051" s="25">
        <v>39911.645833333336</v>
      </c>
      <c r="B1051" s="25">
        <v>146.28</v>
      </c>
      <c r="C1051" s="25">
        <v>153.43</v>
      </c>
      <c r="D1051" s="25">
        <v>140.25</v>
      </c>
      <c r="E1051" s="25">
        <v>151.04</v>
      </c>
      <c r="F1051" s="25">
        <v>2548378.0</v>
      </c>
    </row>
    <row r="1052">
      <c r="A1052" s="25">
        <v>39912.645833333336</v>
      </c>
      <c r="B1052" s="25">
        <v>153.0</v>
      </c>
      <c r="C1052" s="25">
        <v>154.98</v>
      </c>
      <c r="D1052" s="25">
        <v>148.56</v>
      </c>
      <c r="E1052" s="25">
        <v>150.64</v>
      </c>
      <c r="F1052" s="25">
        <v>1646681.0</v>
      </c>
    </row>
    <row r="1053">
      <c r="A1053" s="25">
        <v>39916.645833333336</v>
      </c>
      <c r="B1053" s="25">
        <v>151.13</v>
      </c>
      <c r="C1053" s="25">
        <v>152.25</v>
      </c>
      <c r="D1053" s="25">
        <v>143.8</v>
      </c>
      <c r="E1053" s="25">
        <v>148.06</v>
      </c>
      <c r="F1053" s="25">
        <v>1030252.0</v>
      </c>
    </row>
    <row r="1054">
      <c r="A1054" s="25">
        <v>39918.645833333336</v>
      </c>
      <c r="B1054" s="25">
        <v>137.89</v>
      </c>
      <c r="C1054" s="25">
        <v>145.45</v>
      </c>
      <c r="D1054" s="25">
        <v>137.51</v>
      </c>
      <c r="E1054" s="25">
        <v>144.43</v>
      </c>
      <c r="F1054" s="25">
        <v>2441809.0</v>
      </c>
    </row>
    <row r="1055">
      <c r="A1055" s="25">
        <v>39919.645833333336</v>
      </c>
      <c r="B1055" s="25">
        <v>145.0</v>
      </c>
      <c r="C1055" s="25">
        <v>147.25</v>
      </c>
      <c r="D1055" s="25">
        <v>141.8</v>
      </c>
      <c r="E1055" s="25">
        <v>143.01</v>
      </c>
      <c r="F1055" s="25">
        <v>2217241.0</v>
      </c>
    </row>
    <row r="1056">
      <c r="A1056" s="25">
        <v>39920.645833333336</v>
      </c>
      <c r="B1056" s="25">
        <v>144.2</v>
      </c>
      <c r="C1056" s="25">
        <v>149.88</v>
      </c>
      <c r="D1056" s="25">
        <v>141.28</v>
      </c>
      <c r="E1056" s="25">
        <v>143.28</v>
      </c>
      <c r="F1056" s="25">
        <v>1666006.0</v>
      </c>
    </row>
    <row r="1057">
      <c r="A1057" s="25">
        <v>39923.645833333336</v>
      </c>
      <c r="B1057" s="25">
        <v>138.19</v>
      </c>
      <c r="C1057" s="25">
        <v>145.45</v>
      </c>
      <c r="D1057" s="25">
        <v>138.19</v>
      </c>
      <c r="E1057" s="25">
        <v>140.35</v>
      </c>
      <c r="F1057" s="25">
        <v>1332550.0</v>
      </c>
    </row>
    <row r="1058">
      <c r="A1058" s="25">
        <v>39924.645833333336</v>
      </c>
      <c r="B1058" s="25">
        <v>144.9</v>
      </c>
      <c r="C1058" s="25">
        <v>147.13</v>
      </c>
      <c r="D1058" s="25">
        <v>136.25</v>
      </c>
      <c r="E1058" s="25">
        <v>137.69</v>
      </c>
      <c r="F1058" s="25">
        <v>2872245.0</v>
      </c>
    </row>
    <row r="1059">
      <c r="A1059" s="25">
        <v>39925.645833333336</v>
      </c>
      <c r="B1059" s="25">
        <v>140.0</v>
      </c>
      <c r="C1059" s="25">
        <v>141.15</v>
      </c>
      <c r="D1059" s="25">
        <v>134.29</v>
      </c>
      <c r="E1059" s="25">
        <v>135.74</v>
      </c>
      <c r="F1059" s="25">
        <v>1646231.0</v>
      </c>
    </row>
    <row r="1060">
      <c r="A1060" s="25">
        <v>39926.645833333336</v>
      </c>
      <c r="B1060" s="25">
        <v>137.38</v>
      </c>
      <c r="C1060" s="25">
        <v>143.21</v>
      </c>
      <c r="D1060" s="25">
        <v>136.3</v>
      </c>
      <c r="E1060" s="25">
        <v>142.03</v>
      </c>
      <c r="F1060" s="25">
        <v>1843428.0</v>
      </c>
    </row>
    <row r="1061">
      <c r="A1061" s="25">
        <v>39927.645833333336</v>
      </c>
      <c r="B1061" s="25">
        <v>139.99</v>
      </c>
      <c r="C1061" s="25">
        <v>146.75</v>
      </c>
      <c r="D1061" s="25">
        <v>139.99</v>
      </c>
      <c r="E1061" s="25">
        <v>145.98</v>
      </c>
      <c r="F1061" s="25">
        <v>1344381.0</v>
      </c>
    </row>
    <row r="1062">
      <c r="A1062" s="25">
        <v>39930.645833333336</v>
      </c>
      <c r="B1062" s="25">
        <v>145.96</v>
      </c>
      <c r="C1062" s="25">
        <v>152.2</v>
      </c>
      <c r="D1062" s="25">
        <v>143.13</v>
      </c>
      <c r="E1062" s="25">
        <v>150.48</v>
      </c>
      <c r="F1062" s="25">
        <v>2035281.0</v>
      </c>
    </row>
    <row r="1063">
      <c r="A1063" s="25">
        <v>39931.645833333336</v>
      </c>
      <c r="B1063" s="25">
        <v>149.78</v>
      </c>
      <c r="C1063" s="25">
        <v>151.96</v>
      </c>
      <c r="D1063" s="25">
        <v>144.09</v>
      </c>
      <c r="E1063" s="25">
        <v>149.63</v>
      </c>
      <c r="F1063" s="25">
        <v>2097173.0</v>
      </c>
    </row>
    <row r="1064">
      <c r="A1064" s="25">
        <v>39932.645833333336</v>
      </c>
      <c r="B1064" s="25">
        <v>150.5</v>
      </c>
      <c r="C1064" s="25">
        <v>157.25</v>
      </c>
      <c r="D1064" s="25">
        <v>150.5</v>
      </c>
      <c r="E1064" s="25">
        <v>155.9</v>
      </c>
      <c r="F1064" s="25">
        <v>2632823.0</v>
      </c>
    </row>
    <row r="1065">
      <c r="A1065" s="25">
        <v>39937.645833333336</v>
      </c>
      <c r="B1065" s="25">
        <v>157.75</v>
      </c>
      <c r="C1065" s="25">
        <v>174.9</v>
      </c>
      <c r="D1065" s="25">
        <v>157.54</v>
      </c>
      <c r="E1065" s="25">
        <v>166.6</v>
      </c>
      <c r="F1065" s="25">
        <v>2785734.0</v>
      </c>
    </row>
    <row r="1066">
      <c r="A1066" s="25">
        <v>39938.645833333336</v>
      </c>
      <c r="B1066" s="25">
        <v>167.25</v>
      </c>
      <c r="C1066" s="25">
        <v>168.74</v>
      </c>
      <c r="D1066" s="25">
        <v>159.03</v>
      </c>
      <c r="E1066" s="25">
        <v>162.75</v>
      </c>
      <c r="F1066" s="25">
        <v>2205579.0</v>
      </c>
    </row>
    <row r="1067">
      <c r="A1067" s="25">
        <v>39939.645833333336</v>
      </c>
      <c r="B1067" s="25">
        <v>159.56</v>
      </c>
      <c r="C1067" s="25">
        <v>162.43</v>
      </c>
      <c r="D1067" s="25">
        <v>153.75</v>
      </c>
      <c r="E1067" s="25">
        <v>158.84</v>
      </c>
      <c r="F1067" s="25">
        <v>1.3130524E7</v>
      </c>
    </row>
    <row r="1068">
      <c r="A1068" s="25">
        <v>39940.645833333336</v>
      </c>
      <c r="B1068" s="25">
        <v>159.0</v>
      </c>
      <c r="C1068" s="25">
        <v>161.25</v>
      </c>
      <c r="D1068" s="25">
        <v>154.82</v>
      </c>
      <c r="E1068" s="25">
        <v>157.93</v>
      </c>
      <c r="F1068" s="25">
        <v>1934716.0</v>
      </c>
    </row>
    <row r="1069">
      <c r="A1069" s="25">
        <v>39941.645833333336</v>
      </c>
      <c r="B1069" s="25">
        <v>157.0</v>
      </c>
      <c r="C1069" s="25">
        <v>160.5</v>
      </c>
      <c r="D1069" s="25">
        <v>154.63</v>
      </c>
      <c r="E1069" s="25">
        <v>157.74</v>
      </c>
      <c r="F1069" s="25">
        <v>2250438.0</v>
      </c>
    </row>
    <row r="1070">
      <c r="A1070" s="25">
        <v>39944.645833333336</v>
      </c>
      <c r="B1070" s="25">
        <v>159.63</v>
      </c>
      <c r="C1070" s="25">
        <v>159.91</v>
      </c>
      <c r="D1070" s="25">
        <v>152.25</v>
      </c>
      <c r="E1070" s="25">
        <v>153.81</v>
      </c>
      <c r="F1070" s="25">
        <v>1324653.0</v>
      </c>
    </row>
    <row r="1071">
      <c r="A1071" s="25">
        <v>39945.645833333336</v>
      </c>
      <c r="B1071" s="25">
        <v>152.5</v>
      </c>
      <c r="C1071" s="25">
        <v>161.45</v>
      </c>
      <c r="D1071" s="25">
        <v>152.5</v>
      </c>
      <c r="E1071" s="25">
        <v>160.28</v>
      </c>
      <c r="F1071" s="25">
        <v>2371863.0</v>
      </c>
    </row>
    <row r="1072">
      <c r="A1072" s="25">
        <v>39946.645833333336</v>
      </c>
      <c r="B1072" s="25">
        <v>160.5</v>
      </c>
      <c r="C1072" s="25">
        <v>161.23</v>
      </c>
      <c r="D1072" s="25">
        <v>153.75</v>
      </c>
      <c r="E1072" s="25">
        <v>155.43</v>
      </c>
      <c r="F1072" s="25">
        <v>1831200.0</v>
      </c>
    </row>
    <row r="1073">
      <c r="A1073" s="25">
        <v>39947.645833333336</v>
      </c>
      <c r="B1073" s="25">
        <v>154.5</v>
      </c>
      <c r="C1073" s="25">
        <v>156.75</v>
      </c>
      <c r="D1073" s="25">
        <v>151.32</v>
      </c>
      <c r="E1073" s="25">
        <v>154.95</v>
      </c>
      <c r="F1073" s="25">
        <v>2360794.0</v>
      </c>
    </row>
    <row r="1074">
      <c r="A1074" s="25">
        <v>39948.645833333336</v>
      </c>
      <c r="B1074" s="25">
        <v>156.0</v>
      </c>
      <c r="C1074" s="25">
        <v>163.71</v>
      </c>
      <c r="D1074" s="25">
        <v>156.0</v>
      </c>
      <c r="E1074" s="25">
        <v>161.01</v>
      </c>
      <c r="F1074" s="25">
        <v>2735618.0</v>
      </c>
    </row>
    <row r="1075">
      <c r="A1075" s="25">
        <v>39951.645833333336</v>
      </c>
      <c r="B1075" s="25">
        <v>191.65</v>
      </c>
      <c r="C1075" s="25">
        <v>197.9</v>
      </c>
      <c r="D1075" s="25">
        <v>173.75</v>
      </c>
      <c r="E1075" s="25">
        <v>185.96</v>
      </c>
      <c r="F1075" s="25">
        <v>18345.0</v>
      </c>
    </row>
    <row r="1076">
      <c r="A1076" s="25">
        <v>39952.645833333336</v>
      </c>
      <c r="B1076" s="25">
        <v>187.5</v>
      </c>
      <c r="C1076" s="25">
        <v>187.5</v>
      </c>
      <c r="D1076" s="25">
        <v>163.9</v>
      </c>
      <c r="E1076" s="25">
        <v>167.44</v>
      </c>
      <c r="F1076" s="25">
        <v>3253894.0</v>
      </c>
    </row>
    <row r="1077">
      <c r="A1077" s="25">
        <v>39953.645833333336</v>
      </c>
      <c r="B1077" s="25">
        <v>167.5</v>
      </c>
      <c r="C1077" s="25">
        <v>175.49</v>
      </c>
      <c r="D1077" s="25">
        <v>165.75</v>
      </c>
      <c r="E1077" s="25">
        <v>169.16</v>
      </c>
      <c r="F1077" s="25">
        <v>2126916.0</v>
      </c>
    </row>
    <row r="1078">
      <c r="A1078" s="25">
        <v>39954.645833333336</v>
      </c>
      <c r="B1078" s="25">
        <v>167.5</v>
      </c>
      <c r="C1078" s="25">
        <v>171.25</v>
      </c>
      <c r="D1078" s="25">
        <v>161.0</v>
      </c>
      <c r="E1078" s="25">
        <v>161.86</v>
      </c>
      <c r="F1078" s="25">
        <v>1114831.0</v>
      </c>
    </row>
    <row r="1079">
      <c r="A1079" s="25">
        <v>39955.645833333336</v>
      </c>
      <c r="B1079" s="25">
        <v>157.5</v>
      </c>
      <c r="C1079" s="25">
        <v>161.25</v>
      </c>
      <c r="D1079" s="25">
        <v>157.5</v>
      </c>
      <c r="E1079" s="25">
        <v>158.51</v>
      </c>
      <c r="F1079" s="25">
        <v>1465364.0</v>
      </c>
    </row>
    <row r="1080">
      <c r="A1080" s="25">
        <v>39958.645833333336</v>
      </c>
      <c r="B1080" s="25">
        <v>159.0</v>
      </c>
      <c r="C1080" s="25">
        <v>161.0</v>
      </c>
      <c r="D1080" s="25">
        <v>155.66</v>
      </c>
      <c r="E1080" s="25">
        <v>157.84</v>
      </c>
      <c r="F1080" s="25">
        <v>1418411.0</v>
      </c>
    </row>
    <row r="1081">
      <c r="A1081" s="25">
        <v>39959.645833333336</v>
      </c>
      <c r="B1081" s="25">
        <v>158.74</v>
      </c>
      <c r="C1081" s="25">
        <v>159.91</v>
      </c>
      <c r="D1081" s="25">
        <v>155.13</v>
      </c>
      <c r="E1081" s="25">
        <v>156.11</v>
      </c>
      <c r="F1081" s="25">
        <v>1514725.0</v>
      </c>
    </row>
    <row r="1082">
      <c r="A1082" s="25">
        <v>39960.645833333336</v>
      </c>
      <c r="B1082" s="25">
        <v>157.7</v>
      </c>
      <c r="C1082" s="25">
        <v>163.0</v>
      </c>
      <c r="D1082" s="25">
        <v>157.7</v>
      </c>
      <c r="E1082" s="25">
        <v>162.14</v>
      </c>
      <c r="F1082" s="25">
        <v>2305717.0</v>
      </c>
    </row>
    <row r="1083">
      <c r="A1083" s="25">
        <v>39961.645833333336</v>
      </c>
      <c r="B1083" s="25">
        <v>155.85</v>
      </c>
      <c r="C1083" s="25">
        <v>168.48</v>
      </c>
      <c r="D1083" s="25">
        <v>155.85</v>
      </c>
      <c r="E1083" s="25">
        <v>165.8</v>
      </c>
      <c r="F1083" s="25">
        <v>4215919.0</v>
      </c>
    </row>
    <row r="1084">
      <c r="A1084" s="25">
        <v>39962.645833333336</v>
      </c>
      <c r="B1084" s="25">
        <v>167.19</v>
      </c>
      <c r="C1084" s="25">
        <v>177.5</v>
      </c>
      <c r="D1084" s="25">
        <v>163.16</v>
      </c>
      <c r="E1084" s="25">
        <v>176.15</v>
      </c>
      <c r="F1084" s="25">
        <v>3467806.0</v>
      </c>
    </row>
    <row r="1085">
      <c r="A1085" s="25">
        <v>39965.645833333336</v>
      </c>
      <c r="B1085" s="25">
        <v>168.34</v>
      </c>
      <c r="C1085" s="25">
        <v>177.46</v>
      </c>
      <c r="D1085" s="25">
        <v>168.34</v>
      </c>
      <c r="E1085" s="25">
        <v>174.41</v>
      </c>
      <c r="F1085" s="25">
        <v>1976451.0</v>
      </c>
    </row>
    <row r="1086">
      <c r="A1086" s="25">
        <v>39966.645833333336</v>
      </c>
      <c r="B1086" s="25">
        <v>175.0</v>
      </c>
      <c r="C1086" s="25">
        <v>177.5</v>
      </c>
      <c r="D1086" s="25">
        <v>172.5</v>
      </c>
      <c r="E1086" s="25">
        <v>173.69</v>
      </c>
      <c r="F1086" s="25">
        <v>1029543.0</v>
      </c>
    </row>
    <row r="1087">
      <c r="A1087" s="25">
        <v>39967.645833333336</v>
      </c>
      <c r="B1087" s="25">
        <v>172.5</v>
      </c>
      <c r="C1087" s="25">
        <v>176.19</v>
      </c>
      <c r="D1087" s="25">
        <v>170.78</v>
      </c>
      <c r="E1087" s="25">
        <v>174.21</v>
      </c>
      <c r="F1087" s="25">
        <v>978736.0</v>
      </c>
    </row>
    <row r="1088">
      <c r="A1088" s="25">
        <v>39968.645833333336</v>
      </c>
      <c r="B1088" s="25">
        <v>171.75</v>
      </c>
      <c r="C1088" s="25">
        <v>177.25</v>
      </c>
      <c r="D1088" s="25">
        <v>171.59</v>
      </c>
      <c r="E1088" s="25">
        <v>176.8</v>
      </c>
      <c r="F1088" s="25">
        <v>1755176.0</v>
      </c>
    </row>
    <row r="1089">
      <c r="A1089" s="25">
        <v>39969.645833333336</v>
      </c>
      <c r="B1089" s="25">
        <v>177.25</v>
      </c>
      <c r="C1089" s="25">
        <v>182.18</v>
      </c>
      <c r="D1089" s="25">
        <v>174.09</v>
      </c>
      <c r="E1089" s="25">
        <v>180.34</v>
      </c>
      <c r="F1089" s="25">
        <v>3305033.0</v>
      </c>
    </row>
    <row r="1090">
      <c r="A1090" s="25">
        <v>39972.645833333336</v>
      </c>
      <c r="B1090" s="25">
        <v>181.18</v>
      </c>
      <c r="C1090" s="25">
        <v>187.44</v>
      </c>
      <c r="D1090" s="25">
        <v>180.0</v>
      </c>
      <c r="E1090" s="25">
        <v>185.53</v>
      </c>
      <c r="F1090" s="25">
        <v>2316956.0</v>
      </c>
    </row>
    <row r="1091">
      <c r="A1091" s="25">
        <v>39973.645833333336</v>
      </c>
      <c r="B1091" s="25">
        <v>182.78</v>
      </c>
      <c r="C1091" s="25">
        <v>198.75</v>
      </c>
      <c r="D1091" s="25">
        <v>182.78</v>
      </c>
      <c r="E1091" s="25">
        <v>195.54</v>
      </c>
      <c r="F1091" s="25">
        <v>2422677.0</v>
      </c>
    </row>
    <row r="1092">
      <c r="A1092" s="25">
        <v>39974.645833333336</v>
      </c>
      <c r="B1092" s="25">
        <v>196.25</v>
      </c>
      <c r="C1092" s="25">
        <v>201.25</v>
      </c>
      <c r="D1092" s="25">
        <v>191.81</v>
      </c>
      <c r="E1092" s="25">
        <v>195.45</v>
      </c>
      <c r="F1092" s="25">
        <v>2345949.0</v>
      </c>
    </row>
    <row r="1093">
      <c r="A1093" s="25">
        <v>39975.645833333336</v>
      </c>
      <c r="B1093" s="25">
        <v>197.0</v>
      </c>
      <c r="C1093" s="25">
        <v>198.11</v>
      </c>
      <c r="D1093" s="25">
        <v>192.5</v>
      </c>
      <c r="E1093" s="25">
        <v>193.78</v>
      </c>
      <c r="F1093" s="25">
        <v>970800.0</v>
      </c>
    </row>
    <row r="1094">
      <c r="A1094" s="25">
        <v>39976.645833333336</v>
      </c>
      <c r="B1094" s="25">
        <v>196.25</v>
      </c>
      <c r="C1094" s="25">
        <v>198.7</v>
      </c>
      <c r="D1094" s="25">
        <v>190.3</v>
      </c>
      <c r="E1094" s="25">
        <v>191.14</v>
      </c>
      <c r="F1094" s="25">
        <v>1589665.0</v>
      </c>
    </row>
    <row r="1095">
      <c r="A1095" s="25">
        <v>39979.645833333336</v>
      </c>
      <c r="B1095" s="25">
        <v>191.18</v>
      </c>
      <c r="C1095" s="25">
        <v>196.25</v>
      </c>
      <c r="D1095" s="25">
        <v>188.75</v>
      </c>
      <c r="E1095" s="25">
        <v>194.5</v>
      </c>
      <c r="F1095" s="25">
        <v>1648967.0</v>
      </c>
    </row>
    <row r="1096">
      <c r="A1096" s="25">
        <v>39980.645833333336</v>
      </c>
      <c r="B1096" s="25">
        <v>191.65</v>
      </c>
      <c r="C1096" s="25">
        <v>196.75</v>
      </c>
      <c r="D1096" s="25">
        <v>185.6</v>
      </c>
      <c r="E1096" s="25">
        <v>194.58</v>
      </c>
      <c r="F1096" s="25">
        <v>2172003.0</v>
      </c>
    </row>
    <row r="1097">
      <c r="A1097" s="25">
        <v>39981.645833333336</v>
      </c>
      <c r="B1097" s="25">
        <v>196.0</v>
      </c>
      <c r="C1097" s="25">
        <v>197.5</v>
      </c>
      <c r="D1097" s="25">
        <v>187.5</v>
      </c>
      <c r="E1097" s="25">
        <v>189.38</v>
      </c>
      <c r="F1097" s="25">
        <v>1870784.0</v>
      </c>
    </row>
    <row r="1098">
      <c r="A1098" s="25">
        <v>39982.645833333336</v>
      </c>
      <c r="B1098" s="25">
        <v>189.0</v>
      </c>
      <c r="C1098" s="25">
        <v>196.5</v>
      </c>
      <c r="D1098" s="25">
        <v>186.03</v>
      </c>
      <c r="E1098" s="25">
        <v>188.2</v>
      </c>
      <c r="F1098" s="25">
        <v>2376554.0</v>
      </c>
    </row>
    <row r="1099">
      <c r="A1099" s="25">
        <v>39983.645833333336</v>
      </c>
      <c r="B1099" s="25">
        <v>188.5</v>
      </c>
      <c r="C1099" s="25">
        <v>196.0</v>
      </c>
      <c r="D1099" s="25">
        <v>187.5</v>
      </c>
      <c r="E1099" s="25">
        <v>189.9</v>
      </c>
      <c r="F1099" s="25">
        <v>3863866.0</v>
      </c>
    </row>
    <row r="1100">
      <c r="A1100" s="25">
        <v>39986.645833333336</v>
      </c>
      <c r="B1100" s="25">
        <v>192.2</v>
      </c>
      <c r="C1100" s="25">
        <v>193.9</v>
      </c>
      <c r="D1100" s="25">
        <v>184.0</v>
      </c>
      <c r="E1100" s="25">
        <v>184.83</v>
      </c>
      <c r="F1100" s="25">
        <v>2053104.0</v>
      </c>
    </row>
    <row r="1101">
      <c r="A1101" s="25">
        <v>39987.645833333336</v>
      </c>
      <c r="B1101" s="25">
        <v>180.0</v>
      </c>
      <c r="C1101" s="25">
        <v>188.88</v>
      </c>
      <c r="D1101" s="25">
        <v>179.0</v>
      </c>
      <c r="E1101" s="25">
        <v>183.33</v>
      </c>
      <c r="F1101" s="25">
        <v>2567847.0</v>
      </c>
    </row>
    <row r="1102">
      <c r="A1102" s="25">
        <v>39988.645833333336</v>
      </c>
      <c r="B1102" s="25">
        <v>186.48</v>
      </c>
      <c r="C1102" s="25">
        <v>194.25</v>
      </c>
      <c r="D1102" s="25">
        <v>180.1</v>
      </c>
      <c r="E1102" s="25">
        <v>190.88</v>
      </c>
      <c r="F1102" s="25">
        <v>3651977.0</v>
      </c>
    </row>
    <row r="1103">
      <c r="A1103" s="25">
        <v>39989.645833333336</v>
      </c>
      <c r="B1103" s="25">
        <v>191.0</v>
      </c>
      <c r="C1103" s="25">
        <v>196.0</v>
      </c>
      <c r="D1103" s="25">
        <v>185.15</v>
      </c>
      <c r="E1103" s="25">
        <v>190.25</v>
      </c>
      <c r="F1103" s="25">
        <v>4847331.0</v>
      </c>
    </row>
    <row r="1104">
      <c r="A1104" s="25">
        <v>39990.645833333336</v>
      </c>
      <c r="B1104" s="25">
        <v>191.25</v>
      </c>
      <c r="C1104" s="25">
        <v>202.2</v>
      </c>
      <c r="D1104" s="25">
        <v>188.28</v>
      </c>
      <c r="E1104" s="25">
        <v>198.7</v>
      </c>
      <c r="F1104" s="25">
        <v>3049850.0</v>
      </c>
    </row>
    <row r="1105">
      <c r="A1105" s="25">
        <v>39993.645833333336</v>
      </c>
      <c r="B1105" s="25">
        <v>199.93</v>
      </c>
      <c r="C1105" s="25">
        <v>201.0</v>
      </c>
      <c r="D1105" s="25">
        <v>191.68</v>
      </c>
      <c r="E1105" s="25">
        <v>193.1</v>
      </c>
      <c r="F1105" s="25">
        <v>2372603.0</v>
      </c>
    </row>
    <row r="1106">
      <c r="A1106" s="25">
        <v>39994.645833333336</v>
      </c>
      <c r="B1106" s="25">
        <v>193.75</v>
      </c>
      <c r="C1106" s="25">
        <v>199.0</v>
      </c>
      <c r="D1106" s="25">
        <v>191.58</v>
      </c>
      <c r="E1106" s="25">
        <v>194.93</v>
      </c>
      <c r="F1106" s="25">
        <v>2961974.0</v>
      </c>
    </row>
    <row r="1107">
      <c r="A1107" s="25">
        <v>39995.645833333336</v>
      </c>
      <c r="B1107" s="25">
        <v>193.55</v>
      </c>
      <c r="C1107" s="25">
        <v>197.5</v>
      </c>
      <c r="D1107" s="25">
        <v>191.23</v>
      </c>
      <c r="E1107" s="25">
        <v>196.48</v>
      </c>
      <c r="F1107" s="25">
        <v>1842369.0</v>
      </c>
    </row>
    <row r="1108">
      <c r="A1108" s="25">
        <v>39996.645833333336</v>
      </c>
      <c r="B1108" s="25">
        <v>195.0</v>
      </c>
      <c r="C1108" s="25">
        <v>197.65</v>
      </c>
      <c r="D1108" s="25">
        <v>190.6</v>
      </c>
      <c r="E1108" s="25">
        <v>195.0</v>
      </c>
      <c r="F1108" s="25">
        <v>1857714.0</v>
      </c>
    </row>
    <row r="1109">
      <c r="A1109" s="25">
        <v>39997.645833333336</v>
      </c>
      <c r="B1109" s="25">
        <v>192.5</v>
      </c>
      <c r="C1109" s="25">
        <v>196.2</v>
      </c>
      <c r="D1109" s="25">
        <v>192.5</v>
      </c>
      <c r="E1109" s="25">
        <v>195.48</v>
      </c>
      <c r="F1109" s="25">
        <v>1459922.0</v>
      </c>
    </row>
    <row r="1110">
      <c r="A1110" s="25">
        <v>40000.645833333336</v>
      </c>
      <c r="B1110" s="25">
        <v>198.5</v>
      </c>
      <c r="C1110" s="25">
        <v>199.23</v>
      </c>
      <c r="D1110" s="25">
        <v>189.18</v>
      </c>
      <c r="E1110" s="25">
        <v>190.35</v>
      </c>
      <c r="F1110" s="25">
        <v>2244458.0</v>
      </c>
    </row>
    <row r="1111">
      <c r="A1111" s="25">
        <v>40001.645833333336</v>
      </c>
      <c r="B1111" s="25">
        <v>192.0</v>
      </c>
      <c r="C1111" s="25">
        <v>196.63</v>
      </c>
      <c r="D1111" s="25">
        <v>190.0</v>
      </c>
      <c r="E1111" s="25">
        <v>194.58</v>
      </c>
      <c r="F1111" s="25">
        <v>1902284.0</v>
      </c>
    </row>
    <row r="1112">
      <c r="A1112" s="25">
        <v>40002.645833333336</v>
      </c>
      <c r="B1112" s="25">
        <v>194.35</v>
      </c>
      <c r="C1112" s="25">
        <v>194.45</v>
      </c>
      <c r="D1112" s="25">
        <v>184.13</v>
      </c>
      <c r="E1112" s="25">
        <v>190.58</v>
      </c>
      <c r="F1112" s="25">
        <v>3347383.0</v>
      </c>
    </row>
    <row r="1113">
      <c r="A1113" s="25">
        <v>40003.645833333336</v>
      </c>
      <c r="B1113" s="25">
        <v>191.05</v>
      </c>
      <c r="C1113" s="25">
        <v>195.55</v>
      </c>
      <c r="D1113" s="25">
        <v>185.5</v>
      </c>
      <c r="E1113" s="25">
        <v>194.08</v>
      </c>
      <c r="F1113" s="25">
        <v>1982404.0</v>
      </c>
    </row>
    <row r="1114">
      <c r="A1114" s="25">
        <v>40004.645833333336</v>
      </c>
      <c r="B1114" s="25">
        <v>195.5</v>
      </c>
      <c r="C1114" s="25">
        <v>200.73</v>
      </c>
      <c r="D1114" s="25">
        <v>195.0</v>
      </c>
      <c r="E1114" s="25">
        <v>197.58</v>
      </c>
      <c r="F1114" s="25">
        <v>3734374.0</v>
      </c>
    </row>
    <row r="1115">
      <c r="A1115" s="25">
        <v>40007.645833333336</v>
      </c>
      <c r="B1115" s="25">
        <v>195.0</v>
      </c>
      <c r="C1115" s="25">
        <v>200.5</v>
      </c>
      <c r="D1115" s="25">
        <v>194.13</v>
      </c>
      <c r="E1115" s="25">
        <v>198.75</v>
      </c>
      <c r="F1115" s="25">
        <v>2559916.0</v>
      </c>
    </row>
    <row r="1116">
      <c r="A1116" s="25">
        <v>40008.645833333336</v>
      </c>
      <c r="B1116" s="25">
        <v>202.5</v>
      </c>
      <c r="C1116" s="25">
        <v>205.55</v>
      </c>
      <c r="D1116" s="25">
        <v>200.2</v>
      </c>
      <c r="E1116" s="25">
        <v>203.48</v>
      </c>
      <c r="F1116" s="25">
        <v>2232068.0</v>
      </c>
    </row>
    <row r="1117">
      <c r="A1117" s="25">
        <v>40009.645833333336</v>
      </c>
      <c r="B1117" s="25">
        <v>205.45</v>
      </c>
      <c r="C1117" s="25">
        <v>213.65</v>
      </c>
      <c r="D1117" s="25">
        <v>205.0</v>
      </c>
      <c r="E1117" s="25">
        <v>211.58</v>
      </c>
      <c r="F1117" s="25">
        <v>2235047.0</v>
      </c>
    </row>
    <row r="1118">
      <c r="A1118" s="25">
        <v>40010.645833333336</v>
      </c>
      <c r="B1118" s="25">
        <v>214.0</v>
      </c>
      <c r="C1118" s="25">
        <v>217.4</v>
      </c>
      <c r="D1118" s="25">
        <v>206.6</v>
      </c>
      <c r="E1118" s="25">
        <v>209.9</v>
      </c>
      <c r="F1118" s="25">
        <v>3798438.0</v>
      </c>
    </row>
    <row r="1119">
      <c r="A1119" s="25">
        <v>40011.645833333336</v>
      </c>
      <c r="B1119" s="25">
        <v>210.7</v>
      </c>
      <c r="C1119" s="25">
        <v>222.88</v>
      </c>
      <c r="D1119" s="25">
        <v>210.5</v>
      </c>
      <c r="E1119" s="25">
        <v>217.05</v>
      </c>
      <c r="F1119" s="25">
        <v>4547478.0</v>
      </c>
    </row>
    <row r="1120">
      <c r="A1120" s="25">
        <v>40014.645833333336</v>
      </c>
      <c r="B1120" s="25">
        <v>222.5</v>
      </c>
      <c r="C1120" s="25">
        <v>257.45</v>
      </c>
      <c r="D1120" s="25">
        <v>222.5</v>
      </c>
      <c r="E1120" s="25">
        <v>250.28</v>
      </c>
      <c r="F1120" s="25">
        <v>1.7269768E7</v>
      </c>
    </row>
    <row r="1121">
      <c r="A1121" s="25">
        <v>40015.645833333336</v>
      </c>
      <c r="B1121" s="25">
        <v>251.5</v>
      </c>
      <c r="C1121" s="25">
        <v>256.58</v>
      </c>
      <c r="D1121" s="25">
        <v>237.03</v>
      </c>
      <c r="E1121" s="25">
        <v>238.8</v>
      </c>
      <c r="F1121" s="25">
        <v>6502910.0</v>
      </c>
    </row>
    <row r="1122">
      <c r="A1122" s="25">
        <v>40016.645833333336</v>
      </c>
      <c r="B1122" s="25">
        <v>241.85</v>
      </c>
      <c r="C1122" s="25">
        <v>242.5</v>
      </c>
      <c r="D1122" s="25">
        <v>226.15</v>
      </c>
      <c r="E1122" s="25">
        <v>233.15</v>
      </c>
      <c r="F1122" s="25">
        <v>5337345.0</v>
      </c>
    </row>
    <row r="1123">
      <c r="A1123" s="25">
        <v>40017.645833333336</v>
      </c>
      <c r="B1123" s="25">
        <v>235.5</v>
      </c>
      <c r="C1123" s="25">
        <v>241.45</v>
      </c>
      <c r="D1123" s="25">
        <v>235.0</v>
      </c>
      <c r="E1123" s="25">
        <v>237.83</v>
      </c>
      <c r="F1123" s="25">
        <v>3831339.0</v>
      </c>
    </row>
    <row r="1124">
      <c r="A1124" s="25">
        <v>40018.645833333336</v>
      </c>
      <c r="B1124" s="25">
        <v>245.0</v>
      </c>
      <c r="C1124" s="25">
        <v>245.0</v>
      </c>
      <c r="D1124" s="25">
        <v>238.0</v>
      </c>
      <c r="E1124" s="25">
        <v>241.0</v>
      </c>
      <c r="F1124" s="25">
        <v>0.0</v>
      </c>
    </row>
    <row r="1125">
      <c r="A1125" s="25">
        <v>40021.645833333336</v>
      </c>
      <c r="B1125" s="25">
        <v>241.0</v>
      </c>
      <c r="C1125" s="25">
        <v>244.48</v>
      </c>
      <c r="D1125" s="25">
        <v>238.55</v>
      </c>
      <c r="E1125" s="25">
        <v>240.15</v>
      </c>
      <c r="F1125" s="25">
        <v>2326169.0</v>
      </c>
    </row>
    <row r="1126">
      <c r="A1126" s="25">
        <v>40022.645833333336</v>
      </c>
      <c r="B1126" s="25">
        <v>242.18</v>
      </c>
      <c r="C1126" s="25">
        <v>242.48</v>
      </c>
      <c r="D1126" s="25">
        <v>235.65</v>
      </c>
      <c r="E1126" s="25">
        <v>240.33</v>
      </c>
      <c r="F1126" s="25">
        <v>3167492.0</v>
      </c>
    </row>
    <row r="1127">
      <c r="A1127" s="25">
        <v>40023.645833333336</v>
      </c>
      <c r="B1127" s="25">
        <v>240.0</v>
      </c>
      <c r="C1127" s="25">
        <v>252.35</v>
      </c>
      <c r="D1127" s="25">
        <v>237.5</v>
      </c>
      <c r="E1127" s="25">
        <v>249.9</v>
      </c>
      <c r="F1127" s="25">
        <v>5536075.0</v>
      </c>
    </row>
    <row r="1128">
      <c r="A1128" s="25">
        <v>40024.645833333336</v>
      </c>
      <c r="B1128" s="25">
        <v>252.63</v>
      </c>
      <c r="C1128" s="25">
        <v>272.5</v>
      </c>
      <c r="D1128" s="25">
        <v>245.13</v>
      </c>
      <c r="E1128" s="25">
        <v>266.55</v>
      </c>
      <c r="F1128" s="25">
        <v>7836241.0</v>
      </c>
    </row>
    <row r="1129">
      <c r="A1129" s="25">
        <v>40025.645833333336</v>
      </c>
      <c r="B1129" s="25">
        <v>269.5</v>
      </c>
      <c r="C1129" s="25">
        <v>270.0</v>
      </c>
      <c r="D1129" s="25">
        <v>260.7</v>
      </c>
      <c r="E1129" s="25">
        <v>262.98</v>
      </c>
      <c r="F1129" s="25">
        <v>2817483.0</v>
      </c>
    </row>
    <row r="1130">
      <c r="A1130" s="25">
        <v>40028.645833333336</v>
      </c>
      <c r="B1130" s="25">
        <v>265.0</v>
      </c>
      <c r="C1130" s="25">
        <v>267.42</v>
      </c>
      <c r="D1130" s="25">
        <v>260.55</v>
      </c>
      <c r="E1130" s="25">
        <v>265.83</v>
      </c>
      <c r="F1130" s="25">
        <v>1760274.0</v>
      </c>
    </row>
    <row r="1131">
      <c r="A1131" s="25">
        <v>40029.645833333336</v>
      </c>
      <c r="B1131" s="25">
        <v>260.25</v>
      </c>
      <c r="C1131" s="25">
        <v>270.6</v>
      </c>
      <c r="D1131" s="25">
        <v>260.25</v>
      </c>
      <c r="E1131" s="25">
        <v>265.08</v>
      </c>
      <c r="F1131" s="25">
        <v>2740646.0</v>
      </c>
    </row>
    <row r="1132">
      <c r="A1132" s="25">
        <v>40030.645833333336</v>
      </c>
      <c r="B1132" s="25">
        <v>264.75</v>
      </c>
      <c r="C1132" s="25">
        <v>268.48</v>
      </c>
      <c r="D1132" s="25">
        <v>253.78</v>
      </c>
      <c r="E1132" s="25">
        <v>264.5</v>
      </c>
      <c r="F1132" s="25">
        <v>3212005.0</v>
      </c>
    </row>
    <row r="1133">
      <c r="A1133" s="25">
        <v>40031.645833333336</v>
      </c>
      <c r="B1133" s="25">
        <v>264.5</v>
      </c>
      <c r="C1133" s="25">
        <v>267.2</v>
      </c>
      <c r="D1133" s="25">
        <v>257.1</v>
      </c>
      <c r="E1133" s="25">
        <v>258.7</v>
      </c>
      <c r="F1133" s="25">
        <v>2089374.0</v>
      </c>
    </row>
    <row r="1134">
      <c r="A1134" s="25">
        <v>40032.645833333336</v>
      </c>
      <c r="B1134" s="25">
        <v>258.3</v>
      </c>
      <c r="C1134" s="25">
        <v>260.98</v>
      </c>
      <c r="D1134" s="25">
        <v>253.05</v>
      </c>
      <c r="E1134" s="25">
        <v>254.55</v>
      </c>
      <c r="F1134" s="25">
        <v>2276333.0</v>
      </c>
    </row>
    <row r="1135">
      <c r="A1135" s="25">
        <v>40035.645833333336</v>
      </c>
      <c r="B1135" s="25">
        <v>257.58</v>
      </c>
      <c r="C1135" s="25">
        <v>275.88</v>
      </c>
      <c r="D1135" s="25">
        <v>257.0</v>
      </c>
      <c r="E1135" s="25">
        <v>269.52</v>
      </c>
      <c r="F1135" s="25">
        <v>5311988.0</v>
      </c>
    </row>
    <row r="1136">
      <c r="A1136" s="25">
        <v>40036.645833333336</v>
      </c>
      <c r="B1136" s="25">
        <v>268.75</v>
      </c>
      <c r="C1136" s="25">
        <v>279.0</v>
      </c>
      <c r="D1136" s="25">
        <v>267.05</v>
      </c>
      <c r="E1136" s="25">
        <v>270.95</v>
      </c>
      <c r="F1136" s="25">
        <v>4421740.0</v>
      </c>
    </row>
    <row r="1137">
      <c r="A1137" s="25">
        <v>40037.645833333336</v>
      </c>
      <c r="B1137" s="25">
        <v>267.5</v>
      </c>
      <c r="C1137" s="25">
        <v>268.0</v>
      </c>
      <c r="D1137" s="25">
        <v>255.5</v>
      </c>
      <c r="E1137" s="25">
        <v>259.83</v>
      </c>
      <c r="F1137" s="25">
        <v>5663268.0</v>
      </c>
    </row>
    <row r="1138">
      <c r="A1138" s="25">
        <v>40038.645833333336</v>
      </c>
      <c r="B1138" s="25">
        <v>267.2</v>
      </c>
      <c r="C1138" s="25">
        <v>267.2</v>
      </c>
      <c r="D1138" s="25">
        <v>259.8</v>
      </c>
      <c r="E1138" s="25">
        <v>263.38</v>
      </c>
      <c r="F1138" s="25">
        <v>5016964.0</v>
      </c>
    </row>
    <row r="1139">
      <c r="A1139" s="25">
        <v>40039.645833333336</v>
      </c>
      <c r="B1139" s="25">
        <v>265.0</v>
      </c>
      <c r="C1139" s="25">
        <v>265.0</v>
      </c>
      <c r="D1139" s="25">
        <v>259.0</v>
      </c>
      <c r="E1139" s="25">
        <v>260.75</v>
      </c>
      <c r="F1139" s="25">
        <v>2575907.0</v>
      </c>
    </row>
    <row r="1140">
      <c r="A1140" s="25">
        <v>40042.645833333336</v>
      </c>
      <c r="B1140" s="25">
        <v>258.4</v>
      </c>
      <c r="C1140" s="25">
        <v>258.75</v>
      </c>
      <c r="D1140" s="25">
        <v>252.63</v>
      </c>
      <c r="E1140" s="25">
        <v>255.08</v>
      </c>
      <c r="F1140" s="25">
        <v>2981410.0</v>
      </c>
    </row>
    <row r="1141">
      <c r="A1141" s="25">
        <v>40043.645833333336</v>
      </c>
      <c r="B1141" s="25">
        <v>252.5</v>
      </c>
      <c r="C1141" s="25">
        <v>257.42</v>
      </c>
      <c r="D1141" s="25">
        <v>249.75</v>
      </c>
      <c r="E1141" s="25">
        <v>254.43</v>
      </c>
      <c r="F1141" s="25">
        <v>4074922.0</v>
      </c>
    </row>
    <row r="1142">
      <c r="A1142" s="25">
        <v>40044.645833333336</v>
      </c>
      <c r="B1142" s="25">
        <v>256.4</v>
      </c>
      <c r="C1142" s="25">
        <v>257.35</v>
      </c>
      <c r="D1142" s="25">
        <v>247.0</v>
      </c>
      <c r="E1142" s="25">
        <v>249.03</v>
      </c>
      <c r="F1142" s="25">
        <v>2801685.0</v>
      </c>
    </row>
    <row r="1143">
      <c r="A1143" s="25">
        <v>40045.645833333336</v>
      </c>
      <c r="B1143" s="25">
        <v>252.45</v>
      </c>
      <c r="C1143" s="25">
        <v>254.2</v>
      </c>
      <c r="D1143" s="25">
        <v>249.05</v>
      </c>
      <c r="E1143" s="25">
        <v>250.5</v>
      </c>
      <c r="F1143" s="25">
        <v>1830480.0</v>
      </c>
    </row>
    <row r="1144">
      <c r="A1144" s="25">
        <v>40046.645833333336</v>
      </c>
      <c r="B1144" s="25">
        <v>251.0</v>
      </c>
      <c r="C1144" s="25">
        <v>256.25</v>
      </c>
      <c r="D1144" s="25">
        <v>247.5</v>
      </c>
      <c r="E1144" s="25">
        <v>254.63</v>
      </c>
      <c r="F1144" s="25">
        <v>3464511.0</v>
      </c>
    </row>
    <row r="1145">
      <c r="A1145" s="25">
        <v>40049.645833333336</v>
      </c>
      <c r="B1145" s="25">
        <v>257.98</v>
      </c>
      <c r="C1145" s="25">
        <v>262.92</v>
      </c>
      <c r="D1145" s="25">
        <v>256.77</v>
      </c>
      <c r="E1145" s="25">
        <v>260.77</v>
      </c>
      <c r="F1145" s="25">
        <v>2103602.0</v>
      </c>
    </row>
    <row r="1146">
      <c r="A1146" s="25">
        <v>40050.645833333336</v>
      </c>
      <c r="B1146" s="25">
        <v>259.0</v>
      </c>
      <c r="C1146" s="25">
        <v>265.5</v>
      </c>
      <c r="D1146" s="25">
        <v>257.05</v>
      </c>
      <c r="E1146" s="25">
        <v>264.15</v>
      </c>
      <c r="F1146" s="25">
        <v>2764649.0</v>
      </c>
    </row>
    <row r="1147">
      <c r="A1147" s="25">
        <v>40051.645833333336</v>
      </c>
      <c r="B1147" s="25">
        <v>263.35</v>
      </c>
      <c r="C1147" s="25">
        <v>277.5</v>
      </c>
      <c r="D1147" s="25">
        <v>263.27</v>
      </c>
      <c r="E1147" s="25">
        <v>274.25</v>
      </c>
      <c r="F1147" s="25">
        <v>4426312.0</v>
      </c>
    </row>
    <row r="1148">
      <c r="A1148" s="25">
        <v>40052.645833333336</v>
      </c>
      <c r="B1148" s="25">
        <v>275.0</v>
      </c>
      <c r="C1148" s="25">
        <v>283.0</v>
      </c>
      <c r="D1148" s="25">
        <v>270.5</v>
      </c>
      <c r="E1148" s="25">
        <v>273.88</v>
      </c>
      <c r="F1148" s="25">
        <v>5115464.0</v>
      </c>
    </row>
    <row r="1149">
      <c r="A1149" s="25">
        <v>40053.645833333336</v>
      </c>
      <c r="B1149" s="25">
        <v>272.88</v>
      </c>
      <c r="C1149" s="25">
        <v>275.0</v>
      </c>
      <c r="D1149" s="25">
        <v>265.55</v>
      </c>
      <c r="E1149" s="25">
        <v>270.4</v>
      </c>
      <c r="F1149" s="25">
        <v>2281568.0</v>
      </c>
    </row>
    <row r="1150">
      <c r="A1150" s="25">
        <v>40056.645833333336</v>
      </c>
      <c r="B1150" s="25">
        <v>265.5</v>
      </c>
      <c r="C1150" s="25">
        <v>266.9</v>
      </c>
      <c r="D1150" s="25">
        <v>260.65</v>
      </c>
      <c r="E1150" s="25">
        <v>263.52</v>
      </c>
      <c r="F1150" s="25">
        <v>3585176.0</v>
      </c>
    </row>
    <row r="1151">
      <c r="A1151" s="25">
        <v>40057.645833333336</v>
      </c>
      <c r="B1151" s="25">
        <v>267.5</v>
      </c>
      <c r="C1151" s="25">
        <v>268.17</v>
      </c>
      <c r="D1151" s="25">
        <v>259.55</v>
      </c>
      <c r="E1151" s="25">
        <v>263.45</v>
      </c>
      <c r="F1151" s="25">
        <v>4931097.0</v>
      </c>
    </row>
    <row r="1152">
      <c r="A1152" s="25">
        <v>40058.645833333336</v>
      </c>
      <c r="B1152" s="25">
        <v>260.5</v>
      </c>
      <c r="C1152" s="25">
        <v>271.45</v>
      </c>
      <c r="D1152" s="25">
        <v>260.5</v>
      </c>
      <c r="E1152" s="25">
        <v>267.3</v>
      </c>
      <c r="F1152" s="25">
        <v>4080709.0</v>
      </c>
    </row>
    <row r="1153">
      <c r="A1153" s="25">
        <v>40059.645833333336</v>
      </c>
      <c r="B1153" s="25">
        <v>269.95</v>
      </c>
      <c r="C1153" s="25">
        <v>272.2</v>
      </c>
      <c r="D1153" s="25">
        <v>265.23</v>
      </c>
      <c r="E1153" s="25">
        <v>266.83</v>
      </c>
      <c r="F1153" s="25">
        <v>3898372.0</v>
      </c>
    </row>
    <row r="1154">
      <c r="A1154" s="25">
        <v>40060.645833333336</v>
      </c>
      <c r="B1154" s="25">
        <v>270.0</v>
      </c>
      <c r="C1154" s="25">
        <v>272.0</v>
      </c>
      <c r="D1154" s="25">
        <v>263.6</v>
      </c>
      <c r="E1154" s="25">
        <v>265.95</v>
      </c>
      <c r="F1154" s="25">
        <v>3131723.0</v>
      </c>
    </row>
    <row r="1155">
      <c r="A1155" s="25">
        <v>40063.645833333336</v>
      </c>
      <c r="B1155" s="25">
        <v>267.9</v>
      </c>
      <c r="C1155" s="25">
        <v>276.77</v>
      </c>
      <c r="D1155" s="25">
        <v>266.8</v>
      </c>
      <c r="E1155" s="25">
        <v>275.48</v>
      </c>
      <c r="F1155" s="25">
        <v>2962860.0</v>
      </c>
    </row>
    <row r="1156">
      <c r="A1156" s="25">
        <v>40064.645833333336</v>
      </c>
      <c r="B1156" s="25">
        <v>275.95</v>
      </c>
      <c r="C1156" s="25">
        <v>285.25</v>
      </c>
      <c r="D1156" s="25">
        <v>274.83</v>
      </c>
      <c r="E1156" s="25">
        <v>277.33</v>
      </c>
      <c r="F1156" s="25">
        <v>4946021.0</v>
      </c>
    </row>
    <row r="1157">
      <c r="A1157" s="25">
        <v>40065.645833333336</v>
      </c>
      <c r="B1157" s="25">
        <v>278.0</v>
      </c>
      <c r="C1157" s="25">
        <v>282.4</v>
      </c>
      <c r="D1157" s="25">
        <v>271.58</v>
      </c>
      <c r="E1157" s="25">
        <v>280.23</v>
      </c>
      <c r="F1157" s="25">
        <v>3766093.0</v>
      </c>
    </row>
    <row r="1158">
      <c r="A1158" s="25">
        <v>40066.645833333336</v>
      </c>
      <c r="B1158" s="25">
        <v>282.0</v>
      </c>
      <c r="C1158" s="25">
        <v>284.5</v>
      </c>
      <c r="D1158" s="25">
        <v>276.02</v>
      </c>
      <c r="E1158" s="25">
        <v>278.27</v>
      </c>
      <c r="F1158" s="25">
        <v>2449457.0</v>
      </c>
    </row>
    <row r="1159">
      <c r="A1159" s="25">
        <v>40067.645833333336</v>
      </c>
      <c r="B1159" s="25">
        <v>280.5</v>
      </c>
      <c r="C1159" s="25">
        <v>284.5</v>
      </c>
      <c r="D1159" s="25">
        <v>277.75</v>
      </c>
      <c r="E1159" s="25">
        <v>280.17</v>
      </c>
      <c r="F1159" s="25">
        <v>4565148.0</v>
      </c>
    </row>
    <row r="1160">
      <c r="A1160" s="25">
        <v>40070.645833333336</v>
      </c>
      <c r="B1160" s="25">
        <v>266.83</v>
      </c>
      <c r="C1160" s="25">
        <v>281.95</v>
      </c>
      <c r="D1160" s="25">
        <v>266.83</v>
      </c>
      <c r="E1160" s="25">
        <v>279.55</v>
      </c>
      <c r="F1160" s="25">
        <v>1600486.0</v>
      </c>
    </row>
    <row r="1161">
      <c r="A1161" s="25">
        <v>40071.645833333336</v>
      </c>
      <c r="B1161" s="25">
        <v>282.0</v>
      </c>
      <c r="C1161" s="25">
        <v>287.85</v>
      </c>
      <c r="D1161" s="25">
        <v>281.0</v>
      </c>
      <c r="E1161" s="25">
        <v>285.95</v>
      </c>
      <c r="F1161" s="25">
        <v>2154093.0</v>
      </c>
    </row>
    <row r="1162">
      <c r="A1162" s="25">
        <v>40072.645833333336</v>
      </c>
      <c r="B1162" s="25">
        <v>289.5</v>
      </c>
      <c r="C1162" s="25">
        <v>289.98</v>
      </c>
      <c r="D1162" s="25">
        <v>282.6</v>
      </c>
      <c r="E1162" s="25">
        <v>285.25</v>
      </c>
      <c r="F1162" s="25">
        <v>2908261.0</v>
      </c>
    </row>
    <row r="1163">
      <c r="A1163" s="25">
        <v>40073.645833333336</v>
      </c>
      <c r="B1163" s="25">
        <v>287.5</v>
      </c>
      <c r="C1163" s="25">
        <v>294.0</v>
      </c>
      <c r="D1163" s="25">
        <v>286.5</v>
      </c>
      <c r="E1163" s="25">
        <v>291.48</v>
      </c>
      <c r="F1163" s="25">
        <v>2641610.0</v>
      </c>
    </row>
    <row r="1164">
      <c r="A1164" s="25">
        <v>40074.645833333336</v>
      </c>
      <c r="B1164" s="25">
        <v>292.5</v>
      </c>
      <c r="C1164" s="25">
        <v>295.0</v>
      </c>
      <c r="D1164" s="25">
        <v>289.5</v>
      </c>
      <c r="E1164" s="25">
        <v>292.0</v>
      </c>
      <c r="F1164" s="25">
        <v>1962674.0</v>
      </c>
    </row>
    <row r="1165">
      <c r="A1165" s="25">
        <v>40078.645833333336</v>
      </c>
      <c r="B1165" s="25">
        <v>294.98</v>
      </c>
      <c r="C1165" s="25">
        <v>303.0</v>
      </c>
      <c r="D1165" s="25">
        <v>291.13</v>
      </c>
      <c r="E1165" s="25">
        <v>301.33</v>
      </c>
      <c r="F1165" s="25">
        <v>1881640.0</v>
      </c>
    </row>
    <row r="1166">
      <c r="A1166" s="25">
        <v>40079.645833333336</v>
      </c>
      <c r="B1166" s="25">
        <v>304.0</v>
      </c>
      <c r="C1166" s="25">
        <v>305.83</v>
      </c>
      <c r="D1166" s="25">
        <v>293.63</v>
      </c>
      <c r="E1166" s="25">
        <v>295.45</v>
      </c>
      <c r="F1166" s="25">
        <v>2261205.0</v>
      </c>
    </row>
    <row r="1167">
      <c r="A1167" s="25">
        <v>40080.645833333336</v>
      </c>
      <c r="B1167" s="25">
        <v>294.0</v>
      </c>
      <c r="C1167" s="25">
        <v>304.65</v>
      </c>
      <c r="D1167" s="25">
        <v>291.0</v>
      </c>
      <c r="E1167" s="25">
        <v>301.27</v>
      </c>
      <c r="F1167" s="25">
        <v>3401674.0</v>
      </c>
    </row>
    <row r="1168">
      <c r="A1168" s="25">
        <v>40081.645833333336</v>
      </c>
      <c r="B1168" s="25">
        <v>277.5</v>
      </c>
      <c r="C1168" s="25">
        <v>299.0</v>
      </c>
      <c r="D1168" s="25">
        <v>277.5</v>
      </c>
      <c r="E1168" s="25">
        <v>293.7</v>
      </c>
      <c r="F1168" s="25">
        <v>1534103.0</v>
      </c>
    </row>
    <row r="1169">
      <c r="A1169" s="25">
        <v>40085.645833333336</v>
      </c>
      <c r="B1169" s="25">
        <v>297.48</v>
      </c>
      <c r="C1169" s="25">
        <v>307.23</v>
      </c>
      <c r="D1169" s="25">
        <v>295.5</v>
      </c>
      <c r="E1169" s="25">
        <v>305.2</v>
      </c>
      <c r="F1169" s="25">
        <v>3573062.0</v>
      </c>
    </row>
    <row r="1170">
      <c r="A1170" s="25">
        <v>40086.645833333336</v>
      </c>
      <c r="B1170" s="25">
        <v>307.48</v>
      </c>
      <c r="C1170" s="25">
        <v>311.4</v>
      </c>
      <c r="D1170" s="25">
        <v>306.1</v>
      </c>
      <c r="E1170" s="25">
        <v>310.5</v>
      </c>
      <c r="F1170" s="25">
        <v>2186712.0</v>
      </c>
    </row>
    <row r="1171">
      <c r="A1171" s="25">
        <v>40087.645833333336</v>
      </c>
      <c r="B1171" s="25">
        <v>309.0</v>
      </c>
      <c r="C1171" s="25">
        <v>324.95</v>
      </c>
      <c r="D1171" s="25">
        <v>307.52</v>
      </c>
      <c r="E1171" s="25">
        <v>314.92</v>
      </c>
      <c r="F1171" s="25">
        <v>2843472.0</v>
      </c>
    </row>
    <row r="1172">
      <c r="A1172" s="25">
        <v>40091.645833333336</v>
      </c>
      <c r="B1172" s="25">
        <v>309.35</v>
      </c>
      <c r="C1172" s="25">
        <v>319.5</v>
      </c>
      <c r="D1172" s="25">
        <v>305.5</v>
      </c>
      <c r="E1172" s="25">
        <v>307.65</v>
      </c>
      <c r="F1172" s="25">
        <v>3129798.0</v>
      </c>
    </row>
    <row r="1173">
      <c r="A1173" s="25">
        <v>40092.645833333336</v>
      </c>
      <c r="B1173" s="25">
        <v>312.48</v>
      </c>
      <c r="C1173" s="25">
        <v>314.2</v>
      </c>
      <c r="D1173" s="25">
        <v>302.5</v>
      </c>
      <c r="E1173" s="25">
        <v>307.1</v>
      </c>
      <c r="F1173" s="25">
        <v>3724027.0</v>
      </c>
    </row>
    <row r="1174">
      <c r="A1174" s="25">
        <v>40093.645833333336</v>
      </c>
      <c r="B1174" s="25">
        <v>309.45</v>
      </c>
      <c r="C1174" s="25">
        <v>309.45</v>
      </c>
      <c r="D1174" s="25">
        <v>294.33</v>
      </c>
      <c r="E1174" s="25">
        <v>295.85</v>
      </c>
      <c r="F1174" s="25">
        <v>5037986.0</v>
      </c>
    </row>
    <row r="1175">
      <c r="A1175" s="25">
        <v>40094.645833333336</v>
      </c>
      <c r="B1175" s="25">
        <v>297.5</v>
      </c>
      <c r="C1175" s="25">
        <v>299.38</v>
      </c>
      <c r="D1175" s="25">
        <v>284.25</v>
      </c>
      <c r="E1175" s="25">
        <v>285.7</v>
      </c>
      <c r="F1175" s="25">
        <v>5081086.0</v>
      </c>
    </row>
    <row r="1176">
      <c r="A1176" s="25">
        <v>40095.645833333336</v>
      </c>
      <c r="B1176" s="25">
        <v>287.52</v>
      </c>
      <c r="C1176" s="25">
        <v>295.2</v>
      </c>
      <c r="D1176" s="25">
        <v>278.33</v>
      </c>
      <c r="E1176" s="25">
        <v>280.88</v>
      </c>
      <c r="F1176" s="25">
        <v>5016239.0</v>
      </c>
    </row>
    <row r="1177">
      <c r="A1177" s="25">
        <v>40098.645833333336</v>
      </c>
      <c r="B1177" s="25">
        <v>283.5</v>
      </c>
      <c r="C1177" s="25">
        <v>292.13</v>
      </c>
      <c r="D1177" s="25">
        <v>281.77</v>
      </c>
      <c r="E1177" s="25">
        <v>289.92</v>
      </c>
      <c r="F1177" s="25">
        <v>2587110.0</v>
      </c>
    </row>
    <row r="1178">
      <c r="A1178" s="25">
        <v>40100.645833333336</v>
      </c>
      <c r="B1178" s="25">
        <v>292.48</v>
      </c>
      <c r="C1178" s="25">
        <v>299.0</v>
      </c>
      <c r="D1178" s="25">
        <v>290.35</v>
      </c>
      <c r="E1178" s="25">
        <v>296.48</v>
      </c>
      <c r="F1178" s="25">
        <v>1989790.0</v>
      </c>
    </row>
    <row r="1179">
      <c r="A1179" s="25">
        <v>40101.645833333336</v>
      </c>
      <c r="B1179" s="25">
        <v>297.0</v>
      </c>
      <c r="C1179" s="25">
        <v>298.95</v>
      </c>
      <c r="D1179" s="25">
        <v>287.5</v>
      </c>
      <c r="E1179" s="25">
        <v>290.9</v>
      </c>
      <c r="F1179" s="25">
        <v>2116190.0</v>
      </c>
    </row>
    <row r="1180">
      <c r="A1180" s="25">
        <v>40102.645833333336</v>
      </c>
      <c r="B1180" s="25">
        <v>283.0</v>
      </c>
      <c r="C1180" s="25">
        <v>302.2</v>
      </c>
      <c r="D1180" s="25">
        <v>283.0</v>
      </c>
      <c r="E1180" s="25">
        <v>299.15</v>
      </c>
      <c r="F1180" s="25">
        <v>3594971.0</v>
      </c>
    </row>
    <row r="1181">
      <c r="A1181" s="25">
        <v>40106.645833333336</v>
      </c>
      <c r="B1181" s="25">
        <v>307.0</v>
      </c>
      <c r="C1181" s="25">
        <v>312.9</v>
      </c>
      <c r="D1181" s="25">
        <v>306.02</v>
      </c>
      <c r="E1181" s="25">
        <v>310.52</v>
      </c>
      <c r="F1181" s="25">
        <v>3920292.0</v>
      </c>
    </row>
    <row r="1182">
      <c r="A1182" s="25">
        <v>40107.645833333336</v>
      </c>
      <c r="B1182" s="25">
        <v>310.0</v>
      </c>
      <c r="C1182" s="25">
        <v>319.7</v>
      </c>
      <c r="D1182" s="25">
        <v>309.0</v>
      </c>
      <c r="E1182" s="25">
        <v>316.4</v>
      </c>
      <c r="F1182" s="25">
        <v>2865819.0</v>
      </c>
    </row>
    <row r="1183">
      <c r="A1183" s="25">
        <v>40108.645833333336</v>
      </c>
      <c r="B1183" s="25">
        <v>316.0</v>
      </c>
      <c r="C1183" s="25">
        <v>321.98</v>
      </c>
      <c r="D1183" s="25">
        <v>307.67</v>
      </c>
      <c r="E1183" s="25">
        <v>312.92</v>
      </c>
      <c r="F1183" s="25">
        <v>2146462.0</v>
      </c>
    </row>
    <row r="1184">
      <c r="A1184" s="25">
        <v>40109.645833333336</v>
      </c>
      <c r="B1184" s="25">
        <v>315.05</v>
      </c>
      <c r="C1184" s="25">
        <v>322.95</v>
      </c>
      <c r="D1184" s="25">
        <v>314.8</v>
      </c>
      <c r="E1184" s="25">
        <v>319.9</v>
      </c>
      <c r="F1184" s="25">
        <v>3747230.0</v>
      </c>
    </row>
    <row r="1185">
      <c r="A1185" s="25">
        <v>40112.645833333336</v>
      </c>
      <c r="B1185" s="25">
        <v>321.5</v>
      </c>
      <c r="C1185" s="25">
        <v>328.83</v>
      </c>
      <c r="D1185" s="25">
        <v>317.5</v>
      </c>
      <c r="E1185" s="25">
        <v>322.27</v>
      </c>
      <c r="F1185" s="25">
        <v>2035873.0</v>
      </c>
    </row>
    <row r="1186">
      <c r="A1186" s="25">
        <v>40113.645833333336</v>
      </c>
      <c r="B1186" s="25">
        <v>328.95</v>
      </c>
      <c r="C1186" s="25">
        <v>328.95</v>
      </c>
      <c r="D1186" s="25">
        <v>317.27</v>
      </c>
      <c r="E1186" s="25">
        <v>321.38</v>
      </c>
      <c r="F1186" s="25">
        <v>1970440.0</v>
      </c>
    </row>
    <row r="1187">
      <c r="A1187" s="25">
        <v>40114.645833333336</v>
      </c>
      <c r="B1187" s="25">
        <v>321.2</v>
      </c>
      <c r="C1187" s="25">
        <v>324.45</v>
      </c>
      <c r="D1187" s="25">
        <v>317.5</v>
      </c>
      <c r="E1187" s="25">
        <v>321.42</v>
      </c>
      <c r="F1187" s="25">
        <v>1791157.0</v>
      </c>
    </row>
    <row r="1188">
      <c r="A1188" s="25">
        <v>40115.645833333336</v>
      </c>
      <c r="B1188" s="25">
        <v>318.0</v>
      </c>
      <c r="C1188" s="25">
        <v>322.75</v>
      </c>
      <c r="D1188" s="25">
        <v>315.6</v>
      </c>
      <c r="E1188" s="25">
        <v>317.02</v>
      </c>
      <c r="F1188" s="25">
        <v>2441356.0</v>
      </c>
    </row>
    <row r="1189">
      <c r="A1189" s="25">
        <v>40116.645833333336</v>
      </c>
      <c r="B1189" s="25">
        <v>321.0</v>
      </c>
      <c r="C1189" s="25">
        <v>324.38</v>
      </c>
      <c r="D1189" s="25">
        <v>310.0</v>
      </c>
      <c r="E1189" s="25">
        <v>314.15</v>
      </c>
      <c r="F1189" s="25">
        <v>1438062.0</v>
      </c>
    </row>
    <row r="1190">
      <c r="A1190" s="25">
        <v>40120.645833333336</v>
      </c>
      <c r="B1190" s="25">
        <v>318.0</v>
      </c>
      <c r="C1190" s="25">
        <v>318.0</v>
      </c>
      <c r="D1190" s="25">
        <v>300.5</v>
      </c>
      <c r="E1190" s="25">
        <v>303.02</v>
      </c>
      <c r="F1190" s="25">
        <v>1384144.0</v>
      </c>
    </row>
    <row r="1191">
      <c r="A1191" s="25">
        <v>40121.645833333336</v>
      </c>
      <c r="B1191" s="25">
        <v>305.55</v>
      </c>
      <c r="C1191" s="25">
        <v>314.0</v>
      </c>
      <c r="D1191" s="25">
        <v>305.0</v>
      </c>
      <c r="E1191" s="25">
        <v>312.85</v>
      </c>
      <c r="F1191" s="25">
        <v>2277899.0</v>
      </c>
    </row>
    <row r="1192">
      <c r="A1192" s="25">
        <v>40122.645833333336</v>
      </c>
      <c r="B1192" s="25">
        <v>315.0</v>
      </c>
      <c r="C1192" s="25">
        <v>315.0</v>
      </c>
      <c r="D1192" s="25">
        <v>302.8</v>
      </c>
      <c r="E1192" s="25">
        <v>312.25</v>
      </c>
      <c r="F1192" s="25">
        <v>1365651.0</v>
      </c>
    </row>
    <row r="1193">
      <c r="A1193" s="25">
        <v>40123.645833333336</v>
      </c>
      <c r="B1193" s="25">
        <v>310.0</v>
      </c>
      <c r="C1193" s="25">
        <v>317.48</v>
      </c>
      <c r="D1193" s="25">
        <v>306.83</v>
      </c>
      <c r="E1193" s="25">
        <v>311.08</v>
      </c>
      <c r="F1193" s="25">
        <v>2089742.0</v>
      </c>
    </row>
    <row r="1194">
      <c r="A1194" s="25">
        <v>40126.645833333336</v>
      </c>
      <c r="B1194" s="25">
        <v>312.5</v>
      </c>
      <c r="C1194" s="25">
        <v>314.0</v>
      </c>
      <c r="D1194" s="25">
        <v>307.5</v>
      </c>
      <c r="E1194" s="25">
        <v>311.38</v>
      </c>
      <c r="F1194" s="25">
        <v>1716043.0</v>
      </c>
    </row>
    <row r="1195">
      <c r="A1195" s="25">
        <v>40127.645833333336</v>
      </c>
      <c r="B1195" s="25">
        <v>313.0</v>
      </c>
      <c r="C1195" s="25">
        <v>314.5</v>
      </c>
      <c r="D1195" s="25">
        <v>310.0</v>
      </c>
      <c r="E1195" s="25">
        <v>313.33</v>
      </c>
      <c r="F1195" s="25">
        <v>2305203.0</v>
      </c>
    </row>
    <row r="1196">
      <c r="A1196" s="25">
        <v>40128.645833333336</v>
      </c>
      <c r="B1196" s="25">
        <v>313.52</v>
      </c>
      <c r="C1196" s="25">
        <v>323.5</v>
      </c>
      <c r="D1196" s="25">
        <v>309.25</v>
      </c>
      <c r="E1196" s="25">
        <v>322.63</v>
      </c>
      <c r="F1196" s="25">
        <v>2024706.0</v>
      </c>
    </row>
    <row r="1197">
      <c r="A1197" s="25">
        <v>40129.645833333336</v>
      </c>
      <c r="B1197" s="25">
        <v>322.5</v>
      </c>
      <c r="C1197" s="25">
        <v>330.75</v>
      </c>
      <c r="D1197" s="25">
        <v>321.77</v>
      </c>
      <c r="E1197" s="25">
        <v>327.67</v>
      </c>
      <c r="F1197" s="25">
        <v>2363883.0</v>
      </c>
    </row>
    <row r="1198">
      <c r="A1198" s="25">
        <v>40130.645833333336</v>
      </c>
      <c r="B1198" s="25">
        <v>327.48</v>
      </c>
      <c r="C1198" s="25">
        <v>337.45</v>
      </c>
      <c r="D1198" s="25">
        <v>323.77</v>
      </c>
      <c r="E1198" s="25">
        <v>335.08</v>
      </c>
      <c r="F1198" s="25">
        <v>2298948.0</v>
      </c>
    </row>
    <row r="1199">
      <c r="A1199" s="25">
        <v>40133.645833333336</v>
      </c>
      <c r="B1199" s="25">
        <v>335.0</v>
      </c>
      <c r="C1199" s="25">
        <v>338.5</v>
      </c>
      <c r="D1199" s="25">
        <v>330.0</v>
      </c>
      <c r="E1199" s="25">
        <v>332.88</v>
      </c>
      <c r="F1199" s="25">
        <v>1761904.0</v>
      </c>
    </row>
    <row r="1200">
      <c r="A1200" s="25">
        <v>40134.645833333336</v>
      </c>
      <c r="B1200" s="25">
        <v>334.0</v>
      </c>
      <c r="C1200" s="25">
        <v>346.45</v>
      </c>
      <c r="D1200" s="25">
        <v>329.65</v>
      </c>
      <c r="E1200" s="25">
        <v>345.23</v>
      </c>
      <c r="F1200" s="25">
        <v>2672165.0</v>
      </c>
    </row>
    <row r="1201">
      <c r="A1201" s="25">
        <v>40135.645833333336</v>
      </c>
      <c r="B1201" s="25">
        <v>345.5</v>
      </c>
      <c r="C1201" s="25">
        <v>352.85</v>
      </c>
      <c r="D1201" s="25">
        <v>341.75</v>
      </c>
      <c r="E1201" s="25">
        <v>343.45</v>
      </c>
      <c r="F1201" s="25">
        <v>2791457.0</v>
      </c>
    </row>
    <row r="1202">
      <c r="A1202" s="25">
        <v>40136.645833333336</v>
      </c>
      <c r="B1202" s="25">
        <v>344.95</v>
      </c>
      <c r="C1202" s="25">
        <v>346.2</v>
      </c>
      <c r="D1202" s="25">
        <v>334.75</v>
      </c>
      <c r="E1202" s="25">
        <v>339.95</v>
      </c>
      <c r="F1202" s="25">
        <v>1732332.0</v>
      </c>
    </row>
    <row r="1203">
      <c r="A1203" s="25">
        <v>40137.645833333336</v>
      </c>
      <c r="B1203" s="25">
        <v>339.0</v>
      </c>
      <c r="C1203" s="25">
        <v>348.0</v>
      </c>
      <c r="D1203" s="25">
        <v>335.05</v>
      </c>
      <c r="E1203" s="25">
        <v>346.58</v>
      </c>
      <c r="F1203" s="25">
        <v>1400387.0</v>
      </c>
    </row>
    <row r="1204">
      <c r="A1204" s="25">
        <v>40140.645833333336</v>
      </c>
      <c r="B1204" s="25">
        <v>347.5</v>
      </c>
      <c r="C1204" s="25">
        <v>350.0</v>
      </c>
      <c r="D1204" s="25">
        <v>343.0</v>
      </c>
      <c r="E1204" s="25">
        <v>347.05</v>
      </c>
      <c r="F1204" s="25">
        <v>1271737.0</v>
      </c>
    </row>
    <row r="1205">
      <c r="A1205" s="25">
        <v>40141.645833333336</v>
      </c>
      <c r="B1205" s="25">
        <v>352.0</v>
      </c>
      <c r="C1205" s="25">
        <v>352.0</v>
      </c>
      <c r="D1205" s="25">
        <v>341.0</v>
      </c>
      <c r="E1205" s="25">
        <v>349.53</v>
      </c>
      <c r="F1205" s="25">
        <v>1360936.0</v>
      </c>
    </row>
    <row r="1206">
      <c r="A1206" s="25">
        <v>40142.645833333336</v>
      </c>
      <c r="B1206" s="25">
        <v>349.53</v>
      </c>
      <c r="C1206" s="25">
        <v>355.83</v>
      </c>
      <c r="D1206" s="25">
        <v>346.0</v>
      </c>
      <c r="E1206" s="25">
        <v>351.4</v>
      </c>
      <c r="F1206" s="25">
        <v>1946627.0</v>
      </c>
    </row>
    <row r="1207">
      <c r="A1207" s="25">
        <v>40143.645833333336</v>
      </c>
      <c r="B1207" s="25">
        <v>352.48</v>
      </c>
      <c r="C1207" s="25">
        <v>353.67</v>
      </c>
      <c r="D1207" s="25">
        <v>342.5</v>
      </c>
      <c r="E1207" s="25">
        <v>343.95</v>
      </c>
      <c r="F1207" s="25">
        <v>2204559.0</v>
      </c>
    </row>
    <row r="1208">
      <c r="A1208" s="25">
        <v>40144.645833333336</v>
      </c>
      <c r="B1208" s="25">
        <v>338.28</v>
      </c>
      <c r="C1208" s="25">
        <v>343.2</v>
      </c>
      <c r="D1208" s="25">
        <v>327.5</v>
      </c>
      <c r="E1208" s="25">
        <v>335.23</v>
      </c>
      <c r="F1208" s="25">
        <v>1884529.0</v>
      </c>
    </row>
    <row r="1209">
      <c r="A1209" s="25">
        <v>40147.645833333336</v>
      </c>
      <c r="B1209" s="25">
        <v>337.0</v>
      </c>
      <c r="C1209" s="25">
        <v>346.48</v>
      </c>
      <c r="D1209" s="25">
        <v>337.0</v>
      </c>
      <c r="E1209" s="25">
        <v>344.2</v>
      </c>
      <c r="F1209" s="25">
        <v>1941444.0</v>
      </c>
    </row>
    <row r="1210">
      <c r="A1210" s="25">
        <v>40148.645833333336</v>
      </c>
      <c r="B1210" s="25">
        <v>351.7</v>
      </c>
      <c r="C1210" s="25">
        <v>351.7</v>
      </c>
      <c r="D1210" s="25">
        <v>340.13</v>
      </c>
      <c r="E1210" s="25">
        <v>342.88</v>
      </c>
      <c r="F1210" s="25">
        <v>1614982.0</v>
      </c>
    </row>
    <row r="1211">
      <c r="A1211" s="25">
        <v>40149.645833333336</v>
      </c>
      <c r="B1211" s="25">
        <v>347.48</v>
      </c>
      <c r="C1211" s="25">
        <v>347.48</v>
      </c>
      <c r="D1211" s="25">
        <v>338.53</v>
      </c>
      <c r="E1211" s="25">
        <v>342.15</v>
      </c>
      <c r="F1211" s="25">
        <v>1080977.0</v>
      </c>
    </row>
    <row r="1212">
      <c r="A1212" s="25">
        <v>40150.645833333336</v>
      </c>
      <c r="B1212" s="25">
        <v>343.88</v>
      </c>
      <c r="C1212" s="25">
        <v>347.95</v>
      </c>
      <c r="D1212" s="25">
        <v>339.63</v>
      </c>
      <c r="E1212" s="25">
        <v>345.03</v>
      </c>
      <c r="F1212" s="25">
        <v>1489353.0</v>
      </c>
    </row>
    <row r="1213">
      <c r="A1213" s="25">
        <v>40151.645833333336</v>
      </c>
      <c r="B1213" s="25">
        <v>340.5</v>
      </c>
      <c r="C1213" s="25">
        <v>350.5</v>
      </c>
      <c r="D1213" s="25">
        <v>340.5</v>
      </c>
      <c r="E1213" s="25">
        <v>347.6</v>
      </c>
      <c r="F1213" s="25">
        <v>1966704.0</v>
      </c>
    </row>
    <row r="1214">
      <c r="A1214" s="25">
        <v>40154.645833333336</v>
      </c>
      <c r="B1214" s="25">
        <v>349.0</v>
      </c>
      <c r="C1214" s="25">
        <v>352.95</v>
      </c>
      <c r="D1214" s="25">
        <v>347.5</v>
      </c>
      <c r="E1214" s="25">
        <v>349.7</v>
      </c>
      <c r="F1214" s="25">
        <v>1103826.0</v>
      </c>
    </row>
    <row r="1215">
      <c r="A1215" s="25">
        <v>40155.645833333336</v>
      </c>
      <c r="B1215" s="25">
        <v>349.92</v>
      </c>
      <c r="C1215" s="25">
        <v>350.42</v>
      </c>
      <c r="D1215" s="25">
        <v>345.13</v>
      </c>
      <c r="E1215" s="25">
        <v>349.15</v>
      </c>
      <c r="F1215" s="25">
        <v>2113086.0</v>
      </c>
    </row>
    <row r="1216">
      <c r="A1216" s="25">
        <v>40156.645833333336</v>
      </c>
      <c r="B1216" s="25">
        <v>349.0</v>
      </c>
      <c r="C1216" s="25">
        <v>355.45</v>
      </c>
      <c r="D1216" s="25">
        <v>346.6</v>
      </c>
      <c r="E1216" s="25">
        <v>353.35</v>
      </c>
      <c r="F1216" s="25">
        <v>2354424.0</v>
      </c>
    </row>
    <row r="1217">
      <c r="A1217" s="25">
        <v>40157.645833333336</v>
      </c>
      <c r="B1217" s="25">
        <v>352.5</v>
      </c>
      <c r="C1217" s="25">
        <v>355.0</v>
      </c>
      <c r="D1217" s="25">
        <v>350.98</v>
      </c>
      <c r="E1217" s="25">
        <v>352.83</v>
      </c>
      <c r="F1217" s="25">
        <v>829742.0</v>
      </c>
    </row>
    <row r="1218">
      <c r="A1218" s="25">
        <v>40158.645833333336</v>
      </c>
      <c r="B1218" s="25">
        <v>353.58</v>
      </c>
      <c r="C1218" s="25">
        <v>357.2</v>
      </c>
      <c r="D1218" s="25">
        <v>350.0</v>
      </c>
      <c r="E1218" s="25">
        <v>353.05</v>
      </c>
      <c r="F1218" s="25">
        <v>1344156.0</v>
      </c>
    </row>
    <row r="1219">
      <c r="A1219" s="25">
        <v>40161.645833333336</v>
      </c>
      <c r="B1219" s="25">
        <v>350.5</v>
      </c>
      <c r="C1219" s="25">
        <v>355.98</v>
      </c>
      <c r="D1219" s="25">
        <v>350.42</v>
      </c>
      <c r="E1219" s="25">
        <v>352.55</v>
      </c>
      <c r="F1219" s="25">
        <v>1504421.0</v>
      </c>
    </row>
    <row r="1220">
      <c r="A1220" s="25">
        <v>40162.645833333336</v>
      </c>
      <c r="B1220" s="25">
        <v>354.0</v>
      </c>
      <c r="C1220" s="25">
        <v>356.0</v>
      </c>
      <c r="D1220" s="25">
        <v>348.6</v>
      </c>
      <c r="E1220" s="25">
        <v>350.48</v>
      </c>
      <c r="F1220" s="25">
        <v>1043576.0</v>
      </c>
    </row>
    <row r="1221">
      <c r="A1221" s="25">
        <v>40163.645833333336</v>
      </c>
      <c r="B1221" s="25">
        <v>350.85</v>
      </c>
      <c r="C1221" s="25">
        <v>358.88</v>
      </c>
      <c r="D1221" s="25">
        <v>347.5</v>
      </c>
      <c r="E1221" s="25">
        <v>356.58</v>
      </c>
      <c r="F1221" s="25">
        <v>1782689.0</v>
      </c>
    </row>
    <row r="1222">
      <c r="A1222" s="25">
        <v>40164.645833333336</v>
      </c>
      <c r="B1222" s="25">
        <v>359.0</v>
      </c>
      <c r="C1222" s="25">
        <v>364.0</v>
      </c>
      <c r="D1222" s="25">
        <v>357.5</v>
      </c>
      <c r="E1222" s="25">
        <v>361.38</v>
      </c>
      <c r="F1222" s="25">
        <v>1891151.0</v>
      </c>
    </row>
    <row r="1223">
      <c r="A1223" s="25">
        <v>40165.645833333336</v>
      </c>
      <c r="B1223" s="25">
        <v>361.38</v>
      </c>
      <c r="C1223" s="25">
        <v>365.75</v>
      </c>
      <c r="D1223" s="25">
        <v>359.78</v>
      </c>
      <c r="E1223" s="25">
        <v>363.75</v>
      </c>
      <c r="F1223" s="25">
        <v>1397645.0</v>
      </c>
    </row>
    <row r="1224">
      <c r="A1224" s="25">
        <v>40168.645833333336</v>
      </c>
      <c r="B1224" s="25">
        <v>365.05</v>
      </c>
      <c r="C1224" s="25">
        <v>374.5</v>
      </c>
      <c r="D1224" s="25">
        <v>363.25</v>
      </c>
      <c r="E1224" s="25">
        <v>367.03</v>
      </c>
      <c r="F1224" s="25">
        <v>4663497.0</v>
      </c>
    </row>
    <row r="1225">
      <c r="A1225" s="25">
        <v>40169.645833333336</v>
      </c>
      <c r="B1225" s="25">
        <v>370.0</v>
      </c>
      <c r="C1225" s="25">
        <v>371.25</v>
      </c>
      <c r="D1225" s="25">
        <v>359.6</v>
      </c>
      <c r="E1225" s="25">
        <v>362.03</v>
      </c>
      <c r="F1225" s="25">
        <v>1594571.0</v>
      </c>
    </row>
    <row r="1226">
      <c r="A1226" s="25">
        <v>40170.645833333336</v>
      </c>
      <c r="B1226" s="25">
        <v>364.23</v>
      </c>
      <c r="C1226" s="25">
        <v>374.75</v>
      </c>
      <c r="D1226" s="25">
        <v>362.78</v>
      </c>
      <c r="E1226" s="25">
        <v>373.28</v>
      </c>
      <c r="F1226" s="25">
        <v>2235343.0</v>
      </c>
    </row>
    <row r="1227">
      <c r="A1227" s="25">
        <v>40171.645833333336</v>
      </c>
      <c r="B1227" s="25">
        <v>375.0</v>
      </c>
      <c r="C1227" s="25">
        <v>378.5</v>
      </c>
      <c r="D1227" s="25">
        <v>370.53</v>
      </c>
      <c r="E1227" s="25">
        <v>374.65</v>
      </c>
      <c r="F1227" s="25">
        <v>1528843.0</v>
      </c>
    </row>
    <row r="1228">
      <c r="A1228" s="25">
        <v>40176.645833333336</v>
      </c>
      <c r="B1228" s="25">
        <v>375.0</v>
      </c>
      <c r="C1228" s="25">
        <v>375.9</v>
      </c>
      <c r="D1228" s="25">
        <v>368.33</v>
      </c>
      <c r="E1228" s="25">
        <v>370.7</v>
      </c>
      <c r="F1228" s="25">
        <v>1128139.0</v>
      </c>
    </row>
    <row r="1229">
      <c r="A1229" s="25">
        <v>40177.645833333336</v>
      </c>
      <c r="B1229" s="25">
        <v>371.0</v>
      </c>
      <c r="C1229" s="25">
        <v>374.38</v>
      </c>
      <c r="D1229" s="25">
        <v>357.63</v>
      </c>
      <c r="E1229" s="25">
        <v>371.38</v>
      </c>
      <c r="F1229" s="25">
        <v>736055.0</v>
      </c>
    </row>
    <row r="1230">
      <c r="A1230" s="25">
        <v>40178.645833333336</v>
      </c>
      <c r="B1230" s="25">
        <v>373.13</v>
      </c>
      <c r="C1230" s="25">
        <v>377.5</v>
      </c>
      <c r="D1230" s="25">
        <v>371.9</v>
      </c>
      <c r="E1230" s="25">
        <v>375.13</v>
      </c>
      <c r="F1230" s="25">
        <v>1426731.0</v>
      </c>
    </row>
    <row r="1231">
      <c r="A1231" s="25">
        <v>40182.645833333336</v>
      </c>
      <c r="B1231" s="25">
        <v>377.4</v>
      </c>
      <c r="C1231" s="25">
        <v>379.45</v>
      </c>
      <c r="D1231" s="25">
        <v>374.53</v>
      </c>
      <c r="E1231" s="25">
        <v>375.83</v>
      </c>
      <c r="F1231" s="25">
        <v>981841.0</v>
      </c>
    </row>
    <row r="1232">
      <c r="A1232" s="25">
        <v>40183.645833333336</v>
      </c>
      <c r="B1232" s="25">
        <v>377.5</v>
      </c>
      <c r="C1232" s="25">
        <v>379.78</v>
      </c>
      <c r="D1232" s="25">
        <v>373.28</v>
      </c>
      <c r="E1232" s="25">
        <v>375.92</v>
      </c>
      <c r="F1232" s="25">
        <v>1007244.0</v>
      </c>
    </row>
    <row r="1233">
      <c r="A1233" s="25">
        <v>40184.645833333336</v>
      </c>
      <c r="B1233" s="25">
        <v>375.92</v>
      </c>
      <c r="C1233" s="25">
        <v>376.1</v>
      </c>
      <c r="D1233" s="25">
        <v>366.5</v>
      </c>
      <c r="E1233" s="25">
        <v>367.42</v>
      </c>
      <c r="F1233" s="25">
        <v>1674588.0</v>
      </c>
    </row>
    <row r="1234">
      <c r="A1234" s="25">
        <v>40185.645833333336</v>
      </c>
      <c r="B1234" s="25">
        <v>367.75</v>
      </c>
      <c r="C1234" s="25">
        <v>369.7</v>
      </c>
      <c r="D1234" s="25">
        <v>355.5</v>
      </c>
      <c r="E1234" s="25">
        <v>357.2</v>
      </c>
      <c r="F1234" s="25">
        <v>3237446.0</v>
      </c>
    </row>
    <row r="1235">
      <c r="A1235" s="25">
        <v>40186.645833333336</v>
      </c>
      <c r="B1235" s="25">
        <v>358.0</v>
      </c>
      <c r="C1235" s="25">
        <v>359.25</v>
      </c>
      <c r="D1235" s="25">
        <v>348.25</v>
      </c>
      <c r="E1235" s="25">
        <v>349.9</v>
      </c>
      <c r="F1235" s="25">
        <v>3024089.0</v>
      </c>
    </row>
    <row r="1236">
      <c r="A1236" s="25">
        <v>40189.645833333336</v>
      </c>
      <c r="B1236" s="25">
        <v>352.0</v>
      </c>
      <c r="C1236" s="25">
        <v>360.05</v>
      </c>
      <c r="D1236" s="25">
        <v>350.2</v>
      </c>
      <c r="E1236" s="25">
        <v>357.1</v>
      </c>
      <c r="F1236" s="25">
        <v>2159204.0</v>
      </c>
    </row>
    <row r="1237">
      <c r="A1237" s="25">
        <v>40190.645833333336</v>
      </c>
      <c r="B1237" s="25">
        <v>366.0</v>
      </c>
      <c r="C1237" s="25">
        <v>377.0</v>
      </c>
      <c r="D1237" s="25">
        <v>363.5</v>
      </c>
      <c r="E1237" s="25">
        <v>375.03</v>
      </c>
      <c r="F1237" s="25">
        <v>4513845.0</v>
      </c>
    </row>
    <row r="1238">
      <c r="A1238" s="25">
        <v>40191.645833333336</v>
      </c>
      <c r="B1238" s="25">
        <v>372.5</v>
      </c>
      <c r="C1238" s="25">
        <v>398.2</v>
      </c>
      <c r="D1238" s="25">
        <v>372.33</v>
      </c>
      <c r="E1238" s="25">
        <v>394.28</v>
      </c>
      <c r="F1238" s="25">
        <v>5455136.0</v>
      </c>
    </row>
    <row r="1239">
      <c r="A1239" s="25">
        <v>40192.645833333336</v>
      </c>
      <c r="B1239" s="25">
        <v>399.23</v>
      </c>
      <c r="C1239" s="25">
        <v>399.23</v>
      </c>
      <c r="D1239" s="25">
        <v>384.67</v>
      </c>
      <c r="E1239" s="25">
        <v>389.92</v>
      </c>
      <c r="F1239" s="25">
        <v>5163807.0</v>
      </c>
    </row>
    <row r="1240">
      <c r="A1240" s="25">
        <v>40193.645833333336</v>
      </c>
      <c r="B1240" s="25">
        <v>398.0</v>
      </c>
      <c r="C1240" s="25">
        <v>399.8</v>
      </c>
      <c r="D1240" s="25">
        <v>386.13</v>
      </c>
      <c r="E1240" s="25">
        <v>395.7</v>
      </c>
      <c r="F1240" s="25">
        <v>3972504.0</v>
      </c>
    </row>
    <row r="1241">
      <c r="A1241" s="25">
        <v>40196.645833333336</v>
      </c>
      <c r="B1241" s="25">
        <v>400.0</v>
      </c>
      <c r="C1241" s="25">
        <v>414.5</v>
      </c>
      <c r="D1241" s="25">
        <v>396.5</v>
      </c>
      <c r="E1241" s="25">
        <v>401.1</v>
      </c>
      <c r="F1241" s="25">
        <v>3630542.0</v>
      </c>
    </row>
    <row r="1242">
      <c r="A1242" s="25">
        <v>40197.645833333336</v>
      </c>
      <c r="B1242" s="25">
        <v>401.1</v>
      </c>
      <c r="C1242" s="25">
        <v>401.1</v>
      </c>
      <c r="D1242" s="25">
        <v>389.33</v>
      </c>
      <c r="E1242" s="25">
        <v>390.35</v>
      </c>
      <c r="F1242" s="25">
        <v>2577425.0</v>
      </c>
    </row>
    <row r="1243">
      <c r="A1243" s="25">
        <v>40198.645833333336</v>
      </c>
      <c r="B1243" s="25">
        <v>396.1</v>
      </c>
      <c r="C1243" s="25">
        <v>396.1</v>
      </c>
      <c r="D1243" s="25">
        <v>385.45</v>
      </c>
      <c r="E1243" s="25">
        <v>389.7</v>
      </c>
      <c r="F1243" s="25">
        <v>2173527.0</v>
      </c>
    </row>
    <row r="1244">
      <c r="A1244" s="25">
        <v>40199.645833333336</v>
      </c>
      <c r="B1244" s="25">
        <v>386.13</v>
      </c>
      <c r="C1244" s="25">
        <v>395.98</v>
      </c>
      <c r="D1244" s="25">
        <v>383.95</v>
      </c>
      <c r="E1244" s="25">
        <v>385.33</v>
      </c>
      <c r="F1244" s="25">
        <v>2544752.0</v>
      </c>
    </row>
    <row r="1245">
      <c r="A1245" s="25">
        <v>40200.645833333336</v>
      </c>
      <c r="B1245" s="25">
        <v>380.5</v>
      </c>
      <c r="C1245" s="25">
        <v>382.5</v>
      </c>
      <c r="D1245" s="25">
        <v>372.35</v>
      </c>
      <c r="E1245" s="25">
        <v>378.92</v>
      </c>
      <c r="F1245" s="25">
        <v>3787495.0</v>
      </c>
    </row>
    <row r="1246">
      <c r="A1246" s="25">
        <v>40203.645833333336</v>
      </c>
      <c r="B1246" s="25">
        <v>378.75</v>
      </c>
      <c r="C1246" s="25">
        <v>382.75</v>
      </c>
      <c r="D1246" s="25">
        <v>370.58</v>
      </c>
      <c r="E1246" s="25">
        <v>378.1</v>
      </c>
      <c r="F1246" s="25">
        <v>1504143.0</v>
      </c>
    </row>
    <row r="1247">
      <c r="A1247" s="25">
        <v>40205.645833333336</v>
      </c>
      <c r="B1247" s="25">
        <v>375.0</v>
      </c>
      <c r="C1247" s="25">
        <v>379.85</v>
      </c>
      <c r="D1247" s="25">
        <v>370.08</v>
      </c>
      <c r="E1247" s="25">
        <v>371.65</v>
      </c>
      <c r="F1247" s="25">
        <v>2422199.0</v>
      </c>
    </row>
    <row r="1248">
      <c r="A1248" s="25">
        <v>40206.645833333336</v>
      </c>
      <c r="B1248" s="25">
        <v>374.75</v>
      </c>
      <c r="C1248" s="25">
        <v>378.98</v>
      </c>
      <c r="D1248" s="25">
        <v>363.85</v>
      </c>
      <c r="E1248" s="25">
        <v>370.88</v>
      </c>
      <c r="F1248" s="25">
        <v>3268598.0</v>
      </c>
    </row>
    <row r="1249">
      <c r="A1249" s="25">
        <v>40207.645833333336</v>
      </c>
      <c r="B1249" s="25">
        <v>367.0</v>
      </c>
      <c r="C1249" s="25">
        <v>369.9</v>
      </c>
      <c r="D1249" s="25">
        <v>356.08</v>
      </c>
      <c r="E1249" s="25">
        <v>368.1</v>
      </c>
      <c r="F1249" s="25">
        <v>2736663.0</v>
      </c>
    </row>
    <row r="1250">
      <c r="A1250" s="25">
        <v>40210.645833333336</v>
      </c>
      <c r="B1250" s="25">
        <v>367.17</v>
      </c>
      <c r="C1250" s="25">
        <v>381.4</v>
      </c>
      <c r="D1250" s="25">
        <v>360.0</v>
      </c>
      <c r="E1250" s="25">
        <v>373.08</v>
      </c>
      <c r="F1250" s="25">
        <v>1689006.0</v>
      </c>
    </row>
    <row r="1251">
      <c r="A1251" s="25">
        <v>40211.645833333336</v>
      </c>
      <c r="B1251" s="25">
        <v>377.5</v>
      </c>
      <c r="C1251" s="25">
        <v>381.33</v>
      </c>
      <c r="D1251" s="25">
        <v>367.5</v>
      </c>
      <c r="E1251" s="25">
        <v>369.2</v>
      </c>
      <c r="F1251" s="25">
        <v>2369594.0</v>
      </c>
    </row>
    <row r="1252">
      <c r="A1252" s="25">
        <v>40212.645833333336</v>
      </c>
      <c r="B1252" s="25">
        <v>372.0</v>
      </c>
      <c r="C1252" s="25">
        <v>378.45</v>
      </c>
      <c r="D1252" s="25">
        <v>367.75</v>
      </c>
      <c r="E1252" s="25">
        <v>376.48</v>
      </c>
      <c r="F1252" s="25">
        <v>1488838.0</v>
      </c>
    </row>
    <row r="1253">
      <c r="A1253" s="25">
        <v>40213.645833333336</v>
      </c>
      <c r="B1253" s="25">
        <v>376.48</v>
      </c>
      <c r="C1253" s="25">
        <v>376.95</v>
      </c>
      <c r="D1253" s="25">
        <v>366.25</v>
      </c>
      <c r="E1253" s="25">
        <v>369.35</v>
      </c>
      <c r="F1253" s="25">
        <v>1358306.0</v>
      </c>
    </row>
    <row r="1254">
      <c r="A1254" s="25">
        <v>40214.645833333336</v>
      </c>
      <c r="B1254" s="25">
        <v>367.5</v>
      </c>
      <c r="C1254" s="25">
        <v>367.5</v>
      </c>
      <c r="D1254" s="25">
        <v>358.3</v>
      </c>
      <c r="E1254" s="25">
        <v>361.75</v>
      </c>
      <c r="F1254" s="25">
        <v>2303559.0</v>
      </c>
    </row>
    <row r="1255">
      <c r="A1255" s="25">
        <v>40217.645833333336</v>
      </c>
      <c r="B1255" s="25">
        <v>364.5</v>
      </c>
      <c r="C1255" s="25">
        <v>367.38</v>
      </c>
      <c r="D1255" s="25">
        <v>354.08</v>
      </c>
      <c r="E1255" s="25">
        <v>362.08</v>
      </c>
      <c r="F1255" s="25">
        <v>2085172.0</v>
      </c>
    </row>
    <row r="1256">
      <c r="A1256" s="25">
        <v>40218.645833333336</v>
      </c>
      <c r="B1256" s="25">
        <v>362.5</v>
      </c>
      <c r="C1256" s="25">
        <v>370.98</v>
      </c>
      <c r="D1256" s="25">
        <v>360.53</v>
      </c>
      <c r="E1256" s="25">
        <v>367.58</v>
      </c>
      <c r="F1256" s="25">
        <v>1502947.0</v>
      </c>
    </row>
    <row r="1257">
      <c r="A1257" s="25">
        <v>40219.645833333336</v>
      </c>
      <c r="B1257" s="25">
        <v>369.95</v>
      </c>
      <c r="C1257" s="25">
        <v>371.85</v>
      </c>
      <c r="D1257" s="25">
        <v>364.05</v>
      </c>
      <c r="E1257" s="25">
        <v>366.15</v>
      </c>
      <c r="F1257" s="25">
        <v>1168687.0</v>
      </c>
    </row>
    <row r="1258">
      <c r="A1258" s="25">
        <v>40220.645833333336</v>
      </c>
      <c r="B1258" s="25">
        <v>368.98</v>
      </c>
      <c r="C1258" s="25">
        <v>373.98</v>
      </c>
      <c r="D1258" s="25">
        <v>367.5</v>
      </c>
      <c r="E1258" s="25">
        <v>371.35</v>
      </c>
      <c r="F1258" s="25">
        <v>1206578.0</v>
      </c>
    </row>
    <row r="1259">
      <c r="A1259" s="25">
        <v>40224.645833333336</v>
      </c>
      <c r="B1259" s="25">
        <v>375.0</v>
      </c>
      <c r="C1259" s="25">
        <v>375.0</v>
      </c>
      <c r="D1259" s="25">
        <v>369.28</v>
      </c>
      <c r="E1259" s="25">
        <v>373.08</v>
      </c>
      <c r="F1259" s="25">
        <v>978241.0</v>
      </c>
    </row>
    <row r="1260">
      <c r="A1260" s="25">
        <v>40225.645833333336</v>
      </c>
      <c r="B1260" s="25">
        <v>373.63</v>
      </c>
      <c r="C1260" s="25">
        <v>382.48</v>
      </c>
      <c r="D1260" s="25">
        <v>371.1</v>
      </c>
      <c r="E1260" s="25">
        <v>379.08</v>
      </c>
      <c r="F1260" s="25">
        <v>830245.0</v>
      </c>
    </row>
    <row r="1261">
      <c r="A1261" s="25">
        <v>40226.645833333336</v>
      </c>
      <c r="B1261" s="25">
        <v>382.45</v>
      </c>
      <c r="C1261" s="25">
        <v>383.98</v>
      </c>
      <c r="D1261" s="25">
        <v>376.28</v>
      </c>
      <c r="E1261" s="25">
        <v>379.33</v>
      </c>
      <c r="F1261" s="25">
        <v>1264145.0</v>
      </c>
    </row>
    <row r="1262">
      <c r="A1262" s="25">
        <v>40227.645833333336</v>
      </c>
      <c r="B1262" s="25">
        <v>380.0</v>
      </c>
      <c r="C1262" s="25">
        <v>383.48</v>
      </c>
      <c r="D1262" s="25">
        <v>377.75</v>
      </c>
      <c r="E1262" s="25">
        <v>379.4</v>
      </c>
      <c r="F1262" s="25">
        <v>907403.0</v>
      </c>
    </row>
    <row r="1263">
      <c r="A1263" s="25">
        <v>40228.645833333336</v>
      </c>
      <c r="B1263" s="25">
        <v>377.45</v>
      </c>
      <c r="C1263" s="25">
        <v>379.75</v>
      </c>
      <c r="D1263" s="25">
        <v>372.9</v>
      </c>
      <c r="E1263" s="25">
        <v>375.28</v>
      </c>
      <c r="F1263" s="25">
        <v>1107940.0</v>
      </c>
    </row>
    <row r="1264">
      <c r="A1264" s="25">
        <v>40231.645833333336</v>
      </c>
      <c r="B1264" s="25">
        <v>378.5</v>
      </c>
      <c r="C1264" s="25">
        <v>381.85</v>
      </c>
      <c r="D1264" s="25">
        <v>376.9</v>
      </c>
      <c r="E1264" s="25">
        <v>378.63</v>
      </c>
      <c r="F1264" s="25">
        <v>1071730.0</v>
      </c>
    </row>
    <row r="1265">
      <c r="A1265" s="25">
        <v>40232.645833333336</v>
      </c>
      <c r="B1265" s="25">
        <v>379.5</v>
      </c>
      <c r="C1265" s="25">
        <v>382.5</v>
      </c>
      <c r="D1265" s="25">
        <v>375.63</v>
      </c>
      <c r="E1265" s="25">
        <v>381.05</v>
      </c>
      <c r="F1265" s="25">
        <v>926526.0</v>
      </c>
    </row>
    <row r="1266">
      <c r="A1266" s="25">
        <v>40233.645833333336</v>
      </c>
      <c r="B1266" s="25">
        <v>378.0</v>
      </c>
      <c r="C1266" s="25">
        <v>385.35</v>
      </c>
      <c r="D1266" s="25">
        <v>376.05</v>
      </c>
      <c r="E1266" s="25">
        <v>382.67</v>
      </c>
      <c r="F1266" s="25">
        <v>2038029.0</v>
      </c>
    </row>
    <row r="1267">
      <c r="A1267" s="25">
        <v>40234.645833333336</v>
      </c>
      <c r="B1267" s="25">
        <v>384.9</v>
      </c>
      <c r="C1267" s="25">
        <v>384.9</v>
      </c>
      <c r="D1267" s="25">
        <v>380.63</v>
      </c>
      <c r="E1267" s="25">
        <v>383.13</v>
      </c>
      <c r="F1267" s="25">
        <v>1336492.0</v>
      </c>
    </row>
    <row r="1268">
      <c r="A1268" s="25">
        <v>40235.645833333336</v>
      </c>
      <c r="B1268" s="25">
        <v>383.55</v>
      </c>
      <c r="C1268" s="25">
        <v>389.28</v>
      </c>
      <c r="D1268" s="25">
        <v>373.08</v>
      </c>
      <c r="E1268" s="25">
        <v>380.9</v>
      </c>
      <c r="F1268" s="25">
        <v>1507967.0</v>
      </c>
    </row>
    <row r="1269">
      <c r="A1269" s="25">
        <v>40239.645833333336</v>
      </c>
      <c r="B1269" s="25">
        <v>381.0</v>
      </c>
      <c r="C1269" s="25">
        <v>384.5</v>
      </c>
      <c r="D1269" s="25">
        <v>377.5</v>
      </c>
      <c r="E1269" s="25">
        <v>381.6</v>
      </c>
      <c r="F1269" s="25">
        <v>2026676.0</v>
      </c>
    </row>
    <row r="1270">
      <c r="A1270" s="25">
        <v>40240.645833333336</v>
      </c>
      <c r="B1270" s="25">
        <v>384.5</v>
      </c>
      <c r="C1270" s="25">
        <v>387.0</v>
      </c>
      <c r="D1270" s="25">
        <v>382.08</v>
      </c>
      <c r="E1270" s="25">
        <v>384.38</v>
      </c>
      <c r="F1270" s="25">
        <v>1377371.0</v>
      </c>
    </row>
    <row r="1271">
      <c r="A1271" s="25">
        <v>40241.645833333336</v>
      </c>
      <c r="B1271" s="25">
        <v>384.0</v>
      </c>
      <c r="C1271" s="25">
        <v>385.0</v>
      </c>
      <c r="D1271" s="25">
        <v>378.5</v>
      </c>
      <c r="E1271" s="25">
        <v>381.95</v>
      </c>
      <c r="F1271" s="25">
        <v>1026803.0</v>
      </c>
    </row>
    <row r="1272">
      <c r="A1272" s="25">
        <v>40242.645833333336</v>
      </c>
      <c r="B1272" s="25">
        <v>382.5</v>
      </c>
      <c r="C1272" s="25">
        <v>383.48</v>
      </c>
      <c r="D1272" s="25">
        <v>380.08</v>
      </c>
      <c r="E1272" s="25">
        <v>381.3</v>
      </c>
      <c r="F1272" s="25">
        <v>643656.0</v>
      </c>
    </row>
    <row r="1273">
      <c r="A1273" s="25">
        <v>40245.645833333336</v>
      </c>
      <c r="B1273" s="25">
        <v>383.8</v>
      </c>
      <c r="C1273" s="25">
        <v>385.0</v>
      </c>
      <c r="D1273" s="25">
        <v>380.15</v>
      </c>
      <c r="E1273" s="25">
        <v>381.35</v>
      </c>
      <c r="F1273" s="25">
        <v>1507870.0</v>
      </c>
    </row>
    <row r="1274">
      <c r="A1274" s="25">
        <v>40246.645833333336</v>
      </c>
      <c r="B1274" s="25">
        <v>381.5</v>
      </c>
      <c r="C1274" s="25">
        <v>389.25</v>
      </c>
      <c r="D1274" s="25">
        <v>381.5</v>
      </c>
      <c r="E1274" s="25">
        <v>384.35</v>
      </c>
      <c r="F1274" s="25">
        <v>1728866.0</v>
      </c>
    </row>
    <row r="1275">
      <c r="A1275" s="25">
        <v>40247.645833333336</v>
      </c>
      <c r="B1275" s="25">
        <v>381.85</v>
      </c>
      <c r="C1275" s="25">
        <v>392.23</v>
      </c>
      <c r="D1275" s="25">
        <v>380.0</v>
      </c>
      <c r="E1275" s="25">
        <v>390.03</v>
      </c>
      <c r="F1275" s="25">
        <v>2293937.0</v>
      </c>
    </row>
    <row r="1276">
      <c r="A1276" s="25">
        <v>40248.645833333336</v>
      </c>
      <c r="B1276" s="25">
        <v>390.03</v>
      </c>
      <c r="C1276" s="25">
        <v>397.45</v>
      </c>
      <c r="D1276" s="25">
        <v>385.98</v>
      </c>
      <c r="E1276" s="25">
        <v>395.8</v>
      </c>
      <c r="F1276" s="25">
        <v>1607015.0</v>
      </c>
    </row>
    <row r="1277">
      <c r="A1277" s="25">
        <v>40249.645833333336</v>
      </c>
      <c r="B1277" s="25">
        <v>400.0</v>
      </c>
      <c r="C1277" s="25">
        <v>400.0</v>
      </c>
      <c r="D1277" s="25">
        <v>396.0</v>
      </c>
      <c r="E1277" s="25">
        <v>398.48</v>
      </c>
      <c r="F1277" s="25">
        <v>1255488.0</v>
      </c>
    </row>
    <row r="1278">
      <c r="A1278" s="25">
        <v>40252.645833333336</v>
      </c>
      <c r="B1278" s="25">
        <v>398.48</v>
      </c>
      <c r="C1278" s="25">
        <v>410.0</v>
      </c>
      <c r="D1278" s="25">
        <v>395.58</v>
      </c>
      <c r="E1278" s="25">
        <v>409.0</v>
      </c>
      <c r="F1278" s="25">
        <v>3027217.0</v>
      </c>
    </row>
    <row r="1279">
      <c r="A1279" s="25">
        <v>40253.645833333336</v>
      </c>
      <c r="B1279" s="25">
        <v>410.75</v>
      </c>
      <c r="C1279" s="25">
        <v>415.98</v>
      </c>
      <c r="D1279" s="25">
        <v>407.9</v>
      </c>
      <c r="E1279" s="25">
        <v>414.5</v>
      </c>
      <c r="F1279" s="25">
        <v>1544428.0</v>
      </c>
    </row>
    <row r="1280">
      <c r="A1280" s="25">
        <v>40254.645833333336</v>
      </c>
      <c r="B1280" s="25">
        <v>417.0</v>
      </c>
      <c r="C1280" s="25">
        <v>422.95</v>
      </c>
      <c r="D1280" s="25">
        <v>415.0</v>
      </c>
      <c r="E1280" s="25">
        <v>420.35</v>
      </c>
      <c r="F1280" s="25">
        <v>2087397.0</v>
      </c>
    </row>
    <row r="1281">
      <c r="A1281" s="25">
        <v>40255.645833333336</v>
      </c>
      <c r="B1281" s="25">
        <v>422.5</v>
      </c>
      <c r="C1281" s="25">
        <v>422.5</v>
      </c>
      <c r="D1281" s="25">
        <v>410.25</v>
      </c>
      <c r="E1281" s="25">
        <v>412.92</v>
      </c>
      <c r="F1281" s="25">
        <v>1862277.0</v>
      </c>
    </row>
    <row r="1282">
      <c r="A1282" s="25">
        <v>40256.645833333336</v>
      </c>
      <c r="B1282" s="25">
        <v>402.63</v>
      </c>
      <c r="C1282" s="25">
        <v>417.23</v>
      </c>
      <c r="D1282" s="25">
        <v>402.63</v>
      </c>
      <c r="E1282" s="25">
        <v>410.45</v>
      </c>
      <c r="F1282" s="25">
        <v>2358312.0</v>
      </c>
    </row>
    <row r="1283">
      <c r="A1283" s="25">
        <v>40259.645833333336</v>
      </c>
      <c r="B1283" s="25">
        <v>407.45</v>
      </c>
      <c r="C1283" s="25">
        <v>416.9</v>
      </c>
      <c r="D1283" s="25">
        <v>403.08</v>
      </c>
      <c r="E1283" s="25">
        <v>413.8</v>
      </c>
      <c r="F1283" s="25">
        <v>1655055.0</v>
      </c>
    </row>
    <row r="1284">
      <c r="A1284" s="25">
        <v>40260.645833333336</v>
      </c>
      <c r="B1284" s="25">
        <v>415.0</v>
      </c>
      <c r="C1284" s="25">
        <v>416.5</v>
      </c>
      <c r="D1284" s="25">
        <v>411.05</v>
      </c>
      <c r="E1284" s="25">
        <v>414.33</v>
      </c>
      <c r="F1284" s="25">
        <v>847482.0</v>
      </c>
    </row>
    <row r="1285">
      <c r="A1285" s="25">
        <v>40262.645833333336</v>
      </c>
      <c r="B1285" s="25">
        <v>412.05</v>
      </c>
      <c r="C1285" s="25">
        <v>418.4</v>
      </c>
      <c r="D1285" s="25">
        <v>409.0</v>
      </c>
      <c r="E1285" s="25">
        <v>414.9</v>
      </c>
      <c r="F1285" s="25">
        <v>2758791.0</v>
      </c>
    </row>
    <row r="1286">
      <c r="A1286" s="25">
        <v>40263.645833333336</v>
      </c>
      <c r="B1286" s="25">
        <v>415.0</v>
      </c>
      <c r="C1286" s="25">
        <v>418.0</v>
      </c>
      <c r="D1286" s="25">
        <v>411.15</v>
      </c>
      <c r="E1286" s="25">
        <v>412.53</v>
      </c>
      <c r="F1286" s="25">
        <v>998903.0</v>
      </c>
    </row>
    <row r="1287">
      <c r="A1287" s="25">
        <v>40266.645833333336</v>
      </c>
      <c r="B1287" s="25">
        <v>412.0</v>
      </c>
      <c r="C1287" s="25">
        <v>414.65</v>
      </c>
      <c r="D1287" s="25">
        <v>404.28</v>
      </c>
      <c r="E1287" s="25">
        <v>405.98</v>
      </c>
      <c r="F1287" s="25">
        <v>1721633.0</v>
      </c>
    </row>
    <row r="1288">
      <c r="A1288" s="25">
        <v>40267.645833333336</v>
      </c>
      <c r="B1288" s="25">
        <v>404.3</v>
      </c>
      <c r="C1288" s="25">
        <v>408.05</v>
      </c>
      <c r="D1288" s="25">
        <v>398.58</v>
      </c>
      <c r="E1288" s="25">
        <v>400.0</v>
      </c>
      <c r="F1288" s="25">
        <v>1548580.0</v>
      </c>
    </row>
    <row r="1289">
      <c r="A1289" s="25">
        <v>40268.645833333336</v>
      </c>
      <c r="B1289" s="25">
        <v>400.0</v>
      </c>
      <c r="C1289" s="25">
        <v>403.63</v>
      </c>
      <c r="D1289" s="25">
        <v>388.65</v>
      </c>
      <c r="E1289" s="25">
        <v>390.33</v>
      </c>
      <c r="F1289" s="25">
        <v>3541523.0</v>
      </c>
    </row>
    <row r="1290">
      <c r="A1290" s="25">
        <v>40269.645833333336</v>
      </c>
      <c r="B1290" s="25">
        <v>393.17</v>
      </c>
      <c r="C1290" s="25">
        <v>404.9</v>
      </c>
      <c r="D1290" s="25">
        <v>391.05</v>
      </c>
      <c r="E1290" s="25">
        <v>403.9</v>
      </c>
      <c r="F1290" s="25">
        <v>2890716.0</v>
      </c>
    </row>
    <row r="1291">
      <c r="A1291" s="25">
        <v>40273.645833333336</v>
      </c>
      <c r="B1291" s="25">
        <v>408.5</v>
      </c>
      <c r="C1291" s="25">
        <v>408.5</v>
      </c>
      <c r="D1291" s="25">
        <v>399.63</v>
      </c>
      <c r="E1291" s="25">
        <v>401.67</v>
      </c>
      <c r="F1291" s="25">
        <v>1500918.0</v>
      </c>
    </row>
    <row r="1292">
      <c r="A1292" s="25">
        <v>40274.645833333336</v>
      </c>
      <c r="B1292" s="25">
        <v>404.45</v>
      </c>
      <c r="C1292" s="25">
        <v>404.45</v>
      </c>
      <c r="D1292" s="25">
        <v>396.08</v>
      </c>
      <c r="E1292" s="25">
        <v>398.03</v>
      </c>
      <c r="F1292" s="25">
        <v>1851183.0</v>
      </c>
    </row>
    <row r="1293">
      <c r="A1293" s="25">
        <v>40275.645833333336</v>
      </c>
      <c r="B1293" s="25">
        <v>395.0</v>
      </c>
      <c r="C1293" s="25">
        <v>404.5</v>
      </c>
      <c r="D1293" s="25">
        <v>390.58</v>
      </c>
      <c r="E1293" s="25">
        <v>399.03</v>
      </c>
      <c r="F1293" s="25">
        <v>1512279.0</v>
      </c>
    </row>
    <row r="1294">
      <c r="A1294" s="25">
        <v>40276.645833333336</v>
      </c>
      <c r="B1294" s="25">
        <v>398.0</v>
      </c>
      <c r="C1294" s="25">
        <v>403.75</v>
      </c>
      <c r="D1294" s="25">
        <v>395.0</v>
      </c>
      <c r="E1294" s="25">
        <v>399.73</v>
      </c>
      <c r="F1294" s="25">
        <v>2247219.0</v>
      </c>
    </row>
    <row r="1295">
      <c r="A1295" s="25">
        <v>40277.645833333336</v>
      </c>
      <c r="B1295" s="25">
        <v>401.0</v>
      </c>
      <c r="C1295" s="25">
        <v>403.95</v>
      </c>
      <c r="D1295" s="25">
        <v>394.13</v>
      </c>
      <c r="E1295" s="25">
        <v>395.8</v>
      </c>
      <c r="F1295" s="25">
        <v>1509006.0</v>
      </c>
    </row>
    <row r="1296">
      <c r="A1296" s="25">
        <v>40280.645833333336</v>
      </c>
      <c r="B1296" s="25">
        <v>395.5</v>
      </c>
      <c r="C1296" s="25">
        <v>400.0</v>
      </c>
      <c r="D1296" s="25">
        <v>395.05</v>
      </c>
      <c r="E1296" s="25">
        <v>399.05</v>
      </c>
      <c r="F1296" s="25">
        <v>1434941.0</v>
      </c>
    </row>
    <row r="1297">
      <c r="A1297" s="25">
        <v>40281.645833333336</v>
      </c>
      <c r="B1297" s="25">
        <v>400.0</v>
      </c>
      <c r="C1297" s="25">
        <v>411.9</v>
      </c>
      <c r="D1297" s="25">
        <v>393.63</v>
      </c>
      <c r="E1297" s="25">
        <v>410.42</v>
      </c>
      <c r="F1297" s="25">
        <v>4202458.0</v>
      </c>
    </row>
    <row r="1298">
      <c r="A1298" s="25">
        <v>40283.645833333336</v>
      </c>
      <c r="B1298" s="25">
        <v>411.0</v>
      </c>
      <c r="C1298" s="25">
        <v>417.45</v>
      </c>
      <c r="D1298" s="25">
        <v>409.53</v>
      </c>
      <c r="E1298" s="25">
        <v>410.85</v>
      </c>
      <c r="F1298" s="25">
        <v>2145476.0</v>
      </c>
    </row>
    <row r="1299">
      <c r="A1299" s="25">
        <v>40284.645833333336</v>
      </c>
      <c r="B1299" s="25">
        <v>409.5</v>
      </c>
      <c r="C1299" s="25">
        <v>414.0</v>
      </c>
      <c r="D1299" s="25">
        <v>405.92</v>
      </c>
      <c r="E1299" s="25">
        <v>407.55</v>
      </c>
      <c r="F1299" s="25">
        <v>1905479.0</v>
      </c>
    </row>
    <row r="1300">
      <c r="A1300" s="25">
        <v>40287.645833333336</v>
      </c>
      <c r="B1300" s="25">
        <v>405.0</v>
      </c>
      <c r="C1300" s="25">
        <v>412.5</v>
      </c>
      <c r="D1300" s="25">
        <v>400.38</v>
      </c>
      <c r="E1300" s="25">
        <v>405.98</v>
      </c>
      <c r="F1300" s="25">
        <v>3473852.0</v>
      </c>
    </row>
    <row r="1301">
      <c r="A1301" s="25">
        <v>40288.645833333336</v>
      </c>
      <c r="B1301" s="25">
        <v>412.5</v>
      </c>
      <c r="C1301" s="25">
        <v>416.33</v>
      </c>
      <c r="D1301" s="25">
        <v>393.5</v>
      </c>
      <c r="E1301" s="25">
        <v>394.75</v>
      </c>
      <c r="F1301" s="25">
        <v>6008493.0</v>
      </c>
    </row>
    <row r="1302">
      <c r="A1302" s="25">
        <v>40289.645833333336</v>
      </c>
      <c r="B1302" s="25">
        <v>397.5</v>
      </c>
      <c r="C1302" s="25">
        <v>399.5</v>
      </c>
      <c r="D1302" s="25">
        <v>390.13</v>
      </c>
      <c r="E1302" s="25">
        <v>392.5</v>
      </c>
      <c r="F1302" s="25">
        <v>3553745.0</v>
      </c>
    </row>
    <row r="1303">
      <c r="A1303" s="25">
        <v>40290.645833333336</v>
      </c>
      <c r="B1303" s="25">
        <v>394.55</v>
      </c>
      <c r="C1303" s="25">
        <v>396.83</v>
      </c>
      <c r="D1303" s="25">
        <v>390.5</v>
      </c>
      <c r="E1303" s="25">
        <v>392.98</v>
      </c>
      <c r="F1303" s="25">
        <v>2375558.0</v>
      </c>
    </row>
    <row r="1304">
      <c r="A1304" s="25">
        <v>40291.645833333336</v>
      </c>
      <c r="B1304" s="25">
        <v>394.03</v>
      </c>
      <c r="C1304" s="25">
        <v>396.0</v>
      </c>
      <c r="D1304" s="25">
        <v>388.75</v>
      </c>
      <c r="E1304" s="25">
        <v>390.1</v>
      </c>
      <c r="F1304" s="25">
        <v>2153034.0</v>
      </c>
    </row>
    <row r="1305">
      <c r="A1305" s="25">
        <v>40294.645833333336</v>
      </c>
      <c r="B1305" s="25">
        <v>393.0</v>
      </c>
      <c r="C1305" s="25">
        <v>395.5</v>
      </c>
      <c r="D1305" s="25">
        <v>390.1</v>
      </c>
      <c r="E1305" s="25">
        <v>392.55</v>
      </c>
      <c r="F1305" s="25">
        <v>1256274.0</v>
      </c>
    </row>
    <row r="1306">
      <c r="A1306" s="25">
        <v>40295.645833333336</v>
      </c>
      <c r="B1306" s="25">
        <v>392.98</v>
      </c>
      <c r="C1306" s="25">
        <v>394.95</v>
      </c>
      <c r="D1306" s="25">
        <v>390.53</v>
      </c>
      <c r="E1306" s="25">
        <v>393.65</v>
      </c>
      <c r="F1306" s="25">
        <v>1310617.0</v>
      </c>
    </row>
    <row r="1307">
      <c r="A1307" s="25">
        <v>40296.645833333336</v>
      </c>
      <c r="B1307" s="25">
        <v>390.0</v>
      </c>
      <c r="C1307" s="25">
        <v>391.98</v>
      </c>
      <c r="D1307" s="25">
        <v>382.5</v>
      </c>
      <c r="E1307" s="25">
        <v>385.15</v>
      </c>
      <c r="F1307" s="25">
        <v>1200191.0</v>
      </c>
    </row>
    <row r="1308">
      <c r="A1308" s="25">
        <v>40297.645833333336</v>
      </c>
      <c r="B1308" s="25">
        <v>387.55</v>
      </c>
      <c r="C1308" s="25">
        <v>387.63</v>
      </c>
      <c r="D1308" s="25">
        <v>377.8</v>
      </c>
      <c r="E1308" s="25">
        <v>379.88</v>
      </c>
      <c r="F1308" s="25">
        <v>2311482.0</v>
      </c>
    </row>
    <row r="1309">
      <c r="A1309" s="25">
        <v>40298.645833333336</v>
      </c>
      <c r="B1309" s="25">
        <v>382.5</v>
      </c>
      <c r="C1309" s="25">
        <v>386.4</v>
      </c>
      <c r="D1309" s="25">
        <v>381.28</v>
      </c>
      <c r="E1309" s="25">
        <v>382.7</v>
      </c>
      <c r="F1309" s="25">
        <v>1845112.0</v>
      </c>
    </row>
    <row r="1310">
      <c r="A1310" s="25">
        <v>40301.645833333336</v>
      </c>
      <c r="B1310" s="25">
        <v>380.63</v>
      </c>
      <c r="C1310" s="25">
        <v>385.7</v>
      </c>
      <c r="D1310" s="25">
        <v>377.05</v>
      </c>
      <c r="E1310" s="25">
        <v>383.4</v>
      </c>
      <c r="F1310" s="25">
        <v>1208280.0</v>
      </c>
    </row>
    <row r="1311">
      <c r="A1311" s="25">
        <v>40302.645833333336</v>
      </c>
      <c r="B1311" s="25">
        <v>387.42</v>
      </c>
      <c r="C1311" s="25">
        <v>387.42</v>
      </c>
      <c r="D1311" s="25">
        <v>378.4</v>
      </c>
      <c r="E1311" s="25">
        <v>380.5</v>
      </c>
      <c r="F1311" s="25">
        <v>1448014.0</v>
      </c>
    </row>
    <row r="1312">
      <c r="A1312" s="25">
        <v>40303.645833333336</v>
      </c>
      <c r="B1312" s="25">
        <v>375.0</v>
      </c>
      <c r="C1312" s="25">
        <v>384.0</v>
      </c>
      <c r="D1312" s="25">
        <v>370.08</v>
      </c>
      <c r="E1312" s="25">
        <v>382.88</v>
      </c>
      <c r="F1312" s="25">
        <v>2185615.0</v>
      </c>
    </row>
    <row r="1313">
      <c r="A1313" s="25">
        <v>40304.645833333336</v>
      </c>
      <c r="B1313" s="25">
        <v>383.98</v>
      </c>
      <c r="C1313" s="25">
        <v>385.45</v>
      </c>
      <c r="D1313" s="25">
        <v>379.6</v>
      </c>
      <c r="E1313" s="25">
        <v>383.55</v>
      </c>
      <c r="F1313" s="25">
        <v>1290436.0</v>
      </c>
    </row>
    <row r="1314">
      <c r="A1314" s="25">
        <v>40305.645833333336</v>
      </c>
      <c r="B1314" s="25">
        <v>378.5</v>
      </c>
      <c r="C1314" s="25">
        <v>381.3</v>
      </c>
      <c r="D1314" s="25">
        <v>367.5</v>
      </c>
      <c r="E1314" s="25">
        <v>370.7</v>
      </c>
      <c r="F1314" s="25">
        <v>2133576.0</v>
      </c>
    </row>
    <row r="1315">
      <c r="A1315" s="25">
        <v>40308.645833333336</v>
      </c>
      <c r="B1315" s="25">
        <v>380.0</v>
      </c>
      <c r="C1315" s="25">
        <v>421.5</v>
      </c>
      <c r="D1315" s="25">
        <v>372.5</v>
      </c>
      <c r="E1315" s="25">
        <v>385.13</v>
      </c>
      <c r="F1315" s="25">
        <v>1163907.0</v>
      </c>
    </row>
    <row r="1316">
      <c r="A1316" s="25">
        <v>40309.645833333336</v>
      </c>
      <c r="B1316" s="25">
        <v>387.5</v>
      </c>
      <c r="C1316" s="25">
        <v>389.5</v>
      </c>
      <c r="D1316" s="25">
        <v>376.95</v>
      </c>
      <c r="E1316" s="25">
        <v>378.15</v>
      </c>
      <c r="F1316" s="25">
        <v>675644.0</v>
      </c>
    </row>
    <row r="1317">
      <c r="A1317" s="25">
        <v>40310.645833333336</v>
      </c>
      <c r="B1317" s="25">
        <v>378.5</v>
      </c>
      <c r="C1317" s="25">
        <v>383.98</v>
      </c>
      <c r="D1317" s="25">
        <v>375.55</v>
      </c>
      <c r="E1317" s="25">
        <v>379.73</v>
      </c>
      <c r="F1317" s="25">
        <v>1370038.0</v>
      </c>
    </row>
    <row r="1318">
      <c r="A1318" s="25">
        <v>40311.645833333336</v>
      </c>
      <c r="B1318" s="25">
        <v>382.55</v>
      </c>
      <c r="C1318" s="25">
        <v>386.6</v>
      </c>
      <c r="D1318" s="25">
        <v>380.73</v>
      </c>
      <c r="E1318" s="25">
        <v>382.8</v>
      </c>
      <c r="F1318" s="25">
        <v>660726.0</v>
      </c>
    </row>
    <row r="1319">
      <c r="A1319" s="25">
        <v>40312.645833333336</v>
      </c>
      <c r="B1319" s="25">
        <v>383.0</v>
      </c>
      <c r="C1319" s="25">
        <v>388.5</v>
      </c>
      <c r="D1319" s="25">
        <v>377.5</v>
      </c>
      <c r="E1319" s="25">
        <v>381.92</v>
      </c>
      <c r="F1319" s="25">
        <v>1013498.0</v>
      </c>
    </row>
    <row r="1320">
      <c r="A1320" s="25">
        <v>40315.645833333336</v>
      </c>
      <c r="B1320" s="25">
        <v>387.48</v>
      </c>
      <c r="C1320" s="25">
        <v>387.48</v>
      </c>
      <c r="D1320" s="25">
        <v>367.05</v>
      </c>
      <c r="E1320" s="25">
        <v>372.88</v>
      </c>
      <c r="F1320" s="25">
        <v>1861025.0</v>
      </c>
    </row>
    <row r="1321">
      <c r="A1321" s="25">
        <v>40316.645833333336</v>
      </c>
      <c r="B1321" s="25">
        <v>373.0</v>
      </c>
      <c r="C1321" s="25">
        <v>373.0</v>
      </c>
      <c r="D1321" s="25">
        <v>363.15</v>
      </c>
      <c r="E1321" s="25">
        <v>367.55</v>
      </c>
      <c r="F1321" s="25">
        <v>1599590.0</v>
      </c>
    </row>
    <row r="1322">
      <c r="A1322" s="25">
        <v>40317.645833333336</v>
      </c>
      <c r="B1322" s="25">
        <v>365.0</v>
      </c>
      <c r="C1322" s="25">
        <v>366.5</v>
      </c>
      <c r="D1322" s="25">
        <v>358.15</v>
      </c>
      <c r="E1322" s="25">
        <v>360.75</v>
      </c>
      <c r="F1322" s="25">
        <v>1964633.0</v>
      </c>
    </row>
    <row r="1323">
      <c r="A1323" s="25">
        <v>40318.645833333336</v>
      </c>
      <c r="B1323" s="25">
        <v>364.5</v>
      </c>
      <c r="C1323" s="25">
        <v>366.15</v>
      </c>
      <c r="D1323" s="25">
        <v>358.08</v>
      </c>
      <c r="E1323" s="25">
        <v>365.0</v>
      </c>
      <c r="F1323" s="25">
        <v>1199046.0</v>
      </c>
    </row>
    <row r="1324">
      <c r="A1324" s="25">
        <v>40319.645833333336</v>
      </c>
      <c r="B1324" s="25">
        <v>355.0</v>
      </c>
      <c r="C1324" s="25">
        <v>362.95</v>
      </c>
      <c r="D1324" s="25">
        <v>342.63</v>
      </c>
      <c r="E1324" s="25">
        <v>359.35</v>
      </c>
      <c r="F1324" s="25">
        <v>1337546.0</v>
      </c>
    </row>
    <row r="1325">
      <c r="A1325" s="25">
        <v>40322.645833333336</v>
      </c>
      <c r="B1325" s="25">
        <v>362.5</v>
      </c>
      <c r="C1325" s="25">
        <v>365.0</v>
      </c>
      <c r="D1325" s="25">
        <v>356.35</v>
      </c>
      <c r="E1325" s="25">
        <v>358.8</v>
      </c>
      <c r="F1325" s="25">
        <v>1442714.0</v>
      </c>
    </row>
    <row r="1326">
      <c r="A1326" s="25">
        <v>40323.645833333336</v>
      </c>
      <c r="B1326" s="25">
        <v>354.0</v>
      </c>
      <c r="C1326" s="25">
        <v>357.0</v>
      </c>
      <c r="D1326" s="25">
        <v>345.78</v>
      </c>
      <c r="E1326" s="25">
        <v>349.78</v>
      </c>
      <c r="F1326" s="25">
        <v>1148683.0</v>
      </c>
    </row>
    <row r="1327">
      <c r="A1327" s="25">
        <v>40324.645833333336</v>
      </c>
      <c r="B1327" s="25">
        <v>354.0</v>
      </c>
      <c r="C1327" s="25">
        <v>372.4</v>
      </c>
      <c r="D1327" s="25">
        <v>352.05</v>
      </c>
      <c r="E1327" s="25">
        <v>369.0</v>
      </c>
      <c r="F1327" s="25">
        <v>1844732.0</v>
      </c>
    </row>
    <row r="1328">
      <c r="A1328" s="25">
        <v>40325.645833333336</v>
      </c>
      <c r="B1328" s="25">
        <v>367.5</v>
      </c>
      <c r="C1328" s="25">
        <v>374.98</v>
      </c>
      <c r="D1328" s="25">
        <v>363.6</v>
      </c>
      <c r="E1328" s="25">
        <v>370.92</v>
      </c>
      <c r="F1328" s="25">
        <v>3441936.0</v>
      </c>
    </row>
    <row r="1329">
      <c r="A1329" s="25">
        <v>40326.645833333336</v>
      </c>
      <c r="B1329" s="25">
        <v>374.9</v>
      </c>
      <c r="C1329" s="25">
        <v>376.75</v>
      </c>
      <c r="D1329" s="25">
        <v>367.75</v>
      </c>
      <c r="E1329" s="25">
        <v>375.4</v>
      </c>
      <c r="F1329" s="25">
        <v>1239687.0</v>
      </c>
    </row>
    <row r="1330">
      <c r="A1330" s="25">
        <v>40329.645833333336</v>
      </c>
      <c r="B1330" s="25">
        <v>374.25</v>
      </c>
      <c r="C1330" s="25">
        <v>376.45</v>
      </c>
      <c r="D1330" s="25">
        <v>369.0</v>
      </c>
      <c r="E1330" s="25">
        <v>371.53</v>
      </c>
      <c r="F1330" s="25">
        <v>1663830.0</v>
      </c>
    </row>
    <row r="1331">
      <c r="A1331" s="25">
        <v>40330.645833333336</v>
      </c>
      <c r="B1331" s="25">
        <v>371.53</v>
      </c>
      <c r="C1331" s="25">
        <v>375.98</v>
      </c>
      <c r="D1331" s="25">
        <v>367.35</v>
      </c>
      <c r="E1331" s="25">
        <v>369.6</v>
      </c>
      <c r="F1331" s="25">
        <v>1568456.0</v>
      </c>
    </row>
    <row r="1332">
      <c r="A1332" s="25">
        <v>40331.645833333336</v>
      </c>
      <c r="B1332" s="25">
        <v>368.9</v>
      </c>
      <c r="C1332" s="25">
        <v>379.75</v>
      </c>
      <c r="D1332" s="25">
        <v>368.15</v>
      </c>
      <c r="E1332" s="25">
        <v>377.13</v>
      </c>
      <c r="F1332" s="25">
        <v>1384665.0</v>
      </c>
    </row>
    <row r="1333">
      <c r="A1333" s="25">
        <v>40332.645833333336</v>
      </c>
      <c r="B1333" s="25">
        <v>380.0</v>
      </c>
      <c r="C1333" s="25">
        <v>384.5</v>
      </c>
      <c r="D1333" s="25">
        <v>372.55</v>
      </c>
      <c r="E1333" s="25">
        <v>382.73</v>
      </c>
      <c r="F1333" s="25">
        <v>842217.0</v>
      </c>
    </row>
    <row r="1334">
      <c r="A1334" s="25">
        <v>40333.645833333336</v>
      </c>
      <c r="B1334" s="25">
        <v>382.73</v>
      </c>
      <c r="C1334" s="25">
        <v>384.85</v>
      </c>
      <c r="D1334" s="25">
        <v>377.6</v>
      </c>
      <c r="E1334" s="25">
        <v>382.67</v>
      </c>
      <c r="F1334" s="25">
        <v>684105.0</v>
      </c>
    </row>
    <row r="1335">
      <c r="A1335" s="25">
        <v>40336.645833333336</v>
      </c>
      <c r="B1335" s="25">
        <v>374.95</v>
      </c>
      <c r="C1335" s="25">
        <v>378.9</v>
      </c>
      <c r="D1335" s="25">
        <v>368.0</v>
      </c>
      <c r="E1335" s="25">
        <v>376.63</v>
      </c>
      <c r="F1335" s="25">
        <v>867461.0</v>
      </c>
    </row>
    <row r="1336">
      <c r="A1336" s="25">
        <v>40337.645833333336</v>
      </c>
      <c r="B1336" s="25">
        <v>377.0</v>
      </c>
      <c r="C1336" s="25">
        <v>381.0</v>
      </c>
      <c r="D1336" s="25">
        <v>373.5</v>
      </c>
      <c r="E1336" s="25">
        <v>375.1</v>
      </c>
      <c r="F1336" s="25">
        <v>1121111.0</v>
      </c>
    </row>
    <row r="1337">
      <c r="A1337" s="25">
        <v>40338.645833333336</v>
      </c>
      <c r="B1337" s="25">
        <v>376.0</v>
      </c>
      <c r="C1337" s="25">
        <v>379.28</v>
      </c>
      <c r="D1337" s="25">
        <v>365.5</v>
      </c>
      <c r="E1337" s="25">
        <v>366.53</v>
      </c>
      <c r="F1337" s="25">
        <v>2433700.0</v>
      </c>
    </row>
    <row r="1338">
      <c r="A1338" s="25">
        <v>40339.645833333336</v>
      </c>
      <c r="B1338" s="25">
        <v>365.0</v>
      </c>
      <c r="C1338" s="25">
        <v>376.5</v>
      </c>
      <c r="D1338" s="25">
        <v>365.0</v>
      </c>
      <c r="E1338" s="25">
        <v>375.25</v>
      </c>
      <c r="F1338" s="25">
        <v>898018.0</v>
      </c>
    </row>
    <row r="1339">
      <c r="A1339" s="25">
        <v>40340.645833333336</v>
      </c>
      <c r="B1339" s="25">
        <v>380.9</v>
      </c>
      <c r="C1339" s="25">
        <v>381.65</v>
      </c>
      <c r="D1339" s="25">
        <v>375.5</v>
      </c>
      <c r="E1339" s="25">
        <v>379.55</v>
      </c>
      <c r="F1339" s="25">
        <v>1618512.0</v>
      </c>
    </row>
    <row r="1340">
      <c r="A1340" s="25">
        <v>40343.645833333336</v>
      </c>
      <c r="B1340" s="25">
        <v>381.67</v>
      </c>
      <c r="C1340" s="25">
        <v>393.55</v>
      </c>
      <c r="D1340" s="25">
        <v>379.0</v>
      </c>
      <c r="E1340" s="25">
        <v>390.5</v>
      </c>
      <c r="F1340" s="25">
        <v>1775246.0</v>
      </c>
    </row>
    <row r="1341">
      <c r="A1341" s="25">
        <v>40344.645833333336</v>
      </c>
      <c r="B1341" s="25">
        <v>378.33</v>
      </c>
      <c r="C1341" s="25">
        <v>388.85</v>
      </c>
      <c r="D1341" s="25">
        <v>378.33</v>
      </c>
      <c r="E1341" s="25">
        <v>383.05</v>
      </c>
      <c r="F1341" s="25">
        <v>1321488.0</v>
      </c>
    </row>
    <row r="1342">
      <c r="A1342" s="25">
        <v>40345.645833333336</v>
      </c>
      <c r="B1342" s="25">
        <v>388.55</v>
      </c>
      <c r="C1342" s="25">
        <v>389.98</v>
      </c>
      <c r="D1342" s="25">
        <v>383.65</v>
      </c>
      <c r="E1342" s="25">
        <v>387.4</v>
      </c>
      <c r="F1342" s="25">
        <v>1164408.0</v>
      </c>
    </row>
    <row r="1343">
      <c r="A1343" s="25">
        <v>40346.645833333336</v>
      </c>
      <c r="B1343" s="25">
        <v>388.5</v>
      </c>
      <c r="C1343" s="25">
        <v>392.4</v>
      </c>
      <c r="D1343" s="25">
        <v>381.85</v>
      </c>
      <c r="E1343" s="25">
        <v>387.65</v>
      </c>
      <c r="F1343" s="25">
        <v>764460.0</v>
      </c>
    </row>
    <row r="1344">
      <c r="A1344" s="25">
        <v>40347.645833333336</v>
      </c>
      <c r="B1344" s="25">
        <v>387.65</v>
      </c>
      <c r="C1344" s="25">
        <v>394.45</v>
      </c>
      <c r="D1344" s="25">
        <v>386.13</v>
      </c>
      <c r="E1344" s="25">
        <v>391.6</v>
      </c>
      <c r="F1344" s="25">
        <v>1112836.0</v>
      </c>
    </row>
    <row r="1345">
      <c r="A1345" s="25">
        <v>40350.645833333336</v>
      </c>
      <c r="B1345" s="25">
        <v>396.45</v>
      </c>
      <c r="C1345" s="25">
        <v>397.0</v>
      </c>
      <c r="D1345" s="25">
        <v>392.3</v>
      </c>
      <c r="E1345" s="25">
        <v>393.85</v>
      </c>
      <c r="F1345" s="25">
        <v>953714.0</v>
      </c>
    </row>
    <row r="1346">
      <c r="A1346" s="25">
        <v>40351.645833333336</v>
      </c>
      <c r="B1346" s="25">
        <v>392.5</v>
      </c>
      <c r="C1346" s="25">
        <v>393.25</v>
      </c>
      <c r="D1346" s="25">
        <v>386.65</v>
      </c>
      <c r="E1346" s="25">
        <v>389.33</v>
      </c>
      <c r="F1346" s="25">
        <v>734162.0</v>
      </c>
    </row>
    <row r="1347">
      <c r="A1347" s="25">
        <v>40352.645833333336</v>
      </c>
      <c r="B1347" s="25">
        <v>385.0</v>
      </c>
      <c r="C1347" s="25">
        <v>394.48</v>
      </c>
      <c r="D1347" s="25">
        <v>384.92</v>
      </c>
      <c r="E1347" s="25">
        <v>393.15</v>
      </c>
      <c r="F1347" s="25">
        <v>1479762.0</v>
      </c>
    </row>
    <row r="1348">
      <c r="A1348" s="25">
        <v>40353.645833333336</v>
      </c>
      <c r="B1348" s="25">
        <v>393.15</v>
      </c>
      <c r="C1348" s="25">
        <v>394.25</v>
      </c>
      <c r="D1348" s="25">
        <v>383.85</v>
      </c>
      <c r="E1348" s="25">
        <v>386.73</v>
      </c>
      <c r="F1348" s="25">
        <v>1888755.0</v>
      </c>
    </row>
    <row r="1349">
      <c r="A1349" s="25">
        <v>40354.645833333336</v>
      </c>
      <c r="B1349" s="25">
        <v>387.9</v>
      </c>
      <c r="C1349" s="25">
        <v>387.9</v>
      </c>
      <c r="D1349" s="25">
        <v>378.05</v>
      </c>
      <c r="E1349" s="25">
        <v>379.25</v>
      </c>
      <c r="F1349" s="25">
        <v>1018661.0</v>
      </c>
    </row>
    <row r="1350">
      <c r="A1350" s="25">
        <v>40357.645833333336</v>
      </c>
      <c r="B1350" s="25">
        <v>379.23</v>
      </c>
      <c r="C1350" s="25">
        <v>383.58</v>
      </c>
      <c r="D1350" s="25">
        <v>378.8</v>
      </c>
      <c r="E1350" s="25">
        <v>382.38</v>
      </c>
      <c r="F1350" s="25">
        <v>576562.0</v>
      </c>
    </row>
    <row r="1351">
      <c r="A1351" s="25">
        <v>40358.645833333336</v>
      </c>
      <c r="B1351" s="25">
        <v>382.5</v>
      </c>
      <c r="C1351" s="25">
        <v>382.5</v>
      </c>
      <c r="D1351" s="25">
        <v>374.5</v>
      </c>
      <c r="E1351" s="25">
        <v>376.9</v>
      </c>
      <c r="F1351" s="25">
        <v>1307331.0</v>
      </c>
    </row>
    <row r="1352">
      <c r="A1352" s="25">
        <v>40359.645833333336</v>
      </c>
      <c r="B1352" s="25">
        <v>377.5</v>
      </c>
      <c r="C1352" s="25">
        <v>379.95</v>
      </c>
      <c r="D1352" s="25">
        <v>370.63</v>
      </c>
      <c r="E1352" s="25">
        <v>375.5</v>
      </c>
      <c r="F1352" s="25">
        <v>1658258.0</v>
      </c>
    </row>
    <row r="1353">
      <c r="A1353" s="25">
        <v>40360.645833333336</v>
      </c>
      <c r="B1353" s="25">
        <v>375.0</v>
      </c>
      <c r="C1353" s="25">
        <v>375.0</v>
      </c>
      <c r="D1353" s="25">
        <v>362.88</v>
      </c>
      <c r="E1353" s="25">
        <v>366.0</v>
      </c>
      <c r="F1353" s="25">
        <v>1703872.0</v>
      </c>
    </row>
    <row r="1354">
      <c r="A1354" s="25">
        <v>40361.645833333336</v>
      </c>
      <c r="B1354" s="25">
        <v>367.4</v>
      </c>
      <c r="C1354" s="25">
        <v>373.0</v>
      </c>
      <c r="D1354" s="25">
        <v>365.42</v>
      </c>
      <c r="E1354" s="25">
        <v>371.9</v>
      </c>
      <c r="F1354" s="25">
        <v>1471775.0</v>
      </c>
    </row>
    <row r="1355">
      <c r="A1355" s="25">
        <v>40364.645833333336</v>
      </c>
      <c r="B1355" s="25">
        <v>374.4</v>
      </c>
      <c r="C1355" s="25">
        <v>374.45</v>
      </c>
      <c r="D1355" s="25">
        <v>368.55</v>
      </c>
      <c r="E1355" s="25">
        <v>369.5</v>
      </c>
      <c r="F1355" s="25">
        <v>1082798.0</v>
      </c>
    </row>
    <row r="1356">
      <c r="A1356" s="25">
        <v>40365.645833333336</v>
      </c>
      <c r="B1356" s="25">
        <v>368.25</v>
      </c>
      <c r="C1356" s="25">
        <v>380.95</v>
      </c>
      <c r="D1356" s="25">
        <v>367.92</v>
      </c>
      <c r="E1356" s="25">
        <v>379.58</v>
      </c>
      <c r="F1356" s="25">
        <v>1380452.0</v>
      </c>
    </row>
    <row r="1357">
      <c r="A1357" s="25">
        <v>40366.645833333336</v>
      </c>
      <c r="B1357" s="25">
        <v>380.7</v>
      </c>
      <c r="C1357" s="25">
        <v>383.7</v>
      </c>
      <c r="D1357" s="25">
        <v>374.48</v>
      </c>
      <c r="E1357" s="25">
        <v>382.3</v>
      </c>
      <c r="F1357" s="25">
        <v>1076467.0</v>
      </c>
    </row>
    <row r="1358">
      <c r="A1358" s="25">
        <v>40367.645833333336</v>
      </c>
      <c r="B1358" s="25">
        <v>386.0</v>
      </c>
      <c r="C1358" s="25">
        <v>389.5</v>
      </c>
      <c r="D1358" s="25">
        <v>384.83</v>
      </c>
      <c r="E1358" s="25">
        <v>388.4</v>
      </c>
      <c r="F1358" s="25">
        <v>1093782.0</v>
      </c>
    </row>
    <row r="1359">
      <c r="A1359" s="25">
        <v>40368.645833333336</v>
      </c>
      <c r="B1359" s="25">
        <v>390.0</v>
      </c>
      <c r="C1359" s="25">
        <v>392.0</v>
      </c>
      <c r="D1359" s="25">
        <v>385.38</v>
      </c>
      <c r="E1359" s="25">
        <v>387.23</v>
      </c>
      <c r="F1359" s="25">
        <v>918333.0</v>
      </c>
    </row>
    <row r="1360">
      <c r="A1360" s="25">
        <v>40371.645833333336</v>
      </c>
      <c r="B1360" s="25">
        <v>389.9</v>
      </c>
      <c r="C1360" s="25">
        <v>397.0</v>
      </c>
      <c r="D1360" s="25">
        <v>389.9</v>
      </c>
      <c r="E1360" s="25">
        <v>395.85</v>
      </c>
      <c r="F1360" s="25">
        <v>1362888.0</v>
      </c>
    </row>
    <row r="1361">
      <c r="A1361" s="25">
        <v>40372.645833333336</v>
      </c>
      <c r="B1361" s="25">
        <v>396.0</v>
      </c>
      <c r="C1361" s="25">
        <v>396.0</v>
      </c>
      <c r="D1361" s="25">
        <v>384.78</v>
      </c>
      <c r="E1361" s="25">
        <v>387.33</v>
      </c>
      <c r="F1361" s="25">
        <v>2772943.0</v>
      </c>
    </row>
    <row r="1362">
      <c r="A1362" s="25">
        <v>40373.645833333336</v>
      </c>
      <c r="B1362" s="25">
        <v>389.0</v>
      </c>
      <c r="C1362" s="25">
        <v>392.35</v>
      </c>
      <c r="D1362" s="25">
        <v>385.13</v>
      </c>
      <c r="E1362" s="25">
        <v>387.33</v>
      </c>
      <c r="F1362" s="25">
        <v>1416921.0</v>
      </c>
    </row>
    <row r="1363">
      <c r="A1363" s="25">
        <v>40374.645833333336</v>
      </c>
      <c r="B1363" s="25">
        <v>385.5</v>
      </c>
      <c r="C1363" s="25">
        <v>392.45</v>
      </c>
      <c r="D1363" s="25">
        <v>382.63</v>
      </c>
      <c r="E1363" s="25">
        <v>391.05</v>
      </c>
      <c r="F1363" s="25">
        <v>1897768.0</v>
      </c>
    </row>
    <row r="1364">
      <c r="A1364" s="25">
        <v>40375.645833333336</v>
      </c>
      <c r="B1364" s="25">
        <v>397.5</v>
      </c>
      <c r="C1364" s="25">
        <v>419.25</v>
      </c>
      <c r="D1364" s="25">
        <v>397.5</v>
      </c>
      <c r="E1364" s="25">
        <v>416.83</v>
      </c>
      <c r="F1364" s="25">
        <v>9567726.0</v>
      </c>
    </row>
    <row r="1365">
      <c r="A1365" s="25">
        <v>40378.645833333336</v>
      </c>
      <c r="B1365" s="25">
        <v>415.73</v>
      </c>
      <c r="C1365" s="25">
        <v>417.35</v>
      </c>
      <c r="D1365" s="25">
        <v>411.63</v>
      </c>
      <c r="E1365" s="25">
        <v>413.35</v>
      </c>
      <c r="F1365" s="25">
        <v>1513962.0</v>
      </c>
    </row>
    <row r="1366">
      <c r="A1366" s="25">
        <v>40379.645833333336</v>
      </c>
      <c r="B1366" s="25">
        <v>413.35</v>
      </c>
      <c r="C1366" s="25">
        <v>417.28</v>
      </c>
      <c r="D1366" s="25">
        <v>412.5</v>
      </c>
      <c r="E1366" s="25">
        <v>413.63</v>
      </c>
      <c r="F1366" s="25">
        <v>1171031.0</v>
      </c>
    </row>
    <row r="1367">
      <c r="A1367" s="25">
        <v>40380.645833333336</v>
      </c>
      <c r="B1367" s="25">
        <v>416.0</v>
      </c>
      <c r="C1367" s="25">
        <v>422.4</v>
      </c>
      <c r="D1367" s="25">
        <v>414.8</v>
      </c>
      <c r="E1367" s="25">
        <v>421.5</v>
      </c>
      <c r="F1367" s="25">
        <v>1471860.0</v>
      </c>
    </row>
    <row r="1368">
      <c r="A1368" s="25">
        <v>40381.645833333336</v>
      </c>
      <c r="B1368" s="25">
        <v>421.5</v>
      </c>
      <c r="C1368" s="25">
        <v>423.0</v>
      </c>
      <c r="D1368" s="25">
        <v>416.25</v>
      </c>
      <c r="E1368" s="25">
        <v>421.85</v>
      </c>
      <c r="F1368" s="25">
        <v>681441.0</v>
      </c>
    </row>
    <row r="1369">
      <c r="A1369" s="25">
        <v>40382.645833333336</v>
      </c>
      <c r="B1369" s="25">
        <v>425.0</v>
      </c>
      <c r="C1369" s="25">
        <v>425.0</v>
      </c>
      <c r="D1369" s="25">
        <v>417.55</v>
      </c>
      <c r="E1369" s="25">
        <v>419.65</v>
      </c>
      <c r="F1369" s="25">
        <v>947236.0</v>
      </c>
    </row>
    <row r="1370">
      <c r="A1370" s="25">
        <v>40385.645833333336</v>
      </c>
      <c r="B1370" s="25">
        <v>421.2</v>
      </c>
      <c r="C1370" s="25">
        <v>425.8</v>
      </c>
      <c r="D1370" s="25">
        <v>420.2</v>
      </c>
      <c r="E1370" s="25">
        <v>424.63</v>
      </c>
      <c r="F1370" s="25">
        <v>1383245.0</v>
      </c>
    </row>
    <row r="1371">
      <c r="A1371" s="25">
        <v>40386.645833333336</v>
      </c>
      <c r="B1371" s="25">
        <v>427.5</v>
      </c>
      <c r="C1371" s="25">
        <v>429.9</v>
      </c>
      <c r="D1371" s="25">
        <v>423.1</v>
      </c>
      <c r="E1371" s="25">
        <v>424.58</v>
      </c>
      <c r="F1371" s="25">
        <v>1053301.0</v>
      </c>
    </row>
    <row r="1372">
      <c r="A1372" s="25">
        <v>40387.645833333336</v>
      </c>
      <c r="B1372" s="25">
        <v>425.5</v>
      </c>
      <c r="C1372" s="25">
        <v>428.98</v>
      </c>
      <c r="D1372" s="25">
        <v>423.5</v>
      </c>
      <c r="E1372" s="25">
        <v>427.23</v>
      </c>
      <c r="F1372" s="25">
        <v>2179614.0</v>
      </c>
    </row>
    <row r="1373">
      <c r="A1373" s="25">
        <v>40388.645833333336</v>
      </c>
      <c r="B1373" s="25">
        <v>427.5</v>
      </c>
      <c r="C1373" s="25">
        <v>427.5</v>
      </c>
      <c r="D1373" s="25">
        <v>424.5</v>
      </c>
      <c r="E1373" s="25">
        <v>425.0</v>
      </c>
      <c r="F1373" s="25">
        <v>2665952.0</v>
      </c>
    </row>
    <row r="1374">
      <c r="A1374" s="25">
        <v>40389.645833333336</v>
      </c>
      <c r="B1374" s="25">
        <v>424.5</v>
      </c>
      <c r="C1374" s="25">
        <v>425.0</v>
      </c>
      <c r="D1374" s="25">
        <v>417.5</v>
      </c>
      <c r="E1374" s="25">
        <v>419.9</v>
      </c>
      <c r="F1374" s="25">
        <v>641713.0</v>
      </c>
    </row>
    <row r="1375">
      <c r="A1375" s="25">
        <v>40392.645833333336</v>
      </c>
      <c r="B1375" s="25">
        <v>421.5</v>
      </c>
      <c r="C1375" s="25">
        <v>424.23</v>
      </c>
      <c r="D1375" s="25">
        <v>418.5</v>
      </c>
      <c r="E1375" s="25">
        <v>419.15</v>
      </c>
      <c r="F1375" s="25">
        <v>1413881.0</v>
      </c>
    </row>
    <row r="1376">
      <c r="A1376" s="25">
        <v>40393.645833333336</v>
      </c>
      <c r="B1376" s="25">
        <v>420.5</v>
      </c>
      <c r="C1376" s="25">
        <v>422.25</v>
      </c>
      <c r="D1376" s="25">
        <v>414.28</v>
      </c>
      <c r="E1376" s="25">
        <v>416.03</v>
      </c>
      <c r="F1376" s="25">
        <v>640776.0</v>
      </c>
    </row>
    <row r="1377">
      <c r="A1377" s="25">
        <v>40394.645833333336</v>
      </c>
      <c r="B1377" s="25">
        <v>418.0</v>
      </c>
      <c r="C1377" s="25">
        <v>436.0</v>
      </c>
      <c r="D1377" s="25">
        <v>417.92</v>
      </c>
      <c r="E1377" s="25">
        <v>434.4</v>
      </c>
      <c r="F1377" s="25">
        <v>2791967.0</v>
      </c>
    </row>
    <row r="1378">
      <c r="A1378" s="25">
        <v>40395.645833333336</v>
      </c>
      <c r="B1378" s="25">
        <v>436.0</v>
      </c>
      <c r="C1378" s="25">
        <v>441.2</v>
      </c>
      <c r="D1378" s="25">
        <v>432.83</v>
      </c>
      <c r="E1378" s="25">
        <v>438.92</v>
      </c>
      <c r="F1378" s="25">
        <v>1456475.0</v>
      </c>
    </row>
    <row r="1379">
      <c r="A1379" s="25">
        <v>40396.645833333336</v>
      </c>
      <c r="B1379" s="25">
        <v>440.0</v>
      </c>
      <c r="C1379" s="25">
        <v>441.75</v>
      </c>
      <c r="D1379" s="25">
        <v>430.33</v>
      </c>
      <c r="E1379" s="25">
        <v>432.35</v>
      </c>
      <c r="F1379" s="25">
        <v>1218867.0</v>
      </c>
    </row>
    <row r="1380">
      <c r="A1380" s="25">
        <v>40399.645833333336</v>
      </c>
      <c r="B1380" s="25">
        <v>430.58</v>
      </c>
      <c r="C1380" s="25">
        <v>441.85</v>
      </c>
      <c r="D1380" s="25">
        <v>423.05</v>
      </c>
      <c r="E1380" s="25">
        <v>439.92</v>
      </c>
      <c r="F1380" s="25">
        <v>2129993.0</v>
      </c>
    </row>
    <row r="1381">
      <c r="A1381" s="25">
        <v>40400.645833333336</v>
      </c>
      <c r="B1381" s="25">
        <v>442.5</v>
      </c>
      <c r="C1381" s="25">
        <v>442.5</v>
      </c>
      <c r="D1381" s="25">
        <v>430.7</v>
      </c>
      <c r="E1381" s="25">
        <v>432.25</v>
      </c>
      <c r="F1381" s="25">
        <v>772597.0</v>
      </c>
    </row>
    <row r="1382">
      <c r="A1382" s="25">
        <v>40401.645833333336</v>
      </c>
      <c r="B1382" s="25">
        <v>431.0</v>
      </c>
      <c r="C1382" s="25">
        <v>436.5</v>
      </c>
      <c r="D1382" s="25">
        <v>427.4</v>
      </c>
      <c r="E1382" s="25">
        <v>429.08</v>
      </c>
      <c r="F1382" s="25">
        <v>2010124.0</v>
      </c>
    </row>
    <row r="1383">
      <c r="A1383" s="25">
        <v>40402.645833333336</v>
      </c>
      <c r="B1383" s="25">
        <v>428.45</v>
      </c>
      <c r="C1383" s="25">
        <v>428.45</v>
      </c>
      <c r="D1383" s="25">
        <v>423.1</v>
      </c>
      <c r="E1383" s="25">
        <v>426.73</v>
      </c>
      <c r="F1383" s="25">
        <v>1139046.0</v>
      </c>
    </row>
    <row r="1384">
      <c r="A1384" s="25">
        <v>40403.645833333336</v>
      </c>
      <c r="B1384" s="25">
        <v>428.5</v>
      </c>
      <c r="C1384" s="25">
        <v>431.45</v>
      </c>
      <c r="D1384" s="25">
        <v>419.0</v>
      </c>
      <c r="E1384" s="25">
        <v>427.2</v>
      </c>
      <c r="F1384" s="25">
        <v>1294953.0</v>
      </c>
    </row>
    <row r="1385">
      <c r="A1385" s="25">
        <v>40406.645833333336</v>
      </c>
      <c r="B1385" s="25">
        <v>428.5</v>
      </c>
      <c r="C1385" s="25">
        <v>431.28</v>
      </c>
      <c r="D1385" s="25">
        <v>424.4</v>
      </c>
      <c r="E1385" s="25">
        <v>427.05</v>
      </c>
      <c r="F1385" s="25">
        <v>659549.0</v>
      </c>
    </row>
    <row r="1386">
      <c r="A1386" s="25">
        <v>40407.645833333336</v>
      </c>
      <c r="B1386" s="25">
        <v>425.05</v>
      </c>
      <c r="C1386" s="25">
        <v>430.5</v>
      </c>
      <c r="D1386" s="25">
        <v>422.0</v>
      </c>
      <c r="E1386" s="25">
        <v>425.1</v>
      </c>
      <c r="F1386" s="25">
        <v>866598.0</v>
      </c>
    </row>
    <row r="1387">
      <c r="A1387" s="25">
        <v>40408.645833333336</v>
      </c>
      <c r="B1387" s="25">
        <v>426.5</v>
      </c>
      <c r="C1387" s="25">
        <v>437.9</v>
      </c>
      <c r="D1387" s="25">
        <v>425.0</v>
      </c>
      <c r="E1387" s="25">
        <v>435.55</v>
      </c>
      <c r="F1387" s="25">
        <v>1444458.0</v>
      </c>
    </row>
    <row r="1388">
      <c r="A1388" s="25">
        <v>40409.645833333336</v>
      </c>
      <c r="B1388" s="25">
        <v>437.0</v>
      </c>
      <c r="C1388" s="25">
        <v>440.45</v>
      </c>
      <c r="D1388" s="25">
        <v>433.65</v>
      </c>
      <c r="E1388" s="25">
        <v>436.03</v>
      </c>
      <c r="F1388" s="25">
        <v>1074267.0</v>
      </c>
    </row>
    <row r="1389">
      <c r="A1389" s="25">
        <v>40410.645833333336</v>
      </c>
      <c r="B1389" s="25">
        <v>434.5</v>
      </c>
      <c r="C1389" s="25">
        <v>439.95</v>
      </c>
      <c r="D1389" s="25">
        <v>431.5</v>
      </c>
      <c r="E1389" s="25">
        <v>434.48</v>
      </c>
      <c r="F1389" s="25">
        <v>873198.0</v>
      </c>
    </row>
    <row r="1390">
      <c r="A1390" s="25">
        <v>40413.645833333336</v>
      </c>
      <c r="B1390" s="25">
        <v>430.0</v>
      </c>
      <c r="C1390" s="25">
        <v>437.73</v>
      </c>
      <c r="D1390" s="25">
        <v>428.53</v>
      </c>
      <c r="E1390" s="25">
        <v>435.2</v>
      </c>
      <c r="F1390" s="25">
        <v>524915.0</v>
      </c>
    </row>
    <row r="1391">
      <c r="A1391" s="25">
        <v>40414.645833333336</v>
      </c>
      <c r="B1391" s="25">
        <v>435.0</v>
      </c>
      <c r="C1391" s="25">
        <v>440.95</v>
      </c>
      <c r="D1391" s="25">
        <v>432.5</v>
      </c>
      <c r="E1391" s="25">
        <v>435.35</v>
      </c>
      <c r="F1391" s="25">
        <v>1325237.0</v>
      </c>
    </row>
    <row r="1392">
      <c r="A1392" s="25">
        <v>40415.645833333336</v>
      </c>
      <c r="B1392" s="25">
        <v>436.0</v>
      </c>
      <c r="C1392" s="25">
        <v>440.75</v>
      </c>
      <c r="D1392" s="25">
        <v>433.15</v>
      </c>
      <c r="E1392" s="25">
        <v>435.6</v>
      </c>
      <c r="F1392" s="25">
        <v>1189984.0</v>
      </c>
    </row>
    <row r="1393">
      <c r="A1393" s="25">
        <v>40416.645833333336</v>
      </c>
      <c r="B1393" s="25">
        <v>437.0</v>
      </c>
      <c r="C1393" s="25">
        <v>439.5</v>
      </c>
      <c r="D1393" s="25">
        <v>430.13</v>
      </c>
      <c r="E1393" s="25">
        <v>438.25</v>
      </c>
      <c r="F1393" s="25">
        <v>2102214.0</v>
      </c>
    </row>
    <row r="1394">
      <c r="A1394" s="25">
        <v>40417.645833333336</v>
      </c>
      <c r="B1394" s="25">
        <v>436.05</v>
      </c>
      <c r="C1394" s="25">
        <v>436.5</v>
      </c>
      <c r="D1394" s="25">
        <v>425.5</v>
      </c>
      <c r="E1394" s="25">
        <v>428.03</v>
      </c>
      <c r="F1394" s="25">
        <v>638257.0</v>
      </c>
    </row>
    <row r="1395">
      <c r="A1395" s="25">
        <v>40420.645833333336</v>
      </c>
      <c r="B1395" s="25">
        <v>431.4</v>
      </c>
      <c r="C1395" s="25">
        <v>431.4</v>
      </c>
      <c r="D1395" s="25">
        <v>420.05</v>
      </c>
      <c r="E1395" s="25">
        <v>422.83</v>
      </c>
      <c r="F1395" s="25">
        <v>779285.0</v>
      </c>
    </row>
    <row r="1396">
      <c r="A1396" s="25">
        <v>40421.645833333336</v>
      </c>
      <c r="B1396" s="25">
        <v>420.0</v>
      </c>
      <c r="C1396" s="25">
        <v>423.85</v>
      </c>
      <c r="D1396" s="25">
        <v>415.1</v>
      </c>
      <c r="E1396" s="25">
        <v>421.88</v>
      </c>
      <c r="F1396" s="25">
        <v>1223937.0</v>
      </c>
    </row>
    <row r="1397">
      <c r="A1397" s="25">
        <v>40422.645833333336</v>
      </c>
      <c r="B1397" s="25">
        <v>421.0</v>
      </c>
      <c r="C1397" s="25">
        <v>430.5</v>
      </c>
      <c r="D1397" s="25">
        <v>420.0</v>
      </c>
      <c r="E1397" s="25">
        <v>429.2</v>
      </c>
      <c r="F1397" s="25">
        <v>1372742.0</v>
      </c>
    </row>
    <row r="1398">
      <c r="A1398" s="25">
        <v>40423.645833333336</v>
      </c>
      <c r="B1398" s="25">
        <v>433.75</v>
      </c>
      <c r="C1398" s="25">
        <v>433.75</v>
      </c>
      <c r="D1398" s="25">
        <v>420.75</v>
      </c>
      <c r="E1398" s="25">
        <v>422.05</v>
      </c>
      <c r="F1398" s="25">
        <v>1379400.0</v>
      </c>
    </row>
    <row r="1399">
      <c r="A1399" s="25">
        <v>40424.645833333336</v>
      </c>
      <c r="B1399" s="25">
        <v>425.0</v>
      </c>
      <c r="C1399" s="25">
        <v>425.75</v>
      </c>
      <c r="D1399" s="25">
        <v>417.55</v>
      </c>
      <c r="E1399" s="25">
        <v>418.65</v>
      </c>
      <c r="F1399" s="25">
        <v>1388985.0</v>
      </c>
    </row>
    <row r="1400">
      <c r="A1400" s="25">
        <v>40427.645833333336</v>
      </c>
      <c r="B1400" s="25">
        <v>419.0</v>
      </c>
      <c r="C1400" s="25">
        <v>428.75</v>
      </c>
      <c r="D1400" s="25">
        <v>419.0</v>
      </c>
      <c r="E1400" s="25">
        <v>427.67</v>
      </c>
      <c r="F1400" s="25">
        <v>1143989.0</v>
      </c>
    </row>
    <row r="1401">
      <c r="A1401" s="25">
        <v>40428.645833333336</v>
      </c>
      <c r="B1401" s="25">
        <v>429.0</v>
      </c>
      <c r="C1401" s="25">
        <v>437.45</v>
      </c>
      <c r="D1401" s="25">
        <v>428.0</v>
      </c>
      <c r="E1401" s="25">
        <v>435.67</v>
      </c>
      <c r="F1401" s="25">
        <v>1242118.0</v>
      </c>
    </row>
    <row r="1402">
      <c r="A1402" s="25">
        <v>40429.645833333336</v>
      </c>
      <c r="B1402" s="25">
        <v>432.0</v>
      </c>
      <c r="C1402" s="25">
        <v>441.45</v>
      </c>
      <c r="D1402" s="25">
        <v>429.45</v>
      </c>
      <c r="E1402" s="25">
        <v>439.53</v>
      </c>
      <c r="F1402" s="25">
        <v>2094739.0</v>
      </c>
    </row>
    <row r="1403">
      <c r="A1403" s="25">
        <v>40430.645833333336</v>
      </c>
      <c r="B1403" s="25">
        <v>441.0</v>
      </c>
      <c r="C1403" s="25">
        <v>441.25</v>
      </c>
      <c r="D1403" s="25">
        <v>435.67</v>
      </c>
      <c r="E1403" s="25">
        <v>437.35</v>
      </c>
      <c r="F1403" s="25">
        <v>1469079.0</v>
      </c>
    </row>
    <row r="1404">
      <c r="A1404" s="25">
        <v>40434.645833333336</v>
      </c>
      <c r="B1404" s="25">
        <v>435.67</v>
      </c>
      <c r="C1404" s="25">
        <v>444.5</v>
      </c>
      <c r="D1404" s="25">
        <v>435.35</v>
      </c>
      <c r="E1404" s="25">
        <v>439.88</v>
      </c>
      <c r="F1404" s="25">
        <v>1174705.0</v>
      </c>
    </row>
    <row r="1405">
      <c r="A1405" s="25">
        <v>40435.645833333336</v>
      </c>
      <c r="B1405" s="25">
        <v>441.5</v>
      </c>
      <c r="C1405" s="25">
        <v>449.5</v>
      </c>
      <c r="D1405" s="25">
        <v>440.15</v>
      </c>
      <c r="E1405" s="25">
        <v>447.67</v>
      </c>
      <c r="F1405" s="25">
        <v>1535519.0</v>
      </c>
    </row>
    <row r="1406">
      <c r="A1406" s="25">
        <v>40436.645833333336</v>
      </c>
      <c r="B1406" s="25">
        <v>450.0</v>
      </c>
      <c r="C1406" s="25">
        <v>459.7</v>
      </c>
      <c r="D1406" s="25">
        <v>449.5</v>
      </c>
      <c r="E1406" s="25">
        <v>457.4</v>
      </c>
      <c r="F1406" s="25">
        <v>2780197.0</v>
      </c>
    </row>
    <row r="1407">
      <c r="A1407" s="25">
        <v>40437.645833333336</v>
      </c>
      <c r="B1407" s="25">
        <v>454.0</v>
      </c>
      <c r="C1407" s="25">
        <v>456.73</v>
      </c>
      <c r="D1407" s="25">
        <v>432.25</v>
      </c>
      <c r="E1407" s="25">
        <v>447.7</v>
      </c>
      <c r="F1407" s="25">
        <v>1167132.0</v>
      </c>
    </row>
    <row r="1408">
      <c r="A1408" s="25">
        <v>40438.645833333336</v>
      </c>
      <c r="B1408" s="25">
        <v>450.05</v>
      </c>
      <c r="C1408" s="25">
        <v>459.38</v>
      </c>
      <c r="D1408" s="25">
        <v>450.05</v>
      </c>
      <c r="E1408" s="25">
        <v>456.9</v>
      </c>
      <c r="F1408" s="25">
        <v>1503989.0</v>
      </c>
    </row>
    <row r="1409">
      <c r="A1409" s="25">
        <v>40441.645833333336</v>
      </c>
      <c r="B1409" s="25">
        <v>458.5</v>
      </c>
      <c r="C1409" s="25">
        <v>460.95</v>
      </c>
      <c r="D1409" s="25">
        <v>453.35</v>
      </c>
      <c r="E1409" s="25">
        <v>456.13</v>
      </c>
      <c r="F1409" s="25">
        <v>1209554.0</v>
      </c>
    </row>
    <row r="1410">
      <c r="A1410" s="25">
        <v>40442.645833333336</v>
      </c>
      <c r="B1410" s="25">
        <v>456.0</v>
      </c>
      <c r="C1410" s="25">
        <v>479.0</v>
      </c>
      <c r="D1410" s="25">
        <v>455.15</v>
      </c>
      <c r="E1410" s="25">
        <v>476.98</v>
      </c>
      <c r="F1410" s="25">
        <v>2498592.0</v>
      </c>
    </row>
    <row r="1411">
      <c r="A1411" s="25">
        <v>40443.645833333336</v>
      </c>
      <c r="B1411" s="25">
        <v>478.0</v>
      </c>
      <c r="C1411" s="25">
        <v>480.0</v>
      </c>
      <c r="D1411" s="25">
        <v>465.0</v>
      </c>
      <c r="E1411" s="25">
        <v>467.63</v>
      </c>
      <c r="F1411" s="25">
        <v>2015533.0</v>
      </c>
    </row>
    <row r="1412">
      <c r="A1412" s="25">
        <v>40444.645833333336</v>
      </c>
      <c r="B1412" s="25">
        <v>470.0</v>
      </c>
      <c r="C1412" s="25">
        <v>472.65</v>
      </c>
      <c r="D1412" s="25">
        <v>463.9</v>
      </c>
      <c r="E1412" s="25">
        <v>465.67</v>
      </c>
      <c r="F1412" s="25">
        <v>1663618.0</v>
      </c>
    </row>
    <row r="1413">
      <c r="A1413" s="25">
        <v>40445.645833333336</v>
      </c>
      <c r="B1413" s="25">
        <v>466.55</v>
      </c>
      <c r="C1413" s="25">
        <v>468.95</v>
      </c>
      <c r="D1413" s="25">
        <v>462.5</v>
      </c>
      <c r="E1413" s="25">
        <v>465.98</v>
      </c>
      <c r="F1413" s="25">
        <v>1369392.0</v>
      </c>
    </row>
    <row r="1414">
      <c r="A1414" s="25">
        <v>40448.645833333336</v>
      </c>
      <c r="B1414" s="25">
        <v>467.5</v>
      </c>
      <c r="C1414" s="25">
        <v>470.73</v>
      </c>
      <c r="D1414" s="25">
        <v>461.0</v>
      </c>
      <c r="E1414" s="25">
        <v>463.8</v>
      </c>
      <c r="F1414" s="25">
        <v>1711645.0</v>
      </c>
    </row>
    <row r="1415">
      <c r="A1415" s="25">
        <v>40449.645833333336</v>
      </c>
      <c r="B1415" s="25">
        <v>462.63</v>
      </c>
      <c r="C1415" s="25">
        <v>465.15</v>
      </c>
      <c r="D1415" s="25">
        <v>457.05</v>
      </c>
      <c r="E1415" s="25">
        <v>459.83</v>
      </c>
      <c r="F1415" s="25">
        <v>1260857.0</v>
      </c>
    </row>
    <row r="1416">
      <c r="A1416" s="25">
        <v>40450.645833333336</v>
      </c>
      <c r="B1416" s="25">
        <v>462.5</v>
      </c>
      <c r="C1416" s="25">
        <v>468.63</v>
      </c>
      <c r="D1416" s="25">
        <v>457.45</v>
      </c>
      <c r="E1416" s="25">
        <v>460.17</v>
      </c>
      <c r="F1416" s="25">
        <v>1685097.0</v>
      </c>
    </row>
    <row r="1417">
      <c r="A1417" s="25">
        <v>40451.645833333336</v>
      </c>
      <c r="B1417" s="25">
        <v>462.5</v>
      </c>
      <c r="C1417" s="25">
        <v>465.0</v>
      </c>
      <c r="D1417" s="25">
        <v>457.58</v>
      </c>
      <c r="E1417" s="25">
        <v>463.48</v>
      </c>
      <c r="F1417" s="25">
        <v>3780462.0</v>
      </c>
    </row>
    <row r="1418">
      <c r="A1418" s="25">
        <v>40452.645833333336</v>
      </c>
      <c r="B1418" s="25">
        <v>463.5</v>
      </c>
      <c r="C1418" s="25">
        <v>483.0</v>
      </c>
      <c r="D1418" s="25">
        <v>461.0</v>
      </c>
      <c r="E1418" s="25">
        <v>480.8</v>
      </c>
      <c r="F1418" s="25">
        <v>1663078.0</v>
      </c>
    </row>
    <row r="1419">
      <c r="A1419" s="25">
        <v>40455.645833333336</v>
      </c>
      <c r="B1419" s="25">
        <v>483.38</v>
      </c>
      <c r="C1419" s="25">
        <v>487.5</v>
      </c>
      <c r="D1419" s="25">
        <v>476.5</v>
      </c>
      <c r="E1419" s="25">
        <v>477.9</v>
      </c>
      <c r="F1419" s="25">
        <v>1070478.0</v>
      </c>
    </row>
    <row r="1420">
      <c r="A1420" s="25">
        <v>40456.645833333336</v>
      </c>
      <c r="B1420" s="25">
        <v>475.0</v>
      </c>
      <c r="C1420" s="25">
        <v>482.98</v>
      </c>
      <c r="D1420" s="25">
        <v>473.08</v>
      </c>
      <c r="E1420" s="25">
        <v>475.13</v>
      </c>
      <c r="F1420" s="25">
        <v>1105832.0</v>
      </c>
    </row>
    <row r="1421">
      <c r="A1421" s="25">
        <v>40457.645833333336</v>
      </c>
      <c r="B1421" s="25">
        <v>475.0</v>
      </c>
      <c r="C1421" s="25">
        <v>483.95</v>
      </c>
      <c r="D1421" s="25">
        <v>475.0</v>
      </c>
      <c r="E1421" s="25">
        <v>479.83</v>
      </c>
      <c r="F1421" s="25">
        <v>919480.0</v>
      </c>
    </row>
    <row r="1422">
      <c r="A1422" s="25">
        <v>40458.645833333336</v>
      </c>
      <c r="B1422" s="25">
        <v>480.0</v>
      </c>
      <c r="C1422" s="25">
        <v>483.0</v>
      </c>
      <c r="D1422" s="25">
        <v>469.2</v>
      </c>
      <c r="E1422" s="25">
        <v>474.4</v>
      </c>
      <c r="F1422" s="25">
        <v>986470.0</v>
      </c>
    </row>
    <row r="1423">
      <c r="A1423" s="25">
        <v>40459.645833333336</v>
      </c>
      <c r="B1423" s="25">
        <v>472.03</v>
      </c>
      <c r="C1423" s="25">
        <v>477.35</v>
      </c>
      <c r="D1423" s="25">
        <v>434.5</v>
      </c>
      <c r="E1423" s="25">
        <v>471.3</v>
      </c>
      <c r="F1423" s="25">
        <v>1347998.0</v>
      </c>
    </row>
    <row r="1424">
      <c r="A1424" s="25">
        <v>40462.645833333336</v>
      </c>
      <c r="B1424" s="25">
        <v>471.3</v>
      </c>
      <c r="C1424" s="25">
        <v>476.98</v>
      </c>
      <c r="D1424" s="25">
        <v>464.53</v>
      </c>
      <c r="E1424" s="25">
        <v>470.45</v>
      </c>
      <c r="F1424" s="25">
        <v>1532685.0</v>
      </c>
    </row>
    <row r="1425">
      <c r="A1425" s="25">
        <v>40463.645833333336</v>
      </c>
      <c r="B1425" s="25">
        <v>471.33</v>
      </c>
      <c r="C1425" s="25">
        <v>477.9</v>
      </c>
      <c r="D1425" s="25">
        <v>469.55</v>
      </c>
      <c r="E1425" s="25">
        <v>475.35</v>
      </c>
      <c r="F1425" s="25">
        <v>1304451.0</v>
      </c>
    </row>
    <row r="1426">
      <c r="A1426" s="25">
        <v>40464.645833333336</v>
      </c>
      <c r="B1426" s="25">
        <v>477.98</v>
      </c>
      <c r="C1426" s="25">
        <v>498.85</v>
      </c>
      <c r="D1426" s="25">
        <v>474.55</v>
      </c>
      <c r="E1426" s="25">
        <v>496.42</v>
      </c>
      <c r="F1426" s="25">
        <v>2675302.0</v>
      </c>
    </row>
    <row r="1427">
      <c r="A1427" s="25">
        <v>40465.645833333336</v>
      </c>
      <c r="B1427" s="25">
        <v>498.45</v>
      </c>
      <c r="C1427" s="25">
        <v>502.0</v>
      </c>
      <c r="D1427" s="25">
        <v>491.17</v>
      </c>
      <c r="E1427" s="25">
        <v>493.03</v>
      </c>
      <c r="F1427" s="25">
        <v>1474543.0</v>
      </c>
    </row>
    <row r="1428">
      <c r="A1428" s="25">
        <v>40466.645833333336</v>
      </c>
      <c r="B1428" s="25">
        <v>499.5</v>
      </c>
      <c r="C1428" s="25">
        <v>505.5</v>
      </c>
      <c r="D1428" s="25">
        <v>472.5</v>
      </c>
      <c r="E1428" s="25">
        <v>475.15</v>
      </c>
      <c r="F1428" s="25">
        <v>2858899.0</v>
      </c>
    </row>
    <row r="1429">
      <c r="A1429" s="25">
        <v>40469.645833333336</v>
      </c>
      <c r="B1429" s="25">
        <v>485.0</v>
      </c>
      <c r="C1429" s="25">
        <v>492.0</v>
      </c>
      <c r="D1429" s="25">
        <v>465.0</v>
      </c>
      <c r="E1429" s="25">
        <v>490.63</v>
      </c>
      <c r="F1429" s="25">
        <v>2240367.0</v>
      </c>
    </row>
    <row r="1430">
      <c r="A1430" s="25">
        <v>40470.645833333336</v>
      </c>
      <c r="B1430" s="25">
        <v>491.0</v>
      </c>
      <c r="C1430" s="25">
        <v>493.7</v>
      </c>
      <c r="D1430" s="25">
        <v>482.05</v>
      </c>
      <c r="E1430" s="25">
        <v>483.88</v>
      </c>
      <c r="F1430" s="25">
        <v>1100456.0</v>
      </c>
    </row>
    <row r="1431">
      <c r="A1431" s="25">
        <v>40471.645833333336</v>
      </c>
      <c r="B1431" s="25">
        <v>482.25</v>
      </c>
      <c r="C1431" s="25">
        <v>490.25</v>
      </c>
      <c r="D1431" s="25">
        <v>478.1</v>
      </c>
      <c r="E1431" s="25">
        <v>481.63</v>
      </c>
      <c r="F1431" s="25">
        <v>1103319.0</v>
      </c>
    </row>
    <row r="1432">
      <c r="A1432" s="25">
        <v>40472.645833333336</v>
      </c>
      <c r="B1432" s="25">
        <v>487.03</v>
      </c>
      <c r="C1432" s="25">
        <v>496.92</v>
      </c>
      <c r="D1432" s="25">
        <v>485.0</v>
      </c>
      <c r="E1432" s="25">
        <v>493.1</v>
      </c>
      <c r="F1432" s="25">
        <v>1876177.0</v>
      </c>
    </row>
    <row r="1433">
      <c r="A1433" s="25">
        <v>40473.645833333336</v>
      </c>
      <c r="B1433" s="25">
        <v>511.0</v>
      </c>
      <c r="C1433" s="25">
        <v>524.7</v>
      </c>
      <c r="D1433" s="25">
        <v>511.0</v>
      </c>
      <c r="E1433" s="25">
        <v>520.1</v>
      </c>
      <c r="F1433" s="25">
        <v>4805202.0</v>
      </c>
    </row>
    <row r="1434">
      <c r="A1434" s="25">
        <v>40476.645833333336</v>
      </c>
      <c r="B1434" s="25">
        <v>521.5</v>
      </c>
      <c r="C1434" s="25">
        <v>536.48</v>
      </c>
      <c r="D1434" s="25">
        <v>518.6</v>
      </c>
      <c r="E1434" s="25">
        <v>533.48</v>
      </c>
      <c r="F1434" s="25">
        <v>2578158.0</v>
      </c>
    </row>
    <row r="1435">
      <c r="A1435" s="25">
        <v>40477.645833333336</v>
      </c>
      <c r="B1435" s="25">
        <v>531.75</v>
      </c>
      <c r="C1435" s="25">
        <v>533.88</v>
      </c>
      <c r="D1435" s="25">
        <v>520.78</v>
      </c>
      <c r="E1435" s="25">
        <v>531.3</v>
      </c>
      <c r="F1435" s="25">
        <v>1753512.0</v>
      </c>
    </row>
    <row r="1436">
      <c r="A1436" s="25">
        <v>40478.645833333336</v>
      </c>
      <c r="B1436" s="25">
        <v>530.0</v>
      </c>
      <c r="C1436" s="25">
        <v>533.4</v>
      </c>
      <c r="D1436" s="25">
        <v>521.78</v>
      </c>
      <c r="E1436" s="25">
        <v>524.1</v>
      </c>
      <c r="F1436" s="25">
        <v>1070691.0</v>
      </c>
    </row>
    <row r="1437">
      <c r="A1437" s="25">
        <v>40479.645833333336</v>
      </c>
      <c r="B1437" s="25">
        <v>525.0</v>
      </c>
      <c r="C1437" s="25">
        <v>533.78</v>
      </c>
      <c r="D1437" s="25">
        <v>520.0</v>
      </c>
      <c r="E1437" s="25">
        <v>526.45</v>
      </c>
      <c r="F1437" s="25">
        <v>2627845.0</v>
      </c>
    </row>
    <row r="1438">
      <c r="A1438" s="25">
        <v>40480.645833333336</v>
      </c>
      <c r="B1438" s="25">
        <v>530.0</v>
      </c>
      <c r="C1438" s="25">
        <v>530.0</v>
      </c>
      <c r="D1438" s="25">
        <v>515.5</v>
      </c>
      <c r="E1438" s="25">
        <v>526.45</v>
      </c>
      <c r="F1438" s="25">
        <v>1106199.0</v>
      </c>
    </row>
    <row r="1439">
      <c r="A1439" s="25">
        <v>40483.645833333336</v>
      </c>
      <c r="B1439" s="25">
        <v>526.03</v>
      </c>
      <c r="C1439" s="25">
        <v>533.2</v>
      </c>
      <c r="D1439" s="25">
        <v>524.55</v>
      </c>
      <c r="E1439" s="25">
        <v>526.7</v>
      </c>
      <c r="F1439" s="25">
        <v>573974.0</v>
      </c>
    </row>
    <row r="1440">
      <c r="A1440" s="25">
        <v>40484.645833333336</v>
      </c>
      <c r="B1440" s="25">
        <v>527.5</v>
      </c>
      <c r="C1440" s="25">
        <v>530.0</v>
      </c>
      <c r="D1440" s="25">
        <v>521.85</v>
      </c>
      <c r="E1440" s="25">
        <v>524.73</v>
      </c>
      <c r="F1440" s="25">
        <v>782889.0</v>
      </c>
    </row>
    <row r="1441">
      <c r="A1441" s="25">
        <v>40485.645833333336</v>
      </c>
      <c r="B1441" s="25">
        <v>525.45</v>
      </c>
      <c r="C1441" s="25">
        <v>539.5</v>
      </c>
      <c r="D1441" s="25">
        <v>524.2</v>
      </c>
      <c r="E1441" s="25">
        <v>526.4</v>
      </c>
      <c r="F1441" s="25">
        <v>1108939.0</v>
      </c>
    </row>
    <row r="1442">
      <c r="A1442" s="25">
        <v>40486.645833333336</v>
      </c>
      <c r="B1442" s="25">
        <v>531.0</v>
      </c>
      <c r="C1442" s="25">
        <v>539.3</v>
      </c>
      <c r="D1442" s="25">
        <v>530.75</v>
      </c>
      <c r="E1442" s="25">
        <v>534.58</v>
      </c>
      <c r="F1442" s="25">
        <v>858720.0</v>
      </c>
    </row>
    <row r="1443">
      <c r="A1443" s="25">
        <v>40487.645833333336</v>
      </c>
      <c r="B1443" s="25">
        <v>541.45</v>
      </c>
      <c r="C1443" s="25">
        <v>541.95</v>
      </c>
      <c r="D1443" s="25">
        <v>537.67</v>
      </c>
      <c r="E1443" s="25">
        <v>539.2</v>
      </c>
      <c r="F1443" s="25">
        <v>178897.0</v>
      </c>
    </row>
    <row r="1444">
      <c r="A1444" s="25">
        <v>40490.645833333336</v>
      </c>
      <c r="B1444" s="25">
        <v>540.0</v>
      </c>
      <c r="C1444" s="25">
        <v>541.2</v>
      </c>
      <c r="D1444" s="25">
        <v>531.05</v>
      </c>
      <c r="E1444" s="25">
        <v>534.08</v>
      </c>
      <c r="F1444" s="25">
        <v>1124293.0</v>
      </c>
    </row>
    <row r="1445">
      <c r="A1445" s="25">
        <v>40491.645833333336</v>
      </c>
      <c r="B1445" s="25">
        <v>536.95</v>
      </c>
      <c r="C1445" s="25">
        <v>549.35</v>
      </c>
      <c r="D1445" s="25">
        <v>534.25</v>
      </c>
      <c r="E1445" s="25">
        <v>545.55</v>
      </c>
      <c r="F1445" s="25">
        <v>1752043.0</v>
      </c>
    </row>
    <row r="1446">
      <c r="A1446" s="25">
        <v>40492.645833333336</v>
      </c>
      <c r="B1446" s="25">
        <v>546.13</v>
      </c>
      <c r="C1446" s="25">
        <v>554.0</v>
      </c>
      <c r="D1446" s="25">
        <v>543.05</v>
      </c>
      <c r="E1446" s="25">
        <v>546.15</v>
      </c>
      <c r="F1446" s="25">
        <v>770112.0</v>
      </c>
    </row>
    <row r="1447">
      <c r="A1447" s="25">
        <v>40493.645833333336</v>
      </c>
      <c r="B1447" s="25">
        <v>545.0</v>
      </c>
      <c r="C1447" s="25">
        <v>545.0</v>
      </c>
      <c r="D1447" s="25">
        <v>529.13</v>
      </c>
      <c r="E1447" s="25">
        <v>532.38</v>
      </c>
      <c r="F1447" s="25">
        <v>963048.0</v>
      </c>
    </row>
    <row r="1448">
      <c r="A1448" s="25">
        <v>40494.645833333336</v>
      </c>
      <c r="B1448" s="25">
        <v>530.0</v>
      </c>
      <c r="C1448" s="25">
        <v>534.95</v>
      </c>
      <c r="D1448" s="25">
        <v>524.1</v>
      </c>
      <c r="E1448" s="25">
        <v>527.95</v>
      </c>
      <c r="F1448" s="25">
        <v>901165.0</v>
      </c>
    </row>
    <row r="1449">
      <c r="A1449" s="25">
        <v>40497.645833333336</v>
      </c>
      <c r="B1449" s="25">
        <v>532.5</v>
      </c>
      <c r="C1449" s="25">
        <v>539.92</v>
      </c>
      <c r="D1449" s="25">
        <v>526.5</v>
      </c>
      <c r="E1449" s="25">
        <v>533.0</v>
      </c>
      <c r="F1449" s="25">
        <v>694698.0</v>
      </c>
    </row>
    <row r="1450">
      <c r="A1450" s="25">
        <v>40498.645833333336</v>
      </c>
      <c r="B1450" s="25">
        <v>533.0</v>
      </c>
      <c r="C1450" s="25">
        <v>533.2</v>
      </c>
      <c r="D1450" s="25">
        <v>521.1</v>
      </c>
      <c r="E1450" s="25">
        <v>524.45</v>
      </c>
      <c r="F1450" s="25">
        <v>1089038.0</v>
      </c>
    </row>
    <row r="1451">
      <c r="A1451" s="25">
        <v>40500.645833333336</v>
      </c>
      <c r="B1451" s="25">
        <v>536.0</v>
      </c>
      <c r="C1451" s="25">
        <v>536.0</v>
      </c>
      <c r="D1451" s="25">
        <v>520.0</v>
      </c>
      <c r="E1451" s="25">
        <v>521.4</v>
      </c>
      <c r="F1451" s="25">
        <v>1382580.0</v>
      </c>
    </row>
    <row r="1452">
      <c r="A1452" s="25">
        <v>40501.645833333336</v>
      </c>
      <c r="B1452" s="25">
        <v>522.45</v>
      </c>
      <c r="C1452" s="25">
        <v>524.5</v>
      </c>
      <c r="D1452" s="25">
        <v>503.0</v>
      </c>
      <c r="E1452" s="25">
        <v>507.7</v>
      </c>
      <c r="F1452" s="25">
        <v>1086326.0</v>
      </c>
    </row>
    <row r="1453">
      <c r="A1453" s="25">
        <v>40504.645833333336</v>
      </c>
      <c r="B1453" s="25">
        <v>508.0</v>
      </c>
      <c r="C1453" s="25">
        <v>521.5</v>
      </c>
      <c r="D1453" s="25">
        <v>505.75</v>
      </c>
      <c r="E1453" s="25">
        <v>519.55</v>
      </c>
      <c r="F1453" s="25">
        <v>1110618.0</v>
      </c>
    </row>
    <row r="1454">
      <c r="A1454" s="25">
        <v>40505.645833333336</v>
      </c>
      <c r="B1454" s="25">
        <v>517.0</v>
      </c>
      <c r="C1454" s="25">
        <v>522.5</v>
      </c>
      <c r="D1454" s="25">
        <v>506.2</v>
      </c>
      <c r="E1454" s="25">
        <v>515.03</v>
      </c>
      <c r="F1454" s="25">
        <v>842224.0</v>
      </c>
    </row>
    <row r="1455">
      <c r="A1455" s="25">
        <v>40506.645833333336</v>
      </c>
      <c r="B1455" s="25">
        <v>512.5</v>
      </c>
      <c r="C1455" s="25">
        <v>517.25</v>
      </c>
      <c r="D1455" s="25">
        <v>499.48</v>
      </c>
      <c r="E1455" s="25">
        <v>502.38</v>
      </c>
      <c r="F1455" s="25">
        <v>1504304.0</v>
      </c>
    </row>
    <row r="1456">
      <c r="A1456" s="25">
        <v>40507.645833333336</v>
      </c>
      <c r="B1456" s="25">
        <v>505.03</v>
      </c>
      <c r="C1456" s="25">
        <v>520.95</v>
      </c>
      <c r="D1456" s="25">
        <v>503.55</v>
      </c>
      <c r="E1456" s="25">
        <v>510.9</v>
      </c>
      <c r="F1456" s="25">
        <v>2927503.0</v>
      </c>
    </row>
    <row r="1457">
      <c r="A1457" s="25">
        <v>40508.645833333336</v>
      </c>
      <c r="B1457" s="25">
        <v>512.5</v>
      </c>
      <c r="C1457" s="25">
        <v>527.0</v>
      </c>
      <c r="D1457" s="25">
        <v>512.5</v>
      </c>
      <c r="E1457" s="25">
        <v>523.63</v>
      </c>
      <c r="F1457" s="25">
        <v>1808913.0</v>
      </c>
    </row>
    <row r="1458">
      <c r="A1458" s="25">
        <v>40511.645833333336</v>
      </c>
      <c r="B1458" s="25">
        <v>527.5</v>
      </c>
      <c r="C1458" s="25">
        <v>539.25</v>
      </c>
      <c r="D1458" s="25">
        <v>525.13</v>
      </c>
      <c r="E1458" s="25">
        <v>535.65</v>
      </c>
      <c r="F1458" s="25">
        <v>2259446.0</v>
      </c>
    </row>
    <row r="1459">
      <c r="A1459" s="25">
        <v>40512.645833333336</v>
      </c>
      <c r="B1459" s="25">
        <v>530.25</v>
      </c>
      <c r="C1459" s="25">
        <v>543.03</v>
      </c>
      <c r="D1459" s="25">
        <v>526.55</v>
      </c>
      <c r="E1459" s="25">
        <v>538.0</v>
      </c>
      <c r="F1459" s="25">
        <v>2404204.0</v>
      </c>
    </row>
    <row r="1460">
      <c r="A1460" s="25">
        <v>40513.645833333336</v>
      </c>
      <c r="B1460" s="25">
        <v>532.0</v>
      </c>
      <c r="C1460" s="25">
        <v>546.6</v>
      </c>
      <c r="D1460" s="25">
        <v>532.0</v>
      </c>
      <c r="E1460" s="25">
        <v>540.95</v>
      </c>
      <c r="F1460" s="25">
        <v>1888016.0</v>
      </c>
    </row>
    <row r="1461">
      <c r="A1461" s="25">
        <v>40514.645833333336</v>
      </c>
      <c r="B1461" s="25">
        <v>545.5</v>
      </c>
      <c r="C1461" s="25">
        <v>549.6</v>
      </c>
      <c r="D1461" s="25">
        <v>537.53</v>
      </c>
      <c r="E1461" s="25">
        <v>547.9</v>
      </c>
      <c r="F1461" s="25">
        <v>2047858.0</v>
      </c>
    </row>
    <row r="1462">
      <c r="A1462" s="25">
        <v>40515.645833333336</v>
      </c>
      <c r="B1462" s="25">
        <v>546.53</v>
      </c>
      <c r="C1462" s="25">
        <v>556.5</v>
      </c>
      <c r="D1462" s="25">
        <v>545.58</v>
      </c>
      <c r="E1462" s="25">
        <v>548.67</v>
      </c>
      <c r="F1462" s="25">
        <v>1015056.0</v>
      </c>
    </row>
    <row r="1463">
      <c r="A1463" s="25">
        <v>40518.645833333336</v>
      </c>
      <c r="B1463" s="25">
        <v>550.0</v>
      </c>
      <c r="C1463" s="25">
        <v>555.0</v>
      </c>
      <c r="D1463" s="25">
        <v>547.65</v>
      </c>
      <c r="E1463" s="25">
        <v>550.85</v>
      </c>
      <c r="F1463" s="25">
        <v>965477.0</v>
      </c>
    </row>
    <row r="1464">
      <c r="A1464" s="25">
        <v>40519.645833333336</v>
      </c>
      <c r="B1464" s="25">
        <v>550.0</v>
      </c>
      <c r="C1464" s="25">
        <v>550.0</v>
      </c>
      <c r="D1464" s="25">
        <v>541.05</v>
      </c>
      <c r="E1464" s="25">
        <v>543.75</v>
      </c>
      <c r="F1464" s="25">
        <v>1079162.0</v>
      </c>
    </row>
    <row r="1465">
      <c r="A1465" s="25">
        <v>40520.645833333336</v>
      </c>
      <c r="B1465" s="25">
        <v>545.48</v>
      </c>
      <c r="C1465" s="25">
        <v>546.48</v>
      </c>
      <c r="D1465" s="25">
        <v>535.63</v>
      </c>
      <c r="E1465" s="25">
        <v>539.58</v>
      </c>
      <c r="F1465" s="25">
        <v>992066.0</v>
      </c>
    </row>
    <row r="1466">
      <c r="A1466" s="25">
        <v>40521.645833333336</v>
      </c>
      <c r="B1466" s="25">
        <v>541.85</v>
      </c>
      <c r="C1466" s="25">
        <v>548.65</v>
      </c>
      <c r="D1466" s="25">
        <v>534.05</v>
      </c>
      <c r="E1466" s="25">
        <v>536.3</v>
      </c>
      <c r="F1466" s="25">
        <v>1289951.0</v>
      </c>
    </row>
    <row r="1467">
      <c r="A1467" s="25">
        <v>40522.645833333336</v>
      </c>
      <c r="B1467" s="25">
        <v>533.5</v>
      </c>
      <c r="C1467" s="25">
        <v>541.92</v>
      </c>
      <c r="D1467" s="25">
        <v>528.5</v>
      </c>
      <c r="E1467" s="25">
        <v>537.45</v>
      </c>
      <c r="F1467" s="25">
        <v>1122812.0</v>
      </c>
    </row>
    <row r="1468">
      <c r="A1468" s="25">
        <v>40525.645833333336</v>
      </c>
      <c r="B1468" s="25">
        <v>535.5</v>
      </c>
      <c r="C1468" s="25">
        <v>540.35</v>
      </c>
      <c r="D1468" s="25">
        <v>524.2</v>
      </c>
      <c r="E1468" s="25">
        <v>538.05</v>
      </c>
      <c r="F1468" s="25">
        <v>1057533.0</v>
      </c>
    </row>
    <row r="1469">
      <c r="A1469" s="25">
        <v>40526.645833333336</v>
      </c>
      <c r="B1469" s="25">
        <v>536.6</v>
      </c>
      <c r="C1469" s="25">
        <v>544.8</v>
      </c>
      <c r="D1469" s="25">
        <v>532.08</v>
      </c>
      <c r="E1469" s="25">
        <v>540.48</v>
      </c>
      <c r="F1469" s="25">
        <v>1307670.0</v>
      </c>
    </row>
    <row r="1470">
      <c r="A1470" s="25">
        <v>40527.645833333336</v>
      </c>
      <c r="B1470" s="25">
        <v>542.55</v>
      </c>
      <c r="C1470" s="25">
        <v>554.2</v>
      </c>
      <c r="D1470" s="25">
        <v>540.75</v>
      </c>
      <c r="E1470" s="25">
        <v>551.83</v>
      </c>
      <c r="F1470" s="25">
        <v>1286017.0</v>
      </c>
    </row>
    <row r="1471">
      <c r="A1471" s="25">
        <v>40528.645833333336</v>
      </c>
      <c r="B1471" s="25">
        <v>554.5</v>
      </c>
      <c r="C1471" s="25">
        <v>572.0</v>
      </c>
      <c r="D1471" s="25">
        <v>552.08</v>
      </c>
      <c r="E1471" s="25">
        <v>570.35</v>
      </c>
      <c r="F1471" s="25">
        <v>2257852.0</v>
      </c>
    </row>
    <row r="1472">
      <c r="A1472" s="25">
        <v>40532.645833333336</v>
      </c>
      <c r="B1472" s="25">
        <v>567.4</v>
      </c>
      <c r="C1472" s="25">
        <v>588.5</v>
      </c>
      <c r="D1472" s="25">
        <v>557.42</v>
      </c>
      <c r="E1472" s="25">
        <v>583.35</v>
      </c>
      <c r="F1472" s="25">
        <v>2257023.0</v>
      </c>
    </row>
    <row r="1473">
      <c r="A1473" s="25">
        <v>40533.645833333336</v>
      </c>
      <c r="B1473" s="25">
        <v>584.5</v>
      </c>
      <c r="C1473" s="25">
        <v>586.13</v>
      </c>
      <c r="D1473" s="25">
        <v>577.0</v>
      </c>
      <c r="E1473" s="25">
        <v>580.4</v>
      </c>
      <c r="F1473" s="25">
        <v>1405321.0</v>
      </c>
    </row>
    <row r="1474">
      <c r="A1474" s="25">
        <v>40534.645833333336</v>
      </c>
      <c r="B1474" s="25">
        <v>583.5</v>
      </c>
      <c r="C1474" s="25">
        <v>584.5</v>
      </c>
      <c r="D1474" s="25">
        <v>568.88</v>
      </c>
      <c r="E1474" s="25">
        <v>574.88</v>
      </c>
      <c r="F1474" s="25">
        <v>1593418.0</v>
      </c>
    </row>
    <row r="1475">
      <c r="A1475" s="25">
        <v>40535.645833333336</v>
      </c>
      <c r="B1475" s="25">
        <v>575.0</v>
      </c>
      <c r="C1475" s="25">
        <v>579.78</v>
      </c>
      <c r="D1475" s="25">
        <v>566.05</v>
      </c>
      <c r="E1475" s="25">
        <v>570.0</v>
      </c>
      <c r="F1475" s="25">
        <v>1425462.0</v>
      </c>
    </row>
    <row r="1476">
      <c r="A1476" s="25">
        <v>40536.645833333336</v>
      </c>
      <c r="B1476" s="25">
        <v>567.0</v>
      </c>
      <c r="C1476" s="25">
        <v>574.4</v>
      </c>
      <c r="D1476" s="25">
        <v>562.88</v>
      </c>
      <c r="E1476" s="25">
        <v>570.55</v>
      </c>
      <c r="F1476" s="25">
        <v>812320.0</v>
      </c>
    </row>
    <row r="1477">
      <c r="A1477" s="25">
        <v>40539.645833333336</v>
      </c>
      <c r="B1477" s="25">
        <v>572.5</v>
      </c>
      <c r="C1477" s="25">
        <v>579.73</v>
      </c>
      <c r="D1477" s="25">
        <v>569.1</v>
      </c>
      <c r="E1477" s="25">
        <v>570.6</v>
      </c>
      <c r="F1477" s="25">
        <v>832468.0</v>
      </c>
    </row>
    <row r="1478">
      <c r="A1478" s="25">
        <v>40540.645833333336</v>
      </c>
      <c r="B1478" s="25">
        <v>570.6</v>
      </c>
      <c r="C1478" s="25">
        <v>575.45</v>
      </c>
      <c r="D1478" s="25">
        <v>570.03</v>
      </c>
      <c r="E1478" s="25">
        <v>573.17</v>
      </c>
      <c r="F1478" s="25">
        <v>506438.0</v>
      </c>
    </row>
    <row r="1479">
      <c r="A1479" s="25">
        <v>40541.645833333336</v>
      </c>
      <c r="B1479" s="25">
        <v>574.5</v>
      </c>
      <c r="C1479" s="25">
        <v>581.0</v>
      </c>
      <c r="D1479" s="25">
        <v>573.53</v>
      </c>
      <c r="E1479" s="25">
        <v>578.48</v>
      </c>
      <c r="F1479" s="25">
        <v>521185.0</v>
      </c>
    </row>
    <row r="1480">
      <c r="A1480" s="25">
        <v>40542.645833333336</v>
      </c>
      <c r="B1480" s="25">
        <v>576.25</v>
      </c>
      <c r="C1480" s="25">
        <v>587.4</v>
      </c>
      <c r="D1480" s="25">
        <v>576.25</v>
      </c>
      <c r="E1480" s="25">
        <v>585.1</v>
      </c>
      <c r="F1480" s="25">
        <v>1922776.0</v>
      </c>
    </row>
    <row r="1481">
      <c r="A1481" s="25">
        <v>40543.645833333336</v>
      </c>
      <c r="B1481" s="25">
        <v>586.25</v>
      </c>
      <c r="C1481" s="25">
        <v>590.0</v>
      </c>
      <c r="D1481" s="25">
        <v>580.9</v>
      </c>
      <c r="E1481" s="25">
        <v>582.83</v>
      </c>
      <c r="F1481" s="25">
        <v>766490.0</v>
      </c>
    </row>
    <row r="1482">
      <c r="A1482" s="25">
        <v>40546.645833333336</v>
      </c>
      <c r="B1482" s="25">
        <v>583.5</v>
      </c>
      <c r="C1482" s="25">
        <v>588.48</v>
      </c>
      <c r="D1482" s="25">
        <v>577.28</v>
      </c>
      <c r="E1482" s="25">
        <v>579.03</v>
      </c>
      <c r="F1482" s="25">
        <v>702521.0</v>
      </c>
    </row>
    <row r="1483">
      <c r="A1483" s="25">
        <v>40547.645833333336</v>
      </c>
      <c r="B1483" s="25">
        <v>581.95</v>
      </c>
      <c r="C1483" s="25">
        <v>583.08</v>
      </c>
      <c r="D1483" s="25">
        <v>569.05</v>
      </c>
      <c r="E1483" s="25">
        <v>572.38</v>
      </c>
      <c r="F1483" s="25">
        <v>1251434.0</v>
      </c>
    </row>
    <row r="1484">
      <c r="A1484" s="25">
        <v>40548.645833333336</v>
      </c>
      <c r="B1484" s="25">
        <v>572.63</v>
      </c>
      <c r="C1484" s="25">
        <v>582.95</v>
      </c>
      <c r="D1484" s="25">
        <v>570.88</v>
      </c>
      <c r="E1484" s="25">
        <v>579.48</v>
      </c>
      <c r="F1484" s="25">
        <v>1534837.0</v>
      </c>
    </row>
    <row r="1485">
      <c r="A1485" s="25">
        <v>40549.645833333336</v>
      </c>
      <c r="B1485" s="25">
        <v>584.0</v>
      </c>
      <c r="C1485" s="25">
        <v>591.0</v>
      </c>
      <c r="D1485" s="25">
        <v>576.55</v>
      </c>
      <c r="E1485" s="25">
        <v>585.85</v>
      </c>
      <c r="F1485" s="25">
        <v>1423360.0</v>
      </c>
    </row>
    <row r="1486">
      <c r="A1486" s="25">
        <v>40550.645833333336</v>
      </c>
      <c r="B1486" s="25">
        <v>588.0</v>
      </c>
      <c r="C1486" s="25">
        <v>593.42</v>
      </c>
      <c r="D1486" s="25">
        <v>569.08</v>
      </c>
      <c r="E1486" s="25">
        <v>571.33</v>
      </c>
      <c r="F1486" s="25">
        <v>1266362.0</v>
      </c>
    </row>
    <row r="1487">
      <c r="A1487" s="25">
        <v>40553.645833333336</v>
      </c>
      <c r="B1487" s="25">
        <v>573.75</v>
      </c>
      <c r="C1487" s="25">
        <v>574.5</v>
      </c>
      <c r="D1487" s="25">
        <v>560.5</v>
      </c>
      <c r="E1487" s="25">
        <v>565.45</v>
      </c>
      <c r="F1487" s="25">
        <v>1976213.0</v>
      </c>
    </row>
    <row r="1488">
      <c r="A1488" s="25">
        <v>40554.645833333336</v>
      </c>
      <c r="B1488" s="25">
        <v>561.5</v>
      </c>
      <c r="C1488" s="25">
        <v>567.78</v>
      </c>
      <c r="D1488" s="25">
        <v>543.9</v>
      </c>
      <c r="E1488" s="25">
        <v>549.25</v>
      </c>
      <c r="F1488" s="25">
        <v>1884365.0</v>
      </c>
    </row>
    <row r="1489">
      <c r="A1489" s="25">
        <v>40555.645833333336</v>
      </c>
      <c r="B1489" s="25">
        <v>554.95</v>
      </c>
      <c r="C1489" s="25">
        <v>575.8</v>
      </c>
      <c r="D1489" s="25">
        <v>554.0</v>
      </c>
      <c r="E1489" s="25">
        <v>567.98</v>
      </c>
      <c r="F1489" s="25">
        <v>1580437.0</v>
      </c>
    </row>
    <row r="1490">
      <c r="A1490" s="25">
        <v>40556.645833333336</v>
      </c>
      <c r="B1490" s="25">
        <v>564.48</v>
      </c>
      <c r="C1490" s="25">
        <v>577.98</v>
      </c>
      <c r="D1490" s="25">
        <v>558.1</v>
      </c>
      <c r="E1490" s="25">
        <v>562.13</v>
      </c>
      <c r="F1490" s="25">
        <v>2794599.0</v>
      </c>
    </row>
    <row r="1491">
      <c r="A1491" s="25">
        <v>40557.645833333336</v>
      </c>
      <c r="B1491" s="25">
        <v>564.95</v>
      </c>
      <c r="C1491" s="25">
        <v>575.0</v>
      </c>
      <c r="D1491" s="25">
        <v>560.0</v>
      </c>
      <c r="E1491" s="25">
        <v>560.08</v>
      </c>
      <c r="F1491" s="25">
        <v>1575846.0</v>
      </c>
    </row>
    <row r="1492">
      <c r="A1492" s="25">
        <v>40560.645833333336</v>
      </c>
      <c r="B1492" s="25">
        <v>560.6</v>
      </c>
      <c r="C1492" s="25">
        <v>573.28</v>
      </c>
      <c r="D1492" s="25">
        <v>560.0</v>
      </c>
      <c r="E1492" s="25">
        <v>568.7</v>
      </c>
      <c r="F1492" s="25">
        <v>1500106.0</v>
      </c>
    </row>
    <row r="1493">
      <c r="A1493" s="25">
        <v>40561.645833333336</v>
      </c>
      <c r="B1493" s="25">
        <v>587.0</v>
      </c>
      <c r="C1493" s="25">
        <v>604.45</v>
      </c>
      <c r="D1493" s="25">
        <v>582.17</v>
      </c>
      <c r="E1493" s="25">
        <v>601.28</v>
      </c>
      <c r="F1493" s="25">
        <v>4240685.0</v>
      </c>
    </row>
    <row r="1494">
      <c r="A1494" s="25">
        <v>40562.645833333336</v>
      </c>
      <c r="B1494" s="25">
        <v>601.73</v>
      </c>
      <c r="C1494" s="25">
        <v>604.5</v>
      </c>
      <c r="D1494" s="25">
        <v>592.5</v>
      </c>
      <c r="E1494" s="25">
        <v>596.5</v>
      </c>
      <c r="F1494" s="25">
        <v>1476020.0</v>
      </c>
    </row>
    <row r="1495">
      <c r="A1495" s="25">
        <v>40563.645833333336</v>
      </c>
      <c r="B1495" s="25">
        <v>590.0</v>
      </c>
      <c r="C1495" s="25">
        <v>609.38</v>
      </c>
      <c r="D1495" s="25">
        <v>590.0</v>
      </c>
      <c r="E1495" s="25">
        <v>606.1</v>
      </c>
      <c r="F1495" s="25">
        <v>2272604.0</v>
      </c>
    </row>
    <row r="1496">
      <c r="A1496" s="25">
        <v>40564.645833333336</v>
      </c>
      <c r="B1496" s="25">
        <v>605.0</v>
      </c>
      <c r="C1496" s="25">
        <v>610.0</v>
      </c>
      <c r="D1496" s="25">
        <v>602.0</v>
      </c>
      <c r="E1496" s="25">
        <v>605.83</v>
      </c>
      <c r="F1496" s="25">
        <v>1298702.0</v>
      </c>
    </row>
    <row r="1497">
      <c r="A1497" s="25">
        <v>40567.645833333336</v>
      </c>
      <c r="B1497" s="25">
        <v>600.0</v>
      </c>
      <c r="C1497" s="25">
        <v>610.0</v>
      </c>
      <c r="D1497" s="25">
        <v>599.13</v>
      </c>
      <c r="E1497" s="25">
        <v>604.6</v>
      </c>
      <c r="F1497" s="25">
        <v>1008339.0</v>
      </c>
    </row>
    <row r="1498">
      <c r="A1498" s="25">
        <v>40568.645833333336</v>
      </c>
      <c r="B1498" s="25">
        <v>607.4</v>
      </c>
      <c r="C1498" s="25">
        <v>609.65</v>
      </c>
      <c r="D1498" s="25">
        <v>590.0</v>
      </c>
      <c r="E1498" s="25">
        <v>594.28</v>
      </c>
      <c r="F1498" s="25">
        <v>1233547.0</v>
      </c>
    </row>
    <row r="1499">
      <c r="A1499" s="25">
        <v>40570.645833333336</v>
      </c>
      <c r="B1499" s="25">
        <v>593.78</v>
      </c>
      <c r="C1499" s="25">
        <v>604.98</v>
      </c>
      <c r="D1499" s="25">
        <v>590.8</v>
      </c>
      <c r="E1499" s="25">
        <v>599.7</v>
      </c>
      <c r="F1499" s="25">
        <v>2357059.0</v>
      </c>
    </row>
    <row r="1500">
      <c r="A1500" s="25">
        <v>40571.645833333336</v>
      </c>
      <c r="B1500" s="25">
        <v>597.5</v>
      </c>
      <c r="C1500" s="25">
        <v>601.8</v>
      </c>
      <c r="D1500" s="25">
        <v>582.63</v>
      </c>
      <c r="E1500" s="25">
        <v>590.67</v>
      </c>
      <c r="F1500" s="25">
        <v>1507289.0</v>
      </c>
    </row>
    <row r="1501">
      <c r="A1501" s="25">
        <v>40574.645833333336</v>
      </c>
      <c r="B1501" s="25">
        <v>584.5</v>
      </c>
      <c r="C1501" s="25">
        <v>584.5</v>
      </c>
      <c r="D1501" s="25">
        <v>564.28</v>
      </c>
      <c r="E1501" s="25">
        <v>579.75</v>
      </c>
      <c r="F1501" s="25">
        <v>2970408.0</v>
      </c>
    </row>
    <row r="1502">
      <c r="A1502" s="25">
        <v>40575.645833333336</v>
      </c>
      <c r="B1502" s="25">
        <v>582.5</v>
      </c>
      <c r="C1502" s="25">
        <v>582.5</v>
      </c>
      <c r="D1502" s="25">
        <v>566.5</v>
      </c>
      <c r="E1502" s="25">
        <v>575.08</v>
      </c>
      <c r="F1502" s="25">
        <v>2106354.0</v>
      </c>
    </row>
    <row r="1503">
      <c r="A1503" s="25">
        <v>40576.645833333336</v>
      </c>
      <c r="B1503" s="25">
        <v>585.0</v>
      </c>
      <c r="C1503" s="25">
        <v>599.45</v>
      </c>
      <c r="D1503" s="25">
        <v>581.17</v>
      </c>
      <c r="E1503" s="25">
        <v>591.23</v>
      </c>
      <c r="F1503" s="25">
        <v>1968809.0</v>
      </c>
    </row>
    <row r="1504">
      <c r="A1504" s="25">
        <v>40577.645833333336</v>
      </c>
      <c r="B1504" s="25">
        <v>592.35</v>
      </c>
      <c r="C1504" s="25">
        <v>597.85</v>
      </c>
      <c r="D1504" s="25">
        <v>585.33</v>
      </c>
      <c r="E1504" s="25">
        <v>591.85</v>
      </c>
      <c r="F1504" s="25">
        <v>941706.0</v>
      </c>
    </row>
    <row r="1505">
      <c r="A1505" s="25">
        <v>40578.645833333336</v>
      </c>
      <c r="B1505" s="25">
        <v>588.0</v>
      </c>
      <c r="C1505" s="25">
        <v>591.55</v>
      </c>
      <c r="D1505" s="25">
        <v>570.13</v>
      </c>
      <c r="E1505" s="25">
        <v>574.4</v>
      </c>
      <c r="F1505" s="25">
        <v>1728800.0</v>
      </c>
    </row>
    <row r="1506">
      <c r="A1506" s="25">
        <v>40581.645833333336</v>
      </c>
      <c r="B1506" s="25">
        <v>586.75</v>
      </c>
      <c r="C1506" s="25">
        <v>586.75</v>
      </c>
      <c r="D1506" s="25">
        <v>563.25</v>
      </c>
      <c r="E1506" s="25">
        <v>565.58</v>
      </c>
      <c r="F1506" s="25">
        <v>1289191.0</v>
      </c>
    </row>
    <row r="1507">
      <c r="A1507" s="25">
        <v>40582.645833333336</v>
      </c>
      <c r="B1507" s="25">
        <v>566.0</v>
      </c>
      <c r="C1507" s="25">
        <v>574.95</v>
      </c>
      <c r="D1507" s="25">
        <v>559.25</v>
      </c>
      <c r="E1507" s="25">
        <v>562.55</v>
      </c>
      <c r="F1507" s="25">
        <v>2644319.0</v>
      </c>
    </row>
    <row r="1508">
      <c r="A1508" s="25">
        <v>40583.645833333336</v>
      </c>
      <c r="B1508" s="25">
        <v>561.25</v>
      </c>
      <c r="C1508" s="25">
        <v>564.8</v>
      </c>
      <c r="D1508" s="25">
        <v>541.85</v>
      </c>
      <c r="E1508" s="25">
        <v>549.15</v>
      </c>
      <c r="F1508" s="25">
        <v>3006366.0</v>
      </c>
    </row>
    <row r="1509">
      <c r="A1509" s="25">
        <v>40584.645833333336</v>
      </c>
      <c r="B1509" s="25">
        <v>550.0</v>
      </c>
      <c r="C1509" s="25">
        <v>557.25</v>
      </c>
      <c r="D1509" s="25">
        <v>536.0</v>
      </c>
      <c r="E1509" s="25">
        <v>545.38</v>
      </c>
      <c r="F1509" s="25">
        <v>2275911.0</v>
      </c>
    </row>
    <row r="1510">
      <c r="A1510" s="25">
        <v>40585.645833333336</v>
      </c>
      <c r="B1510" s="25">
        <v>542.05</v>
      </c>
      <c r="C1510" s="25">
        <v>552.1</v>
      </c>
      <c r="D1510" s="25">
        <v>527.95</v>
      </c>
      <c r="E1510" s="25">
        <v>544.8</v>
      </c>
      <c r="F1510" s="25">
        <v>1472528.0</v>
      </c>
    </row>
    <row r="1511">
      <c r="A1511" s="25">
        <v>40588.645833333336</v>
      </c>
      <c r="B1511" s="25">
        <v>545.5</v>
      </c>
      <c r="C1511" s="25">
        <v>560.0</v>
      </c>
      <c r="D1511" s="25">
        <v>543.5</v>
      </c>
      <c r="E1511" s="25">
        <v>556.15</v>
      </c>
      <c r="F1511" s="25">
        <v>1231274.0</v>
      </c>
    </row>
    <row r="1512">
      <c r="A1512" s="25">
        <v>40589.645833333336</v>
      </c>
      <c r="B1512" s="25">
        <v>559.5</v>
      </c>
      <c r="C1512" s="25">
        <v>559.5</v>
      </c>
      <c r="D1512" s="25">
        <v>538.28</v>
      </c>
      <c r="E1512" s="25">
        <v>548.85</v>
      </c>
      <c r="F1512" s="25">
        <v>1812713.0</v>
      </c>
    </row>
    <row r="1513">
      <c r="A1513" s="25">
        <v>40590.645833333336</v>
      </c>
      <c r="B1513" s="25">
        <v>552.5</v>
      </c>
      <c r="C1513" s="25">
        <v>554.85</v>
      </c>
      <c r="D1513" s="25">
        <v>540.5</v>
      </c>
      <c r="E1513" s="25">
        <v>548.25</v>
      </c>
      <c r="F1513" s="25">
        <v>1232296.0</v>
      </c>
    </row>
    <row r="1514">
      <c r="A1514" s="25">
        <v>40591.645833333336</v>
      </c>
      <c r="B1514" s="25">
        <v>552.5</v>
      </c>
      <c r="C1514" s="25">
        <v>557.23</v>
      </c>
      <c r="D1514" s="25">
        <v>546.2</v>
      </c>
      <c r="E1514" s="25">
        <v>554.6</v>
      </c>
      <c r="F1514" s="25">
        <v>738880.0</v>
      </c>
    </row>
    <row r="1515">
      <c r="A1515" s="25">
        <v>40592.645833333336</v>
      </c>
      <c r="B1515" s="25">
        <v>555.13</v>
      </c>
      <c r="C1515" s="25">
        <v>566.2</v>
      </c>
      <c r="D1515" s="25">
        <v>541.05</v>
      </c>
      <c r="E1515" s="25">
        <v>544.85</v>
      </c>
      <c r="F1515" s="25">
        <v>2038464.0</v>
      </c>
    </row>
    <row r="1516">
      <c r="A1516" s="25">
        <v>40595.645833333336</v>
      </c>
      <c r="B1516" s="25">
        <v>545.0</v>
      </c>
      <c r="C1516" s="25">
        <v>574.0</v>
      </c>
      <c r="D1516" s="25">
        <v>529.1</v>
      </c>
      <c r="E1516" s="25">
        <v>569.3</v>
      </c>
      <c r="F1516" s="25">
        <v>2828900.0</v>
      </c>
    </row>
    <row r="1517">
      <c r="A1517" s="25">
        <v>40596.645833333336</v>
      </c>
      <c r="B1517" s="25">
        <v>561.33</v>
      </c>
      <c r="C1517" s="25">
        <v>573.85</v>
      </c>
      <c r="D1517" s="25">
        <v>560.0</v>
      </c>
      <c r="E1517" s="25">
        <v>569.38</v>
      </c>
      <c r="F1517" s="25">
        <v>1652700.0</v>
      </c>
    </row>
    <row r="1518">
      <c r="A1518" s="25">
        <v>40597.645833333336</v>
      </c>
      <c r="B1518" s="25">
        <v>564.08</v>
      </c>
      <c r="C1518" s="25">
        <v>572.48</v>
      </c>
      <c r="D1518" s="25">
        <v>561.55</v>
      </c>
      <c r="E1518" s="25">
        <v>562.78</v>
      </c>
      <c r="F1518" s="25">
        <v>939672.0</v>
      </c>
    </row>
    <row r="1519">
      <c r="A1519" s="25">
        <v>40598.645833333336</v>
      </c>
      <c r="B1519" s="25">
        <v>559.5</v>
      </c>
      <c r="C1519" s="25">
        <v>569.38</v>
      </c>
      <c r="D1519" s="25">
        <v>545.65</v>
      </c>
      <c r="E1519" s="25">
        <v>555.9</v>
      </c>
      <c r="F1519" s="25">
        <v>2689415.0</v>
      </c>
    </row>
    <row r="1520">
      <c r="A1520" s="25">
        <v>40599.645833333336</v>
      </c>
      <c r="B1520" s="25">
        <v>552.65</v>
      </c>
      <c r="C1520" s="25">
        <v>558.5</v>
      </c>
      <c r="D1520" s="25">
        <v>544.13</v>
      </c>
      <c r="E1520" s="25">
        <v>555.03</v>
      </c>
      <c r="F1520" s="25">
        <v>1535237.0</v>
      </c>
    </row>
    <row r="1521">
      <c r="A1521" s="25">
        <v>40602.645833333336</v>
      </c>
      <c r="B1521" s="25">
        <v>550.6</v>
      </c>
      <c r="C1521" s="25">
        <v>574.13</v>
      </c>
      <c r="D1521" s="25">
        <v>550.0</v>
      </c>
      <c r="E1521" s="25">
        <v>555.13</v>
      </c>
      <c r="F1521" s="25">
        <v>1614698.0</v>
      </c>
    </row>
    <row r="1522">
      <c r="A1522" s="25">
        <v>40603.645833333336</v>
      </c>
      <c r="B1522" s="25">
        <v>556.5</v>
      </c>
      <c r="C1522" s="25">
        <v>566.0</v>
      </c>
      <c r="D1522" s="25">
        <v>548.8</v>
      </c>
      <c r="E1522" s="25">
        <v>562.25</v>
      </c>
      <c r="F1522" s="25">
        <v>1583902.0</v>
      </c>
    </row>
    <row r="1523">
      <c r="A1523" s="25">
        <v>40605.645833333336</v>
      </c>
      <c r="B1523" s="25">
        <v>559.95</v>
      </c>
      <c r="C1523" s="25">
        <v>577.5</v>
      </c>
      <c r="D1523" s="25">
        <v>553.5</v>
      </c>
      <c r="E1523" s="25">
        <v>575.1</v>
      </c>
      <c r="F1523" s="25">
        <v>1726300.0</v>
      </c>
    </row>
    <row r="1524">
      <c r="A1524" s="25">
        <v>40606.645833333336</v>
      </c>
      <c r="B1524" s="25">
        <v>581.67</v>
      </c>
      <c r="C1524" s="25">
        <v>581.67</v>
      </c>
      <c r="D1524" s="25">
        <v>566.25</v>
      </c>
      <c r="E1524" s="25">
        <v>567.78</v>
      </c>
      <c r="F1524" s="25">
        <v>1030599.0</v>
      </c>
    </row>
    <row r="1525">
      <c r="A1525" s="25">
        <v>40609.645833333336</v>
      </c>
      <c r="B1525" s="25">
        <v>562.0</v>
      </c>
      <c r="C1525" s="25">
        <v>562.5</v>
      </c>
      <c r="D1525" s="25">
        <v>547.23</v>
      </c>
      <c r="E1525" s="25">
        <v>554.13</v>
      </c>
      <c r="F1525" s="25">
        <v>2092294.0</v>
      </c>
    </row>
    <row r="1526">
      <c r="A1526" s="25">
        <v>40610.645833333336</v>
      </c>
      <c r="B1526" s="25">
        <v>552.58</v>
      </c>
      <c r="C1526" s="25">
        <v>564.4</v>
      </c>
      <c r="D1526" s="25">
        <v>552.58</v>
      </c>
      <c r="E1526" s="25">
        <v>558.85</v>
      </c>
      <c r="F1526" s="25">
        <v>1973951.0</v>
      </c>
    </row>
    <row r="1527">
      <c r="A1527" s="25">
        <v>40611.645833333336</v>
      </c>
      <c r="B1527" s="25">
        <v>561.28</v>
      </c>
      <c r="C1527" s="25">
        <v>569.0</v>
      </c>
      <c r="D1527" s="25">
        <v>559.25</v>
      </c>
      <c r="E1527" s="25">
        <v>563.35</v>
      </c>
      <c r="F1527" s="25">
        <v>1212243.0</v>
      </c>
    </row>
    <row r="1528">
      <c r="A1528" s="25">
        <v>40612.645833333336</v>
      </c>
      <c r="B1528" s="25">
        <v>561.0</v>
      </c>
      <c r="C1528" s="25">
        <v>561.0</v>
      </c>
      <c r="D1528" s="25">
        <v>550.0</v>
      </c>
      <c r="E1528" s="25">
        <v>554.28</v>
      </c>
      <c r="F1528" s="25">
        <v>935662.0</v>
      </c>
    </row>
    <row r="1529">
      <c r="A1529" s="25">
        <v>40613.645833333336</v>
      </c>
      <c r="B1529" s="25">
        <v>550.0</v>
      </c>
      <c r="C1529" s="25">
        <v>551.2</v>
      </c>
      <c r="D1529" s="25">
        <v>531.65</v>
      </c>
      <c r="E1529" s="25">
        <v>538.53</v>
      </c>
      <c r="F1529" s="25">
        <v>2506441.0</v>
      </c>
    </row>
    <row r="1530">
      <c r="A1530" s="25">
        <v>40616.645833333336</v>
      </c>
      <c r="B1530" s="25">
        <v>535.5</v>
      </c>
      <c r="C1530" s="25">
        <v>551.0</v>
      </c>
      <c r="D1530" s="25">
        <v>529.2</v>
      </c>
      <c r="E1530" s="25">
        <v>548.78</v>
      </c>
      <c r="F1530" s="25">
        <v>1624309.0</v>
      </c>
    </row>
    <row r="1531">
      <c r="A1531" s="25">
        <v>40617.645833333336</v>
      </c>
      <c r="B1531" s="25">
        <v>537.5</v>
      </c>
      <c r="C1531" s="25">
        <v>547.73</v>
      </c>
      <c r="D1531" s="25">
        <v>532.83</v>
      </c>
      <c r="E1531" s="25">
        <v>544.9</v>
      </c>
      <c r="F1531" s="25">
        <v>1705934.0</v>
      </c>
    </row>
    <row r="1532">
      <c r="A1532" s="25">
        <v>40618.645833333336</v>
      </c>
      <c r="B1532" s="25">
        <v>546.0</v>
      </c>
      <c r="C1532" s="25">
        <v>561.73</v>
      </c>
      <c r="D1532" s="25">
        <v>545.58</v>
      </c>
      <c r="E1532" s="25">
        <v>557.42</v>
      </c>
      <c r="F1532" s="25">
        <v>1338937.0</v>
      </c>
    </row>
    <row r="1533">
      <c r="A1533" s="25">
        <v>40619.645833333336</v>
      </c>
      <c r="B1533" s="25">
        <v>552.5</v>
      </c>
      <c r="C1533" s="25">
        <v>559.45</v>
      </c>
      <c r="D1533" s="25">
        <v>546.33</v>
      </c>
      <c r="E1533" s="25">
        <v>549.0</v>
      </c>
      <c r="F1533" s="25">
        <v>1028051.0</v>
      </c>
    </row>
    <row r="1534">
      <c r="A1534" s="25">
        <v>40620.645833333336</v>
      </c>
      <c r="B1534" s="25">
        <v>546.75</v>
      </c>
      <c r="C1534" s="25">
        <v>554.5</v>
      </c>
      <c r="D1534" s="25">
        <v>538.05</v>
      </c>
      <c r="E1534" s="25">
        <v>541.38</v>
      </c>
      <c r="F1534" s="25">
        <v>1105674.0</v>
      </c>
    </row>
    <row r="1535">
      <c r="A1535" s="25">
        <v>40623.645833333336</v>
      </c>
      <c r="B1535" s="25">
        <v>545.75</v>
      </c>
      <c r="C1535" s="25">
        <v>545.75</v>
      </c>
      <c r="D1535" s="25">
        <v>533.25</v>
      </c>
      <c r="E1535" s="25">
        <v>535.4</v>
      </c>
      <c r="F1535" s="25">
        <v>1309545.0</v>
      </c>
    </row>
    <row r="1536">
      <c r="A1536" s="25">
        <v>40624.645833333336</v>
      </c>
      <c r="B1536" s="25">
        <v>537.55</v>
      </c>
      <c r="C1536" s="25">
        <v>540.0</v>
      </c>
      <c r="D1536" s="25">
        <v>531.5</v>
      </c>
      <c r="E1536" s="25">
        <v>534.75</v>
      </c>
      <c r="F1536" s="25">
        <v>1328887.0</v>
      </c>
    </row>
    <row r="1537">
      <c r="A1537" s="25">
        <v>40625.645833333336</v>
      </c>
      <c r="B1537" s="25">
        <v>535.5</v>
      </c>
      <c r="C1537" s="25">
        <v>535.5</v>
      </c>
      <c r="D1537" s="25">
        <v>528.63</v>
      </c>
      <c r="E1537" s="25">
        <v>532.17</v>
      </c>
      <c r="F1537" s="25">
        <v>2176124.0</v>
      </c>
    </row>
    <row r="1538">
      <c r="A1538" s="25">
        <v>40626.645833333336</v>
      </c>
      <c r="B1538" s="25">
        <v>535.5</v>
      </c>
      <c r="C1538" s="25">
        <v>547.78</v>
      </c>
      <c r="D1538" s="25">
        <v>535.0</v>
      </c>
      <c r="E1538" s="25">
        <v>546.7</v>
      </c>
      <c r="F1538" s="25">
        <v>1547417.0</v>
      </c>
    </row>
    <row r="1539">
      <c r="A1539" s="25">
        <v>40627.645833333336</v>
      </c>
      <c r="B1539" s="25">
        <v>558.42</v>
      </c>
      <c r="C1539" s="25">
        <v>564.25</v>
      </c>
      <c r="D1539" s="25">
        <v>551.88</v>
      </c>
      <c r="E1539" s="25">
        <v>559.83</v>
      </c>
      <c r="F1539" s="25">
        <v>2073217.0</v>
      </c>
    </row>
    <row r="1540">
      <c r="A1540" s="25">
        <v>40630.645833333336</v>
      </c>
      <c r="B1540" s="25">
        <v>561.92</v>
      </c>
      <c r="C1540" s="25">
        <v>563.35</v>
      </c>
      <c r="D1540" s="25">
        <v>554.0</v>
      </c>
      <c r="E1540" s="25">
        <v>559.95</v>
      </c>
      <c r="F1540" s="25">
        <v>1124321.0</v>
      </c>
    </row>
    <row r="1541">
      <c r="A1541" s="25">
        <v>40631.645833333336</v>
      </c>
      <c r="B1541" s="25">
        <v>560.0</v>
      </c>
      <c r="C1541" s="25">
        <v>575.95</v>
      </c>
      <c r="D1541" s="25">
        <v>559.58</v>
      </c>
      <c r="E1541" s="25">
        <v>569.35</v>
      </c>
      <c r="F1541" s="25">
        <v>1579794.0</v>
      </c>
    </row>
    <row r="1542">
      <c r="A1542" s="25">
        <v>40632.645833333336</v>
      </c>
      <c r="B1542" s="25">
        <v>574.0</v>
      </c>
      <c r="C1542" s="25">
        <v>582.0</v>
      </c>
      <c r="D1542" s="25">
        <v>572.45</v>
      </c>
      <c r="E1542" s="25">
        <v>575.98</v>
      </c>
      <c r="F1542" s="25">
        <v>1147385.0</v>
      </c>
    </row>
    <row r="1543">
      <c r="A1543" s="25">
        <v>40633.645833333336</v>
      </c>
      <c r="B1543" s="25">
        <v>576.0</v>
      </c>
      <c r="C1543" s="25">
        <v>599.0</v>
      </c>
      <c r="D1543" s="25">
        <v>576.0</v>
      </c>
      <c r="E1543" s="25">
        <v>591.95</v>
      </c>
      <c r="F1543" s="25">
        <v>3697063.0</v>
      </c>
    </row>
    <row r="1544">
      <c r="A1544" s="25">
        <v>40634.645833333336</v>
      </c>
      <c r="B1544" s="25">
        <v>592.5</v>
      </c>
      <c r="C1544" s="25">
        <v>599.38</v>
      </c>
      <c r="D1544" s="25">
        <v>586.28</v>
      </c>
      <c r="E1544" s="25">
        <v>590.08</v>
      </c>
      <c r="F1544" s="25">
        <v>899812.0</v>
      </c>
    </row>
    <row r="1545">
      <c r="A1545" s="25">
        <v>40637.645833333336</v>
      </c>
      <c r="B1545" s="25">
        <v>592.5</v>
      </c>
      <c r="C1545" s="25">
        <v>608.0</v>
      </c>
      <c r="D1545" s="25">
        <v>592.0</v>
      </c>
      <c r="E1545" s="25">
        <v>606.6</v>
      </c>
      <c r="F1545" s="25">
        <v>1155808.0</v>
      </c>
    </row>
    <row r="1546">
      <c r="A1546" s="25">
        <v>40638.645833333336</v>
      </c>
      <c r="B1546" s="25">
        <v>607.53</v>
      </c>
      <c r="C1546" s="25">
        <v>621.98</v>
      </c>
      <c r="D1546" s="25">
        <v>601.88</v>
      </c>
      <c r="E1546" s="25">
        <v>619.92</v>
      </c>
      <c r="F1546" s="25">
        <v>1445507.0</v>
      </c>
    </row>
    <row r="1547">
      <c r="A1547" s="25">
        <v>40639.645833333336</v>
      </c>
      <c r="B1547" s="25">
        <v>619.5</v>
      </c>
      <c r="C1547" s="25">
        <v>623.48</v>
      </c>
      <c r="D1547" s="25">
        <v>607.08</v>
      </c>
      <c r="E1547" s="25">
        <v>610.92</v>
      </c>
      <c r="F1547" s="25">
        <v>1211176.0</v>
      </c>
    </row>
    <row r="1548">
      <c r="A1548" s="25">
        <v>40640.645833333336</v>
      </c>
      <c r="B1548" s="25">
        <v>610.0</v>
      </c>
      <c r="C1548" s="25">
        <v>610.0</v>
      </c>
      <c r="D1548" s="25">
        <v>597.58</v>
      </c>
      <c r="E1548" s="25">
        <v>599.6</v>
      </c>
      <c r="F1548" s="25">
        <v>1074508.0</v>
      </c>
    </row>
    <row r="1549">
      <c r="A1549" s="25">
        <v>40641.645833333336</v>
      </c>
      <c r="B1549" s="25">
        <v>598.45</v>
      </c>
      <c r="C1549" s="25">
        <v>607.0</v>
      </c>
      <c r="D1549" s="25">
        <v>592.38</v>
      </c>
      <c r="E1549" s="25">
        <v>598.0</v>
      </c>
      <c r="F1549" s="25">
        <v>991884.0</v>
      </c>
    </row>
    <row r="1550">
      <c r="A1550" s="25">
        <v>40644.645833333336</v>
      </c>
      <c r="B1550" s="25">
        <v>590.08</v>
      </c>
      <c r="C1550" s="25">
        <v>597.5</v>
      </c>
      <c r="D1550" s="25">
        <v>587.65</v>
      </c>
      <c r="E1550" s="25">
        <v>589.2</v>
      </c>
      <c r="F1550" s="25">
        <v>1128116.0</v>
      </c>
    </row>
    <row r="1551">
      <c r="A1551" s="25">
        <v>40646.645833333336</v>
      </c>
      <c r="B1551" s="25">
        <v>587.5</v>
      </c>
      <c r="C1551" s="25">
        <v>610.7</v>
      </c>
      <c r="D1551" s="25">
        <v>587.15</v>
      </c>
      <c r="E1551" s="25">
        <v>605.05</v>
      </c>
      <c r="F1551" s="25">
        <v>1878765.0</v>
      </c>
    </row>
    <row r="1552">
      <c r="A1552" s="25">
        <v>40648.645833333336</v>
      </c>
      <c r="B1552" s="25">
        <v>608.45</v>
      </c>
      <c r="C1552" s="25">
        <v>609.95</v>
      </c>
      <c r="D1552" s="25">
        <v>590.0</v>
      </c>
      <c r="E1552" s="25">
        <v>595.7</v>
      </c>
      <c r="F1552" s="25">
        <v>3783385.0</v>
      </c>
    </row>
    <row r="1553">
      <c r="A1553" s="25">
        <v>40651.645833333336</v>
      </c>
      <c r="B1553" s="25">
        <v>599.0</v>
      </c>
      <c r="C1553" s="25">
        <v>606.25</v>
      </c>
      <c r="D1553" s="25">
        <v>570.03</v>
      </c>
      <c r="E1553" s="25">
        <v>572.3</v>
      </c>
      <c r="F1553" s="25">
        <v>3882727.0</v>
      </c>
    </row>
    <row r="1554">
      <c r="A1554" s="25">
        <v>40652.645833333336</v>
      </c>
      <c r="B1554" s="25">
        <v>572.3</v>
      </c>
      <c r="C1554" s="25">
        <v>584.7</v>
      </c>
      <c r="D1554" s="25">
        <v>570.0</v>
      </c>
      <c r="E1554" s="25">
        <v>582.35</v>
      </c>
      <c r="F1554" s="25">
        <v>1560112.0</v>
      </c>
    </row>
    <row r="1555">
      <c r="A1555" s="25">
        <v>40653.645833333336</v>
      </c>
      <c r="B1555" s="25">
        <v>589.9</v>
      </c>
      <c r="C1555" s="25">
        <v>612.0</v>
      </c>
      <c r="D1555" s="25">
        <v>589.78</v>
      </c>
      <c r="E1555" s="25">
        <v>609.35</v>
      </c>
      <c r="F1555" s="25">
        <v>2669274.0</v>
      </c>
    </row>
    <row r="1556">
      <c r="A1556" s="25">
        <v>40654.645833333336</v>
      </c>
      <c r="B1556" s="25">
        <v>620.5</v>
      </c>
      <c r="C1556" s="25">
        <v>622.9</v>
      </c>
      <c r="D1556" s="25">
        <v>585.42</v>
      </c>
      <c r="E1556" s="25">
        <v>596.05</v>
      </c>
      <c r="F1556" s="25">
        <v>8666984.0</v>
      </c>
    </row>
    <row r="1557">
      <c r="A1557" s="25">
        <v>40658.645833333336</v>
      </c>
      <c r="B1557" s="25">
        <v>598.5</v>
      </c>
      <c r="C1557" s="25">
        <v>602.0</v>
      </c>
      <c r="D1557" s="25">
        <v>586.33</v>
      </c>
      <c r="E1557" s="25">
        <v>598.92</v>
      </c>
      <c r="F1557" s="25">
        <v>2095776.0</v>
      </c>
    </row>
    <row r="1558">
      <c r="A1558" s="25">
        <v>40659.645833333336</v>
      </c>
      <c r="B1558" s="25">
        <v>600.0</v>
      </c>
      <c r="C1558" s="25">
        <v>601.0</v>
      </c>
      <c r="D1558" s="25">
        <v>590.17</v>
      </c>
      <c r="E1558" s="25">
        <v>594.5</v>
      </c>
      <c r="F1558" s="25">
        <v>1577623.0</v>
      </c>
    </row>
    <row r="1559">
      <c r="A1559" s="25">
        <v>40660.645833333336</v>
      </c>
      <c r="B1559" s="25">
        <v>597.48</v>
      </c>
      <c r="C1559" s="25">
        <v>597.48</v>
      </c>
      <c r="D1559" s="25">
        <v>588.03</v>
      </c>
      <c r="E1559" s="25">
        <v>590.3</v>
      </c>
      <c r="F1559" s="25">
        <v>887239.0</v>
      </c>
    </row>
    <row r="1560">
      <c r="A1560" s="25">
        <v>40661.645833333336</v>
      </c>
      <c r="B1560" s="25">
        <v>590.08</v>
      </c>
      <c r="C1560" s="25">
        <v>591.75</v>
      </c>
      <c r="D1560" s="25">
        <v>577.8</v>
      </c>
      <c r="E1560" s="25">
        <v>579.33</v>
      </c>
      <c r="F1560" s="25">
        <v>1423097.0</v>
      </c>
    </row>
    <row r="1561">
      <c r="A1561" s="25">
        <v>40662.645833333336</v>
      </c>
      <c r="B1561" s="25">
        <v>586.0</v>
      </c>
      <c r="C1561" s="25">
        <v>586.0</v>
      </c>
      <c r="D1561" s="25">
        <v>575.13</v>
      </c>
      <c r="E1561" s="25">
        <v>582.83</v>
      </c>
      <c r="F1561" s="25">
        <v>933348.0</v>
      </c>
    </row>
    <row r="1562">
      <c r="A1562" s="25">
        <v>40665.645833333336</v>
      </c>
      <c r="B1562" s="25">
        <v>585.0</v>
      </c>
      <c r="C1562" s="25">
        <v>588.75</v>
      </c>
      <c r="D1562" s="25">
        <v>576.25</v>
      </c>
      <c r="E1562" s="25">
        <v>579.23</v>
      </c>
      <c r="F1562" s="25">
        <v>771535.0</v>
      </c>
    </row>
    <row r="1563">
      <c r="A1563" s="25">
        <v>40666.645833333336</v>
      </c>
      <c r="B1563" s="25">
        <v>581.0</v>
      </c>
      <c r="C1563" s="25">
        <v>581.0</v>
      </c>
      <c r="D1563" s="25">
        <v>565.5</v>
      </c>
      <c r="E1563" s="25">
        <v>569.23</v>
      </c>
      <c r="F1563" s="25">
        <v>1060078.0</v>
      </c>
    </row>
    <row r="1564">
      <c r="A1564" s="25">
        <v>40667.645833333336</v>
      </c>
      <c r="B1564" s="25">
        <v>573.0</v>
      </c>
      <c r="C1564" s="25">
        <v>573.0</v>
      </c>
      <c r="D1564" s="25">
        <v>557.58</v>
      </c>
      <c r="E1564" s="25">
        <v>568.53</v>
      </c>
      <c r="F1564" s="25">
        <v>1361467.0</v>
      </c>
    </row>
    <row r="1565">
      <c r="A1565" s="25">
        <v>40668.645833333336</v>
      </c>
      <c r="B1565" s="25">
        <v>572.5</v>
      </c>
      <c r="C1565" s="25">
        <v>572.5</v>
      </c>
      <c r="D1565" s="25">
        <v>554.05</v>
      </c>
      <c r="E1565" s="25">
        <v>557.5</v>
      </c>
      <c r="F1565" s="25">
        <v>942798.0</v>
      </c>
    </row>
    <row r="1566">
      <c r="A1566" s="25">
        <v>40669.645833333336</v>
      </c>
      <c r="B1566" s="25">
        <v>560.0</v>
      </c>
      <c r="C1566" s="25">
        <v>576.75</v>
      </c>
      <c r="D1566" s="25">
        <v>559.88</v>
      </c>
      <c r="E1566" s="25">
        <v>574.48</v>
      </c>
      <c r="F1566" s="25">
        <v>1202674.0</v>
      </c>
    </row>
    <row r="1567">
      <c r="A1567" s="25">
        <v>40672.645833333336</v>
      </c>
      <c r="B1567" s="25">
        <v>575.0</v>
      </c>
      <c r="C1567" s="25">
        <v>575.98</v>
      </c>
      <c r="D1567" s="25">
        <v>562.25</v>
      </c>
      <c r="E1567" s="25">
        <v>567.78</v>
      </c>
      <c r="F1567" s="25">
        <v>506116.0</v>
      </c>
    </row>
    <row r="1568">
      <c r="A1568" s="25">
        <v>40673.645833333336</v>
      </c>
      <c r="B1568" s="25">
        <v>566.5</v>
      </c>
      <c r="C1568" s="25">
        <v>579.98</v>
      </c>
      <c r="D1568" s="25">
        <v>564.0</v>
      </c>
      <c r="E1568" s="25">
        <v>569.95</v>
      </c>
      <c r="F1568" s="25">
        <v>764579.0</v>
      </c>
    </row>
    <row r="1569">
      <c r="A1569" s="25">
        <v>40674.645833333336</v>
      </c>
      <c r="B1569" s="25">
        <v>569.5</v>
      </c>
      <c r="C1569" s="25">
        <v>575.85</v>
      </c>
      <c r="D1569" s="25">
        <v>563.05</v>
      </c>
      <c r="E1569" s="25">
        <v>570.13</v>
      </c>
      <c r="F1569" s="25">
        <v>730335.0</v>
      </c>
    </row>
    <row r="1570">
      <c r="A1570" s="25">
        <v>40675.645833333336</v>
      </c>
      <c r="B1570" s="25">
        <v>566.95</v>
      </c>
      <c r="C1570" s="25">
        <v>566.95</v>
      </c>
      <c r="D1570" s="25">
        <v>554.17</v>
      </c>
      <c r="E1570" s="25">
        <v>555.88</v>
      </c>
      <c r="F1570" s="25">
        <v>1270229.0</v>
      </c>
    </row>
    <row r="1571">
      <c r="A1571" s="25">
        <v>40676.645833333336</v>
      </c>
      <c r="B1571" s="25">
        <v>556.0</v>
      </c>
      <c r="C1571" s="25">
        <v>571.15</v>
      </c>
      <c r="D1571" s="25">
        <v>556.0</v>
      </c>
      <c r="E1571" s="25">
        <v>563.55</v>
      </c>
      <c r="F1571" s="25">
        <v>1182744.0</v>
      </c>
    </row>
    <row r="1572">
      <c r="A1572" s="25">
        <v>40679.645833333336</v>
      </c>
      <c r="B1572" s="25">
        <v>560.5</v>
      </c>
      <c r="C1572" s="25">
        <v>573.7</v>
      </c>
      <c r="D1572" s="25">
        <v>560.0</v>
      </c>
      <c r="E1572" s="25">
        <v>565.55</v>
      </c>
      <c r="F1572" s="25">
        <v>1113684.0</v>
      </c>
    </row>
    <row r="1573">
      <c r="A1573" s="25">
        <v>40680.645833333336</v>
      </c>
      <c r="B1573" s="25">
        <v>561.03</v>
      </c>
      <c r="C1573" s="25">
        <v>574.6</v>
      </c>
      <c r="D1573" s="25">
        <v>561.03</v>
      </c>
      <c r="E1573" s="25">
        <v>570.85</v>
      </c>
      <c r="F1573" s="25">
        <v>695707.0</v>
      </c>
    </row>
    <row r="1574">
      <c r="A1574" s="25">
        <v>40681.645833333336</v>
      </c>
      <c r="B1574" s="25">
        <v>571.13</v>
      </c>
      <c r="C1574" s="25">
        <v>580.75</v>
      </c>
      <c r="D1574" s="25">
        <v>571.13</v>
      </c>
      <c r="E1574" s="25">
        <v>577.53</v>
      </c>
      <c r="F1574" s="25">
        <v>1112590.0</v>
      </c>
    </row>
    <row r="1575">
      <c r="A1575" s="25">
        <v>40682.645833333336</v>
      </c>
      <c r="B1575" s="25">
        <v>582.5</v>
      </c>
      <c r="C1575" s="25">
        <v>585.0</v>
      </c>
      <c r="D1575" s="25">
        <v>578.0</v>
      </c>
      <c r="E1575" s="25">
        <v>582.42</v>
      </c>
      <c r="F1575" s="25">
        <v>1025461.0</v>
      </c>
    </row>
    <row r="1576">
      <c r="A1576" s="25">
        <v>40683.645833333336</v>
      </c>
      <c r="B1576" s="25">
        <v>586.88</v>
      </c>
      <c r="C1576" s="25">
        <v>591.7</v>
      </c>
      <c r="D1576" s="25">
        <v>581.63</v>
      </c>
      <c r="E1576" s="25">
        <v>587.5</v>
      </c>
      <c r="F1576" s="25">
        <v>1025300.0</v>
      </c>
    </row>
    <row r="1577">
      <c r="A1577" s="25">
        <v>40686.645833333336</v>
      </c>
      <c r="B1577" s="25">
        <v>582.0</v>
      </c>
      <c r="C1577" s="25">
        <v>585.25</v>
      </c>
      <c r="D1577" s="25">
        <v>575.0</v>
      </c>
      <c r="E1577" s="25">
        <v>583.28</v>
      </c>
      <c r="F1577" s="25">
        <v>1008642.0</v>
      </c>
    </row>
    <row r="1578">
      <c r="A1578" s="25">
        <v>40687.645833333336</v>
      </c>
      <c r="B1578" s="25">
        <v>581.33</v>
      </c>
      <c r="C1578" s="25">
        <v>586.4</v>
      </c>
      <c r="D1578" s="25">
        <v>569.58</v>
      </c>
      <c r="E1578" s="25">
        <v>574.95</v>
      </c>
      <c r="F1578" s="25">
        <v>840997.0</v>
      </c>
    </row>
    <row r="1579">
      <c r="A1579" s="25">
        <v>40688.645833333336</v>
      </c>
      <c r="B1579" s="25">
        <v>574.55</v>
      </c>
      <c r="C1579" s="25">
        <v>574.95</v>
      </c>
      <c r="D1579" s="25">
        <v>560.0</v>
      </c>
      <c r="E1579" s="25">
        <v>564.3</v>
      </c>
      <c r="F1579" s="25">
        <v>933735.0</v>
      </c>
    </row>
    <row r="1580">
      <c r="A1580" s="25">
        <v>40689.645833333336</v>
      </c>
      <c r="B1580" s="25">
        <v>569.5</v>
      </c>
      <c r="C1580" s="25">
        <v>571.5</v>
      </c>
      <c r="D1580" s="25">
        <v>560.0</v>
      </c>
      <c r="E1580" s="25">
        <v>567.88</v>
      </c>
      <c r="F1580" s="25">
        <v>1030109.0</v>
      </c>
    </row>
    <row r="1581">
      <c r="A1581" s="25">
        <v>40690.645833333336</v>
      </c>
      <c r="B1581" s="25">
        <v>574.28</v>
      </c>
      <c r="C1581" s="25">
        <v>574.95</v>
      </c>
      <c r="D1581" s="25">
        <v>568.15</v>
      </c>
      <c r="E1581" s="25">
        <v>572.28</v>
      </c>
      <c r="F1581" s="25">
        <v>643352.0</v>
      </c>
    </row>
    <row r="1582">
      <c r="A1582" s="25">
        <v>40693.645833333336</v>
      </c>
      <c r="B1582" s="25">
        <v>575.5</v>
      </c>
      <c r="C1582" s="25">
        <v>579.98</v>
      </c>
      <c r="D1582" s="25">
        <v>571.15</v>
      </c>
      <c r="E1582" s="25">
        <v>575.98</v>
      </c>
      <c r="F1582" s="25">
        <v>570434.0</v>
      </c>
    </row>
    <row r="1583">
      <c r="A1583" s="25">
        <v>40694.645833333336</v>
      </c>
      <c r="B1583" s="25">
        <v>577.5</v>
      </c>
      <c r="C1583" s="25">
        <v>588.85</v>
      </c>
      <c r="D1583" s="25">
        <v>575.05</v>
      </c>
      <c r="E1583" s="25">
        <v>578.58</v>
      </c>
      <c r="F1583" s="25">
        <v>1322077.0</v>
      </c>
    </row>
    <row r="1584">
      <c r="A1584" s="25">
        <v>40695.645833333336</v>
      </c>
      <c r="B1584" s="25">
        <v>578.5</v>
      </c>
      <c r="C1584" s="25">
        <v>588.5</v>
      </c>
      <c r="D1584" s="25">
        <v>578.5</v>
      </c>
      <c r="E1584" s="25">
        <v>587.7</v>
      </c>
      <c r="F1584" s="25">
        <v>491193.0</v>
      </c>
    </row>
    <row r="1585">
      <c r="A1585" s="25">
        <v>40696.645833333336</v>
      </c>
      <c r="B1585" s="25">
        <v>579.45</v>
      </c>
      <c r="C1585" s="25">
        <v>586.0</v>
      </c>
      <c r="D1585" s="25">
        <v>578.33</v>
      </c>
      <c r="E1585" s="25">
        <v>583.88</v>
      </c>
      <c r="F1585" s="25">
        <v>848827.0</v>
      </c>
    </row>
    <row r="1586">
      <c r="A1586" s="25">
        <v>40697.645833333336</v>
      </c>
      <c r="B1586" s="25">
        <v>583.0</v>
      </c>
      <c r="C1586" s="25">
        <v>587.5</v>
      </c>
      <c r="D1586" s="25">
        <v>575.0</v>
      </c>
      <c r="E1586" s="25">
        <v>576.05</v>
      </c>
      <c r="F1586" s="25">
        <v>683904.0</v>
      </c>
    </row>
    <row r="1587">
      <c r="A1587" s="25">
        <v>40700.645833333336</v>
      </c>
      <c r="B1587" s="25">
        <v>570.0</v>
      </c>
      <c r="C1587" s="25">
        <v>584.0</v>
      </c>
      <c r="D1587" s="25">
        <v>570.0</v>
      </c>
      <c r="E1587" s="25">
        <v>582.17</v>
      </c>
      <c r="F1587" s="25">
        <v>678537.0</v>
      </c>
    </row>
    <row r="1588">
      <c r="A1588" s="25">
        <v>40701.645833333336</v>
      </c>
      <c r="B1588" s="25">
        <v>581.5</v>
      </c>
      <c r="C1588" s="25">
        <v>591.58</v>
      </c>
      <c r="D1588" s="25">
        <v>579.0</v>
      </c>
      <c r="E1588" s="25">
        <v>589.65</v>
      </c>
      <c r="F1588" s="25">
        <v>918721.0</v>
      </c>
    </row>
    <row r="1589">
      <c r="A1589" s="25">
        <v>40702.645833333336</v>
      </c>
      <c r="B1589" s="25">
        <v>585.95</v>
      </c>
      <c r="C1589" s="25">
        <v>592.5</v>
      </c>
      <c r="D1589" s="25">
        <v>581.75</v>
      </c>
      <c r="E1589" s="25">
        <v>590.7</v>
      </c>
      <c r="F1589" s="25">
        <v>1063835.0</v>
      </c>
    </row>
    <row r="1590">
      <c r="A1590" s="25">
        <v>40703.645833333336</v>
      </c>
      <c r="B1590" s="25">
        <v>587.5</v>
      </c>
      <c r="C1590" s="25">
        <v>596.9</v>
      </c>
      <c r="D1590" s="25">
        <v>587.5</v>
      </c>
      <c r="E1590" s="25">
        <v>593.17</v>
      </c>
      <c r="F1590" s="25">
        <v>1346983.0</v>
      </c>
    </row>
    <row r="1591">
      <c r="A1591" s="25">
        <v>40704.645833333336</v>
      </c>
      <c r="B1591" s="25">
        <v>593.28</v>
      </c>
      <c r="C1591" s="25">
        <v>598.75</v>
      </c>
      <c r="D1591" s="25">
        <v>592.55</v>
      </c>
      <c r="E1591" s="25">
        <v>594.6</v>
      </c>
      <c r="F1591" s="25">
        <v>1887275.0</v>
      </c>
    </row>
    <row r="1592">
      <c r="A1592" s="25">
        <v>40707.645833333336</v>
      </c>
      <c r="B1592" s="25">
        <v>594.6</v>
      </c>
      <c r="C1592" s="25">
        <v>595.25</v>
      </c>
      <c r="D1592" s="25">
        <v>586.28</v>
      </c>
      <c r="E1592" s="25">
        <v>587.65</v>
      </c>
      <c r="F1592" s="25">
        <v>1614700.0</v>
      </c>
    </row>
    <row r="1593">
      <c r="A1593" s="25">
        <v>40708.645833333336</v>
      </c>
      <c r="B1593" s="25">
        <v>589.0</v>
      </c>
      <c r="C1593" s="25">
        <v>597.45</v>
      </c>
      <c r="D1593" s="25">
        <v>589.0</v>
      </c>
      <c r="E1593" s="25">
        <v>595.53</v>
      </c>
      <c r="F1593" s="25">
        <v>1062891.0</v>
      </c>
    </row>
    <row r="1594">
      <c r="A1594" s="25">
        <v>40709.645833333336</v>
      </c>
      <c r="B1594" s="25">
        <v>593.0</v>
      </c>
      <c r="C1594" s="25">
        <v>602.5</v>
      </c>
      <c r="D1594" s="25">
        <v>590.63</v>
      </c>
      <c r="E1594" s="25">
        <v>592.13</v>
      </c>
      <c r="F1594" s="25">
        <v>1406191.0</v>
      </c>
    </row>
    <row r="1595">
      <c r="A1595" s="25">
        <v>40710.645833333336</v>
      </c>
      <c r="B1595" s="25">
        <v>591.5</v>
      </c>
      <c r="C1595" s="25">
        <v>592.95</v>
      </c>
      <c r="D1595" s="25">
        <v>574.13</v>
      </c>
      <c r="E1595" s="25">
        <v>575.58</v>
      </c>
      <c r="F1595" s="25">
        <v>1168760.0</v>
      </c>
    </row>
    <row r="1596">
      <c r="A1596" s="25">
        <v>40711.645833333336</v>
      </c>
      <c r="B1596" s="25">
        <v>577.5</v>
      </c>
      <c r="C1596" s="25">
        <v>578.5</v>
      </c>
      <c r="D1596" s="25">
        <v>552.0</v>
      </c>
      <c r="E1596" s="25">
        <v>554.6</v>
      </c>
      <c r="F1596" s="25">
        <v>1894073.0</v>
      </c>
    </row>
    <row r="1597">
      <c r="A1597" s="25">
        <v>40714.645833333336</v>
      </c>
      <c r="B1597" s="25">
        <v>557.5</v>
      </c>
      <c r="C1597" s="25">
        <v>559.5</v>
      </c>
      <c r="D1597" s="25">
        <v>529.0</v>
      </c>
      <c r="E1597" s="25">
        <v>534.65</v>
      </c>
      <c r="F1597" s="25">
        <v>2655204.0</v>
      </c>
    </row>
    <row r="1598">
      <c r="A1598" s="25">
        <v>40715.645833333336</v>
      </c>
      <c r="B1598" s="25">
        <v>537.5</v>
      </c>
      <c r="C1598" s="25">
        <v>555.35</v>
      </c>
      <c r="D1598" s="25">
        <v>531.6</v>
      </c>
      <c r="E1598" s="25">
        <v>553.38</v>
      </c>
      <c r="F1598" s="25">
        <v>1712973.0</v>
      </c>
    </row>
    <row r="1599">
      <c r="A1599" s="25">
        <v>40716.645833333336</v>
      </c>
      <c r="B1599" s="25">
        <v>558.0</v>
      </c>
      <c r="C1599" s="25">
        <v>558.45</v>
      </c>
      <c r="D1599" s="25">
        <v>540.0</v>
      </c>
      <c r="E1599" s="25">
        <v>541.75</v>
      </c>
      <c r="F1599" s="25">
        <v>1785417.0</v>
      </c>
    </row>
    <row r="1600">
      <c r="A1600" s="25">
        <v>40717.645833333336</v>
      </c>
      <c r="B1600" s="25">
        <v>540.9</v>
      </c>
      <c r="C1600" s="25">
        <v>550.5</v>
      </c>
      <c r="D1600" s="25">
        <v>535.05</v>
      </c>
      <c r="E1600" s="25">
        <v>548.5</v>
      </c>
      <c r="F1600" s="25">
        <v>1214118.0</v>
      </c>
    </row>
    <row r="1601">
      <c r="A1601" s="25">
        <v>40718.645833333336</v>
      </c>
      <c r="B1601" s="25">
        <v>550.0</v>
      </c>
      <c r="C1601" s="25">
        <v>570.38</v>
      </c>
      <c r="D1601" s="25">
        <v>549.5</v>
      </c>
      <c r="E1601" s="25">
        <v>568.88</v>
      </c>
      <c r="F1601" s="25">
        <v>2075794.0</v>
      </c>
    </row>
    <row r="1602">
      <c r="A1602" s="25">
        <v>40721.645833333336</v>
      </c>
      <c r="B1602" s="25">
        <v>561.0</v>
      </c>
      <c r="C1602" s="25">
        <v>577.35</v>
      </c>
      <c r="D1602" s="25">
        <v>561.0</v>
      </c>
      <c r="E1602" s="25">
        <v>575.3</v>
      </c>
      <c r="F1602" s="25">
        <v>1562609.0</v>
      </c>
    </row>
    <row r="1603">
      <c r="A1603" s="25">
        <v>40722.645833333336</v>
      </c>
      <c r="B1603" s="25">
        <v>580.0</v>
      </c>
      <c r="C1603" s="25">
        <v>581.0</v>
      </c>
      <c r="D1603" s="25">
        <v>567.83</v>
      </c>
      <c r="E1603" s="25">
        <v>577.0</v>
      </c>
      <c r="F1603" s="25">
        <v>1066666.0</v>
      </c>
    </row>
    <row r="1604">
      <c r="A1604" s="25">
        <v>40723.645833333336</v>
      </c>
      <c r="B1604" s="25">
        <v>577.35</v>
      </c>
      <c r="C1604" s="25">
        <v>589.45</v>
      </c>
      <c r="D1604" s="25">
        <v>577.35</v>
      </c>
      <c r="E1604" s="25">
        <v>584.92</v>
      </c>
      <c r="F1604" s="25">
        <v>1479352.0</v>
      </c>
    </row>
    <row r="1605">
      <c r="A1605" s="25">
        <v>40724.645833333336</v>
      </c>
      <c r="B1605" s="25">
        <v>584.9</v>
      </c>
      <c r="C1605" s="25">
        <v>596.0</v>
      </c>
      <c r="D1605" s="25">
        <v>583.5</v>
      </c>
      <c r="E1605" s="25">
        <v>592.1</v>
      </c>
      <c r="F1605" s="25">
        <v>2586458.0</v>
      </c>
    </row>
    <row r="1606">
      <c r="A1606" s="25">
        <v>40725.645833333336</v>
      </c>
      <c r="B1606" s="25">
        <v>599.0</v>
      </c>
      <c r="C1606" s="25">
        <v>599.0</v>
      </c>
      <c r="D1606" s="25">
        <v>589.85</v>
      </c>
      <c r="E1606" s="25">
        <v>595.95</v>
      </c>
      <c r="F1606" s="25">
        <v>960420.0</v>
      </c>
    </row>
    <row r="1607">
      <c r="A1607" s="25">
        <v>40728.645833333336</v>
      </c>
      <c r="B1607" s="25">
        <v>596.5</v>
      </c>
      <c r="C1607" s="25">
        <v>600.0</v>
      </c>
      <c r="D1607" s="25">
        <v>590.0</v>
      </c>
      <c r="E1607" s="25">
        <v>592.85</v>
      </c>
      <c r="F1607" s="25">
        <v>801867.0</v>
      </c>
    </row>
    <row r="1608">
      <c r="A1608" s="25">
        <v>40729.645833333336</v>
      </c>
      <c r="B1608" s="25">
        <v>594.9</v>
      </c>
      <c r="C1608" s="25">
        <v>595.5</v>
      </c>
      <c r="D1608" s="25">
        <v>586.7</v>
      </c>
      <c r="E1608" s="25">
        <v>589.73</v>
      </c>
      <c r="F1608" s="25">
        <v>1030568.0</v>
      </c>
    </row>
    <row r="1609">
      <c r="A1609" s="25">
        <v>40730.645833333336</v>
      </c>
      <c r="B1609" s="25">
        <v>589.13</v>
      </c>
      <c r="C1609" s="25">
        <v>596.45</v>
      </c>
      <c r="D1609" s="25">
        <v>585.85</v>
      </c>
      <c r="E1609" s="25">
        <v>591.4</v>
      </c>
      <c r="F1609" s="25">
        <v>745089.0</v>
      </c>
    </row>
    <row r="1610">
      <c r="A1610" s="25">
        <v>40731.645833333336</v>
      </c>
      <c r="B1610" s="25">
        <v>591.55</v>
      </c>
      <c r="C1610" s="25">
        <v>600.0</v>
      </c>
      <c r="D1610" s="25">
        <v>591.55</v>
      </c>
      <c r="E1610" s="25">
        <v>597.95</v>
      </c>
      <c r="F1610" s="25">
        <v>1301317.0</v>
      </c>
    </row>
    <row r="1611">
      <c r="A1611" s="25">
        <v>40732.645833333336</v>
      </c>
      <c r="B1611" s="25">
        <v>598.0</v>
      </c>
      <c r="C1611" s="25">
        <v>602.5</v>
      </c>
      <c r="D1611" s="25">
        <v>584.63</v>
      </c>
      <c r="E1611" s="25">
        <v>585.83</v>
      </c>
      <c r="F1611" s="25">
        <v>1706030.0</v>
      </c>
    </row>
    <row r="1612">
      <c r="A1612" s="25">
        <v>40735.645833333336</v>
      </c>
      <c r="B1612" s="25">
        <v>585.0</v>
      </c>
      <c r="C1612" s="25">
        <v>588.9</v>
      </c>
      <c r="D1612" s="25">
        <v>573.3</v>
      </c>
      <c r="E1612" s="25">
        <v>578.33</v>
      </c>
      <c r="F1612" s="25">
        <v>911252.0</v>
      </c>
    </row>
    <row r="1613">
      <c r="A1613" s="25">
        <v>40736.645833333336</v>
      </c>
      <c r="B1613" s="25">
        <v>567.85</v>
      </c>
      <c r="C1613" s="25">
        <v>574.4</v>
      </c>
      <c r="D1613" s="25">
        <v>556.05</v>
      </c>
      <c r="E1613" s="25">
        <v>572.67</v>
      </c>
      <c r="F1613" s="25">
        <v>2039702.0</v>
      </c>
    </row>
    <row r="1614">
      <c r="A1614" s="25">
        <v>40737.645833333336</v>
      </c>
      <c r="B1614" s="25">
        <v>575.0</v>
      </c>
      <c r="C1614" s="25">
        <v>584.0</v>
      </c>
      <c r="D1614" s="25">
        <v>565.5</v>
      </c>
      <c r="E1614" s="25">
        <v>574.53</v>
      </c>
      <c r="F1614" s="25">
        <v>1976300.0</v>
      </c>
    </row>
    <row r="1615">
      <c r="A1615" s="25">
        <v>40738.645833333336</v>
      </c>
      <c r="B1615" s="25">
        <v>575.0</v>
      </c>
      <c r="C1615" s="25">
        <v>579.3</v>
      </c>
      <c r="D1615" s="25">
        <v>559.55</v>
      </c>
      <c r="E1615" s="25">
        <v>561.85</v>
      </c>
      <c r="F1615" s="25">
        <v>3468922.0</v>
      </c>
    </row>
    <row r="1616">
      <c r="A1616" s="25">
        <v>40739.645833333336</v>
      </c>
      <c r="B1616" s="25">
        <v>584.0</v>
      </c>
      <c r="C1616" s="25">
        <v>588.95</v>
      </c>
      <c r="D1616" s="25">
        <v>570.55</v>
      </c>
      <c r="E1616" s="25">
        <v>573.03</v>
      </c>
      <c r="F1616" s="25">
        <v>3639850.0</v>
      </c>
    </row>
    <row r="1617">
      <c r="A1617" s="25">
        <v>40742.645833333336</v>
      </c>
      <c r="B1617" s="25">
        <v>574.0</v>
      </c>
      <c r="C1617" s="25">
        <v>576.0</v>
      </c>
      <c r="D1617" s="25">
        <v>561.15</v>
      </c>
      <c r="E1617" s="25">
        <v>562.53</v>
      </c>
      <c r="F1617" s="25">
        <v>1562604.0</v>
      </c>
    </row>
    <row r="1618">
      <c r="A1618" s="25">
        <v>40743.645833333336</v>
      </c>
      <c r="B1618" s="25">
        <v>560.8</v>
      </c>
      <c r="C1618" s="25">
        <v>574.08</v>
      </c>
      <c r="D1618" s="25">
        <v>560.13</v>
      </c>
      <c r="E1618" s="25">
        <v>570.03</v>
      </c>
      <c r="F1618" s="25">
        <v>1097646.0</v>
      </c>
    </row>
    <row r="1619">
      <c r="A1619" s="25">
        <v>40744.645833333336</v>
      </c>
      <c r="B1619" s="25">
        <v>575.0</v>
      </c>
      <c r="C1619" s="25">
        <v>575.9</v>
      </c>
      <c r="D1619" s="25">
        <v>562.5</v>
      </c>
      <c r="E1619" s="25">
        <v>566.23</v>
      </c>
      <c r="F1619" s="25">
        <v>1403873.0</v>
      </c>
    </row>
    <row r="1620">
      <c r="A1620" s="25">
        <v>40745.645833333336</v>
      </c>
      <c r="B1620" s="25">
        <v>566.0</v>
      </c>
      <c r="C1620" s="25">
        <v>566.25</v>
      </c>
      <c r="D1620" s="25">
        <v>560.03</v>
      </c>
      <c r="E1620" s="25">
        <v>561.28</v>
      </c>
      <c r="F1620" s="25">
        <v>925312.0</v>
      </c>
    </row>
    <row r="1621">
      <c r="A1621" s="25">
        <v>40746.645833333336</v>
      </c>
      <c r="B1621" s="25">
        <v>563.38</v>
      </c>
      <c r="C1621" s="25">
        <v>570.65</v>
      </c>
      <c r="D1621" s="25">
        <v>563.25</v>
      </c>
      <c r="E1621" s="25">
        <v>566.7</v>
      </c>
      <c r="F1621" s="25">
        <v>1045221.0</v>
      </c>
    </row>
    <row r="1622">
      <c r="A1622" s="25">
        <v>40749.645833333336</v>
      </c>
      <c r="B1622" s="25">
        <v>567.5</v>
      </c>
      <c r="C1622" s="25">
        <v>572.0</v>
      </c>
      <c r="D1622" s="25">
        <v>561.58</v>
      </c>
      <c r="E1622" s="25">
        <v>569.95</v>
      </c>
      <c r="F1622" s="25">
        <v>2370357.0</v>
      </c>
    </row>
    <row r="1623">
      <c r="A1623" s="25">
        <v>40750.645833333336</v>
      </c>
      <c r="B1623" s="25">
        <v>569.9</v>
      </c>
      <c r="C1623" s="25">
        <v>575.98</v>
      </c>
      <c r="D1623" s="25">
        <v>563.63</v>
      </c>
      <c r="E1623" s="25">
        <v>572.33</v>
      </c>
      <c r="F1623" s="25">
        <v>1984361.0</v>
      </c>
    </row>
    <row r="1624">
      <c r="A1624" s="25">
        <v>40751.645833333336</v>
      </c>
      <c r="B1624" s="25">
        <v>574.48</v>
      </c>
      <c r="C1624" s="25">
        <v>577.33</v>
      </c>
      <c r="D1624" s="25">
        <v>569.08</v>
      </c>
      <c r="E1624" s="25">
        <v>573.58</v>
      </c>
      <c r="F1624" s="25">
        <v>1012145.0</v>
      </c>
    </row>
    <row r="1625">
      <c r="A1625" s="25">
        <v>40752.645833333336</v>
      </c>
      <c r="B1625" s="25">
        <v>570.0</v>
      </c>
      <c r="C1625" s="25">
        <v>572.45</v>
      </c>
      <c r="D1625" s="25">
        <v>560.15</v>
      </c>
      <c r="E1625" s="25">
        <v>564.78</v>
      </c>
      <c r="F1625" s="25">
        <v>2046907.0</v>
      </c>
    </row>
    <row r="1626">
      <c r="A1626" s="25">
        <v>40753.645833333336</v>
      </c>
      <c r="B1626" s="25">
        <v>566.5</v>
      </c>
      <c r="C1626" s="25">
        <v>571.0</v>
      </c>
      <c r="D1626" s="25">
        <v>560.83</v>
      </c>
      <c r="E1626" s="25">
        <v>568.5</v>
      </c>
      <c r="F1626" s="25">
        <v>859569.0</v>
      </c>
    </row>
    <row r="1627">
      <c r="A1627" s="25">
        <v>40756.645833333336</v>
      </c>
      <c r="B1627" s="25">
        <v>571.2</v>
      </c>
      <c r="C1627" s="25">
        <v>574.95</v>
      </c>
      <c r="D1627" s="25">
        <v>562.55</v>
      </c>
      <c r="E1627" s="25">
        <v>567.63</v>
      </c>
      <c r="F1627" s="25">
        <v>991173.0</v>
      </c>
    </row>
    <row r="1628">
      <c r="A1628" s="25">
        <v>40757.645833333336</v>
      </c>
      <c r="B1628" s="25">
        <v>565.25</v>
      </c>
      <c r="C1628" s="25">
        <v>567.0</v>
      </c>
      <c r="D1628" s="25">
        <v>561.13</v>
      </c>
      <c r="E1628" s="25">
        <v>565.33</v>
      </c>
      <c r="F1628" s="25">
        <v>1012646.0</v>
      </c>
    </row>
    <row r="1629">
      <c r="A1629" s="25">
        <v>40758.645833333336</v>
      </c>
      <c r="B1629" s="25">
        <v>560.0</v>
      </c>
      <c r="C1629" s="25">
        <v>562.85</v>
      </c>
      <c r="D1629" s="25">
        <v>547.67</v>
      </c>
      <c r="E1629" s="25">
        <v>555.17</v>
      </c>
      <c r="F1629" s="25">
        <v>1532123.0</v>
      </c>
    </row>
    <row r="1630">
      <c r="A1630" s="25">
        <v>40759.645833333336</v>
      </c>
      <c r="B1630" s="25">
        <v>555.03</v>
      </c>
      <c r="C1630" s="25">
        <v>559.75</v>
      </c>
      <c r="D1630" s="25">
        <v>545.55</v>
      </c>
      <c r="E1630" s="25">
        <v>547.92</v>
      </c>
      <c r="F1630" s="25">
        <v>1524647.0</v>
      </c>
    </row>
    <row r="1631">
      <c r="A1631" s="25">
        <v>40760.645833333336</v>
      </c>
      <c r="B1631" s="25">
        <v>536.58</v>
      </c>
      <c r="C1631" s="25">
        <v>537.0</v>
      </c>
      <c r="D1631" s="25">
        <v>514.0</v>
      </c>
      <c r="E1631" s="25">
        <v>528.98</v>
      </c>
      <c r="F1631" s="25">
        <v>2634694.0</v>
      </c>
    </row>
    <row r="1632">
      <c r="A1632" s="25">
        <v>40763.645833333336</v>
      </c>
      <c r="B1632" s="25">
        <v>505.6</v>
      </c>
      <c r="C1632" s="25">
        <v>516.67</v>
      </c>
      <c r="D1632" s="25">
        <v>498.3</v>
      </c>
      <c r="E1632" s="25">
        <v>502.68</v>
      </c>
      <c r="F1632" s="25">
        <v>3274653.0</v>
      </c>
    </row>
    <row r="1633">
      <c r="A1633" s="25">
        <v>40764.645833333336</v>
      </c>
      <c r="B1633" s="25">
        <v>482.5</v>
      </c>
      <c r="C1633" s="25">
        <v>492.6</v>
      </c>
      <c r="D1633" s="25">
        <v>473.85</v>
      </c>
      <c r="E1633" s="25">
        <v>482.4</v>
      </c>
      <c r="F1633" s="25">
        <v>4079635.0</v>
      </c>
    </row>
    <row r="1634">
      <c r="A1634" s="25">
        <v>40765.645833333336</v>
      </c>
      <c r="B1634" s="25">
        <v>499.5</v>
      </c>
      <c r="C1634" s="25">
        <v>506.0</v>
      </c>
      <c r="D1634" s="25">
        <v>486.9</v>
      </c>
      <c r="E1634" s="25">
        <v>492.03</v>
      </c>
      <c r="F1634" s="25">
        <v>2974540.0</v>
      </c>
    </row>
    <row r="1635">
      <c r="A1635" s="25">
        <v>40766.645833333336</v>
      </c>
      <c r="B1635" s="25">
        <v>490.0</v>
      </c>
      <c r="C1635" s="25">
        <v>491.7</v>
      </c>
      <c r="D1635" s="25">
        <v>481.5</v>
      </c>
      <c r="E1635" s="25">
        <v>489.17</v>
      </c>
      <c r="F1635" s="25">
        <v>1450232.0</v>
      </c>
    </row>
    <row r="1636">
      <c r="A1636" s="25">
        <v>40767.645833333336</v>
      </c>
      <c r="B1636" s="25">
        <v>495.28</v>
      </c>
      <c r="C1636" s="25">
        <v>495.95</v>
      </c>
      <c r="D1636" s="25">
        <v>468.75</v>
      </c>
      <c r="E1636" s="25">
        <v>473.58</v>
      </c>
      <c r="F1636" s="25">
        <v>2084542.0</v>
      </c>
    </row>
    <row r="1637">
      <c r="A1637" s="25">
        <v>40771.645833333336</v>
      </c>
      <c r="B1637" s="25">
        <v>483.5</v>
      </c>
      <c r="C1637" s="25">
        <v>489.17</v>
      </c>
      <c r="D1637" s="25">
        <v>478.03</v>
      </c>
      <c r="E1637" s="25">
        <v>486.8</v>
      </c>
      <c r="F1637" s="25">
        <v>1491784.0</v>
      </c>
    </row>
    <row r="1638">
      <c r="A1638" s="25">
        <v>40772.645833333336</v>
      </c>
      <c r="B1638" s="25">
        <v>487.25</v>
      </c>
      <c r="C1638" s="25">
        <v>504.7</v>
      </c>
      <c r="D1638" s="25">
        <v>485.0</v>
      </c>
      <c r="E1638" s="25">
        <v>499.95</v>
      </c>
      <c r="F1638" s="25">
        <v>2278946.0</v>
      </c>
    </row>
    <row r="1639">
      <c r="A1639" s="25">
        <v>40774.645833333336</v>
      </c>
      <c r="B1639" s="25">
        <v>471.5</v>
      </c>
      <c r="C1639" s="25">
        <v>473.48</v>
      </c>
      <c r="D1639" s="25">
        <v>452.5</v>
      </c>
      <c r="E1639" s="25">
        <v>464.48</v>
      </c>
      <c r="F1639" s="25">
        <v>2721807.0</v>
      </c>
    </row>
    <row r="1640">
      <c r="A1640" s="25">
        <v>40777.645833333336</v>
      </c>
      <c r="B1640" s="25">
        <v>464.5</v>
      </c>
      <c r="C1640" s="25">
        <v>465.0</v>
      </c>
      <c r="D1640" s="25">
        <v>451.0</v>
      </c>
      <c r="E1640" s="25">
        <v>459.03</v>
      </c>
      <c r="F1640" s="25">
        <v>1764461.0</v>
      </c>
    </row>
    <row r="1641">
      <c r="A1641" s="25">
        <v>40778.645833333336</v>
      </c>
      <c r="B1641" s="25">
        <v>460.42</v>
      </c>
      <c r="C1641" s="25">
        <v>494.0</v>
      </c>
      <c r="D1641" s="25">
        <v>460.17</v>
      </c>
      <c r="E1641" s="25">
        <v>490.8</v>
      </c>
      <c r="F1641" s="25">
        <v>2437335.0</v>
      </c>
    </row>
    <row r="1642">
      <c r="A1642" s="25">
        <v>40779.645833333336</v>
      </c>
      <c r="B1642" s="25">
        <v>489.0</v>
      </c>
      <c r="C1642" s="25">
        <v>489.0</v>
      </c>
      <c r="D1642" s="25">
        <v>477.5</v>
      </c>
      <c r="E1642" s="25">
        <v>481.3</v>
      </c>
      <c r="F1642" s="25">
        <v>1597395.0</v>
      </c>
    </row>
    <row r="1643">
      <c r="A1643" s="25">
        <v>40780.645833333336</v>
      </c>
      <c r="B1643" s="25">
        <v>484.85</v>
      </c>
      <c r="C1643" s="25">
        <v>486.5</v>
      </c>
      <c r="D1643" s="25">
        <v>469.0</v>
      </c>
      <c r="E1643" s="25">
        <v>475.2</v>
      </c>
      <c r="F1643" s="25">
        <v>2222744.0</v>
      </c>
    </row>
    <row r="1644">
      <c r="A1644" s="25">
        <v>40781.645833333336</v>
      </c>
      <c r="B1644" s="25">
        <v>475.55</v>
      </c>
      <c r="C1644" s="25">
        <v>484.75</v>
      </c>
      <c r="D1644" s="25">
        <v>470.0</v>
      </c>
      <c r="E1644" s="25">
        <v>474.23</v>
      </c>
      <c r="F1644" s="25">
        <v>1792455.0</v>
      </c>
    </row>
    <row r="1645">
      <c r="A1645" s="25">
        <v>40784.645833333336</v>
      </c>
      <c r="B1645" s="25">
        <v>482.05</v>
      </c>
      <c r="C1645" s="25">
        <v>512.0</v>
      </c>
      <c r="D1645" s="25">
        <v>482.05</v>
      </c>
      <c r="E1645" s="25">
        <v>509.8</v>
      </c>
      <c r="F1645" s="25">
        <v>2795222.0</v>
      </c>
    </row>
    <row r="1646">
      <c r="A1646" s="25">
        <v>40785.645833333336</v>
      </c>
      <c r="B1646" s="25">
        <v>515.0</v>
      </c>
      <c r="C1646" s="25">
        <v>525.15</v>
      </c>
      <c r="D1646" s="25">
        <v>512.08</v>
      </c>
      <c r="E1646" s="25">
        <v>521.2</v>
      </c>
      <c r="F1646" s="25">
        <v>2983341.0</v>
      </c>
    </row>
    <row r="1647">
      <c r="A1647" s="25">
        <v>40788.645833333336</v>
      </c>
      <c r="B1647" s="25">
        <v>536.5</v>
      </c>
      <c r="C1647" s="25">
        <v>537.38</v>
      </c>
      <c r="D1647" s="25">
        <v>506.0</v>
      </c>
      <c r="E1647" s="25">
        <v>511.05</v>
      </c>
      <c r="F1647" s="25">
        <v>2206753.0</v>
      </c>
    </row>
    <row r="1648">
      <c r="A1648" s="25">
        <v>40791.645833333336</v>
      </c>
      <c r="B1648" s="25">
        <v>507.9</v>
      </c>
      <c r="C1648" s="25">
        <v>516.6</v>
      </c>
      <c r="D1648" s="25">
        <v>499.23</v>
      </c>
      <c r="E1648" s="25">
        <v>513.85</v>
      </c>
      <c r="F1648" s="25">
        <v>1894829.0</v>
      </c>
    </row>
    <row r="1649">
      <c r="A1649" s="25">
        <v>40792.645833333336</v>
      </c>
      <c r="B1649" s="25">
        <v>509.0</v>
      </c>
      <c r="C1649" s="25">
        <v>521.0</v>
      </c>
      <c r="D1649" s="25">
        <v>502.5</v>
      </c>
      <c r="E1649" s="25">
        <v>516.95</v>
      </c>
      <c r="F1649" s="25">
        <v>2381646.0</v>
      </c>
    </row>
    <row r="1650">
      <c r="A1650" s="25">
        <v>40793.645833333336</v>
      </c>
      <c r="B1650" s="25">
        <v>517.05</v>
      </c>
      <c r="C1650" s="25">
        <v>525.0</v>
      </c>
      <c r="D1650" s="25">
        <v>512.5</v>
      </c>
      <c r="E1650" s="25">
        <v>515.5</v>
      </c>
      <c r="F1650" s="25">
        <v>2216078.0</v>
      </c>
    </row>
    <row r="1651">
      <c r="A1651" s="25">
        <v>40794.645833333336</v>
      </c>
      <c r="B1651" s="25">
        <v>516.5</v>
      </c>
      <c r="C1651" s="25">
        <v>527.48</v>
      </c>
      <c r="D1651" s="25">
        <v>514.5</v>
      </c>
      <c r="E1651" s="25">
        <v>518.03</v>
      </c>
      <c r="F1651" s="25">
        <v>2446331.0</v>
      </c>
    </row>
    <row r="1652">
      <c r="A1652" s="25">
        <v>40795.645833333336</v>
      </c>
      <c r="B1652" s="25">
        <v>520.0</v>
      </c>
      <c r="C1652" s="25">
        <v>525.8</v>
      </c>
      <c r="D1652" s="25">
        <v>505.33</v>
      </c>
      <c r="E1652" s="25">
        <v>508.03</v>
      </c>
      <c r="F1652" s="25">
        <v>2531325.0</v>
      </c>
    </row>
    <row r="1653">
      <c r="A1653" s="25">
        <v>40798.645833333336</v>
      </c>
      <c r="B1653" s="25">
        <v>500.0</v>
      </c>
      <c r="C1653" s="25">
        <v>501.93</v>
      </c>
      <c r="D1653" s="25">
        <v>489.33</v>
      </c>
      <c r="E1653" s="25">
        <v>492.85</v>
      </c>
      <c r="F1653" s="25">
        <v>1648585.0</v>
      </c>
    </row>
    <row r="1654">
      <c r="A1654" s="25">
        <v>40799.645833333336</v>
      </c>
      <c r="B1654" s="25">
        <v>498.9</v>
      </c>
      <c r="C1654" s="25">
        <v>512.0</v>
      </c>
      <c r="D1654" s="25">
        <v>494.38</v>
      </c>
      <c r="E1654" s="25">
        <v>496.88</v>
      </c>
      <c r="F1654" s="25">
        <v>1899102.0</v>
      </c>
    </row>
    <row r="1655">
      <c r="A1655" s="25">
        <v>40800.645833333336</v>
      </c>
      <c r="B1655" s="25">
        <v>500.5</v>
      </c>
      <c r="C1655" s="25">
        <v>514.5</v>
      </c>
      <c r="D1655" s="25">
        <v>496.88</v>
      </c>
      <c r="E1655" s="25">
        <v>507.55</v>
      </c>
      <c r="F1655" s="25">
        <v>2372816.0</v>
      </c>
    </row>
    <row r="1656">
      <c r="A1656" s="25">
        <v>40801.645833333336</v>
      </c>
      <c r="B1656" s="25">
        <v>514.0</v>
      </c>
      <c r="C1656" s="25">
        <v>522.9</v>
      </c>
      <c r="D1656" s="25">
        <v>505.0</v>
      </c>
      <c r="E1656" s="25">
        <v>520.88</v>
      </c>
      <c r="F1656" s="25">
        <v>1926119.0</v>
      </c>
    </row>
    <row r="1657">
      <c r="A1657" s="25">
        <v>40802.645833333336</v>
      </c>
      <c r="B1657" s="25">
        <v>524.0</v>
      </c>
      <c r="C1657" s="25">
        <v>536.2</v>
      </c>
      <c r="D1657" s="25">
        <v>510.65</v>
      </c>
      <c r="E1657" s="25">
        <v>513.88</v>
      </c>
      <c r="F1657" s="25">
        <v>2328252.0</v>
      </c>
    </row>
    <row r="1658">
      <c r="A1658" s="25">
        <v>40805.645833333336</v>
      </c>
      <c r="B1658" s="25">
        <v>510.75</v>
      </c>
      <c r="C1658" s="25">
        <v>516.25</v>
      </c>
      <c r="D1658" s="25">
        <v>506.25</v>
      </c>
      <c r="E1658" s="25">
        <v>509.03</v>
      </c>
      <c r="F1658" s="25">
        <v>1120117.0</v>
      </c>
    </row>
    <row r="1659">
      <c r="A1659" s="25">
        <v>40806.645833333336</v>
      </c>
      <c r="B1659" s="25">
        <v>511.05</v>
      </c>
      <c r="C1659" s="25">
        <v>532.0</v>
      </c>
      <c r="D1659" s="25">
        <v>511.05</v>
      </c>
      <c r="E1659" s="25">
        <v>528.98</v>
      </c>
      <c r="F1659" s="25">
        <v>1743993.0</v>
      </c>
    </row>
    <row r="1660">
      <c r="A1660" s="25">
        <v>40807.645833333336</v>
      </c>
      <c r="B1660" s="25">
        <v>533.98</v>
      </c>
      <c r="C1660" s="25">
        <v>533.98</v>
      </c>
      <c r="D1660" s="25">
        <v>518.45</v>
      </c>
      <c r="E1660" s="25">
        <v>521.75</v>
      </c>
      <c r="F1660" s="25">
        <v>1370380.0</v>
      </c>
    </row>
    <row r="1661">
      <c r="A1661" s="25">
        <v>40808.645833333336</v>
      </c>
      <c r="B1661" s="25">
        <v>511.5</v>
      </c>
      <c r="C1661" s="25">
        <v>517.0</v>
      </c>
      <c r="D1661" s="25">
        <v>493.1</v>
      </c>
      <c r="E1661" s="25">
        <v>497.2</v>
      </c>
      <c r="F1661" s="25">
        <v>1570785.0</v>
      </c>
    </row>
    <row r="1662">
      <c r="A1662" s="25">
        <v>40809.645833333336</v>
      </c>
      <c r="B1662" s="25">
        <v>494.0</v>
      </c>
      <c r="C1662" s="25">
        <v>507.5</v>
      </c>
      <c r="D1662" s="25">
        <v>491.13</v>
      </c>
      <c r="E1662" s="25">
        <v>495.15</v>
      </c>
      <c r="F1662" s="25">
        <v>2282116.0</v>
      </c>
    </row>
    <row r="1663">
      <c r="A1663" s="25">
        <v>40812.645833333336</v>
      </c>
      <c r="B1663" s="25">
        <v>498.0</v>
      </c>
      <c r="C1663" s="25">
        <v>504.0</v>
      </c>
      <c r="D1663" s="25">
        <v>484.5</v>
      </c>
      <c r="E1663" s="25">
        <v>498.48</v>
      </c>
      <c r="F1663" s="25">
        <v>1694239.0</v>
      </c>
    </row>
    <row r="1664">
      <c r="A1664" s="25">
        <v>40813.645833333336</v>
      </c>
      <c r="B1664" s="25">
        <v>506.9</v>
      </c>
      <c r="C1664" s="25">
        <v>522.5</v>
      </c>
      <c r="D1664" s="25">
        <v>503.0</v>
      </c>
      <c r="E1664" s="25">
        <v>520.28</v>
      </c>
      <c r="F1664" s="25">
        <v>1982289.0</v>
      </c>
    </row>
    <row r="1665">
      <c r="A1665" s="25">
        <v>40814.645833333336</v>
      </c>
      <c r="B1665" s="25">
        <v>524.25</v>
      </c>
      <c r="C1665" s="25">
        <v>532.35</v>
      </c>
      <c r="D1665" s="25">
        <v>518.5</v>
      </c>
      <c r="E1665" s="25">
        <v>523.95</v>
      </c>
      <c r="F1665" s="25">
        <v>2212595.0</v>
      </c>
    </row>
    <row r="1666">
      <c r="A1666" s="25">
        <v>40815.645833333336</v>
      </c>
      <c r="B1666" s="25">
        <v>521.63</v>
      </c>
      <c r="C1666" s="25">
        <v>534.0</v>
      </c>
      <c r="D1666" s="25">
        <v>517.85</v>
      </c>
      <c r="E1666" s="25">
        <v>530.73</v>
      </c>
      <c r="F1666" s="25">
        <v>2690175.0</v>
      </c>
    </row>
    <row r="1667">
      <c r="A1667" s="25">
        <v>40816.645833333336</v>
      </c>
      <c r="B1667" s="25">
        <v>524.95</v>
      </c>
      <c r="C1667" s="25">
        <v>532.0</v>
      </c>
      <c r="D1667" s="25">
        <v>516.55</v>
      </c>
      <c r="E1667" s="25">
        <v>518.65</v>
      </c>
      <c r="F1667" s="25">
        <v>1345509.0</v>
      </c>
    </row>
    <row r="1668">
      <c r="A1668" s="25">
        <v>40819.645833333336</v>
      </c>
      <c r="B1668" s="25">
        <v>510.0</v>
      </c>
      <c r="C1668" s="25">
        <v>524.95</v>
      </c>
      <c r="D1668" s="25">
        <v>507.65</v>
      </c>
      <c r="E1668" s="25">
        <v>521.65</v>
      </c>
      <c r="F1668" s="25">
        <v>1974632.0</v>
      </c>
    </row>
    <row r="1669">
      <c r="A1669" s="25">
        <v>40820.645833333336</v>
      </c>
      <c r="B1669" s="25">
        <v>519.2</v>
      </c>
      <c r="C1669" s="25">
        <v>529.5</v>
      </c>
      <c r="D1669" s="25">
        <v>514.55</v>
      </c>
      <c r="E1669" s="25">
        <v>522.98</v>
      </c>
      <c r="F1669" s="25">
        <v>2359112.0</v>
      </c>
    </row>
    <row r="1670">
      <c r="A1670" s="25">
        <v>40821.645833333336</v>
      </c>
      <c r="B1670" s="25">
        <v>527.25</v>
      </c>
      <c r="C1670" s="25">
        <v>531.5</v>
      </c>
      <c r="D1670" s="25">
        <v>520.5</v>
      </c>
      <c r="E1670" s="25">
        <v>521.78</v>
      </c>
      <c r="F1670" s="25">
        <v>1707631.0</v>
      </c>
    </row>
    <row r="1671">
      <c r="A1671" s="25">
        <v>40823.645833333336</v>
      </c>
      <c r="B1671" s="25">
        <v>537.55</v>
      </c>
      <c r="C1671" s="25">
        <v>538.9</v>
      </c>
      <c r="D1671" s="25">
        <v>518.75</v>
      </c>
      <c r="E1671" s="25">
        <v>524.28</v>
      </c>
      <c r="F1671" s="25">
        <v>2542904.0</v>
      </c>
    </row>
    <row r="1672">
      <c r="A1672" s="25">
        <v>40826.645833333336</v>
      </c>
      <c r="B1672" s="25">
        <v>524.0</v>
      </c>
      <c r="C1672" s="25">
        <v>537.0</v>
      </c>
      <c r="D1672" s="25">
        <v>524.0</v>
      </c>
      <c r="E1672" s="25">
        <v>532.35</v>
      </c>
      <c r="F1672" s="25">
        <v>1927407.0</v>
      </c>
    </row>
    <row r="1673">
      <c r="A1673" s="25">
        <v>40827.645833333336</v>
      </c>
      <c r="B1673" s="25">
        <v>537.5</v>
      </c>
      <c r="C1673" s="25">
        <v>539.0</v>
      </c>
      <c r="D1673" s="25">
        <v>517.25</v>
      </c>
      <c r="E1673" s="25">
        <v>520.42</v>
      </c>
      <c r="F1673" s="25">
        <v>2238187.0</v>
      </c>
    </row>
    <row r="1674">
      <c r="A1674" s="25">
        <v>40828.645833333336</v>
      </c>
      <c r="B1674" s="25">
        <v>533.0</v>
      </c>
      <c r="C1674" s="25">
        <v>544.7</v>
      </c>
      <c r="D1674" s="25">
        <v>531.0</v>
      </c>
      <c r="E1674" s="25">
        <v>539.53</v>
      </c>
      <c r="F1674" s="25">
        <v>2935831.0</v>
      </c>
    </row>
    <row r="1675">
      <c r="A1675" s="25">
        <v>40829.645833333336</v>
      </c>
      <c r="B1675" s="25">
        <v>548.25</v>
      </c>
      <c r="C1675" s="25">
        <v>552.48</v>
      </c>
      <c r="D1675" s="25">
        <v>540.05</v>
      </c>
      <c r="E1675" s="25">
        <v>546.38</v>
      </c>
      <c r="F1675" s="25">
        <v>2704459.0</v>
      </c>
    </row>
    <row r="1676">
      <c r="A1676" s="25">
        <v>40830.645833333336</v>
      </c>
      <c r="B1676" s="25">
        <v>544.7</v>
      </c>
      <c r="C1676" s="25">
        <v>570.38</v>
      </c>
      <c r="D1676" s="25">
        <v>544.45</v>
      </c>
      <c r="E1676" s="25">
        <v>567.13</v>
      </c>
      <c r="F1676" s="25">
        <v>3355066.0</v>
      </c>
    </row>
    <row r="1677">
      <c r="A1677" s="25">
        <v>40833.645833333336</v>
      </c>
      <c r="B1677" s="25">
        <v>575.75</v>
      </c>
      <c r="C1677" s="25">
        <v>577.0</v>
      </c>
      <c r="D1677" s="25">
        <v>555.65</v>
      </c>
      <c r="E1677" s="25">
        <v>560.13</v>
      </c>
      <c r="F1677" s="25">
        <v>2179345.0</v>
      </c>
    </row>
    <row r="1678">
      <c r="A1678" s="25">
        <v>40834.645833333336</v>
      </c>
      <c r="B1678" s="25">
        <v>531.0</v>
      </c>
      <c r="C1678" s="25">
        <v>532.13</v>
      </c>
      <c r="D1678" s="25">
        <v>510.25</v>
      </c>
      <c r="E1678" s="25">
        <v>516.78</v>
      </c>
      <c r="F1678" s="25">
        <v>6003389.0</v>
      </c>
    </row>
    <row r="1679">
      <c r="A1679" s="25">
        <v>40835.645833333336</v>
      </c>
      <c r="B1679" s="25">
        <v>521.5</v>
      </c>
      <c r="C1679" s="25">
        <v>527.2</v>
      </c>
      <c r="D1679" s="25">
        <v>517.6</v>
      </c>
      <c r="E1679" s="25">
        <v>524.48</v>
      </c>
      <c r="F1679" s="25">
        <v>1913710.0</v>
      </c>
    </row>
    <row r="1680">
      <c r="A1680" s="25">
        <v>40836.645833333336</v>
      </c>
      <c r="B1680" s="25">
        <v>518.0</v>
      </c>
      <c r="C1680" s="25">
        <v>523.5</v>
      </c>
      <c r="D1680" s="25">
        <v>515.15</v>
      </c>
      <c r="E1680" s="25">
        <v>522.45</v>
      </c>
      <c r="F1680" s="25">
        <v>1122706.0</v>
      </c>
    </row>
    <row r="1681">
      <c r="A1681" s="25">
        <v>40837.645833333336</v>
      </c>
      <c r="B1681" s="25">
        <v>527.45</v>
      </c>
      <c r="C1681" s="25">
        <v>530.0</v>
      </c>
      <c r="D1681" s="25">
        <v>521.5</v>
      </c>
      <c r="E1681" s="25">
        <v>524.92</v>
      </c>
      <c r="F1681" s="25">
        <v>1230565.0</v>
      </c>
    </row>
    <row r="1682">
      <c r="A1682" s="25">
        <v>40840.645833333336</v>
      </c>
      <c r="B1682" s="25">
        <v>530.0</v>
      </c>
      <c r="C1682" s="25">
        <v>546.15</v>
      </c>
      <c r="D1682" s="25">
        <v>529.75</v>
      </c>
      <c r="E1682" s="25">
        <v>539.88</v>
      </c>
      <c r="F1682" s="25">
        <v>1635860.0</v>
      </c>
    </row>
    <row r="1683">
      <c r="A1683" s="25">
        <v>40841.645833333336</v>
      </c>
      <c r="B1683" s="25">
        <v>544.5</v>
      </c>
      <c r="C1683" s="25">
        <v>553.5</v>
      </c>
      <c r="D1683" s="25">
        <v>535.73</v>
      </c>
      <c r="E1683" s="25">
        <v>549.33</v>
      </c>
      <c r="F1683" s="25">
        <v>2079373.0</v>
      </c>
    </row>
    <row r="1684">
      <c r="A1684" s="25">
        <v>40842.645833333336</v>
      </c>
      <c r="B1684" s="25">
        <v>552.5</v>
      </c>
      <c r="C1684" s="25">
        <v>555.0</v>
      </c>
      <c r="D1684" s="25">
        <v>546.67</v>
      </c>
      <c r="E1684" s="25">
        <v>547.95</v>
      </c>
      <c r="F1684" s="25">
        <v>205962.0</v>
      </c>
    </row>
    <row r="1685">
      <c r="A1685" s="25">
        <v>40844.645833333336</v>
      </c>
      <c r="B1685" s="25">
        <v>564.5</v>
      </c>
      <c r="C1685" s="25">
        <v>569.55</v>
      </c>
      <c r="D1685" s="25">
        <v>555.5</v>
      </c>
      <c r="E1685" s="25">
        <v>560.75</v>
      </c>
      <c r="F1685" s="25">
        <v>1629558.0</v>
      </c>
    </row>
    <row r="1686">
      <c r="A1686" s="25">
        <v>40847.645833333336</v>
      </c>
      <c r="B1686" s="25">
        <v>560.0</v>
      </c>
      <c r="C1686" s="25">
        <v>566.0</v>
      </c>
      <c r="D1686" s="25">
        <v>556.0</v>
      </c>
      <c r="E1686" s="25">
        <v>557.9</v>
      </c>
      <c r="F1686" s="25">
        <v>889370.0</v>
      </c>
    </row>
    <row r="1687">
      <c r="A1687" s="25">
        <v>40848.645833333336</v>
      </c>
      <c r="B1687" s="25">
        <v>554.0</v>
      </c>
      <c r="C1687" s="25">
        <v>561.5</v>
      </c>
      <c r="D1687" s="25">
        <v>548.13</v>
      </c>
      <c r="E1687" s="25">
        <v>554.23</v>
      </c>
      <c r="F1687" s="25">
        <v>729105.0</v>
      </c>
    </row>
    <row r="1688">
      <c r="A1688" s="25">
        <v>40849.645833333336</v>
      </c>
      <c r="B1688" s="25">
        <v>550.63</v>
      </c>
      <c r="C1688" s="25">
        <v>560.92</v>
      </c>
      <c r="D1688" s="25">
        <v>550.0</v>
      </c>
      <c r="E1688" s="25">
        <v>553.42</v>
      </c>
      <c r="F1688" s="25">
        <v>775422.0</v>
      </c>
    </row>
    <row r="1689">
      <c r="A1689" s="25">
        <v>40850.645833333336</v>
      </c>
      <c r="B1689" s="25">
        <v>548.9</v>
      </c>
      <c r="C1689" s="25">
        <v>554.7</v>
      </c>
      <c r="D1689" s="25">
        <v>543.5</v>
      </c>
      <c r="E1689" s="25">
        <v>552.5</v>
      </c>
      <c r="F1689" s="25">
        <v>945634.0</v>
      </c>
    </row>
    <row r="1690">
      <c r="A1690" s="25">
        <v>40851.645833333336</v>
      </c>
      <c r="B1690" s="25">
        <v>560.5</v>
      </c>
      <c r="C1690" s="25">
        <v>562.5</v>
      </c>
      <c r="D1690" s="25">
        <v>543.6</v>
      </c>
      <c r="E1690" s="25">
        <v>549.9</v>
      </c>
      <c r="F1690" s="25">
        <v>1358004.0</v>
      </c>
    </row>
    <row r="1691">
      <c r="A1691" s="25">
        <v>40855.645833333336</v>
      </c>
      <c r="B1691" s="25">
        <v>548.0</v>
      </c>
      <c r="C1691" s="25">
        <v>557.4</v>
      </c>
      <c r="D1691" s="25">
        <v>548.0</v>
      </c>
      <c r="E1691" s="25">
        <v>552.63</v>
      </c>
      <c r="F1691" s="25">
        <v>846052.0</v>
      </c>
    </row>
    <row r="1692">
      <c r="A1692" s="25">
        <v>40856.645833333336</v>
      </c>
      <c r="B1692" s="25">
        <v>555.0</v>
      </c>
      <c r="C1692" s="25">
        <v>573.0</v>
      </c>
      <c r="D1692" s="25">
        <v>553.15</v>
      </c>
      <c r="E1692" s="25">
        <v>561.48</v>
      </c>
      <c r="F1692" s="25">
        <v>1960990.0</v>
      </c>
    </row>
    <row r="1693">
      <c r="A1693" s="25">
        <v>40858.645833333336</v>
      </c>
      <c r="B1693" s="25">
        <v>555.0</v>
      </c>
      <c r="C1693" s="25">
        <v>570.5</v>
      </c>
      <c r="D1693" s="25">
        <v>553.63</v>
      </c>
      <c r="E1693" s="25">
        <v>565.5</v>
      </c>
      <c r="F1693" s="25">
        <v>1814795.0</v>
      </c>
    </row>
    <row r="1694">
      <c r="A1694" s="25">
        <v>40861.645833333336</v>
      </c>
      <c r="B1694" s="25">
        <v>570.0</v>
      </c>
      <c r="C1694" s="25">
        <v>578.0</v>
      </c>
      <c r="D1694" s="25">
        <v>562.25</v>
      </c>
      <c r="E1694" s="25">
        <v>564.2</v>
      </c>
      <c r="F1694" s="25">
        <v>1164575.0</v>
      </c>
    </row>
    <row r="1695">
      <c r="A1695" s="25">
        <v>40862.645833333336</v>
      </c>
      <c r="B1695" s="25">
        <v>562.53</v>
      </c>
      <c r="C1695" s="25">
        <v>569.48</v>
      </c>
      <c r="D1695" s="25">
        <v>560.0</v>
      </c>
      <c r="E1695" s="25">
        <v>562.2</v>
      </c>
      <c r="F1695" s="25">
        <v>734239.0</v>
      </c>
    </row>
    <row r="1696">
      <c r="A1696" s="25">
        <v>40863.645833333336</v>
      </c>
      <c r="B1696" s="25">
        <v>563.0</v>
      </c>
      <c r="C1696" s="25">
        <v>566.4</v>
      </c>
      <c r="D1696" s="25">
        <v>552.6</v>
      </c>
      <c r="E1696" s="25">
        <v>558.63</v>
      </c>
      <c r="F1696" s="25">
        <v>935801.0</v>
      </c>
    </row>
    <row r="1697">
      <c r="A1697" s="25">
        <v>40864.645833333336</v>
      </c>
      <c r="B1697" s="25">
        <v>557.5</v>
      </c>
      <c r="C1697" s="25">
        <v>561.75</v>
      </c>
      <c r="D1697" s="25">
        <v>553.8</v>
      </c>
      <c r="E1697" s="25">
        <v>557.58</v>
      </c>
      <c r="F1697" s="25">
        <v>695994.0</v>
      </c>
    </row>
    <row r="1698">
      <c r="A1698" s="25">
        <v>40865.645833333336</v>
      </c>
      <c r="B1698" s="25">
        <v>552.88</v>
      </c>
      <c r="C1698" s="25">
        <v>554.9</v>
      </c>
      <c r="D1698" s="25">
        <v>538.15</v>
      </c>
      <c r="E1698" s="25">
        <v>543.3</v>
      </c>
      <c r="F1698" s="25">
        <v>1394721.0</v>
      </c>
    </row>
    <row r="1699">
      <c r="A1699" s="25">
        <v>40868.645833333336</v>
      </c>
      <c r="B1699" s="25">
        <v>542.5</v>
      </c>
      <c r="C1699" s="25">
        <v>544.15</v>
      </c>
      <c r="D1699" s="25">
        <v>530.05</v>
      </c>
      <c r="E1699" s="25">
        <v>533.6</v>
      </c>
      <c r="F1699" s="25">
        <v>1435852.0</v>
      </c>
    </row>
    <row r="1700">
      <c r="A1700" s="25">
        <v>40869.645833333336</v>
      </c>
      <c r="B1700" s="25">
        <v>534.45</v>
      </c>
      <c r="C1700" s="25">
        <v>547.5</v>
      </c>
      <c r="D1700" s="25">
        <v>528.5</v>
      </c>
      <c r="E1700" s="25">
        <v>540.92</v>
      </c>
      <c r="F1700" s="25">
        <v>1861791.0</v>
      </c>
    </row>
    <row r="1701">
      <c r="A1701" s="25">
        <v>40870.645833333336</v>
      </c>
      <c r="B1701" s="25">
        <v>540.98</v>
      </c>
      <c r="C1701" s="25">
        <v>540.98</v>
      </c>
      <c r="D1701" s="25">
        <v>520.5</v>
      </c>
      <c r="E1701" s="25">
        <v>531.15</v>
      </c>
      <c r="F1701" s="25">
        <v>1177875.0</v>
      </c>
    </row>
    <row r="1702">
      <c r="A1702" s="25">
        <v>40871.645833333336</v>
      </c>
      <c r="B1702" s="25">
        <v>531.0</v>
      </c>
      <c r="C1702" s="25">
        <v>548.2</v>
      </c>
      <c r="D1702" s="25">
        <v>522.5</v>
      </c>
      <c r="E1702" s="25">
        <v>545.9</v>
      </c>
      <c r="F1702" s="25">
        <v>1883422.0</v>
      </c>
    </row>
    <row r="1703">
      <c r="A1703" s="25">
        <v>40872.645833333336</v>
      </c>
      <c r="B1703" s="25">
        <v>542.5</v>
      </c>
      <c r="C1703" s="25">
        <v>543.95</v>
      </c>
      <c r="D1703" s="25">
        <v>528.55</v>
      </c>
      <c r="E1703" s="25">
        <v>531.95</v>
      </c>
      <c r="F1703" s="25">
        <v>1070302.0</v>
      </c>
    </row>
    <row r="1704">
      <c r="A1704" s="25">
        <v>40875.645833333336</v>
      </c>
      <c r="B1704" s="25">
        <v>538.98</v>
      </c>
      <c r="C1704" s="25">
        <v>548.0</v>
      </c>
      <c r="D1704" s="25">
        <v>537.0</v>
      </c>
      <c r="E1704" s="25">
        <v>544.25</v>
      </c>
      <c r="F1704" s="25">
        <v>752243.0</v>
      </c>
    </row>
    <row r="1705">
      <c r="A1705" s="25">
        <v>40876.645833333336</v>
      </c>
      <c r="B1705" s="25">
        <v>546.5</v>
      </c>
      <c r="C1705" s="25">
        <v>552.95</v>
      </c>
      <c r="D1705" s="25">
        <v>543.1</v>
      </c>
      <c r="E1705" s="25">
        <v>546.65</v>
      </c>
      <c r="F1705" s="25">
        <v>1277348.0</v>
      </c>
    </row>
    <row r="1706">
      <c r="A1706" s="25">
        <v>40877.645833333336</v>
      </c>
      <c r="B1706" s="25">
        <v>540.58</v>
      </c>
      <c r="C1706" s="25">
        <v>561.48</v>
      </c>
      <c r="D1706" s="25">
        <v>540.58</v>
      </c>
      <c r="E1706" s="25">
        <v>557.78</v>
      </c>
      <c r="F1706" s="25">
        <v>1740849.0</v>
      </c>
    </row>
    <row r="1707">
      <c r="A1707" s="25">
        <v>40878.645833333336</v>
      </c>
      <c r="B1707" s="25">
        <v>570.0</v>
      </c>
      <c r="C1707" s="25">
        <v>574.28</v>
      </c>
      <c r="D1707" s="25">
        <v>563.1</v>
      </c>
      <c r="E1707" s="25">
        <v>567.4</v>
      </c>
      <c r="F1707" s="25">
        <v>1240724.0</v>
      </c>
    </row>
    <row r="1708">
      <c r="A1708" s="25">
        <v>40879.645833333336</v>
      </c>
      <c r="B1708" s="25">
        <v>567.42</v>
      </c>
      <c r="C1708" s="25">
        <v>592.5</v>
      </c>
      <c r="D1708" s="25">
        <v>564.8</v>
      </c>
      <c r="E1708" s="25">
        <v>589.0</v>
      </c>
      <c r="F1708" s="25">
        <v>1984433.0</v>
      </c>
    </row>
    <row r="1709">
      <c r="A1709" s="25">
        <v>40882.645833333336</v>
      </c>
      <c r="B1709" s="25">
        <v>586.25</v>
      </c>
      <c r="C1709" s="25">
        <v>591.95</v>
      </c>
      <c r="D1709" s="25">
        <v>581.28</v>
      </c>
      <c r="E1709" s="25">
        <v>590.48</v>
      </c>
      <c r="F1709" s="25">
        <v>765238.0</v>
      </c>
    </row>
    <row r="1710">
      <c r="A1710" s="25">
        <v>40884.645833333336</v>
      </c>
      <c r="B1710" s="25">
        <v>590.0</v>
      </c>
      <c r="C1710" s="25">
        <v>596.45</v>
      </c>
      <c r="D1710" s="25">
        <v>586.8</v>
      </c>
      <c r="E1710" s="25">
        <v>589.78</v>
      </c>
      <c r="F1710" s="25">
        <v>1318711.0</v>
      </c>
    </row>
    <row r="1711">
      <c r="A1711" s="25">
        <v>40885.645833333336</v>
      </c>
      <c r="B1711" s="25">
        <v>585.0</v>
      </c>
      <c r="C1711" s="25">
        <v>594.5</v>
      </c>
      <c r="D1711" s="25">
        <v>583.58</v>
      </c>
      <c r="E1711" s="25">
        <v>588.8</v>
      </c>
      <c r="F1711" s="25">
        <v>1663222.0</v>
      </c>
    </row>
    <row r="1712">
      <c r="A1712" s="25">
        <v>40886.645833333336</v>
      </c>
      <c r="B1712" s="25">
        <v>580.5</v>
      </c>
      <c r="C1712" s="25">
        <v>591.4</v>
      </c>
      <c r="D1712" s="25">
        <v>580.5</v>
      </c>
      <c r="E1712" s="25">
        <v>586.2</v>
      </c>
      <c r="F1712" s="25">
        <v>1381615.0</v>
      </c>
    </row>
    <row r="1713">
      <c r="A1713" s="25">
        <v>40889.645833333336</v>
      </c>
      <c r="B1713" s="25">
        <v>588.0</v>
      </c>
      <c r="C1713" s="25">
        <v>595.0</v>
      </c>
      <c r="D1713" s="25">
        <v>577.55</v>
      </c>
      <c r="E1713" s="25">
        <v>590.17</v>
      </c>
      <c r="F1713" s="25">
        <v>1586085.0</v>
      </c>
    </row>
    <row r="1714">
      <c r="A1714" s="25">
        <v>40890.645833333336</v>
      </c>
      <c r="B1714" s="25">
        <v>587.5</v>
      </c>
      <c r="C1714" s="25">
        <v>598.45</v>
      </c>
      <c r="D1714" s="25">
        <v>583.33</v>
      </c>
      <c r="E1714" s="25">
        <v>589.35</v>
      </c>
      <c r="F1714" s="25">
        <v>1637279.0</v>
      </c>
    </row>
    <row r="1715">
      <c r="A1715" s="25">
        <v>40891.645833333336</v>
      </c>
      <c r="B1715" s="25">
        <v>590.25</v>
      </c>
      <c r="C1715" s="25">
        <v>594.5</v>
      </c>
      <c r="D1715" s="25">
        <v>585.0</v>
      </c>
      <c r="E1715" s="25">
        <v>591.23</v>
      </c>
      <c r="F1715" s="25">
        <v>1673088.0</v>
      </c>
    </row>
    <row r="1716">
      <c r="A1716" s="25">
        <v>40892.645833333336</v>
      </c>
      <c r="B1716" s="25">
        <v>589.85</v>
      </c>
      <c r="C1716" s="25">
        <v>594.95</v>
      </c>
      <c r="D1716" s="25">
        <v>577.3</v>
      </c>
      <c r="E1716" s="25">
        <v>591.25</v>
      </c>
      <c r="F1716" s="25">
        <v>1834686.0</v>
      </c>
    </row>
    <row r="1717">
      <c r="A1717" s="25">
        <v>40893.645833333336</v>
      </c>
      <c r="B1717" s="25">
        <v>588.28</v>
      </c>
      <c r="C1717" s="25">
        <v>591.28</v>
      </c>
      <c r="D1717" s="25">
        <v>566.15</v>
      </c>
      <c r="E1717" s="25">
        <v>573.15</v>
      </c>
      <c r="F1717" s="25">
        <v>1775448.0</v>
      </c>
    </row>
    <row r="1718">
      <c r="A1718" s="25">
        <v>40896.645833333336</v>
      </c>
      <c r="B1718" s="25">
        <v>569.5</v>
      </c>
      <c r="C1718" s="25">
        <v>578.7</v>
      </c>
      <c r="D1718" s="25">
        <v>557.2</v>
      </c>
      <c r="E1718" s="25">
        <v>571.83</v>
      </c>
      <c r="F1718" s="25">
        <v>1833862.0</v>
      </c>
    </row>
    <row r="1719">
      <c r="A1719" s="25">
        <v>40897.645833333336</v>
      </c>
      <c r="B1719" s="25">
        <v>572.67</v>
      </c>
      <c r="C1719" s="25">
        <v>575.55</v>
      </c>
      <c r="D1719" s="25">
        <v>564.13</v>
      </c>
      <c r="E1719" s="25">
        <v>566.67</v>
      </c>
      <c r="F1719" s="25">
        <v>904698.0</v>
      </c>
    </row>
    <row r="1720">
      <c r="A1720" s="25">
        <v>40898.645833333336</v>
      </c>
      <c r="B1720" s="25">
        <v>575.0</v>
      </c>
      <c r="C1720" s="25">
        <v>583.0</v>
      </c>
      <c r="D1720" s="25">
        <v>561.23</v>
      </c>
      <c r="E1720" s="25">
        <v>579.35</v>
      </c>
      <c r="F1720" s="25">
        <v>1558488.0</v>
      </c>
    </row>
    <row r="1721">
      <c r="A1721" s="25">
        <v>40899.645833333336</v>
      </c>
      <c r="B1721" s="25">
        <v>576.0</v>
      </c>
      <c r="C1721" s="25">
        <v>581.92</v>
      </c>
      <c r="D1721" s="25">
        <v>567.13</v>
      </c>
      <c r="E1721" s="25">
        <v>575.85</v>
      </c>
      <c r="F1721" s="25">
        <v>1043134.0</v>
      </c>
    </row>
    <row r="1722">
      <c r="A1722" s="25">
        <v>40900.645833333336</v>
      </c>
      <c r="B1722" s="25">
        <v>575.5</v>
      </c>
      <c r="C1722" s="25">
        <v>581.0</v>
      </c>
      <c r="D1722" s="25">
        <v>569.55</v>
      </c>
      <c r="E1722" s="25">
        <v>578.58</v>
      </c>
      <c r="F1722" s="25">
        <v>789295.0</v>
      </c>
    </row>
    <row r="1723">
      <c r="A1723" s="25">
        <v>40903.645833333336</v>
      </c>
      <c r="B1723" s="25">
        <v>578.58</v>
      </c>
      <c r="C1723" s="25">
        <v>595.1</v>
      </c>
      <c r="D1723" s="25">
        <v>576.75</v>
      </c>
      <c r="E1723" s="25">
        <v>594.2</v>
      </c>
      <c r="F1723" s="25">
        <v>1114676.0</v>
      </c>
    </row>
    <row r="1724">
      <c r="A1724" s="25">
        <v>40904.645833333336</v>
      </c>
      <c r="B1724" s="25">
        <v>592.7</v>
      </c>
      <c r="C1724" s="25">
        <v>595.0</v>
      </c>
      <c r="D1724" s="25">
        <v>585.0</v>
      </c>
      <c r="E1724" s="25">
        <v>589.73</v>
      </c>
      <c r="F1724" s="25">
        <v>491951.0</v>
      </c>
    </row>
    <row r="1725">
      <c r="A1725" s="25">
        <v>40905.645833333336</v>
      </c>
      <c r="B1725" s="25">
        <v>589.35</v>
      </c>
      <c r="C1725" s="25">
        <v>591.78</v>
      </c>
      <c r="D1725" s="25">
        <v>582.95</v>
      </c>
      <c r="E1725" s="25">
        <v>584.6</v>
      </c>
      <c r="F1725" s="25">
        <v>598955.0</v>
      </c>
    </row>
    <row r="1726">
      <c r="A1726" s="25">
        <v>40906.645833333336</v>
      </c>
      <c r="B1726" s="25">
        <v>581.75</v>
      </c>
      <c r="C1726" s="25">
        <v>589.05</v>
      </c>
      <c r="D1726" s="25">
        <v>579.75</v>
      </c>
      <c r="E1726" s="25">
        <v>582.85</v>
      </c>
      <c r="F1726" s="25">
        <v>792864.0</v>
      </c>
    </row>
    <row r="1727">
      <c r="A1727" s="25">
        <v>40907.645833333336</v>
      </c>
      <c r="B1727" s="25">
        <v>589.0</v>
      </c>
      <c r="C1727" s="25">
        <v>591.25</v>
      </c>
      <c r="D1727" s="25">
        <v>578.25</v>
      </c>
      <c r="E1727" s="25">
        <v>580.33</v>
      </c>
      <c r="F1727" s="25">
        <v>772705.0</v>
      </c>
    </row>
    <row r="1728">
      <c r="A1728" s="25">
        <v>40910.645833333336</v>
      </c>
      <c r="B1728" s="25">
        <v>580.5</v>
      </c>
      <c r="C1728" s="25">
        <v>592.98</v>
      </c>
      <c r="D1728" s="25">
        <v>576.5</v>
      </c>
      <c r="E1728" s="25">
        <v>589.3</v>
      </c>
      <c r="F1728" s="25">
        <v>1124271.0</v>
      </c>
    </row>
    <row r="1729">
      <c r="A1729" s="25">
        <v>40911.645833333336</v>
      </c>
      <c r="B1729" s="25">
        <v>591.63</v>
      </c>
      <c r="C1729" s="25">
        <v>604.95</v>
      </c>
      <c r="D1729" s="25">
        <v>590.0</v>
      </c>
      <c r="E1729" s="25">
        <v>598.8</v>
      </c>
      <c r="F1729" s="25">
        <v>1354442.0</v>
      </c>
    </row>
    <row r="1730">
      <c r="A1730" s="25">
        <v>40912.645833333336</v>
      </c>
      <c r="B1730" s="25">
        <v>602.45</v>
      </c>
      <c r="C1730" s="25">
        <v>602.5</v>
      </c>
      <c r="D1730" s="25">
        <v>584.65</v>
      </c>
      <c r="E1730" s="25">
        <v>586.5</v>
      </c>
      <c r="F1730" s="25">
        <v>1193385.0</v>
      </c>
    </row>
    <row r="1731">
      <c r="A1731" s="25">
        <v>40913.645833333336</v>
      </c>
      <c r="B1731" s="25">
        <v>586.4</v>
      </c>
      <c r="C1731" s="25">
        <v>592.5</v>
      </c>
      <c r="D1731" s="25">
        <v>583.67</v>
      </c>
      <c r="E1731" s="25">
        <v>586.0</v>
      </c>
      <c r="F1731" s="25">
        <v>1273656.0</v>
      </c>
    </row>
    <row r="1732">
      <c r="A1732" s="25">
        <v>40914.645833333336</v>
      </c>
      <c r="B1732" s="25">
        <v>583.0</v>
      </c>
      <c r="C1732" s="25">
        <v>594.17</v>
      </c>
      <c r="D1732" s="25">
        <v>578.4</v>
      </c>
      <c r="E1732" s="25">
        <v>584.7</v>
      </c>
      <c r="F1732" s="25">
        <v>1059864.0</v>
      </c>
    </row>
    <row r="1733">
      <c r="A1733" s="25">
        <v>40917.645833333336</v>
      </c>
      <c r="B1733" s="25">
        <v>585.5</v>
      </c>
      <c r="C1733" s="25">
        <v>589.85</v>
      </c>
      <c r="D1733" s="25">
        <v>582.63</v>
      </c>
      <c r="E1733" s="25">
        <v>585.67</v>
      </c>
      <c r="F1733" s="25">
        <v>754514.0</v>
      </c>
    </row>
    <row r="1734">
      <c r="A1734" s="25">
        <v>40918.645833333336</v>
      </c>
      <c r="B1734" s="25">
        <v>587.5</v>
      </c>
      <c r="C1734" s="25">
        <v>592.75</v>
      </c>
      <c r="D1734" s="25">
        <v>579.25</v>
      </c>
      <c r="E1734" s="25">
        <v>582.7</v>
      </c>
      <c r="F1734" s="25">
        <v>1795895.0</v>
      </c>
    </row>
    <row r="1735">
      <c r="A1735" s="25">
        <v>40919.645833333336</v>
      </c>
      <c r="B1735" s="25">
        <v>585.7</v>
      </c>
      <c r="C1735" s="25">
        <v>587.5</v>
      </c>
      <c r="D1735" s="25">
        <v>566.58</v>
      </c>
      <c r="E1735" s="25">
        <v>568.5</v>
      </c>
      <c r="F1735" s="25">
        <v>2837690.0</v>
      </c>
    </row>
    <row r="1736">
      <c r="A1736" s="25">
        <v>40920.645833333336</v>
      </c>
      <c r="B1736" s="25">
        <v>550.5</v>
      </c>
      <c r="C1736" s="25">
        <v>557.5</v>
      </c>
      <c r="D1736" s="25">
        <v>534.33</v>
      </c>
      <c r="E1736" s="25">
        <v>544.75</v>
      </c>
      <c r="F1736" s="25">
        <v>4764342.0</v>
      </c>
    </row>
    <row r="1737">
      <c r="A1737" s="25">
        <v>40921.645833333336</v>
      </c>
      <c r="B1737" s="25">
        <v>548.58</v>
      </c>
      <c r="C1737" s="25">
        <v>551.67</v>
      </c>
      <c r="D1737" s="25">
        <v>536.5</v>
      </c>
      <c r="E1737" s="25">
        <v>542.88</v>
      </c>
      <c r="F1737" s="25">
        <v>2009914.0</v>
      </c>
    </row>
    <row r="1738">
      <c r="A1738" s="25">
        <v>40924.645833333336</v>
      </c>
      <c r="B1738" s="25">
        <v>542.0</v>
      </c>
      <c r="C1738" s="25">
        <v>557.0</v>
      </c>
      <c r="D1738" s="25">
        <v>539.45</v>
      </c>
      <c r="E1738" s="25">
        <v>554.7</v>
      </c>
      <c r="F1738" s="25">
        <v>1523601.0</v>
      </c>
    </row>
    <row r="1739">
      <c r="A1739" s="25">
        <v>40925.645833333336</v>
      </c>
      <c r="B1739" s="25">
        <v>559.95</v>
      </c>
      <c r="C1739" s="25">
        <v>562.35</v>
      </c>
      <c r="D1739" s="25">
        <v>547.0</v>
      </c>
      <c r="E1739" s="25">
        <v>551.98</v>
      </c>
      <c r="F1739" s="25">
        <v>1852109.0</v>
      </c>
    </row>
    <row r="1740">
      <c r="A1740" s="25">
        <v>40926.645833333336</v>
      </c>
      <c r="B1740" s="25">
        <v>540.0</v>
      </c>
      <c r="C1740" s="25">
        <v>548.15</v>
      </c>
      <c r="D1740" s="25">
        <v>522.65</v>
      </c>
      <c r="E1740" s="25">
        <v>538.08</v>
      </c>
      <c r="F1740" s="25">
        <v>5832766.0</v>
      </c>
    </row>
    <row r="1741">
      <c r="A1741" s="25">
        <v>40927.645833333336</v>
      </c>
      <c r="B1741" s="25">
        <v>543.5</v>
      </c>
      <c r="C1741" s="25">
        <v>544.45</v>
      </c>
      <c r="D1741" s="25">
        <v>532.7</v>
      </c>
      <c r="E1741" s="25">
        <v>537.78</v>
      </c>
      <c r="F1741" s="25">
        <v>2081646.0</v>
      </c>
    </row>
    <row r="1742">
      <c r="A1742" s="25">
        <v>40928.645833333336</v>
      </c>
      <c r="B1742" s="25">
        <v>539.98</v>
      </c>
      <c r="C1742" s="25">
        <v>545.48</v>
      </c>
      <c r="D1742" s="25">
        <v>536.5</v>
      </c>
      <c r="E1742" s="25">
        <v>539.75</v>
      </c>
      <c r="F1742" s="25">
        <v>1286347.0</v>
      </c>
    </row>
    <row r="1743">
      <c r="A1743" s="25">
        <v>40931.645833333336</v>
      </c>
      <c r="B1743" s="25">
        <v>543.0</v>
      </c>
      <c r="C1743" s="25">
        <v>545.73</v>
      </c>
      <c r="D1743" s="25">
        <v>537.08</v>
      </c>
      <c r="E1743" s="25">
        <v>538.85</v>
      </c>
      <c r="F1743" s="25">
        <v>1065248.0</v>
      </c>
    </row>
    <row r="1744">
      <c r="A1744" s="25">
        <v>40932.645833333336</v>
      </c>
      <c r="B1744" s="25">
        <v>544.0</v>
      </c>
      <c r="C1744" s="25">
        <v>547.5</v>
      </c>
      <c r="D1744" s="25">
        <v>539.0</v>
      </c>
      <c r="E1744" s="25">
        <v>544.35</v>
      </c>
      <c r="F1744" s="25">
        <v>1320655.0</v>
      </c>
    </row>
    <row r="1745">
      <c r="A1745" s="25">
        <v>40933.645833333336</v>
      </c>
      <c r="B1745" s="25">
        <v>547.45</v>
      </c>
      <c r="C1745" s="25">
        <v>554.98</v>
      </c>
      <c r="D1745" s="25">
        <v>545.53</v>
      </c>
      <c r="E1745" s="25">
        <v>549.0</v>
      </c>
      <c r="F1745" s="25">
        <v>2922619.0</v>
      </c>
    </row>
    <row r="1746">
      <c r="A1746" s="25">
        <v>40935.645833333336</v>
      </c>
      <c r="B1746" s="25">
        <v>552.5</v>
      </c>
      <c r="C1746" s="25">
        <v>560.28</v>
      </c>
      <c r="D1746" s="25">
        <v>550.05</v>
      </c>
      <c r="E1746" s="25">
        <v>554.38</v>
      </c>
      <c r="F1746" s="25">
        <v>2604859.0</v>
      </c>
    </row>
    <row r="1747">
      <c r="A1747" s="25">
        <v>40938.645833333336</v>
      </c>
      <c r="B1747" s="25">
        <v>551.25</v>
      </c>
      <c r="C1747" s="25">
        <v>559.48</v>
      </c>
      <c r="D1747" s="25">
        <v>550.38</v>
      </c>
      <c r="E1747" s="25">
        <v>555.88</v>
      </c>
      <c r="F1747" s="25">
        <v>1297779.0</v>
      </c>
    </row>
    <row r="1748">
      <c r="A1748" s="25">
        <v>40939.645833333336</v>
      </c>
      <c r="B1748" s="25">
        <v>556.5</v>
      </c>
      <c r="C1748" s="25">
        <v>567.95</v>
      </c>
      <c r="D1748" s="25">
        <v>556.5</v>
      </c>
      <c r="E1748" s="25">
        <v>566.2</v>
      </c>
      <c r="F1748" s="25">
        <v>1769060.0</v>
      </c>
    </row>
    <row r="1749">
      <c r="A1749" s="25">
        <v>40940.645833333336</v>
      </c>
      <c r="B1749" s="25">
        <v>564.7</v>
      </c>
      <c r="C1749" s="25">
        <v>567.5</v>
      </c>
      <c r="D1749" s="25">
        <v>554.13</v>
      </c>
      <c r="E1749" s="25">
        <v>564.35</v>
      </c>
      <c r="F1749" s="25">
        <v>1144402.0</v>
      </c>
    </row>
    <row r="1750">
      <c r="A1750" s="25">
        <v>40941.645833333336</v>
      </c>
      <c r="B1750" s="25">
        <v>568.0</v>
      </c>
      <c r="C1750" s="25">
        <v>576.33</v>
      </c>
      <c r="D1750" s="25">
        <v>565.15</v>
      </c>
      <c r="E1750" s="25">
        <v>574.0</v>
      </c>
      <c r="F1750" s="25">
        <v>1693070.0</v>
      </c>
    </row>
    <row r="1751">
      <c r="A1751" s="25">
        <v>40942.645833333336</v>
      </c>
      <c r="B1751" s="25">
        <v>572.5</v>
      </c>
      <c r="C1751" s="25">
        <v>588.0</v>
      </c>
      <c r="D1751" s="25">
        <v>570.5</v>
      </c>
      <c r="E1751" s="25">
        <v>585.78</v>
      </c>
      <c r="F1751" s="25">
        <v>1388779.0</v>
      </c>
    </row>
    <row r="1752">
      <c r="A1752" s="25">
        <v>40945.645833333336</v>
      </c>
      <c r="B1752" s="25">
        <v>591.85</v>
      </c>
      <c r="C1752" s="25">
        <v>600.03</v>
      </c>
      <c r="D1752" s="25">
        <v>586.67</v>
      </c>
      <c r="E1752" s="25">
        <v>596.92</v>
      </c>
      <c r="F1752" s="25">
        <v>1713598.0</v>
      </c>
    </row>
    <row r="1753">
      <c r="A1753" s="25">
        <v>40946.645833333336</v>
      </c>
      <c r="B1753" s="25">
        <v>604.85</v>
      </c>
      <c r="C1753" s="25">
        <v>604.85</v>
      </c>
      <c r="D1753" s="25">
        <v>595.95</v>
      </c>
      <c r="E1753" s="25">
        <v>599.0</v>
      </c>
      <c r="F1753" s="25">
        <v>1703828.0</v>
      </c>
    </row>
    <row r="1754">
      <c r="A1754" s="25">
        <v>40947.645833333336</v>
      </c>
      <c r="B1754" s="25">
        <v>608.2</v>
      </c>
      <c r="C1754" s="25">
        <v>613.42</v>
      </c>
      <c r="D1754" s="25">
        <v>605.5</v>
      </c>
      <c r="E1754" s="25">
        <v>609.83</v>
      </c>
      <c r="F1754" s="25">
        <v>1813592.0</v>
      </c>
    </row>
    <row r="1755">
      <c r="A1755" s="25">
        <v>40948.645833333336</v>
      </c>
      <c r="B1755" s="25">
        <v>605.55</v>
      </c>
      <c r="C1755" s="25">
        <v>616.0</v>
      </c>
      <c r="D1755" s="25">
        <v>594.0</v>
      </c>
      <c r="E1755" s="25">
        <v>614.3</v>
      </c>
      <c r="F1755" s="25">
        <v>1519031.0</v>
      </c>
    </row>
    <row r="1756">
      <c r="A1756" s="25">
        <v>40949.645833333336</v>
      </c>
      <c r="B1756" s="25">
        <v>614.0</v>
      </c>
      <c r="C1756" s="25">
        <v>619.0</v>
      </c>
      <c r="D1756" s="25">
        <v>606.0</v>
      </c>
      <c r="E1756" s="25">
        <v>616.7</v>
      </c>
      <c r="F1756" s="25">
        <v>1162151.0</v>
      </c>
    </row>
    <row r="1757">
      <c r="A1757" s="25">
        <v>40952.645833333336</v>
      </c>
      <c r="B1757" s="25">
        <v>611.1</v>
      </c>
      <c r="C1757" s="25">
        <v>618.98</v>
      </c>
      <c r="D1757" s="25">
        <v>607.0</v>
      </c>
      <c r="E1757" s="25">
        <v>612.85</v>
      </c>
      <c r="F1757" s="25">
        <v>815885.0</v>
      </c>
    </row>
    <row r="1758">
      <c r="A1758" s="25">
        <v>40953.645833333336</v>
      </c>
      <c r="B1758" s="25">
        <v>612.5</v>
      </c>
      <c r="C1758" s="25">
        <v>614.78</v>
      </c>
      <c r="D1758" s="25">
        <v>607.5</v>
      </c>
      <c r="E1758" s="25">
        <v>610.0</v>
      </c>
      <c r="F1758" s="25">
        <v>913323.0</v>
      </c>
    </row>
    <row r="1759">
      <c r="A1759" s="25">
        <v>40954.645833333336</v>
      </c>
      <c r="B1759" s="25">
        <v>613.58</v>
      </c>
      <c r="C1759" s="25">
        <v>624.4</v>
      </c>
      <c r="D1759" s="25">
        <v>609.75</v>
      </c>
      <c r="E1759" s="25">
        <v>620.8</v>
      </c>
      <c r="F1759" s="25">
        <v>1083583.0</v>
      </c>
    </row>
    <row r="1760">
      <c r="A1760" s="25">
        <v>40955.645833333336</v>
      </c>
      <c r="B1760" s="25">
        <v>619.0</v>
      </c>
      <c r="C1760" s="25">
        <v>621.0</v>
      </c>
      <c r="D1760" s="25">
        <v>609.0</v>
      </c>
      <c r="E1760" s="25">
        <v>612.67</v>
      </c>
      <c r="F1760" s="25">
        <v>943330.0</v>
      </c>
    </row>
    <row r="1761">
      <c r="A1761" s="25">
        <v>40956.645833333336</v>
      </c>
      <c r="B1761" s="25">
        <v>617.42</v>
      </c>
      <c r="C1761" s="25">
        <v>627.0</v>
      </c>
      <c r="D1761" s="25">
        <v>610.5</v>
      </c>
      <c r="E1761" s="25">
        <v>614.38</v>
      </c>
      <c r="F1761" s="25">
        <v>2048284.0</v>
      </c>
    </row>
    <row r="1762">
      <c r="A1762" s="25">
        <v>40960.645833333336</v>
      </c>
      <c r="B1762" s="25">
        <v>611.78</v>
      </c>
      <c r="C1762" s="25">
        <v>620.0</v>
      </c>
      <c r="D1762" s="25">
        <v>602.38</v>
      </c>
      <c r="E1762" s="25">
        <v>618.53</v>
      </c>
      <c r="F1762" s="25">
        <v>1244752.0</v>
      </c>
    </row>
    <row r="1763">
      <c r="A1763" s="25">
        <v>40961.645833333336</v>
      </c>
      <c r="B1763" s="25">
        <v>617.5</v>
      </c>
      <c r="C1763" s="25">
        <v>633.42</v>
      </c>
      <c r="D1763" s="25">
        <v>614.5</v>
      </c>
      <c r="E1763" s="25">
        <v>626.17</v>
      </c>
      <c r="F1763" s="25">
        <v>1570913.0</v>
      </c>
    </row>
    <row r="1764">
      <c r="A1764" s="25">
        <v>40962.645833333336</v>
      </c>
      <c r="B1764" s="25">
        <v>624.53</v>
      </c>
      <c r="C1764" s="25">
        <v>637.45</v>
      </c>
      <c r="D1764" s="25">
        <v>622.0</v>
      </c>
      <c r="E1764" s="25">
        <v>629.9</v>
      </c>
      <c r="F1764" s="25">
        <v>2043440.0</v>
      </c>
    </row>
    <row r="1765">
      <c r="A1765" s="25">
        <v>40963.645833333336</v>
      </c>
      <c r="B1765" s="25">
        <v>629.5</v>
      </c>
      <c r="C1765" s="25">
        <v>640.42</v>
      </c>
      <c r="D1765" s="25">
        <v>628.63</v>
      </c>
      <c r="E1765" s="25">
        <v>635.0</v>
      </c>
      <c r="F1765" s="25">
        <v>1173200.0</v>
      </c>
    </row>
    <row r="1766">
      <c r="A1766" s="25">
        <v>40966.645833333336</v>
      </c>
      <c r="B1766" s="25">
        <v>639.5</v>
      </c>
      <c r="C1766" s="25">
        <v>639.98</v>
      </c>
      <c r="D1766" s="25">
        <v>622.8</v>
      </c>
      <c r="E1766" s="25">
        <v>626.03</v>
      </c>
      <c r="F1766" s="25">
        <v>930685.0</v>
      </c>
    </row>
    <row r="1767">
      <c r="A1767" s="25">
        <v>40967.645833333336</v>
      </c>
      <c r="B1767" s="25">
        <v>627.63</v>
      </c>
      <c r="C1767" s="25">
        <v>630.2</v>
      </c>
      <c r="D1767" s="25">
        <v>609.55</v>
      </c>
      <c r="E1767" s="25">
        <v>613.28</v>
      </c>
      <c r="F1767" s="25">
        <v>1986745.0</v>
      </c>
    </row>
    <row r="1768">
      <c r="A1768" s="25">
        <v>40968.645833333336</v>
      </c>
      <c r="B1768" s="25">
        <v>620.0</v>
      </c>
      <c r="C1768" s="25">
        <v>620.0</v>
      </c>
      <c r="D1768" s="25">
        <v>606.13</v>
      </c>
      <c r="E1768" s="25">
        <v>610.98</v>
      </c>
      <c r="F1768" s="25">
        <v>1530108.0</v>
      </c>
    </row>
    <row r="1769">
      <c r="A1769" s="25">
        <v>40969.645833333336</v>
      </c>
      <c r="B1769" s="25">
        <v>611.5</v>
      </c>
      <c r="C1769" s="25">
        <v>613.48</v>
      </c>
      <c r="D1769" s="25">
        <v>605.03</v>
      </c>
      <c r="E1769" s="25">
        <v>609.8</v>
      </c>
      <c r="F1769" s="25">
        <v>784297.0</v>
      </c>
    </row>
    <row r="1770">
      <c r="A1770" s="25">
        <v>40970.645833333336</v>
      </c>
      <c r="B1770" s="25">
        <v>613.0</v>
      </c>
      <c r="C1770" s="25">
        <v>613.5</v>
      </c>
      <c r="D1770" s="25">
        <v>603.5</v>
      </c>
      <c r="E1770" s="25">
        <v>608.63</v>
      </c>
      <c r="F1770" s="25">
        <v>1154616.0</v>
      </c>
    </row>
    <row r="1771">
      <c r="A1771" s="25">
        <v>40973.645833333336</v>
      </c>
      <c r="B1771" s="25">
        <v>607.0</v>
      </c>
      <c r="C1771" s="25">
        <v>611.23</v>
      </c>
      <c r="D1771" s="25">
        <v>600.5</v>
      </c>
      <c r="E1771" s="25">
        <v>603.65</v>
      </c>
      <c r="F1771" s="25">
        <v>770439.0</v>
      </c>
    </row>
    <row r="1772">
      <c r="A1772" s="25">
        <v>40974.645833333336</v>
      </c>
      <c r="B1772" s="25">
        <v>601.5</v>
      </c>
      <c r="C1772" s="25">
        <v>610.65</v>
      </c>
      <c r="D1772" s="25">
        <v>594.5</v>
      </c>
      <c r="E1772" s="25">
        <v>601.0</v>
      </c>
      <c r="F1772" s="25">
        <v>858861.0</v>
      </c>
    </row>
    <row r="1773">
      <c r="A1773" s="25">
        <v>40975.645833333336</v>
      </c>
      <c r="B1773" s="25">
        <v>597.5</v>
      </c>
      <c r="C1773" s="25">
        <v>603.0</v>
      </c>
      <c r="D1773" s="25">
        <v>593.28</v>
      </c>
      <c r="E1773" s="25">
        <v>596.42</v>
      </c>
      <c r="F1773" s="25">
        <v>972833.0</v>
      </c>
    </row>
    <row r="1774">
      <c r="A1774" s="25">
        <v>40977.645833333336</v>
      </c>
      <c r="B1774" s="25">
        <v>613.5</v>
      </c>
      <c r="C1774" s="25">
        <v>613.5</v>
      </c>
      <c r="D1774" s="25">
        <v>601.48</v>
      </c>
      <c r="E1774" s="25">
        <v>604.28</v>
      </c>
      <c r="F1774" s="25">
        <v>1112879.0</v>
      </c>
    </row>
    <row r="1775">
      <c r="A1775" s="25">
        <v>40980.645833333336</v>
      </c>
      <c r="B1775" s="25">
        <v>607.95</v>
      </c>
      <c r="C1775" s="25">
        <v>609.42</v>
      </c>
      <c r="D1775" s="25">
        <v>591.6</v>
      </c>
      <c r="E1775" s="25">
        <v>594.53</v>
      </c>
      <c r="F1775" s="25">
        <v>1120139.0</v>
      </c>
    </row>
    <row r="1776">
      <c r="A1776" s="25">
        <v>40981.645833333336</v>
      </c>
      <c r="B1776" s="25">
        <v>595.0</v>
      </c>
      <c r="C1776" s="25">
        <v>607.48</v>
      </c>
      <c r="D1776" s="25">
        <v>595.0</v>
      </c>
      <c r="E1776" s="25">
        <v>598.5</v>
      </c>
      <c r="F1776" s="25">
        <v>1246232.0</v>
      </c>
    </row>
    <row r="1777">
      <c r="A1777" s="25">
        <v>40982.645833333336</v>
      </c>
      <c r="B1777" s="25">
        <v>605.05</v>
      </c>
      <c r="C1777" s="25">
        <v>607.0</v>
      </c>
      <c r="D1777" s="25">
        <v>575.5</v>
      </c>
      <c r="E1777" s="25">
        <v>577.28</v>
      </c>
      <c r="F1777" s="25">
        <v>4032657.0</v>
      </c>
    </row>
    <row r="1778">
      <c r="A1778" s="25">
        <v>40983.645833333336</v>
      </c>
      <c r="B1778" s="25">
        <v>579.5</v>
      </c>
      <c r="C1778" s="25">
        <v>585.48</v>
      </c>
      <c r="D1778" s="25">
        <v>572.5</v>
      </c>
      <c r="E1778" s="25">
        <v>581.85</v>
      </c>
      <c r="F1778" s="25">
        <v>2142118.0</v>
      </c>
    </row>
    <row r="1779">
      <c r="A1779" s="25">
        <v>40984.645833333336</v>
      </c>
      <c r="B1779" s="25">
        <v>584.98</v>
      </c>
      <c r="C1779" s="25">
        <v>590.0</v>
      </c>
      <c r="D1779" s="25">
        <v>579.0</v>
      </c>
      <c r="E1779" s="25">
        <v>584.78</v>
      </c>
      <c r="F1779" s="25">
        <v>1027362.0</v>
      </c>
    </row>
    <row r="1780">
      <c r="A1780" s="25">
        <v>40987.645833333336</v>
      </c>
      <c r="B1780" s="25">
        <v>584.78</v>
      </c>
      <c r="C1780" s="25">
        <v>584.78</v>
      </c>
      <c r="D1780" s="25">
        <v>555.9</v>
      </c>
      <c r="E1780" s="25">
        <v>561.0</v>
      </c>
      <c r="F1780" s="25">
        <v>2566432.0</v>
      </c>
    </row>
    <row r="1781">
      <c r="A1781" s="25">
        <v>40988.645833333336</v>
      </c>
      <c r="B1781" s="25">
        <v>564.5</v>
      </c>
      <c r="C1781" s="25">
        <v>572.5</v>
      </c>
      <c r="D1781" s="25">
        <v>560.0</v>
      </c>
      <c r="E1781" s="25">
        <v>567.42</v>
      </c>
      <c r="F1781" s="25">
        <v>1841602.0</v>
      </c>
    </row>
    <row r="1782">
      <c r="A1782" s="25">
        <v>40989.645833333336</v>
      </c>
      <c r="B1782" s="25">
        <v>568.48</v>
      </c>
      <c r="C1782" s="25">
        <v>589.9</v>
      </c>
      <c r="D1782" s="25">
        <v>568.28</v>
      </c>
      <c r="E1782" s="25">
        <v>587.88</v>
      </c>
      <c r="F1782" s="25">
        <v>2276621.0</v>
      </c>
    </row>
    <row r="1783">
      <c r="A1783" s="25">
        <v>40990.645833333336</v>
      </c>
      <c r="B1783" s="25">
        <v>587.35</v>
      </c>
      <c r="C1783" s="25">
        <v>594.85</v>
      </c>
      <c r="D1783" s="25">
        <v>580.0</v>
      </c>
      <c r="E1783" s="25">
        <v>583.88</v>
      </c>
      <c r="F1783" s="25">
        <v>1710847.0</v>
      </c>
    </row>
    <row r="1784">
      <c r="A1784" s="25">
        <v>40991.645833333336</v>
      </c>
      <c r="B1784" s="25">
        <v>587.5</v>
      </c>
      <c r="C1784" s="25">
        <v>595.95</v>
      </c>
      <c r="D1784" s="25">
        <v>582.4</v>
      </c>
      <c r="E1784" s="25">
        <v>592.33</v>
      </c>
      <c r="F1784" s="25">
        <v>1579218.0</v>
      </c>
    </row>
    <row r="1785">
      <c r="A1785" s="25">
        <v>40994.645833333336</v>
      </c>
      <c r="B1785" s="25">
        <v>588.5</v>
      </c>
      <c r="C1785" s="25">
        <v>592.5</v>
      </c>
      <c r="D1785" s="25">
        <v>577.0</v>
      </c>
      <c r="E1785" s="25">
        <v>580.8</v>
      </c>
      <c r="F1785" s="25">
        <v>1526692.0</v>
      </c>
    </row>
    <row r="1786">
      <c r="A1786" s="25">
        <v>40995.645833333336</v>
      </c>
      <c r="B1786" s="25">
        <v>586.5</v>
      </c>
      <c r="C1786" s="25">
        <v>589.83</v>
      </c>
      <c r="D1786" s="25">
        <v>575.98</v>
      </c>
      <c r="E1786" s="25">
        <v>587.38</v>
      </c>
      <c r="F1786" s="25">
        <v>794123.0</v>
      </c>
    </row>
    <row r="1787">
      <c r="A1787" s="25">
        <v>40996.645833333336</v>
      </c>
      <c r="B1787" s="25">
        <v>587.0</v>
      </c>
      <c r="C1787" s="25">
        <v>587.33</v>
      </c>
      <c r="D1787" s="25">
        <v>577.23</v>
      </c>
      <c r="E1787" s="25">
        <v>582.55</v>
      </c>
      <c r="F1787" s="25">
        <v>1025548.0</v>
      </c>
    </row>
    <row r="1788">
      <c r="A1788" s="25">
        <v>40997.645833333336</v>
      </c>
      <c r="B1788" s="25">
        <v>575.5</v>
      </c>
      <c r="C1788" s="25">
        <v>582.0</v>
      </c>
      <c r="D1788" s="25">
        <v>566.2</v>
      </c>
      <c r="E1788" s="25">
        <v>570.6</v>
      </c>
      <c r="F1788" s="25">
        <v>1340607.0</v>
      </c>
    </row>
    <row r="1789">
      <c r="A1789" s="25">
        <v>40998.645833333336</v>
      </c>
      <c r="B1789" s="25">
        <v>572.75</v>
      </c>
      <c r="C1789" s="25">
        <v>587.88</v>
      </c>
      <c r="D1789" s="25">
        <v>572.75</v>
      </c>
      <c r="E1789" s="25">
        <v>584.4</v>
      </c>
      <c r="F1789" s="25">
        <v>1271671.0</v>
      </c>
    </row>
    <row r="1790">
      <c r="A1790" s="25">
        <v>41001.645833333336</v>
      </c>
      <c r="B1790" s="25">
        <v>585.0</v>
      </c>
      <c r="C1790" s="25">
        <v>599.5</v>
      </c>
      <c r="D1790" s="25">
        <v>585.0</v>
      </c>
      <c r="E1790" s="25">
        <v>597.13</v>
      </c>
      <c r="F1790" s="25">
        <v>1163494.0</v>
      </c>
    </row>
    <row r="1791">
      <c r="A1791" s="25">
        <v>41002.645833333336</v>
      </c>
      <c r="B1791" s="25">
        <v>600.1</v>
      </c>
      <c r="C1791" s="25">
        <v>603.67</v>
      </c>
      <c r="D1791" s="25">
        <v>587.65</v>
      </c>
      <c r="E1791" s="25">
        <v>589.0</v>
      </c>
      <c r="F1791" s="25">
        <v>1134577.0</v>
      </c>
    </row>
    <row r="1792">
      <c r="A1792" s="25">
        <v>41003.645833333336</v>
      </c>
      <c r="B1792" s="25">
        <v>584.5</v>
      </c>
      <c r="C1792" s="25">
        <v>594.9</v>
      </c>
      <c r="D1792" s="25">
        <v>583.5</v>
      </c>
      <c r="E1792" s="25">
        <v>589.23</v>
      </c>
      <c r="F1792" s="25">
        <v>1082527.0</v>
      </c>
    </row>
    <row r="1793">
      <c r="A1793" s="25">
        <v>41008.645833333336</v>
      </c>
      <c r="B1793" s="25">
        <v>585.0</v>
      </c>
      <c r="C1793" s="25">
        <v>594.0</v>
      </c>
      <c r="D1793" s="25">
        <v>579.13</v>
      </c>
      <c r="E1793" s="25">
        <v>582.05</v>
      </c>
      <c r="F1793" s="25">
        <v>788314.0</v>
      </c>
    </row>
    <row r="1794">
      <c r="A1794" s="25">
        <v>41009.645833333336</v>
      </c>
      <c r="B1794" s="25">
        <v>583.15</v>
      </c>
      <c r="C1794" s="25">
        <v>587.83</v>
      </c>
      <c r="D1794" s="25">
        <v>576.13</v>
      </c>
      <c r="E1794" s="25">
        <v>578.1</v>
      </c>
      <c r="F1794" s="25">
        <v>766496.0</v>
      </c>
    </row>
    <row r="1795">
      <c r="A1795" s="25">
        <v>41010.645833333336</v>
      </c>
      <c r="B1795" s="25">
        <v>574.85</v>
      </c>
      <c r="C1795" s="25">
        <v>577.5</v>
      </c>
      <c r="D1795" s="25">
        <v>567.6</v>
      </c>
      <c r="E1795" s="25">
        <v>569.05</v>
      </c>
      <c r="F1795" s="25">
        <v>890793.0</v>
      </c>
    </row>
    <row r="1796">
      <c r="A1796" s="25">
        <v>41011.645833333336</v>
      </c>
      <c r="B1796" s="25">
        <v>570.13</v>
      </c>
      <c r="C1796" s="25">
        <v>574.0</v>
      </c>
      <c r="D1796" s="25">
        <v>564.55</v>
      </c>
      <c r="E1796" s="25">
        <v>565.83</v>
      </c>
      <c r="F1796" s="25">
        <v>1057343.0</v>
      </c>
    </row>
    <row r="1797">
      <c r="A1797" s="25">
        <v>41012.645833333336</v>
      </c>
      <c r="B1797" s="25">
        <v>545.67</v>
      </c>
      <c r="C1797" s="25">
        <v>552.35</v>
      </c>
      <c r="D1797" s="25">
        <v>530.63</v>
      </c>
      <c r="E1797" s="25">
        <v>534.17</v>
      </c>
      <c r="F1797" s="25">
        <v>4497340.0</v>
      </c>
    </row>
    <row r="1798">
      <c r="A1798" s="25">
        <v>41015.645833333336</v>
      </c>
      <c r="B1798" s="25">
        <v>532.63</v>
      </c>
      <c r="C1798" s="25">
        <v>537.15</v>
      </c>
      <c r="D1798" s="25">
        <v>526.65</v>
      </c>
      <c r="E1798" s="25">
        <v>534.88</v>
      </c>
      <c r="F1798" s="25">
        <v>2508055.0</v>
      </c>
    </row>
    <row r="1799">
      <c r="A1799" s="25">
        <v>41016.645833333336</v>
      </c>
      <c r="B1799" s="25">
        <v>542.5</v>
      </c>
      <c r="C1799" s="25">
        <v>547.48</v>
      </c>
      <c r="D1799" s="25">
        <v>536.9</v>
      </c>
      <c r="E1799" s="25">
        <v>545.42</v>
      </c>
      <c r="F1799" s="25">
        <v>1236832.0</v>
      </c>
    </row>
    <row r="1800">
      <c r="A1800" s="25">
        <v>41017.645833333336</v>
      </c>
      <c r="B1800" s="25">
        <v>550.0</v>
      </c>
      <c r="C1800" s="25">
        <v>557.35</v>
      </c>
      <c r="D1800" s="25">
        <v>546.92</v>
      </c>
      <c r="E1800" s="25">
        <v>548.78</v>
      </c>
      <c r="F1800" s="25">
        <v>1441132.0</v>
      </c>
    </row>
    <row r="1801">
      <c r="A1801" s="25">
        <v>41018.645833333336</v>
      </c>
      <c r="B1801" s="25">
        <v>550.45</v>
      </c>
      <c r="C1801" s="25">
        <v>553.4</v>
      </c>
      <c r="D1801" s="25">
        <v>545.55</v>
      </c>
      <c r="E1801" s="25">
        <v>551.48</v>
      </c>
      <c r="F1801" s="25">
        <v>883708.0</v>
      </c>
    </row>
    <row r="1802">
      <c r="A1802" s="25">
        <v>41019.645833333336</v>
      </c>
      <c r="B1802" s="25">
        <v>546.63</v>
      </c>
      <c r="C1802" s="25">
        <v>553.98</v>
      </c>
      <c r="D1802" s="25">
        <v>538.7</v>
      </c>
      <c r="E1802" s="25">
        <v>544.23</v>
      </c>
      <c r="F1802" s="25">
        <v>1225012.0</v>
      </c>
    </row>
    <row r="1803">
      <c r="A1803" s="25">
        <v>41022.645833333336</v>
      </c>
      <c r="B1803" s="25">
        <v>546.98</v>
      </c>
      <c r="C1803" s="25">
        <v>551.2</v>
      </c>
      <c r="D1803" s="25">
        <v>523.83</v>
      </c>
      <c r="E1803" s="25">
        <v>532.13</v>
      </c>
      <c r="F1803" s="25">
        <v>1421934.0</v>
      </c>
    </row>
    <row r="1804">
      <c r="A1804" s="25">
        <v>41023.645833333336</v>
      </c>
      <c r="B1804" s="25">
        <v>561.0</v>
      </c>
      <c r="C1804" s="25">
        <v>602.5</v>
      </c>
      <c r="D1804" s="25">
        <v>558.65</v>
      </c>
      <c r="E1804" s="25">
        <v>597.1</v>
      </c>
      <c r="F1804" s="25">
        <v>9056891.0</v>
      </c>
    </row>
    <row r="1805">
      <c r="A1805" s="25">
        <v>41024.645833333336</v>
      </c>
      <c r="B1805" s="25">
        <v>594.5</v>
      </c>
      <c r="C1805" s="25">
        <v>595.0</v>
      </c>
      <c r="D1805" s="25">
        <v>583.75</v>
      </c>
      <c r="E1805" s="25">
        <v>585.53</v>
      </c>
      <c r="F1805" s="25">
        <v>2708949.0</v>
      </c>
    </row>
    <row r="1806">
      <c r="A1806" s="25">
        <v>41025.645833333336</v>
      </c>
      <c r="B1806" s="25">
        <v>585.0</v>
      </c>
      <c r="C1806" s="25">
        <v>600.95</v>
      </c>
      <c r="D1806" s="25">
        <v>582.25</v>
      </c>
      <c r="E1806" s="25">
        <v>597.33</v>
      </c>
      <c r="F1806" s="25">
        <v>2738146.0</v>
      </c>
    </row>
    <row r="1807">
      <c r="A1807" s="25">
        <v>41026.645833333336</v>
      </c>
      <c r="B1807" s="25">
        <v>595.0</v>
      </c>
      <c r="C1807" s="25">
        <v>606.0</v>
      </c>
      <c r="D1807" s="25">
        <v>595.0</v>
      </c>
      <c r="E1807" s="25">
        <v>602.0</v>
      </c>
      <c r="F1807" s="25">
        <v>1855573.0</v>
      </c>
    </row>
    <row r="1808">
      <c r="A1808" s="25">
        <v>41029.645833333336</v>
      </c>
      <c r="B1808" s="25">
        <v>602.0</v>
      </c>
      <c r="C1808" s="25">
        <v>625.0</v>
      </c>
      <c r="D1808" s="25">
        <v>602.0</v>
      </c>
      <c r="E1808" s="25">
        <v>623.3</v>
      </c>
      <c r="F1808" s="25">
        <v>2302411.0</v>
      </c>
    </row>
    <row r="1809">
      <c r="A1809" s="25">
        <v>41031.645833333336</v>
      </c>
      <c r="B1809" s="25">
        <v>621.05</v>
      </c>
      <c r="C1809" s="25">
        <v>637.2</v>
      </c>
      <c r="D1809" s="25">
        <v>621.05</v>
      </c>
      <c r="E1809" s="25">
        <v>633.63</v>
      </c>
      <c r="F1809" s="25">
        <v>1990724.0</v>
      </c>
    </row>
    <row r="1810">
      <c r="A1810" s="25">
        <v>41032.645833333336</v>
      </c>
      <c r="B1810" s="25">
        <v>631.35</v>
      </c>
      <c r="C1810" s="25">
        <v>642.05</v>
      </c>
      <c r="D1810" s="25">
        <v>629.28</v>
      </c>
      <c r="E1810" s="25">
        <v>639.75</v>
      </c>
      <c r="F1810" s="25">
        <v>1679461.0</v>
      </c>
    </row>
    <row r="1811">
      <c r="A1811" s="25">
        <v>41033.645833333336</v>
      </c>
      <c r="B1811" s="25">
        <v>640.0</v>
      </c>
      <c r="C1811" s="25">
        <v>647.63</v>
      </c>
      <c r="D1811" s="25">
        <v>631.53</v>
      </c>
      <c r="E1811" s="25">
        <v>638.4</v>
      </c>
      <c r="F1811" s="25">
        <v>1785859.0</v>
      </c>
    </row>
    <row r="1812">
      <c r="A1812" s="25">
        <v>41036.645833333336</v>
      </c>
      <c r="B1812" s="25">
        <v>630.0</v>
      </c>
      <c r="C1812" s="25">
        <v>639.25</v>
      </c>
      <c r="D1812" s="25">
        <v>624.2</v>
      </c>
      <c r="E1812" s="25">
        <v>636.63</v>
      </c>
      <c r="F1812" s="25">
        <v>1313881.0</v>
      </c>
    </row>
    <row r="1813">
      <c r="A1813" s="25">
        <v>41037.645833333336</v>
      </c>
      <c r="B1813" s="25">
        <v>612.5</v>
      </c>
      <c r="C1813" s="25">
        <v>617.35</v>
      </c>
      <c r="D1813" s="25">
        <v>597.83</v>
      </c>
      <c r="E1813" s="25">
        <v>600.35</v>
      </c>
      <c r="F1813" s="25">
        <v>4815789.0</v>
      </c>
    </row>
    <row r="1814">
      <c r="A1814" s="25">
        <v>41038.645833333336</v>
      </c>
      <c r="B1814" s="25">
        <v>597.5</v>
      </c>
      <c r="C1814" s="25">
        <v>617.3</v>
      </c>
      <c r="D1814" s="25">
        <v>597.05</v>
      </c>
      <c r="E1814" s="25">
        <v>612.78</v>
      </c>
      <c r="F1814" s="25">
        <v>4635772.0</v>
      </c>
    </row>
    <row r="1815">
      <c r="A1815" s="25">
        <v>41039.645833333336</v>
      </c>
      <c r="B1815" s="25">
        <v>612.78</v>
      </c>
      <c r="C1815" s="25">
        <v>620.9</v>
      </c>
      <c r="D1815" s="25">
        <v>612.5</v>
      </c>
      <c r="E1815" s="25">
        <v>616.28</v>
      </c>
      <c r="F1815" s="25">
        <v>1496310.0</v>
      </c>
    </row>
    <row r="1816">
      <c r="A1816" s="25">
        <v>41040.645833333336</v>
      </c>
      <c r="B1816" s="25">
        <v>612.0</v>
      </c>
      <c r="C1816" s="25">
        <v>618.45</v>
      </c>
      <c r="D1816" s="25">
        <v>610.6</v>
      </c>
      <c r="E1816" s="25">
        <v>615.38</v>
      </c>
      <c r="F1816" s="25">
        <v>1372595.0</v>
      </c>
    </row>
    <row r="1817">
      <c r="A1817" s="25">
        <v>41043.645833333336</v>
      </c>
      <c r="B1817" s="25">
        <v>613.65</v>
      </c>
      <c r="C1817" s="25">
        <v>617.0</v>
      </c>
      <c r="D1817" s="25">
        <v>610.0</v>
      </c>
      <c r="E1817" s="25">
        <v>612.98</v>
      </c>
      <c r="F1817" s="25">
        <v>1286876.0</v>
      </c>
    </row>
    <row r="1818">
      <c r="A1818" s="25">
        <v>41044.645833333336</v>
      </c>
      <c r="B1818" s="25">
        <v>612.0</v>
      </c>
      <c r="C1818" s="25">
        <v>616.5</v>
      </c>
      <c r="D1818" s="25">
        <v>609.9</v>
      </c>
      <c r="E1818" s="25">
        <v>613.15</v>
      </c>
      <c r="F1818" s="25">
        <v>937755.0</v>
      </c>
    </row>
    <row r="1819">
      <c r="A1819" s="25">
        <v>41045.645833333336</v>
      </c>
      <c r="B1819" s="25">
        <v>610.0</v>
      </c>
      <c r="C1819" s="25">
        <v>620.95</v>
      </c>
      <c r="D1819" s="25">
        <v>603.38</v>
      </c>
      <c r="E1819" s="25">
        <v>611.7</v>
      </c>
      <c r="F1819" s="25">
        <v>2283968.0</v>
      </c>
    </row>
    <row r="1820">
      <c r="A1820" s="25">
        <v>41046.645833333336</v>
      </c>
      <c r="B1820" s="25">
        <v>611.0</v>
      </c>
      <c r="C1820" s="25">
        <v>617.5</v>
      </c>
      <c r="D1820" s="25">
        <v>599.53</v>
      </c>
      <c r="E1820" s="25">
        <v>611.0</v>
      </c>
      <c r="F1820" s="25">
        <v>2068762.0</v>
      </c>
    </row>
    <row r="1821">
      <c r="A1821" s="25">
        <v>41047.645833333336</v>
      </c>
      <c r="B1821" s="25">
        <v>602.4</v>
      </c>
      <c r="C1821" s="25">
        <v>612.45</v>
      </c>
      <c r="D1821" s="25">
        <v>601.33</v>
      </c>
      <c r="E1821" s="25">
        <v>605.33</v>
      </c>
      <c r="F1821" s="25">
        <v>1328335.0</v>
      </c>
    </row>
    <row r="1822">
      <c r="A1822" s="25">
        <v>41050.645833333336</v>
      </c>
      <c r="B1822" s="25">
        <v>605.5</v>
      </c>
      <c r="C1822" s="25">
        <v>612.5</v>
      </c>
      <c r="D1822" s="25">
        <v>602.03</v>
      </c>
      <c r="E1822" s="25">
        <v>604.6</v>
      </c>
      <c r="F1822" s="25">
        <v>1113544.0</v>
      </c>
    </row>
    <row r="1823">
      <c r="A1823" s="25">
        <v>41051.645833333336</v>
      </c>
      <c r="B1823" s="25">
        <v>610.5</v>
      </c>
      <c r="C1823" s="25">
        <v>620.0</v>
      </c>
      <c r="D1823" s="25">
        <v>606.5</v>
      </c>
      <c r="E1823" s="25">
        <v>612.03</v>
      </c>
      <c r="F1823" s="25">
        <v>1180458.0</v>
      </c>
    </row>
    <row r="1824">
      <c r="A1824" s="25">
        <v>41052.645833333336</v>
      </c>
      <c r="B1824" s="25">
        <v>616.5</v>
      </c>
      <c r="C1824" s="25">
        <v>617.78</v>
      </c>
      <c r="D1824" s="25">
        <v>607.05</v>
      </c>
      <c r="E1824" s="25">
        <v>612.58</v>
      </c>
      <c r="F1824" s="25">
        <v>1081403.0</v>
      </c>
    </row>
    <row r="1825">
      <c r="A1825" s="25">
        <v>41053.645833333336</v>
      </c>
      <c r="B1825" s="25">
        <v>612.5</v>
      </c>
      <c r="C1825" s="25">
        <v>614.48</v>
      </c>
      <c r="D1825" s="25">
        <v>603.55</v>
      </c>
      <c r="E1825" s="25">
        <v>610.73</v>
      </c>
      <c r="F1825" s="25">
        <v>602837.0</v>
      </c>
    </row>
    <row r="1826">
      <c r="A1826" s="25">
        <v>41054.645833333336</v>
      </c>
      <c r="B1826" s="25">
        <v>606.05</v>
      </c>
      <c r="C1826" s="25">
        <v>612.5</v>
      </c>
      <c r="D1826" s="25">
        <v>604.55</v>
      </c>
      <c r="E1826" s="25">
        <v>610.4</v>
      </c>
      <c r="F1826" s="25">
        <v>457523.0</v>
      </c>
    </row>
    <row r="1827">
      <c r="A1827" s="25">
        <v>41057.645833333336</v>
      </c>
      <c r="B1827" s="25">
        <v>612.0</v>
      </c>
      <c r="C1827" s="25">
        <v>615.0</v>
      </c>
      <c r="D1827" s="25">
        <v>607.53</v>
      </c>
      <c r="E1827" s="25">
        <v>612.35</v>
      </c>
      <c r="F1827" s="25">
        <v>395097.0</v>
      </c>
    </row>
    <row r="1828">
      <c r="A1828" s="25">
        <v>41058.645833333336</v>
      </c>
      <c r="B1828" s="25">
        <v>614.0</v>
      </c>
      <c r="C1828" s="25">
        <v>624.0</v>
      </c>
      <c r="D1828" s="25">
        <v>609.2</v>
      </c>
      <c r="E1828" s="25">
        <v>620.17</v>
      </c>
      <c r="F1828" s="25">
        <v>787516.0</v>
      </c>
    </row>
    <row r="1829">
      <c r="A1829" s="25">
        <v>41059.645833333336</v>
      </c>
      <c r="B1829" s="25">
        <v>615.63</v>
      </c>
      <c r="C1829" s="25">
        <v>628.5</v>
      </c>
      <c r="D1829" s="25">
        <v>615.63</v>
      </c>
      <c r="E1829" s="25">
        <v>620.28</v>
      </c>
      <c r="F1829" s="25">
        <v>790757.0</v>
      </c>
    </row>
    <row r="1830">
      <c r="A1830" s="25">
        <v>41060.645833333336</v>
      </c>
      <c r="B1830" s="25">
        <v>610.5</v>
      </c>
      <c r="C1830" s="25">
        <v>627.95</v>
      </c>
      <c r="D1830" s="25">
        <v>610.5</v>
      </c>
      <c r="E1830" s="25">
        <v>622.67</v>
      </c>
      <c r="F1830" s="25">
        <v>2205801.0</v>
      </c>
    </row>
    <row r="1831">
      <c r="A1831" s="25">
        <v>41061.645833333336</v>
      </c>
      <c r="B1831" s="25">
        <v>620.0</v>
      </c>
      <c r="C1831" s="25">
        <v>622.5</v>
      </c>
      <c r="D1831" s="25">
        <v>609.25</v>
      </c>
      <c r="E1831" s="25">
        <v>612.3</v>
      </c>
      <c r="F1831" s="25">
        <v>739764.0</v>
      </c>
    </row>
    <row r="1832">
      <c r="A1832" s="25">
        <v>41064.645833333336</v>
      </c>
      <c r="B1832" s="25">
        <v>605.0</v>
      </c>
      <c r="C1832" s="25">
        <v>608.0</v>
      </c>
      <c r="D1832" s="25">
        <v>598.1</v>
      </c>
      <c r="E1832" s="25">
        <v>606.63</v>
      </c>
      <c r="F1832" s="25">
        <v>602215.0</v>
      </c>
    </row>
    <row r="1833">
      <c r="A1833" s="25">
        <v>41065.645833333336</v>
      </c>
      <c r="B1833" s="25">
        <v>607.0</v>
      </c>
      <c r="C1833" s="25">
        <v>615.45</v>
      </c>
      <c r="D1833" s="25">
        <v>607.0</v>
      </c>
      <c r="E1833" s="25">
        <v>613.25</v>
      </c>
      <c r="F1833" s="25">
        <v>1031699.0</v>
      </c>
    </row>
    <row r="1834">
      <c r="A1834" s="25">
        <v>41066.645833333336</v>
      </c>
      <c r="B1834" s="25">
        <v>615.0</v>
      </c>
      <c r="C1834" s="25">
        <v>631.88</v>
      </c>
      <c r="D1834" s="25">
        <v>614.55</v>
      </c>
      <c r="E1834" s="25">
        <v>625.58</v>
      </c>
      <c r="F1834" s="25">
        <v>1645954.0</v>
      </c>
    </row>
    <row r="1835">
      <c r="A1835" s="25">
        <v>41067.645833333336</v>
      </c>
      <c r="B1835" s="25">
        <v>623.5</v>
      </c>
      <c r="C1835" s="25">
        <v>624.95</v>
      </c>
      <c r="D1835" s="25">
        <v>615.78</v>
      </c>
      <c r="E1835" s="25">
        <v>620.1</v>
      </c>
      <c r="F1835" s="25">
        <v>1074864.0</v>
      </c>
    </row>
    <row r="1836">
      <c r="A1836" s="25">
        <v>41068.645833333336</v>
      </c>
      <c r="B1836" s="25">
        <v>615.6</v>
      </c>
      <c r="C1836" s="25">
        <v>621.3</v>
      </c>
      <c r="D1836" s="25">
        <v>612.08</v>
      </c>
      <c r="E1836" s="25">
        <v>615.45</v>
      </c>
      <c r="F1836" s="25">
        <v>1200122.0</v>
      </c>
    </row>
    <row r="1837">
      <c r="A1837" s="25">
        <v>41071.645833333336</v>
      </c>
      <c r="B1837" s="25">
        <v>616.5</v>
      </c>
      <c r="C1837" s="25">
        <v>623.03</v>
      </c>
      <c r="D1837" s="25">
        <v>613.55</v>
      </c>
      <c r="E1837" s="25">
        <v>616.78</v>
      </c>
      <c r="F1837" s="25">
        <v>772524.0</v>
      </c>
    </row>
    <row r="1838">
      <c r="A1838" s="25">
        <v>41072.645833333336</v>
      </c>
      <c r="B1838" s="25">
        <v>610.55</v>
      </c>
      <c r="C1838" s="25">
        <v>626.5</v>
      </c>
      <c r="D1838" s="25">
        <v>610.55</v>
      </c>
      <c r="E1838" s="25">
        <v>624.05</v>
      </c>
      <c r="F1838" s="25">
        <v>546071.0</v>
      </c>
    </row>
    <row r="1839">
      <c r="A1839" s="25">
        <v>41073.645833333336</v>
      </c>
      <c r="B1839" s="25">
        <v>624.5</v>
      </c>
      <c r="C1839" s="25">
        <v>630.0</v>
      </c>
      <c r="D1839" s="25">
        <v>621.3</v>
      </c>
      <c r="E1839" s="25">
        <v>625.2</v>
      </c>
      <c r="F1839" s="25">
        <v>725429.0</v>
      </c>
    </row>
    <row r="1840">
      <c r="A1840" s="25">
        <v>41074.645833333336</v>
      </c>
      <c r="B1840" s="25">
        <v>624.5</v>
      </c>
      <c r="C1840" s="25">
        <v>630.75</v>
      </c>
      <c r="D1840" s="25">
        <v>622.5</v>
      </c>
      <c r="E1840" s="25">
        <v>627.0</v>
      </c>
      <c r="F1840" s="25">
        <v>735562.0</v>
      </c>
    </row>
    <row r="1841">
      <c r="A1841" s="25">
        <v>41075.645833333336</v>
      </c>
      <c r="B1841" s="25">
        <v>627.03</v>
      </c>
      <c r="C1841" s="25">
        <v>640.0</v>
      </c>
      <c r="D1841" s="25">
        <v>624.5</v>
      </c>
      <c r="E1841" s="25">
        <v>636.23</v>
      </c>
      <c r="F1841" s="25">
        <v>993020.0</v>
      </c>
    </row>
    <row r="1842">
      <c r="A1842" s="25">
        <v>41078.645833333336</v>
      </c>
      <c r="B1842" s="25">
        <v>638.0</v>
      </c>
      <c r="C1842" s="25">
        <v>643.17</v>
      </c>
      <c r="D1842" s="25">
        <v>625.0</v>
      </c>
      <c r="E1842" s="25">
        <v>628.58</v>
      </c>
      <c r="F1842" s="25">
        <v>747694.0</v>
      </c>
    </row>
    <row r="1843">
      <c r="A1843" s="25">
        <v>41079.645833333336</v>
      </c>
      <c r="B1843" s="25">
        <v>628.45</v>
      </c>
      <c r="C1843" s="25">
        <v>639.63</v>
      </c>
      <c r="D1843" s="25">
        <v>627.55</v>
      </c>
      <c r="E1843" s="25">
        <v>636.98</v>
      </c>
      <c r="F1843" s="25">
        <v>884529.0</v>
      </c>
    </row>
    <row r="1844">
      <c r="A1844" s="25">
        <v>41080.645833333336</v>
      </c>
      <c r="B1844" s="25">
        <v>637.0</v>
      </c>
      <c r="C1844" s="25">
        <v>637.0</v>
      </c>
      <c r="D1844" s="25">
        <v>621.65</v>
      </c>
      <c r="E1844" s="25">
        <v>626.4</v>
      </c>
      <c r="F1844" s="25">
        <v>876870.0</v>
      </c>
    </row>
    <row r="1845">
      <c r="A1845" s="25">
        <v>41081.645833333336</v>
      </c>
      <c r="B1845" s="25">
        <v>622.53</v>
      </c>
      <c r="C1845" s="25">
        <v>626.0</v>
      </c>
      <c r="D1845" s="25">
        <v>604.5</v>
      </c>
      <c r="E1845" s="25">
        <v>612.03</v>
      </c>
      <c r="F1845" s="25">
        <v>2077990.0</v>
      </c>
    </row>
    <row r="1846">
      <c r="A1846" s="25">
        <v>41082.645833333336</v>
      </c>
      <c r="B1846" s="25">
        <v>607.13</v>
      </c>
      <c r="C1846" s="25">
        <v>619.95</v>
      </c>
      <c r="D1846" s="25">
        <v>607.13</v>
      </c>
      <c r="E1846" s="25">
        <v>616.73</v>
      </c>
      <c r="F1846" s="25">
        <v>959780.0</v>
      </c>
    </row>
    <row r="1847">
      <c r="A1847" s="25">
        <v>41085.645833333336</v>
      </c>
      <c r="B1847" s="25">
        <v>618.5</v>
      </c>
      <c r="C1847" s="25">
        <v>619.25</v>
      </c>
      <c r="D1847" s="25">
        <v>605.5</v>
      </c>
      <c r="E1847" s="25">
        <v>608.38</v>
      </c>
      <c r="F1847" s="25">
        <v>794379.0</v>
      </c>
    </row>
    <row r="1848">
      <c r="A1848" s="25">
        <v>41086.645833333336</v>
      </c>
      <c r="B1848" s="25">
        <v>608.75</v>
      </c>
      <c r="C1848" s="25">
        <v>618.5</v>
      </c>
      <c r="D1848" s="25">
        <v>608.53</v>
      </c>
      <c r="E1848" s="25">
        <v>617.55</v>
      </c>
      <c r="F1848" s="25">
        <v>554857.0</v>
      </c>
    </row>
    <row r="1849">
      <c r="A1849" s="25">
        <v>41087.645833333336</v>
      </c>
      <c r="B1849" s="25">
        <v>618.13</v>
      </c>
      <c r="C1849" s="25">
        <v>629.4</v>
      </c>
      <c r="D1849" s="25">
        <v>618.13</v>
      </c>
      <c r="E1849" s="25">
        <v>623.35</v>
      </c>
      <c r="F1849" s="25">
        <v>1152931.0</v>
      </c>
    </row>
    <row r="1850">
      <c r="A1850" s="25">
        <v>41088.645833333336</v>
      </c>
      <c r="B1850" s="25">
        <v>623.48</v>
      </c>
      <c r="C1850" s="25">
        <v>631.95</v>
      </c>
      <c r="D1850" s="25">
        <v>618.13</v>
      </c>
      <c r="E1850" s="25">
        <v>629.42</v>
      </c>
      <c r="F1850" s="25">
        <v>947114.0</v>
      </c>
    </row>
    <row r="1851">
      <c r="A1851" s="25">
        <v>41089.645833333336</v>
      </c>
      <c r="B1851" s="25">
        <v>631.67</v>
      </c>
      <c r="C1851" s="25">
        <v>643.5</v>
      </c>
      <c r="D1851" s="25">
        <v>631.45</v>
      </c>
      <c r="E1851" s="25">
        <v>638.73</v>
      </c>
      <c r="F1851" s="25">
        <v>995075.0</v>
      </c>
    </row>
    <row r="1852">
      <c r="A1852" s="25">
        <v>41092.645833333336</v>
      </c>
      <c r="B1852" s="25">
        <v>639.5</v>
      </c>
      <c r="C1852" s="25">
        <v>639.5</v>
      </c>
      <c r="D1852" s="25">
        <v>628.23</v>
      </c>
      <c r="E1852" s="25">
        <v>629.73</v>
      </c>
      <c r="F1852" s="25">
        <v>1055550.0</v>
      </c>
    </row>
    <row r="1853">
      <c r="A1853" s="25">
        <v>41093.645833333336</v>
      </c>
      <c r="B1853" s="25">
        <v>632.5</v>
      </c>
      <c r="C1853" s="25">
        <v>634.9</v>
      </c>
      <c r="D1853" s="25">
        <v>615.15</v>
      </c>
      <c r="E1853" s="25">
        <v>619.7</v>
      </c>
      <c r="F1853" s="25">
        <v>1113646.0</v>
      </c>
    </row>
    <row r="1854">
      <c r="A1854" s="25">
        <v>41094.645833333336</v>
      </c>
      <c r="B1854" s="25">
        <v>621.75</v>
      </c>
      <c r="C1854" s="25">
        <v>624.75</v>
      </c>
      <c r="D1854" s="25">
        <v>615.78</v>
      </c>
      <c r="E1854" s="25">
        <v>623.92</v>
      </c>
      <c r="F1854" s="25">
        <v>650903.0</v>
      </c>
    </row>
    <row r="1855">
      <c r="A1855" s="25">
        <v>41095.645833333336</v>
      </c>
      <c r="B1855" s="25">
        <v>623.92</v>
      </c>
      <c r="C1855" s="25">
        <v>623.92</v>
      </c>
      <c r="D1855" s="25">
        <v>617.6</v>
      </c>
      <c r="E1855" s="25">
        <v>620.3</v>
      </c>
      <c r="F1855" s="25">
        <v>760438.0</v>
      </c>
    </row>
    <row r="1856">
      <c r="A1856" s="25">
        <v>41096.645833333336</v>
      </c>
      <c r="B1856" s="25">
        <v>620.0</v>
      </c>
      <c r="C1856" s="25">
        <v>626.4</v>
      </c>
      <c r="D1856" s="25">
        <v>613.5</v>
      </c>
      <c r="E1856" s="25">
        <v>623.88</v>
      </c>
      <c r="F1856" s="25">
        <v>964964.0</v>
      </c>
    </row>
    <row r="1857">
      <c r="A1857" s="25">
        <v>41099.645833333336</v>
      </c>
      <c r="B1857" s="25">
        <v>622.5</v>
      </c>
      <c r="C1857" s="25">
        <v>632.28</v>
      </c>
      <c r="D1857" s="25">
        <v>621.67</v>
      </c>
      <c r="E1857" s="25">
        <v>629.7</v>
      </c>
      <c r="F1857" s="25">
        <v>956384.0</v>
      </c>
    </row>
    <row r="1858">
      <c r="A1858" s="25">
        <v>41100.645833333336</v>
      </c>
      <c r="B1858" s="25">
        <v>632.5</v>
      </c>
      <c r="C1858" s="25">
        <v>635.13</v>
      </c>
      <c r="D1858" s="25">
        <v>624.78</v>
      </c>
      <c r="E1858" s="25">
        <v>630.85</v>
      </c>
      <c r="F1858" s="25">
        <v>1258799.0</v>
      </c>
    </row>
    <row r="1859">
      <c r="A1859" s="25">
        <v>41101.645833333336</v>
      </c>
      <c r="B1859" s="25">
        <v>626.63</v>
      </c>
      <c r="C1859" s="25">
        <v>637.25</v>
      </c>
      <c r="D1859" s="25">
        <v>626.63</v>
      </c>
      <c r="E1859" s="25">
        <v>629.15</v>
      </c>
      <c r="F1859" s="25">
        <v>1017269.0</v>
      </c>
    </row>
    <row r="1860">
      <c r="A1860" s="25">
        <v>41102.645833333336</v>
      </c>
      <c r="B1860" s="25">
        <v>612.5</v>
      </c>
      <c r="C1860" s="25">
        <v>625.0</v>
      </c>
      <c r="D1860" s="25">
        <v>609.65</v>
      </c>
      <c r="E1860" s="25">
        <v>618.0</v>
      </c>
      <c r="F1860" s="25">
        <v>3929540.0</v>
      </c>
    </row>
    <row r="1861">
      <c r="A1861" s="25">
        <v>41103.645833333336</v>
      </c>
      <c r="B1861" s="25">
        <v>636.9</v>
      </c>
      <c r="C1861" s="25">
        <v>642.0</v>
      </c>
      <c r="D1861" s="25">
        <v>621.5</v>
      </c>
      <c r="E1861" s="25">
        <v>624.7</v>
      </c>
      <c r="F1861" s="25">
        <v>3608577.0</v>
      </c>
    </row>
    <row r="1862">
      <c r="A1862" s="25">
        <v>41106.645833333336</v>
      </c>
      <c r="B1862" s="25">
        <v>624.5</v>
      </c>
      <c r="C1862" s="25">
        <v>629.63</v>
      </c>
      <c r="D1862" s="25">
        <v>601.45</v>
      </c>
      <c r="E1862" s="25">
        <v>603.67</v>
      </c>
      <c r="F1862" s="25">
        <v>1810313.0</v>
      </c>
    </row>
    <row r="1863">
      <c r="A1863" s="25">
        <v>41107.645833333336</v>
      </c>
      <c r="B1863" s="25">
        <v>609.0</v>
      </c>
      <c r="C1863" s="25">
        <v>612.0</v>
      </c>
      <c r="D1863" s="25">
        <v>587.6</v>
      </c>
      <c r="E1863" s="25">
        <v>592.95</v>
      </c>
      <c r="F1863" s="25">
        <v>3191908.0</v>
      </c>
    </row>
    <row r="1864">
      <c r="A1864" s="25">
        <v>41108.645833333336</v>
      </c>
      <c r="B1864" s="25">
        <v>597.5</v>
      </c>
      <c r="C1864" s="25">
        <v>602.2</v>
      </c>
      <c r="D1864" s="25">
        <v>589.25</v>
      </c>
      <c r="E1864" s="25">
        <v>597.65</v>
      </c>
      <c r="F1864" s="25">
        <v>1487643.0</v>
      </c>
    </row>
    <row r="1865">
      <c r="A1865" s="25">
        <v>41109.645833333336</v>
      </c>
      <c r="B1865" s="25">
        <v>601.5</v>
      </c>
      <c r="C1865" s="25">
        <v>605.0</v>
      </c>
      <c r="D1865" s="25">
        <v>597.63</v>
      </c>
      <c r="E1865" s="25">
        <v>600.5</v>
      </c>
      <c r="F1865" s="25">
        <v>667676.0</v>
      </c>
    </row>
    <row r="1866">
      <c r="A1866" s="25">
        <v>41110.645833333336</v>
      </c>
      <c r="B1866" s="25">
        <v>600.5</v>
      </c>
      <c r="C1866" s="25">
        <v>614.0</v>
      </c>
      <c r="D1866" s="25">
        <v>600.15</v>
      </c>
      <c r="E1866" s="25">
        <v>611.53</v>
      </c>
      <c r="F1866" s="25">
        <v>1689113.0</v>
      </c>
    </row>
    <row r="1867">
      <c r="A1867" s="25">
        <v>41113.645833333336</v>
      </c>
      <c r="B1867" s="25">
        <v>604.0</v>
      </c>
      <c r="C1867" s="25">
        <v>613.6</v>
      </c>
      <c r="D1867" s="25">
        <v>600.5</v>
      </c>
      <c r="E1867" s="25">
        <v>607.13</v>
      </c>
      <c r="F1867" s="25">
        <v>1451599.0</v>
      </c>
    </row>
    <row r="1868">
      <c r="A1868" s="25">
        <v>41114.645833333336</v>
      </c>
      <c r="B1868" s="25">
        <v>604.05</v>
      </c>
      <c r="C1868" s="25">
        <v>609.33</v>
      </c>
      <c r="D1868" s="25">
        <v>598.55</v>
      </c>
      <c r="E1868" s="25">
        <v>604.58</v>
      </c>
      <c r="F1868" s="25">
        <v>824046.0</v>
      </c>
    </row>
    <row r="1869">
      <c r="A1869" s="25">
        <v>41115.645833333336</v>
      </c>
      <c r="B1869" s="25">
        <v>602.0</v>
      </c>
      <c r="C1869" s="25">
        <v>608.5</v>
      </c>
      <c r="D1869" s="25">
        <v>598.45</v>
      </c>
      <c r="E1869" s="25">
        <v>606.58</v>
      </c>
      <c r="F1869" s="25">
        <v>833015.0</v>
      </c>
    </row>
    <row r="1870">
      <c r="A1870" s="25">
        <v>41116.645833333336</v>
      </c>
      <c r="B1870" s="25">
        <v>606.5</v>
      </c>
      <c r="C1870" s="25">
        <v>610.5</v>
      </c>
      <c r="D1870" s="25">
        <v>595.1</v>
      </c>
      <c r="E1870" s="25">
        <v>599.23</v>
      </c>
      <c r="F1870" s="25">
        <v>1472873.0</v>
      </c>
    </row>
    <row r="1871">
      <c r="A1871" s="25">
        <v>41117.645833333336</v>
      </c>
      <c r="B1871" s="25">
        <v>607.5</v>
      </c>
      <c r="C1871" s="25">
        <v>615.1</v>
      </c>
      <c r="D1871" s="25">
        <v>601.63</v>
      </c>
      <c r="E1871" s="25">
        <v>612.65</v>
      </c>
      <c r="F1871" s="25">
        <v>921488.0</v>
      </c>
    </row>
    <row r="1872">
      <c r="A1872" s="25">
        <v>41120.645833333336</v>
      </c>
      <c r="B1872" s="25">
        <v>617.45</v>
      </c>
      <c r="C1872" s="25">
        <v>621.42</v>
      </c>
      <c r="D1872" s="25">
        <v>607.28</v>
      </c>
      <c r="E1872" s="25">
        <v>615.5</v>
      </c>
      <c r="F1872" s="25">
        <v>1312856.0</v>
      </c>
    </row>
    <row r="1873">
      <c r="A1873" s="25">
        <v>41121.645833333336</v>
      </c>
      <c r="B1873" s="25">
        <v>617.5</v>
      </c>
      <c r="C1873" s="25">
        <v>624.63</v>
      </c>
      <c r="D1873" s="25">
        <v>613.13</v>
      </c>
      <c r="E1873" s="25">
        <v>621.83</v>
      </c>
      <c r="F1873" s="25">
        <v>989982.0</v>
      </c>
    </row>
    <row r="1874">
      <c r="A1874" s="25">
        <v>41122.645833333336</v>
      </c>
      <c r="B1874" s="25">
        <v>619.05</v>
      </c>
      <c r="C1874" s="25">
        <v>622.4</v>
      </c>
      <c r="D1874" s="25">
        <v>611.05</v>
      </c>
      <c r="E1874" s="25">
        <v>612.33</v>
      </c>
      <c r="F1874" s="25">
        <v>647875.0</v>
      </c>
    </row>
    <row r="1875">
      <c r="A1875" s="25">
        <v>41123.645833333336</v>
      </c>
      <c r="B1875" s="25">
        <v>614.98</v>
      </c>
      <c r="C1875" s="25">
        <v>618.35</v>
      </c>
      <c r="D1875" s="25">
        <v>611.0</v>
      </c>
      <c r="E1875" s="25">
        <v>616.4</v>
      </c>
      <c r="F1875" s="25">
        <v>475529.0</v>
      </c>
    </row>
    <row r="1876">
      <c r="A1876" s="25">
        <v>41124.645833333336</v>
      </c>
      <c r="B1876" s="25">
        <v>614.0</v>
      </c>
      <c r="C1876" s="25">
        <v>620.13</v>
      </c>
      <c r="D1876" s="25">
        <v>609.05</v>
      </c>
      <c r="E1876" s="25">
        <v>618.45</v>
      </c>
      <c r="F1876" s="25">
        <v>488868.0</v>
      </c>
    </row>
    <row r="1877">
      <c r="A1877" s="25">
        <v>41127.645833333336</v>
      </c>
      <c r="B1877" s="25">
        <v>622.5</v>
      </c>
      <c r="C1877" s="25">
        <v>624.0</v>
      </c>
      <c r="D1877" s="25">
        <v>612.6</v>
      </c>
      <c r="E1877" s="25">
        <v>614.45</v>
      </c>
      <c r="F1877" s="25">
        <v>507770.0</v>
      </c>
    </row>
    <row r="1878">
      <c r="A1878" s="25">
        <v>41128.645833333336</v>
      </c>
      <c r="B1878" s="25">
        <v>619.5</v>
      </c>
      <c r="C1878" s="25">
        <v>633.1</v>
      </c>
      <c r="D1878" s="25">
        <v>617.33</v>
      </c>
      <c r="E1878" s="25">
        <v>632.03</v>
      </c>
      <c r="F1878" s="25">
        <v>1049577.0</v>
      </c>
    </row>
    <row r="1879">
      <c r="A1879" s="25">
        <v>41129.645833333336</v>
      </c>
      <c r="B1879" s="25">
        <v>632.5</v>
      </c>
      <c r="C1879" s="25">
        <v>633.33</v>
      </c>
      <c r="D1879" s="25">
        <v>623.2</v>
      </c>
      <c r="E1879" s="25">
        <v>624.6</v>
      </c>
      <c r="F1879" s="25">
        <v>821500.0</v>
      </c>
    </row>
    <row r="1880">
      <c r="A1880" s="25">
        <v>41130.645833333336</v>
      </c>
      <c r="B1880" s="25">
        <v>625.13</v>
      </c>
      <c r="C1880" s="25">
        <v>633.92</v>
      </c>
      <c r="D1880" s="25">
        <v>625.13</v>
      </c>
      <c r="E1880" s="25">
        <v>629.08</v>
      </c>
      <c r="F1880" s="25">
        <v>564737.0</v>
      </c>
    </row>
    <row r="1881">
      <c r="A1881" s="25">
        <v>41131.645833333336</v>
      </c>
      <c r="B1881" s="25">
        <v>628.0</v>
      </c>
      <c r="C1881" s="25">
        <v>642.5</v>
      </c>
      <c r="D1881" s="25">
        <v>627.88</v>
      </c>
      <c r="E1881" s="25">
        <v>640.03</v>
      </c>
      <c r="F1881" s="25">
        <v>1541178.0</v>
      </c>
    </row>
    <row r="1882">
      <c r="A1882" s="25">
        <v>41134.645833333336</v>
      </c>
      <c r="B1882" s="25">
        <v>639.55</v>
      </c>
      <c r="C1882" s="25">
        <v>639.55</v>
      </c>
      <c r="D1882" s="25">
        <v>628.63</v>
      </c>
      <c r="E1882" s="25">
        <v>633.15</v>
      </c>
      <c r="F1882" s="25">
        <v>714019.0</v>
      </c>
    </row>
    <row r="1883">
      <c r="A1883" s="25">
        <v>41135.645833333336</v>
      </c>
      <c r="B1883" s="25">
        <v>630.0</v>
      </c>
      <c r="C1883" s="25">
        <v>636.63</v>
      </c>
      <c r="D1883" s="25">
        <v>629.63</v>
      </c>
      <c r="E1883" s="25">
        <v>634.2</v>
      </c>
      <c r="F1883" s="25">
        <v>568465.0</v>
      </c>
    </row>
    <row r="1884">
      <c r="A1884" s="25">
        <v>41137.645833333336</v>
      </c>
      <c r="B1884" s="25">
        <v>635.08</v>
      </c>
      <c r="C1884" s="25">
        <v>635.78</v>
      </c>
      <c r="D1884" s="25">
        <v>626.05</v>
      </c>
      <c r="E1884" s="25">
        <v>631.78</v>
      </c>
      <c r="F1884" s="25">
        <v>894146.0</v>
      </c>
    </row>
    <row r="1885">
      <c r="A1885" s="25">
        <v>41138.645833333336</v>
      </c>
      <c r="B1885" s="25">
        <v>632.53</v>
      </c>
      <c r="C1885" s="25">
        <v>642.25</v>
      </c>
      <c r="D1885" s="25">
        <v>632.0</v>
      </c>
      <c r="E1885" s="25">
        <v>639.3</v>
      </c>
      <c r="F1885" s="25">
        <v>643788.0</v>
      </c>
    </row>
    <row r="1886">
      <c r="A1886" s="25">
        <v>41142.645833333336</v>
      </c>
      <c r="B1886" s="25">
        <v>639.95</v>
      </c>
      <c r="C1886" s="25">
        <v>652.5</v>
      </c>
      <c r="D1886" s="25">
        <v>638.55</v>
      </c>
      <c r="E1886" s="25">
        <v>649.33</v>
      </c>
      <c r="F1886" s="25">
        <v>1025788.0</v>
      </c>
    </row>
    <row r="1887">
      <c r="A1887" s="25">
        <v>41143.645833333336</v>
      </c>
      <c r="B1887" s="25">
        <v>647.95</v>
      </c>
      <c r="C1887" s="25">
        <v>654.5</v>
      </c>
      <c r="D1887" s="25">
        <v>644.05</v>
      </c>
      <c r="E1887" s="25">
        <v>645.83</v>
      </c>
      <c r="F1887" s="25">
        <v>567048.0</v>
      </c>
    </row>
    <row r="1888">
      <c r="A1888" s="25">
        <v>41144.645833333336</v>
      </c>
      <c r="B1888" s="25">
        <v>645.88</v>
      </c>
      <c r="C1888" s="25">
        <v>663.0</v>
      </c>
      <c r="D1888" s="25">
        <v>645.88</v>
      </c>
      <c r="E1888" s="25">
        <v>661.73</v>
      </c>
      <c r="F1888" s="25">
        <v>1168657.0</v>
      </c>
    </row>
    <row r="1889">
      <c r="A1889" s="25">
        <v>41145.645833333336</v>
      </c>
      <c r="B1889" s="25">
        <v>660.0</v>
      </c>
      <c r="C1889" s="25">
        <v>664.2</v>
      </c>
      <c r="D1889" s="25">
        <v>656.5</v>
      </c>
      <c r="E1889" s="25">
        <v>661.43</v>
      </c>
      <c r="F1889" s="25">
        <v>789469.0</v>
      </c>
    </row>
    <row r="1890">
      <c r="A1890" s="25">
        <v>41148.645833333336</v>
      </c>
      <c r="B1890" s="25">
        <v>658.1</v>
      </c>
      <c r="C1890" s="25">
        <v>665.45</v>
      </c>
      <c r="D1890" s="25">
        <v>657.5</v>
      </c>
      <c r="E1890" s="25">
        <v>660.23</v>
      </c>
      <c r="F1890" s="25">
        <v>483600.0</v>
      </c>
    </row>
    <row r="1891">
      <c r="A1891" s="25">
        <v>41149.645833333336</v>
      </c>
      <c r="B1891" s="25">
        <v>663.48</v>
      </c>
      <c r="C1891" s="25">
        <v>677.33</v>
      </c>
      <c r="D1891" s="25">
        <v>657.5</v>
      </c>
      <c r="E1891" s="25">
        <v>675.45</v>
      </c>
      <c r="F1891" s="25">
        <v>1133102.0</v>
      </c>
    </row>
    <row r="1892">
      <c r="A1892" s="25">
        <v>41150.645833333336</v>
      </c>
      <c r="B1892" s="25">
        <v>675.0</v>
      </c>
      <c r="C1892" s="25">
        <v>679.0</v>
      </c>
      <c r="D1892" s="25">
        <v>667.5</v>
      </c>
      <c r="E1892" s="25">
        <v>671.65</v>
      </c>
      <c r="F1892" s="25">
        <v>1069645.0</v>
      </c>
    </row>
    <row r="1893">
      <c r="A1893" s="25">
        <v>41151.645833333336</v>
      </c>
      <c r="B1893" s="25">
        <v>669.95</v>
      </c>
      <c r="C1893" s="25">
        <v>694.4</v>
      </c>
      <c r="D1893" s="25">
        <v>661.7</v>
      </c>
      <c r="E1893" s="25">
        <v>683.58</v>
      </c>
      <c r="F1893" s="25">
        <v>1666716.0</v>
      </c>
    </row>
    <row r="1894">
      <c r="A1894" s="25">
        <v>41152.645833333336</v>
      </c>
      <c r="B1894" s="25">
        <v>678.5</v>
      </c>
      <c r="C1894" s="25">
        <v>679.5</v>
      </c>
      <c r="D1894" s="25">
        <v>667.33</v>
      </c>
      <c r="E1894" s="25">
        <v>671.88</v>
      </c>
      <c r="F1894" s="25">
        <v>886924.0</v>
      </c>
    </row>
    <row r="1895">
      <c r="A1895" s="25">
        <v>41155.645833333336</v>
      </c>
      <c r="B1895" s="25">
        <v>675.0</v>
      </c>
      <c r="C1895" s="25">
        <v>677.45</v>
      </c>
      <c r="D1895" s="25">
        <v>666.5</v>
      </c>
      <c r="E1895" s="25">
        <v>668.93</v>
      </c>
      <c r="F1895" s="25">
        <v>611913.0</v>
      </c>
    </row>
    <row r="1896">
      <c r="A1896" s="25">
        <v>41156.645833333336</v>
      </c>
      <c r="B1896" s="25">
        <v>666.45</v>
      </c>
      <c r="C1896" s="25">
        <v>673.5</v>
      </c>
      <c r="D1896" s="25">
        <v>661.03</v>
      </c>
      <c r="E1896" s="25">
        <v>670.43</v>
      </c>
      <c r="F1896" s="25">
        <v>754009.0</v>
      </c>
    </row>
    <row r="1897">
      <c r="A1897" s="25">
        <v>41157.645833333336</v>
      </c>
      <c r="B1897" s="25">
        <v>669.75</v>
      </c>
      <c r="C1897" s="25">
        <v>685.5</v>
      </c>
      <c r="D1897" s="25">
        <v>666.0</v>
      </c>
      <c r="E1897" s="25">
        <v>682.25</v>
      </c>
      <c r="F1897" s="25">
        <v>1014480.0</v>
      </c>
    </row>
    <row r="1898">
      <c r="A1898" s="25">
        <v>41158.645833333336</v>
      </c>
      <c r="B1898" s="25">
        <v>682.05</v>
      </c>
      <c r="C1898" s="25">
        <v>689.95</v>
      </c>
      <c r="D1898" s="25">
        <v>676.83</v>
      </c>
      <c r="E1898" s="25">
        <v>687.8</v>
      </c>
      <c r="F1898" s="25">
        <v>1145842.0</v>
      </c>
    </row>
    <row r="1899">
      <c r="A1899" s="25">
        <v>41159.645833333336</v>
      </c>
      <c r="B1899" s="25">
        <v>695.0</v>
      </c>
      <c r="C1899" s="25">
        <v>698.4</v>
      </c>
      <c r="D1899" s="25">
        <v>689.45</v>
      </c>
      <c r="E1899" s="25">
        <v>693.35</v>
      </c>
      <c r="F1899" s="25">
        <v>1318328.0</v>
      </c>
    </row>
    <row r="1900">
      <c r="A1900" s="25">
        <v>41162.645833333336</v>
      </c>
      <c r="B1900" s="25">
        <v>691.6</v>
      </c>
      <c r="C1900" s="25">
        <v>691.95</v>
      </c>
      <c r="D1900" s="25">
        <v>682.98</v>
      </c>
      <c r="E1900" s="25">
        <v>685.73</v>
      </c>
      <c r="F1900" s="25">
        <v>738012.0</v>
      </c>
    </row>
    <row r="1901">
      <c r="A1901" s="25">
        <v>41163.645833333336</v>
      </c>
      <c r="B1901" s="25">
        <v>684.5</v>
      </c>
      <c r="C1901" s="25">
        <v>697.8</v>
      </c>
      <c r="D1901" s="25">
        <v>682.03</v>
      </c>
      <c r="E1901" s="25">
        <v>696.33</v>
      </c>
      <c r="F1901" s="25">
        <v>637090.0</v>
      </c>
    </row>
    <row r="1902">
      <c r="A1902" s="25">
        <v>41164.645833333336</v>
      </c>
      <c r="B1902" s="25">
        <v>698.48</v>
      </c>
      <c r="C1902" s="25">
        <v>710.5</v>
      </c>
      <c r="D1902" s="25">
        <v>694.95</v>
      </c>
      <c r="E1902" s="25">
        <v>707.45</v>
      </c>
      <c r="F1902" s="25">
        <v>1057233.0</v>
      </c>
    </row>
    <row r="1903">
      <c r="A1903" s="25">
        <v>41165.645833333336</v>
      </c>
      <c r="B1903" s="25">
        <v>706.5</v>
      </c>
      <c r="C1903" s="25">
        <v>711.98</v>
      </c>
      <c r="D1903" s="25">
        <v>704.78</v>
      </c>
      <c r="E1903" s="25">
        <v>708.85</v>
      </c>
      <c r="F1903" s="25">
        <v>940605.0</v>
      </c>
    </row>
    <row r="1904">
      <c r="A1904" s="25">
        <v>41166.645833333336</v>
      </c>
      <c r="B1904" s="25">
        <v>714.0</v>
      </c>
      <c r="C1904" s="25">
        <v>719.9</v>
      </c>
      <c r="D1904" s="25">
        <v>701.08</v>
      </c>
      <c r="E1904" s="25">
        <v>706.55</v>
      </c>
      <c r="F1904" s="25">
        <v>1407420.0</v>
      </c>
    </row>
    <row r="1905">
      <c r="A1905" s="25">
        <v>41169.645833333336</v>
      </c>
      <c r="B1905" s="25">
        <v>709.13</v>
      </c>
      <c r="C1905" s="25">
        <v>710.78</v>
      </c>
      <c r="D1905" s="25">
        <v>667.75</v>
      </c>
      <c r="E1905" s="25">
        <v>671.05</v>
      </c>
      <c r="F1905" s="25">
        <v>2547195.0</v>
      </c>
    </row>
    <row r="1906">
      <c r="A1906" s="25">
        <v>41170.645833333336</v>
      </c>
      <c r="B1906" s="25">
        <v>672.5</v>
      </c>
      <c r="C1906" s="25">
        <v>672.5</v>
      </c>
      <c r="D1906" s="25">
        <v>646.28</v>
      </c>
      <c r="E1906" s="25">
        <v>649.9</v>
      </c>
      <c r="F1906" s="25">
        <v>3610103.0</v>
      </c>
    </row>
    <row r="1907">
      <c r="A1907" s="25">
        <v>41172.645833333336</v>
      </c>
      <c r="B1907" s="25">
        <v>647.5</v>
      </c>
      <c r="C1907" s="25">
        <v>668.45</v>
      </c>
      <c r="D1907" s="25">
        <v>645.8</v>
      </c>
      <c r="E1907" s="25">
        <v>661.0</v>
      </c>
      <c r="F1907" s="25">
        <v>2021253.0</v>
      </c>
    </row>
    <row r="1908">
      <c r="A1908" s="25">
        <v>41173.645833333336</v>
      </c>
      <c r="B1908" s="25">
        <v>662.45</v>
      </c>
      <c r="C1908" s="25">
        <v>666.15</v>
      </c>
      <c r="D1908" s="25">
        <v>649.15</v>
      </c>
      <c r="E1908" s="25">
        <v>652.03</v>
      </c>
      <c r="F1908" s="25">
        <v>2123879.0</v>
      </c>
    </row>
    <row r="1909">
      <c r="A1909" s="25">
        <v>41176.645833333336</v>
      </c>
      <c r="B1909" s="25">
        <v>655.0</v>
      </c>
      <c r="C1909" s="25">
        <v>656.5</v>
      </c>
      <c r="D1909" s="25">
        <v>638.5</v>
      </c>
      <c r="E1909" s="25">
        <v>644.73</v>
      </c>
      <c r="F1909" s="25">
        <v>2468510.0</v>
      </c>
    </row>
    <row r="1910">
      <c r="A1910" s="25">
        <v>41177.645833333336</v>
      </c>
      <c r="B1910" s="25">
        <v>645.05</v>
      </c>
      <c r="C1910" s="25">
        <v>654.88</v>
      </c>
      <c r="D1910" s="25">
        <v>641.15</v>
      </c>
      <c r="E1910" s="25">
        <v>646.6</v>
      </c>
      <c r="F1910" s="25">
        <v>1911847.0</v>
      </c>
    </row>
    <row r="1911">
      <c r="A1911" s="25">
        <v>41178.645833333336</v>
      </c>
      <c r="B1911" s="25">
        <v>647.6</v>
      </c>
      <c r="C1911" s="25">
        <v>652.5</v>
      </c>
      <c r="D1911" s="25">
        <v>641.0</v>
      </c>
      <c r="E1911" s="25">
        <v>642.8</v>
      </c>
      <c r="F1911" s="25">
        <v>1646406.0</v>
      </c>
    </row>
    <row r="1912">
      <c r="A1912" s="25">
        <v>41179.645833333336</v>
      </c>
      <c r="B1912" s="25">
        <v>640.05</v>
      </c>
      <c r="C1912" s="25">
        <v>649.75</v>
      </c>
      <c r="D1912" s="25">
        <v>630.55</v>
      </c>
      <c r="E1912" s="25">
        <v>635.78</v>
      </c>
      <c r="F1912" s="25">
        <v>2802699.0</v>
      </c>
    </row>
    <row r="1913">
      <c r="A1913" s="25">
        <v>41180.645833333336</v>
      </c>
      <c r="B1913" s="25">
        <v>639.4</v>
      </c>
      <c r="C1913" s="25">
        <v>652.5</v>
      </c>
      <c r="D1913" s="25">
        <v>638.25</v>
      </c>
      <c r="E1913" s="25">
        <v>647.95</v>
      </c>
      <c r="F1913" s="25">
        <v>1456498.0</v>
      </c>
    </row>
    <row r="1914">
      <c r="A1914" s="25">
        <v>41183.645833333336</v>
      </c>
      <c r="B1914" s="25">
        <v>647.5</v>
      </c>
      <c r="C1914" s="25">
        <v>654.9</v>
      </c>
      <c r="D1914" s="25">
        <v>646.53</v>
      </c>
      <c r="E1914" s="25">
        <v>651.48</v>
      </c>
      <c r="F1914" s="25">
        <v>897809.0</v>
      </c>
    </row>
    <row r="1915">
      <c r="A1915" s="25">
        <v>41185.645833333336</v>
      </c>
      <c r="B1915" s="25">
        <v>650.5</v>
      </c>
      <c r="C1915" s="25">
        <v>662.5</v>
      </c>
      <c r="D1915" s="25">
        <v>650.5</v>
      </c>
      <c r="E1915" s="25">
        <v>661.33</v>
      </c>
      <c r="F1915" s="25">
        <v>1159115.0</v>
      </c>
    </row>
    <row r="1916">
      <c r="A1916" s="25">
        <v>41186.645833333336</v>
      </c>
      <c r="B1916" s="25">
        <v>660.0</v>
      </c>
      <c r="C1916" s="25">
        <v>660.83</v>
      </c>
      <c r="D1916" s="25">
        <v>654.33</v>
      </c>
      <c r="E1916" s="25">
        <v>658.58</v>
      </c>
      <c r="F1916" s="25">
        <v>659642.0</v>
      </c>
    </row>
    <row r="1917">
      <c r="A1917" s="25">
        <v>41187.645833333336</v>
      </c>
      <c r="B1917" s="25">
        <v>655.13</v>
      </c>
      <c r="C1917" s="25">
        <v>659.68</v>
      </c>
      <c r="D1917" s="25">
        <v>527.5</v>
      </c>
      <c r="E1917" s="25">
        <v>652.0</v>
      </c>
      <c r="F1917" s="25">
        <v>1918055.0</v>
      </c>
    </row>
    <row r="1918">
      <c r="A1918" s="25">
        <v>41190.645833333336</v>
      </c>
      <c r="B1918" s="25">
        <v>655.0</v>
      </c>
      <c r="C1918" s="25">
        <v>657.63</v>
      </c>
      <c r="D1918" s="25">
        <v>642.73</v>
      </c>
      <c r="E1918" s="25">
        <v>646.35</v>
      </c>
      <c r="F1918" s="25">
        <v>842704.0</v>
      </c>
    </row>
    <row r="1919">
      <c r="A1919" s="25">
        <v>41191.645833333336</v>
      </c>
      <c r="B1919" s="25">
        <v>648.95</v>
      </c>
      <c r="C1919" s="25">
        <v>649.4</v>
      </c>
      <c r="D1919" s="25">
        <v>642.5</v>
      </c>
      <c r="E1919" s="25">
        <v>647.42</v>
      </c>
      <c r="F1919" s="25">
        <v>645577.0</v>
      </c>
    </row>
    <row r="1920">
      <c r="A1920" s="25">
        <v>41192.645833333336</v>
      </c>
      <c r="B1920" s="25">
        <v>643.0</v>
      </c>
      <c r="C1920" s="25">
        <v>650.88</v>
      </c>
      <c r="D1920" s="25">
        <v>642.5</v>
      </c>
      <c r="E1920" s="25">
        <v>644.67</v>
      </c>
      <c r="F1920" s="25">
        <v>581989.0</v>
      </c>
    </row>
    <row r="1921">
      <c r="A1921" s="25">
        <v>41193.645833333336</v>
      </c>
      <c r="B1921" s="25">
        <v>645.13</v>
      </c>
      <c r="C1921" s="25">
        <v>650.78</v>
      </c>
      <c r="D1921" s="25">
        <v>643.03</v>
      </c>
      <c r="E1921" s="25">
        <v>644.73</v>
      </c>
      <c r="F1921" s="25">
        <v>817763.0</v>
      </c>
    </row>
    <row r="1922">
      <c r="A1922" s="25">
        <v>41194.645833333336</v>
      </c>
      <c r="B1922" s="25">
        <v>639.4</v>
      </c>
      <c r="C1922" s="25">
        <v>656.83</v>
      </c>
      <c r="D1922" s="25">
        <v>636.6</v>
      </c>
      <c r="E1922" s="25">
        <v>649.23</v>
      </c>
      <c r="F1922" s="25">
        <v>1234771.0</v>
      </c>
    </row>
    <row r="1923">
      <c r="A1923" s="25">
        <v>41197.645833333336</v>
      </c>
      <c r="B1923" s="25">
        <v>647.0</v>
      </c>
      <c r="C1923" s="25">
        <v>651.2</v>
      </c>
      <c r="D1923" s="25">
        <v>643.75</v>
      </c>
      <c r="E1923" s="25">
        <v>647.33</v>
      </c>
      <c r="F1923" s="25">
        <v>407264.0</v>
      </c>
    </row>
    <row r="1924">
      <c r="A1924" s="25">
        <v>41198.645833333336</v>
      </c>
      <c r="B1924" s="25">
        <v>648.5</v>
      </c>
      <c r="C1924" s="25">
        <v>655.1</v>
      </c>
      <c r="D1924" s="25">
        <v>643.9</v>
      </c>
      <c r="E1924" s="25">
        <v>647.95</v>
      </c>
      <c r="F1924" s="25">
        <v>641372.0</v>
      </c>
    </row>
    <row r="1925">
      <c r="A1925" s="25">
        <v>41199.645833333336</v>
      </c>
      <c r="B1925" s="25">
        <v>650.65</v>
      </c>
      <c r="C1925" s="25">
        <v>652.45</v>
      </c>
      <c r="D1925" s="25">
        <v>636.0</v>
      </c>
      <c r="E1925" s="25">
        <v>641.58</v>
      </c>
      <c r="F1925" s="25">
        <v>798740.0</v>
      </c>
    </row>
    <row r="1926">
      <c r="A1926" s="25">
        <v>41200.645833333336</v>
      </c>
      <c r="B1926" s="25">
        <v>643.13</v>
      </c>
      <c r="C1926" s="25">
        <v>655.5</v>
      </c>
      <c r="D1926" s="25">
        <v>640.1</v>
      </c>
      <c r="E1926" s="25">
        <v>653.67</v>
      </c>
      <c r="F1926" s="25">
        <v>723564.0</v>
      </c>
    </row>
    <row r="1927">
      <c r="A1927" s="25">
        <v>41201.645833333336</v>
      </c>
      <c r="B1927" s="25">
        <v>654.5</v>
      </c>
      <c r="C1927" s="25">
        <v>655.7</v>
      </c>
      <c r="D1927" s="25">
        <v>641.0</v>
      </c>
      <c r="E1927" s="25">
        <v>644.85</v>
      </c>
      <c r="F1927" s="25">
        <v>1412808.0</v>
      </c>
    </row>
    <row r="1928">
      <c r="A1928" s="25">
        <v>41204.645833333336</v>
      </c>
      <c r="B1928" s="25">
        <v>662.55</v>
      </c>
      <c r="C1928" s="25">
        <v>667.45</v>
      </c>
      <c r="D1928" s="25">
        <v>651.5</v>
      </c>
      <c r="E1928" s="25">
        <v>659.45</v>
      </c>
      <c r="F1928" s="25">
        <v>2698671.0</v>
      </c>
    </row>
    <row r="1929">
      <c r="A1929" s="25">
        <v>41205.645833333336</v>
      </c>
      <c r="B1929" s="25">
        <v>662.0</v>
      </c>
      <c r="C1929" s="25">
        <v>662.0</v>
      </c>
      <c r="D1929" s="25">
        <v>655.95</v>
      </c>
      <c r="E1929" s="25">
        <v>657.3</v>
      </c>
      <c r="F1929" s="25">
        <v>568348.0</v>
      </c>
    </row>
    <row r="1930">
      <c r="A1930" s="25">
        <v>41207.645833333336</v>
      </c>
      <c r="B1930" s="25">
        <v>657.5</v>
      </c>
      <c r="C1930" s="25">
        <v>661.95</v>
      </c>
      <c r="D1930" s="25">
        <v>652.13</v>
      </c>
      <c r="E1930" s="25">
        <v>657.68</v>
      </c>
      <c r="F1930" s="25">
        <v>1127235.0</v>
      </c>
    </row>
    <row r="1931">
      <c r="A1931" s="25">
        <v>41208.645833333336</v>
      </c>
      <c r="B1931" s="25">
        <v>653.1</v>
      </c>
      <c r="C1931" s="25">
        <v>661.0</v>
      </c>
      <c r="D1931" s="25">
        <v>653.1</v>
      </c>
      <c r="E1931" s="25">
        <v>657.65</v>
      </c>
      <c r="F1931" s="25">
        <v>523675.0</v>
      </c>
    </row>
    <row r="1932">
      <c r="A1932" s="25">
        <v>41211.645833333336</v>
      </c>
      <c r="B1932" s="25">
        <v>655.5</v>
      </c>
      <c r="C1932" s="25">
        <v>659.9</v>
      </c>
      <c r="D1932" s="25">
        <v>650.4</v>
      </c>
      <c r="E1932" s="25">
        <v>654.2</v>
      </c>
      <c r="F1932" s="25">
        <v>407814.0</v>
      </c>
    </row>
    <row r="1933">
      <c r="A1933" s="25">
        <v>41212.645833333336</v>
      </c>
      <c r="B1933" s="25">
        <v>652.2</v>
      </c>
      <c r="C1933" s="25">
        <v>661.0</v>
      </c>
      <c r="D1933" s="25">
        <v>652.2</v>
      </c>
      <c r="E1933" s="25">
        <v>655.75</v>
      </c>
      <c r="F1933" s="25">
        <v>402634.0</v>
      </c>
    </row>
    <row r="1934">
      <c r="A1934" s="25">
        <v>41213.645833333336</v>
      </c>
      <c r="B1934" s="25">
        <v>654.55</v>
      </c>
      <c r="C1934" s="25">
        <v>658.4</v>
      </c>
      <c r="D1934" s="25">
        <v>652.0</v>
      </c>
      <c r="E1934" s="25">
        <v>657.75</v>
      </c>
      <c r="F1934" s="25">
        <v>499768.0</v>
      </c>
    </row>
    <row r="1935">
      <c r="A1935" s="25">
        <v>41214.645833333336</v>
      </c>
      <c r="B1935" s="25">
        <v>657.45</v>
      </c>
      <c r="C1935" s="25">
        <v>660.18</v>
      </c>
      <c r="D1935" s="25">
        <v>655.1</v>
      </c>
      <c r="E1935" s="25">
        <v>657.63</v>
      </c>
      <c r="F1935" s="25">
        <v>789884.0</v>
      </c>
    </row>
    <row r="1936">
      <c r="A1936" s="25">
        <v>41215.645833333336</v>
      </c>
      <c r="B1936" s="25">
        <v>662.45</v>
      </c>
      <c r="C1936" s="25">
        <v>669.0</v>
      </c>
      <c r="D1936" s="25">
        <v>659.2</v>
      </c>
      <c r="E1936" s="25">
        <v>665.6</v>
      </c>
      <c r="F1936" s="25">
        <v>836987.0</v>
      </c>
    </row>
    <row r="1937">
      <c r="A1937" s="25">
        <v>41218.645833333336</v>
      </c>
      <c r="B1937" s="25">
        <v>667.95</v>
      </c>
      <c r="C1937" s="25">
        <v>671.68</v>
      </c>
      <c r="D1937" s="25">
        <v>662.65</v>
      </c>
      <c r="E1937" s="25">
        <v>664.8</v>
      </c>
      <c r="F1937" s="25">
        <v>611913.0</v>
      </c>
    </row>
    <row r="1938">
      <c r="A1938" s="25">
        <v>41219.645833333336</v>
      </c>
      <c r="B1938" s="25">
        <v>662.5</v>
      </c>
      <c r="C1938" s="25">
        <v>668.7</v>
      </c>
      <c r="D1938" s="25">
        <v>659.73</v>
      </c>
      <c r="E1938" s="25">
        <v>660.28</v>
      </c>
      <c r="F1938" s="25">
        <v>648733.0</v>
      </c>
    </row>
    <row r="1939">
      <c r="A1939" s="25">
        <v>41220.645833333336</v>
      </c>
      <c r="B1939" s="25">
        <v>662.5</v>
      </c>
      <c r="C1939" s="25">
        <v>666.68</v>
      </c>
      <c r="D1939" s="25">
        <v>660.75</v>
      </c>
      <c r="E1939" s="25">
        <v>665.75</v>
      </c>
      <c r="F1939" s="25">
        <v>529195.0</v>
      </c>
    </row>
    <row r="1940">
      <c r="A1940" s="25">
        <v>41221.645833333336</v>
      </c>
      <c r="B1940" s="25">
        <v>662.0</v>
      </c>
      <c r="C1940" s="25">
        <v>667.35</v>
      </c>
      <c r="D1940" s="25">
        <v>658.3</v>
      </c>
      <c r="E1940" s="25">
        <v>665.6</v>
      </c>
      <c r="F1940" s="25">
        <v>619522.0</v>
      </c>
    </row>
    <row r="1941">
      <c r="A1941" s="25">
        <v>41222.645833333336</v>
      </c>
      <c r="B1941" s="25">
        <v>665.0</v>
      </c>
      <c r="C1941" s="25">
        <v>666.63</v>
      </c>
      <c r="D1941" s="25">
        <v>660.45</v>
      </c>
      <c r="E1941" s="25">
        <v>662.48</v>
      </c>
      <c r="F1941" s="25">
        <v>355691.0</v>
      </c>
    </row>
    <row r="1942">
      <c r="A1942" s="25">
        <v>41225.645833333336</v>
      </c>
      <c r="B1942" s="25">
        <v>660.0</v>
      </c>
      <c r="C1942" s="25">
        <v>674.0</v>
      </c>
      <c r="D1942" s="25">
        <v>660.0</v>
      </c>
      <c r="E1942" s="25">
        <v>667.25</v>
      </c>
      <c r="F1942" s="25">
        <v>733391.0</v>
      </c>
    </row>
    <row r="1943">
      <c r="A1943" s="25">
        <v>41226.645833333336</v>
      </c>
      <c r="B1943" s="25">
        <v>667.58</v>
      </c>
      <c r="C1943" s="25">
        <v>668.6</v>
      </c>
      <c r="D1943" s="25">
        <v>661.03</v>
      </c>
      <c r="E1943" s="25">
        <v>662.65</v>
      </c>
      <c r="F1943" s="25">
        <v>71507.0</v>
      </c>
    </row>
    <row r="1944">
      <c r="A1944" s="25">
        <v>41228.645833333336</v>
      </c>
      <c r="B1944" s="25">
        <v>660.05</v>
      </c>
      <c r="C1944" s="25">
        <v>661.0</v>
      </c>
      <c r="D1944" s="25">
        <v>645.5</v>
      </c>
      <c r="E1944" s="25">
        <v>647.08</v>
      </c>
      <c r="F1944" s="25">
        <v>867701.0</v>
      </c>
    </row>
    <row r="1945">
      <c r="A1945" s="25">
        <v>41229.645833333336</v>
      </c>
      <c r="B1945" s="25">
        <v>649.9</v>
      </c>
      <c r="C1945" s="25">
        <v>653.4</v>
      </c>
      <c r="D1945" s="25">
        <v>640.05</v>
      </c>
      <c r="E1945" s="25">
        <v>643.4</v>
      </c>
      <c r="F1945" s="25">
        <v>799445.0</v>
      </c>
    </row>
    <row r="1946">
      <c r="A1946" s="25">
        <v>41232.645833333336</v>
      </c>
      <c r="B1946" s="25">
        <v>645.05</v>
      </c>
      <c r="C1946" s="25">
        <v>647.5</v>
      </c>
      <c r="D1946" s="25">
        <v>629.25</v>
      </c>
      <c r="E1946" s="25">
        <v>631.17</v>
      </c>
      <c r="F1946" s="25">
        <v>838143.0</v>
      </c>
    </row>
    <row r="1947">
      <c r="A1947" s="25">
        <v>41233.645833333336</v>
      </c>
      <c r="B1947" s="25">
        <v>637.5</v>
      </c>
      <c r="C1947" s="25">
        <v>641.45</v>
      </c>
      <c r="D1947" s="25">
        <v>628.03</v>
      </c>
      <c r="E1947" s="25">
        <v>636.4</v>
      </c>
      <c r="F1947" s="25">
        <v>628020.0</v>
      </c>
    </row>
    <row r="1948">
      <c r="A1948" s="25">
        <v>41234.645833333336</v>
      </c>
      <c r="B1948" s="25">
        <v>638.13</v>
      </c>
      <c r="C1948" s="25">
        <v>647.35</v>
      </c>
      <c r="D1948" s="25">
        <v>638.13</v>
      </c>
      <c r="E1948" s="25">
        <v>641.1</v>
      </c>
      <c r="F1948" s="25">
        <v>470872.0</v>
      </c>
    </row>
    <row r="1949">
      <c r="A1949" s="25">
        <v>41235.645833333336</v>
      </c>
      <c r="B1949" s="25">
        <v>641.05</v>
      </c>
      <c r="C1949" s="25">
        <v>642.05</v>
      </c>
      <c r="D1949" s="25">
        <v>635.5</v>
      </c>
      <c r="E1949" s="25">
        <v>638.23</v>
      </c>
      <c r="F1949" s="25">
        <v>305812.0</v>
      </c>
    </row>
    <row r="1950">
      <c r="A1950" s="25">
        <v>41236.645833333336</v>
      </c>
      <c r="B1950" s="25">
        <v>641.0</v>
      </c>
      <c r="C1950" s="25">
        <v>645.7</v>
      </c>
      <c r="D1950" s="25">
        <v>635.63</v>
      </c>
      <c r="E1950" s="25">
        <v>644.3</v>
      </c>
      <c r="F1950" s="25">
        <v>374838.0</v>
      </c>
    </row>
    <row r="1951">
      <c r="A1951" s="25">
        <v>41239.645833333336</v>
      </c>
      <c r="B1951" s="25">
        <v>644.0</v>
      </c>
      <c r="C1951" s="25">
        <v>647.85</v>
      </c>
      <c r="D1951" s="25">
        <v>642.5</v>
      </c>
      <c r="E1951" s="25">
        <v>646.85</v>
      </c>
      <c r="F1951" s="25">
        <v>228167.0</v>
      </c>
    </row>
    <row r="1952">
      <c r="A1952" s="25">
        <v>41240.645833333336</v>
      </c>
      <c r="B1952" s="25">
        <v>649.95</v>
      </c>
      <c r="C1952" s="25">
        <v>649.95</v>
      </c>
      <c r="D1952" s="25">
        <v>644.15</v>
      </c>
      <c r="E1952" s="25">
        <v>647.6</v>
      </c>
      <c r="F1952" s="25">
        <v>669080.0</v>
      </c>
    </row>
    <row r="1953">
      <c r="A1953" s="25">
        <v>41242.645833333336</v>
      </c>
      <c r="B1953" s="25">
        <v>655.0</v>
      </c>
      <c r="C1953" s="25">
        <v>656.0</v>
      </c>
      <c r="D1953" s="25">
        <v>646.17</v>
      </c>
      <c r="E1953" s="25">
        <v>649.05</v>
      </c>
      <c r="F1953" s="25">
        <v>1735289.0</v>
      </c>
    </row>
    <row r="1954">
      <c r="A1954" s="25">
        <v>41243.645833333336</v>
      </c>
      <c r="B1954" s="25">
        <v>647.5</v>
      </c>
      <c r="C1954" s="25">
        <v>662.5</v>
      </c>
      <c r="D1954" s="25">
        <v>645.55</v>
      </c>
      <c r="E1954" s="25">
        <v>657.0</v>
      </c>
      <c r="F1954" s="25">
        <v>1789647.0</v>
      </c>
    </row>
    <row r="1955">
      <c r="A1955" s="25">
        <v>41246.645833333336</v>
      </c>
      <c r="B1955" s="25">
        <v>657.5</v>
      </c>
      <c r="C1955" s="25">
        <v>661.0</v>
      </c>
      <c r="D1955" s="25">
        <v>652.6</v>
      </c>
      <c r="E1955" s="25">
        <v>658.4</v>
      </c>
      <c r="F1955" s="25">
        <v>659756.0</v>
      </c>
    </row>
    <row r="1956">
      <c r="A1956" s="25">
        <v>41247.645833333336</v>
      </c>
      <c r="B1956" s="25">
        <v>657.55</v>
      </c>
      <c r="C1956" s="25">
        <v>660.9</v>
      </c>
      <c r="D1956" s="25">
        <v>646.45</v>
      </c>
      <c r="E1956" s="25">
        <v>649.73</v>
      </c>
      <c r="F1956" s="25">
        <v>797560.0</v>
      </c>
    </row>
    <row r="1957">
      <c r="A1957" s="25">
        <v>41248.645833333336</v>
      </c>
      <c r="B1957" s="25">
        <v>650.0</v>
      </c>
      <c r="C1957" s="25">
        <v>653.78</v>
      </c>
      <c r="D1957" s="25">
        <v>644.3</v>
      </c>
      <c r="E1957" s="25">
        <v>648.95</v>
      </c>
      <c r="F1957" s="25">
        <v>895029.0</v>
      </c>
    </row>
    <row r="1958">
      <c r="A1958" s="25">
        <v>41249.645833333336</v>
      </c>
      <c r="B1958" s="25">
        <v>647.5</v>
      </c>
      <c r="C1958" s="25">
        <v>647.5</v>
      </c>
      <c r="D1958" s="25">
        <v>634.5</v>
      </c>
      <c r="E1958" s="25">
        <v>640.35</v>
      </c>
      <c r="F1958" s="25">
        <v>1185046.0</v>
      </c>
    </row>
    <row r="1959">
      <c r="A1959" s="25">
        <v>41250.645833333336</v>
      </c>
      <c r="B1959" s="25">
        <v>638.33</v>
      </c>
      <c r="C1959" s="25">
        <v>640.35</v>
      </c>
      <c r="D1959" s="25">
        <v>628.53</v>
      </c>
      <c r="E1959" s="25">
        <v>632.08</v>
      </c>
      <c r="F1959" s="25">
        <v>978607.0</v>
      </c>
    </row>
    <row r="1960">
      <c r="A1960" s="25">
        <v>41253.645833333336</v>
      </c>
      <c r="B1960" s="25">
        <v>631.05</v>
      </c>
      <c r="C1960" s="25">
        <v>633.4</v>
      </c>
      <c r="D1960" s="25">
        <v>615.6</v>
      </c>
      <c r="E1960" s="25">
        <v>618.6</v>
      </c>
      <c r="F1960" s="25">
        <v>1514715.0</v>
      </c>
    </row>
    <row r="1961">
      <c r="A1961" s="25">
        <v>41254.645833333336</v>
      </c>
      <c r="B1961" s="25">
        <v>617.5</v>
      </c>
      <c r="C1961" s="25">
        <v>621.5</v>
      </c>
      <c r="D1961" s="25">
        <v>605.17</v>
      </c>
      <c r="E1961" s="25">
        <v>609.85</v>
      </c>
      <c r="F1961" s="25">
        <v>2463457.0</v>
      </c>
    </row>
    <row r="1962">
      <c r="A1962" s="25">
        <v>41255.645833333336</v>
      </c>
      <c r="B1962" s="25">
        <v>612.45</v>
      </c>
      <c r="C1962" s="25">
        <v>620.5</v>
      </c>
      <c r="D1962" s="25">
        <v>610.55</v>
      </c>
      <c r="E1962" s="25">
        <v>612.9</v>
      </c>
      <c r="F1962" s="25">
        <v>1243974.0</v>
      </c>
    </row>
    <row r="1963">
      <c r="A1963" s="25">
        <v>41256.645833333336</v>
      </c>
      <c r="B1963" s="25">
        <v>615.05</v>
      </c>
      <c r="C1963" s="25">
        <v>617.3</v>
      </c>
      <c r="D1963" s="25">
        <v>608.55</v>
      </c>
      <c r="E1963" s="25">
        <v>611.28</v>
      </c>
      <c r="F1963" s="25">
        <v>1148581.0</v>
      </c>
    </row>
    <row r="1964">
      <c r="A1964" s="25">
        <v>41257.645833333336</v>
      </c>
      <c r="B1964" s="25">
        <v>608.5</v>
      </c>
      <c r="C1964" s="25">
        <v>622.5</v>
      </c>
      <c r="D1964" s="25">
        <v>608.08</v>
      </c>
      <c r="E1964" s="25">
        <v>621.45</v>
      </c>
      <c r="F1964" s="25">
        <v>1098407.0</v>
      </c>
    </row>
    <row r="1965">
      <c r="A1965" s="25">
        <v>41260.645833333336</v>
      </c>
      <c r="B1965" s="25">
        <v>619.58</v>
      </c>
      <c r="C1965" s="25">
        <v>624.45</v>
      </c>
      <c r="D1965" s="25">
        <v>601.05</v>
      </c>
      <c r="E1965" s="25">
        <v>602.75</v>
      </c>
      <c r="F1965" s="25">
        <v>2241449.0</v>
      </c>
    </row>
    <row r="1966">
      <c r="A1966" s="25">
        <v>41261.645833333336</v>
      </c>
      <c r="B1966" s="25">
        <v>607.35</v>
      </c>
      <c r="C1966" s="25">
        <v>612.5</v>
      </c>
      <c r="D1966" s="25">
        <v>598.5</v>
      </c>
      <c r="E1966" s="25">
        <v>605.33</v>
      </c>
      <c r="F1966" s="25">
        <v>2344241.0</v>
      </c>
    </row>
    <row r="1967">
      <c r="A1967" s="25">
        <v>41262.645833333336</v>
      </c>
      <c r="B1967" s="25">
        <v>608.05</v>
      </c>
      <c r="C1967" s="25">
        <v>618.28</v>
      </c>
      <c r="D1967" s="25">
        <v>608.05</v>
      </c>
      <c r="E1967" s="25">
        <v>616.33</v>
      </c>
      <c r="F1967" s="25">
        <v>3321030.0</v>
      </c>
    </row>
    <row r="1968">
      <c r="A1968" s="25">
        <v>41263.645833333336</v>
      </c>
      <c r="B1968" s="25">
        <v>613.58</v>
      </c>
      <c r="C1968" s="25">
        <v>627.5</v>
      </c>
      <c r="D1968" s="25">
        <v>613.58</v>
      </c>
      <c r="E1968" s="25">
        <v>626.03</v>
      </c>
      <c r="F1968" s="25">
        <v>1157015.0</v>
      </c>
    </row>
    <row r="1969">
      <c r="A1969" s="25">
        <v>41264.645833333336</v>
      </c>
      <c r="B1969" s="25">
        <v>625.0</v>
      </c>
      <c r="C1969" s="25">
        <v>632.2</v>
      </c>
      <c r="D1969" s="25">
        <v>618.85</v>
      </c>
      <c r="E1969" s="25">
        <v>629.35</v>
      </c>
      <c r="F1969" s="25">
        <v>1228984.0</v>
      </c>
    </row>
    <row r="1970">
      <c r="A1970" s="25">
        <v>41267.645833333336</v>
      </c>
      <c r="B1970" s="25">
        <v>631.0</v>
      </c>
      <c r="C1970" s="25">
        <v>635.55</v>
      </c>
      <c r="D1970" s="25">
        <v>630.05</v>
      </c>
      <c r="E1970" s="25">
        <v>633.1</v>
      </c>
      <c r="F1970" s="25">
        <v>627409.0</v>
      </c>
    </row>
    <row r="1971">
      <c r="A1971" s="25">
        <v>41269.645833333336</v>
      </c>
      <c r="B1971" s="25">
        <v>633.5</v>
      </c>
      <c r="C1971" s="25">
        <v>634.58</v>
      </c>
      <c r="D1971" s="25">
        <v>627.65</v>
      </c>
      <c r="E1971" s="25">
        <v>631.1</v>
      </c>
      <c r="F1971" s="25">
        <v>717629.0</v>
      </c>
    </row>
    <row r="1972">
      <c r="A1972" s="25">
        <v>41270.645833333336</v>
      </c>
      <c r="B1972" s="25">
        <v>632.45</v>
      </c>
      <c r="C1972" s="25">
        <v>632.45</v>
      </c>
      <c r="D1972" s="25">
        <v>623.83</v>
      </c>
      <c r="E1972" s="25">
        <v>625.48</v>
      </c>
      <c r="F1972" s="25">
        <v>997079.0</v>
      </c>
    </row>
    <row r="1973">
      <c r="A1973" s="25">
        <v>41271.645833333336</v>
      </c>
      <c r="B1973" s="25">
        <v>627.0</v>
      </c>
      <c r="C1973" s="25">
        <v>636.0</v>
      </c>
      <c r="D1973" s="25">
        <v>625.38</v>
      </c>
      <c r="E1973" s="25">
        <v>633.75</v>
      </c>
      <c r="F1973" s="25">
        <v>750811.0</v>
      </c>
    </row>
    <row r="1974">
      <c r="A1974" s="25">
        <v>41274.645833333336</v>
      </c>
      <c r="B1974" s="25">
        <v>630.5</v>
      </c>
      <c r="C1974" s="25">
        <v>632.8</v>
      </c>
      <c r="D1974" s="25">
        <v>626.0</v>
      </c>
      <c r="E1974" s="25">
        <v>627.92</v>
      </c>
      <c r="F1974" s="25">
        <v>352085.0</v>
      </c>
    </row>
    <row r="1975">
      <c r="A1975" s="25">
        <v>41275.645833333336</v>
      </c>
      <c r="B1975" s="25">
        <v>633.48</v>
      </c>
      <c r="C1975" s="25">
        <v>633.95</v>
      </c>
      <c r="D1975" s="25">
        <v>630.0</v>
      </c>
      <c r="E1975" s="25">
        <v>632.08</v>
      </c>
      <c r="F1975" s="25">
        <v>254790.0</v>
      </c>
    </row>
    <row r="1976">
      <c r="A1976" s="25">
        <v>41276.645833333336</v>
      </c>
      <c r="B1976" s="25">
        <v>633.5</v>
      </c>
      <c r="C1976" s="25">
        <v>636.2</v>
      </c>
      <c r="D1976" s="25">
        <v>627.78</v>
      </c>
      <c r="E1976" s="25">
        <v>631.65</v>
      </c>
      <c r="F1976" s="25">
        <v>940123.0</v>
      </c>
    </row>
    <row r="1977">
      <c r="A1977" s="25">
        <v>41277.645833333336</v>
      </c>
      <c r="B1977" s="25">
        <v>632.5</v>
      </c>
      <c r="C1977" s="25">
        <v>642.0</v>
      </c>
      <c r="D1977" s="25">
        <v>629.98</v>
      </c>
      <c r="E1977" s="25">
        <v>640.3</v>
      </c>
      <c r="F1977" s="25">
        <v>1317565.0</v>
      </c>
    </row>
    <row r="1978">
      <c r="A1978" s="25">
        <v>41278.645833333336</v>
      </c>
      <c r="B1978" s="25">
        <v>642.5</v>
      </c>
      <c r="C1978" s="25">
        <v>650.5</v>
      </c>
      <c r="D1978" s="25">
        <v>640.45</v>
      </c>
      <c r="E1978" s="25">
        <v>649.6</v>
      </c>
      <c r="F1978" s="25">
        <v>2614380.0</v>
      </c>
    </row>
    <row r="1979">
      <c r="A1979" s="25">
        <v>41281.645833333336</v>
      </c>
      <c r="B1979" s="25">
        <v>650.0</v>
      </c>
      <c r="C1979" s="25">
        <v>652.0</v>
      </c>
      <c r="D1979" s="25">
        <v>645.13</v>
      </c>
      <c r="E1979" s="25">
        <v>647.42</v>
      </c>
      <c r="F1979" s="25">
        <v>910376.0</v>
      </c>
    </row>
    <row r="1980">
      <c r="A1980" s="25">
        <v>41282.645833333336</v>
      </c>
      <c r="B1980" s="25">
        <v>647.5</v>
      </c>
      <c r="C1980" s="25">
        <v>652.15</v>
      </c>
      <c r="D1980" s="25">
        <v>647.15</v>
      </c>
      <c r="E1980" s="25">
        <v>650.13</v>
      </c>
      <c r="F1980" s="25">
        <v>1170935.0</v>
      </c>
    </row>
    <row r="1981">
      <c r="A1981" s="25">
        <v>41283.645833333336</v>
      </c>
      <c r="B1981" s="25">
        <v>650.5</v>
      </c>
      <c r="C1981" s="25">
        <v>653.7</v>
      </c>
      <c r="D1981" s="25">
        <v>636.58</v>
      </c>
      <c r="E1981" s="25">
        <v>638.3</v>
      </c>
      <c r="F1981" s="25">
        <v>1567949.0</v>
      </c>
    </row>
    <row r="1982">
      <c r="A1982" s="25">
        <v>41284.645833333336</v>
      </c>
      <c r="B1982" s="25">
        <v>639.95</v>
      </c>
      <c r="C1982" s="25">
        <v>641.05</v>
      </c>
      <c r="D1982" s="25">
        <v>627.65</v>
      </c>
      <c r="E1982" s="25">
        <v>629.2</v>
      </c>
      <c r="F1982" s="25">
        <v>2261419.0</v>
      </c>
    </row>
    <row r="1983">
      <c r="A1983" s="25">
        <v>41285.645833333336</v>
      </c>
      <c r="B1983" s="25">
        <v>645.0</v>
      </c>
      <c r="C1983" s="25">
        <v>661.25</v>
      </c>
      <c r="D1983" s="25">
        <v>645.0</v>
      </c>
      <c r="E1983" s="25">
        <v>653.17</v>
      </c>
      <c r="F1983" s="25">
        <v>3902503.0</v>
      </c>
    </row>
    <row r="1984">
      <c r="A1984" s="25">
        <v>41288.645833333336</v>
      </c>
      <c r="B1984" s="25">
        <v>659.5</v>
      </c>
      <c r="C1984" s="25">
        <v>674.23</v>
      </c>
      <c r="D1984" s="25">
        <v>653.67</v>
      </c>
      <c r="E1984" s="25">
        <v>667.25</v>
      </c>
      <c r="F1984" s="25">
        <v>2895112.0</v>
      </c>
    </row>
    <row r="1985">
      <c r="A1985" s="25">
        <v>41289.645833333336</v>
      </c>
      <c r="B1985" s="25">
        <v>695.0</v>
      </c>
      <c r="C1985" s="25">
        <v>700.0</v>
      </c>
      <c r="D1985" s="25">
        <v>663.5</v>
      </c>
      <c r="E1985" s="25">
        <v>668.73</v>
      </c>
      <c r="F1985" s="25">
        <v>4131489.0</v>
      </c>
    </row>
    <row r="1986">
      <c r="A1986" s="25">
        <v>41290.645833333336</v>
      </c>
      <c r="B1986" s="25">
        <v>668.45</v>
      </c>
      <c r="C1986" s="25">
        <v>677.5</v>
      </c>
      <c r="D1986" s="25">
        <v>654.5</v>
      </c>
      <c r="E1986" s="25">
        <v>673.88</v>
      </c>
      <c r="F1986" s="25">
        <v>2054746.0</v>
      </c>
    </row>
    <row r="1987">
      <c r="A1987" s="25">
        <v>41291.645833333336</v>
      </c>
      <c r="B1987" s="25">
        <v>674.85</v>
      </c>
      <c r="C1987" s="25">
        <v>685.9</v>
      </c>
      <c r="D1987" s="25">
        <v>671.5</v>
      </c>
      <c r="E1987" s="25">
        <v>681.0</v>
      </c>
      <c r="F1987" s="25">
        <v>1514272.0</v>
      </c>
    </row>
    <row r="1988">
      <c r="A1988" s="25">
        <v>41292.645833333336</v>
      </c>
      <c r="B1988" s="25">
        <v>681.25</v>
      </c>
      <c r="C1988" s="25">
        <v>683.03</v>
      </c>
      <c r="D1988" s="25">
        <v>669.03</v>
      </c>
      <c r="E1988" s="25">
        <v>675.5</v>
      </c>
      <c r="F1988" s="25">
        <v>720235.0</v>
      </c>
    </row>
    <row r="1989">
      <c r="A1989" s="25">
        <v>41295.645833333336</v>
      </c>
      <c r="B1989" s="25">
        <v>676.25</v>
      </c>
      <c r="C1989" s="25">
        <v>677.45</v>
      </c>
      <c r="D1989" s="25">
        <v>663.55</v>
      </c>
      <c r="E1989" s="25">
        <v>665.0</v>
      </c>
      <c r="F1989" s="25">
        <v>630019.0</v>
      </c>
    </row>
    <row r="1990">
      <c r="A1990" s="25">
        <v>41296.645833333336</v>
      </c>
      <c r="B1990" s="25">
        <v>663.0</v>
      </c>
      <c r="C1990" s="25">
        <v>665.85</v>
      </c>
      <c r="D1990" s="25">
        <v>654.05</v>
      </c>
      <c r="E1990" s="25">
        <v>658.75</v>
      </c>
      <c r="F1990" s="25">
        <v>693315.0</v>
      </c>
    </row>
    <row r="1991">
      <c r="A1991" s="25">
        <v>41297.645833333336</v>
      </c>
      <c r="B1991" s="25">
        <v>657.88</v>
      </c>
      <c r="C1991" s="25">
        <v>661.88</v>
      </c>
      <c r="D1991" s="25">
        <v>649.2</v>
      </c>
      <c r="E1991" s="25">
        <v>655.98</v>
      </c>
      <c r="F1991" s="25">
        <v>938827.0</v>
      </c>
    </row>
    <row r="1992">
      <c r="A1992" s="25">
        <v>41298.645833333336</v>
      </c>
      <c r="B1992" s="25">
        <v>652.5</v>
      </c>
      <c r="C1992" s="25">
        <v>668.45</v>
      </c>
      <c r="D1992" s="25">
        <v>652.5</v>
      </c>
      <c r="E1992" s="25">
        <v>664.28</v>
      </c>
      <c r="F1992" s="25">
        <v>1749235.0</v>
      </c>
    </row>
    <row r="1993">
      <c r="A1993" s="25">
        <v>41299.645833333336</v>
      </c>
      <c r="B1993" s="25">
        <v>661.88</v>
      </c>
      <c r="C1993" s="25">
        <v>672.5</v>
      </c>
      <c r="D1993" s="25">
        <v>661.88</v>
      </c>
      <c r="E1993" s="25">
        <v>670.25</v>
      </c>
      <c r="F1993" s="25">
        <v>760550.0</v>
      </c>
    </row>
    <row r="1994">
      <c r="A1994" s="25">
        <v>41302.645833333336</v>
      </c>
      <c r="B1994" s="25">
        <v>670.15</v>
      </c>
      <c r="C1994" s="25">
        <v>674.98</v>
      </c>
      <c r="D1994" s="25">
        <v>668.98</v>
      </c>
      <c r="E1994" s="25">
        <v>672.53</v>
      </c>
      <c r="F1994" s="25">
        <v>1214077.0</v>
      </c>
    </row>
    <row r="1995">
      <c r="A1995" s="25">
        <v>41303.645833333336</v>
      </c>
      <c r="B1995" s="25">
        <v>670.6</v>
      </c>
      <c r="C1995" s="25">
        <v>678.28</v>
      </c>
      <c r="D1995" s="25">
        <v>670.15</v>
      </c>
      <c r="E1995" s="25">
        <v>672.48</v>
      </c>
      <c r="F1995" s="25">
        <v>865902.0</v>
      </c>
    </row>
    <row r="1996">
      <c r="A1996" s="25">
        <v>41304.645833333336</v>
      </c>
      <c r="B1996" s="25">
        <v>670.5</v>
      </c>
      <c r="C1996" s="25">
        <v>674.93</v>
      </c>
      <c r="D1996" s="25">
        <v>667.9</v>
      </c>
      <c r="E1996" s="25">
        <v>673.08</v>
      </c>
      <c r="F1996" s="25">
        <v>1139572.0</v>
      </c>
    </row>
    <row r="1997">
      <c r="A1997" s="25">
        <v>41305.645833333336</v>
      </c>
      <c r="B1997" s="25">
        <v>674.43</v>
      </c>
      <c r="C1997" s="25">
        <v>676.23</v>
      </c>
      <c r="D1997" s="25">
        <v>663.2</v>
      </c>
      <c r="E1997" s="25">
        <v>672.08</v>
      </c>
      <c r="F1997" s="25">
        <v>2156584.0</v>
      </c>
    </row>
    <row r="1998">
      <c r="A1998" s="25">
        <v>41306.645833333336</v>
      </c>
      <c r="B1998" s="25">
        <v>672.0</v>
      </c>
      <c r="C1998" s="25">
        <v>676.0</v>
      </c>
      <c r="D1998" s="25">
        <v>671.08</v>
      </c>
      <c r="E1998" s="25">
        <v>674.05</v>
      </c>
      <c r="F1998" s="25">
        <v>742270.0</v>
      </c>
    </row>
    <row r="1999">
      <c r="A1999" s="25">
        <v>41309.645833333336</v>
      </c>
      <c r="B1999" s="25">
        <v>674.5</v>
      </c>
      <c r="C1999" s="25">
        <v>683.9</v>
      </c>
      <c r="D1999" s="25">
        <v>672.58</v>
      </c>
      <c r="E1999" s="25">
        <v>678.18</v>
      </c>
      <c r="F1999" s="25">
        <v>1243652.0</v>
      </c>
    </row>
    <row r="2000">
      <c r="A2000" s="25">
        <v>41310.645833333336</v>
      </c>
      <c r="B2000" s="25">
        <v>672.55</v>
      </c>
      <c r="C2000" s="25">
        <v>682.5</v>
      </c>
      <c r="D2000" s="25">
        <v>672.55</v>
      </c>
      <c r="E2000" s="25">
        <v>680.03</v>
      </c>
      <c r="F2000" s="25">
        <v>1080997.0</v>
      </c>
    </row>
    <row r="2001">
      <c r="A2001" s="25">
        <v>41311.645833333336</v>
      </c>
      <c r="B2001" s="25">
        <v>681.25</v>
      </c>
      <c r="C2001" s="25">
        <v>687.95</v>
      </c>
      <c r="D2001" s="25">
        <v>681.0</v>
      </c>
      <c r="E2001" s="25">
        <v>685.28</v>
      </c>
      <c r="F2001" s="25">
        <v>1786853.0</v>
      </c>
    </row>
    <row r="2002">
      <c r="A2002" s="25">
        <v>41312.645833333336</v>
      </c>
      <c r="B2002" s="25">
        <v>680.5</v>
      </c>
      <c r="C2002" s="25">
        <v>695.0</v>
      </c>
      <c r="D2002" s="25">
        <v>680.5</v>
      </c>
      <c r="E2002" s="25">
        <v>693.58</v>
      </c>
      <c r="F2002" s="25">
        <v>1306391.0</v>
      </c>
    </row>
    <row r="2003">
      <c r="A2003" s="25">
        <v>41313.645833333336</v>
      </c>
      <c r="B2003" s="25">
        <v>693.0</v>
      </c>
      <c r="C2003" s="25">
        <v>718.5</v>
      </c>
      <c r="D2003" s="25">
        <v>692.55</v>
      </c>
      <c r="E2003" s="25">
        <v>711.3</v>
      </c>
      <c r="F2003" s="25">
        <v>3486809.0</v>
      </c>
    </row>
    <row r="2004">
      <c r="A2004" s="25">
        <v>41316.645833333336</v>
      </c>
      <c r="B2004" s="25">
        <v>712.0</v>
      </c>
      <c r="C2004" s="25">
        <v>714.45</v>
      </c>
      <c r="D2004" s="25">
        <v>706.13</v>
      </c>
      <c r="E2004" s="25">
        <v>707.35</v>
      </c>
      <c r="F2004" s="25">
        <v>1156063.0</v>
      </c>
    </row>
    <row r="2005">
      <c r="A2005" s="25">
        <v>41317.645833333336</v>
      </c>
      <c r="B2005" s="25">
        <v>704.53</v>
      </c>
      <c r="C2005" s="25">
        <v>707.5</v>
      </c>
      <c r="D2005" s="25">
        <v>700.93</v>
      </c>
      <c r="E2005" s="25">
        <v>705.03</v>
      </c>
      <c r="F2005" s="25">
        <v>1112751.0</v>
      </c>
    </row>
    <row r="2006">
      <c r="A2006" s="25">
        <v>41318.645833333336</v>
      </c>
      <c r="B2006" s="25">
        <v>704.9</v>
      </c>
      <c r="C2006" s="25">
        <v>720.83</v>
      </c>
      <c r="D2006" s="25">
        <v>702.55</v>
      </c>
      <c r="E2006" s="25">
        <v>717.7</v>
      </c>
      <c r="F2006" s="25">
        <v>1911333.0</v>
      </c>
    </row>
    <row r="2007">
      <c r="A2007" s="25">
        <v>41319.645833333336</v>
      </c>
      <c r="B2007" s="25">
        <v>715.05</v>
      </c>
      <c r="C2007" s="25">
        <v>727.9</v>
      </c>
      <c r="D2007" s="25">
        <v>714.5</v>
      </c>
      <c r="E2007" s="25">
        <v>723.85</v>
      </c>
      <c r="F2007" s="25">
        <v>1473479.0</v>
      </c>
    </row>
    <row r="2008">
      <c r="A2008" s="25">
        <v>41320.645833333336</v>
      </c>
      <c r="B2008" s="25">
        <v>722.0</v>
      </c>
      <c r="C2008" s="25">
        <v>725.9</v>
      </c>
      <c r="D2008" s="25">
        <v>715.33</v>
      </c>
      <c r="E2008" s="25">
        <v>721.08</v>
      </c>
      <c r="F2008" s="25">
        <v>910395.0</v>
      </c>
    </row>
    <row r="2009">
      <c r="A2009" s="25">
        <v>41323.645833333336</v>
      </c>
      <c r="B2009" s="25">
        <v>720.05</v>
      </c>
      <c r="C2009" s="25">
        <v>720.95</v>
      </c>
      <c r="D2009" s="25">
        <v>710.0</v>
      </c>
      <c r="E2009" s="25">
        <v>712.68</v>
      </c>
      <c r="F2009" s="25">
        <v>476043.0</v>
      </c>
    </row>
    <row r="2010">
      <c r="A2010" s="25">
        <v>41324.645833333336</v>
      </c>
      <c r="B2010" s="25">
        <v>710.8</v>
      </c>
      <c r="C2010" s="25">
        <v>724.45</v>
      </c>
      <c r="D2010" s="25">
        <v>706.35</v>
      </c>
      <c r="E2010" s="25">
        <v>721.78</v>
      </c>
      <c r="F2010" s="25">
        <v>372147.0</v>
      </c>
    </row>
    <row r="2011">
      <c r="A2011" s="25">
        <v>41325.645833333336</v>
      </c>
      <c r="B2011" s="25">
        <v>720.75</v>
      </c>
      <c r="C2011" s="25">
        <v>728.5</v>
      </c>
      <c r="D2011" s="25">
        <v>720.75</v>
      </c>
      <c r="E2011" s="25">
        <v>726.4</v>
      </c>
      <c r="F2011" s="25">
        <v>1130759.0</v>
      </c>
    </row>
    <row r="2012">
      <c r="A2012" s="25">
        <v>41326.645833333336</v>
      </c>
      <c r="B2012" s="25">
        <v>720.35</v>
      </c>
      <c r="C2012" s="25">
        <v>728.43</v>
      </c>
      <c r="D2012" s="25">
        <v>720.35</v>
      </c>
      <c r="E2012" s="25">
        <v>725.53</v>
      </c>
      <c r="F2012" s="25">
        <v>1924573.0</v>
      </c>
    </row>
    <row r="2013">
      <c r="A2013" s="25">
        <v>41327.645833333336</v>
      </c>
      <c r="B2013" s="25">
        <v>725.0</v>
      </c>
      <c r="C2013" s="25">
        <v>732.03</v>
      </c>
      <c r="D2013" s="25">
        <v>721.15</v>
      </c>
      <c r="E2013" s="25">
        <v>727.55</v>
      </c>
      <c r="F2013" s="25">
        <v>655347.0</v>
      </c>
    </row>
    <row r="2014">
      <c r="A2014" s="25">
        <v>41330.645833333336</v>
      </c>
      <c r="B2014" s="25">
        <v>726.5</v>
      </c>
      <c r="C2014" s="25">
        <v>737.5</v>
      </c>
      <c r="D2014" s="25">
        <v>725.75</v>
      </c>
      <c r="E2014" s="25">
        <v>736.85</v>
      </c>
      <c r="F2014" s="25">
        <v>865015.0</v>
      </c>
    </row>
    <row r="2015">
      <c r="A2015" s="25">
        <v>41331.645833333336</v>
      </c>
      <c r="B2015" s="25">
        <v>733.5</v>
      </c>
      <c r="C2015" s="25">
        <v>749.98</v>
      </c>
      <c r="D2015" s="25">
        <v>733.0</v>
      </c>
      <c r="E2015" s="25">
        <v>748.2</v>
      </c>
      <c r="F2015" s="25">
        <v>1426835.0</v>
      </c>
    </row>
    <row r="2016">
      <c r="A2016" s="25">
        <v>41332.645833333336</v>
      </c>
      <c r="B2016" s="25">
        <v>747.63</v>
      </c>
      <c r="C2016" s="25">
        <v>751.53</v>
      </c>
      <c r="D2016" s="25">
        <v>738.65</v>
      </c>
      <c r="E2016" s="25">
        <v>741.6</v>
      </c>
      <c r="F2016" s="25">
        <v>1278341.0</v>
      </c>
    </row>
    <row r="2017">
      <c r="A2017" s="25">
        <v>41333.645833333336</v>
      </c>
      <c r="B2017" s="25">
        <v>743.13</v>
      </c>
      <c r="C2017" s="25">
        <v>762.5</v>
      </c>
      <c r="D2017" s="25">
        <v>742.63</v>
      </c>
      <c r="E2017" s="25">
        <v>758.5</v>
      </c>
      <c r="F2017" s="25">
        <v>2299712.0</v>
      </c>
    </row>
    <row r="2018">
      <c r="A2018" s="25">
        <v>41334.645833333336</v>
      </c>
      <c r="B2018" s="25">
        <v>757.55</v>
      </c>
      <c r="C2018" s="25">
        <v>758.0</v>
      </c>
      <c r="D2018" s="25">
        <v>749.0</v>
      </c>
      <c r="E2018" s="25">
        <v>750.93</v>
      </c>
      <c r="F2018" s="25">
        <v>1268663.0</v>
      </c>
    </row>
    <row r="2019">
      <c r="A2019" s="25">
        <v>41337.645833333336</v>
      </c>
      <c r="B2019" s="25">
        <v>745.5</v>
      </c>
      <c r="C2019" s="25">
        <v>759.95</v>
      </c>
      <c r="D2019" s="25">
        <v>745.5</v>
      </c>
      <c r="E2019" s="25">
        <v>756.6</v>
      </c>
      <c r="F2019" s="25">
        <v>1568038.0</v>
      </c>
    </row>
    <row r="2020">
      <c r="A2020" s="25">
        <v>41338.645833333336</v>
      </c>
      <c r="B2020" s="25">
        <v>758.5</v>
      </c>
      <c r="C2020" s="25">
        <v>771.5</v>
      </c>
      <c r="D2020" s="25">
        <v>754.3</v>
      </c>
      <c r="E2020" s="25">
        <v>770.08</v>
      </c>
      <c r="F2020" s="25">
        <v>1720027.0</v>
      </c>
    </row>
    <row r="2021">
      <c r="A2021" s="25">
        <v>41339.645833333336</v>
      </c>
      <c r="B2021" s="25">
        <v>768.08</v>
      </c>
      <c r="C2021" s="25">
        <v>782.75</v>
      </c>
      <c r="D2021" s="25">
        <v>768.08</v>
      </c>
      <c r="E2021" s="25">
        <v>780.6</v>
      </c>
      <c r="F2021" s="25">
        <v>1149755.0</v>
      </c>
    </row>
    <row r="2022">
      <c r="A2022" s="25">
        <v>41340.645833333336</v>
      </c>
      <c r="B2022" s="25">
        <v>780.5</v>
      </c>
      <c r="C2022" s="25">
        <v>798.8</v>
      </c>
      <c r="D2022" s="25">
        <v>779.68</v>
      </c>
      <c r="E2022" s="25">
        <v>794.95</v>
      </c>
      <c r="F2022" s="25">
        <v>1954351.0</v>
      </c>
    </row>
    <row r="2023">
      <c r="A2023" s="25">
        <v>41341.645833333336</v>
      </c>
      <c r="B2023" s="25">
        <v>795.0</v>
      </c>
      <c r="C2023" s="25">
        <v>797.83</v>
      </c>
      <c r="D2023" s="25">
        <v>787.45</v>
      </c>
      <c r="E2023" s="25">
        <v>791.58</v>
      </c>
      <c r="F2023" s="25">
        <v>2170751.0</v>
      </c>
    </row>
    <row r="2024">
      <c r="A2024" s="25">
        <v>41344.645833333336</v>
      </c>
      <c r="B2024" s="25">
        <v>787.5</v>
      </c>
      <c r="C2024" s="25">
        <v>794.78</v>
      </c>
      <c r="D2024" s="25">
        <v>778.33</v>
      </c>
      <c r="E2024" s="25">
        <v>783.1</v>
      </c>
      <c r="F2024" s="25">
        <v>1110665.0</v>
      </c>
    </row>
    <row r="2025">
      <c r="A2025" s="25">
        <v>41345.645833333336</v>
      </c>
      <c r="B2025" s="25">
        <v>779.0</v>
      </c>
      <c r="C2025" s="25">
        <v>783.98</v>
      </c>
      <c r="D2025" s="25">
        <v>774.0</v>
      </c>
      <c r="E2025" s="25">
        <v>780.25</v>
      </c>
      <c r="F2025" s="25">
        <v>904726.0</v>
      </c>
    </row>
    <row r="2026">
      <c r="A2026" s="25">
        <v>41346.645833333336</v>
      </c>
      <c r="B2026" s="25">
        <v>778.03</v>
      </c>
      <c r="C2026" s="25">
        <v>779.35</v>
      </c>
      <c r="D2026" s="25">
        <v>774.0</v>
      </c>
      <c r="E2026" s="25">
        <v>775.85</v>
      </c>
      <c r="F2026" s="25">
        <v>897248.0</v>
      </c>
    </row>
    <row r="2027">
      <c r="A2027" s="25">
        <v>41347.645833333336</v>
      </c>
      <c r="B2027" s="25">
        <v>778.5</v>
      </c>
      <c r="C2027" s="25">
        <v>788.5</v>
      </c>
      <c r="D2027" s="25">
        <v>771.9</v>
      </c>
      <c r="E2027" s="25">
        <v>783.85</v>
      </c>
      <c r="F2027" s="25">
        <v>1525609.0</v>
      </c>
    </row>
    <row r="2028">
      <c r="A2028" s="25">
        <v>41348.645833333336</v>
      </c>
      <c r="B2028" s="25">
        <v>786.0</v>
      </c>
      <c r="C2028" s="25">
        <v>790.2</v>
      </c>
      <c r="D2028" s="25">
        <v>780.3</v>
      </c>
      <c r="E2028" s="25">
        <v>785.13</v>
      </c>
      <c r="F2028" s="25">
        <v>2106199.0</v>
      </c>
    </row>
    <row r="2029">
      <c r="A2029" s="25">
        <v>41351.645833333336</v>
      </c>
      <c r="B2029" s="25">
        <v>779.93</v>
      </c>
      <c r="C2029" s="25">
        <v>786.83</v>
      </c>
      <c r="D2029" s="25">
        <v>777.2</v>
      </c>
      <c r="E2029" s="25">
        <v>783.48</v>
      </c>
      <c r="F2029" s="25">
        <v>847494.0</v>
      </c>
    </row>
    <row r="2030">
      <c r="A2030" s="25">
        <v>41352.645833333336</v>
      </c>
      <c r="B2030" s="25">
        <v>782.25</v>
      </c>
      <c r="C2030" s="25">
        <v>782.25</v>
      </c>
      <c r="D2030" s="25">
        <v>770.23</v>
      </c>
      <c r="E2030" s="25">
        <v>773.38</v>
      </c>
      <c r="F2030" s="25">
        <v>1869955.0</v>
      </c>
    </row>
    <row r="2031">
      <c r="A2031" s="25">
        <v>41353.645833333336</v>
      </c>
      <c r="B2031" s="25">
        <v>770.0</v>
      </c>
      <c r="C2031" s="25">
        <v>786.33</v>
      </c>
      <c r="D2031" s="25">
        <v>769.98</v>
      </c>
      <c r="E2031" s="25">
        <v>778.83</v>
      </c>
      <c r="F2031" s="25">
        <v>2084068.0</v>
      </c>
    </row>
    <row r="2032">
      <c r="A2032" s="25">
        <v>41354.645833333336</v>
      </c>
      <c r="B2032" s="25">
        <v>781.5</v>
      </c>
      <c r="C2032" s="25">
        <v>787.2</v>
      </c>
      <c r="D2032" s="25">
        <v>776.85</v>
      </c>
      <c r="E2032" s="25">
        <v>779.98</v>
      </c>
      <c r="F2032" s="25">
        <v>832302.0</v>
      </c>
    </row>
    <row r="2033">
      <c r="A2033" s="25">
        <v>41355.645833333336</v>
      </c>
      <c r="B2033" s="25">
        <v>780.7</v>
      </c>
      <c r="C2033" s="25">
        <v>781.05</v>
      </c>
      <c r="D2033" s="25">
        <v>766.0</v>
      </c>
      <c r="E2033" s="25">
        <v>771.08</v>
      </c>
      <c r="F2033" s="25">
        <v>1357228.0</v>
      </c>
    </row>
    <row r="2034">
      <c r="A2034" s="25">
        <v>41358.645833333336</v>
      </c>
      <c r="B2034" s="25">
        <v>774.25</v>
      </c>
      <c r="C2034" s="25">
        <v>776.0</v>
      </c>
      <c r="D2034" s="25">
        <v>764.2</v>
      </c>
      <c r="E2034" s="25">
        <v>771.68</v>
      </c>
      <c r="F2034" s="25">
        <v>928658.0</v>
      </c>
    </row>
    <row r="2035">
      <c r="A2035" s="25">
        <v>41359.645833333336</v>
      </c>
      <c r="B2035" s="25">
        <v>770.05</v>
      </c>
      <c r="C2035" s="25">
        <v>785.0</v>
      </c>
      <c r="D2035" s="25">
        <v>768.08</v>
      </c>
      <c r="E2035" s="25">
        <v>778.18</v>
      </c>
      <c r="F2035" s="25">
        <v>890768.0</v>
      </c>
    </row>
    <row r="2036">
      <c r="A2036" s="25">
        <v>41361.645833333336</v>
      </c>
      <c r="B2036" s="25">
        <v>778.0</v>
      </c>
      <c r="C2036" s="25">
        <v>791.7</v>
      </c>
      <c r="D2036" s="25">
        <v>770.83</v>
      </c>
      <c r="E2036" s="25">
        <v>787.88</v>
      </c>
      <c r="F2036" s="25">
        <v>1532831.0</v>
      </c>
    </row>
    <row r="2037">
      <c r="A2037" s="25">
        <v>41365.645833333336</v>
      </c>
      <c r="B2037" s="25">
        <v>782.5</v>
      </c>
      <c r="C2037" s="25">
        <v>786.85</v>
      </c>
      <c r="D2037" s="25">
        <v>775.63</v>
      </c>
      <c r="E2037" s="25">
        <v>778.43</v>
      </c>
      <c r="F2037" s="25">
        <v>484406.0</v>
      </c>
    </row>
    <row r="2038">
      <c r="A2038" s="25">
        <v>41366.645833333336</v>
      </c>
      <c r="B2038" s="25">
        <v>778.0</v>
      </c>
      <c r="C2038" s="25">
        <v>785.6</v>
      </c>
      <c r="D2038" s="25">
        <v>770.63</v>
      </c>
      <c r="E2038" s="25">
        <v>783.68</v>
      </c>
      <c r="F2038" s="25">
        <v>565166.0</v>
      </c>
    </row>
    <row r="2039">
      <c r="A2039" s="25">
        <v>41367.645833333336</v>
      </c>
      <c r="B2039" s="25">
        <v>785.0</v>
      </c>
      <c r="C2039" s="25">
        <v>787.5</v>
      </c>
      <c r="D2039" s="25">
        <v>765.5</v>
      </c>
      <c r="E2039" s="25">
        <v>771.7</v>
      </c>
      <c r="F2039" s="25">
        <v>479966.0</v>
      </c>
    </row>
    <row r="2040">
      <c r="A2040" s="25">
        <v>41368.645833333336</v>
      </c>
      <c r="B2040" s="25">
        <v>770.05</v>
      </c>
      <c r="C2040" s="25">
        <v>770.05</v>
      </c>
      <c r="D2040" s="25">
        <v>750.5</v>
      </c>
      <c r="E2040" s="25">
        <v>753.9</v>
      </c>
      <c r="F2040" s="25">
        <v>563169.0</v>
      </c>
    </row>
    <row r="2041">
      <c r="A2041" s="25">
        <v>41369.645833333336</v>
      </c>
      <c r="B2041" s="25">
        <v>752.5</v>
      </c>
      <c r="C2041" s="25">
        <v>754.68</v>
      </c>
      <c r="D2041" s="25">
        <v>742.05</v>
      </c>
      <c r="E2041" s="25">
        <v>749.18</v>
      </c>
      <c r="F2041" s="25">
        <v>932624.0</v>
      </c>
    </row>
    <row r="2042">
      <c r="A2042" s="25">
        <v>41372.645833333336</v>
      </c>
      <c r="B2042" s="25">
        <v>749.45</v>
      </c>
      <c r="C2042" s="25">
        <v>749.45</v>
      </c>
      <c r="D2042" s="25">
        <v>737.5</v>
      </c>
      <c r="E2042" s="25">
        <v>740.38</v>
      </c>
      <c r="F2042" s="25">
        <v>448208.0</v>
      </c>
    </row>
    <row r="2043">
      <c r="A2043" s="25">
        <v>41373.645833333336</v>
      </c>
      <c r="B2043" s="25">
        <v>740.0</v>
      </c>
      <c r="C2043" s="25">
        <v>756.5</v>
      </c>
      <c r="D2043" s="25">
        <v>738.8</v>
      </c>
      <c r="E2043" s="25">
        <v>748.7</v>
      </c>
      <c r="F2043" s="25">
        <v>836177.0</v>
      </c>
    </row>
    <row r="2044">
      <c r="A2044" s="25">
        <v>41374.645833333336</v>
      </c>
      <c r="B2044" s="25">
        <v>754.95</v>
      </c>
      <c r="C2044" s="25">
        <v>769.45</v>
      </c>
      <c r="D2044" s="25">
        <v>750.5</v>
      </c>
      <c r="E2044" s="25">
        <v>765.23</v>
      </c>
      <c r="F2044" s="25">
        <v>1023142.0</v>
      </c>
    </row>
    <row r="2045">
      <c r="A2045" s="25">
        <v>41375.645833333336</v>
      </c>
      <c r="B2045" s="25">
        <v>770.0</v>
      </c>
      <c r="C2045" s="25">
        <v>775.05</v>
      </c>
      <c r="D2045" s="25">
        <v>760.35</v>
      </c>
      <c r="E2045" s="25">
        <v>768.45</v>
      </c>
      <c r="F2045" s="25">
        <v>1122329.0</v>
      </c>
    </row>
    <row r="2046">
      <c r="A2046" s="25">
        <v>41376.645833333336</v>
      </c>
      <c r="B2046" s="25">
        <v>740.95</v>
      </c>
      <c r="C2046" s="25">
        <v>762.25</v>
      </c>
      <c r="D2046" s="25">
        <v>739.18</v>
      </c>
      <c r="E2046" s="25">
        <v>755.88</v>
      </c>
      <c r="F2046" s="25">
        <v>2516030.0</v>
      </c>
    </row>
    <row r="2047">
      <c r="A2047" s="25">
        <v>41379.645833333336</v>
      </c>
      <c r="B2047" s="25">
        <v>756.75</v>
      </c>
      <c r="C2047" s="25">
        <v>757.0</v>
      </c>
      <c r="D2047" s="25">
        <v>724.18</v>
      </c>
      <c r="E2047" s="25">
        <v>736.23</v>
      </c>
      <c r="F2047" s="25">
        <v>2695748.0</v>
      </c>
    </row>
    <row r="2048">
      <c r="A2048" s="25">
        <v>41380.645833333336</v>
      </c>
      <c r="B2048" s="25">
        <v>735.0</v>
      </c>
      <c r="C2048" s="25">
        <v>746.73</v>
      </c>
      <c r="D2048" s="25">
        <v>728.98</v>
      </c>
      <c r="E2048" s="25">
        <v>741.58</v>
      </c>
      <c r="F2048" s="25">
        <v>1535791.0</v>
      </c>
    </row>
    <row r="2049">
      <c r="A2049" s="25">
        <v>41381.645833333336</v>
      </c>
      <c r="B2049" s="25">
        <v>747.5</v>
      </c>
      <c r="C2049" s="25">
        <v>749.5</v>
      </c>
      <c r="D2049" s="25">
        <v>715.5</v>
      </c>
      <c r="E2049" s="25">
        <v>728.33</v>
      </c>
      <c r="F2049" s="25">
        <v>2639502.0</v>
      </c>
    </row>
    <row r="2050">
      <c r="A2050" s="25">
        <v>41382.645833333336</v>
      </c>
      <c r="B2050" s="25">
        <v>743.98</v>
      </c>
      <c r="C2050" s="25">
        <v>747.45</v>
      </c>
      <c r="D2050" s="25">
        <v>713.73</v>
      </c>
      <c r="E2050" s="25">
        <v>726.38</v>
      </c>
      <c r="F2050" s="25">
        <v>4277229.0</v>
      </c>
    </row>
    <row r="2051">
      <c r="A2051" s="25">
        <v>41386.645833333336</v>
      </c>
      <c r="B2051" s="25">
        <v>723.0</v>
      </c>
      <c r="C2051" s="25">
        <v>729.9</v>
      </c>
      <c r="D2051" s="25">
        <v>712.5</v>
      </c>
      <c r="E2051" s="25">
        <v>712.65</v>
      </c>
      <c r="F2051" s="25">
        <v>1481242.0</v>
      </c>
    </row>
    <row r="2052">
      <c r="A2052" s="25">
        <v>41387.645833333336</v>
      </c>
      <c r="B2052" s="25">
        <v>712.23</v>
      </c>
      <c r="C2052" s="25">
        <v>724.0</v>
      </c>
      <c r="D2052" s="25">
        <v>712.0</v>
      </c>
      <c r="E2052" s="25">
        <v>715.28</v>
      </c>
      <c r="F2052" s="25">
        <v>1692085.0</v>
      </c>
    </row>
    <row r="2053">
      <c r="A2053" s="25">
        <v>41389.645833333336</v>
      </c>
      <c r="B2053" s="25">
        <v>715.28</v>
      </c>
      <c r="C2053" s="25">
        <v>715.28</v>
      </c>
      <c r="D2053" s="25">
        <v>699.33</v>
      </c>
      <c r="E2053" s="25">
        <v>701.15</v>
      </c>
      <c r="F2053" s="25">
        <v>3964597.0</v>
      </c>
    </row>
    <row r="2054">
      <c r="A2054" s="25">
        <v>41390.645833333336</v>
      </c>
      <c r="B2054" s="25">
        <v>696.5</v>
      </c>
      <c r="C2054" s="25">
        <v>696.73</v>
      </c>
      <c r="D2054" s="25">
        <v>682.55</v>
      </c>
      <c r="E2054" s="25">
        <v>684.68</v>
      </c>
      <c r="F2054" s="25">
        <v>2377038.0</v>
      </c>
    </row>
    <row r="2055">
      <c r="A2055" s="25">
        <v>41393.645833333336</v>
      </c>
      <c r="B2055" s="25">
        <v>682.5</v>
      </c>
      <c r="C2055" s="25">
        <v>692.35</v>
      </c>
      <c r="D2055" s="25">
        <v>682.5</v>
      </c>
      <c r="E2055" s="25">
        <v>685.38</v>
      </c>
      <c r="F2055" s="25">
        <v>1984458.0</v>
      </c>
    </row>
    <row r="2056">
      <c r="A2056" s="25">
        <v>41394.645833333336</v>
      </c>
      <c r="B2056" s="25">
        <v>684.0</v>
      </c>
      <c r="C2056" s="25">
        <v>691.0</v>
      </c>
      <c r="D2056" s="25">
        <v>682.5</v>
      </c>
      <c r="E2056" s="25">
        <v>689.2</v>
      </c>
      <c r="F2056" s="25">
        <v>2010285.0</v>
      </c>
    </row>
    <row r="2057">
      <c r="A2057" s="25">
        <v>41396.645833333336</v>
      </c>
      <c r="B2057" s="25">
        <v>686.75</v>
      </c>
      <c r="C2057" s="25">
        <v>719.4</v>
      </c>
      <c r="D2057" s="25">
        <v>686.75</v>
      </c>
      <c r="E2057" s="25">
        <v>716.95</v>
      </c>
      <c r="F2057" s="25">
        <v>2815163.0</v>
      </c>
    </row>
    <row r="2058">
      <c r="A2058" s="25">
        <v>41397.645833333336</v>
      </c>
      <c r="B2058" s="25">
        <v>713.0</v>
      </c>
      <c r="C2058" s="25">
        <v>723.63</v>
      </c>
      <c r="D2058" s="25">
        <v>703.95</v>
      </c>
      <c r="E2058" s="25">
        <v>709.25</v>
      </c>
      <c r="F2058" s="25">
        <v>1820895.0</v>
      </c>
    </row>
    <row r="2059">
      <c r="A2059" s="25">
        <v>41400.645833333336</v>
      </c>
      <c r="B2059" s="25">
        <v>710.0</v>
      </c>
      <c r="C2059" s="25">
        <v>736.2</v>
      </c>
      <c r="D2059" s="25">
        <v>710.0</v>
      </c>
      <c r="E2059" s="25">
        <v>733.6</v>
      </c>
      <c r="F2059" s="25">
        <v>1863559.0</v>
      </c>
    </row>
    <row r="2060">
      <c r="A2060" s="25">
        <v>41401.645833333336</v>
      </c>
      <c r="B2060" s="25">
        <v>733.55</v>
      </c>
      <c r="C2060" s="25">
        <v>739.43</v>
      </c>
      <c r="D2060" s="25">
        <v>728.7</v>
      </c>
      <c r="E2060" s="25">
        <v>735.8</v>
      </c>
      <c r="F2060" s="25">
        <v>1130090.0</v>
      </c>
    </row>
    <row r="2061">
      <c r="A2061" s="25">
        <v>41402.645833333336</v>
      </c>
      <c r="B2061" s="25">
        <v>736.0</v>
      </c>
      <c r="C2061" s="25">
        <v>743.9</v>
      </c>
      <c r="D2061" s="25">
        <v>735.0</v>
      </c>
      <c r="E2061" s="25">
        <v>740.05</v>
      </c>
      <c r="F2061" s="25">
        <v>884065.0</v>
      </c>
    </row>
    <row r="2062">
      <c r="A2062" s="25">
        <v>41403.645833333336</v>
      </c>
      <c r="B2062" s="25">
        <v>741.6</v>
      </c>
      <c r="C2062" s="25">
        <v>751.73</v>
      </c>
      <c r="D2062" s="25">
        <v>741.5</v>
      </c>
      <c r="E2062" s="25">
        <v>749.23</v>
      </c>
      <c r="F2062" s="25">
        <v>974850.0</v>
      </c>
    </row>
    <row r="2063">
      <c r="A2063" s="25">
        <v>41404.645833333336</v>
      </c>
      <c r="B2063" s="25">
        <v>749.23</v>
      </c>
      <c r="C2063" s="25">
        <v>755.45</v>
      </c>
      <c r="D2063" s="25">
        <v>745.55</v>
      </c>
      <c r="E2063" s="25">
        <v>747.95</v>
      </c>
      <c r="F2063" s="25">
        <v>569857.0</v>
      </c>
    </row>
    <row r="2064">
      <c r="A2064" s="25">
        <v>41407.645833333336</v>
      </c>
      <c r="B2064" s="25">
        <v>740.0</v>
      </c>
      <c r="C2064" s="25">
        <v>740.5</v>
      </c>
      <c r="D2064" s="25">
        <v>722.85</v>
      </c>
      <c r="E2064" s="25">
        <v>725.8</v>
      </c>
      <c r="F2064" s="25">
        <v>931249.0</v>
      </c>
    </row>
    <row r="2065">
      <c r="A2065" s="25">
        <v>41408.645833333336</v>
      </c>
      <c r="B2065" s="25">
        <v>727.55</v>
      </c>
      <c r="C2065" s="25">
        <v>735.28</v>
      </c>
      <c r="D2065" s="25">
        <v>721.88</v>
      </c>
      <c r="E2065" s="25">
        <v>728.98</v>
      </c>
      <c r="F2065" s="25">
        <v>1125050.0</v>
      </c>
    </row>
    <row r="2066">
      <c r="A2066" s="25">
        <v>41409.645833333336</v>
      </c>
      <c r="B2066" s="25">
        <v>729.05</v>
      </c>
      <c r="C2066" s="25">
        <v>738.6</v>
      </c>
      <c r="D2066" s="25">
        <v>725.0</v>
      </c>
      <c r="E2066" s="25">
        <v>735.78</v>
      </c>
      <c r="F2066" s="25">
        <v>1782963.0</v>
      </c>
    </row>
    <row r="2067">
      <c r="A2067" s="25">
        <v>41410.645833333336</v>
      </c>
      <c r="B2067" s="25">
        <v>734.5</v>
      </c>
      <c r="C2067" s="25">
        <v>734.5</v>
      </c>
      <c r="D2067" s="25">
        <v>723.73</v>
      </c>
      <c r="E2067" s="25">
        <v>727.03</v>
      </c>
      <c r="F2067" s="25">
        <v>1207826.0</v>
      </c>
    </row>
    <row r="2068">
      <c r="A2068" s="25">
        <v>41411.645833333336</v>
      </c>
      <c r="B2068" s="25">
        <v>727.5</v>
      </c>
      <c r="C2068" s="25">
        <v>739.25</v>
      </c>
      <c r="D2068" s="25">
        <v>727.05</v>
      </c>
      <c r="E2068" s="25">
        <v>736.9</v>
      </c>
      <c r="F2068" s="25">
        <v>1450100.0</v>
      </c>
    </row>
    <row r="2069">
      <c r="A2069" s="25">
        <v>41414.645833333336</v>
      </c>
      <c r="B2069" s="25">
        <v>735.63</v>
      </c>
      <c r="C2069" s="25">
        <v>739.0</v>
      </c>
      <c r="D2069" s="25">
        <v>730.5</v>
      </c>
      <c r="E2069" s="25">
        <v>736.2</v>
      </c>
      <c r="F2069" s="25">
        <v>692752.0</v>
      </c>
    </row>
    <row r="2070">
      <c r="A2070" s="25">
        <v>41415.645833333336</v>
      </c>
      <c r="B2070" s="25">
        <v>732.5</v>
      </c>
      <c r="C2070" s="25">
        <v>751.0</v>
      </c>
      <c r="D2070" s="25">
        <v>732.5</v>
      </c>
      <c r="E2070" s="25">
        <v>746.43</v>
      </c>
      <c r="F2070" s="25">
        <v>949216.0</v>
      </c>
    </row>
    <row r="2071">
      <c r="A2071" s="25">
        <v>41416.645833333336</v>
      </c>
      <c r="B2071" s="25">
        <v>749.0</v>
      </c>
      <c r="C2071" s="25">
        <v>754.58</v>
      </c>
      <c r="D2071" s="25">
        <v>746.15</v>
      </c>
      <c r="E2071" s="25">
        <v>749.2</v>
      </c>
      <c r="F2071" s="25">
        <v>923472.0</v>
      </c>
    </row>
    <row r="2072">
      <c r="A2072" s="25">
        <v>41417.645833333336</v>
      </c>
      <c r="B2072" s="25">
        <v>747.5</v>
      </c>
      <c r="C2072" s="25">
        <v>763.38</v>
      </c>
      <c r="D2072" s="25">
        <v>739.18</v>
      </c>
      <c r="E2072" s="25">
        <v>746.35</v>
      </c>
      <c r="F2072" s="25">
        <v>1531981.0</v>
      </c>
    </row>
    <row r="2073">
      <c r="A2073" s="25">
        <v>41418.645833333336</v>
      </c>
      <c r="B2073" s="25">
        <v>750.0</v>
      </c>
      <c r="C2073" s="25">
        <v>751.48</v>
      </c>
      <c r="D2073" s="25">
        <v>731.8</v>
      </c>
      <c r="E2073" s="25">
        <v>734.78</v>
      </c>
      <c r="F2073" s="25">
        <v>793306.0</v>
      </c>
    </row>
    <row r="2074">
      <c r="A2074" s="25">
        <v>41421.645833333336</v>
      </c>
      <c r="B2074" s="25">
        <v>734.75</v>
      </c>
      <c r="C2074" s="25">
        <v>750.0</v>
      </c>
      <c r="D2074" s="25">
        <v>730.0</v>
      </c>
      <c r="E2074" s="25">
        <v>749.0</v>
      </c>
      <c r="F2074" s="25">
        <v>1011932.0</v>
      </c>
    </row>
    <row r="2075">
      <c r="A2075" s="25">
        <v>41422.645833333336</v>
      </c>
      <c r="B2075" s="25">
        <v>749.0</v>
      </c>
      <c r="C2075" s="25">
        <v>758.25</v>
      </c>
      <c r="D2075" s="25">
        <v>745.15</v>
      </c>
      <c r="E2075" s="25">
        <v>757.05</v>
      </c>
      <c r="F2075" s="25">
        <v>700127.0</v>
      </c>
    </row>
    <row r="2076">
      <c r="A2076" s="25">
        <v>41423.645833333336</v>
      </c>
      <c r="B2076" s="25">
        <v>758.0</v>
      </c>
      <c r="C2076" s="25">
        <v>763.75</v>
      </c>
      <c r="D2076" s="25">
        <v>742.55</v>
      </c>
      <c r="E2076" s="25">
        <v>748.68</v>
      </c>
      <c r="F2076" s="25">
        <v>726019.0</v>
      </c>
    </row>
    <row r="2077">
      <c r="A2077" s="25">
        <v>41424.645833333336</v>
      </c>
      <c r="B2077" s="25">
        <v>750.0</v>
      </c>
      <c r="C2077" s="25">
        <v>756.0</v>
      </c>
      <c r="D2077" s="25">
        <v>743.5</v>
      </c>
      <c r="E2077" s="25">
        <v>749.7</v>
      </c>
      <c r="F2077" s="25">
        <v>1204173.0</v>
      </c>
    </row>
    <row r="2078">
      <c r="A2078" s="25">
        <v>41425.645833333336</v>
      </c>
      <c r="B2078" s="25">
        <v>745.5</v>
      </c>
      <c r="C2078" s="25">
        <v>754.63</v>
      </c>
      <c r="D2078" s="25">
        <v>738.38</v>
      </c>
      <c r="E2078" s="25">
        <v>749.23</v>
      </c>
      <c r="F2078" s="25">
        <v>964934.0</v>
      </c>
    </row>
    <row r="2079">
      <c r="A2079" s="25">
        <v>41428.645833333336</v>
      </c>
      <c r="B2079" s="25">
        <v>752.0</v>
      </c>
      <c r="C2079" s="25">
        <v>753.5</v>
      </c>
      <c r="D2079" s="25">
        <v>728.55</v>
      </c>
      <c r="E2079" s="25">
        <v>734.7</v>
      </c>
      <c r="F2079" s="25">
        <v>1548806.0</v>
      </c>
    </row>
    <row r="2080">
      <c r="A2080" s="25">
        <v>41429.645833333336</v>
      </c>
      <c r="B2080" s="25">
        <v>730.0</v>
      </c>
      <c r="C2080" s="25">
        <v>736.95</v>
      </c>
      <c r="D2080" s="25">
        <v>725.08</v>
      </c>
      <c r="E2080" s="25">
        <v>732.68</v>
      </c>
      <c r="F2080" s="25">
        <v>652660.0</v>
      </c>
    </row>
    <row r="2081">
      <c r="A2081" s="25">
        <v>41430.645833333336</v>
      </c>
      <c r="B2081" s="25">
        <v>730.55</v>
      </c>
      <c r="C2081" s="25">
        <v>736.33</v>
      </c>
      <c r="D2081" s="25">
        <v>726.35</v>
      </c>
      <c r="E2081" s="25">
        <v>733.9</v>
      </c>
      <c r="F2081" s="25">
        <v>864338.0</v>
      </c>
    </row>
    <row r="2082">
      <c r="A2082" s="25">
        <v>41431.645833333336</v>
      </c>
      <c r="B2082" s="25">
        <v>726.85</v>
      </c>
      <c r="C2082" s="25">
        <v>739.25</v>
      </c>
      <c r="D2082" s="25">
        <v>726.03</v>
      </c>
      <c r="E2082" s="25">
        <v>735.38</v>
      </c>
      <c r="F2082" s="25">
        <v>1270226.0</v>
      </c>
    </row>
    <row r="2083">
      <c r="A2083" s="25">
        <v>41432.645833333336</v>
      </c>
      <c r="B2083" s="25">
        <v>735.05</v>
      </c>
      <c r="C2083" s="25">
        <v>769.5</v>
      </c>
      <c r="D2083" s="25">
        <v>734.0</v>
      </c>
      <c r="E2083" s="25">
        <v>759.48</v>
      </c>
      <c r="F2083" s="25">
        <v>1775422.0</v>
      </c>
    </row>
    <row r="2084">
      <c r="A2084" s="25">
        <v>41435.645833333336</v>
      </c>
      <c r="B2084" s="25">
        <v>762.53</v>
      </c>
      <c r="C2084" s="25">
        <v>772.35</v>
      </c>
      <c r="D2084" s="25">
        <v>759.55</v>
      </c>
      <c r="E2084" s="25">
        <v>762.53</v>
      </c>
      <c r="F2084" s="25">
        <v>1680215.0</v>
      </c>
    </row>
    <row r="2085">
      <c r="A2085" s="25">
        <v>41436.645833333336</v>
      </c>
      <c r="B2085" s="25">
        <v>765.1</v>
      </c>
      <c r="C2085" s="25">
        <v>771.0</v>
      </c>
      <c r="D2085" s="25">
        <v>746.0</v>
      </c>
      <c r="E2085" s="25">
        <v>750.78</v>
      </c>
      <c r="F2085" s="25">
        <v>1102734.0</v>
      </c>
    </row>
    <row r="2086">
      <c r="A2086" s="25">
        <v>41437.645833333336</v>
      </c>
      <c r="B2086" s="25">
        <v>747.05</v>
      </c>
      <c r="C2086" s="25">
        <v>747.55</v>
      </c>
      <c r="D2086" s="25">
        <v>731.03</v>
      </c>
      <c r="E2086" s="25">
        <v>734.05</v>
      </c>
      <c r="F2086" s="25">
        <v>2402977.0</v>
      </c>
    </row>
    <row r="2087">
      <c r="A2087" s="25">
        <v>41438.645833333336</v>
      </c>
      <c r="B2087" s="25">
        <v>730.0</v>
      </c>
      <c r="C2087" s="25">
        <v>732.0</v>
      </c>
      <c r="D2087" s="25">
        <v>717.55</v>
      </c>
      <c r="E2087" s="25">
        <v>722.83</v>
      </c>
      <c r="F2087" s="25">
        <v>1575671.0</v>
      </c>
    </row>
    <row r="2088">
      <c r="A2088" s="25">
        <v>41439.645833333336</v>
      </c>
      <c r="B2088" s="25">
        <v>724.0</v>
      </c>
      <c r="C2088" s="25">
        <v>728.63</v>
      </c>
      <c r="D2088" s="25">
        <v>715.5</v>
      </c>
      <c r="E2088" s="25">
        <v>725.35</v>
      </c>
      <c r="F2088" s="25">
        <v>1552998.0</v>
      </c>
    </row>
    <row r="2089">
      <c r="A2089" s="25">
        <v>41442.645833333336</v>
      </c>
      <c r="B2089" s="25">
        <v>726.5</v>
      </c>
      <c r="C2089" s="25">
        <v>732.5</v>
      </c>
      <c r="D2089" s="25">
        <v>714.0</v>
      </c>
      <c r="E2089" s="25">
        <v>726.23</v>
      </c>
      <c r="F2089" s="25">
        <v>1292081.0</v>
      </c>
    </row>
    <row r="2090">
      <c r="A2090" s="25">
        <v>41443.645833333336</v>
      </c>
      <c r="B2090" s="25">
        <v>727.5</v>
      </c>
      <c r="C2090" s="25">
        <v>730.0</v>
      </c>
      <c r="D2090" s="25">
        <v>720.08</v>
      </c>
      <c r="E2090" s="25">
        <v>721.9</v>
      </c>
      <c r="F2090" s="25">
        <v>1145764.0</v>
      </c>
    </row>
    <row r="2091">
      <c r="A2091" s="25">
        <v>41444.645833333336</v>
      </c>
      <c r="B2091" s="25">
        <v>727.45</v>
      </c>
      <c r="C2091" s="25">
        <v>727.45</v>
      </c>
      <c r="D2091" s="25">
        <v>711.78</v>
      </c>
      <c r="E2091" s="25">
        <v>713.85</v>
      </c>
      <c r="F2091" s="25">
        <v>1069894.0</v>
      </c>
    </row>
    <row r="2092">
      <c r="A2092" s="25">
        <v>41445.645833333336</v>
      </c>
      <c r="B2092" s="25">
        <v>710.5</v>
      </c>
      <c r="C2092" s="25">
        <v>716.58</v>
      </c>
      <c r="D2092" s="25">
        <v>699.55</v>
      </c>
      <c r="E2092" s="25">
        <v>702.25</v>
      </c>
      <c r="F2092" s="25">
        <v>2086439.0</v>
      </c>
    </row>
    <row r="2093">
      <c r="A2093" s="25">
        <v>41446.645833333336</v>
      </c>
      <c r="B2093" s="25">
        <v>704.4</v>
      </c>
      <c r="C2093" s="25">
        <v>715.93</v>
      </c>
      <c r="D2093" s="25">
        <v>704.0</v>
      </c>
      <c r="E2093" s="25">
        <v>711.13</v>
      </c>
      <c r="F2093" s="25">
        <v>1424112.0</v>
      </c>
    </row>
    <row r="2094">
      <c r="A2094" s="25">
        <v>41449.645833333336</v>
      </c>
      <c r="B2094" s="25">
        <v>707.5</v>
      </c>
      <c r="C2094" s="25">
        <v>717.05</v>
      </c>
      <c r="D2094" s="25">
        <v>700.05</v>
      </c>
      <c r="E2094" s="25">
        <v>705.35</v>
      </c>
      <c r="F2094" s="25">
        <v>944582.0</v>
      </c>
    </row>
    <row r="2095">
      <c r="A2095" s="25">
        <v>41450.645833333336</v>
      </c>
      <c r="B2095" s="25">
        <v>706.75</v>
      </c>
      <c r="C2095" s="25">
        <v>713.55</v>
      </c>
      <c r="D2095" s="25">
        <v>690.35</v>
      </c>
      <c r="E2095" s="25">
        <v>696.15</v>
      </c>
      <c r="F2095" s="25">
        <v>930274.0</v>
      </c>
    </row>
    <row r="2096">
      <c r="A2096" s="25">
        <v>41451.645833333336</v>
      </c>
      <c r="B2096" s="25">
        <v>698.45</v>
      </c>
      <c r="C2096" s="25">
        <v>723.88</v>
      </c>
      <c r="D2096" s="25">
        <v>690.53</v>
      </c>
      <c r="E2096" s="25">
        <v>718.85</v>
      </c>
      <c r="F2096" s="25">
        <v>1163244.0</v>
      </c>
    </row>
    <row r="2097">
      <c r="A2097" s="25">
        <v>41452.645833333336</v>
      </c>
      <c r="B2097" s="25">
        <v>723.9</v>
      </c>
      <c r="C2097" s="25">
        <v>748.5</v>
      </c>
      <c r="D2097" s="25">
        <v>721.0</v>
      </c>
      <c r="E2097" s="25">
        <v>745.95</v>
      </c>
      <c r="F2097" s="25">
        <v>1910339.0</v>
      </c>
    </row>
    <row r="2098">
      <c r="A2098" s="25">
        <v>41453.645833333336</v>
      </c>
      <c r="B2098" s="25">
        <v>747.5</v>
      </c>
      <c r="C2098" s="25">
        <v>762.15</v>
      </c>
      <c r="D2098" s="25">
        <v>729.1</v>
      </c>
      <c r="E2098" s="25">
        <v>759.08</v>
      </c>
      <c r="F2098" s="25">
        <v>2408548.0</v>
      </c>
    </row>
    <row r="2099">
      <c r="A2099" s="25">
        <v>41456.645833333336</v>
      </c>
      <c r="B2099" s="25">
        <v>756.0</v>
      </c>
      <c r="C2099" s="25">
        <v>758.35</v>
      </c>
      <c r="D2099" s="25">
        <v>741.7</v>
      </c>
      <c r="E2099" s="25">
        <v>746.18</v>
      </c>
      <c r="F2099" s="25">
        <v>677326.0</v>
      </c>
    </row>
    <row r="2100">
      <c r="A2100" s="25">
        <v>41457.645833333336</v>
      </c>
      <c r="B2100" s="25">
        <v>746.55</v>
      </c>
      <c r="C2100" s="25">
        <v>754.25</v>
      </c>
      <c r="D2100" s="25">
        <v>743.33</v>
      </c>
      <c r="E2100" s="25">
        <v>750.28</v>
      </c>
      <c r="F2100" s="25">
        <v>828621.0</v>
      </c>
    </row>
    <row r="2101">
      <c r="A2101" s="25">
        <v>41458.645833333336</v>
      </c>
      <c r="B2101" s="25">
        <v>748.85</v>
      </c>
      <c r="C2101" s="25">
        <v>759.5</v>
      </c>
      <c r="D2101" s="25">
        <v>732.5</v>
      </c>
      <c r="E2101" s="25">
        <v>744.9</v>
      </c>
      <c r="F2101" s="25">
        <v>765453.0</v>
      </c>
    </row>
    <row r="2102">
      <c r="A2102" s="25">
        <v>41459.645833333336</v>
      </c>
      <c r="B2102" s="25">
        <v>745.43</v>
      </c>
      <c r="C2102" s="25">
        <v>770.5</v>
      </c>
      <c r="D2102" s="25">
        <v>745.0</v>
      </c>
      <c r="E2102" s="25">
        <v>769.15</v>
      </c>
      <c r="F2102" s="25">
        <v>958530.0</v>
      </c>
    </row>
    <row r="2103">
      <c r="A2103" s="25">
        <v>41460.645833333336</v>
      </c>
      <c r="B2103" s="25">
        <v>771.0</v>
      </c>
      <c r="C2103" s="25">
        <v>779.0</v>
      </c>
      <c r="D2103" s="25">
        <v>761.0</v>
      </c>
      <c r="E2103" s="25">
        <v>765.1</v>
      </c>
      <c r="F2103" s="25">
        <v>646506.0</v>
      </c>
    </row>
    <row r="2104">
      <c r="A2104" s="25">
        <v>41463.645833333336</v>
      </c>
      <c r="B2104" s="25">
        <v>764.0</v>
      </c>
      <c r="C2104" s="25">
        <v>767.5</v>
      </c>
      <c r="D2104" s="25">
        <v>750.0</v>
      </c>
      <c r="E2104" s="25">
        <v>753.33</v>
      </c>
      <c r="F2104" s="25">
        <v>829398.0</v>
      </c>
    </row>
    <row r="2105">
      <c r="A2105" s="25">
        <v>41464.645833333336</v>
      </c>
      <c r="B2105" s="25">
        <v>747.65</v>
      </c>
      <c r="C2105" s="25">
        <v>760.88</v>
      </c>
      <c r="D2105" s="25">
        <v>747.65</v>
      </c>
      <c r="E2105" s="25">
        <v>752.45</v>
      </c>
      <c r="F2105" s="25">
        <v>548663.0</v>
      </c>
    </row>
    <row r="2106">
      <c r="A2106" s="25">
        <v>41465.645833333336</v>
      </c>
      <c r="B2106" s="25">
        <v>755.0</v>
      </c>
      <c r="C2106" s="25">
        <v>763.4</v>
      </c>
      <c r="D2106" s="25">
        <v>749.0</v>
      </c>
      <c r="E2106" s="25">
        <v>755.98</v>
      </c>
      <c r="F2106" s="25">
        <v>661312.0</v>
      </c>
    </row>
    <row r="2107">
      <c r="A2107" s="25">
        <v>41466.645833333336</v>
      </c>
      <c r="B2107" s="25">
        <v>760.0</v>
      </c>
      <c r="C2107" s="25">
        <v>785.0</v>
      </c>
      <c r="D2107" s="25">
        <v>760.0</v>
      </c>
      <c r="E2107" s="25">
        <v>782.28</v>
      </c>
      <c r="F2107" s="25">
        <v>1167637.0</v>
      </c>
    </row>
    <row r="2108">
      <c r="A2108" s="25">
        <v>41467.645833333336</v>
      </c>
      <c r="B2108" s="25">
        <v>797.5</v>
      </c>
      <c r="C2108" s="25">
        <v>812.4</v>
      </c>
      <c r="D2108" s="25">
        <v>789.65</v>
      </c>
      <c r="E2108" s="25">
        <v>804.93</v>
      </c>
      <c r="F2108" s="25">
        <v>1625768.0</v>
      </c>
    </row>
    <row r="2109">
      <c r="A2109" s="25">
        <v>41470.645833333336</v>
      </c>
      <c r="B2109" s="25">
        <v>800.55</v>
      </c>
      <c r="C2109" s="25">
        <v>823.65</v>
      </c>
      <c r="D2109" s="25">
        <v>799.65</v>
      </c>
      <c r="E2109" s="25">
        <v>820.88</v>
      </c>
      <c r="F2109" s="25">
        <v>1030285.0</v>
      </c>
    </row>
    <row r="2110">
      <c r="A2110" s="25">
        <v>41471.645833333336</v>
      </c>
      <c r="B2110" s="25">
        <v>812.5</v>
      </c>
      <c r="C2110" s="25">
        <v>833.18</v>
      </c>
      <c r="D2110" s="25">
        <v>808.8</v>
      </c>
      <c r="E2110" s="25">
        <v>824.68</v>
      </c>
      <c r="F2110" s="25">
        <v>1112493.0</v>
      </c>
    </row>
    <row r="2111">
      <c r="A2111" s="25">
        <v>41472.645833333336</v>
      </c>
      <c r="B2111" s="25">
        <v>822.53</v>
      </c>
      <c r="C2111" s="25">
        <v>842.48</v>
      </c>
      <c r="D2111" s="25">
        <v>822.53</v>
      </c>
      <c r="E2111" s="25">
        <v>839.25</v>
      </c>
      <c r="F2111" s="25">
        <v>1499625.0</v>
      </c>
    </row>
    <row r="2112">
      <c r="A2112" s="25">
        <v>41473.645833333336</v>
      </c>
      <c r="B2112" s="25">
        <v>840.0</v>
      </c>
      <c r="C2112" s="25">
        <v>846.15</v>
      </c>
      <c r="D2112" s="25">
        <v>822.0</v>
      </c>
      <c r="E2112" s="25">
        <v>830.2</v>
      </c>
      <c r="F2112" s="25">
        <v>1722766.0</v>
      </c>
    </row>
    <row r="2113">
      <c r="A2113" s="25">
        <v>41474.645833333336</v>
      </c>
      <c r="B2113" s="25">
        <v>859.5</v>
      </c>
      <c r="C2113" s="25">
        <v>879.5</v>
      </c>
      <c r="D2113" s="25">
        <v>850.0</v>
      </c>
      <c r="E2113" s="25">
        <v>871.4</v>
      </c>
      <c r="F2113" s="25">
        <v>4275402.0</v>
      </c>
    </row>
    <row r="2114">
      <c r="A2114" s="25">
        <v>41477.645833333336</v>
      </c>
      <c r="B2114" s="25">
        <v>870.5</v>
      </c>
      <c r="C2114" s="25">
        <v>879.4</v>
      </c>
      <c r="D2114" s="25">
        <v>864.15</v>
      </c>
      <c r="E2114" s="25">
        <v>873.25</v>
      </c>
      <c r="F2114" s="25">
        <v>1487386.0</v>
      </c>
    </row>
    <row r="2115">
      <c r="A2115" s="25">
        <v>41478.645833333336</v>
      </c>
      <c r="B2115" s="25">
        <v>874.0</v>
      </c>
      <c r="C2115" s="25">
        <v>890.23</v>
      </c>
      <c r="D2115" s="25">
        <v>871.8</v>
      </c>
      <c r="E2115" s="25">
        <v>874.9</v>
      </c>
      <c r="F2115" s="25">
        <v>823251.0</v>
      </c>
    </row>
    <row r="2116">
      <c r="A2116" s="25">
        <v>41479.645833333336</v>
      </c>
      <c r="B2116" s="25">
        <v>874.25</v>
      </c>
      <c r="C2116" s="25">
        <v>896.0</v>
      </c>
      <c r="D2116" s="25">
        <v>872.5</v>
      </c>
      <c r="E2116" s="25">
        <v>891.4</v>
      </c>
      <c r="F2116" s="25">
        <v>1090822.0</v>
      </c>
    </row>
    <row r="2117">
      <c r="A2117" s="25">
        <v>41480.645833333336</v>
      </c>
      <c r="B2117" s="25">
        <v>890.0</v>
      </c>
      <c r="C2117" s="25">
        <v>905.0</v>
      </c>
      <c r="D2117" s="25">
        <v>883.35</v>
      </c>
      <c r="E2117" s="25">
        <v>897.88</v>
      </c>
      <c r="F2117" s="25">
        <v>2044404.0</v>
      </c>
    </row>
    <row r="2118">
      <c r="A2118" s="25">
        <v>41481.645833333336</v>
      </c>
      <c r="B2118" s="25">
        <v>897.5</v>
      </c>
      <c r="C2118" s="25">
        <v>899.48</v>
      </c>
      <c r="D2118" s="25">
        <v>875.05</v>
      </c>
      <c r="E2118" s="25">
        <v>887.25</v>
      </c>
      <c r="F2118" s="25">
        <v>1189532.0</v>
      </c>
    </row>
    <row r="2119">
      <c r="A2119" s="25">
        <v>41484.645833333336</v>
      </c>
      <c r="B2119" s="25">
        <v>879.0</v>
      </c>
      <c r="C2119" s="25">
        <v>897.3</v>
      </c>
      <c r="D2119" s="25">
        <v>878.63</v>
      </c>
      <c r="E2119" s="25">
        <v>889.6</v>
      </c>
      <c r="F2119" s="25">
        <v>887131.0</v>
      </c>
    </row>
    <row r="2120">
      <c r="A2120" s="25">
        <v>41485.645833333336</v>
      </c>
      <c r="B2120" s="25">
        <v>890.0</v>
      </c>
      <c r="C2120" s="25">
        <v>902.48</v>
      </c>
      <c r="D2120" s="25">
        <v>887.73</v>
      </c>
      <c r="E2120" s="25">
        <v>896.15</v>
      </c>
      <c r="F2120" s="25">
        <v>1308742.0</v>
      </c>
    </row>
    <row r="2121">
      <c r="A2121" s="25">
        <v>41486.645833333336</v>
      </c>
      <c r="B2121" s="25">
        <v>895.0</v>
      </c>
      <c r="C2121" s="25">
        <v>915.75</v>
      </c>
      <c r="D2121" s="25">
        <v>894.73</v>
      </c>
      <c r="E2121" s="25">
        <v>907.75</v>
      </c>
      <c r="F2121" s="25">
        <v>1413375.0</v>
      </c>
    </row>
    <row r="2122">
      <c r="A2122" s="25">
        <v>41487.645833333336</v>
      </c>
      <c r="B2122" s="25">
        <v>905.03</v>
      </c>
      <c r="C2122" s="25">
        <v>917.4</v>
      </c>
      <c r="D2122" s="25">
        <v>895.0</v>
      </c>
      <c r="E2122" s="25">
        <v>907.7</v>
      </c>
      <c r="F2122" s="25">
        <v>1070589.0</v>
      </c>
    </row>
    <row r="2123">
      <c r="A2123" s="25">
        <v>41488.645833333336</v>
      </c>
      <c r="B2123" s="25">
        <v>909.85</v>
      </c>
      <c r="C2123" s="25">
        <v>924.95</v>
      </c>
      <c r="D2123" s="25">
        <v>908.35</v>
      </c>
      <c r="E2123" s="25">
        <v>922.93</v>
      </c>
      <c r="F2123" s="25">
        <v>923427.0</v>
      </c>
    </row>
    <row r="2124">
      <c r="A2124" s="25">
        <v>41491.645833333336</v>
      </c>
      <c r="B2124" s="25">
        <v>920.0</v>
      </c>
      <c r="C2124" s="25">
        <v>938.7</v>
      </c>
      <c r="D2124" s="25">
        <v>920.0</v>
      </c>
      <c r="E2124" s="25">
        <v>933.6</v>
      </c>
      <c r="F2124" s="25">
        <v>1177592.0</v>
      </c>
    </row>
    <row r="2125">
      <c r="A2125" s="25">
        <v>41492.645833333336</v>
      </c>
      <c r="B2125" s="25">
        <v>936.5</v>
      </c>
      <c r="C2125" s="25">
        <v>940.98</v>
      </c>
      <c r="D2125" s="25">
        <v>932.33</v>
      </c>
      <c r="E2125" s="25">
        <v>935.05</v>
      </c>
      <c r="F2125" s="25">
        <v>1152645.0</v>
      </c>
    </row>
    <row r="2126">
      <c r="A2126" s="25">
        <v>41493.645833333336</v>
      </c>
      <c r="B2126" s="25">
        <v>937.0</v>
      </c>
      <c r="C2126" s="25">
        <v>945.45</v>
      </c>
      <c r="D2126" s="25">
        <v>906.73</v>
      </c>
      <c r="E2126" s="25">
        <v>911.35</v>
      </c>
      <c r="F2126" s="25">
        <v>1347490.0</v>
      </c>
    </row>
    <row r="2127">
      <c r="A2127" s="25">
        <v>41494.645833333336</v>
      </c>
      <c r="B2127" s="25">
        <v>902.55</v>
      </c>
      <c r="C2127" s="25">
        <v>928.08</v>
      </c>
      <c r="D2127" s="25">
        <v>891.85</v>
      </c>
      <c r="E2127" s="25">
        <v>922.7</v>
      </c>
      <c r="F2127" s="25">
        <v>1079314.0</v>
      </c>
    </row>
    <row r="2128">
      <c r="A2128" s="25">
        <v>41498.645833333336</v>
      </c>
      <c r="B2128" s="25">
        <v>920.5</v>
      </c>
      <c r="C2128" s="25">
        <v>920.5</v>
      </c>
      <c r="D2128" s="25">
        <v>904.08</v>
      </c>
      <c r="E2128" s="25">
        <v>907.0</v>
      </c>
      <c r="F2128" s="25">
        <v>1038787.0</v>
      </c>
    </row>
    <row r="2129">
      <c r="A2129" s="25">
        <v>41499.645833333336</v>
      </c>
      <c r="B2129" s="25">
        <v>910.1</v>
      </c>
      <c r="C2129" s="25">
        <v>922.43</v>
      </c>
      <c r="D2129" s="25">
        <v>904.98</v>
      </c>
      <c r="E2129" s="25">
        <v>909.9</v>
      </c>
      <c r="F2129" s="25">
        <v>1084148.0</v>
      </c>
    </row>
    <row r="2130">
      <c r="A2130" s="25">
        <v>41500.645833333336</v>
      </c>
      <c r="B2130" s="25">
        <v>912.25</v>
      </c>
      <c r="C2130" s="25">
        <v>929.0</v>
      </c>
      <c r="D2130" s="25">
        <v>901.0</v>
      </c>
      <c r="E2130" s="25">
        <v>916.75</v>
      </c>
      <c r="F2130" s="25">
        <v>1651034.0</v>
      </c>
    </row>
    <row r="2131">
      <c r="A2131" s="25">
        <v>41502.645833333336</v>
      </c>
      <c r="B2131" s="25">
        <v>912.1</v>
      </c>
      <c r="C2131" s="25">
        <v>915.0</v>
      </c>
      <c r="D2131" s="25">
        <v>877.78</v>
      </c>
      <c r="E2131" s="25">
        <v>890.45</v>
      </c>
      <c r="F2131" s="25">
        <v>1389965.0</v>
      </c>
    </row>
    <row r="2132">
      <c r="A2132" s="25">
        <v>41505.645833333336</v>
      </c>
      <c r="B2132" s="25">
        <v>899.0</v>
      </c>
      <c r="C2132" s="25">
        <v>903.5</v>
      </c>
      <c r="D2132" s="25">
        <v>877.78</v>
      </c>
      <c r="E2132" s="25">
        <v>888.73</v>
      </c>
      <c r="F2132" s="25">
        <v>1060676.0</v>
      </c>
    </row>
    <row r="2133">
      <c r="A2133" s="25">
        <v>41506.645833333336</v>
      </c>
      <c r="B2133" s="25">
        <v>894.9</v>
      </c>
      <c r="C2133" s="25">
        <v>894.9</v>
      </c>
      <c r="D2133" s="25">
        <v>865.0</v>
      </c>
      <c r="E2133" s="25">
        <v>868.2</v>
      </c>
      <c r="F2133" s="25">
        <v>1362422.0</v>
      </c>
    </row>
    <row r="2134">
      <c r="A2134" s="25">
        <v>41507.645833333336</v>
      </c>
      <c r="B2134" s="25">
        <v>870.05</v>
      </c>
      <c r="C2134" s="25">
        <v>871.85</v>
      </c>
      <c r="D2134" s="25">
        <v>850.58</v>
      </c>
      <c r="E2134" s="25">
        <v>858.9</v>
      </c>
      <c r="F2134" s="25">
        <v>1811997.0</v>
      </c>
    </row>
    <row r="2135">
      <c r="A2135" s="25">
        <v>41508.645833333336</v>
      </c>
      <c r="B2135" s="25">
        <v>852.5</v>
      </c>
      <c r="C2135" s="25">
        <v>898.58</v>
      </c>
      <c r="D2135" s="25">
        <v>847.6</v>
      </c>
      <c r="E2135" s="25">
        <v>889.48</v>
      </c>
      <c r="F2135" s="25">
        <v>2130494.0</v>
      </c>
    </row>
    <row r="2136">
      <c r="A2136" s="25">
        <v>41509.645833333336</v>
      </c>
      <c r="B2136" s="25">
        <v>897.0</v>
      </c>
      <c r="C2136" s="25">
        <v>919.0</v>
      </c>
      <c r="D2136" s="25">
        <v>892.15</v>
      </c>
      <c r="E2136" s="25">
        <v>914.73</v>
      </c>
      <c r="F2136" s="25">
        <v>2016442.0</v>
      </c>
    </row>
    <row r="2137">
      <c r="A2137" s="25">
        <v>41512.645833333336</v>
      </c>
      <c r="B2137" s="25">
        <v>911.55</v>
      </c>
      <c r="C2137" s="25">
        <v>939.3</v>
      </c>
      <c r="D2137" s="25">
        <v>907.0</v>
      </c>
      <c r="E2137" s="25">
        <v>921.0</v>
      </c>
      <c r="F2137" s="25">
        <v>1331619.0</v>
      </c>
    </row>
    <row r="2138">
      <c r="A2138" s="25">
        <v>41513.645833333336</v>
      </c>
      <c r="B2138" s="25">
        <v>919.5</v>
      </c>
      <c r="C2138" s="25">
        <v>939.43</v>
      </c>
      <c r="D2138" s="25">
        <v>915.0</v>
      </c>
      <c r="E2138" s="25">
        <v>919.4</v>
      </c>
      <c r="F2138" s="25">
        <v>972642.0</v>
      </c>
    </row>
    <row r="2139">
      <c r="A2139" s="25">
        <v>41514.645833333336</v>
      </c>
      <c r="B2139" s="25">
        <v>914.0</v>
      </c>
      <c r="C2139" s="25">
        <v>973.05</v>
      </c>
      <c r="D2139" s="25">
        <v>914.0</v>
      </c>
      <c r="E2139" s="25">
        <v>953.95</v>
      </c>
      <c r="F2139" s="25">
        <v>2222342.0</v>
      </c>
    </row>
    <row r="2140">
      <c r="A2140" s="25">
        <v>41515.645833333336</v>
      </c>
      <c r="B2140" s="25">
        <v>950.5</v>
      </c>
      <c r="C2140" s="25">
        <v>985.0</v>
      </c>
      <c r="D2140" s="25">
        <v>939.15</v>
      </c>
      <c r="E2140" s="25">
        <v>973.55</v>
      </c>
      <c r="F2140" s="25">
        <v>2952591.0</v>
      </c>
    </row>
    <row r="2141">
      <c r="A2141" s="25">
        <v>41516.645833333336</v>
      </c>
      <c r="B2141" s="25">
        <v>969.5</v>
      </c>
      <c r="C2141" s="25">
        <v>1025.0</v>
      </c>
      <c r="D2141" s="25">
        <v>965.0</v>
      </c>
      <c r="E2141" s="25">
        <v>1016.6</v>
      </c>
      <c r="F2141" s="25">
        <v>2641471.0</v>
      </c>
    </row>
    <row r="2142">
      <c r="A2142" s="25">
        <v>41519.645833333336</v>
      </c>
      <c r="B2142" s="25">
        <v>1010.0</v>
      </c>
      <c r="C2142" s="25">
        <v>1034.5</v>
      </c>
      <c r="D2142" s="25">
        <v>1008.75</v>
      </c>
      <c r="E2142" s="25">
        <v>1028.43</v>
      </c>
      <c r="F2142" s="25">
        <v>1077017.0</v>
      </c>
    </row>
    <row r="2143">
      <c r="A2143" s="25">
        <v>41520.645833333336</v>
      </c>
      <c r="B2143" s="25">
        <v>1025.05</v>
      </c>
      <c r="C2143" s="25">
        <v>1033.5</v>
      </c>
      <c r="D2143" s="25">
        <v>993.08</v>
      </c>
      <c r="E2143" s="25">
        <v>1000.55</v>
      </c>
      <c r="F2143" s="25">
        <v>1177532.0</v>
      </c>
    </row>
    <row r="2144">
      <c r="A2144" s="25">
        <v>41521.645833333336</v>
      </c>
      <c r="B2144" s="25">
        <v>1000.0</v>
      </c>
      <c r="C2144" s="25">
        <v>1039.4</v>
      </c>
      <c r="D2144" s="25">
        <v>996.98</v>
      </c>
      <c r="E2144" s="25">
        <v>1034.55</v>
      </c>
      <c r="F2144" s="25">
        <v>1313258.0</v>
      </c>
    </row>
    <row r="2145">
      <c r="A2145" s="25">
        <v>41522.645833333336</v>
      </c>
      <c r="B2145" s="25">
        <v>1034.5</v>
      </c>
      <c r="C2145" s="25">
        <v>1034.5</v>
      </c>
      <c r="D2145" s="25">
        <v>990.53</v>
      </c>
      <c r="E2145" s="25">
        <v>995.38</v>
      </c>
      <c r="F2145" s="25">
        <v>1963746.0</v>
      </c>
    </row>
    <row r="2146">
      <c r="A2146" s="25">
        <v>41523.645833333336</v>
      </c>
      <c r="B2146" s="25">
        <v>1004.5</v>
      </c>
      <c r="C2146" s="25">
        <v>1012.5</v>
      </c>
      <c r="D2146" s="25">
        <v>987.5</v>
      </c>
      <c r="E2146" s="25">
        <v>994.4</v>
      </c>
      <c r="F2146" s="25">
        <v>1379798.0</v>
      </c>
    </row>
    <row r="2147">
      <c r="A2147" s="25">
        <v>41527.645833333336</v>
      </c>
      <c r="B2147" s="25">
        <v>993.0</v>
      </c>
      <c r="C2147" s="25">
        <v>1008.35</v>
      </c>
      <c r="D2147" s="25">
        <v>990.5</v>
      </c>
      <c r="E2147" s="25">
        <v>993.95</v>
      </c>
      <c r="F2147" s="25">
        <v>2150486.0</v>
      </c>
    </row>
    <row r="2148">
      <c r="A2148" s="25">
        <v>41528.645833333336</v>
      </c>
      <c r="B2148" s="25">
        <v>1004.0</v>
      </c>
      <c r="C2148" s="25">
        <v>1009.0</v>
      </c>
      <c r="D2148" s="25">
        <v>991.75</v>
      </c>
      <c r="E2148" s="25">
        <v>996.9</v>
      </c>
      <c r="F2148" s="25">
        <v>1504247.0</v>
      </c>
    </row>
    <row r="2149">
      <c r="A2149" s="25">
        <v>41529.645833333336</v>
      </c>
      <c r="B2149" s="25">
        <v>997.5</v>
      </c>
      <c r="C2149" s="25">
        <v>999.28</v>
      </c>
      <c r="D2149" s="25">
        <v>972.9</v>
      </c>
      <c r="E2149" s="25">
        <v>983.95</v>
      </c>
      <c r="F2149" s="25">
        <v>952784.0</v>
      </c>
    </row>
    <row r="2150">
      <c r="A2150" s="25">
        <v>41530.645833333336</v>
      </c>
      <c r="B2150" s="25">
        <v>982.5</v>
      </c>
      <c r="C2150" s="25">
        <v>995.0</v>
      </c>
      <c r="D2150" s="25">
        <v>973.28</v>
      </c>
      <c r="E2150" s="25">
        <v>976.88</v>
      </c>
      <c r="F2150" s="25">
        <v>1048160.0</v>
      </c>
    </row>
    <row r="2151">
      <c r="A2151" s="25">
        <v>41533.645833333336</v>
      </c>
      <c r="B2151" s="25">
        <v>975.0</v>
      </c>
      <c r="C2151" s="25">
        <v>992.5</v>
      </c>
      <c r="D2151" s="25">
        <v>947.03</v>
      </c>
      <c r="E2151" s="25">
        <v>951.28</v>
      </c>
      <c r="F2151" s="25">
        <v>1230253.0</v>
      </c>
    </row>
    <row r="2152">
      <c r="A2152" s="25">
        <v>41534.645833333336</v>
      </c>
      <c r="B2152" s="25">
        <v>950.0</v>
      </c>
      <c r="C2152" s="25">
        <v>976.28</v>
      </c>
      <c r="D2152" s="25">
        <v>948.55</v>
      </c>
      <c r="E2152" s="25">
        <v>973.73</v>
      </c>
      <c r="F2152" s="25">
        <v>1663908.0</v>
      </c>
    </row>
    <row r="2153">
      <c r="A2153" s="25">
        <v>41535.645833333336</v>
      </c>
      <c r="B2153" s="25">
        <v>971.03</v>
      </c>
      <c r="C2153" s="25">
        <v>982.4</v>
      </c>
      <c r="D2153" s="25">
        <v>968.95</v>
      </c>
      <c r="E2153" s="25">
        <v>977.25</v>
      </c>
      <c r="F2153" s="25">
        <v>1054909.0</v>
      </c>
    </row>
    <row r="2154">
      <c r="A2154" s="25">
        <v>41536.645833333336</v>
      </c>
      <c r="B2154" s="25">
        <v>974.0</v>
      </c>
      <c r="C2154" s="25">
        <v>995.0</v>
      </c>
      <c r="D2154" s="25">
        <v>963.25</v>
      </c>
      <c r="E2154" s="25">
        <v>983.15</v>
      </c>
      <c r="F2154" s="25">
        <v>1953620.0</v>
      </c>
    </row>
    <row r="2155">
      <c r="A2155" s="25">
        <v>41537.645833333336</v>
      </c>
      <c r="B2155" s="25">
        <v>975.0</v>
      </c>
      <c r="C2155" s="25">
        <v>994.95</v>
      </c>
      <c r="D2155" s="25">
        <v>970.5</v>
      </c>
      <c r="E2155" s="25">
        <v>975.15</v>
      </c>
      <c r="F2155" s="25">
        <v>1795929.0</v>
      </c>
    </row>
    <row r="2156">
      <c r="A2156" s="25">
        <v>41540.645833333336</v>
      </c>
      <c r="B2156" s="25">
        <v>975.0</v>
      </c>
      <c r="C2156" s="25">
        <v>988.6</v>
      </c>
      <c r="D2156" s="25">
        <v>970.0</v>
      </c>
      <c r="E2156" s="25">
        <v>977.55</v>
      </c>
      <c r="F2156" s="25">
        <v>1494379.0</v>
      </c>
    </row>
    <row r="2157">
      <c r="A2157" s="25">
        <v>41541.645833333336</v>
      </c>
      <c r="B2157" s="25">
        <v>977.5</v>
      </c>
      <c r="C2157" s="25">
        <v>988.95</v>
      </c>
      <c r="D2157" s="25">
        <v>963.0</v>
      </c>
      <c r="E2157" s="25">
        <v>969.75</v>
      </c>
      <c r="F2157" s="25">
        <v>2470150.0</v>
      </c>
    </row>
    <row r="2158">
      <c r="A2158" s="25">
        <v>41542.645833333336</v>
      </c>
      <c r="B2158" s="25">
        <v>970.75</v>
      </c>
      <c r="C2158" s="25">
        <v>985.48</v>
      </c>
      <c r="D2158" s="25">
        <v>960.1</v>
      </c>
      <c r="E2158" s="25">
        <v>979.53</v>
      </c>
      <c r="F2158" s="25">
        <v>2166929.0</v>
      </c>
    </row>
    <row r="2159">
      <c r="A2159" s="25">
        <v>41543.645833333336</v>
      </c>
      <c r="B2159" s="25">
        <v>977.4</v>
      </c>
      <c r="C2159" s="25">
        <v>987.05</v>
      </c>
      <c r="D2159" s="25">
        <v>967.55</v>
      </c>
      <c r="E2159" s="25">
        <v>971.45</v>
      </c>
      <c r="F2159" s="25">
        <v>2459852.0</v>
      </c>
    </row>
    <row r="2160">
      <c r="A2160" s="25">
        <v>41544.645833333336</v>
      </c>
      <c r="B2160" s="25">
        <v>971.55</v>
      </c>
      <c r="C2160" s="25">
        <v>980.98</v>
      </c>
      <c r="D2160" s="25">
        <v>968.73</v>
      </c>
      <c r="E2160" s="25">
        <v>974.05</v>
      </c>
      <c r="F2160" s="25">
        <v>892333.0</v>
      </c>
    </row>
    <row r="2161">
      <c r="A2161" s="25">
        <v>41547.645833333336</v>
      </c>
      <c r="B2161" s="25">
        <v>977.0</v>
      </c>
      <c r="C2161" s="25">
        <v>980.93</v>
      </c>
      <c r="D2161" s="25">
        <v>960.0</v>
      </c>
      <c r="E2161" s="25">
        <v>963.9</v>
      </c>
      <c r="F2161" s="25">
        <v>993675.0</v>
      </c>
    </row>
    <row r="2162">
      <c r="A2162" s="25">
        <v>41548.645833333336</v>
      </c>
      <c r="B2162" s="25">
        <v>966.0</v>
      </c>
      <c r="C2162" s="25">
        <v>977.43</v>
      </c>
      <c r="D2162" s="25">
        <v>958.35</v>
      </c>
      <c r="E2162" s="25">
        <v>974.53</v>
      </c>
      <c r="F2162" s="25">
        <v>795997.0</v>
      </c>
    </row>
    <row r="2163">
      <c r="A2163" s="25">
        <v>41550.645833333336</v>
      </c>
      <c r="B2163" s="25">
        <v>985.9</v>
      </c>
      <c r="C2163" s="25">
        <v>1018.45</v>
      </c>
      <c r="D2163" s="25">
        <v>980.2</v>
      </c>
      <c r="E2163" s="25">
        <v>1012.3</v>
      </c>
      <c r="F2163" s="25">
        <v>2336177.0</v>
      </c>
    </row>
    <row r="2164">
      <c r="A2164" s="25">
        <v>41551.645833333336</v>
      </c>
      <c r="B2164" s="25">
        <v>1016.0</v>
      </c>
      <c r="C2164" s="25">
        <v>1034.5</v>
      </c>
      <c r="D2164" s="25">
        <v>1013.48</v>
      </c>
      <c r="E2164" s="25">
        <v>1016.8</v>
      </c>
      <c r="F2164" s="25">
        <v>967016.0</v>
      </c>
    </row>
    <row r="2165">
      <c r="A2165" s="25">
        <v>41554.645833333336</v>
      </c>
      <c r="B2165" s="25">
        <v>1017.5</v>
      </c>
      <c r="C2165" s="25">
        <v>1048.85</v>
      </c>
      <c r="D2165" s="25">
        <v>1012.65</v>
      </c>
      <c r="E2165" s="25">
        <v>1044.88</v>
      </c>
      <c r="F2165" s="25">
        <v>996939.0</v>
      </c>
    </row>
    <row r="2166">
      <c r="A2166" s="25">
        <v>41555.645833333336</v>
      </c>
      <c r="B2166" s="25">
        <v>1041.5</v>
      </c>
      <c r="C2166" s="25">
        <v>1049.0</v>
      </c>
      <c r="D2166" s="25">
        <v>1028.28</v>
      </c>
      <c r="E2166" s="25">
        <v>1030.72</v>
      </c>
      <c r="F2166" s="25">
        <v>914053.0</v>
      </c>
    </row>
    <row r="2167">
      <c r="A2167" s="25">
        <v>41556.645833333336</v>
      </c>
      <c r="B2167" s="25">
        <v>1027.75</v>
      </c>
      <c r="C2167" s="25">
        <v>1048.82</v>
      </c>
      <c r="D2167" s="25">
        <v>1022.55</v>
      </c>
      <c r="E2167" s="25">
        <v>1045.43</v>
      </c>
      <c r="F2167" s="25">
        <v>887929.0</v>
      </c>
    </row>
    <row r="2168">
      <c r="A2168" s="25">
        <v>41557.645833333336</v>
      </c>
      <c r="B2168" s="25">
        <v>1044.0</v>
      </c>
      <c r="C2168" s="25">
        <v>1049.0</v>
      </c>
      <c r="D2168" s="25">
        <v>1033.63</v>
      </c>
      <c r="E2168" s="25">
        <v>1040.0</v>
      </c>
      <c r="F2168" s="25">
        <v>582160.0</v>
      </c>
    </row>
    <row r="2169">
      <c r="A2169" s="25">
        <v>41558.645833333336</v>
      </c>
      <c r="B2169" s="25">
        <v>1051.5</v>
      </c>
      <c r="C2169" s="25">
        <v>1069.0</v>
      </c>
      <c r="D2169" s="25">
        <v>1041.2</v>
      </c>
      <c r="E2169" s="25">
        <v>1061.03</v>
      </c>
      <c r="F2169" s="25">
        <v>1142224.0</v>
      </c>
    </row>
    <row r="2170">
      <c r="A2170" s="25">
        <v>41561.645833333336</v>
      </c>
      <c r="B2170" s="25">
        <v>1063.75</v>
      </c>
      <c r="C2170" s="25">
        <v>1112.5</v>
      </c>
      <c r="D2170" s="25">
        <v>1062.5</v>
      </c>
      <c r="E2170" s="25">
        <v>1106.38</v>
      </c>
      <c r="F2170" s="25">
        <v>2187230.0</v>
      </c>
    </row>
    <row r="2171">
      <c r="A2171" s="25">
        <v>41562.645833333336</v>
      </c>
      <c r="B2171" s="25">
        <v>1117.5</v>
      </c>
      <c r="C2171" s="25">
        <v>1129.43</v>
      </c>
      <c r="D2171" s="25">
        <v>1100.5</v>
      </c>
      <c r="E2171" s="25">
        <v>1107.7</v>
      </c>
      <c r="F2171" s="25">
        <v>2332546.0</v>
      </c>
    </row>
    <row r="2172">
      <c r="A2172" s="25">
        <v>41564.645833333336</v>
      </c>
      <c r="B2172" s="25">
        <v>1115.0</v>
      </c>
      <c r="C2172" s="25">
        <v>1115.0</v>
      </c>
      <c r="D2172" s="25">
        <v>1047.85</v>
      </c>
      <c r="E2172" s="25">
        <v>1054.22</v>
      </c>
      <c r="F2172" s="25">
        <v>3343607.0</v>
      </c>
    </row>
    <row r="2173">
      <c r="A2173" s="25">
        <v>41565.645833333336</v>
      </c>
      <c r="B2173" s="25">
        <v>1052.4</v>
      </c>
      <c r="C2173" s="25">
        <v>1066.9</v>
      </c>
      <c r="D2173" s="25">
        <v>1030.78</v>
      </c>
      <c r="E2173" s="25">
        <v>1060.32</v>
      </c>
      <c r="F2173" s="25">
        <v>2673083.0</v>
      </c>
    </row>
    <row r="2174">
      <c r="A2174" s="25">
        <v>41568.645833333336</v>
      </c>
      <c r="B2174" s="25">
        <v>1062.5</v>
      </c>
      <c r="C2174" s="25">
        <v>1063.97</v>
      </c>
      <c r="D2174" s="25">
        <v>1025.0</v>
      </c>
      <c r="E2174" s="25">
        <v>1035.82</v>
      </c>
      <c r="F2174" s="25">
        <v>1842686.0</v>
      </c>
    </row>
    <row r="2175">
      <c r="A2175" s="25">
        <v>41569.645833333336</v>
      </c>
      <c r="B2175" s="25">
        <v>1044.0</v>
      </c>
      <c r="C2175" s="25">
        <v>1053.82</v>
      </c>
      <c r="D2175" s="25">
        <v>1038.43</v>
      </c>
      <c r="E2175" s="25">
        <v>1044.68</v>
      </c>
      <c r="F2175" s="25">
        <v>1022307.0</v>
      </c>
    </row>
    <row r="2176">
      <c r="A2176" s="25">
        <v>41570.645833333336</v>
      </c>
      <c r="B2176" s="25">
        <v>1044.25</v>
      </c>
      <c r="C2176" s="25">
        <v>1051.5</v>
      </c>
      <c r="D2176" s="25">
        <v>1023.08</v>
      </c>
      <c r="E2176" s="25">
        <v>1030.57</v>
      </c>
      <c r="F2176" s="25">
        <v>1227748.0</v>
      </c>
    </row>
    <row r="2177">
      <c r="A2177" s="25">
        <v>41571.645833333336</v>
      </c>
      <c r="B2177" s="25">
        <v>1021.0</v>
      </c>
      <c r="C2177" s="25">
        <v>1041.18</v>
      </c>
      <c r="D2177" s="25">
        <v>1000.93</v>
      </c>
      <c r="E2177" s="25">
        <v>1004.35</v>
      </c>
      <c r="F2177" s="25">
        <v>1808879.0</v>
      </c>
    </row>
    <row r="2178">
      <c r="A2178" s="25">
        <v>41572.645833333336</v>
      </c>
      <c r="B2178" s="25">
        <v>997.5</v>
      </c>
      <c r="C2178" s="25">
        <v>1036.0</v>
      </c>
      <c r="D2178" s="25">
        <v>997.5</v>
      </c>
      <c r="E2178" s="25">
        <v>1033.88</v>
      </c>
      <c r="F2178" s="25">
        <v>1263701.0</v>
      </c>
    </row>
    <row r="2179">
      <c r="A2179" s="25">
        <v>41575.645833333336</v>
      </c>
      <c r="B2179" s="25">
        <v>1034.0</v>
      </c>
      <c r="C2179" s="25">
        <v>1044.9</v>
      </c>
      <c r="D2179" s="25">
        <v>1026.28</v>
      </c>
      <c r="E2179" s="25">
        <v>1031.97</v>
      </c>
      <c r="F2179" s="25">
        <v>901971.0</v>
      </c>
    </row>
    <row r="2180">
      <c r="A2180" s="25">
        <v>41576.645833333336</v>
      </c>
      <c r="B2180" s="25">
        <v>1032.5</v>
      </c>
      <c r="C2180" s="25">
        <v>1042.9</v>
      </c>
      <c r="D2180" s="25">
        <v>1023.95</v>
      </c>
      <c r="E2180" s="25">
        <v>1034.9</v>
      </c>
      <c r="F2180" s="25">
        <v>914538.0</v>
      </c>
    </row>
    <row r="2181">
      <c r="A2181" s="25">
        <v>41577.645833333336</v>
      </c>
      <c r="B2181" s="25">
        <v>1035.13</v>
      </c>
      <c r="C2181" s="25">
        <v>1050.0</v>
      </c>
      <c r="D2181" s="25">
        <v>1035.13</v>
      </c>
      <c r="E2181" s="25">
        <v>1045.97</v>
      </c>
      <c r="F2181" s="25">
        <v>1057437.0</v>
      </c>
    </row>
    <row r="2182">
      <c r="A2182" s="25">
        <v>41578.645833333336</v>
      </c>
      <c r="B2182" s="25">
        <v>1044.5</v>
      </c>
      <c r="C2182" s="25">
        <v>1064.5</v>
      </c>
      <c r="D2182" s="25">
        <v>1039.7</v>
      </c>
      <c r="E2182" s="25">
        <v>1056.03</v>
      </c>
      <c r="F2182" s="25">
        <v>1761538.0</v>
      </c>
    </row>
    <row r="2183">
      <c r="A2183" s="25">
        <v>41579.645833333336</v>
      </c>
      <c r="B2183" s="25">
        <v>1055.0</v>
      </c>
      <c r="C2183" s="25">
        <v>1070.97</v>
      </c>
      <c r="D2183" s="25">
        <v>1045.55</v>
      </c>
      <c r="E2183" s="25">
        <v>1048.8</v>
      </c>
      <c r="F2183" s="25">
        <v>673240.0</v>
      </c>
    </row>
    <row r="2184">
      <c r="A2184" s="25">
        <v>41583.645833333336</v>
      </c>
      <c r="B2184" s="25">
        <v>1050.0</v>
      </c>
      <c r="C2184" s="25">
        <v>1052.5</v>
      </c>
      <c r="D2184" s="25">
        <v>1015.85</v>
      </c>
      <c r="E2184" s="25">
        <v>1021.0</v>
      </c>
      <c r="F2184" s="25">
        <v>1130643.0</v>
      </c>
    </row>
    <row r="2185">
      <c r="A2185" s="25">
        <v>41584.645833333336</v>
      </c>
      <c r="B2185" s="25">
        <v>1031.5</v>
      </c>
      <c r="C2185" s="25">
        <v>1051.78</v>
      </c>
      <c r="D2185" s="25">
        <v>1029.53</v>
      </c>
      <c r="E2185" s="25">
        <v>1045.55</v>
      </c>
      <c r="F2185" s="25">
        <v>833875.0</v>
      </c>
    </row>
    <row r="2186">
      <c r="A2186" s="25">
        <v>41585.645833333336</v>
      </c>
      <c r="B2186" s="25">
        <v>1050.0</v>
      </c>
      <c r="C2186" s="25">
        <v>1074.07</v>
      </c>
      <c r="D2186" s="25">
        <v>1040.15</v>
      </c>
      <c r="E2186" s="25">
        <v>1060.97</v>
      </c>
      <c r="F2186" s="25">
        <v>978474.0</v>
      </c>
    </row>
    <row r="2187">
      <c r="A2187" s="25">
        <v>41586.645833333336</v>
      </c>
      <c r="B2187" s="25">
        <v>1065.0</v>
      </c>
      <c r="C2187" s="25">
        <v>1065.88</v>
      </c>
      <c r="D2187" s="25">
        <v>1035.6</v>
      </c>
      <c r="E2187" s="25">
        <v>1045.43</v>
      </c>
      <c r="F2187" s="25">
        <v>804673.0</v>
      </c>
    </row>
    <row r="2188">
      <c r="A2188" s="25">
        <v>41589.645833333336</v>
      </c>
      <c r="B2188" s="25">
        <v>1045.0</v>
      </c>
      <c r="C2188" s="25">
        <v>1070.0</v>
      </c>
      <c r="D2188" s="25">
        <v>1025.0</v>
      </c>
      <c r="E2188" s="25">
        <v>1047.32</v>
      </c>
      <c r="F2188" s="25">
        <v>980569.0</v>
      </c>
    </row>
    <row r="2189">
      <c r="A2189" s="25">
        <v>41590.645833333336</v>
      </c>
      <c r="B2189" s="25">
        <v>1048.43</v>
      </c>
      <c r="C2189" s="25">
        <v>1060.85</v>
      </c>
      <c r="D2189" s="25">
        <v>1039.5</v>
      </c>
      <c r="E2189" s="25">
        <v>1043.57</v>
      </c>
      <c r="F2189" s="25">
        <v>500341.0</v>
      </c>
    </row>
    <row r="2190">
      <c r="A2190" s="25">
        <v>41591.645833333336</v>
      </c>
      <c r="B2190" s="25">
        <v>1049.47</v>
      </c>
      <c r="C2190" s="25">
        <v>1053.1</v>
      </c>
      <c r="D2190" s="25">
        <v>1021.83</v>
      </c>
      <c r="E2190" s="25">
        <v>1024.5</v>
      </c>
      <c r="F2190" s="25">
        <v>604169.0</v>
      </c>
    </row>
    <row r="2191">
      <c r="A2191" s="25">
        <v>41592.645833333336</v>
      </c>
      <c r="B2191" s="25">
        <v>1036.0</v>
      </c>
      <c r="C2191" s="25">
        <v>1036.0</v>
      </c>
      <c r="D2191" s="25">
        <v>1010.93</v>
      </c>
      <c r="E2191" s="25">
        <v>1013.1</v>
      </c>
      <c r="F2191" s="25">
        <v>1064852.0</v>
      </c>
    </row>
    <row r="2192">
      <c r="A2192" s="25">
        <v>41596.645833333336</v>
      </c>
      <c r="B2192" s="25">
        <v>1023.0</v>
      </c>
      <c r="C2192" s="25">
        <v>1029.95</v>
      </c>
      <c r="D2192" s="25">
        <v>1016.13</v>
      </c>
      <c r="E2192" s="25">
        <v>1022.0</v>
      </c>
      <c r="F2192" s="25">
        <v>1415801.0</v>
      </c>
    </row>
    <row r="2193">
      <c r="A2193" s="25">
        <v>41597.645833333336</v>
      </c>
      <c r="B2193" s="25">
        <v>1024.97</v>
      </c>
      <c r="C2193" s="25">
        <v>1027.5</v>
      </c>
      <c r="D2193" s="25">
        <v>1010.6</v>
      </c>
      <c r="E2193" s="25">
        <v>1014.95</v>
      </c>
      <c r="F2193" s="25">
        <v>1038932.0</v>
      </c>
    </row>
    <row r="2194">
      <c r="A2194" s="25">
        <v>41598.645833333336</v>
      </c>
      <c r="B2194" s="25">
        <v>1023.43</v>
      </c>
      <c r="C2194" s="25">
        <v>1024.95</v>
      </c>
      <c r="D2194" s="25">
        <v>1008.5</v>
      </c>
      <c r="E2194" s="25">
        <v>1011.8</v>
      </c>
      <c r="F2194" s="25">
        <v>829348.0</v>
      </c>
    </row>
    <row r="2195">
      <c r="A2195" s="25">
        <v>41599.645833333336</v>
      </c>
      <c r="B2195" s="25">
        <v>1011.6</v>
      </c>
      <c r="C2195" s="25">
        <v>1017.35</v>
      </c>
      <c r="D2195" s="25">
        <v>990.0</v>
      </c>
      <c r="E2195" s="25">
        <v>993.3</v>
      </c>
      <c r="F2195" s="25">
        <v>1151441.0</v>
      </c>
    </row>
    <row r="2196">
      <c r="A2196" s="25">
        <v>41600.645833333336</v>
      </c>
      <c r="B2196" s="25">
        <v>995.5</v>
      </c>
      <c r="C2196" s="25">
        <v>1005.5</v>
      </c>
      <c r="D2196" s="25">
        <v>992.55</v>
      </c>
      <c r="E2196" s="25">
        <v>1000.43</v>
      </c>
      <c r="F2196" s="25">
        <v>747247.0</v>
      </c>
    </row>
    <row r="2197">
      <c r="A2197" s="25">
        <v>41603.645833333336</v>
      </c>
      <c r="B2197" s="25">
        <v>1004.0</v>
      </c>
      <c r="C2197" s="25">
        <v>1013.43</v>
      </c>
      <c r="D2197" s="25">
        <v>996.55</v>
      </c>
      <c r="E2197" s="25">
        <v>1006.63</v>
      </c>
      <c r="F2197" s="25">
        <v>975499.0</v>
      </c>
    </row>
    <row r="2198">
      <c r="A2198" s="25">
        <v>41604.645833333336</v>
      </c>
      <c r="B2198" s="25">
        <v>1001.55</v>
      </c>
      <c r="C2198" s="25">
        <v>1008.23</v>
      </c>
      <c r="D2198" s="25">
        <v>993.5</v>
      </c>
      <c r="E2198" s="25">
        <v>996.85</v>
      </c>
      <c r="F2198" s="25">
        <v>1023706.0</v>
      </c>
    </row>
    <row r="2199">
      <c r="A2199" s="25">
        <v>41605.645833333336</v>
      </c>
      <c r="B2199" s="25">
        <v>1004.5</v>
      </c>
      <c r="C2199" s="25">
        <v>1006.85</v>
      </c>
      <c r="D2199" s="25">
        <v>987.5</v>
      </c>
      <c r="E2199" s="25">
        <v>993.23</v>
      </c>
      <c r="F2199" s="25">
        <v>1060489.0</v>
      </c>
    </row>
    <row r="2200">
      <c r="A2200" s="25">
        <v>41606.645833333336</v>
      </c>
      <c r="B2200" s="25">
        <v>996.55</v>
      </c>
      <c r="C2200" s="25">
        <v>998.28</v>
      </c>
      <c r="D2200" s="25">
        <v>985.0</v>
      </c>
      <c r="E2200" s="25">
        <v>992.3</v>
      </c>
      <c r="F2200" s="25">
        <v>1402861.0</v>
      </c>
    </row>
    <row r="2201">
      <c r="A2201" s="25">
        <v>41607.645833333336</v>
      </c>
      <c r="B2201" s="25">
        <v>996.0</v>
      </c>
      <c r="C2201" s="25">
        <v>1007.35</v>
      </c>
      <c r="D2201" s="25">
        <v>990.9</v>
      </c>
      <c r="E2201" s="25">
        <v>1002.18</v>
      </c>
      <c r="F2201" s="25">
        <v>962406.0</v>
      </c>
    </row>
    <row r="2202">
      <c r="A2202" s="25">
        <v>41610.645833333336</v>
      </c>
      <c r="B2202" s="25">
        <v>997.5</v>
      </c>
      <c r="C2202" s="25">
        <v>1010.5</v>
      </c>
      <c r="D2202" s="25">
        <v>997.5</v>
      </c>
      <c r="E2202" s="25">
        <v>1006.95</v>
      </c>
      <c r="F2202" s="25">
        <v>626630.0</v>
      </c>
    </row>
    <row r="2203">
      <c r="A2203" s="25">
        <v>41611.645833333336</v>
      </c>
      <c r="B2203" s="25">
        <v>1008.03</v>
      </c>
      <c r="C2203" s="25">
        <v>1021.0</v>
      </c>
      <c r="D2203" s="25">
        <v>1007.53</v>
      </c>
      <c r="E2203" s="25">
        <v>1010.4</v>
      </c>
      <c r="F2203" s="25">
        <v>724592.0</v>
      </c>
    </row>
    <row r="2204">
      <c r="A2204" s="25">
        <v>41612.645833333336</v>
      </c>
      <c r="B2204" s="25">
        <v>1009.95</v>
      </c>
      <c r="C2204" s="25">
        <v>1015.8</v>
      </c>
      <c r="D2204" s="25">
        <v>996.83</v>
      </c>
      <c r="E2204" s="25">
        <v>1000.03</v>
      </c>
      <c r="F2204" s="25">
        <v>759518.0</v>
      </c>
    </row>
    <row r="2205">
      <c r="A2205" s="25">
        <v>41613.645833333336</v>
      </c>
      <c r="B2205" s="25">
        <v>1008.0</v>
      </c>
      <c r="C2205" s="25">
        <v>1016.78</v>
      </c>
      <c r="D2205" s="25">
        <v>991.53</v>
      </c>
      <c r="E2205" s="25">
        <v>993.58</v>
      </c>
      <c r="F2205" s="25">
        <v>698595.0</v>
      </c>
    </row>
    <row r="2206">
      <c r="A2206" s="25">
        <v>41614.645833333336</v>
      </c>
      <c r="B2206" s="25">
        <v>995.5</v>
      </c>
      <c r="C2206" s="25">
        <v>1005.0</v>
      </c>
      <c r="D2206" s="25">
        <v>995.5</v>
      </c>
      <c r="E2206" s="25">
        <v>1000.15</v>
      </c>
      <c r="F2206" s="25">
        <v>723481.0</v>
      </c>
    </row>
    <row r="2207">
      <c r="A2207" s="25">
        <v>41617.645833333336</v>
      </c>
      <c r="B2207" s="25">
        <v>1014.5</v>
      </c>
      <c r="C2207" s="25">
        <v>1014.98</v>
      </c>
      <c r="D2207" s="25">
        <v>1000.0</v>
      </c>
      <c r="E2207" s="25">
        <v>1002.43</v>
      </c>
      <c r="F2207" s="25">
        <v>913170.0</v>
      </c>
    </row>
    <row r="2208">
      <c r="A2208" s="25">
        <v>41618.645833333336</v>
      </c>
      <c r="B2208" s="25">
        <v>1000.0</v>
      </c>
      <c r="C2208" s="25">
        <v>1044.5</v>
      </c>
      <c r="D2208" s="25">
        <v>1000.0</v>
      </c>
      <c r="E2208" s="25">
        <v>1041.38</v>
      </c>
      <c r="F2208" s="25">
        <v>1826667.0</v>
      </c>
    </row>
    <row r="2209">
      <c r="A2209" s="25">
        <v>41619.645833333336</v>
      </c>
      <c r="B2209" s="25">
        <v>1039.5</v>
      </c>
      <c r="C2209" s="25">
        <v>1043.43</v>
      </c>
      <c r="D2209" s="25">
        <v>1021.5</v>
      </c>
      <c r="E2209" s="25">
        <v>1029.03</v>
      </c>
      <c r="F2209" s="25">
        <v>778031.0</v>
      </c>
    </row>
    <row r="2210">
      <c r="A2210" s="25">
        <v>41620.645833333336</v>
      </c>
      <c r="B2210" s="25">
        <v>1022.5</v>
      </c>
      <c r="C2210" s="25">
        <v>1032.0</v>
      </c>
      <c r="D2210" s="25">
        <v>1012.55</v>
      </c>
      <c r="E2210" s="25">
        <v>1014.45</v>
      </c>
      <c r="F2210" s="25">
        <v>827982.0</v>
      </c>
    </row>
    <row r="2211">
      <c r="A2211" s="25">
        <v>41621.645833333336</v>
      </c>
      <c r="B2211" s="25">
        <v>1018.98</v>
      </c>
      <c r="C2211" s="25">
        <v>1022.5</v>
      </c>
      <c r="D2211" s="25">
        <v>997.5</v>
      </c>
      <c r="E2211" s="25">
        <v>1000.9</v>
      </c>
      <c r="F2211" s="25">
        <v>1731675.0</v>
      </c>
    </row>
    <row r="2212">
      <c r="A2212" s="25">
        <v>41624.645833333336</v>
      </c>
      <c r="B2212" s="25">
        <v>1006.85</v>
      </c>
      <c r="C2212" s="25">
        <v>1019.9</v>
      </c>
      <c r="D2212" s="25">
        <v>1002.58</v>
      </c>
      <c r="E2212" s="25">
        <v>1009.58</v>
      </c>
      <c r="F2212" s="25">
        <v>1429250.0</v>
      </c>
    </row>
    <row r="2213">
      <c r="A2213" s="25">
        <v>41625.645833333336</v>
      </c>
      <c r="B2213" s="25">
        <v>1015.8</v>
      </c>
      <c r="C2213" s="25">
        <v>1032.93</v>
      </c>
      <c r="D2213" s="25">
        <v>1015.0</v>
      </c>
      <c r="E2213" s="25">
        <v>1022.68</v>
      </c>
      <c r="F2213" s="25">
        <v>1497737.0</v>
      </c>
    </row>
    <row r="2214">
      <c r="A2214" s="25">
        <v>41626.645833333336</v>
      </c>
      <c r="B2214" s="25">
        <v>1020.0</v>
      </c>
      <c r="C2214" s="25">
        <v>1035.5</v>
      </c>
      <c r="D2214" s="25">
        <v>1019.0</v>
      </c>
      <c r="E2214" s="25">
        <v>1027.9</v>
      </c>
      <c r="F2214" s="25">
        <v>793995.0</v>
      </c>
    </row>
    <row r="2215">
      <c r="A2215" s="25">
        <v>41627.645833333336</v>
      </c>
      <c r="B2215" s="25">
        <v>1037.97</v>
      </c>
      <c r="C2215" s="25">
        <v>1055.0</v>
      </c>
      <c r="D2215" s="25">
        <v>1031.32</v>
      </c>
      <c r="E2215" s="25">
        <v>1040.75</v>
      </c>
      <c r="F2215" s="25">
        <v>1080993.0</v>
      </c>
    </row>
    <row r="2216">
      <c r="A2216" s="25">
        <v>41628.645833333336</v>
      </c>
      <c r="B2216" s="25">
        <v>1044.05</v>
      </c>
      <c r="C2216" s="25">
        <v>1065.0</v>
      </c>
      <c r="D2216" s="25">
        <v>1042.93</v>
      </c>
      <c r="E2216" s="25">
        <v>1060.28</v>
      </c>
      <c r="F2216" s="25">
        <v>982906.0</v>
      </c>
    </row>
    <row r="2217">
      <c r="A2217" s="25">
        <v>41631.645833333336</v>
      </c>
      <c r="B2217" s="25">
        <v>1064.97</v>
      </c>
      <c r="C2217" s="25">
        <v>1071.72</v>
      </c>
      <c r="D2217" s="25">
        <v>1048.97</v>
      </c>
      <c r="E2217" s="25">
        <v>1054.53</v>
      </c>
      <c r="F2217" s="25">
        <v>660612.0</v>
      </c>
    </row>
    <row r="2218">
      <c r="A2218" s="25">
        <v>41632.645833333336</v>
      </c>
      <c r="B2218" s="25">
        <v>1059.9</v>
      </c>
      <c r="C2218" s="25">
        <v>1064.5</v>
      </c>
      <c r="D2218" s="25">
        <v>1052.13</v>
      </c>
      <c r="E2218" s="25">
        <v>1055.35</v>
      </c>
      <c r="F2218" s="25">
        <v>435078.0</v>
      </c>
    </row>
    <row r="2219">
      <c r="A2219" s="25">
        <v>41634.645833333336</v>
      </c>
      <c r="B2219" s="25">
        <v>1057.5</v>
      </c>
      <c r="C2219" s="25">
        <v>1058.5</v>
      </c>
      <c r="D2219" s="25">
        <v>1045.72</v>
      </c>
      <c r="E2219" s="25">
        <v>1050.15</v>
      </c>
      <c r="F2219" s="25">
        <v>1148597.0</v>
      </c>
    </row>
    <row r="2220">
      <c r="A2220" s="25">
        <v>41635.645833333336</v>
      </c>
      <c r="B2220" s="25">
        <v>1053.5</v>
      </c>
      <c r="C2220" s="25">
        <v>1084.95</v>
      </c>
      <c r="D2220" s="25">
        <v>1052.5</v>
      </c>
      <c r="E2220" s="25">
        <v>1080.32</v>
      </c>
      <c r="F2220" s="25">
        <v>1239973.0</v>
      </c>
    </row>
    <row r="2221">
      <c r="A2221" s="25">
        <v>41638.645833333336</v>
      </c>
      <c r="B2221" s="25">
        <v>1085.0</v>
      </c>
      <c r="C2221" s="25">
        <v>1087.63</v>
      </c>
      <c r="D2221" s="25">
        <v>1073.35</v>
      </c>
      <c r="E2221" s="25">
        <v>1078.03</v>
      </c>
      <c r="F2221" s="25">
        <v>834388.0</v>
      </c>
    </row>
    <row r="2222">
      <c r="A2222" s="25">
        <v>41639.645833333336</v>
      </c>
      <c r="B2222" s="25">
        <v>1080.05</v>
      </c>
      <c r="C2222" s="25">
        <v>1092.47</v>
      </c>
      <c r="D2222" s="25">
        <v>1075.45</v>
      </c>
      <c r="E2222" s="25">
        <v>1086.03</v>
      </c>
      <c r="F2222" s="25">
        <v>622888.0</v>
      </c>
    </row>
    <row r="2223">
      <c r="A2223" s="25">
        <v>41640.645833333336</v>
      </c>
      <c r="B2223" s="25">
        <v>1090.05</v>
      </c>
      <c r="C2223" s="25">
        <v>1092.25</v>
      </c>
      <c r="D2223" s="25">
        <v>1075.55</v>
      </c>
      <c r="E2223" s="25">
        <v>1076.65</v>
      </c>
      <c r="F2223" s="25">
        <v>264976.0</v>
      </c>
    </row>
    <row r="2224">
      <c r="A2224" s="25">
        <v>41641.645833333336</v>
      </c>
      <c r="B2224" s="25">
        <v>1083.0</v>
      </c>
      <c r="C2224" s="25">
        <v>1094.5</v>
      </c>
      <c r="D2224" s="25">
        <v>1078.07</v>
      </c>
      <c r="E2224" s="25">
        <v>1083.5</v>
      </c>
      <c r="F2224" s="25">
        <v>863474.0</v>
      </c>
    </row>
    <row r="2225">
      <c r="A2225" s="25">
        <v>41642.645833333336</v>
      </c>
      <c r="B2225" s="25">
        <v>1082.35</v>
      </c>
      <c r="C2225" s="25">
        <v>1114.55</v>
      </c>
      <c r="D2225" s="25">
        <v>1073.63</v>
      </c>
      <c r="E2225" s="25">
        <v>1111.1</v>
      </c>
      <c r="F2225" s="25">
        <v>1309087.0</v>
      </c>
    </row>
    <row r="2226">
      <c r="A2226" s="25">
        <v>41645.645833333336</v>
      </c>
      <c r="B2226" s="25">
        <v>1114.5</v>
      </c>
      <c r="C2226" s="25">
        <v>1122.0</v>
      </c>
      <c r="D2226" s="25">
        <v>1098.5</v>
      </c>
      <c r="E2226" s="25">
        <v>1119.8</v>
      </c>
      <c r="F2226" s="25">
        <v>1155905.0</v>
      </c>
    </row>
    <row r="2227">
      <c r="A2227" s="25">
        <v>41646.645833333336</v>
      </c>
      <c r="B2227" s="25">
        <v>1120.0</v>
      </c>
      <c r="C2227" s="25">
        <v>1128.22</v>
      </c>
      <c r="D2227" s="25">
        <v>1099.5</v>
      </c>
      <c r="E2227" s="25">
        <v>1103.07</v>
      </c>
      <c r="F2227" s="25">
        <v>1448743.0</v>
      </c>
    </row>
    <row r="2228">
      <c r="A2228" s="25">
        <v>41647.645833333336</v>
      </c>
      <c r="B2228" s="25">
        <v>1106.0</v>
      </c>
      <c r="C2228" s="25">
        <v>1122.0</v>
      </c>
      <c r="D2228" s="25">
        <v>1105.0</v>
      </c>
      <c r="E2228" s="25">
        <v>1116.32</v>
      </c>
      <c r="F2228" s="25">
        <v>1275010.0</v>
      </c>
    </row>
    <row r="2229">
      <c r="A2229" s="25">
        <v>41648.645833333336</v>
      </c>
      <c r="B2229" s="25">
        <v>1114.38</v>
      </c>
      <c r="C2229" s="25">
        <v>1127.75</v>
      </c>
      <c r="D2229" s="25">
        <v>1111.05</v>
      </c>
      <c r="E2229" s="25">
        <v>1120.97</v>
      </c>
      <c r="F2229" s="25">
        <v>1291103.0</v>
      </c>
    </row>
    <row r="2230">
      <c r="A2230" s="25">
        <v>41649.645833333336</v>
      </c>
      <c r="B2230" s="25">
        <v>1130.0</v>
      </c>
      <c r="C2230" s="25">
        <v>1154.9</v>
      </c>
      <c r="D2230" s="25">
        <v>1117.5</v>
      </c>
      <c r="E2230" s="25">
        <v>1140.45</v>
      </c>
      <c r="F2230" s="25">
        <v>1684667.0</v>
      </c>
    </row>
    <row r="2231">
      <c r="A2231" s="25">
        <v>41652.645833333336</v>
      </c>
      <c r="B2231" s="25">
        <v>1142.5</v>
      </c>
      <c r="C2231" s="25">
        <v>1192.0</v>
      </c>
      <c r="D2231" s="25">
        <v>1142.5</v>
      </c>
      <c r="E2231" s="25">
        <v>1184.38</v>
      </c>
      <c r="F2231" s="25">
        <v>1907158.0</v>
      </c>
    </row>
    <row r="2232">
      <c r="A2232" s="25">
        <v>41653.645833333336</v>
      </c>
      <c r="B2232" s="25">
        <v>1186.0</v>
      </c>
      <c r="C2232" s="25">
        <v>1192.4</v>
      </c>
      <c r="D2232" s="25">
        <v>1160.0</v>
      </c>
      <c r="E2232" s="25">
        <v>1163.38</v>
      </c>
      <c r="F2232" s="25">
        <v>1487482.0</v>
      </c>
    </row>
    <row r="2233">
      <c r="A2233" s="25">
        <v>41654.645833333336</v>
      </c>
      <c r="B2233" s="25">
        <v>1171.22</v>
      </c>
      <c r="C2233" s="25">
        <v>1189.1</v>
      </c>
      <c r="D2233" s="25">
        <v>1163.5</v>
      </c>
      <c r="E2233" s="25">
        <v>1176.8</v>
      </c>
      <c r="F2233" s="25">
        <v>1524427.0</v>
      </c>
    </row>
    <row r="2234">
      <c r="A2234" s="25">
        <v>41655.645833333336</v>
      </c>
      <c r="B2234" s="25">
        <v>1190.0</v>
      </c>
      <c r="C2234" s="25">
        <v>1190.05</v>
      </c>
      <c r="D2234" s="25">
        <v>1162.5</v>
      </c>
      <c r="E2234" s="25">
        <v>1175.15</v>
      </c>
      <c r="F2234" s="25">
        <v>1498981.0</v>
      </c>
    </row>
    <row r="2235">
      <c r="A2235" s="25">
        <v>41656.645833333336</v>
      </c>
      <c r="B2235" s="25">
        <v>1149.0</v>
      </c>
      <c r="C2235" s="25">
        <v>1149.0</v>
      </c>
      <c r="D2235" s="25">
        <v>1103.03</v>
      </c>
      <c r="E2235" s="25">
        <v>1106.53</v>
      </c>
      <c r="F2235" s="25">
        <v>3782378.0</v>
      </c>
    </row>
    <row r="2236">
      <c r="A2236" s="25">
        <v>41659.645833333336</v>
      </c>
      <c r="B2236" s="25">
        <v>1109.47</v>
      </c>
      <c r="C2236" s="25">
        <v>1175.0</v>
      </c>
      <c r="D2236" s="25">
        <v>1107.75</v>
      </c>
      <c r="E2236" s="25">
        <v>1169.1</v>
      </c>
      <c r="F2236" s="25">
        <v>3005279.0</v>
      </c>
    </row>
    <row r="2237">
      <c r="A2237" s="25">
        <v>41660.645833333336</v>
      </c>
      <c r="B2237" s="25">
        <v>1167.0</v>
      </c>
      <c r="C2237" s="25">
        <v>1169.63</v>
      </c>
      <c r="D2237" s="25">
        <v>1137.55</v>
      </c>
      <c r="E2237" s="25">
        <v>1140.15</v>
      </c>
      <c r="F2237" s="25">
        <v>1566141.0</v>
      </c>
    </row>
    <row r="2238">
      <c r="A2238" s="25">
        <v>41661.645833333336</v>
      </c>
      <c r="B2238" s="25">
        <v>1143.55</v>
      </c>
      <c r="C2238" s="25">
        <v>1148.43</v>
      </c>
      <c r="D2238" s="25">
        <v>1132.05</v>
      </c>
      <c r="E2238" s="25">
        <v>1137.03</v>
      </c>
      <c r="F2238" s="25">
        <v>1192015.0</v>
      </c>
    </row>
    <row r="2239">
      <c r="A2239" s="25">
        <v>41662.645833333336</v>
      </c>
      <c r="B2239" s="25">
        <v>1134.05</v>
      </c>
      <c r="C2239" s="25">
        <v>1138.35</v>
      </c>
      <c r="D2239" s="25">
        <v>1118.65</v>
      </c>
      <c r="E2239" s="25">
        <v>1126.22</v>
      </c>
      <c r="F2239" s="25">
        <v>1145381.0</v>
      </c>
    </row>
    <row r="2240">
      <c r="A2240" s="25">
        <v>41663.645833333336</v>
      </c>
      <c r="B2240" s="25">
        <v>1122.0</v>
      </c>
      <c r="C2240" s="25">
        <v>1141.63</v>
      </c>
      <c r="D2240" s="25">
        <v>1117.5</v>
      </c>
      <c r="E2240" s="25">
        <v>1124.35</v>
      </c>
      <c r="F2240" s="25">
        <v>925133.0</v>
      </c>
    </row>
    <row r="2241">
      <c r="A2241" s="25">
        <v>41666.645833333336</v>
      </c>
      <c r="B2241" s="25">
        <v>1113.0</v>
      </c>
      <c r="C2241" s="25">
        <v>1129.75</v>
      </c>
      <c r="D2241" s="25">
        <v>1110.05</v>
      </c>
      <c r="E2241" s="25">
        <v>1114.8</v>
      </c>
      <c r="F2241" s="25">
        <v>1266474.0</v>
      </c>
    </row>
    <row r="2242">
      <c r="A2242" s="25">
        <v>41667.645833333336</v>
      </c>
      <c r="B2242" s="25">
        <v>1116.0</v>
      </c>
      <c r="C2242" s="25">
        <v>1123.93</v>
      </c>
      <c r="D2242" s="25">
        <v>1098.05</v>
      </c>
      <c r="E2242" s="25">
        <v>1106.18</v>
      </c>
      <c r="F2242" s="25">
        <v>1426083.0</v>
      </c>
    </row>
    <row r="2243">
      <c r="A2243" s="25">
        <v>41668.645833333336</v>
      </c>
      <c r="B2243" s="25">
        <v>1120.0</v>
      </c>
      <c r="C2243" s="25">
        <v>1120.0</v>
      </c>
      <c r="D2243" s="25">
        <v>1102.5</v>
      </c>
      <c r="E2243" s="25">
        <v>1104.9</v>
      </c>
      <c r="F2243" s="25">
        <v>849038.0</v>
      </c>
    </row>
    <row r="2244">
      <c r="A2244" s="25">
        <v>41669.645833333336</v>
      </c>
      <c r="B2244" s="25">
        <v>1099.03</v>
      </c>
      <c r="C2244" s="25">
        <v>1113.5</v>
      </c>
      <c r="D2244" s="25">
        <v>1095.0</v>
      </c>
      <c r="E2244" s="25">
        <v>1108.8</v>
      </c>
      <c r="F2244" s="25">
        <v>1112625.0</v>
      </c>
    </row>
    <row r="2245">
      <c r="A2245" s="25">
        <v>41670.645833333336</v>
      </c>
      <c r="B2245" s="25">
        <v>1112.55</v>
      </c>
      <c r="C2245" s="25">
        <v>1134.9</v>
      </c>
      <c r="D2245" s="25">
        <v>1110.5</v>
      </c>
      <c r="E2245" s="25">
        <v>1120.53</v>
      </c>
      <c r="F2245" s="25">
        <v>1087123.0</v>
      </c>
    </row>
    <row r="2246">
      <c r="A2246" s="25">
        <v>41673.645833333336</v>
      </c>
      <c r="B2246" s="25">
        <v>1111.0</v>
      </c>
      <c r="C2246" s="25">
        <v>1122.13</v>
      </c>
      <c r="D2246" s="25">
        <v>1095.4</v>
      </c>
      <c r="E2246" s="25">
        <v>1097.22</v>
      </c>
      <c r="F2246" s="25">
        <v>681240.0</v>
      </c>
    </row>
    <row r="2247">
      <c r="A2247" s="25">
        <v>41674.645833333336</v>
      </c>
      <c r="B2247" s="25">
        <v>1087.0</v>
      </c>
      <c r="C2247" s="25">
        <v>1087.5</v>
      </c>
      <c r="D2247" s="25">
        <v>1056.03</v>
      </c>
      <c r="E2247" s="25">
        <v>1075.68</v>
      </c>
      <c r="F2247" s="25">
        <v>1347083.0</v>
      </c>
    </row>
    <row r="2248">
      <c r="A2248" s="25">
        <v>41675.645833333336</v>
      </c>
      <c r="B2248" s="25">
        <v>1081.9</v>
      </c>
      <c r="C2248" s="25">
        <v>1100.0</v>
      </c>
      <c r="D2248" s="25">
        <v>1070.0</v>
      </c>
      <c r="E2248" s="25">
        <v>1097.2</v>
      </c>
      <c r="F2248" s="25">
        <v>926825.0</v>
      </c>
    </row>
    <row r="2249">
      <c r="A2249" s="25">
        <v>41676.645833333336</v>
      </c>
      <c r="B2249" s="25">
        <v>1090.0</v>
      </c>
      <c r="C2249" s="25">
        <v>1094.95</v>
      </c>
      <c r="D2249" s="25">
        <v>1072.5</v>
      </c>
      <c r="E2249" s="25">
        <v>1087.63</v>
      </c>
      <c r="F2249" s="25">
        <v>961326.0</v>
      </c>
    </row>
    <row r="2250">
      <c r="A2250" s="25">
        <v>41677.645833333336</v>
      </c>
      <c r="B2250" s="25">
        <v>1095.0</v>
      </c>
      <c r="C2250" s="25">
        <v>1097.5</v>
      </c>
      <c r="D2250" s="25">
        <v>1065.5</v>
      </c>
      <c r="E2250" s="25">
        <v>1072.2</v>
      </c>
      <c r="F2250" s="25">
        <v>995456.0</v>
      </c>
    </row>
    <row r="2251">
      <c r="A2251" s="25">
        <v>41680.645833333336</v>
      </c>
      <c r="B2251" s="25">
        <v>1072.0</v>
      </c>
      <c r="C2251" s="25">
        <v>1072.0</v>
      </c>
      <c r="D2251" s="25">
        <v>1042.55</v>
      </c>
      <c r="E2251" s="25">
        <v>1046.78</v>
      </c>
      <c r="F2251" s="25">
        <v>2009635.0</v>
      </c>
    </row>
    <row r="2252">
      <c r="A2252" s="25">
        <v>41681.645833333336</v>
      </c>
      <c r="B2252" s="25">
        <v>1050.0</v>
      </c>
      <c r="C2252" s="25">
        <v>1063.25</v>
      </c>
      <c r="D2252" s="25">
        <v>1048.0</v>
      </c>
      <c r="E2252" s="25">
        <v>1050.85</v>
      </c>
      <c r="F2252" s="25">
        <v>1784393.0</v>
      </c>
    </row>
    <row r="2253">
      <c r="A2253" s="25">
        <v>41682.645833333336</v>
      </c>
      <c r="B2253" s="25">
        <v>1059.0</v>
      </c>
      <c r="C2253" s="25">
        <v>1061.8</v>
      </c>
      <c r="D2253" s="25">
        <v>1047.5</v>
      </c>
      <c r="E2253" s="25">
        <v>1052.72</v>
      </c>
      <c r="F2253" s="25">
        <v>1537174.0</v>
      </c>
    </row>
    <row r="2254">
      <c r="A2254" s="25">
        <v>41683.645833333336</v>
      </c>
      <c r="B2254" s="25">
        <v>1053.5</v>
      </c>
      <c r="C2254" s="25">
        <v>1069.2</v>
      </c>
      <c r="D2254" s="25">
        <v>1048.25</v>
      </c>
      <c r="E2254" s="25">
        <v>1066.88</v>
      </c>
      <c r="F2254" s="25">
        <v>1047175.0</v>
      </c>
    </row>
    <row r="2255">
      <c r="A2255" s="25">
        <v>41684.645833333336</v>
      </c>
      <c r="B2255" s="25">
        <v>1068.95</v>
      </c>
      <c r="C2255" s="25">
        <v>1092.38</v>
      </c>
      <c r="D2255" s="25">
        <v>1064.05</v>
      </c>
      <c r="E2255" s="25">
        <v>1083.95</v>
      </c>
      <c r="F2255" s="25">
        <v>955031.0</v>
      </c>
    </row>
    <row r="2256">
      <c r="A2256" s="25">
        <v>41687.645833333336</v>
      </c>
      <c r="B2256" s="25">
        <v>1080.0</v>
      </c>
      <c r="C2256" s="25">
        <v>1093.0</v>
      </c>
      <c r="D2256" s="25">
        <v>1073.6</v>
      </c>
      <c r="E2256" s="25">
        <v>1082.7</v>
      </c>
      <c r="F2256" s="25">
        <v>835197.0</v>
      </c>
    </row>
    <row r="2257">
      <c r="A2257" s="25">
        <v>41688.645833333336</v>
      </c>
      <c r="B2257" s="25">
        <v>1082.5</v>
      </c>
      <c r="C2257" s="25">
        <v>1095.5</v>
      </c>
      <c r="D2257" s="25">
        <v>1077.93</v>
      </c>
      <c r="E2257" s="25">
        <v>1083.0</v>
      </c>
      <c r="F2257" s="25">
        <v>763458.0</v>
      </c>
    </row>
    <row r="2258">
      <c r="A2258" s="25">
        <v>41690.645833333336</v>
      </c>
      <c r="B2258" s="25">
        <v>1103.0</v>
      </c>
      <c r="C2258" s="25">
        <v>1111.0</v>
      </c>
      <c r="D2258" s="25">
        <v>1091.4</v>
      </c>
      <c r="E2258" s="25">
        <v>1094.68</v>
      </c>
      <c r="F2258" s="25">
        <v>793962.0</v>
      </c>
    </row>
    <row r="2259">
      <c r="A2259" s="25">
        <v>41691.645833333336</v>
      </c>
      <c r="B2259" s="25">
        <v>1099.0</v>
      </c>
      <c r="C2259" s="25">
        <v>1106.5</v>
      </c>
      <c r="D2259" s="25">
        <v>1095.38</v>
      </c>
      <c r="E2259" s="25">
        <v>1102.85</v>
      </c>
      <c r="F2259" s="25">
        <v>858930.0</v>
      </c>
    </row>
    <row r="2260">
      <c r="A2260" s="25">
        <v>41694.645833333336</v>
      </c>
      <c r="B2260" s="25">
        <v>1102.0</v>
      </c>
      <c r="C2260" s="25">
        <v>1102.63</v>
      </c>
      <c r="D2260" s="25">
        <v>1085.05</v>
      </c>
      <c r="E2260" s="25">
        <v>1088.95</v>
      </c>
      <c r="F2260" s="25">
        <v>1225212.0</v>
      </c>
    </row>
    <row r="2261">
      <c r="A2261" s="25">
        <v>41695.645833333336</v>
      </c>
      <c r="B2261" s="25">
        <v>1094.5</v>
      </c>
      <c r="C2261" s="25">
        <v>1099.75</v>
      </c>
      <c r="D2261" s="25">
        <v>1090.0</v>
      </c>
      <c r="E2261" s="25">
        <v>1094.45</v>
      </c>
      <c r="F2261" s="25">
        <v>1652687.0</v>
      </c>
    </row>
    <row r="2262">
      <c r="A2262" s="25">
        <v>41696.645833333336</v>
      </c>
      <c r="B2262" s="25">
        <v>1097.0</v>
      </c>
      <c r="C2262" s="25">
        <v>1097.5</v>
      </c>
      <c r="D2262" s="25">
        <v>1088.57</v>
      </c>
      <c r="E2262" s="25">
        <v>1091.07</v>
      </c>
      <c r="F2262" s="25">
        <v>1929856.0</v>
      </c>
    </row>
    <row r="2263">
      <c r="A2263" s="25">
        <v>41698.645833333336</v>
      </c>
      <c r="B2263" s="25">
        <v>1080.5</v>
      </c>
      <c r="C2263" s="25">
        <v>1140.0</v>
      </c>
      <c r="D2263" s="25">
        <v>1080.07</v>
      </c>
      <c r="E2263" s="25">
        <v>1137.88</v>
      </c>
      <c r="F2263" s="25">
        <v>1994096.0</v>
      </c>
    </row>
    <row r="2264">
      <c r="A2264" s="25">
        <v>41701.645833333336</v>
      </c>
      <c r="B2264" s="25">
        <v>1135.9</v>
      </c>
      <c r="C2264" s="25">
        <v>1149.5</v>
      </c>
      <c r="D2264" s="25">
        <v>1114.0</v>
      </c>
      <c r="E2264" s="25">
        <v>1120.03</v>
      </c>
      <c r="F2264" s="25">
        <v>803039.0</v>
      </c>
    </row>
    <row r="2265">
      <c r="A2265" s="25">
        <v>41702.645833333336</v>
      </c>
      <c r="B2265" s="25">
        <v>1116.6</v>
      </c>
      <c r="C2265" s="25">
        <v>1127.0</v>
      </c>
      <c r="D2265" s="25">
        <v>1112.0</v>
      </c>
      <c r="E2265" s="25">
        <v>1120.32</v>
      </c>
      <c r="F2265" s="25">
        <v>1015166.0</v>
      </c>
    </row>
    <row r="2266">
      <c r="A2266" s="25">
        <v>41703.645833333336</v>
      </c>
      <c r="B2266" s="25">
        <v>1127.43</v>
      </c>
      <c r="C2266" s="25">
        <v>1143.13</v>
      </c>
      <c r="D2266" s="25">
        <v>1121.28</v>
      </c>
      <c r="E2266" s="25">
        <v>1125.95</v>
      </c>
      <c r="F2266" s="25">
        <v>1151003.0</v>
      </c>
    </row>
    <row r="2267">
      <c r="A2267" s="25">
        <v>41704.645833333336</v>
      </c>
      <c r="B2267" s="25">
        <v>1126.43</v>
      </c>
      <c r="C2267" s="25">
        <v>1130.0</v>
      </c>
      <c r="D2267" s="25">
        <v>1116.07</v>
      </c>
      <c r="E2267" s="25">
        <v>1120.38</v>
      </c>
      <c r="F2267" s="25">
        <v>657281.0</v>
      </c>
    </row>
    <row r="2268">
      <c r="A2268" s="25">
        <v>41705.645833333336</v>
      </c>
      <c r="B2268" s="25">
        <v>1122.75</v>
      </c>
      <c r="C2268" s="25">
        <v>1125.03</v>
      </c>
      <c r="D2268" s="25">
        <v>1076.4</v>
      </c>
      <c r="E2268" s="25">
        <v>1114.25</v>
      </c>
      <c r="F2268" s="25">
        <v>2349236.0</v>
      </c>
    </row>
    <row r="2269">
      <c r="A2269" s="25">
        <v>41708.645833333336</v>
      </c>
      <c r="B2269" s="25">
        <v>1114.05</v>
      </c>
      <c r="C2269" s="25">
        <v>1114.25</v>
      </c>
      <c r="D2269" s="25">
        <v>1067.5</v>
      </c>
      <c r="E2269" s="25">
        <v>1071.32</v>
      </c>
      <c r="F2269" s="25">
        <v>1914884.0</v>
      </c>
    </row>
    <row r="2270">
      <c r="A2270" s="25">
        <v>41709.645833333336</v>
      </c>
      <c r="B2270" s="25">
        <v>1077.5</v>
      </c>
      <c r="C2270" s="25">
        <v>1088.82</v>
      </c>
      <c r="D2270" s="25">
        <v>1061.0</v>
      </c>
      <c r="E2270" s="25">
        <v>1075.82</v>
      </c>
      <c r="F2270" s="25">
        <v>1275127.0</v>
      </c>
    </row>
    <row r="2271">
      <c r="A2271" s="25">
        <v>41710.645833333336</v>
      </c>
      <c r="B2271" s="25">
        <v>1076.5</v>
      </c>
      <c r="C2271" s="25">
        <v>1094.88</v>
      </c>
      <c r="D2271" s="25">
        <v>1076.5</v>
      </c>
      <c r="E2271" s="25">
        <v>1089.72</v>
      </c>
      <c r="F2271" s="25">
        <v>834894.0</v>
      </c>
    </row>
    <row r="2272">
      <c r="A2272" s="25">
        <v>41711.645833333336</v>
      </c>
      <c r="B2272" s="25">
        <v>1074.03</v>
      </c>
      <c r="C2272" s="25">
        <v>1101.0</v>
      </c>
      <c r="D2272" s="25">
        <v>1068.43</v>
      </c>
      <c r="E2272" s="25">
        <v>1074.78</v>
      </c>
      <c r="F2272" s="25">
        <v>1009942.0</v>
      </c>
    </row>
    <row r="2273">
      <c r="A2273" s="25">
        <v>41712.645833333336</v>
      </c>
      <c r="B2273" s="25">
        <v>1070.5</v>
      </c>
      <c r="C2273" s="25">
        <v>1080.25</v>
      </c>
      <c r="D2273" s="25">
        <v>1062.15</v>
      </c>
      <c r="E2273" s="25">
        <v>1069.78</v>
      </c>
      <c r="F2273" s="25">
        <v>1080623.0</v>
      </c>
    </row>
    <row r="2274">
      <c r="A2274" s="25">
        <v>41716.645833333336</v>
      </c>
      <c r="B2274" s="25">
        <v>1067.75</v>
      </c>
      <c r="C2274" s="25">
        <v>1075.9</v>
      </c>
      <c r="D2274" s="25">
        <v>1052.13</v>
      </c>
      <c r="E2274" s="25">
        <v>1061.0</v>
      </c>
      <c r="F2274" s="25">
        <v>1282921.0</v>
      </c>
    </row>
    <row r="2275">
      <c r="A2275" s="25">
        <v>41717.645833333336</v>
      </c>
      <c r="B2275" s="25">
        <v>1037.5</v>
      </c>
      <c r="C2275" s="25">
        <v>1037.5</v>
      </c>
      <c r="D2275" s="25">
        <v>1006.53</v>
      </c>
      <c r="E2275" s="25">
        <v>1019.7</v>
      </c>
      <c r="F2275" s="25">
        <v>4326331.0</v>
      </c>
    </row>
    <row r="2276">
      <c r="A2276" s="25">
        <v>41718.645833333336</v>
      </c>
      <c r="B2276" s="25">
        <v>1019.0</v>
      </c>
      <c r="C2276" s="25">
        <v>1061.45</v>
      </c>
      <c r="D2276" s="25">
        <v>1005.7</v>
      </c>
      <c r="E2276" s="25">
        <v>1054.1</v>
      </c>
      <c r="F2276" s="25">
        <v>2864478.0</v>
      </c>
    </row>
    <row r="2277">
      <c r="A2277" s="25">
        <v>41719.645833333336</v>
      </c>
      <c r="B2277" s="25">
        <v>1062.5</v>
      </c>
      <c r="C2277" s="25">
        <v>1072.5</v>
      </c>
      <c r="D2277" s="25">
        <v>1042.5</v>
      </c>
      <c r="E2277" s="25">
        <v>1063.5</v>
      </c>
      <c r="F2277" s="25">
        <v>2340388.0</v>
      </c>
    </row>
    <row r="2278">
      <c r="A2278" s="25">
        <v>41722.645833333336</v>
      </c>
      <c r="B2278" s="25">
        <v>1068.47</v>
      </c>
      <c r="C2278" s="25">
        <v>1078.97</v>
      </c>
      <c r="D2278" s="25">
        <v>1063.07</v>
      </c>
      <c r="E2278" s="25">
        <v>1076.3</v>
      </c>
      <c r="F2278" s="25">
        <v>1091507.0</v>
      </c>
    </row>
    <row r="2279">
      <c r="A2279" s="25">
        <v>41723.645833333336</v>
      </c>
      <c r="B2279" s="25">
        <v>1072.0</v>
      </c>
      <c r="C2279" s="25">
        <v>1086.0</v>
      </c>
      <c r="D2279" s="25">
        <v>1065.0</v>
      </c>
      <c r="E2279" s="25">
        <v>1073.32</v>
      </c>
      <c r="F2279" s="25">
        <v>1124984.0</v>
      </c>
    </row>
    <row r="2280">
      <c r="A2280" s="25">
        <v>41724.645833333336</v>
      </c>
      <c r="B2280" s="25">
        <v>1074.03</v>
      </c>
      <c r="C2280" s="25">
        <v>1079.25</v>
      </c>
      <c r="D2280" s="25">
        <v>1043.78</v>
      </c>
      <c r="E2280" s="25">
        <v>1046.75</v>
      </c>
      <c r="F2280" s="25">
        <v>1596175.0</v>
      </c>
    </row>
    <row r="2281">
      <c r="A2281" s="25">
        <v>41725.645833333336</v>
      </c>
      <c r="B2281" s="25">
        <v>1050.47</v>
      </c>
      <c r="C2281" s="25">
        <v>1057.5</v>
      </c>
      <c r="D2281" s="25">
        <v>1032.53</v>
      </c>
      <c r="E2281" s="25">
        <v>1047.13</v>
      </c>
      <c r="F2281" s="25">
        <v>2506238.0</v>
      </c>
    </row>
    <row r="2282">
      <c r="A2282" s="25">
        <v>41726.645833333336</v>
      </c>
      <c r="B2282" s="25">
        <v>1048.5</v>
      </c>
      <c r="C2282" s="25">
        <v>1061.43</v>
      </c>
      <c r="D2282" s="25">
        <v>1040.03</v>
      </c>
      <c r="E2282" s="25">
        <v>1051.05</v>
      </c>
      <c r="F2282" s="25">
        <v>1485581.0</v>
      </c>
    </row>
    <row r="2283">
      <c r="A2283" s="25">
        <v>41729.645833333336</v>
      </c>
      <c r="B2283" s="25">
        <v>1052.0</v>
      </c>
      <c r="C2283" s="25">
        <v>1072.47</v>
      </c>
      <c r="D2283" s="25">
        <v>1041.0</v>
      </c>
      <c r="E2283" s="25">
        <v>1066.57</v>
      </c>
      <c r="F2283" s="25">
        <v>1341634.0</v>
      </c>
    </row>
    <row r="2284">
      <c r="A2284" s="25">
        <v>41730.645833333336</v>
      </c>
      <c r="B2284" s="25">
        <v>1072.5</v>
      </c>
      <c r="C2284" s="25">
        <v>1092.5</v>
      </c>
      <c r="D2284" s="25">
        <v>1072.45</v>
      </c>
      <c r="E2284" s="25">
        <v>1088.35</v>
      </c>
      <c r="F2284" s="25">
        <v>1377966.0</v>
      </c>
    </row>
    <row r="2285">
      <c r="A2285" s="25">
        <v>41731.645833333336</v>
      </c>
      <c r="B2285" s="25">
        <v>1095.0</v>
      </c>
      <c r="C2285" s="25">
        <v>1101.0</v>
      </c>
      <c r="D2285" s="25">
        <v>1080.53</v>
      </c>
      <c r="E2285" s="25">
        <v>1086.13</v>
      </c>
      <c r="F2285" s="25">
        <v>1881508.0</v>
      </c>
    </row>
    <row r="2286">
      <c r="A2286" s="25">
        <v>41732.645833333336</v>
      </c>
      <c r="B2286" s="25">
        <v>1086.43</v>
      </c>
      <c r="C2286" s="25">
        <v>1091.0</v>
      </c>
      <c r="D2286" s="25">
        <v>1073.8</v>
      </c>
      <c r="E2286" s="25">
        <v>1083.25</v>
      </c>
      <c r="F2286" s="25">
        <v>790597.0</v>
      </c>
    </row>
    <row r="2287">
      <c r="A2287" s="25">
        <v>41733.645833333336</v>
      </c>
      <c r="B2287" s="25">
        <v>1086.0</v>
      </c>
      <c r="C2287" s="25">
        <v>1093.5</v>
      </c>
      <c r="D2287" s="25">
        <v>1065.0</v>
      </c>
      <c r="E2287" s="25">
        <v>1069.43</v>
      </c>
      <c r="F2287" s="25">
        <v>847328.0</v>
      </c>
    </row>
    <row r="2288">
      <c r="A2288" s="25">
        <v>41736.645833333336</v>
      </c>
      <c r="B2288" s="25">
        <v>1065.05</v>
      </c>
      <c r="C2288" s="25">
        <v>1082.97</v>
      </c>
      <c r="D2288" s="25">
        <v>1060.35</v>
      </c>
      <c r="E2288" s="25">
        <v>1076.9</v>
      </c>
      <c r="F2288" s="25">
        <v>1297493.0</v>
      </c>
    </row>
    <row r="2289">
      <c r="A2289" s="25">
        <v>41738.645833333336</v>
      </c>
      <c r="B2289" s="25">
        <v>1076.0</v>
      </c>
      <c r="C2289" s="25">
        <v>1081.0</v>
      </c>
      <c r="D2289" s="25">
        <v>1052.5</v>
      </c>
      <c r="E2289" s="25">
        <v>1070.2</v>
      </c>
      <c r="F2289" s="25">
        <v>1675250.0</v>
      </c>
    </row>
    <row r="2290">
      <c r="A2290" s="25">
        <v>41739.645833333336</v>
      </c>
      <c r="B2290" s="25">
        <v>1070.2</v>
      </c>
      <c r="C2290" s="25">
        <v>1074.32</v>
      </c>
      <c r="D2290" s="25">
        <v>1057.6</v>
      </c>
      <c r="E2290" s="25">
        <v>1063.07</v>
      </c>
      <c r="F2290" s="25">
        <v>1076443.0</v>
      </c>
    </row>
    <row r="2291">
      <c r="A2291" s="25">
        <v>41740.645833333336</v>
      </c>
      <c r="B2291" s="25">
        <v>1059.0</v>
      </c>
      <c r="C2291" s="25">
        <v>1087.45</v>
      </c>
      <c r="D2291" s="25">
        <v>1050.0</v>
      </c>
      <c r="E2291" s="25">
        <v>1082.05</v>
      </c>
      <c r="F2291" s="25">
        <v>1170371.0</v>
      </c>
    </row>
    <row r="2292">
      <c r="A2292" s="25">
        <v>41744.645833333336</v>
      </c>
      <c r="B2292" s="25">
        <v>1090.5</v>
      </c>
      <c r="C2292" s="25">
        <v>1129.0</v>
      </c>
      <c r="D2292" s="25">
        <v>1087.03</v>
      </c>
      <c r="E2292" s="25">
        <v>1126.38</v>
      </c>
      <c r="F2292" s="25">
        <v>1798622.0</v>
      </c>
    </row>
    <row r="2293">
      <c r="A2293" s="25">
        <v>41745.645833333336</v>
      </c>
      <c r="B2293" s="25">
        <v>1132.0</v>
      </c>
      <c r="C2293" s="25">
        <v>1132.0</v>
      </c>
      <c r="D2293" s="25">
        <v>1092.1</v>
      </c>
      <c r="E2293" s="25">
        <v>1098.15</v>
      </c>
      <c r="F2293" s="25">
        <v>1737955.0</v>
      </c>
    </row>
    <row r="2294">
      <c r="A2294" s="25">
        <v>41746.645833333336</v>
      </c>
      <c r="B2294" s="25">
        <v>1110.0</v>
      </c>
      <c r="C2294" s="25">
        <v>1113.5</v>
      </c>
      <c r="D2294" s="25">
        <v>1071.35</v>
      </c>
      <c r="E2294" s="25">
        <v>1111.45</v>
      </c>
      <c r="F2294" s="25">
        <v>3840719.0</v>
      </c>
    </row>
    <row r="2295">
      <c r="A2295" s="25">
        <v>41750.645833333336</v>
      </c>
      <c r="B2295" s="25">
        <v>1110.0</v>
      </c>
      <c r="C2295" s="25">
        <v>1121.45</v>
      </c>
      <c r="D2295" s="25">
        <v>1105.65</v>
      </c>
      <c r="E2295" s="25">
        <v>1110.88</v>
      </c>
      <c r="F2295" s="25">
        <v>921297.0</v>
      </c>
    </row>
    <row r="2296">
      <c r="A2296" s="25">
        <v>41751.645833333336</v>
      </c>
      <c r="B2296" s="25">
        <v>1116.97</v>
      </c>
      <c r="C2296" s="25">
        <v>1124.95</v>
      </c>
      <c r="D2296" s="25">
        <v>1109.95</v>
      </c>
      <c r="E2296" s="25">
        <v>1110.53</v>
      </c>
      <c r="F2296" s="25">
        <v>743137.0</v>
      </c>
    </row>
    <row r="2297">
      <c r="A2297" s="25">
        <v>41752.645833333336</v>
      </c>
      <c r="B2297" s="25">
        <v>1115.7</v>
      </c>
      <c r="C2297" s="25">
        <v>1121.95</v>
      </c>
      <c r="D2297" s="25">
        <v>1100.55</v>
      </c>
      <c r="E2297" s="25">
        <v>1106.88</v>
      </c>
      <c r="F2297" s="25">
        <v>969496.0</v>
      </c>
    </row>
    <row r="2298">
      <c r="A2298" s="25">
        <v>41754.645833333336</v>
      </c>
      <c r="B2298" s="25">
        <v>1113.5</v>
      </c>
      <c r="C2298" s="25">
        <v>1117.5</v>
      </c>
      <c r="D2298" s="25">
        <v>1096.6</v>
      </c>
      <c r="E2298" s="25">
        <v>1102.63</v>
      </c>
      <c r="F2298" s="25">
        <v>1580224.0</v>
      </c>
    </row>
    <row r="2299">
      <c r="A2299" s="25">
        <v>41757.645833333336</v>
      </c>
      <c r="B2299" s="25">
        <v>1102.63</v>
      </c>
      <c r="C2299" s="25">
        <v>1111.35</v>
      </c>
      <c r="D2299" s="25">
        <v>1090.05</v>
      </c>
      <c r="E2299" s="25">
        <v>1095.68</v>
      </c>
      <c r="F2299" s="25">
        <v>1275383.0</v>
      </c>
    </row>
    <row r="2300">
      <c r="A2300" s="25">
        <v>41758.645833333336</v>
      </c>
      <c r="B2300" s="25">
        <v>1093.0</v>
      </c>
      <c r="C2300" s="25">
        <v>1103.18</v>
      </c>
      <c r="D2300" s="25">
        <v>1088.45</v>
      </c>
      <c r="E2300" s="25">
        <v>1097.13</v>
      </c>
      <c r="F2300" s="25">
        <v>923090.0</v>
      </c>
    </row>
    <row r="2301">
      <c r="A2301" s="25">
        <v>41759.645833333336</v>
      </c>
      <c r="B2301" s="25">
        <v>1092.55</v>
      </c>
      <c r="C2301" s="25">
        <v>1102.8</v>
      </c>
      <c r="D2301" s="25">
        <v>1090.5</v>
      </c>
      <c r="E2301" s="25">
        <v>1094.6</v>
      </c>
      <c r="F2301" s="25">
        <v>1198689.0</v>
      </c>
    </row>
    <row r="2302">
      <c r="A2302" s="25">
        <v>41761.645833333336</v>
      </c>
      <c r="B2302" s="25">
        <v>1090.63</v>
      </c>
      <c r="C2302" s="25">
        <v>1109.95</v>
      </c>
      <c r="D2302" s="25">
        <v>1090.63</v>
      </c>
      <c r="E2302" s="25">
        <v>1104.22</v>
      </c>
      <c r="F2302" s="25">
        <v>958889.0</v>
      </c>
    </row>
    <row r="2303">
      <c r="A2303" s="25">
        <v>41764.645833333336</v>
      </c>
      <c r="B2303" s="25">
        <v>1105.4</v>
      </c>
      <c r="C2303" s="25">
        <v>1114.5</v>
      </c>
      <c r="D2303" s="25">
        <v>1102.07</v>
      </c>
      <c r="E2303" s="25">
        <v>1106.85</v>
      </c>
      <c r="F2303" s="25">
        <v>657239.0</v>
      </c>
    </row>
    <row r="2304">
      <c r="A2304" s="25">
        <v>41765.645833333336</v>
      </c>
      <c r="B2304" s="25">
        <v>1106.85</v>
      </c>
      <c r="C2304" s="25">
        <v>1110.8</v>
      </c>
      <c r="D2304" s="25">
        <v>1095.0</v>
      </c>
      <c r="E2304" s="25">
        <v>1099.45</v>
      </c>
      <c r="F2304" s="25">
        <v>480616.0</v>
      </c>
    </row>
    <row r="2305">
      <c r="A2305" s="25">
        <v>41766.645833333336</v>
      </c>
      <c r="B2305" s="25">
        <v>1095.53</v>
      </c>
      <c r="C2305" s="25">
        <v>1101.5</v>
      </c>
      <c r="D2305" s="25">
        <v>1070.05</v>
      </c>
      <c r="E2305" s="25">
        <v>1082.78</v>
      </c>
      <c r="F2305" s="25">
        <v>2358091.0</v>
      </c>
    </row>
    <row r="2306">
      <c r="A2306" s="25">
        <v>41767.645833333336</v>
      </c>
      <c r="B2306" s="25">
        <v>1082.55</v>
      </c>
      <c r="C2306" s="25">
        <v>1090.9</v>
      </c>
      <c r="D2306" s="25">
        <v>1073.82</v>
      </c>
      <c r="E2306" s="25">
        <v>1081.03</v>
      </c>
      <c r="F2306" s="25">
        <v>1303450.0</v>
      </c>
    </row>
    <row r="2307">
      <c r="A2307" s="25">
        <v>41768.645833333336</v>
      </c>
      <c r="B2307" s="25">
        <v>1076.0</v>
      </c>
      <c r="C2307" s="25">
        <v>1092.35</v>
      </c>
      <c r="D2307" s="25">
        <v>1076.0</v>
      </c>
      <c r="E2307" s="25">
        <v>1079.95</v>
      </c>
      <c r="F2307" s="25">
        <v>899720.0</v>
      </c>
    </row>
    <row r="2308">
      <c r="A2308" s="25">
        <v>41771.645833333336</v>
      </c>
      <c r="B2308" s="25">
        <v>1076.5</v>
      </c>
      <c r="C2308" s="25">
        <v>1083.35</v>
      </c>
      <c r="D2308" s="25">
        <v>1061.57</v>
      </c>
      <c r="E2308" s="25">
        <v>1079.68</v>
      </c>
      <c r="F2308" s="25">
        <v>1443032.0</v>
      </c>
    </row>
    <row r="2309">
      <c r="A2309" s="25">
        <v>41772.645833333336</v>
      </c>
      <c r="B2309" s="25">
        <v>1082.9</v>
      </c>
      <c r="C2309" s="25">
        <v>1119.5</v>
      </c>
      <c r="D2309" s="25">
        <v>1082.9</v>
      </c>
      <c r="E2309" s="25">
        <v>1105.47</v>
      </c>
      <c r="F2309" s="25">
        <v>1273742.0</v>
      </c>
    </row>
    <row r="2310">
      <c r="A2310" s="25">
        <v>41773.645833333336</v>
      </c>
      <c r="B2310" s="25">
        <v>1107.2</v>
      </c>
      <c r="C2310" s="25">
        <v>1118.85</v>
      </c>
      <c r="D2310" s="25">
        <v>1100.55</v>
      </c>
      <c r="E2310" s="25">
        <v>1108.05</v>
      </c>
      <c r="F2310" s="25">
        <v>694614.0</v>
      </c>
    </row>
    <row r="2311">
      <c r="A2311" s="25">
        <v>41774.645833333336</v>
      </c>
      <c r="B2311" s="25">
        <v>1108.05</v>
      </c>
      <c r="C2311" s="25">
        <v>1112.5</v>
      </c>
      <c r="D2311" s="25">
        <v>1085.57</v>
      </c>
      <c r="E2311" s="25">
        <v>1096.57</v>
      </c>
      <c r="F2311" s="25">
        <v>1260098.0</v>
      </c>
    </row>
    <row r="2312">
      <c r="A2312" s="25">
        <v>41775.645833333336</v>
      </c>
      <c r="B2312" s="25">
        <v>1100.03</v>
      </c>
      <c r="C2312" s="25">
        <v>1126.7</v>
      </c>
      <c r="D2312" s="25">
        <v>1050.13</v>
      </c>
      <c r="E2312" s="25">
        <v>1080.38</v>
      </c>
      <c r="F2312" s="25">
        <v>2620899.0</v>
      </c>
    </row>
    <row r="2313">
      <c r="A2313" s="25">
        <v>41778.645833333336</v>
      </c>
      <c r="B2313" s="25">
        <v>1075.0</v>
      </c>
      <c r="C2313" s="25">
        <v>1080.0</v>
      </c>
      <c r="D2313" s="25">
        <v>999.75</v>
      </c>
      <c r="E2313" s="25">
        <v>1018.35</v>
      </c>
      <c r="F2313" s="25">
        <v>3258303.0</v>
      </c>
    </row>
    <row r="2314">
      <c r="A2314" s="25">
        <v>41779.645833333336</v>
      </c>
      <c r="B2314" s="25">
        <v>1014.0</v>
      </c>
      <c r="C2314" s="25">
        <v>1080.0</v>
      </c>
      <c r="D2314" s="25">
        <v>1014.0</v>
      </c>
      <c r="E2314" s="25">
        <v>1034.1</v>
      </c>
      <c r="F2314" s="25">
        <v>2351057.0</v>
      </c>
    </row>
    <row r="2315">
      <c r="A2315" s="25">
        <v>41780.645833333336</v>
      </c>
      <c r="B2315" s="25">
        <v>1030.6</v>
      </c>
      <c r="C2315" s="25">
        <v>1044.5</v>
      </c>
      <c r="D2315" s="25">
        <v>1027.9</v>
      </c>
      <c r="E2315" s="25">
        <v>1041.43</v>
      </c>
      <c r="F2315" s="25">
        <v>2058473.0</v>
      </c>
    </row>
    <row r="2316">
      <c r="A2316" s="25">
        <v>41781.645833333336</v>
      </c>
      <c r="B2316" s="25">
        <v>1048.38</v>
      </c>
      <c r="C2316" s="25">
        <v>1062.0</v>
      </c>
      <c r="D2316" s="25">
        <v>1037.55</v>
      </c>
      <c r="E2316" s="25">
        <v>1055.97</v>
      </c>
      <c r="F2316" s="25">
        <v>2108421.0</v>
      </c>
    </row>
    <row r="2317">
      <c r="A2317" s="25">
        <v>41782.645833333336</v>
      </c>
      <c r="B2317" s="25">
        <v>1059.5</v>
      </c>
      <c r="C2317" s="25">
        <v>1074.5</v>
      </c>
      <c r="D2317" s="25">
        <v>1048.0</v>
      </c>
      <c r="E2317" s="25">
        <v>1063.95</v>
      </c>
      <c r="F2317" s="25">
        <v>1547390.0</v>
      </c>
    </row>
    <row r="2318">
      <c r="A2318" s="25">
        <v>41785.645833333336</v>
      </c>
      <c r="B2318" s="25">
        <v>1074.5</v>
      </c>
      <c r="C2318" s="25">
        <v>1084.8</v>
      </c>
      <c r="D2318" s="25">
        <v>1066.8</v>
      </c>
      <c r="E2318" s="25">
        <v>1077.0</v>
      </c>
      <c r="F2318" s="25">
        <v>1325425.0</v>
      </c>
    </row>
    <row r="2319">
      <c r="A2319" s="25">
        <v>41786.645833333336</v>
      </c>
      <c r="B2319" s="25">
        <v>1080.07</v>
      </c>
      <c r="C2319" s="25">
        <v>1092.3</v>
      </c>
      <c r="D2319" s="25">
        <v>1059.0</v>
      </c>
      <c r="E2319" s="25">
        <v>1065.72</v>
      </c>
      <c r="F2319" s="25">
        <v>897547.0</v>
      </c>
    </row>
    <row r="2320">
      <c r="A2320" s="25">
        <v>41787.645833333336</v>
      </c>
      <c r="B2320" s="25">
        <v>1070.0</v>
      </c>
      <c r="C2320" s="25">
        <v>1079.38</v>
      </c>
      <c r="D2320" s="25">
        <v>1061.22</v>
      </c>
      <c r="E2320" s="25">
        <v>1075.28</v>
      </c>
      <c r="F2320" s="25">
        <v>943744.0</v>
      </c>
    </row>
    <row r="2321">
      <c r="A2321" s="25">
        <v>41788.645833333336</v>
      </c>
      <c r="B2321" s="25">
        <v>1072.5</v>
      </c>
      <c r="C2321" s="25">
        <v>1090.0</v>
      </c>
      <c r="D2321" s="25">
        <v>1067.6</v>
      </c>
      <c r="E2321" s="25">
        <v>1079.97</v>
      </c>
      <c r="F2321" s="25">
        <v>1410355.0</v>
      </c>
    </row>
    <row r="2322">
      <c r="A2322" s="25">
        <v>41789.645833333336</v>
      </c>
      <c r="B2322" s="25">
        <v>1079.4</v>
      </c>
      <c r="C2322" s="25">
        <v>1083.5</v>
      </c>
      <c r="D2322" s="25">
        <v>1065.07</v>
      </c>
      <c r="E2322" s="25">
        <v>1070.68</v>
      </c>
      <c r="F2322" s="25">
        <v>1292824.0</v>
      </c>
    </row>
    <row r="2323">
      <c r="A2323" s="25">
        <v>41792.645833333336</v>
      </c>
      <c r="B2323" s="25">
        <v>1072.0</v>
      </c>
      <c r="C2323" s="25">
        <v>1078.88</v>
      </c>
      <c r="D2323" s="25">
        <v>1058.03</v>
      </c>
      <c r="E2323" s="25">
        <v>1064.93</v>
      </c>
      <c r="F2323" s="25">
        <v>547579.0</v>
      </c>
    </row>
    <row r="2324">
      <c r="A2324" s="25">
        <v>41793.645833333336</v>
      </c>
      <c r="B2324" s="25">
        <v>1064.93</v>
      </c>
      <c r="C2324" s="25">
        <v>1069.0</v>
      </c>
      <c r="D2324" s="25">
        <v>1052.6</v>
      </c>
      <c r="E2324" s="25">
        <v>1064.3</v>
      </c>
      <c r="F2324" s="25">
        <v>1242314.0</v>
      </c>
    </row>
    <row r="2325">
      <c r="A2325" s="25">
        <v>41794.645833333336</v>
      </c>
      <c r="B2325" s="25">
        <v>1065.0</v>
      </c>
      <c r="C2325" s="25">
        <v>1067.45</v>
      </c>
      <c r="D2325" s="25">
        <v>1038.5</v>
      </c>
      <c r="E2325" s="25">
        <v>1044.63</v>
      </c>
      <c r="F2325" s="25">
        <v>1070531.0</v>
      </c>
    </row>
    <row r="2326">
      <c r="A2326" s="25">
        <v>41795.645833333336</v>
      </c>
      <c r="B2326" s="25">
        <v>1041.55</v>
      </c>
      <c r="C2326" s="25">
        <v>1058.2</v>
      </c>
      <c r="D2326" s="25">
        <v>1034.0</v>
      </c>
      <c r="E2326" s="25">
        <v>1052.07</v>
      </c>
      <c r="F2326" s="25">
        <v>2174235.0</v>
      </c>
    </row>
    <row r="2327">
      <c r="A2327" s="25">
        <v>41796.645833333336</v>
      </c>
      <c r="B2327" s="25">
        <v>1050.07</v>
      </c>
      <c r="C2327" s="25">
        <v>1053.9</v>
      </c>
      <c r="D2327" s="25">
        <v>1028.0</v>
      </c>
      <c r="E2327" s="25">
        <v>1042.13</v>
      </c>
      <c r="F2327" s="25">
        <v>1680793.0</v>
      </c>
    </row>
    <row r="2328">
      <c r="A2328" s="25">
        <v>41799.645833333336</v>
      </c>
      <c r="B2328" s="25">
        <v>1043.5</v>
      </c>
      <c r="C2328" s="25">
        <v>1059.0</v>
      </c>
      <c r="D2328" s="25">
        <v>1040.0</v>
      </c>
      <c r="E2328" s="25">
        <v>1056.9</v>
      </c>
      <c r="F2328" s="25">
        <v>1333098.0</v>
      </c>
    </row>
    <row r="2329">
      <c r="A2329" s="25">
        <v>41800.645833333336</v>
      </c>
      <c r="B2329" s="25">
        <v>1057.5</v>
      </c>
      <c r="C2329" s="25">
        <v>1080.47</v>
      </c>
      <c r="D2329" s="25">
        <v>1057.5</v>
      </c>
      <c r="E2329" s="25">
        <v>1079.07</v>
      </c>
      <c r="F2329" s="25">
        <v>1314034.0</v>
      </c>
    </row>
    <row r="2330">
      <c r="A2330" s="25">
        <v>41801.645833333336</v>
      </c>
      <c r="B2330" s="25">
        <v>1082.5</v>
      </c>
      <c r="C2330" s="25">
        <v>1107.0</v>
      </c>
      <c r="D2330" s="25">
        <v>1069.1</v>
      </c>
      <c r="E2330" s="25">
        <v>1103.47</v>
      </c>
      <c r="F2330" s="25">
        <v>1772281.0</v>
      </c>
    </row>
    <row r="2331">
      <c r="A2331" s="25">
        <v>41802.645833333336</v>
      </c>
      <c r="B2331" s="25">
        <v>1124.5</v>
      </c>
      <c r="C2331" s="25">
        <v>1127.0</v>
      </c>
      <c r="D2331" s="25">
        <v>1091.9</v>
      </c>
      <c r="E2331" s="25">
        <v>1118.68</v>
      </c>
      <c r="F2331" s="25">
        <v>1367169.0</v>
      </c>
    </row>
    <row r="2332">
      <c r="A2332" s="25">
        <v>41803.645833333336</v>
      </c>
      <c r="B2332" s="25">
        <v>1119.0</v>
      </c>
      <c r="C2332" s="25">
        <v>1119.5</v>
      </c>
      <c r="D2332" s="25">
        <v>1092.53</v>
      </c>
      <c r="E2332" s="25">
        <v>1106.78</v>
      </c>
      <c r="F2332" s="25">
        <v>952011.0</v>
      </c>
    </row>
    <row r="2333">
      <c r="A2333" s="25">
        <v>41806.645833333336</v>
      </c>
      <c r="B2333" s="25">
        <v>1105.0</v>
      </c>
      <c r="C2333" s="25">
        <v>1138.47</v>
      </c>
      <c r="D2333" s="25">
        <v>1105.0</v>
      </c>
      <c r="E2333" s="25">
        <v>1134.88</v>
      </c>
      <c r="F2333" s="25">
        <v>1219953.0</v>
      </c>
    </row>
    <row r="2334">
      <c r="A2334" s="25">
        <v>41807.645833333336</v>
      </c>
      <c r="B2334" s="25">
        <v>1142.45</v>
      </c>
      <c r="C2334" s="25">
        <v>1148.5</v>
      </c>
      <c r="D2334" s="25">
        <v>1135.5</v>
      </c>
      <c r="E2334" s="25">
        <v>1139.93</v>
      </c>
      <c r="F2334" s="25">
        <v>959072.0</v>
      </c>
    </row>
    <row r="2335">
      <c r="A2335" s="25">
        <v>41808.645833333336</v>
      </c>
      <c r="B2335" s="25">
        <v>1146.5</v>
      </c>
      <c r="C2335" s="25">
        <v>1146.5</v>
      </c>
      <c r="D2335" s="25">
        <v>1110.65</v>
      </c>
      <c r="E2335" s="25">
        <v>1113.53</v>
      </c>
      <c r="F2335" s="25">
        <v>974412.0</v>
      </c>
    </row>
    <row r="2336">
      <c r="A2336" s="25">
        <v>41809.645833333336</v>
      </c>
      <c r="B2336" s="25">
        <v>1115.0</v>
      </c>
      <c r="C2336" s="25">
        <v>1144.5</v>
      </c>
      <c r="D2336" s="25">
        <v>1105.05</v>
      </c>
      <c r="E2336" s="25">
        <v>1138.03</v>
      </c>
      <c r="F2336" s="25">
        <v>948177.0</v>
      </c>
    </row>
    <row r="2337">
      <c r="A2337" s="25">
        <v>41810.645833333336</v>
      </c>
      <c r="B2337" s="25">
        <v>1142.45</v>
      </c>
      <c r="C2337" s="25">
        <v>1149.5</v>
      </c>
      <c r="D2337" s="25">
        <v>1131.0</v>
      </c>
      <c r="E2337" s="25">
        <v>1146.2</v>
      </c>
      <c r="F2337" s="25">
        <v>577837.0</v>
      </c>
    </row>
    <row r="2338">
      <c r="A2338" s="25">
        <v>41813.645833333336</v>
      </c>
      <c r="B2338" s="25">
        <v>1146.5</v>
      </c>
      <c r="C2338" s="25">
        <v>1149.95</v>
      </c>
      <c r="D2338" s="25">
        <v>1127.03</v>
      </c>
      <c r="E2338" s="25">
        <v>1134.43</v>
      </c>
      <c r="F2338" s="25">
        <v>631367.0</v>
      </c>
    </row>
    <row r="2339">
      <c r="A2339" s="25">
        <v>41814.645833333336</v>
      </c>
      <c r="B2339" s="25">
        <v>1134.5</v>
      </c>
      <c r="C2339" s="25">
        <v>1159.75</v>
      </c>
      <c r="D2339" s="25">
        <v>1127.5</v>
      </c>
      <c r="E2339" s="25">
        <v>1154.53</v>
      </c>
      <c r="F2339" s="25">
        <v>739550.0</v>
      </c>
    </row>
    <row r="2340">
      <c r="A2340" s="25">
        <v>41815.645833333336</v>
      </c>
      <c r="B2340" s="25">
        <v>1155.0</v>
      </c>
      <c r="C2340" s="25">
        <v>1160.0</v>
      </c>
      <c r="D2340" s="25">
        <v>1146.5</v>
      </c>
      <c r="E2340" s="25">
        <v>1155.28</v>
      </c>
      <c r="F2340" s="25">
        <v>514211.0</v>
      </c>
    </row>
    <row r="2341">
      <c r="A2341" s="25">
        <v>41816.645833333336</v>
      </c>
      <c r="B2341" s="25">
        <v>1148.0</v>
      </c>
      <c r="C2341" s="25">
        <v>1172.07</v>
      </c>
      <c r="D2341" s="25">
        <v>1145.57</v>
      </c>
      <c r="E2341" s="25">
        <v>1153.82</v>
      </c>
      <c r="F2341" s="25">
        <v>1018091.0</v>
      </c>
    </row>
    <row r="2342">
      <c r="A2342" s="25">
        <v>41817.645833333336</v>
      </c>
      <c r="B2342" s="25">
        <v>1158.5</v>
      </c>
      <c r="C2342" s="25">
        <v>1203.45</v>
      </c>
      <c r="D2342" s="25">
        <v>1157.5</v>
      </c>
      <c r="E2342" s="25">
        <v>1199.78</v>
      </c>
      <c r="F2342" s="25">
        <v>1529418.0</v>
      </c>
    </row>
    <row r="2343">
      <c r="A2343" s="25">
        <v>41820.645833333336</v>
      </c>
      <c r="B2343" s="25">
        <v>1200.28</v>
      </c>
      <c r="C2343" s="25">
        <v>1217.5</v>
      </c>
      <c r="D2343" s="25">
        <v>1188.3</v>
      </c>
      <c r="E2343" s="25">
        <v>1212.7</v>
      </c>
      <c r="F2343" s="25">
        <v>1073235.0</v>
      </c>
    </row>
    <row r="2344">
      <c r="A2344" s="25">
        <v>41821.645833333336</v>
      </c>
      <c r="B2344" s="25">
        <v>1209.45</v>
      </c>
      <c r="C2344" s="25">
        <v>1209.5</v>
      </c>
      <c r="D2344" s="25">
        <v>1191.15</v>
      </c>
      <c r="E2344" s="25">
        <v>1195.38</v>
      </c>
      <c r="F2344" s="25">
        <v>546395.0</v>
      </c>
    </row>
    <row r="2345">
      <c r="A2345" s="25">
        <v>41822.645833333336</v>
      </c>
      <c r="B2345" s="25">
        <v>1200.0</v>
      </c>
      <c r="C2345" s="25">
        <v>1205.88</v>
      </c>
      <c r="D2345" s="25">
        <v>1191.75</v>
      </c>
      <c r="E2345" s="25">
        <v>1200.8</v>
      </c>
      <c r="F2345" s="25">
        <v>453870.0</v>
      </c>
    </row>
    <row r="2346">
      <c r="A2346" s="25">
        <v>41823.645833333336</v>
      </c>
      <c r="B2346" s="25">
        <v>1199.5</v>
      </c>
      <c r="C2346" s="25">
        <v>1222.5</v>
      </c>
      <c r="D2346" s="25">
        <v>1196.0</v>
      </c>
      <c r="E2346" s="25">
        <v>1208.95</v>
      </c>
      <c r="F2346" s="25">
        <v>763381.0</v>
      </c>
    </row>
    <row r="2347">
      <c r="A2347" s="25">
        <v>41824.645833333336</v>
      </c>
      <c r="B2347" s="25">
        <v>1206.2</v>
      </c>
      <c r="C2347" s="25">
        <v>1212.75</v>
      </c>
      <c r="D2347" s="25">
        <v>1200.5</v>
      </c>
      <c r="E2347" s="25">
        <v>1205.25</v>
      </c>
      <c r="F2347" s="25">
        <v>268068.0</v>
      </c>
    </row>
    <row r="2348">
      <c r="A2348" s="25">
        <v>41827.645833333336</v>
      </c>
      <c r="B2348" s="25">
        <v>1210.03</v>
      </c>
      <c r="C2348" s="25">
        <v>1249.0</v>
      </c>
      <c r="D2348" s="25">
        <v>1205.2</v>
      </c>
      <c r="E2348" s="25">
        <v>1244.28</v>
      </c>
      <c r="F2348" s="25">
        <v>1102451.0</v>
      </c>
    </row>
    <row r="2349">
      <c r="A2349" s="25">
        <v>41828.645833333336</v>
      </c>
      <c r="B2349" s="25">
        <v>1242.47</v>
      </c>
      <c r="C2349" s="25">
        <v>1243.07</v>
      </c>
      <c r="D2349" s="25">
        <v>1216.63</v>
      </c>
      <c r="E2349" s="25">
        <v>1224.72</v>
      </c>
      <c r="F2349" s="25">
        <v>1250294.0</v>
      </c>
    </row>
    <row r="2350">
      <c r="A2350" s="25">
        <v>41829.645833333336</v>
      </c>
      <c r="B2350" s="25">
        <v>1235.0</v>
      </c>
      <c r="C2350" s="25">
        <v>1236.32</v>
      </c>
      <c r="D2350" s="25">
        <v>1190.8</v>
      </c>
      <c r="E2350" s="25">
        <v>1199.07</v>
      </c>
      <c r="F2350" s="25">
        <v>777121.0</v>
      </c>
    </row>
    <row r="2351">
      <c r="A2351" s="25">
        <v>41830.645833333336</v>
      </c>
      <c r="B2351" s="25">
        <v>1199.78</v>
      </c>
      <c r="C2351" s="25">
        <v>1209.8</v>
      </c>
      <c r="D2351" s="25">
        <v>1167.5</v>
      </c>
      <c r="E2351" s="25">
        <v>1175.9</v>
      </c>
      <c r="F2351" s="25">
        <v>995281.0</v>
      </c>
    </row>
    <row r="2352">
      <c r="A2352" s="25">
        <v>41831.645833333336</v>
      </c>
      <c r="B2352" s="25">
        <v>1185.5</v>
      </c>
      <c r="C2352" s="25">
        <v>1205.0</v>
      </c>
      <c r="D2352" s="25">
        <v>1180.55</v>
      </c>
      <c r="E2352" s="25">
        <v>1197.22</v>
      </c>
      <c r="F2352" s="25">
        <v>664723.0</v>
      </c>
    </row>
    <row r="2353">
      <c r="A2353" s="25">
        <v>41834.645833333336</v>
      </c>
      <c r="B2353" s="25">
        <v>1209.4</v>
      </c>
      <c r="C2353" s="25">
        <v>1219.5</v>
      </c>
      <c r="D2353" s="25">
        <v>1192.63</v>
      </c>
      <c r="E2353" s="25">
        <v>1213.13</v>
      </c>
      <c r="F2353" s="25">
        <v>793962.0</v>
      </c>
    </row>
    <row r="2354">
      <c r="A2354" s="25">
        <v>41835.645833333336</v>
      </c>
      <c r="B2354" s="25">
        <v>1213.1</v>
      </c>
      <c r="C2354" s="25">
        <v>1215.0</v>
      </c>
      <c r="D2354" s="25">
        <v>1196.88</v>
      </c>
      <c r="E2354" s="25">
        <v>1199.65</v>
      </c>
      <c r="F2354" s="25">
        <v>694828.0</v>
      </c>
    </row>
    <row r="2355">
      <c r="A2355" s="25">
        <v>41836.645833333336</v>
      </c>
      <c r="B2355" s="25">
        <v>1204.82</v>
      </c>
      <c r="C2355" s="25">
        <v>1212.0</v>
      </c>
      <c r="D2355" s="25">
        <v>1193.43</v>
      </c>
      <c r="E2355" s="25">
        <v>1200.93</v>
      </c>
      <c r="F2355" s="25">
        <v>703620.0</v>
      </c>
    </row>
    <row r="2356">
      <c r="A2356" s="25">
        <v>41837.645833333336</v>
      </c>
      <c r="B2356" s="25">
        <v>1205.0</v>
      </c>
      <c r="C2356" s="25">
        <v>1214.9</v>
      </c>
      <c r="D2356" s="25">
        <v>1187.5</v>
      </c>
      <c r="E2356" s="25">
        <v>1190.97</v>
      </c>
      <c r="F2356" s="25">
        <v>895110.0</v>
      </c>
    </row>
    <row r="2357">
      <c r="A2357" s="25">
        <v>41838.645833333336</v>
      </c>
      <c r="B2357" s="25">
        <v>1226.0</v>
      </c>
      <c r="C2357" s="25">
        <v>1242.5</v>
      </c>
      <c r="D2357" s="25">
        <v>1217.5</v>
      </c>
      <c r="E2357" s="25">
        <v>1220.6</v>
      </c>
      <c r="F2357" s="25">
        <v>1753744.0</v>
      </c>
    </row>
    <row r="2358">
      <c r="A2358" s="25">
        <v>41841.645833333336</v>
      </c>
      <c r="B2358" s="25">
        <v>1234.0</v>
      </c>
      <c r="C2358" s="25">
        <v>1234.93</v>
      </c>
      <c r="D2358" s="25">
        <v>1221.53</v>
      </c>
      <c r="E2358" s="25">
        <v>1231.88</v>
      </c>
      <c r="F2358" s="25">
        <v>490536.0</v>
      </c>
    </row>
    <row r="2359">
      <c r="A2359" s="25">
        <v>41842.645833333336</v>
      </c>
      <c r="B2359" s="25">
        <v>1232.5</v>
      </c>
      <c r="C2359" s="25">
        <v>1270.0</v>
      </c>
      <c r="D2359" s="25">
        <v>1230.95</v>
      </c>
      <c r="E2359" s="25">
        <v>1266.2</v>
      </c>
      <c r="F2359" s="25">
        <v>1199508.0</v>
      </c>
    </row>
    <row r="2360">
      <c r="A2360" s="25">
        <v>41843.645833333336</v>
      </c>
      <c r="B2360" s="25">
        <v>1270.0</v>
      </c>
      <c r="C2360" s="25">
        <v>1298.15</v>
      </c>
      <c r="D2360" s="25">
        <v>1266.15</v>
      </c>
      <c r="E2360" s="25">
        <v>1293.07</v>
      </c>
      <c r="F2360" s="25">
        <v>1032929.0</v>
      </c>
    </row>
    <row r="2361">
      <c r="A2361" s="25">
        <v>41844.645833333336</v>
      </c>
      <c r="B2361" s="25">
        <v>1297.45</v>
      </c>
      <c r="C2361" s="25">
        <v>1301.0</v>
      </c>
      <c r="D2361" s="25">
        <v>1283.5</v>
      </c>
      <c r="E2361" s="25">
        <v>1297.6</v>
      </c>
      <c r="F2361" s="25">
        <v>740709.0</v>
      </c>
    </row>
    <row r="2362">
      <c r="A2362" s="25">
        <v>41845.645833333336</v>
      </c>
      <c r="B2362" s="25">
        <v>1297.0</v>
      </c>
      <c r="C2362" s="25">
        <v>1307.18</v>
      </c>
      <c r="D2362" s="25">
        <v>1283.5</v>
      </c>
      <c r="E2362" s="25">
        <v>1302.88</v>
      </c>
      <c r="F2362" s="25">
        <v>903457.0</v>
      </c>
    </row>
    <row r="2363">
      <c r="A2363" s="25">
        <v>41848.645833333336</v>
      </c>
      <c r="B2363" s="25">
        <v>1288.57</v>
      </c>
      <c r="C2363" s="25">
        <v>1299.82</v>
      </c>
      <c r="D2363" s="25">
        <v>1277.5</v>
      </c>
      <c r="E2363" s="25">
        <v>1294.65</v>
      </c>
      <c r="F2363" s="25">
        <v>657461.0</v>
      </c>
    </row>
    <row r="2364">
      <c r="A2364" s="25">
        <v>41850.645833333336</v>
      </c>
      <c r="B2364" s="25">
        <v>1292.4</v>
      </c>
      <c r="C2364" s="25">
        <v>1305.0</v>
      </c>
      <c r="D2364" s="25">
        <v>1286.3</v>
      </c>
      <c r="E2364" s="25">
        <v>1297.53</v>
      </c>
      <c r="F2364" s="25">
        <v>949626.0</v>
      </c>
    </row>
    <row r="2365">
      <c r="A2365" s="25">
        <v>41851.645833333336</v>
      </c>
      <c r="B2365" s="25">
        <v>1287.55</v>
      </c>
      <c r="C2365" s="25">
        <v>1299.0</v>
      </c>
      <c r="D2365" s="25">
        <v>1284.63</v>
      </c>
      <c r="E2365" s="25">
        <v>1290.03</v>
      </c>
      <c r="F2365" s="25">
        <v>1203605.0</v>
      </c>
    </row>
    <row r="2366">
      <c r="A2366" s="25">
        <v>41852.645833333336</v>
      </c>
      <c r="B2366" s="25">
        <v>1287.5</v>
      </c>
      <c r="C2366" s="25">
        <v>1293.97</v>
      </c>
      <c r="D2366" s="25">
        <v>1255.0</v>
      </c>
      <c r="E2366" s="25">
        <v>1258.2</v>
      </c>
      <c r="F2366" s="25">
        <v>1190941.0</v>
      </c>
    </row>
    <row r="2367">
      <c r="A2367" s="25">
        <v>41855.645833333336</v>
      </c>
      <c r="B2367" s="25">
        <v>1266.0</v>
      </c>
      <c r="C2367" s="25">
        <v>1270.95</v>
      </c>
      <c r="D2367" s="25">
        <v>1244.0</v>
      </c>
      <c r="E2367" s="25">
        <v>1263.03</v>
      </c>
      <c r="F2367" s="25">
        <v>914318.0</v>
      </c>
    </row>
    <row r="2368">
      <c r="A2368" s="25">
        <v>41856.645833333336</v>
      </c>
      <c r="B2368" s="25">
        <v>1272.45</v>
      </c>
      <c r="C2368" s="25">
        <v>1272.5</v>
      </c>
      <c r="D2368" s="25">
        <v>1245.05</v>
      </c>
      <c r="E2368" s="25">
        <v>1261.85</v>
      </c>
      <c r="F2368" s="25">
        <v>702328.0</v>
      </c>
    </row>
    <row r="2369">
      <c r="A2369" s="25">
        <v>41857.645833333336</v>
      </c>
      <c r="B2369" s="25">
        <v>1258.07</v>
      </c>
      <c r="C2369" s="25">
        <v>1267.43</v>
      </c>
      <c r="D2369" s="25">
        <v>1245.13</v>
      </c>
      <c r="E2369" s="25">
        <v>1253.32</v>
      </c>
      <c r="F2369" s="25">
        <v>918781.0</v>
      </c>
    </row>
    <row r="2370">
      <c r="A2370" s="25">
        <v>41858.645833333336</v>
      </c>
      <c r="B2370" s="25">
        <v>1245.0</v>
      </c>
      <c r="C2370" s="25">
        <v>1247.5</v>
      </c>
      <c r="D2370" s="25">
        <v>1229.53</v>
      </c>
      <c r="E2370" s="25">
        <v>1234.9</v>
      </c>
      <c r="F2370" s="25">
        <v>836328.0</v>
      </c>
    </row>
    <row r="2371">
      <c r="A2371" s="25">
        <v>41859.645833333336</v>
      </c>
      <c r="B2371" s="25">
        <v>1232.5</v>
      </c>
      <c r="C2371" s="25">
        <v>1253.85</v>
      </c>
      <c r="D2371" s="25">
        <v>1232.5</v>
      </c>
      <c r="E2371" s="25">
        <v>1239.35</v>
      </c>
      <c r="F2371" s="25">
        <v>732395.0</v>
      </c>
    </row>
    <row r="2372">
      <c r="A2372" s="25">
        <v>41862.645833333336</v>
      </c>
      <c r="B2372" s="25">
        <v>1245.45</v>
      </c>
      <c r="C2372" s="25">
        <v>1247.78</v>
      </c>
      <c r="D2372" s="25">
        <v>1227.5</v>
      </c>
      <c r="E2372" s="25">
        <v>1234.2</v>
      </c>
      <c r="F2372" s="25">
        <v>645448.0</v>
      </c>
    </row>
    <row r="2373">
      <c r="A2373" s="25">
        <v>41863.645833333336</v>
      </c>
      <c r="B2373" s="25">
        <v>1244.95</v>
      </c>
      <c r="C2373" s="25">
        <v>1244.95</v>
      </c>
      <c r="D2373" s="25">
        <v>1220.1</v>
      </c>
      <c r="E2373" s="25">
        <v>1235.88</v>
      </c>
      <c r="F2373" s="25">
        <v>492276.0</v>
      </c>
    </row>
    <row r="2374">
      <c r="A2374" s="25">
        <v>41864.645833333336</v>
      </c>
      <c r="B2374" s="25">
        <v>1235.0</v>
      </c>
      <c r="C2374" s="25">
        <v>1265.0</v>
      </c>
      <c r="D2374" s="25">
        <v>1235.0</v>
      </c>
      <c r="E2374" s="25">
        <v>1250.03</v>
      </c>
      <c r="F2374" s="25">
        <v>1384189.0</v>
      </c>
    </row>
    <row r="2375">
      <c r="A2375" s="25">
        <v>41865.645833333336</v>
      </c>
      <c r="B2375" s="25">
        <v>1257.0</v>
      </c>
      <c r="C2375" s="25">
        <v>1266.0</v>
      </c>
      <c r="D2375" s="25">
        <v>1245.03</v>
      </c>
      <c r="E2375" s="25">
        <v>1249.88</v>
      </c>
      <c r="F2375" s="25">
        <v>789028.0</v>
      </c>
    </row>
    <row r="2376">
      <c r="A2376" s="25">
        <v>41869.645833333336</v>
      </c>
      <c r="B2376" s="25">
        <v>1245.53</v>
      </c>
      <c r="C2376" s="25">
        <v>1252.5</v>
      </c>
      <c r="D2376" s="25">
        <v>1235.0</v>
      </c>
      <c r="E2376" s="25">
        <v>1243.8</v>
      </c>
      <c r="F2376" s="25">
        <v>686630.0</v>
      </c>
    </row>
    <row r="2377">
      <c r="A2377" s="25">
        <v>41870.645833333336</v>
      </c>
      <c r="B2377" s="25">
        <v>1250.0</v>
      </c>
      <c r="C2377" s="25">
        <v>1252.45</v>
      </c>
      <c r="D2377" s="25">
        <v>1217.5</v>
      </c>
      <c r="E2377" s="25">
        <v>1219.25</v>
      </c>
      <c r="F2377" s="25">
        <v>1617078.0</v>
      </c>
    </row>
    <row r="2378">
      <c r="A2378" s="25">
        <v>41871.645833333336</v>
      </c>
      <c r="B2378" s="25">
        <v>1222.25</v>
      </c>
      <c r="C2378" s="25">
        <v>1227.53</v>
      </c>
      <c r="D2378" s="25">
        <v>1215.03</v>
      </c>
      <c r="E2378" s="25">
        <v>1218.1</v>
      </c>
      <c r="F2378" s="25">
        <v>1028379.0</v>
      </c>
    </row>
    <row r="2379">
      <c r="A2379" s="25">
        <v>41872.645833333336</v>
      </c>
      <c r="B2379" s="25">
        <v>1223.5</v>
      </c>
      <c r="C2379" s="25">
        <v>1230.0</v>
      </c>
      <c r="D2379" s="25">
        <v>1215.0</v>
      </c>
      <c r="E2379" s="25">
        <v>1216.22</v>
      </c>
      <c r="F2379" s="25">
        <v>1132725.0</v>
      </c>
    </row>
    <row r="2380">
      <c r="A2380" s="25">
        <v>41873.645833333336</v>
      </c>
      <c r="B2380" s="25">
        <v>1222.0</v>
      </c>
      <c r="C2380" s="25">
        <v>1234.1</v>
      </c>
      <c r="D2380" s="25">
        <v>1217.9</v>
      </c>
      <c r="E2380" s="25">
        <v>1232.1</v>
      </c>
      <c r="F2380" s="25">
        <v>1548119.0</v>
      </c>
    </row>
    <row r="2381">
      <c r="A2381" s="25">
        <v>41876.645833333336</v>
      </c>
      <c r="B2381" s="25">
        <v>1235.0</v>
      </c>
      <c r="C2381" s="25">
        <v>1264.25</v>
      </c>
      <c r="D2381" s="25">
        <v>1233.45</v>
      </c>
      <c r="E2381" s="25">
        <v>1261.03</v>
      </c>
      <c r="F2381" s="25">
        <v>1571756.0</v>
      </c>
    </row>
    <row r="2382">
      <c r="A2382" s="25">
        <v>41877.645833333336</v>
      </c>
      <c r="B2382" s="25">
        <v>1264.5</v>
      </c>
      <c r="C2382" s="25">
        <v>1275.0</v>
      </c>
      <c r="D2382" s="25">
        <v>1250.0</v>
      </c>
      <c r="E2382" s="25">
        <v>1266.9</v>
      </c>
      <c r="F2382" s="25">
        <v>907745.0</v>
      </c>
    </row>
    <row r="2383">
      <c r="A2383" s="25">
        <v>41878.645833333336</v>
      </c>
      <c r="B2383" s="25">
        <v>1267.0</v>
      </c>
      <c r="C2383" s="25">
        <v>1283.7</v>
      </c>
      <c r="D2383" s="25">
        <v>1257.03</v>
      </c>
      <c r="E2383" s="25">
        <v>1274.97</v>
      </c>
      <c r="F2383" s="25">
        <v>717730.0</v>
      </c>
    </row>
    <row r="2384">
      <c r="A2384" s="25">
        <v>41879.645833333336</v>
      </c>
      <c r="B2384" s="25">
        <v>1273.5</v>
      </c>
      <c r="C2384" s="25">
        <v>1274.65</v>
      </c>
      <c r="D2384" s="25">
        <v>1256.5</v>
      </c>
      <c r="E2384" s="25">
        <v>1261.18</v>
      </c>
      <c r="F2384" s="25">
        <v>883144.0</v>
      </c>
    </row>
    <row r="2385">
      <c r="A2385" s="25">
        <v>41883.645833333336</v>
      </c>
      <c r="B2385" s="25">
        <v>1262.7</v>
      </c>
      <c r="C2385" s="25">
        <v>1280.0</v>
      </c>
      <c r="D2385" s="25">
        <v>1261.53</v>
      </c>
      <c r="E2385" s="25">
        <v>1268.57</v>
      </c>
      <c r="F2385" s="25">
        <v>405074.0</v>
      </c>
    </row>
    <row r="2386">
      <c r="A2386" s="25">
        <v>41884.645833333336</v>
      </c>
      <c r="B2386" s="25">
        <v>1272.9</v>
      </c>
      <c r="C2386" s="25">
        <v>1277.4</v>
      </c>
      <c r="D2386" s="25">
        <v>1257.05</v>
      </c>
      <c r="E2386" s="25">
        <v>1268.95</v>
      </c>
      <c r="F2386" s="25">
        <v>703970.0</v>
      </c>
    </row>
    <row r="2387">
      <c r="A2387" s="25">
        <v>41885.645833333336</v>
      </c>
      <c r="B2387" s="25">
        <v>1269.5</v>
      </c>
      <c r="C2387" s="25">
        <v>1308.0</v>
      </c>
      <c r="D2387" s="25">
        <v>1269.5</v>
      </c>
      <c r="E2387" s="25">
        <v>1303.2</v>
      </c>
      <c r="F2387" s="25">
        <v>1530845.0</v>
      </c>
    </row>
    <row r="2388">
      <c r="A2388" s="25">
        <v>41886.645833333336</v>
      </c>
      <c r="B2388" s="25">
        <v>1311.0</v>
      </c>
      <c r="C2388" s="25">
        <v>1313.73</v>
      </c>
      <c r="D2388" s="25">
        <v>1288.72</v>
      </c>
      <c r="E2388" s="25">
        <v>1292.38</v>
      </c>
      <c r="F2388" s="25">
        <v>850799.0</v>
      </c>
    </row>
    <row r="2389">
      <c r="A2389" s="25">
        <v>41887.645833333336</v>
      </c>
      <c r="B2389" s="25">
        <v>1299.95</v>
      </c>
      <c r="C2389" s="25">
        <v>1310.9</v>
      </c>
      <c r="D2389" s="25">
        <v>1291.53</v>
      </c>
      <c r="E2389" s="25">
        <v>1299.3</v>
      </c>
      <c r="F2389" s="25">
        <v>733530.0</v>
      </c>
    </row>
    <row r="2390">
      <c r="A2390" s="25">
        <v>41890.645833333336</v>
      </c>
      <c r="B2390" s="25">
        <v>1306.0</v>
      </c>
      <c r="C2390" s="25">
        <v>1325.0</v>
      </c>
      <c r="D2390" s="25">
        <v>1299.53</v>
      </c>
      <c r="E2390" s="25">
        <v>1321.35</v>
      </c>
      <c r="F2390" s="25">
        <v>848671.0</v>
      </c>
    </row>
    <row r="2391">
      <c r="A2391" s="25">
        <v>41891.645833333336</v>
      </c>
      <c r="B2391" s="25">
        <v>1326.0</v>
      </c>
      <c r="C2391" s="25">
        <v>1333.5</v>
      </c>
      <c r="D2391" s="25">
        <v>1312.55</v>
      </c>
      <c r="E2391" s="25">
        <v>1315.63</v>
      </c>
      <c r="F2391" s="25">
        <v>709049.0</v>
      </c>
    </row>
    <row r="2392">
      <c r="A2392" s="25">
        <v>41892.645833333336</v>
      </c>
      <c r="B2392" s="25">
        <v>1319.0</v>
      </c>
      <c r="C2392" s="25">
        <v>1321.38</v>
      </c>
      <c r="D2392" s="25">
        <v>1295.6</v>
      </c>
      <c r="E2392" s="25">
        <v>1300.07</v>
      </c>
      <c r="F2392" s="25">
        <v>629384.0</v>
      </c>
    </row>
    <row r="2393">
      <c r="A2393" s="25">
        <v>41893.645833333336</v>
      </c>
      <c r="B2393" s="25">
        <v>1305.0</v>
      </c>
      <c r="C2393" s="25">
        <v>1312.2</v>
      </c>
      <c r="D2393" s="25">
        <v>1295.75</v>
      </c>
      <c r="E2393" s="25">
        <v>1299.18</v>
      </c>
      <c r="F2393" s="25">
        <v>537811.0</v>
      </c>
    </row>
    <row r="2394">
      <c r="A2394" s="25">
        <v>41894.645833333336</v>
      </c>
      <c r="B2394" s="25">
        <v>1305.0</v>
      </c>
      <c r="C2394" s="25">
        <v>1312.18</v>
      </c>
      <c r="D2394" s="25">
        <v>1296.6</v>
      </c>
      <c r="E2394" s="25">
        <v>1303.8</v>
      </c>
      <c r="F2394" s="25">
        <v>598105.0</v>
      </c>
    </row>
    <row r="2395">
      <c r="A2395" s="25">
        <v>41897.645833333336</v>
      </c>
      <c r="B2395" s="25">
        <v>1307.0</v>
      </c>
      <c r="C2395" s="25">
        <v>1309.3</v>
      </c>
      <c r="D2395" s="25">
        <v>1277.0</v>
      </c>
      <c r="E2395" s="25">
        <v>1279.15</v>
      </c>
      <c r="F2395" s="25">
        <v>575772.0</v>
      </c>
    </row>
    <row r="2396">
      <c r="A2396" s="25">
        <v>41898.645833333336</v>
      </c>
      <c r="B2396" s="25">
        <v>1283.0</v>
      </c>
      <c r="C2396" s="25">
        <v>1287.5</v>
      </c>
      <c r="D2396" s="25">
        <v>1272.0</v>
      </c>
      <c r="E2396" s="25">
        <v>1275.43</v>
      </c>
      <c r="F2396" s="25">
        <v>767804.0</v>
      </c>
    </row>
    <row r="2397">
      <c r="A2397" s="25">
        <v>41899.645833333336</v>
      </c>
      <c r="B2397" s="25">
        <v>1280.5</v>
      </c>
      <c r="C2397" s="25">
        <v>1302.38</v>
      </c>
      <c r="D2397" s="25">
        <v>1280.5</v>
      </c>
      <c r="E2397" s="25">
        <v>1295.6</v>
      </c>
      <c r="F2397" s="25">
        <v>828850.0</v>
      </c>
    </row>
    <row r="2398">
      <c r="A2398" s="25">
        <v>41900.645833333336</v>
      </c>
      <c r="B2398" s="25">
        <v>1295.85</v>
      </c>
      <c r="C2398" s="25">
        <v>1325.9</v>
      </c>
      <c r="D2398" s="25">
        <v>1290.5</v>
      </c>
      <c r="E2398" s="25">
        <v>1321.15</v>
      </c>
      <c r="F2398" s="25">
        <v>741539.0</v>
      </c>
    </row>
    <row r="2399">
      <c r="A2399" s="25">
        <v>41901.645833333336</v>
      </c>
      <c r="B2399" s="25">
        <v>1321.5</v>
      </c>
      <c r="C2399" s="25">
        <v>1370.0</v>
      </c>
      <c r="D2399" s="25">
        <v>1321.0</v>
      </c>
      <c r="E2399" s="25">
        <v>1357.1</v>
      </c>
      <c r="F2399" s="25">
        <v>1793932.0</v>
      </c>
    </row>
    <row r="2400">
      <c r="A2400" s="25">
        <v>41904.645833333336</v>
      </c>
      <c r="B2400" s="25">
        <v>1357.0</v>
      </c>
      <c r="C2400" s="25">
        <v>1367.0</v>
      </c>
      <c r="D2400" s="25">
        <v>1338.13</v>
      </c>
      <c r="E2400" s="25">
        <v>1360.9</v>
      </c>
      <c r="F2400" s="25">
        <v>499792.0</v>
      </c>
    </row>
    <row r="2401">
      <c r="A2401" s="25">
        <v>41905.645833333336</v>
      </c>
      <c r="B2401" s="25">
        <v>1362.0</v>
      </c>
      <c r="C2401" s="25">
        <v>1391.23</v>
      </c>
      <c r="D2401" s="25">
        <v>1341.65</v>
      </c>
      <c r="E2401" s="25">
        <v>1344.1</v>
      </c>
      <c r="F2401" s="25">
        <v>1027995.0</v>
      </c>
    </row>
    <row r="2402">
      <c r="A2402" s="25">
        <v>41906.645833333336</v>
      </c>
      <c r="B2402" s="25">
        <v>1346.5</v>
      </c>
      <c r="C2402" s="25">
        <v>1353.48</v>
      </c>
      <c r="D2402" s="25">
        <v>1316.38</v>
      </c>
      <c r="E2402" s="25">
        <v>1321.5</v>
      </c>
      <c r="F2402" s="25">
        <v>1221066.0</v>
      </c>
    </row>
    <row r="2403">
      <c r="A2403" s="25">
        <v>41907.645833333336</v>
      </c>
      <c r="B2403" s="25">
        <v>1330.48</v>
      </c>
      <c r="C2403" s="25">
        <v>1362.5</v>
      </c>
      <c r="D2403" s="25">
        <v>1330.0</v>
      </c>
      <c r="E2403" s="25">
        <v>1354.3</v>
      </c>
      <c r="F2403" s="25">
        <v>1236579.0</v>
      </c>
    </row>
    <row r="2404">
      <c r="A2404" s="25">
        <v>41908.645833333336</v>
      </c>
      <c r="B2404" s="25">
        <v>1355.0</v>
      </c>
      <c r="C2404" s="25">
        <v>1362.45</v>
      </c>
      <c r="D2404" s="25">
        <v>1335.05</v>
      </c>
      <c r="E2404" s="25">
        <v>1342.0</v>
      </c>
      <c r="F2404" s="25">
        <v>806356.0</v>
      </c>
    </row>
    <row r="2405">
      <c r="A2405" s="25">
        <v>41911.645833333336</v>
      </c>
      <c r="B2405" s="25">
        <v>1347.7</v>
      </c>
      <c r="C2405" s="25">
        <v>1387.73</v>
      </c>
      <c r="D2405" s="25">
        <v>1337.65</v>
      </c>
      <c r="E2405" s="25">
        <v>1383.98</v>
      </c>
      <c r="F2405" s="25">
        <v>1044767.0</v>
      </c>
    </row>
    <row r="2406">
      <c r="A2406" s="25">
        <v>41912.645833333336</v>
      </c>
      <c r="B2406" s="25">
        <v>1386.48</v>
      </c>
      <c r="C2406" s="25">
        <v>1388.32</v>
      </c>
      <c r="D2406" s="25">
        <v>1354.07</v>
      </c>
      <c r="E2406" s="25">
        <v>1368.3</v>
      </c>
      <c r="F2406" s="25">
        <v>1394477.0</v>
      </c>
    </row>
    <row r="2407">
      <c r="A2407" s="25">
        <v>41913.645833333336</v>
      </c>
      <c r="B2407" s="25">
        <v>1376.0</v>
      </c>
      <c r="C2407" s="25">
        <v>1401.0</v>
      </c>
      <c r="D2407" s="25">
        <v>1368.5</v>
      </c>
      <c r="E2407" s="25">
        <v>1387.8</v>
      </c>
      <c r="F2407" s="25">
        <v>1071011.0</v>
      </c>
    </row>
    <row r="2408">
      <c r="A2408" s="25">
        <v>41919.645833333336</v>
      </c>
      <c r="B2408" s="25">
        <v>1369.8</v>
      </c>
      <c r="C2408" s="25">
        <v>1419.85</v>
      </c>
      <c r="D2408" s="25">
        <v>1362.8</v>
      </c>
      <c r="E2408" s="25">
        <v>1365.68</v>
      </c>
      <c r="F2408" s="25">
        <v>1728837.0</v>
      </c>
    </row>
    <row r="2409">
      <c r="A2409" s="25">
        <v>41920.645833333336</v>
      </c>
      <c r="B2409" s="25">
        <v>1369.0</v>
      </c>
      <c r="C2409" s="25">
        <v>1369.98</v>
      </c>
      <c r="D2409" s="25">
        <v>1324.63</v>
      </c>
      <c r="E2409" s="25">
        <v>1341.6</v>
      </c>
      <c r="F2409" s="25">
        <v>981221.0</v>
      </c>
    </row>
    <row r="2410">
      <c r="A2410" s="25">
        <v>41921.645833333336</v>
      </c>
      <c r="B2410" s="25">
        <v>1354.0</v>
      </c>
      <c r="C2410" s="25">
        <v>1361.65</v>
      </c>
      <c r="D2410" s="25">
        <v>1343.25</v>
      </c>
      <c r="E2410" s="25">
        <v>1353.03</v>
      </c>
      <c r="F2410" s="25">
        <v>842588.0</v>
      </c>
    </row>
    <row r="2411">
      <c r="A2411" s="25">
        <v>41922.645833333336</v>
      </c>
      <c r="B2411" s="25">
        <v>1353.0</v>
      </c>
      <c r="C2411" s="25">
        <v>1363.73</v>
      </c>
      <c r="D2411" s="25">
        <v>1334.25</v>
      </c>
      <c r="E2411" s="25">
        <v>1339.25</v>
      </c>
      <c r="F2411" s="25">
        <v>1172181.0</v>
      </c>
    </row>
    <row r="2412">
      <c r="A2412" s="25">
        <v>41925.645833333336</v>
      </c>
      <c r="B2412" s="25">
        <v>1340.0</v>
      </c>
      <c r="C2412" s="25">
        <v>1362.4</v>
      </c>
      <c r="D2412" s="25">
        <v>1335.0</v>
      </c>
      <c r="E2412" s="25">
        <v>1358.28</v>
      </c>
      <c r="F2412" s="25">
        <v>1104766.0</v>
      </c>
    </row>
    <row r="2413">
      <c r="A2413" s="25">
        <v>41926.645833333336</v>
      </c>
      <c r="B2413" s="25">
        <v>1365.0</v>
      </c>
      <c r="C2413" s="25">
        <v>1367.85</v>
      </c>
      <c r="D2413" s="25">
        <v>1339.4</v>
      </c>
      <c r="E2413" s="25">
        <v>1349.6</v>
      </c>
      <c r="F2413" s="25">
        <v>1184703.0</v>
      </c>
    </row>
    <row r="2414">
      <c r="A2414" s="25">
        <v>41928.645833333336</v>
      </c>
      <c r="B2414" s="25">
        <v>1365.0</v>
      </c>
      <c r="C2414" s="25">
        <v>1379.3</v>
      </c>
      <c r="D2414" s="25">
        <v>1332.13</v>
      </c>
      <c r="E2414" s="25">
        <v>1339.05</v>
      </c>
      <c r="F2414" s="25">
        <v>1924007.0</v>
      </c>
    </row>
    <row r="2415">
      <c r="A2415" s="25">
        <v>41929.645833333336</v>
      </c>
      <c r="B2415" s="25">
        <v>1237.5</v>
      </c>
      <c r="C2415" s="25">
        <v>1255.68</v>
      </c>
      <c r="D2415" s="25">
        <v>1215.0</v>
      </c>
      <c r="E2415" s="25">
        <v>1220.57</v>
      </c>
      <c r="F2415" s="25">
        <v>4946406.0</v>
      </c>
    </row>
    <row r="2416">
      <c r="A2416" s="25">
        <v>41932.645833333336</v>
      </c>
      <c r="B2416" s="25">
        <v>1245.0</v>
      </c>
      <c r="C2416" s="25">
        <v>1246.8</v>
      </c>
      <c r="D2416" s="25">
        <v>1208.97</v>
      </c>
      <c r="E2416" s="25">
        <v>1211.65</v>
      </c>
      <c r="F2416" s="25">
        <v>1699621.0</v>
      </c>
    </row>
    <row r="2417">
      <c r="A2417" s="25">
        <v>41933.645833333336</v>
      </c>
      <c r="B2417" s="25">
        <v>1212.93</v>
      </c>
      <c r="C2417" s="25">
        <v>1221.88</v>
      </c>
      <c r="D2417" s="25">
        <v>1207.5</v>
      </c>
      <c r="E2417" s="25">
        <v>1216.7</v>
      </c>
      <c r="F2417" s="25">
        <v>975366.0</v>
      </c>
    </row>
    <row r="2418">
      <c r="A2418" s="25">
        <v>41934.645833333336</v>
      </c>
      <c r="B2418" s="25">
        <v>1242.5</v>
      </c>
      <c r="C2418" s="25">
        <v>1244.5</v>
      </c>
      <c r="D2418" s="25">
        <v>1222.55</v>
      </c>
      <c r="E2418" s="25">
        <v>1225.93</v>
      </c>
      <c r="F2418" s="25">
        <v>1033832.0</v>
      </c>
    </row>
    <row r="2419">
      <c r="A2419" s="25">
        <v>41935.645833333336</v>
      </c>
      <c r="B2419" s="25">
        <v>1232.5</v>
      </c>
      <c r="C2419" s="25">
        <v>1233.68</v>
      </c>
      <c r="D2419" s="25">
        <v>1227.5</v>
      </c>
      <c r="E2419" s="25">
        <v>1232.55</v>
      </c>
      <c r="F2419" s="25">
        <v>109922.0</v>
      </c>
    </row>
    <row r="2420">
      <c r="A2420" s="25">
        <v>41939.645833333336</v>
      </c>
      <c r="B2420" s="25">
        <v>1259.5</v>
      </c>
      <c r="C2420" s="25">
        <v>1259.85</v>
      </c>
      <c r="D2420" s="25">
        <v>1222.47</v>
      </c>
      <c r="E2420" s="25">
        <v>1228.57</v>
      </c>
      <c r="F2420" s="25">
        <v>1398604.0</v>
      </c>
    </row>
    <row r="2421">
      <c r="A2421" s="25">
        <v>41940.645833333336</v>
      </c>
      <c r="B2421" s="25">
        <v>1242.45</v>
      </c>
      <c r="C2421" s="25">
        <v>1242.45</v>
      </c>
      <c r="D2421" s="25">
        <v>1226.72</v>
      </c>
      <c r="E2421" s="25">
        <v>1239.3</v>
      </c>
      <c r="F2421" s="25">
        <v>1144979.0</v>
      </c>
    </row>
    <row r="2422">
      <c r="A2422" s="25">
        <v>41941.645833333336</v>
      </c>
      <c r="B2422" s="25">
        <v>1237.5</v>
      </c>
      <c r="C2422" s="25">
        <v>1257.0</v>
      </c>
      <c r="D2422" s="25">
        <v>1236.5</v>
      </c>
      <c r="E2422" s="25">
        <v>1253.03</v>
      </c>
      <c r="F2422" s="25">
        <v>1212508.0</v>
      </c>
    </row>
    <row r="2423">
      <c r="A2423" s="25">
        <v>41942.645833333336</v>
      </c>
      <c r="B2423" s="25">
        <v>1260.9</v>
      </c>
      <c r="C2423" s="25">
        <v>1287.45</v>
      </c>
      <c r="D2423" s="25">
        <v>1254.5</v>
      </c>
      <c r="E2423" s="25">
        <v>1279.1</v>
      </c>
      <c r="F2423" s="25">
        <v>2055646.0</v>
      </c>
    </row>
    <row r="2424">
      <c r="A2424" s="25">
        <v>41943.645833333336</v>
      </c>
      <c r="B2424" s="25">
        <v>1280.5</v>
      </c>
      <c r="C2424" s="25">
        <v>1310.0</v>
      </c>
      <c r="D2424" s="25">
        <v>1280.5</v>
      </c>
      <c r="E2424" s="25">
        <v>1303.93</v>
      </c>
      <c r="F2424" s="25">
        <v>1585035.0</v>
      </c>
    </row>
    <row r="2425">
      <c r="A2425" s="25">
        <v>41946.645833333336</v>
      </c>
      <c r="B2425" s="25">
        <v>1324.5</v>
      </c>
      <c r="C2425" s="25">
        <v>1324.5</v>
      </c>
      <c r="D2425" s="25">
        <v>1290.25</v>
      </c>
      <c r="E2425" s="25">
        <v>1295.18</v>
      </c>
      <c r="F2425" s="25">
        <v>1270816.0</v>
      </c>
    </row>
    <row r="2426">
      <c r="A2426" s="25">
        <v>41948.645833333336</v>
      </c>
      <c r="B2426" s="25">
        <v>1319.0</v>
      </c>
      <c r="C2426" s="25">
        <v>1319.0</v>
      </c>
      <c r="D2426" s="25">
        <v>1295.0</v>
      </c>
      <c r="E2426" s="25">
        <v>1299.75</v>
      </c>
      <c r="F2426" s="25">
        <v>1155321.0</v>
      </c>
    </row>
    <row r="2427">
      <c r="A2427" s="25">
        <v>41950.645833333336</v>
      </c>
      <c r="B2427" s="25">
        <v>1302.4</v>
      </c>
      <c r="C2427" s="25">
        <v>1307.85</v>
      </c>
      <c r="D2427" s="25">
        <v>1278.5</v>
      </c>
      <c r="E2427" s="25">
        <v>1286.43</v>
      </c>
      <c r="F2427" s="25">
        <v>1063370.0</v>
      </c>
    </row>
    <row r="2428">
      <c r="A2428" s="25">
        <v>41953.64583333333</v>
      </c>
      <c r="B2428" s="25">
        <v>1287.55</v>
      </c>
      <c r="C2428" s="25">
        <v>1291.0</v>
      </c>
      <c r="D2428" s="25">
        <v>1275.5</v>
      </c>
      <c r="E2428" s="25">
        <v>1284.82</v>
      </c>
      <c r="F2428" s="25">
        <v>770982.0</v>
      </c>
    </row>
    <row r="2429">
      <c r="A2429" s="25">
        <v>41954.64583333333</v>
      </c>
      <c r="B2429" s="25">
        <v>1289.0</v>
      </c>
      <c r="C2429" s="25">
        <v>1297.0</v>
      </c>
      <c r="D2429" s="25">
        <v>1277.7</v>
      </c>
      <c r="E2429" s="25">
        <v>1290.35</v>
      </c>
      <c r="F2429" s="25">
        <v>624970.0</v>
      </c>
    </row>
    <row r="2430">
      <c r="A2430" s="25">
        <v>41955.64583333333</v>
      </c>
      <c r="B2430" s="25">
        <v>1290.0</v>
      </c>
      <c r="C2430" s="25">
        <v>1305.5</v>
      </c>
      <c r="D2430" s="25">
        <v>1287.5</v>
      </c>
      <c r="E2430" s="25">
        <v>1295.88</v>
      </c>
      <c r="F2430" s="25">
        <v>660291.0</v>
      </c>
    </row>
    <row r="2431">
      <c r="A2431" s="25">
        <v>41956.64583333333</v>
      </c>
      <c r="B2431" s="25">
        <v>1297.5</v>
      </c>
      <c r="C2431" s="25">
        <v>1302.45</v>
      </c>
      <c r="D2431" s="25">
        <v>1282.57</v>
      </c>
      <c r="E2431" s="25">
        <v>1294.22</v>
      </c>
      <c r="F2431" s="25">
        <v>822770.0</v>
      </c>
    </row>
    <row r="2432">
      <c r="A2432" s="25">
        <v>41957.64583333333</v>
      </c>
      <c r="B2432" s="25">
        <v>1292.6</v>
      </c>
      <c r="C2432" s="25">
        <v>1305.57</v>
      </c>
      <c r="D2432" s="25">
        <v>1287.5</v>
      </c>
      <c r="E2432" s="25">
        <v>1303.22</v>
      </c>
      <c r="F2432" s="25">
        <v>728587.0</v>
      </c>
    </row>
    <row r="2433">
      <c r="A2433" s="25">
        <v>41960.64583333333</v>
      </c>
      <c r="B2433" s="25">
        <v>1297.55</v>
      </c>
      <c r="C2433" s="25">
        <v>1312.5</v>
      </c>
      <c r="D2433" s="25">
        <v>1296.13</v>
      </c>
      <c r="E2433" s="25">
        <v>1309.15</v>
      </c>
      <c r="F2433" s="25">
        <v>785276.0</v>
      </c>
    </row>
    <row r="2434">
      <c r="A2434" s="25">
        <v>41961.64583333333</v>
      </c>
      <c r="B2434" s="25">
        <v>1310.0</v>
      </c>
      <c r="C2434" s="25">
        <v>1313.32</v>
      </c>
      <c r="D2434" s="25">
        <v>1289.88</v>
      </c>
      <c r="E2434" s="25">
        <v>1292.93</v>
      </c>
      <c r="F2434" s="25">
        <v>733513.0</v>
      </c>
    </row>
    <row r="2435">
      <c r="A2435" s="25">
        <v>41962.64583333333</v>
      </c>
      <c r="B2435" s="25">
        <v>1299.0</v>
      </c>
      <c r="C2435" s="25">
        <v>1299.0</v>
      </c>
      <c r="D2435" s="25">
        <v>1278.72</v>
      </c>
      <c r="E2435" s="25">
        <v>1286.88</v>
      </c>
      <c r="F2435" s="25">
        <v>932873.0</v>
      </c>
    </row>
    <row r="2436">
      <c r="A2436" s="25">
        <v>41963.64583333333</v>
      </c>
      <c r="B2436" s="25">
        <v>1294.0</v>
      </c>
      <c r="C2436" s="25">
        <v>1305.13</v>
      </c>
      <c r="D2436" s="25">
        <v>1280.28</v>
      </c>
      <c r="E2436" s="25">
        <v>1302.72</v>
      </c>
      <c r="F2436" s="25">
        <v>897693.0</v>
      </c>
    </row>
    <row r="2437">
      <c r="A2437" s="25">
        <v>41964.64583333333</v>
      </c>
      <c r="B2437" s="25">
        <v>1304.0</v>
      </c>
      <c r="C2437" s="25">
        <v>1320.0</v>
      </c>
      <c r="D2437" s="25">
        <v>1293.32</v>
      </c>
      <c r="E2437" s="25">
        <v>1311.07</v>
      </c>
      <c r="F2437" s="25">
        <v>1000797.0</v>
      </c>
    </row>
    <row r="2438">
      <c r="A2438" s="25">
        <v>41967.64583333333</v>
      </c>
      <c r="B2438" s="25">
        <v>1311.0</v>
      </c>
      <c r="C2438" s="25">
        <v>1332.5</v>
      </c>
      <c r="D2438" s="25">
        <v>1311.0</v>
      </c>
      <c r="E2438" s="25">
        <v>1328.85</v>
      </c>
      <c r="F2438" s="25">
        <v>971383.0</v>
      </c>
    </row>
    <row r="2439">
      <c r="A2439" s="25">
        <v>41968.64583333333</v>
      </c>
      <c r="B2439" s="25">
        <v>1330.0</v>
      </c>
      <c r="C2439" s="25">
        <v>1339.7</v>
      </c>
      <c r="D2439" s="25">
        <v>1308.0</v>
      </c>
      <c r="E2439" s="25">
        <v>1318.0</v>
      </c>
      <c r="F2439" s="25">
        <v>1185842.0</v>
      </c>
    </row>
    <row r="2440">
      <c r="A2440" s="25">
        <v>41969.64583333333</v>
      </c>
      <c r="B2440" s="25">
        <v>1315.03</v>
      </c>
      <c r="C2440" s="25">
        <v>1328.18</v>
      </c>
      <c r="D2440" s="25">
        <v>1307.5</v>
      </c>
      <c r="E2440" s="25">
        <v>1313.65</v>
      </c>
      <c r="F2440" s="25">
        <v>792400.0</v>
      </c>
    </row>
    <row r="2441">
      <c r="A2441" s="25">
        <v>41970.64583333333</v>
      </c>
      <c r="B2441" s="25">
        <v>1313.65</v>
      </c>
      <c r="C2441" s="25">
        <v>1334.0</v>
      </c>
      <c r="D2441" s="25">
        <v>1312.65</v>
      </c>
      <c r="E2441" s="25">
        <v>1326.65</v>
      </c>
      <c r="F2441" s="25">
        <v>866209.0</v>
      </c>
    </row>
    <row r="2442">
      <c r="A2442" s="25">
        <v>41971.64583333333</v>
      </c>
      <c r="B2442" s="25">
        <v>1329.18</v>
      </c>
      <c r="C2442" s="25">
        <v>1345.95</v>
      </c>
      <c r="D2442" s="25">
        <v>1317.68</v>
      </c>
      <c r="E2442" s="25">
        <v>1321.5</v>
      </c>
      <c r="F2442" s="25">
        <v>994884.0</v>
      </c>
    </row>
    <row r="2443">
      <c r="A2443" s="25">
        <v>41974.64583333333</v>
      </c>
      <c r="B2443" s="25">
        <v>1325.25</v>
      </c>
      <c r="C2443" s="25">
        <v>1350.0</v>
      </c>
      <c r="D2443" s="25">
        <v>1322.63</v>
      </c>
      <c r="E2443" s="25">
        <v>1346.48</v>
      </c>
      <c r="F2443" s="25">
        <v>948177.0</v>
      </c>
    </row>
    <row r="2444">
      <c r="A2444" s="25">
        <v>41975.64583333333</v>
      </c>
      <c r="B2444" s="25">
        <v>1346.5</v>
      </c>
      <c r="C2444" s="25">
        <v>1355.48</v>
      </c>
      <c r="D2444" s="25">
        <v>1324.68</v>
      </c>
      <c r="E2444" s="25">
        <v>1328.65</v>
      </c>
      <c r="F2444" s="25">
        <v>718286.0</v>
      </c>
    </row>
    <row r="2445">
      <c r="A2445" s="25">
        <v>41976.64583333333</v>
      </c>
      <c r="B2445" s="25">
        <v>1335.95</v>
      </c>
      <c r="C2445" s="25">
        <v>1336.7</v>
      </c>
      <c r="D2445" s="25">
        <v>1309.25</v>
      </c>
      <c r="E2445" s="25">
        <v>1317.68</v>
      </c>
      <c r="F2445" s="25">
        <v>1547335.0</v>
      </c>
    </row>
    <row r="2446">
      <c r="A2446" s="25">
        <v>41977.64583333333</v>
      </c>
      <c r="B2446" s="25">
        <v>1332.0</v>
      </c>
      <c r="C2446" s="25">
        <v>1333.5</v>
      </c>
      <c r="D2446" s="25">
        <v>1314.95</v>
      </c>
      <c r="E2446" s="25">
        <v>1318.98</v>
      </c>
      <c r="F2446" s="25">
        <v>642654.0</v>
      </c>
    </row>
    <row r="2447">
      <c r="A2447" s="25">
        <v>41978.64583333333</v>
      </c>
      <c r="B2447" s="25">
        <v>1320.45</v>
      </c>
      <c r="C2447" s="25">
        <v>1324.9</v>
      </c>
      <c r="D2447" s="25">
        <v>1286.07</v>
      </c>
      <c r="E2447" s="25">
        <v>1289.47</v>
      </c>
      <c r="F2447" s="25">
        <v>1179838.0</v>
      </c>
    </row>
    <row r="2448">
      <c r="A2448" s="25">
        <v>41981.64583333333</v>
      </c>
      <c r="B2448" s="25">
        <v>1297.5</v>
      </c>
      <c r="C2448" s="25">
        <v>1297.5</v>
      </c>
      <c r="D2448" s="25">
        <v>1250.82</v>
      </c>
      <c r="E2448" s="25">
        <v>1256.4</v>
      </c>
      <c r="F2448" s="25">
        <v>1616287.0</v>
      </c>
    </row>
    <row r="2449">
      <c r="A2449" s="25">
        <v>41982.64583333333</v>
      </c>
      <c r="B2449" s="25">
        <v>1258.0</v>
      </c>
      <c r="C2449" s="25">
        <v>1279.5</v>
      </c>
      <c r="D2449" s="25">
        <v>1254.55</v>
      </c>
      <c r="E2449" s="25">
        <v>1257.43</v>
      </c>
      <c r="F2449" s="25">
        <v>1243970.0</v>
      </c>
    </row>
    <row r="2450">
      <c r="A2450" s="25">
        <v>41983.64583333333</v>
      </c>
      <c r="B2450" s="25">
        <v>1257.5</v>
      </c>
      <c r="C2450" s="25">
        <v>1265.95</v>
      </c>
      <c r="D2450" s="25">
        <v>1248.1</v>
      </c>
      <c r="E2450" s="25">
        <v>1253.95</v>
      </c>
      <c r="F2450" s="25">
        <v>1043985.0</v>
      </c>
    </row>
    <row r="2451">
      <c r="A2451" s="25">
        <v>41984.64583333333</v>
      </c>
      <c r="B2451" s="25">
        <v>1250.3</v>
      </c>
      <c r="C2451" s="25">
        <v>1261.45</v>
      </c>
      <c r="D2451" s="25">
        <v>1243.5</v>
      </c>
      <c r="E2451" s="25">
        <v>1246.07</v>
      </c>
      <c r="F2451" s="25">
        <v>969411.0</v>
      </c>
    </row>
    <row r="2452">
      <c r="A2452" s="25">
        <v>41985.64583333333</v>
      </c>
      <c r="B2452" s="25">
        <v>1250.0</v>
      </c>
      <c r="C2452" s="25">
        <v>1260.0</v>
      </c>
      <c r="D2452" s="25">
        <v>1211.32</v>
      </c>
      <c r="E2452" s="25">
        <v>1225.35</v>
      </c>
      <c r="F2452" s="25">
        <v>1190393.0</v>
      </c>
    </row>
    <row r="2453">
      <c r="A2453" s="25">
        <v>41988.64583333333</v>
      </c>
      <c r="B2453" s="25">
        <v>1192.45</v>
      </c>
      <c r="C2453" s="25">
        <v>1192.5</v>
      </c>
      <c r="D2453" s="25">
        <v>1176.13</v>
      </c>
      <c r="E2453" s="25">
        <v>1179.32</v>
      </c>
      <c r="F2453" s="25">
        <v>1743894.0</v>
      </c>
    </row>
    <row r="2454">
      <c r="A2454" s="25">
        <v>41989.64583333333</v>
      </c>
      <c r="B2454" s="25">
        <v>1175.0</v>
      </c>
      <c r="C2454" s="25">
        <v>1229.63</v>
      </c>
      <c r="D2454" s="25">
        <v>1172.5</v>
      </c>
      <c r="E2454" s="25">
        <v>1221.53</v>
      </c>
      <c r="F2454" s="25">
        <v>1669570.0</v>
      </c>
    </row>
    <row r="2455">
      <c r="A2455" s="25">
        <v>41990.64583333333</v>
      </c>
      <c r="B2455" s="25">
        <v>1226.7</v>
      </c>
      <c r="C2455" s="25">
        <v>1235.0</v>
      </c>
      <c r="D2455" s="25">
        <v>1202.63</v>
      </c>
      <c r="E2455" s="25">
        <v>1222.05</v>
      </c>
      <c r="F2455" s="25">
        <v>1143538.0</v>
      </c>
    </row>
    <row r="2456">
      <c r="A2456" s="25">
        <v>41991.64583333333</v>
      </c>
      <c r="B2456" s="25">
        <v>1227.55</v>
      </c>
      <c r="C2456" s="25">
        <v>1234.25</v>
      </c>
      <c r="D2456" s="25">
        <v>1217.4</v>
      </c>
      <c r="E2456" s="25">
        <v>1230.35</v>
      </c>
      <c r="F2456" s="25">
        <v>740722.0</v>
      </c>
    </row>
    <row r="2457">
      <c r="A2457" s="25">
        <v>41992.64583333333</v>
      </c>
      <c r="B2457" s="25">
        <v>1235.65</v>
      </c>
      <c r="C2457" s="25">
        <v>1261.88</v>
      </c>
      <c r="D2457" s="25">
        <v>1234.0</v>
      </c>
      <c r="E2457" s="25">
        <v>1255.28</v>
      </c>
      <c r="F2457" s="25">
        <v>951565.0</v>
      </c>
    </row>
    <row r="2458">
      <c r="A2458" s="25">
        <v>41995.64583333333</v>
      </c>
      <c r="B2458" s="25">
        <v>1263.0</v>
      </c>
      <c r="C2458" s="25">
        <v>1264.5</v>
      </c>
      <c r="D2458" s="25">
        <v>1237.2</v>
      </c>
      <c r="E2458" s="25">
        <v>1256.7</v>
      </c>
      <c r="F2458" s="25">
        <v>821977.0</v>
      </c>
    </row>
    <row r="2459">
      <c r="A2459" s="25">
        <v>41996.64583333333</v>
      </c>
      <c r="B2459" s="25">
        <v>1250.0</v>
      </c>
      <c r="C2459" s="25">
        <v>1268.32</v>
      </c>
      <c r="D2459" s="25">
        <v>1247.3</v>
      </c>
      <c r="E2459" s="25">
        <v>1258.35</v>
      </c>
      <c r="F2459" s="25">
        <v>633238.0</v>
      </c>
    </row>
    <row r="2460">
      <c r="A2460" s="25">
        <v>41997.64583333333</v>
      </c>
      <c r="B2460" s="25">
        <v>1257.5</v>
      </c>
      <c r="C2460" s="25">
        <v>1260.43</v>
      </c>
      <c r="D2460" s="25">
        <v>1232.82</v>
      </c>
      <c r="E2460" s="25">
        <v>1239.95</v>
      </c>
      <c r="F2460" s="25">
        <v>1644486.0</v>
      </c>
    </row>
    <row r="2461">
      <c r="A2461" s="25">
        <v>41999.64583333333</v>
      </c>
      <c r="B2461" s="25">
        <v>1243.0</v>
      </c>
      <c r="C2461" s="25">
        <v>1255.0</v>
      </c>
      <c r="D2461" s="25">
        <v>1232.5</v>
      </c>
      <c r="E2461" s="25">
        <v>1252.5</v>
      </c>
      <c r="F2461" s="25">
        <v>313103.0</v>
      </c>
    </row>
    <row r="2462">
      <c r="A2462" s="25">
        <v>42002.64583333333</v>
      </c>
      <c r="B2462" s="25">
        <v>1254.0</v>
      </c>
      <c r="C2462" s="25">
        <v>1268.47</v>
      </c>
      <c r="D2462" s="25">
        <v>1253.5</v>
      </c>
      <c r="E2462" s="25">
        <v>1261.45</v>
      </c>
      <c r="F2462" s="25">
        <v>389460.0</v>
      </c>
    </row>
    <row r="2463">
      <c r="A2463" s="25">
        <v>42003.64583333333</v>
      </c>
      <c r="B2463" s="25">
        <v>1262.5</v>
      </c>
      <c r="C2463" s="25">
        <v>1271.22</v>
      </c>
      <c r="D2463" s="25">
        <v>1258.0</v>
      </c>
      <c r="E2463" s="25">
        <v>1265.03</v>
      </c>
      <c r="F2463" s="25">
        <v>350671.0</v>
      </c>
    </row>
    <row r="2464">
      <c r="A2464" s="25">
        <v>42004.64583333333</v>
      </c>
      <c r="B2464" s="25">
        <v>1266.35</v>
      </c>
      <c r="C2464" s="25">
        <v>1283.2</v>
      </c>
      <c r="D2464" s="25">
        <v>1262.5</v>
      </c>
      <c r="E2464" s="25">
        <v>1279.13</v>
      </c>
      <c r="F2464" s="25">
        <v>786896.0</v>
      </c>
    </row>
    <row r="2465">
      <c r="A2465" s="25">
        <v>42005.64583333333</v>
      </c>
      <c r="B2465" s="25">
        <v>1283.5</v>
      </c>
      <c r="C2465" s="25">
        <v>1283.5</v>
      </c>
      <c r="D2465" s="25">
        <v>1270.5</v>
      </c>
      <c r="E2465" s="25">
        <v>1272.78</v>
      </c>
      <c r="F2465" s="25">
        <v>183415.0</v>
      </c>
    </row>
    <row r="2466">
      <c r="A2466" s="25">
        <v>42006.64583333333</v>
      </c>
      <c r="B2466" s="25">
        <v>1275.5</v>
      </c>
      <c r="C2466" s="25">
        <v>1295.47</v>
      </c>
      <c r="D2466" s="25">
        <v>1275.3</v>
      </c>
      <c r="E2466" s="25">
        <v>1289.72</v>
      </c>
      <c r="F2466" s="25">
        <v>462870.0</v>
      </c>
    </row>
    <row r="2467">
      <c r="A2467" s="25">
        <v>42009.64583333333</v>
      </c>
      <c r="B2467" s="25">
        <v>1290.5</v>
      </c>
      <c r="C2467" s="25">
        <v>1299.95</v>
      </c>
      <c r="D2467" s="25">
        <v>1262.33</v>
      </c>
      <c r="E2467" s="25">
        <v>1270.13</v>
      </c>
      <c r="F2467" s="25">
        <v>877121.0</v>
      </c>
    </row>
    <row r="2468">
      <c r="A2468" s="25">
        <v>42010.64583333333</v>
      </c>
      <c r="B2468" s="25">
        <v>1264.55</v>
      </c>
      <c r="C2468" s="25">
        <v>1264.55</v>
      </c>
      <c r="D2468" s="25">
        <v>1220.0</v>
      </c>
      <c r="E2468" s="25">
        <v>1223.3</v>
      </c>
      <c r="F2468" s="25">
        <v>1211892.0</v>
      </c>
    </row>
    <row r="2469">
      <c r="A2469" s="25">
        <v>42011.64583333333</v>
      </c>
      <c r="B2469" s="25">
        <v>1235.0</v>
      </c>
      <c r="C2469" s="25">
        <v>1239.58</v>
      </c>
      <c r="D2469" s="25">
        <v>1203.72</v>
      </c>
      <c r="E2469" s="25">
        <v>1208.85</v>
      </c>
      <c r="F2469" s="25">
        <v>1318166.0</v>
      </c>
    </row>
    <row r="2470">
      <c r="A2470" s="25">
        <v>42012.64583333333</v>
      </c>
      <c r="B2470" s="25">
        <v>1221.2</v>
      </c>
      <c r="C2470" s="25">
        <v>1224.5</v>
      </c>
      <c r="D2470" s="25">
        <v>1210.28</v>
      </c>
      <c r="E2470" s="25">
        <v>1221.9</v>
      </c>
      <c r="F2470" s="25">
        <v>782704.0</v>
      </c>
    </row>
    <row r="2471">
      <c r="A2471" s="25">
        <v>42013.64583333333</v>
      </c>
      <c r="B2471" s="25">
        <v>1227.5</v>
      </c>
      <c r="C2471" s="25">
        <v>1259.95</v>
      </c>
      <c r="D2471" s="25">
        <v>1225.0</v>
      </c>
      <c r="E2471" s="25">
        <v>1256.15</v>
      </c>
      <c r="F2471" s="25">
        <v>1598821.0</v>
      </c>
    </row>
    <row r="2472">
      <c r="A2472" s="25">
        <v>42016.64583333333</v>
      </c>
      <c r="B2472" s="25">
        <v>1258.5</v>
      </c>
      <c r="C2472" s="25">
        <v>1264.0</v>
      </c>
      <c r="D2472" s="25">
        <v>1240.13</v>
      </c>
      <c r="E2472" s="25">
        <v>1254.85</v>
      </c>
      <c r="F2472" s="25">
        <v>798003.0</v>
      </c>
    </row>
    <row r="2473">
      <c r="A2473" s="25">
        <v>42017.64583333333</v>
      </c>
      <c r="B2473" s="25">
        <v>1260.0</v>
      </c>
      <c r="C2473" s="25">
        <v>1265.2</v>
      </c>
      <c r="D2473" s="25">
        <v>1240.05</v>
      </c>
      <c r="E2473" s="25">
        <v>1248.95</v>
      </c>
      <c r="F2473" s="25">
        <v>734216.0</v>
      </c>
    </row>
    <row r="2474">
      <c r="A2474" s="25">
        <v>42018.64583333333</v>
      </c>
      <c r="B2474" s="25">
        <v>1258.0</v>
      </c>
      <c r="C2474" s="25">
        <v>1265.9</v>
      </c>
      <c r="D2474" s="25">
        <v>1250.25</v>
      </c>
      <c r="E2474" s="25">
        <v>1260.97</v>
      </c>
      <c r="F2474" s="25">
        <v>893548.0</v>
      </c>
    </row>
    <row r="2475">
      <c r="A2475" s="25">
        <v>42019.64583333333</v>
      </c>
      <c r="B2475" s="25">
        <v>1266.5</v>
      </c>
      <c r="C2475" s="25">
        <v>1290.88</v>
      </c>
      <c r="D2475" s="25">
        <v>1261.63</v>
      </c>
      <c r="E2475" s="25">
        <v>1269.55</v>
      </c>
      <c r="F2475" s="25">
        <v>2504960.0</v>
      </c>
    </row>
    <row r="2476">
      <c r="A2476" s="25">
        <v>42020.64583333333</v>
      </c>
      <c r="B2476" s="25">
        <v>1271.85</v>
      </c>
      <c r="C2476" s="25">
        <v>1272.5</v>
      </c>
      <c r="D2476" s="25">
        <v>1242.15</v>
      </c>
      <c r="E2476" s="25">
        <v>1266.08</v>
      </c>
      <c r="F2476" s="25">
        <v>2646915.0</v>
      </c>
    </row>
    <row r="2477">
      <c r="A2477" s="25">
        <v>42023.64583333333</v>
      </c>
      <c r="B2477" s="25">
        <v>1268.0</v>
      </c>
      <c r="C2477" s="25">
        <v>1275.5</v>
      </c>
      <c r="D2477" s="25">
        <v>1251.5</v>
      </c>
      <c r="E2477" s="25">
        <v>1255.5</v>
      </c>
      <c r="F2477" s="25">
        <v>567537.0</v>
      </c>
    </row>
    <row r="2478">
      <c r="A2478" s="25">
        <v>42024.64583333333</v>
      </c>
      <c r="B2478" s="25">
        <v>1260.0</v>
      </c>
      <c r="C2478" s="25">
        <v>1265.0</v>
      </c>
      <c r="D2478" s="25">
        <v>1241.63</v>
      </c>
      <c r="E2478" s="25">
        <v>1250.22</v>
      </c>
      <c r="F2478" s="25">
        <v>1029283.0</v>
      </c>
    </row>
    <row r="2479">
      <c r="A2479" s="25">
        <v>42025.64583333333</v>
      </c>
      <c r="B2479" s="25">
        <v>1261.0</v>
      </c>
      <c r="C2479" s="25">
        <v>1261.0</v>
      </c>
      <c r="D2479" s="25">
        <v>1244.13</v>
      </c>
      <c r="E2479" s="25">
        <v>1256.9</v>
      </c>
      <c r="F2479" s="25">
        <v>1155240.0</v>
      </c>
    </row>
    <row r="2480">
      <c r="A2480" s="25">
        <v>42026.64583333333</v>
      </c>
      <c r="B2480" s="25">
        <v>1258.25</v>
      </c>
      <c r="C2480" s="25">
        <v>1260.63</v>
      </c>
      <c r="D2480" s="25">
        <v>1247.75</v>
      </c>
      <c r="E2480" s="25">
        <v>1256.78</v>
      </c>
      <c r="F2480" s="25">
        <v>1056607.0</v>
      </c>
    </row>
    <row r="2481">
      <c r="A2481" s="25">
        <v>42027.64583333333</v>
      </c>
      <c r="B2481" s="25">
        <v>1257.0</v>
      </c>
      <c r="C2481" s="25">
        <v>1266.03</v>
      </c>
      <c r="D2481" s="25">
        <v>1248.05</v>
      </c>
      <c r="E2481" s="25">
        <v>1251.8</v>
      </c>
      <c r="F2481" s="25">
        <v>1575190.0</v>
      </c>
    </row>
    <row r="2482">
      <c r="A2482" s="25">
        <v>42031.64583333333</v>
      </c>
      <c r="B2482" s="25">
        <v>1256.18</v>
      </c>
      <c r="C2482" s="25">
        <v>1257.5</v>
      </c>
      <c r="D2482" s="25">
        <v>1244.78</v>
      </c>
      <c r="E2482" s="25">
        <v>1251.03</v>
      </c>
      <c r="F2482" s="25">
        <v>1369368.0</v>
      </c>
    </row>
    <row r="2483">
      <c r="A2483" s="25">
        <v>42032.64583333333</v>
      </c>
      <c r="B2483" s="25">
        <v>1251.5</v>
      </c>
      <c r="C2483" s="25">
        <v>1272.45</v>
      </c>
      <c r="D2483" s="25">
        <v>1251.45</v>
      </c>
      <c r="E2483" s="25">
        <v>1269.8</v>
      </c>
      <c r="F2483" s="25">
        <v>1560990.0</v>
      </c>
    </row>
    <row r="2484">
      <c r="A2484" s="25">
        <v>42033.64583333333</v>
      </c>
      <c r="B2484" s="25">
        <v>1269.0</v>
      </c>
      <c r="C2484" s="25">
        <v>1284.35</v>
      </c>
      <c r="D2484" s="25">
        <v>1256.45</v>
      </c>
      <c r="E2484" s="25">
        <v>1272.33</v>
      </c>
      <c r="F2484" s="25">
        <v>1867196.0</v>
      </c>
    </row>
    <row r="2485">
      <c r="A2485" s="25">
        <v>42034.64583333333</v>
      </c>
      <c r="B2485" s="25">
        <v>1280.35</v>
      </c>
      <c r="C2485" s="25">
        <v>1287.5</v>
      </c>
      <c r="D2485" s="25">
        <v>1235.0</v>
      </c>
      <c r="E2485" s="25">
        <v>1241.03</v>
      </c>
      <c r="F2485" s="25">
        <v>2908701.0</v>
      </c>
    </row>
    <row r="2486">
      <c r="A2486" s="25">
        <v>42037.64583333333</v>
      </c>
      <c r="B2486" s="25">
        <v>1241.0</v>
      </c>
      <c r="C2486" s="25">
        <v>1260.72</v>
      </c>
      <c r="D2486" s="25">
        <v>1231.03</v>
      </c>
      <c r="E2486" s="25">
        <v>1257.1</v>
      </c>
      <c r="F2486" s="25">
        <v>1590901.0</v>
      </c>
    </row>
    <row r="2487">
      <c r="A2487" s="25">
        <v>42038.64583333333</v>
      </c>
      <c r="B2487" s="25">
        <v>1255.83</v>
      </c>
      <c r="C2487" s="25">
        <v>1282.5</v>
      </c>
      <c r="D2487" s="25">
        <v>1253.55</v>
      </c>
      <c r="E2487" s="25">
        <v>1279.13</v>
      </c>
      <c r="F2487" s="25">
        <v>1172527.0</v>
      </c>
    </row>
    <row r="2488">
      <c r="A2488" s="25">
        <v>42039.64583333333</v>
      </c>
      <c r="B2488" s="25">
        <v>1284.0</v>
      </c>
      <c r="C2488" s="25">
        <v>1285.85</v>
      </c>
      <c r="D2488" s="25">
        <v>1251.05</v>
      </c>
      <c r="E2488" s="25">
        <v>1257.15</v>
      </c>
      <c r="F2488" s="25">
        <v>1122709.0</v>
      </c>
    </row>
    <row r="2489">
      <c r="A2489" s="25">
        <v>42040.64583333333</v>
      </c>
      <c r="B2489" s="25">
        <v>1260.0</v>
      </c>
      <c r="C2489" s="25">
        <v>1295.85</v>
      </c>
      <c r="D2489" s="25">
        <v>1259.5</v>
      </c>
      <c r="E2489" s="25">
        <v>1276.2</v>
      </c>
      <c r="F2489" s="25">
        <v>2265084.0</v>
      </c>
    </row>
    <row r="2490">
      <c r="A2490" s="25">
        <v>42041.64583333333</v>
      </c>
      <c r="B2490" s="25">
        <v>1276.5</v>
      </c>
      <c r="C2490" s="25">
        <v>1297.4</v>
      </c>
      <c r="D2490" s="25">
        <v>1275.43</v>
      </c>
      <c r="E2490" s="25">
        <v>1287.88</v>
      </c>
      <c r="F2490" s="25">
        <v>1068208.0</v>
      </c>
    </row>
    <row r="2491">
      <c r="A2491" s="25">
        <v>42044.64583333333</v>
      </c>
      <c r="B2491" s="25">
        <v>1280.75</v>
      </c>
      <c r="C2491" s="25">
        <v>1284.55</v>
      </c>
      <c r="D2491" s="25">
        <v>1250.0</v>
      </c>
      <c r="E2491" s="25">
        <v>1256.45</v>
      </c>
      <c r="F2491" s="25">
        <v>1038216.0</v>
      </c>
    </row>
    <row r="2492">
      <c r="A2492" s="25">
        <v>42045.64583333333</v>
      </c>
      <c r="B2492" s="25">
        <v>1255.0</v>
      </c>
      <c r="C2492" s="25">
        <v>1263.13</v>
      </c>
      <c r="D2492" s="25">
        <v>1216.5</v>
      </c>
      <c r="E2492" s="25">
        <v>1220.58</v>
      </c>
      <c r="F2492" s="25">
        <v>1899527.0</v>
      </c>
    </row>
    <row r="2493">
      <c r="A2493" s="25">
        <v>42046.64583333333</v>
      </c>
      <c r="B2493" s="25">
        <v>1227.53</v>
      </c>
      <c r="C2493" s="25">
        <v>1243.63</v>
      </c>
      <c r="D2493" s="25">
        <v>1223.63</v>
      </c>
      <c r="E2493" s="25">
        <v>1229.95</v>
      </c>
      <c r="F2493" s="25">
        <v>1468761.0</v>
      </c>
    </row>
    <row r="2494">
      <c r="A2494" s="25">
        <v>42047.64583333333</v>
      </c>
      <c r="B2494" s="25">
        <v>1239.9</v>
      </c>
      <c r="C2494" s="25">
        <v>1239.9</v>
      </c>
      <c r="D2494" s="25">
        <v>1223.5</v>
      </c>
      <c r="E2494" s="25">
        <v>1231.08</v>
      </c>
      <c r="F2494" s="25">
        <v>1553990.0</v>
      </c>
    </row>
    <row r="2495">
      <c r="A2495" s="25">
        <v>42048.64583333333</v>
      </c>
      <c r="B2495" s="25">
        <v>1235.0</v>
      </c>
      <c r="C2495" s="25">
        <v>1273.88</v>
      </c>
      <c r="D2495" s="25">
        <v>1230.13</v>
      </c>
      <c r="E2495" s="25">
        <v>1269.38</v>
      </c>
      <c r="F2495" s="25">
        <v>2079163.0</v>
      </c>
    </row>
    <row r="2496">
      <c r="A2496" s="25">
        <v>42051.64583333333</v>
      </c>
      <c r="B2496" s="25">
        <v>1280.0</v>
      </c>
      <c r="C2496" s="25">
        <v>1297.5</v>
      </c>
      <c r="D2496" s="25">
        <v>1277.5</v>
      </c>
      <c r="E2496" s="25">
        <v>1292.4</v>
      </c>
      <c r="F2496" s="25">
        <v>1182196.0</v>
      </c>
    </row>
    <row r="2497">
      <c r="A2497" s="25">
        <v>42053.64583333333</v>
      </c>
      <c r="B2497" s="25">
        <v>1292.53</v>
      </c>
      <c r="C2497" s="25">
        <v>1321.5</v>
      </c>
      <c r="D2497" s="25">
        <v>1282.63</v>
      </c>
      <c r="E2497" s="25">
        <v>1317.83</v>
      </c>
      <c r="F2497" s="25">
        <v>1330007.0</v>
      </c>
    </row>
    <row r="2498">
      <c r="A2498" s="25">
        <v>42054.64583333333</v>
      </c>
      <c r="B2498" s="25">
        <v>1318.0</v>
      </c>
      <c r="C2498" s="25">
        <v>1343.65</v>
      </c>
      <c r="D2498" s="25">
        <v>1317.5</v>
      </c>
      <c r="E2498" s="25">
        <v>1340.53</v>
      </c>
      <c r="F2498" s="25">
        <v>1309001.0</v>
      </c>
    </row>
    <row r="2499">
      <c r="A2499" s="25">
        <v>42055.64583333333</v>
      </c>
      <c r="B2499" s="25">
        <v>1349.4</v>
      </c>
      <c r="C2499" s="25">
        <v>1349.4</v>
      </c>
      <c r="D2499" s="25">
        <v>1321.13</v>
      </c>
      <c r="E2499" s="25">
        <v>1337.78</v>
      </c>
      <c r="F2499" s="25">
        <v>900794.0</v>
      </c>
    </row>
    <row r="2500">
      <c r="A2500" s="25">
        <v>42058.64583333333</v>
      </c>
      <c r="B2500" s="25">
        <v>1335.5</v>
      </c>
      <c r="C2500" s="25">
        <v>1361.0</v>
      </c>
      <c r="D2500" s="25">
        <v>1335.5</v>
      </c>
      <c r="E2500" s="25">
        <v>1348.33</v>
      </c>
      <c r="F2500" s="25">
        <v>807446.0</v>
      </c>
    </row>
    <row r="2501">
      <c r="A2501" s="25">
        <v>42059.64583333333</v>
      </c>
      <c r="B2501" s="25">
        <v>1347.0</v>
      </c>
      <c r="C2501" s="25">
        <v>1365.0</v>
      </c>
      <c r="D2501" s="25">
        <v>1339.5</v>
      </c>
      <c r="E2501" s="25">
        <v>1352.38</v>
      </c>
      <c r="F2501" s="25">
        <v>1099961.0</v>
      </c>
    </row>
    <row r="2502">
      <c r="A2502" s="25">
        <v>42060.64583333333</v>
      </c>
      <c r="B2502" s="25">
        <v>1355.0</v>
      </c>
      <c r="C2502" s="25">
        <v>1361.0</v>
      </c>
      <c r="D2502" s="25">
        <v>1333.93</v>
      </c>
      <c r="E2502" s="25">
        <v>1336.1</v>
      </c>
      <c r="F2502" s="25">
        <v>883997.0</v>
      </c>
    </row>
    <row r="2503">
      <c r="A2503" s="25">
        <v>42061.64583333333</v>
      </c>
      <c r="B2503" s="25">
        <v>1339.5</v>
      </c>
      <c r="C2503" s="25">
        <v>1346.38</v>
      </c>
      <c r="D2503" s="25">
        <v>1312.68</v>
      </c>
      <c r="E2503" s="25">
        <v>1328.23</v>
      </c>
      <c r="F2503" s="25">
        <v>995997.0</v>
      </c>
    </row>
    <row r="2504">
      <c r="A2504" s="25">
        <v>42062.64583333333</v>
      </c>
      <c r="B2504" s="25">
        <v>1329.73</v>
      </c>
      <c r="C2504" s="25">
        <v>1337.88</v>
      </c>
      <c r="D2504" s="25">
        <v>1308.15</v>
      </c>
      <c r="E2504" s="25">
        <v>1331.18</v>
      </c>
      <c r="F2504" s="25">
        <v>1438688.0</v>
      </c>
    </row>
    <row r="2505">
      <c r="A2505" s="25">
        <v>42065.64583333333</v>
      </c>
      <c r="B2505" s="25">
        <v>1339.85</v>
      </c>
      <c r="C2505" s="25">
        <v>1354.48</v>
      </c>
      <c r="D2505" s="25">
        <v>1326.28</v>
      </c>
      <c r="E2505" s="25">
        <v>1334.7</v>
      </c>
      <c r="F2505" s="25">
        <v>1088019.0</v>
      </c>
    </row>
    <row r="2506">
      <c r="A2506" s="25">
        <v>42066.64583333333</v>
      </c>
      <c r="B2506" s="25">
        <v>1341.0</v>
      </c>
      <c r="C2506" s="25">
        <v>1395.0</v>
      </c>
      <c r="D2506" s="25">
        <v>1338.08</v>
      </c>
      <c r="E2506" s="25">
        <v>1388.0</v>
      </c>
      <c r="F2506" s="25">
        <v>1712154.0</v>
      </c>
    </row>
    <row r="2507">
      <c r="A2507" s="25">
        <v>42067.64583333333</v>
      </c>
      <c r="B2507" s="25">
        <v>1394.0</v>
      </c>
      <c r="C2507" s="25">
        <v>1406.05</v>
      </c>
      <c r="D2507" s="25">
        <v>1357.83</v>
      </c>
      <c r="E2507" s="25">
        <v>1373.0</v>
      </c>
      <c r="F2507" s="25">
        <v>1931497.0</v>
      </c>
    </row>
    <row r="2508">
      <c r="A2508" s="25">
        <v>42068.64583333333</v>
      </c>
      <c r="B2508" s="25">
        <v>1375.0</v>
      </c>
      <c r="C2508" s="25">
        <v>1385.35</v>
      </c>
      <c r="D2508" s="25">
        <v>1340.53</v>
      </c>
      <c r="E2508" s="25">
        <v>1348.23</v>
      </c>
      <c r="F2508" s="25">
        <v>1086757.0</v>
      </c>
    </row>
    <row r="2509">
      <c r="A2509" s="25">
        <v>42072.64583333333</v>
      </c>
      <c r="B2509" s="25">
        <v>1320.0</v>
      </c>
      <c r="C2509" s="25">
        <v>1339.9</v>
      </c>
      <c r="D2509" s="25">
        <v>1305.0</v>
      </c>
      <c r="E2509" s="25">
        <v>1323.4</v>
      </c>
      <c r="F2509" s="25">
        <v>1441587.0</v>
      </c>
    </row>
    <row r="2510">
      <c r="A2510" s="25">
        <v>42073.64583333333</v>
      </c>
      <c r="B2510" s="25">
        <v>1324.45</v>
      </c>
      <c r="C2510" s="25">
        <v>1339.13</v>
      </c>
      <c r="D2510" s="25">
        <v>1297.63</v>
      </c>
      <c r="E2510" s="25">
        <v>1321.35</v>
      </c>
      <c r="F2510" s="25">
        <v>1518526.0</v>
      </c>
    </row>
    <row r="2511">
      <c r="A2511" s="25">
        <v>42074.64583333333</v>
      </c>
      <c r="B2511" s="25">
        <v>1321.0</v>
      </c>
      <c r="C2511" s="25">
        <v>1329.98</v>
      </c>
      <c r="D2511" s="25">
        <v>1298.9</v>
      </c>
      <c r="E2511" s="25">
        <v>1303.28</v>
      </c>
      <c r="F2511" s="25">
        <v>1120100.0</v>
      </c>
    </row>
    <row r="2512">
      <c r="A2512" s="25">
        <v>42075.64583333333</v>
      </c>
      <c r="B2512" s="25">
        <v>1311.95</v>
      </c>
      <c r="C2512" s="25">
        <v>1312.45</v>
      </c>
      <c r="D2512" s="25">
        <v>1295.05</v>
      </c>
      <c r="E2512" s="25">
        <v>1309.53</v>
      </c>
      <c r="F2512" s="25">
        <v>913818.0</v>
      </c>
    </row>
    <row r="2513">
      <c r="A2513" s="25">
        <v>42076.64583333333</v>
      </c>
      <c r="B2513" s="25">
        <v>1319.0</v>
      </c>
      <c r="C2513" s="25">
        <v>1319.98</v>
      </c>
      <c r="D2513" s="25">
        <v>1287.5</v>
      </c>
      <c r="E2513" s="25">
        <v>1291.18</v>
      </c>
      <c r="F2513" s="25">
        <v>793419.0</v>
      </c>
    </row>
    <row r="2514">
      <c r="A2514" s="25">
        <v>42079.64583333333</v>
      </c>
      <c r="B2514" s="25">
        <v>1292.6</v>
      </c>
      <c r="C2514" s="25">
        <v>1305.0</v>
      </c>
      <c r="D2514" s="25">
        <v>1276.0</v>
      </c>
      <c r="E2514" s="25">
        <v>1281.15</v>
      </c>
      <c r="F2514" s="25">
        <v>778148.0</v>
      </c>
    </row>
    <row r="2515">
      <c r="A2515" s="25">
        <v>42080.64583333333</v>
      </c>
      <c r="B2515" s="25">
        <v>1291.25</v>
      </c>
      <c r="C2515" s="25">
        <v>1303.35</v>
      </c>
      <c r="D2515" s="25">
        <v>1278.88</v>
      </c>
      <c r="E2515" s="25">
        <v>1291.85</v>
      </c>
      <c r="F2515" s="25">
        <v>633659.0</v>
      </c>
    </row>
    <row r="2516">
      <c r="A2516" s="25">
        <v>42081.64583333333</v>
      </c>
      <c r="B2516" s="25">
        <v>1295.47</v>
      </c>
      <c r="C2516" s="25">
        <v>1299.72</v>
      </c>
      <c r="D2516" s="25">
        <v>1275.85</v>
      </c>
      <c r="E2516" s="25">
        <v>1279.68</v>
      </c>
      <c r="F2516" s="25">
        <v>627585.0</v>
      </c>
    </row>
    <row r="2517">
      <c r="A2517" s="25">
        <v>42082.64583333333</v>
      </c>
      <c r="B2517" s="25">
        <v>1288.0</v>
      </c>
      <c r="C2517" s="25">
        <v>1302.93</v>
      </c>
      <c r="D2517" s="25">
        <v>1284.05</v>
      </c>
      <c r="E2517" s="25">
        <v>1298.13</v>
      </c>
      <c r="F2517" s="25">
        <v>1224482.0</v>
      </c>
    </row>
    <row r="2518">
      <c r="A2518" s="25">
        <v>42083.64583333333</v>
      </c>
      <c r="B2518" s="25">
        <v>1298.0</v>
      </c>
      <c r="C2518" s="25">
        <v>1309.0</v>
      </c>
      <c r="D2518" s="25">
        <v>1289.43</v>
      </c>
      <c r="E2518" s="25">
        <v>1305.47</v>
      </c>
      <c r="F2518" s="25">
        <v>981954.0</v>
      </c>
    </row>
    <row r="2519">
      <c r="A2519" s="25">
        <v>42086.64583333333</v>
      </c>
      <c r="B2519" s="25">
        <v>1308.0</v>
      </c>
      <c r="C2519" s="25">
        <v>1315.5</v>
      </c>
      <c r="D2519" s="25">
        <v>1303.0</v>
      </c>
      <c r="E2519" s="25">
        <v>1308.58</v>
      </c>
      <c r="F2519" s="25">
        <v>783304.0</v>
      </c>
    </row>
    <row r="2520">
      <c r="A2520" s="25">
        <v>42087.64583333333</v>
      </c>
      <c r="B2520" s="25">
        <v>1315.0</v>
      </c>
      <c r="C2520" s="25">
        <v>1318.5</v>
      </c>
      <c r="D2520" s="25">
        <v>1291.05</v>
      </c>
      <c r="E2520" s="25">
        <v>1295.65</v>
      </c>
      <c r="F2520" s="25">
        <v>1197439.0</v>
      </c>
    </row>
    <row r="2521">
      <c r="A2521" s="25">
        <v>42088.64583333333</v>
      </c>
      <c r="B2521" s="25">
        <v>1295.7</v>
      </c>
      <c r="C2521" s="25">
        <v>1307.0</v>
      </c>
      <c r="D2521" s="25">
        <v>1272.6</v>
      </c>
      <c r="E2521" s="25">
        <v>1286.88</v>
      </c>
      <c r="F2521" s="25">
        <v>1112429.0</v>
      </c>
    </row>
    <row r="2522">
      <c r="A2522" s="25">
        <v>42089.64583333333</v>
      </c>
      <c r="B2522" s="25">
        <v>1276.65</v>
      </c>
      <c r="C2522" s="25">
        <v>1293.35</v>
      </c>
      <c r="D2522" s="25">
        <v>1250.5</v>
      </c>
      <c r="E2522" s="25">
        <v>1256.55</v>
      </c>
      <c r="F2522" s="25">
        <v>1545821.0</v>
      </c>
    </row>
    <row r="2523">
      <c r="A2523" s="25">
        <v>42090.64583333333</v>
      </c>
      <c r="B2523" s="25">
        <v>1265.5</v>
      </c>
      <c r="C2523" s="25">
        <v>1285.95</v>
      </c>
      <c r="D2523" s="25">
        <v>1252.05</v>
      </c>
      <c r="E2523" s="25">
        <v>1257.4</v>
      </c>
      <c r="F2523" s="25">
        <v>1375888.0</v>
      </c>
    </row>
    <row r="2524">
      <c r="A2524" s="25">
        <v>42093.64583333333</v>
      </c>
      <c r="B2524" s="25">
        <v>1262.5</v>
      </c>
      <c r="C2524" s="25">
        <v>1284.95</v>
      </c>
      <c r="D2524" s="25">
        <v>1260.0</v>
      </c>
      <c r="E2524" s="25">
        <v>1282.08</v>
      </c>
      <c r="F2524" s="25">
        <v>669503.0</v>
      </c>
    </row>
    <row r="2525">
      <c r="A2525" s="25">
        <v>42094.64583333333</v>
      </c>
      <c r="B2525" s="25">
        <v>1284.72</v>
      </c>
      <c r="C2525" s="25">
        <v>1284.72</v>
      </c>
      <c r="D2525" s="25">
        <v>1260.5</v>
      </c>
      <c r="E2525" s="25">
        <v>1276.97</v>
      </c>
      <c r="F2525" s="25">
        <v>1213514.0</v>
      </c>
    </row>
    <row r="2526">
      <c r="A2526" s="25">
        <v>42095.64583333333</v>
      </c>
      <c r="B2526" s="25">
        <v>1279.0</v>
      </c>
      <c r="C2526" s="25">
        <v>1281.8</v>
      </c>
      <c r="D2526" s="25">
        <v>1261.13</v>
      </c>
      <c r="E2526" s="25">
        <v>1271.33</v>
      </c>
      <c r="F2526" s="25">
        <v>1037879.0</v>
      </c>
    </row>
    <row r="2527">
      <c r="A2527" s="25">
        <v>42100.64583333333</v>
      </c>
      <c r="B2527" s="25">
        <v>1279.0</v>
      </c>
      <c r="C2527" s="25">
        <v>1281.45</v>
      </c>
      <c r="D2527" s="25">
        <v>1250.05</v>
      </c>
      <c r="E2527" s="25">
        <v>1273.65</v>
      </c>
      <c r="F2527" s="25">
        <v>784271.0</v>
      </c>
    </row>
    <row r="2528">
      <c r="A2528" s="25">
        <v>42101.64583333333</v>
      </c>
      <c r="B2528" s="25">
        <v>1281.22</v>
      </c>
      <c r="C2528" s="25">
        <v>1299.5</v>
      </c>
      <c r="D2528" s="25">
        <v>1272.0</v>
      </c>
      <c r="E2528" s="25">
        <v>1292.5</v>
      </c>
      <c r="F2528" s="25">
        <v>943461.0</v>
      </c>
    </row>
    <row r="2529">
      <c r="A2529" s="25">
        <v>42102.64583333333</v>
      </c>
      <c r="B2529" s="25">
        <v>1297.0</v>
      </c>
      <c r="C2529" s="25">
        <v>1328.25</v>
      </c>
      <c r="D2529" s="25">
        <v>1295.43</v>
      </c>
      <c r="E2529" s="25">
        <v>1320.7</v>
      </c>
      <c r="F2529" s="25">
        <v>826067.0</v>
      </c>
    </row>
    <row r="2530">
      <c r="A2530" s="25">
        <v>42103.64583333333</v>
      </c>
      <c r="B2530" s="25">
        <v>1329.5</v>
      </c>
      <c r="C2530" s="25">
        <v>1343.73</v>
      </c>
      <c r="D2530" s="25">
        <v>1317.58</v>
      </c>
      <c r="E2530" s="25">
        <v>1332.28</v>
      </c>
      <c r="F2530" s="25">
        <v>1272225.0</v>
      </c>
    </row>
    <row r="2531">
      <c r="A2531" s="25">
        <v>42104.64583333333</v>
      </c>
      <c r="B2531" s="25">
        <v>1324.25</v>
      </c>
      <c r="C2531" s="25">
        <v>1335.4</v>
      </c>
      <c r="D2531" s="25">
        <v>1314.0</v>
      </c>
      <c r="E2531" s="25">
        <v>1326.88</v>
      </c>
      <c r="F2531" s="25">
        <v>907772.0</v>
      </c>
    </row>
    <row r="2532">
      <c r="A2532" s="25">
        <v>42107.64583333333</v>
      </c>
      <c r="B2532" s="25">
        <v>1332.0</v>
      </c>
      <c r="C2532" s="25">
        <v>1332.5</v>
      </c>
      <c r="D2532" s="25">
        <v>1314.0</v>
      </c>
      <c r="E2532" s="25">
        <v>1327.75</v>
      </c>
      <c r="F2532" s="25">
        <v>654321.0</v>
      </c>
    </row>
    <row r="2533">
      <c r="A2533" s="25">
        <v>42109.64583333333</v>
      </c>
      <c r="B2533" s="25">
        <v>1327.35</v>
      </c>
      <c r="C2533" s="25">
        <v>1356.95</v>
      </c>
      <c r="D2533" s="25">
        <v>1304.7</v>
      </c>
      <c r="E2533" s="25">
        <v>1313.88</v>
      </c>
      <c r="F2533" s="25">
        <v>1456967.0</v>
      </c>
    </row>
    <row r="2534">
      <c r="A2534" s="25">
        <v>42110.64583333333</v>
      </c>
      <c r="B2534" s="25">
        <v>1313.48</v>
      </c>
      <c r="C2534" s="25">
        <v>1313.5</v>
      </c>
      <c r="D2534" s="25">
        <v>1285.68</v>
      </c>
      <c r="E2534" s="25">
        <v>1291.4</v>
      </c>
      <c r="F2534" s="25">
        <v>1608785.0</v>
      </c>
    </row>
    <row r="2535">
      <c r="A2535" s="25">
        <v>42111.64583333333</v>
      </c>
      <c r="B2535" s="25">
        <v>1278.55</v>
      </c>
      <c r="C2535" s="25">
        <v>1280.0</v>
      </c>
      <c r="D2535" s="25">
        <v>1235.0</v>
      </c>
      <c r="E2535" s="25">
        <v>1237.43</v>
      </c>
      <c r="F2535" s="25">
        <v>4834371.0</v>
      </c>
    </row>
    <row r="2536">
      <c r="A2536" s="25">
        <v>42114.64583333333</v>
      </c>
      <c r="B2536" s="25">
        <v>1240.03</v>
      </c>
      <c r="C2536" s="25">
        <v>1241.95</v>
      </c>
      <c r="D2536" s="25">
        <v>1212.43</v>
      </c>
      <c r="E2536" s="25">
        <v>1214.4</v>
      </c>
      <c r="F2536" s="25">
        <v>1445361.0</v>
      </c>
    </row>
    <row r="2537">
      <c r="A2537" s="25">
        <v>42115.64583333333</v>
      </c>
      <c r="B2537" s="25">
        <v>1214.4</v>
      </c>
      <c r="C2537" s="25">
        <v>1226.0</v>
      </c>
      <c r="D2537" s="25">
        <v>1200.5</v>
      </c>
      <c r="E2537" s="25">
        <v>1213.53</v>
      </c>
      <c r="F2537" s="25">
        <v>1273016.0</v>
      </c>
    </row>
    <row r="2538">
      <c r="A2538" s="25">
        <v>42116.64583333333</v>
      </c>
      <c r="B2538" s="25">
        <v>1215.75</v>
      </c>
      <c r="C2538" s="25">
        <v>1236.5</v>
      </c>
      <c r="D2538" s="25">
        <v>1203.78</v>
      </c>
      <c r="E2538" s="25">
        <v>1222.55</v>
      </c>
      <c r="F2538" s="25">
        <v>2093406.0</v>
      </c>
    </row>
    <row r="2539">
      <c r="A2539" s="25">
        <v>42117.64583333333</v>
      </c>
      <c r="B2539" s="25">
        <v>1236.0</v>
      </c>
      <c r="C2539" s="25">
        <v>1239.9</v>
      </c>
      <c r="D2539" s="25">
        <v>1215.85</v>
      </c>
      <c r="E2539" s="25">
        <v>1228.63</v>
      </c>
      <c r="F2539" s="25">
        <v>2171495.0</v>
      </c>
    </row>
    <row r="2540">
      <c r="A2540" s="25">
        <v>42118.64583333333</v>
      </c>
      <c r="B2540" s="25">
        <v>1227.65</v>
      </c>
      <c r="C2540" s="25">
        <v>1257.0</v>
      </c>
      <c r="D2540" s="25">
        <v>1223.78</v>
      </c>
      <c r="E2540" s="25">
        <v>1246.53</v>
      </c>
      <c r="F2540" s="25">
        <v>1812579.0</v>
      </c>
    </row>
    <row r="2541">
      <c r="A2541" s="25">
        <v>42121.64583333333</v>
      </c>
      <c r="B2541" s="25">
        <v>1249.75</v>
      </c>
      <c r="C2541" s="25">
        <v>1260.0</v>
      </c>
      <c r="D2541" s="25">
        <v>1243.0</v>
      </c>
      <c r="E2541" s="25">
        <v>1250.1</v>
      </c>
      <c r="F2541" s="25">
        <v>1366526.0</v>
      </c>
    </row>
    <row r="2542">
      <c r="A2542" s="25">
        <v>42122.64583333333</v>
      </c>
      <c r="B2542" s="25">
        <v>1255.0</v>
      </c>
      <c r="C2542" s="25">
        <v>1255.0</v>
      </c>
      <c r="D2542" s="25">
        <v>1227.55</v>
      </c>
      <c r="E2542" s="25">
        <v>1247.5</v>
      </c>
      <c r="F2542" s="25">
        <v>1544149.0</v>
      </c>
    </row>
    <row r="2543">
      <c r="A2543" s="25">
        <v>42123.64583333333</v>
      </c>
      <c r="B2543" s="25">
        <v>1242.0</v>
      </c>
      <c r="C2543" s="25">
        <v>1247.5</v>
      </c>
      <c r="D2543" s="25">
        <v>1225.53</v>
      </c>
      <c r="E2543" s="25">
        <v>1243.65</v>
      </c>
      <c r="F2543" s="25">
        <v>1009810.0</v>
      </c>
    </row>
    <row r="2544">
      <c r="A2544" s="25">
        <v>42124.64583333333</v>
      </c>
      <c r="B2544" s="25">
        <v>1240.0</v>
      </c>
      <c r="C2544" s="25">
        <v>1245.0</v>
      </c>
      <c r="D2544" s="25">
        <v>1213.55</v>
      </c>
      <c r="E2544" s="25">
        <v>1231.85</v>
      </c>
      <c r="F2544" s="25">
        <v>1869027.0</v>
      </c>
    </row>
    <row r="2545">
      <c r="A2545" s="25">
        <v>42128.64583333333</v>
      </c>
      <c r="B2545" s="25">
        <v>1245.5</v>
      </c>
      <c r="C2545" s="25">
        <v>1252.4</v>
      </c>
      <c r="D2545" s="25">
        <v>1228.6</v>
      </c>
      <c r="E2545" s="25">
        <v>1240.78</v>
      </c>
      <c r="F2545" s="25">
        <v>945315.0</v>
      </c>
    </row>
    <row r="2546">
      <c r="A2546" s="25">
        <v>42129.64583333333</v>
      </c>
      <c r="B2546" s="25">
        <v>1250.5</v>
      </c>
      <c r="C2546" s="25">
        <v>1268.22</v>
      </c>
      <c r="D2546" s="25">
        <v>1250.0</v>
      </c>
      <c r="E2546" s="25">
        <v>1258.93</v>
      </c>
      <c r="F2546" s="25">
        <v>1627535.0</v>
      </c>
    </row>
    <row r="2547">
      <c r="A2547" s="25">
        <v>42130.64583333333</v>
      </c>
      <c r="B2547" s="25">
        <v>1257.5</v>
      </c>
      <c r="C2547" s="25">
        <v>1257.5</v>
      </c>
      <c r="D2547" s="25">
        <v>1227.9</v>
      </c>
      <c r="E2547" s="25">
        <v>1231.53</v>
      </c>
      <c r="F2547" s="25">
        <v>1697203.0</v>
      </c>
    </row>
    <row r="2548">
      <c r="A2548" s="25">
        <v>42131.64583333333</v>
      </c>
      <c r="B2548" s="25">
        <v>1232.45</v>
      </c>
      <c r="C2548" s="25">
        <v>1276.88</v>
      </c>
      <c r="D2548" s="25">
        <v>1226.85</v>
      </c>
      <c r="E2548" s="25">
        <v>1272.63</v>
      </c>
      <c r="F2548" s="25">
        <v>1602514.0</v>
      </c>
    </row>
    <row r="2549">
      <c r="A2549" s="25">
        <v>42132.64583333333</v>
      </c>
      <c r="B2549" s="25">
        <v>1280.0</v>
      </c>
      <c r="C2549" s="25">
        <v>1294.0</v>
      </c>
      <c r="D2549" s="25">
        <v>1258.15</v>
      </c>
      <c r="E2549" s="25">
        <v>1263.63</v>
      </c>
      <c r="F2549" s="25">
        <v>1501832.0</v>
      </c>
    </row>
    <row r="2550">
      <c r="A2550" s="25">
        <v>42135.64583333333</v>
      </c>
      <c r="B2550" s="25">
        <v>1267.5</v>
      </c>
      <c r="C2550" s="25">
        <v>1281.53</v>
      </c>
      <c r="D2550" s="25">
        <v>1262.5</v>
      </c>
      <c r="E2550" s="25">
        <v>1278.0</v>
      </c>
      <c r="F2550" s="25">
        <v>1286541.0</v>
      </c>
    </row>
    <row r="2551">
      <c r="A2551" s="25">
        <v>42136.64583333333</v>
      </c>
      <c r="B2551" s="25">
        <v>1280.0</v>
      </c>
      <c r="C2551" s="25">
        <v>1282.5</v>
      </c>
      <c r="D2551" s="25">
        <v>1256.5</v>
      </c>
      <c r="E2551" s="25">
        <v>1261.45</v>
      </c>
      <c r="F2551" s="25">
        <v>1233693.0</v>
      </c>
    </row>
    <row r="2552">
      <c r="A2552" s="25">
        <v>42137.64583333333</v>
      </c>
      <c r="B2552" s="25">
        <v>1273.5</v>
      </c>
      <c r="C2552" s="25">
        <v>1273.5</v>
      </c>
      <c r="D2552" s="25">
        <v>1240.22</v>
      </c>
      <c r="E2552" s="25">
        <v>1257.7</v>
      </c>
      <c r="F2552" s="25">
        <v>931887.0</v>
      </c>
    </row>
    <row r="2553">
      <c r="A2553" s="25">
        <v>42138.64583333333</v>
      </c>
      <c r="B2553" s="25">
        <v>1260.0</v>
      </c>
      <c r="C2553" s="25">
        <v>1260.0</v>
      </c>
      <c r="D2553" s="25">
        <v>1242.5</v>
      </c>
      <c r="E2553" s="25">
        <v>1249.63</v>
      </c>
      <c r="F2553" s="25">
        <v>654525.0</v>
      </c>
    </row>
    <row r="2554">
      <c r="A2554" s="25">
        <v>42139.64583333333</v>
      </c>
      <c r="B2554" s="25">
        <v>1257.5</v>
      </c>
      <c r="C2554" s="25">
        <v>1266.2</v>
      </c>
      <c r="D2554" s="25">
        <v>1250.5</v>
      </c>
      <c r="E2554" s="25">
        <v>1255.58</v>
      </c>
      <c r="F2554" s="25">
        <v>730727.0</v>
      </c>
    </row>
    <row r="2555">
      <c r="A2555" s="25">
        <v>42142.64583333333</v>
      </c>
      <c r="B2555" s="25">
        <v>1257.05</v>
      </c>
      <c r="C2555" s="25">
        <v>1262.63</v>
      </c>
      <c r="D2555" s="25">
        <v>1248.55</v>
      </c>
      <c r="E2555" s="25">
        <v>1260.2</v>
      </c>
      <c r="F2555" s="25">
        <v>2253876.0</v>
      </c>
    </row>
    <row r="2556">
      <c r="A2556" s="25">
        <v>42143.64583333333</v>
      </c>
      <c r="B2556" s="25">
        <v>1259.7</v>
      </c>
      <c r="C2556" s="25">
        <v>1265.0</v>
      </c>
      <c r="D2556" s="25">
        <v>1248.38</v>
      </c>
      <c r="E2556" s="25">
        <v>1256.35</v>
      </c>
      <c r="F2556" s="25">
        <v>978861.0</v>
      </c>
    </row>
    <row r="2557">
      <c r="A2557" s="25">
        <v>42144.64583333333</v>
      </c>
      <c r="B2557" s="25">
        <v>1260.0</v>
      </c>
      <c r="C2557" s="25">
        <v>1284.95</v>
      </c>
      <c r="D2557" s="25">
        <v>1258.45</v>
      </c>
      <c r="E2557" s="25">
        <v>1278.53</v>
      </c>
      <c r="F2557" s="25">
        <v>948907.0</v>
      </c>
    </row>
    <row r="2558">
      <c r="A2558" s="25">
        <v>42145.64583333333</v>
      </c>
      <c r="B2558" s="25">
        <v>1278.5</v>
      </c>
      <c r="C2558" s="25">
        <v>1290.0</v>
      </c>
      <c r="D2558" s="25">
        <v>1274.08</v>
      </c>
      <c r="E2558" s="25">
        <v>1277.75</v>
      </c>
      <c r="F2558" s="25">
        <v>789789.0</v>
      </c>
    </row>
    <row r="2559">
      <c r="A2559" s="25">
        <v>42146.64583333333</v>
      </c>
      <c r="B2559" s="25">
        <v>1275.0</v>
      </c>
      <c r="C2559" s="25">
        <v>1314.38</v>
      </c>
      <c r="D2559" s="25">
        <v>1269.63</v>
      </c>
      <c r="E2559" s="25">
        <v>1308.95</v>
      </c>
      <c r="F2559" s="25">
        <v>1345816.0</v>
      </c>
    </row>
    <row r="2560">
      <c r="A2560" s="25">
        <v>42149.64583333333</v>
      </c>
      <c r="B2560" s="25">
        <v>1310.0</v>
      </c>
      <c r="C2560" s="25">
        <v>1318.45</v>
      </c>
      <c r="D2560" s="25">
        <v>1292.85</v>
      </c>
      <c r="E2560" s="25">
        <v>1300.5</v>
      </c>
      <c r="F2560" s="25">
        <v>491489.0</v>
      </c>
    </row>
    <row r="2561">
      <c r="A2561" s="25">
        <v>42150.64583333333</v>
      </c>
      <c r="B2561" s="25">
        <v>1302.5</v>
      </c>
      <c r="C2561" s="25">
        <v>1311.63</v>
      </c>
      <c r="D2561" s="25">
        <v>1294.45</v>
      </c>
      <c r="E2561" s="25">
        <v>1304.43</v>
      </c>
      <c r="F2561" s="25">
        <v>980870.0</v>
      </c>
    </row>
    <row r="2562">
      <c r="A2562" s="25">
        <v>42151.64583333333</v>
      </c>
      <c r="B2562" s="25">
        <v>1304.0</v>
      </c>
      <c r="C2562" s="25">
        <v>1316.58</v>
      </c>
      <c r="D2562" s="25">
        <v>1296.0</v>
      </c>
      <c r="E2562" s="25">
        <v>1307.63</v>
      </c>
      <c r="F2562" s="25">
        <v>810345.0</v>
      </c>
    </row>
    <row r="2563">
      <c r="A2563" s="25">
        <v>42152.64583333333</v>
      </c>
      <c r="B2563" s="25">
        <v>1301.95</v>
      </c>
      <c r="C2563" s="25">
        <v>1311.5</v>
      </c>
      <c r="D2563" s="25">
        <v>1291.13</v>
      </c>
      <c r="E2563" s="25">
        <v>1304.75</v>
      </c>
      <c r="F2563" s="25">
        <v>1381804.0</v>
      </c>
    </row>
    <row r="2564">
      <c r="A2564" s="25">
        <v>42153.64583333333</v>
      </c>
      <c r="B2564" s="25">
        <v>1308.5</v>
      </c>
      <c r="C2564" s="25">
        <v>1324.3</v>
      </c>
      <c r="D2564" s="25">
        <v>1298.63</v>
      </c>
      <c r="E2564" s="25">
        <v>1305.15</v>
      </c>
      <c r="F2564" s="25">
        <v>2211766.0</v>
      </c>
    </row>
    <row r="2565">
      <c r="A2565" s="25">
        <v>42156.64583333333</v>
      </c>
      <c r="B2565" s="25">
        <v>1304.72</v>
      </c>
      <c r="C2565" s="25">
        <v>1323.55</v>
      </c>
      <c r="D2565" s="25">
        <v>1304.18</v>
      </c>
      <c r="E2565" s="25">
        <v>1308.88</v>
      </c>
      <c r="F2565" s="25">
        <v>441132.0</v>
      </c>
    </row>
    <row r="2566">
      <c r="A2566" s="25">
        <v>42157.64583333333</v>
      </c>
      <c r="B2566" s="25">
        <v>1308.0</v>
      </c>
      <c r="C2566" s="25">
        <v>1315.0</v>
      </c>
      <c r="D2566" s="25">
        <v>1295.25</v>
      </c>
      <c r="E2566" s="25">
        <v>1299.95</v>
      </c>
      <c r="F2566" s="25">
        <v>1967910.0</v>
      </c>
    </row>
    <row r="2567">
      <c r="A2567" s="25">
        <v>42158.64583333333</v>
      </c>
      <c r="B2567" s="25">
        <v>1302.0</v>
      </c>
      <c r="C2567" s="25">
        <v>1312.8</v>
      </c>
      <c r="D2567" s="25">
        <v>1295.25</v>
      </c>
      <c r="E2567" s="25">
        <v>1305.45</v>
      </c>
      <c r="F2567" s="25">
        <v>902342.0</v>
      </c>
    </row>
    <row r="2568">
      <c r="A2568" s="25">
        <v>42159.64583333333</v>
      </c>
      <c r="B2568" s="25">
        <v>1308.55</v>
      </c>
      <c r="C2568" s="25">
        <v>1311.4</v>
      </c>
      <c r="D2568" s="25">
        <v>1294.25</v>
      </c>
      <c r="E2568" s="25">
        <v>1302.83</v>
      </c>
      <c r="F2568" s="25">
        <v>2065734.0</v>
      </c>
    </row>
    <row r="2569">
      <c r="A2569" s="25">
        <v>42160.64583333333</v>
      </c>
      <c r="B2569" s="25">
        <v>1296.0</v>
      </c>
      <c r="C2569" s="25">
        <v>1304.5</v>
      </c>
      <c r="D2569" s="25">
        <v>1285.0</v>
      </c>
      <c r="E2569" s="25">
        <v>1287.93</v>
      </c>
      <c r="F2569" s="25">
        <v>1154267.0</v>
      </c>
    </row>
    <row r="2570">
      <c r="A2570" s="25">
        <v>42163.64583333333</v>
      </c>
      <c r="B2570" s="25">
        <v>1295.0</v>
      </c>
      <c r="C2570" s="25">
        <v>1295.0</v>
      </c>
      <c r="D2570" s="25">
        <v>1280.83</v>
      </c>
      <c r="E2570" s="25">
        <v>1288.72</v>
      </c>
      <c r="F2570" s="25">
        <v>785160.0</v>
      </c>
    </row>
    <row r="2571">
      <c r="A2571" s="25">
        <v>42164.64583333333</v>
      </c>
      <c r="B2571" s="25">
        <v>1292.5</v>
      </c>
      <c r="C2571" s="25">
        <v>1295.0</v>
      </c>
      <c r="D2571" s="25">
        <v>1275.5</v>
      </c>
      <c r="E2571" s="25">
        <v>1280.83</v>
      </c>
      <c r="F2571" s="25">
        <v>1289457.0</v>
      </c>
    </row>
    <row r="2572">
      <c r="A2572" s="25">
        <v>42165.64583333333</v>
      </c>
      <c r="B2572" s="25">
        <v>1283.0</v>
      </c>
      <c r="C2572" s="25">
        <v>1305.0</v>
      </c>
      <c r="D2572" s="25">
        <v>1281.9</v>
      </c>
      <c r="E2572" s="25">
        <v>1300.38</v>
      </c>
      <c r="F2572" s="25">
        <v>1381675.0</v>
      </c>
    </row>
    <row r="2573">
      <c r="A2573" s="25">
        <v>42166.64583333333</v>
      </c>
      <c r="B2573" s="25">
        <v>1302.75</v>
      </c>
      <c r="C2573" s="25">
        <v>1306.5</v>
      </c>
      <c r="D2573" s="25">
        <v>1278.38</v>
      </c>
      <c r="E2573" s="25">
        <v>1285.65</v>
      </c>
      <c r="F2573" s="25">
        <v>923668.0</v>
      </c>
    </row>
    <row r="2574">
      <c r="A2574" s="25">
        <v>42167.64583333333</v>
      </c>
      <c r="B2574" s="25">
        <v>1285.95</v>
      </c>
      <c r="C2574" s="25">
        <v>1294.47</v>
      </c>
      <c r="D2574" s="25">
        <v>1238.4</v>
      </c>
      <c r="E2574" s="25">
        <v>1252.9</v>
      </c>
      <c r="F2574" s="25">
        <v>1285728.0</v>
      </c>
    </row>
    <row r="2575">
      <c r="A2575" s="25">
        <v>42170.64583333333</v>
      </c>
      <c r="B2575" s="25">
        <v>1252.65</v>
      </c>
      <c r="C2575" s="25">
        <v>1260.22</v>
      </c>
      <c r="D2575" s="25">
        <v>1240.5</v>
      </c>
      <c r="E2575" s="25">
        <v>1252.4</v>
      </c>
      <c r="F2575" s="25">
        <v>1262588.0</v>
      </c>
    </row>
    <row r="2576">
      <c r="A2576" s="25">
        <v>42171.64583333333</v>
      </c>
      <c r="B2576" s="25">
        <v>1250.0</v>
      </c>
      <c r="C2576" s="25">
        <v>1259.65</v>
      </c>
      <c r="D2576" s="25">
        <v>1247.22</v>
      </c>
      <c r="E2576" s="25">
        <v>1256.0</v>
      </c>
      <c r="F2576" s="25">
        <v>633698.0</v>
      </c>
    </row>
    <row r="2577">
      <c r="A2577" s="25">
        <v>42172.64583333333</v>
      </c>
      <c r="B2577" s="25">
        <v>1260.5</v>
      </c>
      <c r="C2577" s="25">
        <v>1264.58</v>
      </c>
      <c r="D2577" s="25">
        <v>1250.9</v>
      </c>
      <c r="E2577" s="25">
        <v>1256.9</v>
      </c>
      <c r="F2577" s="25">
        <v>987860.0</v>
      </c>
    </row>
    <row r="2578">
      <c r="A2578" s="25">
        <v>42173.64583333333</v>
      </c>
      <c r="B2578" s="25">
        <v>1257.5</v>
      </c>
      <c r="C2578" s="25">
        <v>1273.15</v>
      </c>
      <c r="D2578" s="25">
        <v>1254.0</v>
      </c>
      <c r="E2578" s="25">
        <v>1265.03</v>
      </c>
      <c r="F2578" s="25">
        <v>1082523.0</v>
      </c>
    </row>
    <row r="2579">
      <c r="A2579" s="25">
        <v>42174.64583333333</v>
      </c>
      <c r="B2579" s="25">
        <v>1267.5</v>
      </c>
      <c r="C2579" s="25">
        <v>1277.5</v>
      </c>
      <c r="D2579" s="25">
        <v>1263.55</v>
      </c>
      <c r="E2579" s="25">
        <v>1274.78</v>
      </c>
      <c r="F2579" s="25">
        <v>999805.0</v>
      </c>
    </row>
    <row r="2580">
      <c r="A2580" s="25">
        <v>42177.64583333333</v>
      </c>
      <c r="B2580" s="25">
        <v>1273.5</v>
      </c>
      <c r="C2580" s="25">
        <v>1300.0</v>
      </c>
      <c r="D2580" s="25">
        <v>1273.5</v>
      </c>
      <c r="E2580" s="25">
        <v>1295.75</v>
      </c>
      <c r="F2580" s="25">
        <v>551001.0</v>
      </c>
    </row>
    <row r="2581">
      <c r="A2581" s="25">
        <v>42178.64583333333</v>
      </c>
      <c r="B2581" s="25">
        <v>1300.0</v>
      </c>
      <c r="C2581" s="25">
        <v>1304.0</v>
      </c>
      <c r="D2581" s="25">
        <v>1283.6</v>
      </c>
      <c r="E2581" s="25">
        <v>1287.3</v>
      </c>
      <c r="F2581" s="25">
        <v>449159.0</v>
      </c>
    </row>
    <row r="2582">
      <c r="A2582" s="25">
        <v>42179.64583333333</v>
      </c>
      <c r="B2582" s="25">
        <v>1290.0</v>
      </c>
      <c r="C2582" s="25">
        <v>1293.95</v>
      </c>
      <c r="D2582" s="25">
        <v>1279.43</v>
      </c>
      <c r="E2582" s="25">
        <v>1285.15</v>
      </c>
      <c r="F2582" s="25">
        <v>585123.0</v>
      </c>
    </row>
    <row r="2583">
      <c r="A2583" s="25">
        <v>42180.64583333333</v>
      </c>
      <c r="B2583" s="25">
        <v>1281.0</v>
      </c>
      <c r="C2583" s="25">
        <v>1286.5</v>
      </c>
      <c r="D2583" s="25">
        <v>1272.08</v>
      </c>
      <c r="E2583" s="25">
        <v>1275.0</v>
      </c>
      <c r="F2583" s="25">
        <v>965496.0</v>
      </c>
    </row>
    <row r="2584">
      <c r="A2584" s="25">
        <v>42181.64583333333</v>
      </c>
      <c r="B2584" s="25">
        <v>1275.1</v>
      </c>
      <c r="C2584" s="25">
        <v>1298.18</v>
      </c>
      <c r="D2584" s="25">
        <v>1275.1</v>
      </c>
      <c r="E2584" s="25">
        <v>1296.4</v>
      </c>
      <c r="F2584" s="25">
        <v>645051.0</v>
      </c>
    </row>
    <row r="2585">
      <c r="A2585" s="25">
        <v>42184.64583333333</v>
      </c>
      <c r="B2585" s="25">
        <v>1286.0</v>
      </c>
      <c r="C2585" s="25">
        <v>1302.0</v>
      </c>
      <c r="D2585" s="25">
        <v>1271.7</v>
      </c>
      <c r="E2585" s="25">
        <v>1296.45</v>
      </c>
      <c r="F2585" s="25">
        <v>686378.0</v>
      </c>
    </row>
    <row r="2586">
      <c r="A2586" s="25">
        <v>42185.64583333333</v>
      </c>
      <c r="B2586" s="25">
        <v>1292.5</v>
      </c>
      <c r="C2586" s="25">
        <v>1294.38</v>
      </c>
      <c r="D2586" s="25">
        <v>1270.0</v>
      </c>
      <c r="E2586" s="25">
        <v>1275.47</v>
      </c>
      <c r="F2586" s="25">
        <v>774976.0</v>
      </c>
    </row>
    <row r="2587">
      <c r="A2587" s="25">
        <v>42186.64583333333</v>
      </c>
      <c r="B2587" s="25">
        <v>1281.95</v>
      </c>
      <c r="C2587" s="25">
        <v>1304.0</v>
      </c>
      <c r="D2587" s="25">
        <v>1278.38</v>
      </c>
      <c r="E2587" s="25">
        <v>1296.55</v>
      </c>
      <c r="F2587" s="25">
        <v>639854.0</v>
      </c>
    </row>
    <row r="2588">
      <c r="A2588" s="25">
        <v>42187.64583333333</v>
      </c>
      <c r="B2588" s="25">
        <v>1300.0</v>
      </c>
      <c r="C2588" s="25">
        <v>1301.47</v>
      </c>
      <c r="D2588" s="25">
        <v>1285.53</v>
      </c>
      <c r="E2588" s="25">
        <v>1288.88</v>
      </c>
      <c r="F2588" s="25">
        <v>722940.0</v>
      </c>
    </row>
    <row r="2589">
      <c r="A2589" s="25">
        <v>42188.64583333333</v>
      </c>
      <c r="B2589" s="25">
        <v>1286.53</v>
      </c>
      <c r="C2589" s="25">
        <v>1305.0</v>
      </c>
      <c r="D2589" s="25">
        <v>1285.0</v>
      </c>
      <c r="E2589" s="25">
        <v>1301.95</v>
      </c>
      <c r="F2589" s="25">
        <v>481735.0</v>
      </c>
    </row>
    <row r="2590">
      <c r="A2590" s="25">
        <v>42191.64583333333</v>
      </c>
      <c r="B2590" s="25">
        <v>1290.15</v>
      </c>
      <c r="C2590" s="25">
        <v>1322.5</v>
      </c>
      <c r="D2590" s="25">
        <v>1290.15</v>
      </c>
      <c r="E2590" s="25">
        <v>1316.65</v>
      </c>
      <c r="F2590" s="25">
        <v>591169.0</v>
      </c>
    </row>
    <row r="2591">
      <c r="A2591" s="25">
        <v>42192.64583333333</v>
      </c>
      <c r="B2591" s="25">
        <v>1316.38</v>
      </c>
      <c r="C2591" s="25">
        <v>1323.45</v>
      </c>
      <c r="D2591" s="25">
        <v>1301.5</v>
      </c>
      <c r="E2591" s="25">
        <v>1308.13</v>
      </c>
      <c r="F2591" s="25">
        <v>821418.0</v>
      </c>
    </row>
    <row r="2592">
      <c r="A2592" s="25">
        <v>42193.64583333333</v>
      </c>
      <c r="B2592" s="25">
        <v>1298.97</v>
      </c>
      <c r="C2592" s="25">
        <v>1310.85</v>
      </c>
      <c r="D2592" s="25">
        <v>1290.25</v>
      </c>
      <c r="E2592" s="25">
        <v>1297.55</v>
      </c>
      <c r="F2592" s="25">
        <v>1333925.0</v>
      </c>
    </row>
    <row r="2593">
      <c r="A2593" s="25">
        <v>42194.64583333333</v>
      </c>
      <c r="B2593" s="25">
        <v>1297.5</v>
      </c>
      <c r="C2593" s="25">
        <v>1299.13</v>
      </c>
      <c r="D2593" s="25">
        <v>1253.33</v>
      </c>
      <c r="E2593" s="25">
        <v>1261.25</v>
      </c>
      <c r="F2593" s="25">
        <v>1967061.0</v>
      </c>
    </row>
    <row r="2594">
      <c r="A2594" s="25">
        <v>42195.64583333333</v>
      </c>
      <c r="B2594" s="25">
        <v>1279.5</v>
      </c>
      <c r="C2594" s="25">
        <v>1279.5</v>
      </c>
      <c r="D2594" s="25">
        <v>1227.5</v>
      </c>
      <c r="E2594" s="25">
        <v>1237.18</v>
      </c>
      <c r="F2594" s="25">
        <v>4131827.0</v>
      </c>
    </row>
    <row r="2595">
      <c r="A2595" s="25">
        <v>42198.64583333333</v>
      </c>
      <c r="B2595" s="25">
        <v>1237.7</v>
      </c>
      <c r="C2595" s="25">
        <v>1259.3</v>
      </c>
      <c r="D2595" s="25">
        <v>1237.7</v>
      </c>
      <c r="E2595" s="25">
        <v>1254.78</v>
      </c>
      <c r="F2595" s="25">
        <v>1140154.0</v>
      </c>
    </row>
    <row r="2596">
      <c r="A2596" s="25">
        <v>42199.64583333333</v>
      </c>
      <c r="B2596" s="25">
        <v>1255.5</v>
      </c>
      <c r="C2596" s="25">
        <v>1257.5</v>
      </c>
      <c r="D2596" s="25">
        <v>1245.0</v>
      </c>
      <c r="E2596" s="25">
        <v>1249.75</v>
      </c>
      <c r="F2596" s="25">
        <v>851637.0</v>
      </c>
    </row>
    <row r="2597">
      <c r="A2597" s="25">
        <v>42200.64583333333</v>
      </c>
      <c r="B2597" s="25">
        <v>1250.5</v>
      </c>
      <c r="C2597" s="25">
        <v>1274.97</v>
      </c>
      <c r="D2597" s="25">
        <v>1250.0</v>
      </c>
      <c r="E2597" s="25">
        <v>1272.88</v>
      </c>
      <c r="F2597" s="25">
        <v>1001830.0</v>
      </c>
    </row>
    <row r="2598">
      <c r="A2598" s="25">
        <v>42201.64583333333</v>
      </c>
      <c r="B2598" s="25">
        <v>1271.85</v>
      </c>
      <c r="C2598" s="25">
        <v>1279.43</v>
      </c>
      <c r="D2598" s="25">
        <v>1263.3</v>
      </c>
      <c r="E2598" s="25">
        <v>1270.1</v>
      </c>
      <c r="F2598" s="25">
        <v>728304.0</v>
      </c>
    </row>
    <row r="2599">
      <c r="A2599" s="25">
        <v>42202.64583333333</v>
      </c>
      <c r="B2599" s="25">
        <v>1273.4</v>
      </c>
      <c r="C2599" s="25">
        <v>1285.05</v>
      </c>
      <c r="D2599" s="25">
        <v>1271.65</v>
      </c>
      <c r="E2599" s="25">
        <v>1282.2</v>
      </c>
      <c r="F2599" s="25">
        <v>535263.0</v>
      </c>
    </row>
    <row r="2600">
      <c r="A2600" s="25">
        <v>42205.64583333333</v>
      </c>
      <c r="B2600" s="25">
        <v>1282.0</v>
      </c>
      <c r="C2600" s="25">
        <v>1291.95</v>
      </c>
      <c r="D2600" s="25">
        <v>1275.95</v>
      </c>
      <c r="E2600" s="25">
        <v>1289.58</v>
      </c>
      <c r="F2600" s="25">
        <v>426893.0</v>
      </c>
    </row>
    <row r="2601">
      <c r="A2601" s="25">
        <v>42206.64583333333</v>
      </c>
      <c r="B2601" s="25">
        <v>1288.0</v>
      </c>
      <c r="C2601" s="25">
        <v>1300.18</v>
      </c>
      <c r="D2601" s="25">
        <v>1277.55</v>
      </c>
      <c r="E2601" s="25">
        <v>1280.7</v>
      </c>
      <c r="F2601" s="25">
        <v>637250.0</v>
      </c>
    </row>
    <row r="2602">
      <c r="A2602" s="25">
        <v>42207.64583333333</v>
      </c>
      <c r="B2602" s="25">
        <v>1280.5</v>
      </c>
      <c r="C2602" s="25">
        <v>1284.5</v>
      </c>
      <c r="D2602" s="25">
        <v>1260.53</v>
      </c>
      <c r="E2602" s="25">
        <v>1264.03</v>
      </c>
      <c r="F2602" s="25">
        <v>660314.0</v>
      </c>
    </row>
    <row r="2603">
      <c r="A2603" s="25">
        <v>42208.64583333333</v>
      </c>
      <c r="B2603" s="25">
        <v>1258.75</v>
      </c>
      <c r="C2603" s="25">
        <v>1268.93</v>
      </c>
      <c r="D2603" s="25">
        <v>1241.5</v>
      </c>
      <c r="E2603" s="25">
        <v>1244.3</v>
      </c>
      <c r="F2603" s="25">
        <v>748390.0</v>
      </c>
    </row>
    <row r="2604">
      <c r="A2604" s="25">
        <v>42209.64583333333</v>
      </c>
      <c r="B2604" s="25">
        <v>1248.75</v>
      </c>
      <c r="C2604" s="25">
        <v>1258.25</v>
      </c>
      <c r="D2604" s="25">
        <v>1246.05</v>
      </c>
      <c r="E2604" s="25">
        <v>1252.58</v>
      </c>
      <c r="F2604" s="25">
        <v>787486.0</v>
      </c>
    </row>
    <row r="2605">
      <c r="A2605" s="25">
        <v>42212.64583333333</v>
      </c>
      <c r="B2605" s="25">
        <v>1244.0</v>
      </c>
      <c r="C2605" s="25">
        <v>1252.5</v>
      </c>
      <c r="D2605" s="25">
        <v>1240.58</v>
      </c>
      <c r="E2605" s="25">
        <v>1248.53</v>
      </c>
      <c r="F2605" s="25">
        <v>1001869.0</v>
      </c>
    </row>
    <row r="2606">
      <c r="A2606" s="25">
        <v>42213.64583333333</v>
      </c>
      <c r="B2606" s="25">
        <v>1249.75</v>
      </c>
      <c r="C2606" s="25">
        <v>1259.5</v>
      </c>
      <c r="D2606" s="25">
        <v>1246.08</v>
      </c>
      <c r="E2606" s="25">
        <v>1251.03</v>
      </c>
      <c r="F2606" s="25">
        <v>945594.0</v>
      </c>
    </row>
    <row r="2607">
      <c r="A2607" s="25">
        <v>42214.64583333333</v>
      </c>
      <c r="B2607" s="25">
        <v>1255.5</v>
      </c>
      <c r="C2607" s="25">
        <v>1257.53</v>
      </c>
      <c r="D2607" s="25">
        <v>1241.75</v>
      </c>
      <c r="E2607" s="25">
        <v>1253.38</v>
      </c>
      <c r="F2607" s="25">
        <v>1206659.0</v>
      </c>
    </row>
    <row r="2608">
      <c r="A2608" s="25">
        <v>42215.64583333333</v>
      </c>
      <c r="B2608" s="25">
        <v>1258.03</v>
      </c>
      <c r="C2608" s="25">
        <v>1258.4</v>
      </c>
      <c r="D2608" s="25">
        <v>1236.4</v>
      </c>
      <c r="E2608" s="25">
        <v>1240.33</v>
      </c>
      <c r="F2608" s="25">
        <v>1385287.0</v>
      </c>
    </row>
    <row r="2609">
      <c r="A2609" s="25">
        <v>42216.64583333333</v>
      </c>
      <c r="B2609" s="25">
        <v>1244.95</v>
      </c>
      <c r="C2609" s="25">
        <v>1259.5</v>
      </c>
      <c r="D2609" s="25">
        <v>1243.5</v>
      </c>
      <c r="E2609" s="25">
        <v>1255.38</v>
      </c>
      <c r="F2609" s="25">
        <v>981888.0</v>
      </c>
    </row>
    <row r="2610">
      <c r="A2610" s="25">
        <v>42219.64583333333</v>
      </c>
      <c r="B2610" s="25">
        <v>1251.7</v>
      </c>
      <c r="C2610" s="25">
        <v>1262.5</v>
      </c>
      <c r="D2610" s="25">
        <v>1250.45</v>
      </c>
      <c r="E2610" s="25">
        <v>1254.8</v>
      </c>
      <c r="F2610" s="25">
        <v>589662.0</v>
      </c>
    </row>
    <row r="2611">
      <c r="A2611" s="25">
        <v>42220.64583333333</v>
      </c>
      <c r="B2611" s="25">
        <v>1255.2</v>
      </c>
      <c r="C2611" s="25">
        <v>1261.5</v>
      </c>
      <c r="D2611" s="25">
        <v>1243.0</v>
      </c>
      <c r="E2611" s="25">
        <v>1254.45</v>
      </c>
      <c r="F2611" s="25">
        <v>1171346.0</v>
      </c>
    </row>
    <row r="2612">
      <c r="A2612" s="25">
        <v>42221.64583333333</v>
      </c>
      <c r="B2612" s="25">
        <v>1260.0</v>
      </c>
      <c r="C2612" s="25">
        <v>1275.0</v>
      </c>
      <c r="D2612" s="25">
        <v>1255.5</v>
      </c>
      <c r="E2612" s="25">
        <v>1273.58</v>
      </c>
      <c r="F2612" s="25">
        <v>494497.0</v>
      </c>
    </row>
    <row r="2613">
      <c r="A2613" s="25">
        <v>42222.64583333333</v>
      </c>
      <c r="B2613" s="25">
        <v>1282.5</v>
      </c>
      <c r="C2613" s="25">
        <v>1291.5</v>
      </c>
      <c r="D2613" s="25">
        <v>1275.05</v>
      </c>
      <c r="E2613" s="25">
        <v>1286.65</v>
      </c>
      <c r="F2613" s="25">
        <v>1105683.0</v>
      </c>
    </row>
    <row r="2614">
      <c r="A2614" s="25">
        <v>42223.64583333333</v>
      </c>
      <c r="B2614" s="25">
        <v>1286.5</v>
      </c>
      <c r="C2614" s="25">
        <v>1286.5</v>
      </c>
      <c r="D2614" s="25">
        <v>1273.5</v>
      </c>
      <c r="E2614" s="25">
        <v>1276.03</v>
      </c>
      <c r="F2614" s="25">
        <v>594253.0</v>
      </c>
    </row>
    <row r="2615">
      <c r="A2615" s="25">
        <v>42226.64583333333</v>
      </c>
      <c r="B2615" s="25">
        <v>1286.0</v>
      </c>
      <c r="C2615" s="25">
        <v>1294.5</v>
      </c>
      <c r="D2615" s="25">
        <v>1278.3</v>
      </c>
      <c r="E2615" s="25">
        <v>1286.05</v>
      </c>
      <c r="F2615" s="25">
        <v>715591.0</v>
      </c>
    </row>
    <row r="2616">
      <c r="A2616" s="25">
        <v>42227.64583333333</v>
      </c>
      <c r="B2616" s="25">
        <v>1289.0</v>
      </c>
      <c r="C2616" s="25">
        <v>1305.0</v>
      </c>
      <c r="D2616" s="25">
        <v>1271.05</v>
      </c>
      <c r="E2616" s="25">
        <v>1302.1</v>
      </c>
      <c r="F2616" s="25">
        <v>1100153.0</v>
      </c>
    </row>
    <row r="2617">
      <c r="A2617" s="25">
        <v>42228.64583333333</v>
      </c>
      <c r="B2617" s="25">
        <v>1301.55</v>
      </c>
      <c r="C2617" s="25">
        <v>1301.55</v>
      </c>
      <c r="D2617" s="25">
        <v>1300.4</v>
      </c>
      <c r="E2617" s="25">
        <v>1300.4</v>
      </c>
      <c r="F2617" s="25">
        <v>0.0</v>
      </c>
    </row>
    <row r="2618">
      <c r="A2618" s="25">
        <v>42229.64583333333</v>
      </c>
      <c r="B2618" s="25">
        <v>1335.0</v>
      </c>
      <c r="C2618" s="25">
        <v>1342.0</v>
      </c>
      <c r="D2618" s="25">
        <v>1278.0</v>
      </c>
      <c r="E2618" s="25">
        <v>1317.8</v>
      </c>
      <c r="F2618" s="25">
        <v>703213.0</v>
      </c>
    </row>
    <row r="2619">
      <c r="A2619" s="25">
        <v>42230.64583333333</v>
      </c>
      <c r="B2619" s="25">
        <v>1319.0</v>
      </c>
      <c r="C2619" s="25">
        <v>1359.68</v>
      </c>
      <c r="D2619" s="25">
        <v>1318.55</v>
      </c>
      <c r="E2619" s="25">
        <v>1351.6</v>
      </c>
      <c r="F2619" s="25">
        <v>1146982.0</v>
      </c>
    </row>
    <row r="2620">
      <c r="A2620" s="25">
        <v>42233.64583333333</v>
      </c>
      <c r="B2620" s="25">
        <v>1345.05</v>
      </c>
      <c r="C2620" s="25">
        <v>1348.4</v>
      </c>
      <c r="D2620" s="25">
        <v>1327.5</v>
      </c>
      <c r="E2620" s="25">
        <v>1342.38</v>
      </c>
      <c r="F2620" s="25">
        <v>386822.0</v>
      </c>
    </row>
    <row r="2621">
      <c r="A2621" s="25">
        <v>42234.64583333333</v>
      </c>
      <c r="B2621" s="25">
        <v>1353.45</v>
      </c>
      <c r="C2621" s="25">
        <v>1374.95</v>
      </c>
      <c r="D2621" s="25">
        <v>1345.0</v>
      </c>
      <c r="E2621" s="25">
        <v>1370.45</v>
      </c>
      <c r="F2621" s="25">
        <v>958463.0</v>
      </c>
    </row>
    <row r="2622">
      <c r="A2622" s="25">
        <v>42235.64583333333</v>
      </c>
      <c r="B2622" s="25">
        <v>1375.0</v>
      </c>
      <c r="C2622" s="25">
        <v>1376.43</v>
      </c>
      <c r="D2622" s="25">
        <v>1360.95</v>
      </c>
      <c r="E2622" s="25">
        <v>1366.8</v>
      </c>
      <c r="F2622" s="25">
        <v>845035.0</v>
      </c>
    </row>
    <row r="2623">
      <c r="A2623" s="25">
        <v>42236.64583333333</v>
      </c>
      <c r="B2623" s="25">
        <v>1372.5</v>
      </c>
      <c r="C2623" s="25">
        <v>1372.5</v>
      </c>
      <c r="D2623" s="25">
        <v>1336.0</v>
      </c>
      <c r="E2623" s="25">
        <v>1343.43</v>
      </c>
      <c r="F2623" s="25">
        <v>1174649.0</v>
      </c>
    </row>
    <row r="2624">
      <c r="A2624" s="25">
        <v>42237.64583333333</v>
      </c>
      <c r="B2624" s="25">
        <v>1356.0</v>
      </c>
      <c r="C2624" s="25">
        <v>1364.95</v>
      </c>
      <c r="D2624" s="25">
        <v>1327.55</v>
      </c>
      <c r="E2624" s="25">
        <v>1338.08</v>
      </c>
      <c r="F2624" s="25">
        <v>1768040.0</v>
      </c>
    </row>
    <row r="2625">
      <c r="A2625" s="25">
        <v>42240.64583333333</v>
      </c>
      <c r="B2625" s="25">
        <v>1319.5</v>
      </c>
      <c r="C2625" s="25">
        <v>1322.5</v>
      </c>
      <c r="D2625" s="25">
        <v>1284.55</v>
      </c>
      <c r="E2625" s="25">
        <v>1289.33</v>
      </c>
      <c r="F2625" s="25">
        <v>2346172.0</v>
      </c>
    </row>
    <row r="2626">
      <c r="A2626" s="25">
        <v>42241.64583333333</v>
      </c>
      <c r="B2626" s="25">
        <v>1293.95</v>
      </c>
      <c r="C2626" s="25">
        <v>1311.0</v>
      </c>
      <c r="D2626" s="25">
        <v>1267.75</v>
      </c>
      <c r="E2626" s="25">
        <v>1283.58</v>
      </c>
      <c r="F2626" s="25">
        <v>1962900.0</v>
      </c>
    </row>
    <row r="2627">
      <c r="A2627" s="25">
        <v>42242.64583333333</v>
      </c>
      <c r="B2627" s="25">
        <v>1279.03</v>
      </c>
      <c r="C2627" s="25">
        <v>1319.5</v>
      </c>
      <c r="D2627" s="25">
        <v>1255.97</v>
      </c>
      <c r="E2627" s="25">
        <v>1288.38</v>
      </c>
      <c r="F2627" s="25">
        <v>1608079.0</v>
      </c>
    </row>
    <row r="2628">
      <c r="A2628" s="25">
        <v>42243.64583333333</v>
      </c>
      <c r="B2628" s="25">
        <v>1307.45</v>
      </c>
      <c r="C2628" s="25">
        <v>1307.45</v>
      </c>
      <c r="D2628" s="25">
        <v>1272.9</v>
      </c>
      <c r="E2628" s="25">
        <v>1287.33</v>
      </c>
      <c r="F2628" s="25">
        <v>2632399.0</v>
      </c>
    </row>
    <row r="2629">
      <c r="A2629" s="25">
        <v>42244.64583333333</v>
      </c>
      <c r="B2629" s="25">
        <v>1304.5</v>
      </c>
      <c r="C2629" s="25">
        <v>1304.5</v>
      </c>
      <c r="D2629" s="25">
        <v>1278.85</v>
      </c>
      <c r="E2629" s="25">
        <v>1285.43</v>
      </c>
      <c r="F2629" s="25">
        <v>1372076.0</v>
      </c>
    </row>
    <row r="2630">
      <c r="A2630" s="25">
        <v>42247.64583333333</v>
      </c>
      <c r="B2630" s="25">
        <v>1295.0</v>
      </c>
      <c r="C2630" s="25">
        <v>1295.0</v>
      </c>
      <c r="D2630" s="25">
        <v>1265.53</v>
      </c>
      <c r="E2630" s="25">
        <v>1282.03</v>
      </c>
      <c r="F2630" s="25">
        <v>1846022.0</v>
      </c>
    </row>
    <row r="2631">
      <c r="A2631" s="25">
        <v>42248.64583333333</v>
      </c>
      <c r="B2631" s="25">
        <v>1278.0</v>
      </c>
      <c r="C2631" s="25">
        <v>1305.6</v>
      </c>
      <c r="D2631" s="25">
        <v>1265.0</v>
      </c>
      <c r="E2631" s="25">
        <v>1268.7</v>
      </c>
      <c r="F2631" s="25">
        <v>1493801.0</v>
      </c>
    </row>
    <row r="2632">
      <c r="A2632" s="25">
        <v>42249.64583333333</v>
      </c>
      <c r="B2632" s="25">
        <v>1279.85</v>
      </c>
      <c r="C2632" s="25">
        <v>1310.22</v>
      </c>
      <c r="D2632" s="25">
        <v>1274.0</v>
      </c>
      <c r="E2632" s="25">
        <v>1295.9</v>
      </c>
      <c r="F2632" s="25">
        <v>1882975.0</v>
      </c>
    </row>
    <row r="2633">
      <c r="A2633" s="25">
        <v>42250.64583333333</v>
      </c>
      <c r="B2633" s="25">
        <v>1298.05</v>
      </c>
      <c r="C2633" s="25">
        <v>1307.5</v>
      </c>
      <c r="D2633" s="25">
        <v>1288.13</v>
      </c>
      <c r="E2633" s="25">
        <v>1302.8</v>
      </c>
      <c r="F2633" s="25">
        <v>1132537.0</v>
      </c>
    </row>
    <row r="2634">
      <c r="A2634" s="25">
        <v>42251.64583333333</v>
      </c>
      <c r="B2634" s="25">
        <v>1305.7</v>
      </c>
      <c r="C2634" s="25">
        <v>1307.45</v>
      </c>
      <c r="D2634" s="25">
        <v>1269.58</v>
      </c>
      <c r="E2634" s="25">
        <v>1273.72</v>
      </c>
      <c r="F2634" s="25">
        <v>1213198.0</v>
      </c>
    </row>
    <row r="2635">
      <c r="A2635" s="25">
        <v>42254.64583333333</v>
      </c>
      <c r="B2635" s="25">
        <v>1276.5</v>
      </c>
      <c r="C2635" s="25">
        <v>1279.97</v>
      </c>
      <c r="D2635" s="25">
        <v>1266.35</v>
      </c>
      <c r="E2635" s="25">
        <v>1269.88</v>
      </c>
      <c r="F2635" s="25">
        <v>879592.0</v>
      </c>
    </row>
    <row r="2636">
      <c r="A2636" s="25">
        <v>42255.64583333333</v>
      </c>
      <c r="B2636" s="25">
        <v>1272.5</v>
      </c>
      <c r="C2636" s="25">
        <v>1282.05</v>
      </c>
      <c r="D2636" s="25">
        <v>1261.75</v>
      </c>
      <c r="E2636" s="25">
        <v>1270.15</v>
      </c>
      <c r="F2636" s="25">
        <v>893873.0</v>
      </c>
    </row>
    <row r="2637">
      <c r="A2637" s="25">
        <v>42256.64583333333</v>
      </c>
      <c r="B2637" s="25">
        <v>1281.47</v>
      </c>
      <c r="C2637" s="25">
        <v>1287.0</v>
      </c>
      <c r="D2637" s="25">
        <v>1272.0</v>
      </c>
      <c r="E2637" s="25">
        <v>1274.88</v>
      </c>
      <c r="F2637" s="25">
        <v>1022538.0</v>
      </c>
    </row>
    <row r="2638">
      <c r="A2638" s="25">
        <v>42257.64583333333</v>
      </c>
      <c r="B2638" s="25">
        <v>1271.0</v>
      </c>
      <c r="C2638" s="25">
        <v>1289.25</v>
      </c>
      <c r="D2638" s="25">
        <v>1263.5</v>
      </c>
      <c r="E2638" s="25">
        <v>1272.7</v>
      </c>
      <c r="F2638" s="25">
        <v>1332909.0</v>
      </c>
    </row>
    <row r="2639">
      <c r="A2639" s="25">
        <v>42258.64583333333</v>
      </c>
      <c r="B2639" s="25">
        <v>1273.25</v>
      </c>
      <c r="C2639" s="25">
        <v>1284.2</v>
      </c>
      <c r="D2639" s="25">
        <v>1270.3</v>
      </c>
      <c r="E2639" s="25">
        <v>1276.0</v>
      </c>
      <c r="F2639" s="25">
        <v>796336.0</v>
      </c>
    </row>
    <row r="2640">
      <c r="A2640" s="25">
        <v>42261.64583333333</v>
      </c>
      <c r="B2640" s="25">
        <v>1282.5</v>
      </c>
      <c r="C2640" s="25">
        <v>1282.5</v>
      </c>
      <c r="D2640" s="25">
        <v>1271.5</v>
      </c>
      <c r="E2640" s="25">
        <v>1275.83</v>
      </c>
      <c r="F2640" s="25">
        <v>794659.0</v>
      </c>
    </row>
    <row r="2641">
      <c r="A2641" s="25">
        <v>42262.64583333333</v>
      </c>
      <c r="B2641" s="25">
        <v>1275.83</v>
      </c>
      <c r="C2641" s="25">
        <v>1279.45</v>
      </c>
      <c r="D2641" s="25">
        <v>1268.0</v>
      </c>
      <c r="E2641" s="25">
        <v>1268.63</v>
      </c>
      <c r="F2641" s="25">
        <v>689950.0</v>
      </c>
    </row>
    <row r="2642">
      <c r="A2642" s="25">
        <v>42263.64583333333</v>
      </c>
      <c r="B2642" s="25">
        <v>1277.5</v>
      </c>
      <c r="C2642" s="25">
        <v>1282.5</v>
      </c>
      <c r="D2642" s="25">
        <v>1270.53</v>
      </c>
      <c r="E2642" s="25">
        <v>1275.18</v>
      </c>
      <c r="F2642" s="25">
        <v>878408.0</v>
      </c>
    </row>
    <row r="2643">
      <c r="A2643" s="25">
        <v>42265.64583333333</v>
      </c>
      <c r="B2643" s="25">
        <v>1282.5</v>
      </c>
      <c r="C2643" s="25">
        <v>1293.0</v>
      </c>
      <c r="D2643" s="25">
        <v>1269.5</v>
      </c>
      <c r="E2643" s="25">
        <v>1275.63</v>
      </c>
      <c r="F2643" s="25">
        <v>1227647.0</v>
      </c>
    </row>
    <row r="2644">
      <c r="A2644" s="25">
        <v>42268.64583333333</v>
      </c>
      <c r="B2644" s="25">
        <v>1275.0</v>
      </c>
      <c r="C2644" s="25">
        <v>1278.55</v>
      </c>
      <c r="D2644" s="25">
        <v>1266.6</v>
      </c>
      <c r="E2644" s="25">
        <v>1275.53</v>
      </c>
      <c r="F2644" s="25">
        <v>554420.0</v>
      </c>
    </row>
    <row r="2645">
      <c r="A2645" s="25">
        <v>42269.64583333333</v>
      </c>
      <c r="B2645" s="25">
        <v>1278.75</v>
      </c>
      <c r="C2645" s="25">
        <v>1286.2</v>
      </c>
      <c r="D2645" s="25">
        <v>1245.0</v>
      </c>
      <c r="E2645" s="25">
        <v>1263.4</v>
      </c>
      <c r="F2645" s="25">
        <v>1040623.0</v>
      </c>
    </row>
    <row r="2646">
      <c r="A2646" s="25">
        <v>42270.64583333333</v>
      </c>
      <c r="B2646" s="25">
        <v>1267.15</v>
      </c>
      <c r="C2646" s="25">
        <v>1278.88</v>
      </c>
      <c r="D2646" s="25">
        <v>1256.3</v>
      </c>
      <c r="E2646" s="25">
        <v>1266.33</v>
      </c>
      <c r="F2646" s="25">
        <v>614176.0</v>
      </c>
    </row>
    <row r="2647">
      <c r="A2647" s="25">
        <v>42271.64583333333</v>
      </c>
      <c r="B2647" s="25">
        <v>1267.75</v>
      </c>
      <c r="C2647" s="25">
        <v>1295.0</v>
      </c>
      <c r="D2647" s="25">
        <v>1264.95</v>
      </c>
      <c r="E2647" s="25">
        <v>1290.2</v>
      </c>
      <c r="F2647" s="25">
        <v>1177127.0</v>
      </c>
    </row>
    <row r="2648">
      <c r="A2648" s="25">
        <v>42275.64583333333</v>
      </c>
      <c r="B2648" s="25">
        <v>1297.0</v>
      </c>
      <c r="C2648" s="25">
        <v>1309.5</v>
      </c>
      <c r="D2648" s="25">
        <v>1289.75</v>
      </c>
      <c r="E2648" s="25">
        <v>1296.85</v>
      </c>
      <c r="F2648" s="25">
        <v>1183406.0</v>
      </c>
    </row>
    <row r="2649">
      <c r="A2649" s="25">
        <v>42276.64583333333</v>
      </c>
      <c r="B2649" s="25">
        <v>1291.68</v>
      </c>
      <c r="C2649" s="25">
        <v>1317.0</v>
      </c>
      <c r="D2649" s="25">
        <v>1284.93</v>
      </c>
      <c r="E2649" s="25">
        <v>1294.13</v>
      </c>
      <c r="F2649" s="25">
        <v>1662976.0</v>
      </c>
    </row>
    <row r="2650">
      <c r="A2650" s="25">
        <v>42277.64583333333</v>
      </c>
      <c r="B2650" s="25">
        <v>1321.85</v>
      </c>
      <c r="C2650" s="25">
        <v>1321.85</v>
      </c>
      <c r="D2650" s="25">
        <v>1285.47</v>
      </c>
      <c r="E2650" s="25">
        <v>1294.03</v>
      </c>
      <c r="F2650" s="25">
        <v>1684168.0</v>
      </c>
    </row>
    <row r="2651">
      <c r="A2651" s="25">
        <v>42278.64583333333</v>
      </c>
      <c r="B2651" s="25">
        <v>1299.5</v>
      </c>
      <c r="C2651" s="25">
        <v>1324.98</v>
      </c>
      <c r="D2651" s="25">
        <v>1296.1</v>
      </c>
      <c r="E2651" s="25">
        <v>1322.3</v>
      </c>
      <c r="F2651" s="25">
        <v>1417204.0</v>
      </c>
    </row>
    <row r="2652">
      <c r="A2652" s="25">
        <v>42282.64583333333</v>
      </c>
      <c r="B2652" s="25">
        <v>1326.35</v>
      </c>
      <c r="C2652" s="25">
        <v>1385.0</v>
      </c>
      <c r="D2652" s="25">
        <v>1326.35</v>
      </c>
      <c r="E2652" s="25">
        <v>1355.83</v>
      </c>
      <c r="F2652" s="25">
        <v>2403653.0</v>
      </c>
    </row>
    <row r="2653">
      <c r="A2653" s="25">
        <v>42283.64583333333</v>
      </c>
      <c r="B2653" s="25">
        <v>1362.5</v>
      </c>
      <c r="C2653" s="25">
        <v>1363.0</v>
      </c>
      <c r="D2653" s="25">
        <v>1342.0</v>
      </c>
      <c r="E2653" s="25">
        <v>1350.0</v>
      </c>
      <c r="F2653" s="25">
        <v>1989795.0</v>
      </c>
    </row>
    <row r="2654">
      <c r="A2654" s="25">
        <v>42284.64583333333</v>
      </c>
      <c r="B2654" s="25">
        <v>1346.98</v>
      </c>
      <c r="C2654" s="25">
        <v>1358.5</v>
      </c>
      <c r="D2654" s="25">
        <v>1323.48</v>
      </c>
      <c r="E2654" s="25">
        <v>1326.98</v>
      </c>
      <c r="F2654" s="25">
        <v>1032765.0</v>
      </c>
    </row>
    <row r="2655">
      <c r="A2655" s="25">
        <v>42285.64583333333</v>
      </c>
      <c r="B2655" s="25">
        <v>1335.0</v>
      </c>
      <c r="C2655" s="25">
        <v>1339.18</v>
      </c>
      <c r="D2655" s="25">
        <v>1310.0</v>
      </c>
      <c r="E2655" s="25">
        <v>1316.9</v>
      </c>
      <c r="F2655" s="25">
        <v>1178775.0</v>
      </c>
    </row>
    <row r="2656">
      <c r="A2656" s="25">
        <v>42286.64583333333</v>
      </c>
      <c r="B2656" s="25">
        <v>1325.25</v>
      </c>
      <c r="C2656" s="25">
        <v>1325.3</v>
      </c>
      <c r="D2656" s="25">
        <v>1304.0</v>
      </c>
      <c r="E2656" s="25">
        <v>1314.83</v>
      </c>
      <c r="F2656" s="25">
        <v>1124862.0</v>
      </c>
    </row>
    <row r="2657">
      <c r="A2657" s="25">
        <v>42289.64583333333</v>
      </c>
      <c r="B2657" s="25">
        <v>1327.5</v>
      </c>
      <c r="C2657" s="25">
        <v>1330.18</v>
      </c>
      <c r="D2657" s="25">
        <v>1293.5</v>
      </c>
      <c r="E2657" s="25">
        <v>1296.3</v>
      </c>
      <c r="F2657" s="25">
        <v>1227956.0</v>
      </c>
    </row>
    <row r="2658">
      <c r="A2658" s="25">
        <v>42290.64583333333</v>
      </c>
      <c r="B2658" s="25">
        <v>1301.4</v>
      </c>
      <c r="C2658" s="25">
        <v>1306.0</v>
      </c>
      <c r="D2658" s="25">
        <v>1283.8</v>
      </c>
      <c r="E2658" s="25">
        <v>1299.28</v>
      </c>
      <c r="F2658" s="25">
        <v>3089856.0</v>
      </c>
    </row>
    <row r="2659">
      <c r="A2659" s="25">
        <v>42291.64583333333</v>
      </c>
      <c r="B2659" s="25">
        <v>1274.0</v>
      </c>
      <c r="C2659" s="25">
        <v>1274.0</v>
      </c>
      <c r="D2659" s="25">
        <v>1240.0</v>
      </c>
      <c r="E2659" s="25">
        <v>1241.85</v>
      </c>
      <c r="F2659" s="25">
        <v>4168564.0</v>
      </c>
    </row>
    <row r="2660">
      <c r="A2660" s="25">
        <v>42292.64583333333</v>
      </c>
      <c r="B2660" s="25">
        <v>1245.0</v>
      </c>
      <c r="C2660" s="25">
        <v>1251.75</v>
      </c>
      <c r="D2660" s="25">
        <v>1232.5</v>
      </c>
      <c r="E2660" s="25">
        <v>1233.88</v>
      </c>
      <c r="F2660" s="25">
        <v>1607855.0</v>
      </c>
    </row>
    <row r="2661">
      <c r="A2661" s="25">
        <v>42293.64583333333</v>
      </c>
      <c r="B2661" s="25">
        <v>1240.45</v>
      </c>
      <c r="C2661" s="25">
        <v>1246.0</v>
      </c>
      <c r="D2661" s="25">
        <v>1235.0</v>
      </c>
      <c r="E2661" s="25">
        <v>1236.0</v>
      </c>
      <c r="F2661" s="25">
        <v>1166914.0</v>
      </c>
    </row>
    <row r="2662">
      <c r="A2662" s="25">
        <v>42296.64583333333</v>
      </c>
      <c r="B2662" s="25">
        <v>1245.0</v>
      </c>
      <c r="C2662" s="25">
        <v>1247.47</v>
      </c>
      <c r="D2662" s="25">
        <v>1227.93</v>
      </c>
      <c r="E2662" s="25">
        <v>1244.38</v>
      </c>
      <c r="F2662" s="25">
        <v>1565321.0</v>
      </c>
    </row>
    <row r="2663">
      <c r="A2663" s="25">
        <v>42297.64583333333</v>
      </c>
      <c r="B2663" s="25">
        <v>1248.13</v>
      </c>
      <c r="C2663" s="25">
        <v>1265.0</v>
      </c>
      <c r="D2663" s="25">
        <v>1247.8</v>
      </c>
      <c r="E2663" s="25">
        <v>1263.38</v>
      </c>
      <c r="F2663" s="25">
        <v>1347542.0</v>
      </c>
    </row>
    <row r="2664">
      <c r="A2664" s="25">
        <v>42298.64583333333</v>
      </c>
      <c r="B2664" s="25">
        <v>1267.5</v>
      </c>
      <c r="C2664" s="25">
        <v>1271.0</v>
      </c>
      <c r="D2664" s="25">
        <v>1261.13</v>
      </c>
      <c r="E2664" s="25">
        <v>1265.0</v>
      </c>
      <c r="F2664" s="25">
        <v>964844.0</v>
      </c>
    </row>
    <row r="2665">
      <c r="A2665" s="25">
        <v>42300.64583333333</v>
      </c>
      <c r="B2665" s="25">
        <v>1274.0</v>
      </c>
      <c r="C2665" s="25">
        <v>1274.0</v>
      </c>
      <c r="D2665" s="25">
        <v>1263.65</v>
      </c>
      <c r="E2665" s="25">
        <v>1268.58</v>
      </c>
      <c r="F2665" s="25">
        <v>1167699.0</v>
      </c>
    </row>
    <row r="2666">
      <c r="A2666" s="25">
        <v>42303.64583333333</v>
      </c>
      <c r="B2666" s="25">
        <v>1274.5</v>
      </c>
      <c r="C2666" s="25">
        <v>1274.5</v>
      </c>
      <c r="D2666" s="25">
        <v>1257.55</v>
      </c>
      <c r="E2666" s="25">
        <v>1268.28</v>
      </c>
      <c r="F2666" s="25">
        <v>707315.0</v>
      </c>
    </row>
    <row r="2667">
      <c r="A2667" s="25">
        <v>42304.64583333333</v>
      </c>
      <c r="B2667" s="25">
        <v>1265.03</v>
      </c>
      <c r="C2667" s="25">
        <v>1272.45</v>
      </c>
      <c r="D2667" s="25">
        <v>1260.18</v>
      </c>
      <c r="E2667" s="25">
        <v>1265.55</v>
      </c>
      <c r="F2667" s="25">
        <v>765210.0</v>
      </c>
    </row>
    <row r="2668">
      <c r="A2668" s="25">
        <v>42305.64583333333</v>
      </c>
      <c r="B2668" s="25">
        <v>1255.03</v>
      </c>
      <c r="C2668" s="25">
        <v>1266.78</v>
      </c>
      <c r="D2668" s="25">
        <v>1255.03</v>
      </c>
      <c r="E2668" s="25">
        <v>1264.55</v>
      </c>
      <c r="F2668" s="25">
        <v>627671.0</v>
      </c>
    </row>
    <row r="2669">
      <c r="A2669" s="25">
        <v>42306.64583333333</v>
      </c>
      <c r="B2669" s="25">
        <v>1266.78</v>
      </c>
      <c r="C2669" s="25">
        <v>1267.7</v>
      </c>
      <c r="D2669" s="25">
        <v>1245.03</v>
      </c>
      <c r="E2669" s="25">
        <v>1247.68</v>
      </c>
      <c r="F2669" s="25">
        <v>1565158.0</v>
      </c>
    </row>
    <row r="2670">
      <c r="A2670" s="25">
        <v>42307.64583333333</v>
      </c>
      <c r="B2670" s="25">
        <v>1250.0</v>
      </c>
      <c r="C2670" s="25">
        <v>1255.95</v>
      </c>
      <c r="D2670" s="25">
        <v>1242.5</v>
      </c>
      <c r="E2670" s="25">
        <v>1247.6</v>
      </c>
      <c r="F2670" s="25">
        <v>758348.0</v>
      </c>
    </row>
    <row r="2671">
      <c r="A2671" s="25">
        <v>42310.64583333333</v>
      </c>
      <c r="B2671" s="25">
        <v>1250.0</v>
      </c>
      <c r="C2671" s="25">
        <v>1261.4</v>
      </c>
      <c r="D2671" s="25">
        <v>1243.78</v>
      </c>
      <c r="E2671" s="25">
        <v>1258.68</v>
      </c>
      <c r="F2671" s="25">
        <v>659647.0</v>
      </c>
    </row>
    <row r="2672">
      <c r="A2672" s="25">
        <v>42311.64583333333</v>
      </c>
      <c r="B2672" s="25">
        <v>1264.0</v>
      </c>
      <c r="C2672" s="25">
        <v>1273.9</v>
      </c>
      <c r="D2672" s="25">
        <v>1259.25</v>
      </c>
      <c r="E2672" s="25">
        <v>1271.72</v>
      </c>
      <c r="F2672" s="25">
        <v>682453.0</v>
      </c>
    </row>
    <row r="2673">
      <c r="A2673" s="25">
        <v>42312.64583333333</v>
      </c>
      <c r="B2673" s="25">
        <v>1272.5</v>
      </c>
      <c r="C2673" s="25">
        <v>1273.6</v>
      </c>
      <c r="D2673" s="25">
        <v>1260.0</v>
      </c>
      <c r="E2673" s="25">
        <v>1266.9</v>
      </c>
      <c r="F2673" s="25">
        <v>495717.0</v>
      </c>
    </row>
    <row r="2674">
      <c r="A2674" s="25">
        <v>42313.64583333333</v>
      </c>
      <c r="B2674" s="25">
        <v>1265.4</v>
      </c>
      <c r="C2674" s="25">
        <v>1267.47</v>
      </c>
      <c r="D2674" s="25">
        <v>1240.0</v>
      </c>
      <c r="E2674" s="25">
        <v>1241.33</v>
      </c>
      <c r="F2674" s="25">
        <v>798049.0</v>
      </c>
    </row>
    <row r="2675">
      <c r="A2675" s="25">
        <v>42314.64583333333</v>
      </c>
      <c r="B2675" s="25">
        <v>1246.0</v>
      </c>
      <c r="C2675" s="25">
        <v>1259.13</v>
      </c>
      <c r="D2675" s="25">
        <v>1241.72</v>
      </c>
      <c r="E2675" s="25">
        <v>1252.88</v>
      </c>
      <c r="F2675" s="25">
        <v>454012.0</v>
      </c>
    </row>
    <row r="2676">
      <c r="A2676" s="25">
        <v>42317.64583333333</v>
      </c>
      <c r="B2676" s="25">
        <v>1247.5</v>
      </c>
      <c r="C2676" s="25">
        <v>1251.38</v>
      </c>
      <c r="D2676" s="25">
        <v>1234.3</v>
      </c>
      <c r="E2676" s="25">
        <v>1235.68</v>
      </c>
      <c r="F2676" s="25">
        <v>1010778.0</v>
      </c>
    </row>
    <row r="2677">
      <c r="A2677" s="25">
        <v>42318.64583333333</v>
      </c>
      <c r="B2677" s="25">
        <v>1236.47</v>
      </c>
      <c r="C2677" s="25">
        <v>1238.5</v>
      </c>
      <c r="D2677" s="25">
        <v>1225.0</v>
      </c>
      <c r="E2677" s="25">
        <v>1229.08</v>
      </c>
      <c r="F2677" s="25">
        <v>680960.0</v>
      </c>
    </row>
    <row r="2678">
      <c r="A2678" s="25">
        <v>42321.64583333333</v>
      </c>
      <c r="B2678" s="25">
        <v>1219.03</v>
      </c>
      <c r="C2678" s="25">
        <v>1219.03</v>
      </c>
      <c r="D2678" s="25">
        <v>1193.28</v>
      </c>
      <c r="E2678" s="25">
        <v>1198.7</v>
      </c>
      <c r="F2678" s="25">
        <v>1371616.0</v>
      </c>
    </row>
    <row r="2679">
      <c r="A2679" s="25">
        <v>42324.64583333333</v>
      </c>
      <c r="B2679" s="25">
        <v>1195.0</v>
      </c>
      <c r="C2679" s="25">
        <v>1195.0</v>
      </c>
      <c r="D2679" s="25">
        <v>1178.0</v>
      </c>
      <c r="E2679" s="25">
        <v>1187.3</v>
      </c>
      <c r="F2679" s="25">
        <v>1021764.0</v>
      </c>
    </row>
    <row r="2680">
      <c r="A2680" s="25">
        <v>42325.64583333333</v>
      </c>
      <c r="B2680" s="25">
        <v>1190.25</v>
      </c>
      <c r="C2680" s="25">
        <v>1199.22</v>
      </c>
      <c r="D2680" s="25">
        <v>1187.5</v>
      </c>
      <c r="E2680" s="25">
        <v>1195.28</v>
      </c>
      <c r="F2680" s="25">
        <v>992514.0</v>
      </c>
    </row>
    <row r="2681">
      <c r="A2681" s="25">
        <v>42326.64583333333</v>
      </c>
      <c r="B2681" s="25">
        <v>1194.45</v>
      </c>
      <c r="C2681" s="25">
        <v>1194.45</v>
      </c>
      <c r="D2681" s="25">
        <v>1173.0</v>
      </c>
      <c r="E2681" s="25">
        <v>1175.72</v>
      </c>
      <c r="F2681" s="25">
        <v>760176.0</v>
      </c>
    </row>
    <row r="2682">
      <c r="A2682" s="25">
        <v>42327.64583333333</v>
      </c>
      <c r="B2682" s="25">
        <v>1182.68</v>
      </c>
      <c r="C2682" s="25">
        <v>1190.8</v>
      </c>
      <c r="D2682" s="25">
        <v>1176.0</v>
      </c>
      <c r="E2682" s="25">
        <v>1181.28</v>
      </c>
      <c r="F2682" s="25">
        <v>933453.0</v>
      </c>
    </row>
    <row r="2683">
      <c r="A2683" s="25">
        <v>42328.64583333333</v>
      </c>
      <c r="B2683" s="25">
        <v>1183.25</v>
      </c>
      <c r="C2683" s="25">
        <v>1211.78</v>
      </c>
      <c r="D2683" s="25">
        <v>1180.97</v>
      </c>
      <c r="E2683" s="25">
        <v>1199.18</v>
      </c>
      <c r="F2683" s="25">
        <v>1006063.0</v>
      </c>
    </row>
    <row r="2684">
      <c r="A2684" s="25">
        <v>42331.64583333333</v>
      </c>
      <c r="B2684" s="25">
        <v>1202.65</v>
      </c>
      <c r="C2684" s="25">
        <v>1206.7</v>
      </c>
      <c r="D2684" s="25">
        <v>1191.13</v>
      </c>
      <c r="E2684" s="25">
        <v>1195.53</v>
      </c>
      <c r="F2684" s="25">
        <v>544041.0</v>
      </c>
    </row>
    <row r="2685">
      <c r="A2685" s="25">
        <v>42332.64583333333</v>
      </c>
      <c r="B2685" s="25">
        <v>1190.03</v>
      </c>
      <c r="C2685" s="25">
        <v>1196.22</v>
      </c>
      <c r="D2685" s="25">
        <v>1182.75</v>
      </c>
      <c r="E2685" s="25">
        <v>1183.97</v>
      </c>
      <c r="F2685" s="25">
        <v>499320.0</v>
      </c>
    </row>
    <row r="2686">
      <c r="A2686" s="25">
        <v>42334.64583333333</v>
      </c>
      <c r="B2686" s="25">
        <v>1188.95</v>
      </c>
      <c r="C2686" s="25">
        <v>1191.2</v>
      </c>
      <c r="D2686" s="25">
        <v>1168.93</v>
      </c>
      <c r="E2686" s="25">
        <v>1172.78</v>
      </c>
      <c r="F2686" s="25">
        <v>1457646.0</v>
      </c>
    </row>
    <row r="2687">
      <c r="A2687" s="25">
        <v>42335.64583333333</v>
      </c>
      <c r="B2687" s="25">
        <v>1174.0</v>
      </c>
      <c r="C2687" s="25">
        <v>1179.72</v>
      </c>
      <c r="D2687" s="25">
        <v>1166.25</v>
      </c>
      <c r="E2687" s="25">
        <v>1176.68</v>
      </c>
      <c r="F2687" s="25">
        <v>868603.0</v>
      </c>
    </row>
    <row r="2688">
      <c r="A2688" s="25">
        <v>42338.64583333333</v>
      </c>
      <c r="B2688" s="25">
        <v>1182.5</v>
      </c>
      <c r="C2688" s="25">
        <v>1195.63</v>
      </c>
      <c r="D2688" s="25">
        <v>1175.08</v>
      </c>
      <c r="E2688" s="25">
        <v>1186.78</v>
      </c>
      <c r="F2688" s="25">
        <v>2050024.0</v>
      </c>
    </row>
    <row r="2689">
      <c r="A2689" s="25">
        <v>42339.64583333333</v>
      </c>
      <c r="B2689" s="25">
        <v>1181.45</v>
      </c>
      <c r="C2689" s="25">
        <v>1189.03</v>
      </c>
      <c r="D2689" s="25">
        <v>1178.53</v>
      </c>
      <c r="E2689" s="25">
        <v>1180.95</v>
      </c>
      <c r="F2689" s="25">
        <v>860997.0</v>
      </c>
    </row>
    <row r="2690">
      <c r="A2690" s="25">
        <v>42340.64583333333</v>
      </c>
      <c r="B2690" s="25">
        <v>1189.0</v>
      </c>
      <c r="C2690" s="25">
        <v>1189.05</v>
      </c>
      <c r="D2690" s="25">
        <v>1173.25</v>
      </c>
      <c r="E2690" s="25">
        <v>1182.6</v>
      </c>
      <c r="F2690" s="25">
        <v>820148.0</v>
      </c>
    </row>
    <row r="2691">
      <c r="A2691" s="25">
        <v>42341.64583333333</v>
      </c>
      <c r="B2691" s="25">
        <v>1180.0</v>
      </c>
      <c r="C2691" s="25">
        <v>1186.5</v>
      </c>
      <c r="D2691" s="25">
        <v>1173.5</v>
      </c>
      <c r="E2691" s="25">
        <v>1175.38</v>
      </c>
      <c r="F2691" s="25">
        <v>1141679.0</v>
      </c>
    </row>
    <row r="2692">
      <c r="A2692" s="25">
        <v>42342.64583333333</v>
      </c>
      <c r="B2692" s="25">
        <v>1170.0</v>
      </c>
      <c r="C2692" s="25">
        <v>1173.65</v>
      </c>
      <c r="D2692" s="25">
        <v>1160.55</v>
      </c>
      <c r="E2692" s="25">
        <v>1164.2</v>
      </c>
      <c r="F2692" s="25">
        <v>623046.0</v>
      </c>
    </row>
    <row r="2693">
      <c r="A2693" s="25">
        <v>42345.64583333333</v>
      </c>
      <c r="B2693" s="25">
        <v>1166.1</v>
      </c>
      <c r="C2693" s="25">
        <v>1171.95</v>
      </c>
      <c r="D2693" s="25">
        <v>1157.63</v>
      </c>
      <c r="E2693" s="25">
        <v>1159.9</v>
      </c>
      <c r="F2693" s="25">
        <v>691302.0</v>
      </c>
    </row>
    <row r="2694">
      <c r="A2694" s="25">
        <v>42346.64583333333</v>
      </c>
      <c r="B2694" s="25">
        <v>1159.7</v>
      </c>
      <c r="C2694" s="25">
        <v>1174.5</v>
      </c>
      <c r="D2694" s="25">
        <v>1158.65</v>
      </c>
      <c r="E2694" s="25">
        <v>1164.5</v>
      </c>
      <c r="F2694" s="25">
        <v>569982.0</v>
      </c>
    </row>
    <row r="2695">
      <c r="A2695" s="25">
        <v>42347.64583333333</v>
      </c>
      <c r="B2695" s="25">
        <v>1168.95</v>
      </c>
      <c r="C2695" s="25">
        <v>1186.4</v>
      </c>
      <c r="D2695" s="25">
        <v>1160.0</v>
      </c>
      <c r="E2695" s="25">
        <v>1183.83</v>
      </c>
      <c r="F2695" s="25">
        <v>2641403.0</v>
      </c>
    </row>
    <row r="2696">
      <c r="A2696" s="25">
        <v>42348.64583333333</v>
      </c>
      <c r="B2696" s="25">
        <v>1184.5</v>
      </c>
      <c r="C2696" s="25">
        <v>1195.6</v>
      </c>
      <c r="D2696" s="25">
        <v>1176.0</v>
      </c>
      <c r="E2696" s="25">
        <v>1192.28</v>
      </c>
      <c r="F2696" s="25">
        <v>861994.0</v>
      </c>
    </row>
    <row r="2697">
      <c r="A2697" s="25">
        <v>42349.64583333333</v>
      </c>
      <c r="B2697" s="25">
        <v>1191.5</v>
      </c>
      <c r="C2697" s="25">
        <v>1195.97</v>
      </c>
      <c r="D2697" s="25">
        <v>1181.63</v>
      </c>
      <c r="E2697" s="25">
        <v>1193.0</v>
      </c>
      <c r="F2697" s="25">
        <v>826189.0</v>
      </c>
    </row>
    <row r="2698">
      <c r="A2698" s="25">
        <v>42352.64583333333</v>
      </c>
      <c r="B2698" s="25">
        <v>1167.6</v>
      </c>
      <c r="C2698" s="25">
        <v>1193.5</v>
      </c>
      <c r="D2698" s="25">
        <v>1165.3</v>
      </c>
      <c r="E2698" s="25">
        <v>1189.22</v>
      </c>
      <c r="F2698" s="25">
        <v>1359266.0</v>
      </c>
    </row>
    <row r="2699">
      <c r="A2699" s="25">
        <v>42353.64583333333</v>
      </c>
      <c r="B2699" s="25">
        <v>1189.22</v>
      </c>
      <c r="C2699" s="25">
        <v>1192.5</v>
      </c>
      <c r="D2699" s="25">
        <v>1181.53</v>
      </c>
      <c r="E2699" s="25">
        <v>1187.93</v>
      </c>
      <c r="F2699" s="25">
        <v>567934.0</v>
      </c>
    </row>
    <row r="2700">
      <c r="A2700" s="25">
        <v>42354.64583333333</v>
      </c>
      <c r="B2700" s="25">
        <v>1192.0</v>
      </c>
      <c r="C2700" s="25">
        <v>1207.25</v>
      </c>
      <c r="D2700" s="25">
        <v>1192.0</v>
      </c>
      <c r="E2700" s="25">
        <v>1204.2</v>
      </c>
      <c r="F2700" s="25">
        <v>717967.0</v>
      </c>
    </row>
    <row r="2701">
      <c r="A2701" s="25">
        <v>42355.64583333333</v>
      </c>
      <c r="B2701" s="25">
        <v>1207.5</v>
      </c>
      <c r="C2701" s="25">
        <v>1222.5</v>
      </c>
      <c r="D2701" s="25">
        <v>1196.68</v>
      </c>
      <c r="E2701" s="25">
        <v>1219.88</v>
      </c>
      <c r="F2701" s="25">
        <v>809422.0</v>
      </c>
    </row>
    <row r="2702">
      <c r="A2702" s="25">
        <v>42356.64583333333</v>
      </c>
      <c r="B2702" s="25">
        <v>1210.0</v>
      </c>
      <c r="C2702" s="25">
        <v>1217.1</v>
      </c>
      <c r="D2702" s="25">
        <v>1200.33</v>
      </c>
      <c r="E2702" s="25">
        <v>1208.4</v>
      </c>
      <c r="F2702" s="25">
        <v>1512485.0</v>
      </c>
    </row>
    <row r="2703">
      <c r="A2703" s="25">
        <v>42359.64583333333</v>
      </c>
      <c r="B2703" s="25">
        <v>1209.97</v>
      </c>
      <c r="C2703" s="25">
        <v>1225.0</v>
      </c>
      <c r="D2703" s="25">
        <v>1203.43</v>
      </c>
      <c r="E2703" s="25">
        <v>1223.2</v>
      </c>
      <c r="F2703" s="25">
        <v>805052.0</v>
      </c>
    </row>
    <row r="2704">
      <c r="A2704" s="25">
        <v>42360.64583333333</v>
      </c>
      <c r="B2704" s="25">
        <v>1220.0</v>
      </c>
      <c r="C2704" s="25">
        <v>1220.0</v>
      </c>
      <c r="D2704" s="25">
        <v>1200.0</v>
      </c>
      <c r="E2704" s="25">
        <v>1202.53</v>
      </c>
      <c r="F2704" s="25">
        <v>780429.0</v>
      </c>
    </row>
    <row r="2705">
      <c r="A2705" s="25">
        <v>42361.64583333333</v>
      </c>
      <c r="B2705" s="25">
        <v>1207.5</v>
      </c>
      <c r="C2705" s="25">
        <v>1217.5</v>
      </c>
      <c r="D2705" s="25">
        <v>1205.28</v>
      </c>
      <c r="E2705" s="25">
        <v>1212.9</v>
      </c>
      <c r="F2705" s="25">
        <v>424917.0</v>
      </c>
    </row>
    <row r="2706">
      <c r="A2706" s="25">
        <v>42362.64583333333</v>
      </c>
      <c r="B2706" s="25">
        <v>1210.5</v>
      </c>
      <c r="C2706" s="25">
        <v>1219.1</v>
      </c>
      <c r="D2706" s="25">
        <v>1202.0</v>
      </c>
      <c r="E2706" s="25">
        <v>1217.13</v>
      </c>
      <c r="F2706" s="25">
        <v>421580.0</v>
      </c>
    </row>
    <row r="2707">
      <c r="A2707" s="25">
        <v>42366.64583333333</v>
      </c>
      <c r="B2707" s="25">
        <v>1214.0</v>
      </c>
      <c r="C2707" s="25">
        <v>1233.2</v>
      </c>
      <c r="D2707" s="25">
        <v>1210.1</v>
      </c>
      <c r="E2707" s="25">
        <v>1231.35</v>
      </c>
      <c r="F2707" s="25">
        <v>1852099.0</v>
      </c>
    </row>
    <row r="2708">
      <c r="A2708" s="25">
        <v>42367.64583333333</v>
      </c>
      <c r="B2708" s="25">
        <v>1229.18</v>
      </c>
      <c r="C2708" s="25">
        <v>1232.65</v>
      </c>
      <c r="D2708" s="25">
        <v>1222.88</v>
      </c>
      <c r="E2708" s="25">
        <v>1227.9</v>
      </c>
      <c r="F2708" s="25">
        <v>854262.0</v>
      </c>
    </row>
    <row r="2709">
      <c r="A2709" s="25">
        <v>42368.64583333333</v>
      </c>
      <c r="B2709" s="25">
        <v>1226.53</v>
      </c>
      <c r="C2709" s="25">
        <v>1229.5</v>
      </c>
      <c r="D2709" s="25">
        <v>1206.15</v>
      </c>
      <c r="E2709" s="25">
        <v>1209.15</v>
      </c>
      <c r="F2709" s="25">
        <v>802881.0</v>
      </c>
    </row>
    <row r="2710">
      <c r="A2710" s="25">
        <v>42369.64583333333</v>
      </c>
      <c r="B2710" s="25">
        <v>1207.88</v>
      </c>
      <c r="C2710" s="25">
        <v>1224.25</v>
      </c>
      <c r="D2710" s="25">
        <v>1203.75</v>
      </c>
      <c r="E2710" s="25">
        <v>1218.43</v>
      </c>
      <c r="F2710" s="25">
        <v>620159.0</v>
      </c>
    </row>
    <row r="2711">
      <c r="A2711" s="25">
        <v>42370.64583333333</v>
      </c>
      <c r="B2711" s="25">
        <v>1219.5</v>
      </c>
      <c r="C2711" s="25">
        <v>1219.5</v>
      </c>
      <c r="D2711" s="25">
        <v>1206.13</v>
      </c>
      <c r="E2711" s="25">
        <v>1208.2</v>
      </c>
      <c r="F2711" s="25">
        <v>356131.0</v>
      </c>
    </row>
    <row r="2712">
      <c r="A2712" s="25">
        <v>42373.64583333333</v>
      </c>
      <c r="B2712" s="25">
        <v>1205.08</v>
      </c>
      <c r="C2712" s="25">
        <v>1207.0</v>
      </c>
      <c r="D2712" s="25">
        <v>1183.03</v>
      </c>
      <c r="E2712" s="25">
        <v>1184.8</v>
      </c>
      <c r="F2712" s="25">
        <v>935092.0</v>
      </c>
    </row>
    <row r="2713">
      <c r="A2713" s="25">
        <v>42374.64583333333</v>
      </c>
      <c r="B2713" s="25">
        <v>1192.5</v>
      </c>
      <c r="C2713" s="25">
        <v>1193.3</v>
      </c>
      <c r="D2713" s="25">
        <v>1170.5</v>
      </c>
      <c r="E2713" s="25">
        <v>1174.47</v>
      </c>
      <c r="F2713" s="25">
        <v>1339010.0</v>
      </c>
    </row>
    <row r="2714">
      <c r="A2714" s="25">
        <v>42375.64583333333</v>
      </c>
      <c r="B2714" s="25">
        <v>1175.1</v>
      </c>
      <c r="C2714" s="25">
        <v>1193.08</v>
      </c>
      <c r="D2714" s="25">
        <v>1175.1</v>
      </c>
      <c r="E2714" s="25">
        <v>1190.8</v>
      </c>
      <c r="F2714" s="25">
        <v>1326614.0</v>
      </c>
    </row>
    <row r="2715">
      <c r="A2715" s="25">
        <v>42376.64583333333</v>
      </c>
      <c r="B2715" s="25">
        <v>1185.0</v>
      </c>
      <c r="C2715" s="25">
        <v>1191.45</v>
      </c>
      <c r="D2715" s="25">
        <v>1180.0</v>
      </c>
      <c r="E2715" s="25">
        <v>1185.63</v>
      </c>
      <c r="F2715" s="25">
        <v>1599790.0</v>
      </c>
    </row>
    <row r="2716">
      <c r="A2716" s="25">
        <v>42377.64583333333</v>
      </c>
      <c r="B2716" s="25">
        <v>1192.5</v>
      </c>
      <c r="C2716" s="25">
        <v>1203.68</v>
      </c>
      <c r="D2716" s="25">
        <v>1186.25</v>
      </c>
      <c r="E2716" s="25">
        <v>1198.8</v>
      </c>
      <c r="F2716" s="25">
        <v>953772.0</v>
      </c>
    </row>
    <row r="2717">
      <c r="A2717" s="25">
        <v>42380.64583333333</v>
      </c>
      <c r="B2717" s="25">
        <v>1191.25</v>
      </c>
      <c r="C2717" s="25">
        <v>1192.0</v>
      </c>
      <c r="D2717" s="25">
        <v>1174.43</v>
      </c>
      <c r="E2717" s="25">
        <v>1181.18</v>
      </c>
      <c r="F2717" s="25">
        <v>1465114.0</v>
      </c>
    </row>
    <row r="2718">
      <c r="A2718" s="25">
        <v>42381.64583333333</v>
      </c>
      <c r="B2718" s="25">
        <v>1181.35</v>
      </c>
      <c r="C2718" s="25">
        <v>1182.5</v>
      </c>
      <c r="D2718" s="25">
        <v>1150.8</v>
      </c>
      <c r="E2718" s="25">
        <v>1158.5</v>
      </c>
      <c r="F2718" s="25">
        <v>1741297.0</v>
      </c>
    </row>
    <row r="2719">
      <c r="A2719" s="25">
        <v>42382.64583333333</v>
      </c>
      <c r="B2719" s="25">
        <v>1158.5</v>
      </c>
      <c r="C2719" s="25">
        <v>1163.5</v>
      </c>
      <c r="D2719" s="25">
        <v>1127.55</v>
      </c>
      <c r="E2719" s="25">
        <v>1139.6</v>
      </c>
      <c r="F2719" s="25">
        <v>2373046.0</v>
      </c>
    </row>
    <row r="2720">
      <c r="A2720" s="25">
        <v>42383.64583333333</v>
      </c>
      <c r="B2720" s="25">
        <v>1136.5</v>
      </c>
      <c r="C2720" s="25">
        <v>1149.45</v>
      </c>
      <c r="D2720" s="25">
        <v>1125.0</v>
      </c>
      <c r="E2720" s="25">
        <v>1139.4</v>
      </c>
      <c r="F2720" s="25">
        <v>1371026.0</v>
      </c>
    </row>
    <row r="2721">
      <c r="A2721" s="25">
        <v>42384.64583333333</v>
      </c>
      <c r="B2721" s="25">
        <v>1144.43</v>
      </c>
      <c r="C2721" s="25">
        <v>1145.85</v>
      </c>
      <c r="D2721" s="25">
        <v>1127.5</v>
      </c>
      <c r="E2721" s="25">
        <v>1130.55</v>
      </c>
      <c r="F2721" s="25">
        <v>1634704.0</v>
      </c>
    </row>
    <row r="2722">
      <c r="A2722" s="25">
        <v>42387.64583333333</v>
      </c>
      <c r="B2722" s="25">
        <v>1131.0</v>
      </c>
      <c r="C2722" s="25">
        <v>1145.95</v>
      </c>
      <c r="D2722" s="25">
        <v>1130.0</v>
      </c>
      <c r="E2722" s="25">
        <v>1138.83</v>
      </c>
      <c r="F2722" s="25">
        <v>1106961.0</v>
      </c>
    </row>
    <row r="2723">
      <c r="A2723" s="25">
        <v>42388.64583333333</v>
      </c>
      <c r="B2723" s="25">
        <v>1138.5</v>
      </c>
      <c r="C2723" s="25">
        <v>1150.0</v>
      </c>
      <c r="D2723" s="25">
        <v>1134.15</v>
      </c>
      <c r="E2723" s="25">
        <v>1139.65</v>
      </c>
      <c r="F2723" s="25">
        <v>483955.0</v>
      </c>
    </row>
    <row r="2724">
      <c r="A2724" s="25">
        <v>42389.64583333333</v>
      </c>
      <c r="B2724" s="25">
        <v>1136.9</v>
      </c>
      <c r="C2724" s="25">
        <v>1142.5</v>
      </c>
      <c r="D2724" s="25">
        <v>1121.5</v>
      </c>
      <c r="E2724" s="25">
        <v>1140.05</v>
      </c>
      <c r="F2724" s="25">
        <v>807977.0</v>
      </c>
    </row>
    <row r="2725">
      <c r="A2725" s="25">
        <v>42390.64583333333</v>
      </c>
      <c r="B2725" s="25">
        <v>1142.5</v>
      </c>
      <c r="C2725" s="25">
        <v>1144.95</v>
      </c>
      <c r="D2725" s="25">
        <v>1122.88</v>
      </c>
      <c r="E2725" s="25">
        <v>1127.25</v>
      </c>
      <c r="F2725" s="25">
        <v>1337768.0</v>
      </c>
    </row>
    <row r="2726">
      <c r="A2726" s="25">
        <v>42391.64583333333</v>
      </c>
      <c r="B2726" s="25">
        <v>1136.5</v>
      </c>
      <c r="C2726" s="25">
        <v>1151.03</v>
      </c>
      <c r="D2726" s="25">
        <v>1130.0</v>
      </c>
      <c r="E2726" s="25">
        <v>1147.88</v>
      </c>
      <c r="F2726" s="25">
        <v>671589.0</v>
      </c>
    </row>
    <row r="2727">
      <c r="A2727" s="25">
        <v>42394.64583333333</v>
      </c>
      <c r="B2727" s="25">
        <v>1150.95</v>
      </c>
      <c r="C2727" s="25">
        <v>1169.5</v>
      </c>
      <c r="D2727" s="25">
        <v>1145.75</v>
      </c>
      <c r="E2727" s="25">
        <v>1152.33</v>
      </c>
      <c r="F2727" s="25">
        <v>698780.0</v>
      </c>
    </row>
    <row r="2728">
      <c r="A2728" s="25">
        <v>42396.64583333333</v>
      </c>
      <c r="B2728" s="25">
        <v>1151.0</v>
      </c>
      <c r="C2728" s="25">
        <v>1164.97</v>
      </c>
      <c r="D2728" s="25">
        <v>1140.95</v>
      </c>
      <c r="E2728" s="25">
        <v>1159.88</v>
      </c>
      <c r="F2728" s="25">
        <v>813493.0</v>
      </c>
    </row>
    <row r="2729">
      <c r="A2729" s="25">
        <v>42397.64583333333</v>
      </c>
      <c r="B2729" s="25">
        <v>1157.75</v>
      </c>
      <c r="C2729" s="25">
        <v>1174.45</v>
      </c>
      <c r="D2729" s="25">
        <v>1154.03</v>
      </c>
      <c r="E2729" s="25">
        <v>1165.6</v>
      </c>
      <c r="F2729" s="25">
        <v>1553330.0</v>
      </c>
    </row>
    <row r="2730">
      <c r="A2730" s="25">
        <v>42398.64583333333</v>
      </c>
      <c r="B2730" s="25">
        <v>1179.35</v>
      </c>
      <c r="C2730" s="25">
        <v>1200.0</v>
      </c>
      <c r="D2730" s="25">
        <v>1167.53</v>
      </c>
      <c r="E2730" s="25">
        <v>1195.65</v>
      </c>
      <c r="F2730" s="25">
        <v>1117872.0</v>
      </c>
    </row>
    <row r="2731">
      <c r="A2731" s="25">
        <v>42401.64583333333</v>
      </c>
      <c r="B2731" s="25">
        <v>1195.55</v>
      </c>
      <c r="C2731" s="25">
        <v>1206.47</v>
      </c>
      <c r="D2731" s="25">
        <v>1179.5</v>
      </c>
      <c r="E2731" s="25">
        <v>1201.35</v>
      </c>
      <c r="F2731" s="25">
        <v>747637.0</v>
      </c>
    </row>
    <row r="2732">
      <c r="A2732" s="25">
        <v>42402.64583333333</v>
      </c>
      <c r="B2732" s="25">
        <v>1204.5</v>
      </c>
      <c r="C2732" s="25">
        <v>1216.5</v>
      </c>
      <c r="D2732" s="25">
        <v>1189.85</v>
      </c>
      <c r="E2732" s="25">
        <v>1199.05</v>
      </c>
      <c r="F2732" s="25">
        <v>737794.0</v>
      </c>
    </row>
    <row r="2733">
      <c r="A2733" s="25">
        <v>42403.64583333333</v>
      </c>
      <c r="B2733" s="25">
        <v>1193.75</v>
      </c>
      <c r="C2733" s="25">
        <v>1214.95</v>
      </c>
      <c r="D2733" s="25">
        <v>1180.15</v>
      </c>
      <c r="E2733" s="25">
        <v>1208.15</v>
      </c>
      <c r="F2733" s="25">
        <v>654346.0</v>
      </c>
    </row>
    <row r="2734">
      <c r="A2734" s="25">
        <v>42404.64583333333</v>
      </c>
      <c r="B2734" s="25">
        <v>1210.95</v>
      </c>
      <c r="C2734" s="25">
        <v>1220.0</v>
      </c>
      <c r="D2734" s="25">
        <v>1201.0</v>
      </c>
      <c r="E2734" s="25">
        <v>1210.03</v>
      </c>
      <c r="F2734" s="25">
        <v>625023.0</v>
      </c>
    </row>
    <row r="2735">
      <c r="A2735" s="25">
        <v>42405.64583333333</v>
      </c>
      <c r="B2735" s="25">
        <v>1204.05</v>
      </c>
      <c r="C2735" s="25">
        <v>1219.97</v>
      </c>
      <c r="D2735" s="25">
        <v>1204.05</v>
      </c>
      <c r="E2735" s="25">
        <v>1210.97</v>
      </c>
      <c r="F2735" s="25">
        <v>701498.0</v>
      </c>
    </row>
    <row r="2736">
      <c r="A2736" s="25">
        <v>42408.64583333333</v>
      </c>
      <c r="B2736" s="25">
        <v>1200.0</v>
      </c>
      <c r="C2736" s="25">
        <v>1206.03</v>
      </c>
      <c r="D2736" s="25">
        <v>1173.5</v>
      </c>
      <c r="E2736" s="25">
        <v>1177.15</v>
      </c>
      <c r="F2736" s="25">
        <v>531829.0</v>
      </c>
    </row>
    <row r="2737">
      <c r="A2737" s="25">
        <v>42409.64583333333</v>
      </c>
      <c r="B2737" s="25">
        <v>1166.8</v>
      </c>
      <c r="C2737" s="25">
        <v>1166.8</v>
      </c>
      <c r="D2737" s="25">
        <v>1127.8</v>
      </c>
      <c r="E2737" s="25">
        <v>1140.7</v>
      </c>
      <c r="F2737" s="25">
        <v>1244805.0</v>
      </c>
    </row>
    <row r="2738">
      <c r="A2738" s="25">
        <v>42410.64583333333</v>
      </c>
      <c r="B2738" s="25">
        <v>1137.5</v>
      </c>
      <c r="C2738" s="25">
        <v>1144.95</v>
      </c>
      <c r="D2738" s="25">
        <v>1129.05</v>
      </c>
      <c r="E2738" s="25">
        <v>1134.4</v>
      </c>
      <c r="F2738" s="25">
        <v>945366.0</v>
      </c>
    </row>
    <row r="2739">
      <c r="A2739" s="25">
        <v>42411.64583333333</v>
      </c>
      <c r="B2739" s="25">
        <v>1140.0</v>
      </c>
      <c r="C2739" s="25">
        <v>1144.5</v>
      </c>
      <c r="D2739" s="25">
        <v>1085.83</v>
      </c>
      <c r="E2739" s="25">
        <v>1098.97</v>
      </c>
      <c r="F2739" s="25">
        <v>981204.0</v>
      </c>
    </row>
    <row r="2740">
      <c r="A2740" s="25">
        <v>42412.64583333333</v>
      </c>
      <c r="B2740" s="25">
        <v>1100.0</v>
      </c>
      <c r="C2740" s="25">
        <v>1121.7</v>
      </c>
      <c r="D2740" s="25">
        <v>1082.0</v>
      </c>
      <c r="E2740" s="25">
        <v>1113.15</v>
      </c>
      <c r="F2740" s="25">
        <v>1086284.0</v>
      </c>
    </row>
    <row r="2741">
      <c r="A2741" s="25">
        <v>42415.64583333333</v>
      </c>
      <c r="B2741" s="25">
        <v>1125.0</v>
      </c>
      <c r="C2741" s="25">
        <v>1153.43</v>
      </c>
      <c r="D2741" s="25">
        <v>1120.0</v>
      </c>
      <c r="E2741" s="25">
        <v>1134.58</v>
      </c>
      <c r="F2741" s="25">
        <v>1239856.0</v>
      </c>
    </row>
    <row r="2742">
      <c r="A2742" s="25">
        <v>42416.64583333333</v>
      </c>
      <c r="B2742" s="25">
        <v>1133.0</v>
      </c>
      <c r="C2742" s="25">
        <v>1141.0</v>
      </c>
      <c r="D2742" s="25">
        <v>1121.5</v>
      </c>
      <c r="E2742" s="25">
        <v>1132.78</v>
      </c>
      <c r="F2742" s="25">
        <v>794351.0</v>
      </c>
    </row>
    <row r="2743">
      <c r="A2743" s="25">
        <v>42417.64583333333</v>
      </c>
      <c r="B2743" s="25">
        <v>1132.5</v>
      </c>
      <c r="C2743" s="25">
        <v>1139.83</v>
      </c>
      <c r="D2743" s="25">
        <v>1123.2</v>
      </c>
      <c r="E2743" s="25">
        <v>1137.78</v>
      </c>
      <c r="F2743" s="25">
        <v>792589.0</v>
      </c>
    </row>
    <row r="2744">
      <c r="A2744" s="25">
        <v>42418.64583333333</v>
      </c>
      <c r="B2744" s="25">
        <v>1142.5</v>
      </c>
      <c r="C2744" s="25">
        <v>1159.88</v>
      </c>
      <c r="D2744" s="25">
        <v>1139.0</v>
      </c>
      <c r="E2744" s="25">
        <v>1157.93</v>
      </c>
      <c r="F2744" s="25">
        <v>764570.0</v>
      </c>
    </row>
    <row r="2745">
      <c r="A2745" s="25">
        <v>42419.64583333333</v>
      </c>
      <c r="B2745" s="25">
        <v>1153.68</v>
      </c>
      <c r="C2745" s="25">
        <v>1163.5</v>
      </c>
      <c r="D2745" s="25">
        <v>1152.72</v>
      </c>
      <c r="E2745" s="25">
        <v>1159.83</v>
      </c>
      <c r="F2745" s="25">
        <v>439506.0</v>
      </c>
    </row>
    <row r="2746">
      <c r="A2746" s="25">
        <v>42422.64583333333</v>
      </c>
      <c r="B2746" s="25">
        <v>1160.13</v>
      </c>
      <c r="C2746" s="25">
        <v>1171.5</v>
      </c>
      <c r="D2746" s="25">
        <v>1152.5</v>
      </c>
      <c r="E2746" s="25">
        <v>1157.95</v>
      </c>
      <c r="F2746" s="25">
        <v>662442.0</v>
      </c>
    </row>
    <row r="2747">
      <c r="A2747" s="25">
        <v>42423.64583333333</v>
      </c>
      <c r="B2747" s="25">
        <v>1155.13</v>
      </c>
      <c r="C2747" s="25">
        <v>1159.95</v>
      </c>
      <c r="D2747" s="25">
        <v>1128.38</v>
      </c>
      <c r="E2747" s="25">
        <v>1132.0</v>
      </c>
      <c r="F2747" s="25">
        <v>653426.0</v>
      </c>
    </row>
    <row r="2748">
      <c r="A2748" s="25">
        <v>42424.64583333333</v>
      </c>
      <c r="B2748" s="25">
        <v>1131.22</v>
      </c>
      <c r="C2748" s="25">
        <v>1131.22</v>
      </c>
      <c r="D2748" s="25">
        <v>1100.6</v>
      </c>
      <c r="E2748" s="25">
        <v>1105.47</v>
      </c>
      <c r="F2748" s="25">
        <v>829664.0</v>
      </c>
    </row>
    <row r="2749">
      <c r="A2749" s="25">
        <v>42425.64583333333</v>
      </c>
      <c r="B2749" s="25">
        <v>1109.9</v>
      </c>
      <c r="C2749" s="25">
        <v>1114.0</v>
      </c>
      <c r="D2749" s="25">
        <v>1092.83</v>
      </c>
      <c r="E2749" s="25">
        <v>1106.43</v>
      </c>
      <c r="F2749" s="25">
        <v>915278.0</v>
      </c>
    </row>
    <row r="2750">
      <c r="A2750" s="25">
        <v>42426.64583333333</v>
      </c>
      <c r="B2750" s="25">
        <v>1114.85</v>
      </c>
      <c r="C2750" s="25">
        <v>1128.45</v>
      </c>
      <c r="D2750" s="25">
        <v>1099.8</v>
      </c>
      <c r="E2750" s="25">
        <v>1105.25</v>
      </c>
      <c r="F2750" s="25">
        <v>768768.0</v>
      </c>
    </row>
    <row r="2751">
      <c r="A2751" s="25">
        <v>42429.64583333333</v>
      </c>
      <c r="B2751" s="25">
        <v>1118.5</v>
      </c>
      <c r="C2751" s="25">
        <v>1118.5</v>
      </c>
      <c r="D2751" s="25">
        <v>1057.5</v>
      </c>
      <c r="E2751" s="25">
        <v>1088.4</v>
      </c>
      <c r="F2751" s="25">
        <v>1095859.0</v>
      </c>
    </row>
    <row r="2752">
      <c r="A2752" s="25">
        <v>42430.64583333333</v>
      </c>
      <c r="B2752" s="25">
        <v>1096.5</v>
      </c>
      <c r="C2752" s="25">
        <v>1142.55</v>
      </c>
      <c r="D2752" s="25">
        <v>1081.0</v>
      </c>
      <c r="E2752" s="25">
        <v>1138.33</v>
      </c>
      <c r="F2752" s="25">
        <v>999880.0</v>
      </c>
    </row>
    <row r="2753">
      <c r="A2753" s="25">
        <v>42431.64583333333</v>
      </c>
      <c r="B2753" s="25">
        <v>1152.5</v>
      </c>
      <c r="C2753" s="25">
        <v>1165.0</v>
      </c>
      <c r="D2753" s="25">
        <v>1128.13</v>
      </c>
      <c r="E2753" s="25">
        <v>1159.43</v>
      </c>
      <c r="F2753" s="25">
        <v>763743.0</v>
      </c>
    </row>
    <row r="2754">
      <c r="A2754" s="25">
        <v>42432.64583333333</v>
      </c>
      <c r="B2754" s="25">
        <v>1168.0</v>
      </c>
      <c r="C2754" s="25">
        <v>1195.5</v>
      </c>
      <c r="D2754" s="25">
        <v>1150.5</v>
      </c>
      <c r="E2754" s="25">
        <v>1186.58</v>
      </c>
      <c r="F2754" s="25">
        <v>1324142.0</v>
      </c>
    </row>
    <row r="2755">
      <c r="A2755" s="25">
        <v>42433.64583333333</v>
      </c>
      <c r="B2755" s="25">
        <v>1190.0</v>
      </c>
      <c r="C2755" s="25">
        <v>1190.0</v>
      </c>
      <c r="D2755" s="25">
        <v>1174.78</v>
      </c>
      <c r="E2755" s="25">
        <v>1178.78</v>
      </c>
      <c r="F2755" s="25">
        <v>756483.0</v>
      </c>
    </row>
    <row r="2756">
      <c r="A2756" s="25">
        <v>42437.64583333333</v>
      </c>
      <c r="B2756" s="25">
        <v>1171.05</v>
      </c>
      <c r="C2756" s="25">
        <v>1183.5</v>
      </c>
      <c r="D2756" s="25">
        <v>1152.1</v>
      </c>
      <c r="E2756" s="25">
        <v>1177.15</v>
      </c>
      <c r="F2756" s="25">
        <v>634076.0</v>
      </c>
    </row>
    <row r="2757">
      <c r="A2757" s="25">
        <v>42438.64583333333</v>
      </c>
      <c r="B2757" s="25">
        <v>1170.5</v>
      </c>
      <c r="C2757" s="25">
        <v>1184.7</v>
      </c>
      <c r="D2757" s="25">
        <v>1147.58</v>
      </c>
      <c r="E2757" s="25">
        <v>1178.63</v>
      </c>
      <c r="F2757" s="25">
        <v>1008892.0</v>
      </c>
    </row>
    <row r="2758">
      <c r="A2758" s="25">
        <v>42439.64583333333</v>
      </c>
      <c r="B2758" s="25">
        <v>1178.03</v>
      </c>
      <c r="C2758" s="25">
        <v>1179.93</v>
      </c>
      <c r="D2758" s="25">
        <v>1157.47</v>
      </c>
      <c r="E2758" s="25">
        <v>1174.15</v>
      </c>
      <c r="F2758" s="25">
        <v>830833.0</v>
      </c>
    </row>
    <row r="2759">
      <c r="A2759" s="25">
        <v>42440.64583333333</v>
      </c>
      <c r="B2759" s="25">
        <v>1170.0</v>
      </c>
      <c r="C2759" s="25">
        <v>1195.43</v>
      </c>
      <c r="D2759" s="25">
        <v>1167.5</v>
      </c>
      <c r="E2759" s="25">
        <v>1182.63</v>
      </c>
      <c r="F2759" s="25">
        <v>765264.0</v>
      </c>
    </row>
    <row r="2760">
      <c r="A2760" s="25">
        <v>42443.64583333333</v>
      </c>
      <c r="B2760" s="25">
        <v>1181.0</v>
      </c>
      <c r="C2760" s="25">
        <v>1199.0</v>
      </c>
      <c r="D2760" s="25">
        <v>1170.0</v>
      </c>
      <c r="E2760" s="25">
        <v>1177.5</v>
      </c>
      <c r="F2760" s="25">
        <v>818371.0</v>
      </c>
    </row>
    <row r="2761">
      <c r="A2761" s="25">
        <v>42444.64583333333</v>
      </c>
      <c r="B2761" s="25">
        <v>1174.53</v>
      </c>
      <c r="C2761" s="25">
        <v>1181.75</v>
      </c>
      <c r="D2761" s="25">
        <v>1160.05</v>
      </c>
      <c r="E2761" s="25">
        <v>1164.95</v>
      </c>
      <c r="F2761" s="25">
        <v>811678.0</v>
      </c>
    </row>
    <row r="2762">
      <c r="A2762" s="25">
        <v>42445.64583333333</v>
      </c>
      <c r="B2762" s="25">
        <v>1157.5</v>
      </c>
      <c r="C2762" s="25">
        <v>1166.0</v>
      </c>
      <c r="D2762" s="25">
        <v>1153.45</v>
      </c>
      <c r="E2762" s="25">
        <v>1163.53</v>
      </c>
      <c r="F2762" s="25">
        <v>959123.0</v>
      </c>
    </row>
    <row r="2763">
      <c r="A2763" s="25">
        <v>42446.64583333333</v>
      </c>
      <c r="B2763" s="25">
        <v>1167.0</v>
      </c>
      <c r="C2763" s="25">
        <v>1180.9</v>
      </c>
      <c r="D2763" s="25">
        <v>1166.0</v>
      </c>
      <c r="E2763" s="25">
        <v>1176.03</v>
      </c>
      <c r="F2763" s="25">
        <v>1110544.0</v>
      </c>
    </row>
    <row r="2764">
      <c r="A2764" s="25">
        <v>42447.64583333333</v>
      </c>
      <c r="B2764" s="25">
        <v>1180.0</v>
      </c>
      <c r="C2764" s="25">
        <v>1215.0</v>
      </c>
      <c r="D2764" s="25">
        <v>1180.0</v>
      </c>
      <c r="E2764" s="25">
        <v>1212.93</v>
      </c>
      <c r="F2764" s="25">
        <v>1602035.0</v>
      </c>
    </row>
    <row r="2765">
      <c r="A2765" s="25">
        <v>42450.64583333333</v>
      </c>
      <c r="B2765" s="25">
        <v>1213.0</v>
      </c>
      <c r="C2765" s="25">
        <v>1227.47</v>
      </c>
      <c r="D2765" s="25">
        <v>1210.0</v>
      </c>
      <c r="E2765" s="25">
        <v>1223.13</v>
      </c>
      <c r="F2765" s="25">
        <v>1168491.0</v>
      </c>
    </row>
    <row r="2766">
      <c r="A2766" s="25">
        <v>42451.64583333333</v>
      </c>
      <c r="B2766" s="25">
        <v>1221.0</v>
      </c>
      <c r="C2766" s="25">
        <v>1242.5</v>
      </c>
      <c r="D2766" s="25">
        <v>1218.25</v>
      </c>
      <c r="E2766" s="25">
        <v>1236.55</v>
      </c>
      <c r="F2766" s="25">
        <v>975992.0</v>
      </c>
    </row>
    <row r="2767">
      <c r="A2767" s="25">
        <v>42452.64583333333</v>
      </c>
      <c r="B2767" s="25">
        <v>1243.95</v>
      </c>
      <c r="C2767" s="25">
        <v>1243.95</v>
      </c>
      <c r="D2767" s="25">
        <v>1228.65</v>
      </c>
      <c r="E2767" s="25">
        <v>1236.9</v>
      </c>
      <c r="F2767" s="25">
        <v>1139217.0</v>
      </c>
    </row>
    <row r="2768">
      <c r="A2768" s="25">
        <v>42457.64583333333</v>
      </c>
      <c r="B2768" s="25">
        <v>1245.5</v>
      </c>
      <c r="C2768" s="25">
        <v>1258.58</v>
      </c>
      <c r="D2768" s="25">
        <v>1230.78</v>
      </c>
      <c r="E2768" s="25">
        <v>1236.7</v>
      </c>
      <c r="F2768" s="25">
        <v>1660441.0</v>
      </c>
    </row>
    <row r="2769">
      <c r="A2769" s="25">
        <v>42458.64583333333</v>
      </c>
      <c r="B2769" s="25">
        <v>1239.0</v>
      </c>
      <c r="C2769" s="25">
        <v>1243.47</v>
      </c>
      <c r="D2769" s="25">
        <v>1227.5</v>
      </c>
      <c r="E2769" s="25">
        <v>1234.7</v>
      </c>
      <c r="F2769" s="25">
        <v>919398.0</v>
      </c>
    </row>
    <row r="2770">
      <c r="A2770" s="25">
        <v>42459.64583333333</v>
      </c>
      <c r="B2770" s="25">
        <v>1235.45</v>
      </c>
      <c r="C2770" s="25">
        <v>1252.5</v>
      </c>
      <c r="D2770" s="25">
        <v>1230.0</v>
      </c>
      <c r="E2770" s="25">
        <v>1244.75</v>
      </c>
      <c r="F2770" s="25">
        <v>1068252.0</v>
      </c>
    </row>
    <row r="2771">
      <c r="A2771" s="25">
        <v>42460.64583333333</v>
      </c>
      <c r="B2771" s="25">
        <v>1239.15</v>
      </c>
      <c r="C2771" s="25">
        <v>1275.0</v>
      </c>
      <c r="D2771" s="25">
        <v>1236.08</v>
      </c>
      <c r="E2771" s="25">
        <v>1260.15</v>
      </c>
      <c r="F2771" s="25">
        <v>2181982.0</v>
      </c>
    </row>
    <row r="2772">
      <c r="A2772" s="25">
        <v>42461.64583333333</v>
      </c>
      <c r="B2772" s="25">
        <v>1252.5</v>
      </c>
      <c r="C2772" s="25">
        <v>1260.43</v>
      </c>
      <c r="D2772" s="25">
        <v>1217.05</v>
      </c>
      <c r="E2772" s="25">
        <v>1226.95</v>
      </c>
      <c r="F2772" s="25">
        <v>1520700.0</v>
      </c>
    </row>
    <row r="2773">
      <c r="A2773" s="25">
        <v>42464.64583333333</v>
      </c>
      <c r="B2773" s="25">
        <v>1228.0</v>
      </c>
      <c r="C2773" s="25">
        <v>1244.0</v>
      </c>
      <c r="D2773" s="25">
        <v>1223.5</v>
      </c>
      <c r="E2773" s="25">
        <v>1235.63</v>
      </c>
      <c r="F2773" s="25">
        <v>876176.0</v>
      </c>
    </row>
    <row r="2774">
      <c r="A2774" s="25">
        <v>42465.64583333333</v>
      </c>
      <c r="B2774" s="25">
        <v>1235.4</v>
      </c>
      <c r="C2774" s="25">
        <v>1242.45</v>
      </c>
      <c r="D2774" s="25">
        <v>1221.03</v>
      </c>
      <c r="E2774" s="25">
        <v>1231.38</v>
      </c>
      <c r="F2774" s="25">
        <v>745897.0</v>
      </c>
    </row>
    <row r="2775">
      <c r="A2775" s="25">
        <v>42466.64583333333</v>
      </c>
      <c r="B2775" s="25">
        <v>1235.0</v>
      </c>
      <c r="C2775" s="25">
        <v>1244.5</v>
      </c>
      <c r="D2775" s="25">
        <v>1229.68</v>
      </c>
      <c r="E2775" s="25">
        <v>1240.95</v>
      </c>
      <c r="F2775" s="25">
        <v>881575.0</v>
      </c>
    </row>
    <row r="2776">
      <c r="A2776" s="25">
        <v>42467.64583333333</v>
      </c>
      <c r="B2776" s="25">
        <v>1240.0</v>
      </c>
      <c r="C2776" s="25">
        <v>1242.35</v>
      </c>
      <c r="D2776" s="25">
        <v>1228.5</v>
      </c>
      <c r="E2776" s="25">
        <v>1235.4</v>
      </c>
      <c r="F2776" s="25">
        <v>1195471.0</v>
      </c>
    </row>
    <row r="2777">
      <c r="A2777" s="25">
        <v>42468.64583333333</v>
      </c>
      <c r="B2777" s="25">
        <v>1233.0</v>
      </c>
      <c r="C2777" s="25">
        <v>1236.85</v>
      </c>
      <c r="D2777" s="25">
        <v>1213.5</v>
      </c>
      <c r="E2777" s="25">
        <v>1216.03</v>
      </c>
      <c r="F2777" s="25">
        <v>699750.0</v>
      </c>
    </row>
    <row r="2778">
      <c r="A2778" s="25">
        <v>42471.64583333333</v>
      </c>
      <c r="B2778" s="25">
        <v>1216.5</v>
      </c>
      <c r="C2778" s="25">
        <v>1258.5</v>
      </c>
      <c r="D2778" s="25">
        <v>1206.5</v>
      </c>
      <c r="E2778" s="25">
        <v>1253.33</v>
      </c>
      <c r="F2778" s="25">
        <v>1200324.0</v>
      </c>
    </row>
    <row r="2779">
      <c r="A2779" s="25">
        <v>42472.64583333333</v>
      </c>
      <c r="B2779" s="25">
        <v>1249.0</v>
      </c>
      <c r="C2779" s="25">
        <v>1262.5</v>
      </c>
      <c r="D2779" s="25">
        <v>1244.05</v>
      </c>
      <c r="E2779" s="25">
        <v>1259.08</v>
      </c>
      <c r="F2779" s="25">
        <v>651814.0</v>
      </c>
    </row>
    <row r="2780">
      <c r="A2780" s="25">
        <v>42473.64583333333</v>
      </c>
      <c r="B2780" s="25">
        <v>1265.0</v>
      </c>
      <c r="C2780" s="25">
        <v>1272.5</v>
      </c>
      <c r="D2780" s="25">
        <v>1256.25</v>
      </c>
      <c r="E2780" s="25">
        <v>1263.1</v>
      </c>
      <c r="F2780" s="25">
        <v>800734.0</v>
      </c>
    </row>
    <row r="2781">
      <c r="A2781" s="25">
        <v>42478.64583333333</v>
      </c>
      <c r="B2781" s="25">
        <v>1226.5</v>
      </c>
      <c r="C2781" s="25">
        <v>1276.75</v>
      </c>
      <c r="D2781" s="25">
        <v>1220.0</v>
      </c>
      <c r="E2781" s="25">
        <v>1259.88</v>
      </c>
      <c r="F2781" s="25">
        <v>3560752.0</v>
      </c>
    </row>
    <row r="2782">
      <c r="A2782" s="25">
        <v>42480.64583333333</v>
      </c>
      <c r="B2782" s="25">
        <v>1267.45</v>
      </c>
      <c r="C2782" s="25">
        <v>1267.45</v>
      </c>
      <c r="D2782" s="25">
        <v>1220.0</v>
      </c>
      <c r="E2782" s="25">
        <v>1225.18</v>
      </c>
      <c r="F2782" s="25">
        <v>3202512.0</v>
      </c>
    </row>
    <row r="2783">
      <c r="A2783" s="25">
        <v>42481.64583333333</v>
      </c>
      <c r="B2783" s="25">
        <v>1225.5</v>
      </c>
      <c r="C2783" s="25">
        <v>1233.7</v>
      </c>
      <c r="D2783" s="25">
        <v>1206.1</v>
      </c>
      <c r="E2783" s="25">
        <v>1212.2</v>
      </c>
      <c r="F2783" s="25">
        <v>1262862.0</v>
      </c>
    </row>
    <row r="2784">
      <c r="A2784" s="25">
        <v>42482.64583333333</v>
      </c>
      <c r="B2784" s="25">
        <v>1209.5</v>
      </c>
      <c r="C2784" s="25">
        <v>1217.7</v>
      </c>
      <c r="D2784" s="25">
        <v>1202.1</v>
      </c>
      <c r="E2784" s="25">
        <v>1208.53</v>
      </c>
      <c r="F2784" s="25">
        <v>982063.0</v>
      </c>
    </row>
    <row r="2785">
      <c r="A2785" s="25">
        <v>42485.64583333333</v>
      </c>
      <c r="B2785" s="25">
        <v>1201.15</v>
      </c>
      <c r="C2785" s="25">
        <v>1228.53</v>
      </c>
      <c r="D2785" s="25">
        <v>1201.15</v>
      </c>
      <c r="E2785" s="25">
        <v>1225.63</v>
      </c>
      <c r="F2785" s="25">
        <v>1133827.0</v>
      </c>
    </row>
    <row r="2786">
      <c r="A2786" s="25">
        <v>42486.64583333333</v>
      </c>
      <c r="B2786" s="25">
        <v>1224.5</v>
      </c>
      <c r="C2786" s="25">
        <v>1246.75</v>
      </c>
      <c r="D2786" s="25">
        <v>1221.0</v>
      </c>
      <c r="E2786" s="25">
        <v>1244.9</v>
      </c>
      <c r="F2786" s="25">
        <v>1277184.0</v>
      </c>
    </row>
    <row r="2787">
      <c r="A2787" s="25">
        <v>42487.64583333333</v>
      </c>
      <c r="B2787" s="25">
        <v>1240.0</v>
      </c>
      <c r="C2787" s="25">
        <v>1257.3</v>
      </c>
      <c r="D2787" s="25">
        <v>1237.95</v>
      </c>
      <c r="E2787" s="25">
        <v>1255.55</v>
      </c>
      <c r="F2787" s="25">
        <v>924335.0</v>
      </c>
    </row>
    <row r="2788">
      <c r="A2788" s="25">
        <v>42488.64583333333</v>
      </c>
      <c r="B2788" s="25">
        <v>1250.65</v>
      </c>
      <c r="C2788" s="25">
        <v>1270.0</v>
      </c>
      <c r="D2788" s="25">
        <v>1249.05</v>
      </c>
      <c r="E2788" s="25">
        <v>1263.88</v>
      </c>
      <c r="F2788" s="25">
        <v>2496372.0</v>
      </c>
    </row>
    <row r="2789">
      <c r="A2789" s="25">
        <v>42489.64583333333</v>
      </c>
      <c r="B2789" s="25">
        <v>1258.5</v>
      </c>
      <c r="C2789" s="25">
        <v>1271.0</v>
      </c>
      <c r="D2789" s="25">
        <v>1255.0</v>
      </c>
      <c r="E2789" s="25">
        <v>1267.75</v>
      </c>
      <c r="F2789" s="25">
        <v>1186089.0</v>
      </c>
    </row>
    <row r="2790">
      <c r="A2790" s="25">
        <v>42492.64583333333</v>
      </c>
      <c r="B2790" s="25">
        <v>1264.5</v>
      </c>
      <c r="C2790" s="25">
        <v>1265.0</v>
      </c>
      <c r="D2790" s="25">
        <v>1250.0</v>
      </c>
      <c r="E2790" s="25">
        <v>1263.35</v>
      </c>
      <c r="F2790" s="25">
        <v>558346.0</v>
      </c>
    </row>
    <row r="2791">
      <c r="A2791" s="25">
        <v>42493.64583333333</v>
      </c>
      <c r="B2791" s="25">
        <v>1262.5</v>
      </c>
      <c r="C2791" s="25">
        <v>1265.0</v>
      </c>
      <c r="D2791" s="25">
        <v>1236.0</v>
      </c>
      <c r="E2791" s="25">
        <v>1239.05</v>
      </c>
      <c r="F2791" s="25">
        <v>1076559.0</v>
      </c>
    </row>
    <row r="2792">
      <c r="A2792" s="25">
        <v>42494.64583333333</v>
      </c>
      <c r="B2792" s="25">
        <v>1236.95</v>
      </c>
      <c r="C2792" s="25">
        <v>1247.03</v>
      </c>
      <c r="D2792" s="25">
        <v>1228.5</v>
      </c>
      <c r="E2792" s="25">
        <v>1239.0</v>
      </c>
      <c r="F2792" s="25">
        <v>682446.0</v>
      </c>
    </row>
    <row r="2793">
      <c r="A2793" s="25">
        <v>42495.64583333333</v>
      </c>
      <c r="B2793" s="25">
        <v>1239.0</v>
      </c>
      <c r="C2793" s="25">
        <v>1244.97</v>
      </c>
      <c r="D2793" s="25">
        <v>1231.78</v>
      </c>
      <c r="E2793" s="25">
        <v>1235.15</v>
      </c>
      <c r="F2793" s="25">
        <v>623283.0</v>
      </c>
    </row>
    <row r="2794">
      <c r="A2794" s="25">
        <v>42496.64583333333</v>
      </c>
      <c r="B2794" s="25">
        <v>1232.5</v>
      </c>
      <c r="C2794" s="25">
        <v>1242.15</v>
      </c>
      <c r="D2794" s="25">
        <v>1215.5</v>
      </c>
      <c r="E2794" s="25">
        <v>1236.7</v>
      </c>
      <c r="F2794" s="25">
        <v>442799.0</v>
      </c>
    </row>
    <row r="2795">
      <c r="A2795" s="25">
        <v>42499.64583333333</v>
      </c>
      <c r="B2795" s="25">
        <v>1236.7</v>
      </c>
      <c r="C2795" s="25">
        <v>1259.0</v>
      </c>
      <c r="D2795" s="25">
        <v>1228.2</v>
      </c>
      <c r="E2795" s="25">
        <v>1256.28</v>
      </c>
      <c r="F2795" s="25">
        <v>910638.0</v>
      </c>
    </row>
    <row r="2796">
      <c r="A2796" s="25">
        <v>42500.64583333333</v>
      </c>
      <c r="B2796" s="25">
        <v>1257.5</v>
      </c>
      <c r="C2796" s="25">
        <v>1266.97</v>
      </c>
      <c r="D2796" s="25">
        <v>1248.0</v>
      </c>
      <c r="E2796" s="25">
        <v>1261.45</v>
      </c>
      <c r="F2796" s="25">
        <v>579267.0</v>
      </c>
    </row>
    <row r="2797">
      <c r="A2797" s="25">
        <v>42501.64583333333</v>
      </c>
      <c r="B2797" s="25">
        <v>1250.0</v>
      </c>
      <c r="C2797" s="25">
        <v>1262.8</v>
      </c>
      <c r="D2797" s="25">
        <v>1245.0</v>
      </c>
      <c r="E2797" s="25">
        <v>1259.15</v>
      </c>
      <c r="F2797" s="25">
        <v>799358.0</v>
      </c>
    </row>
    <row r="2798">
      <c r="A2798" s="25">
        <v>42502.64583333333</v>
      </c>
      <c r="B2798" s="25">
        <v>1260.28</v>
      </c>
      <c r="C2798" s="25">
        <v>1284.95</v>
      </c>
      <c r="D2798" s="25">
        <v>1260.28</v>
      </c>
      <c r="E2798" s="25">
        <v>1283.1</v>
      </c>
      <c r="F2798" s="25">
        <v>756541.0</v>
      </c>
    </row>
    <row r="2799">
      <c r="A2799" s="25">
        <v>42503.64583333333</v>
      </c>
      <c r="B2799" s="25">
        <v>1282.5</v>
      </c>
      <c r="C2799" s="25">
        <v>1283.0</v>
      </c>
      <c r="D2799" s="25">
        <v>1255.08</v>
      </c>
      <c r="E2799" s="25">
        <v>1261.7</v>
      </c>
      <c r="F2799" s="25">
        <v>810865.0</v>
      </c>
    </row>
    <row r="2800">
      <c r="A2800" s="25">
        <v>42506.64583333333</v>
      </c>
      <c r="B2800" s="25">
        <v>1269.0</v>
      </c>
      <c r="C2800" s="25">
        <v>1282.4</v>
      </c>
      <c r="D2800" s="25">
        <v>1261.25</v>
      </c>
      <c r="E2800" s="25">
        <v>1275.58</v>
      </c>
      <c r="F2800" s="25">
        <v>555763.0</v>
      </c>
    </row>
    <row r="2801">
      <c r="A2801" s="25">
        <v>42507.64583333333</v>
      </c>
      <c r="B2801" s="25">
        <v>1282.1</v>
      </c>
      <c r="C2801" s="25">
        <v>1295.63</v>
      </c>
      <c r="D2801" s="25">
        <v>1276.0</v>
      </c>
      <c r="E2801" s="25">
        <v>1285.1</v>
      </c>
      <c r="F2801" s="25">
        <v>878349.0</v>
      </c>
    </row>
    <row r="2802">
      <c r="A2802" s="25">
        <v>42508.64583333333</v>
      </c>
      <c r="B2802" s="25">
        <v>1282.93</v>
      </c>
      <c r="C2802" s="25">
        <v>1282.93</v>
      </c>
      <c r="D2802" s="25">
        <v>1263.03</v>
      </c>
      <c r="E2802" s="25">
        <v>1275.55</v>
      </c>
      <c r="F2802" s="25">
        <v>750370.0</v>
      </c>
    </row>
    <row r="2803">
      <c r="A2803" s="25">
        <v>42509.64583333333</v>
      </c>
      <c r="B2803" s="25">
        <v>1277.5</v>
      </c>
      <c r="C2803" s="25">
        <v>1280.0</v>
      </c>
      <c r="D2803" s="25">
        <v>1263.05</v>
      </c>
      <c r="E2803" s="25">
        <v>1278.47</v>
      </c>
      <c r="F2803" s="25">
        <v>519396.0</v>
      </c>
    </row>
    <row r="2804">
      <c r="A2804" s="25">
        <v>42510.64583333333</v>
      </c>
      <c r="B2804" s="25">
        <v>1271.15</v>
      </c>
      <c r="C2804" s="25">
        <v>1282.9</v>
      </c>
      <c r="D2804" s="25">
        <v>1261.4</v>
      </c>
      <c r="E2804" s="25">
        <v>1264.65</v>
      </c>
      <c r="F2804" s="25">
        <v>615459.0</v>
      </c>
    </row>
    <row r="2805">
      <c r="A2805" s="25">
        <v>42513.64583333333</v>
      </c>
      <c r="B2805" s="25">
        <v>1272.0</v>
      </c>
      <c r="C2805" s="25">
        <v>1272.95</v>
      </c>
      <c r="D2805" s="25">
        <v>1240.1</v>
      </c>
      <c r="E2805" s="25">
        <v>1245.72</v>
      </c>
      <c r="F2805" s="25">
        <v>766508.0</v>
      </c>
    </row>
    <row r="2806">
      <c r="A2806" s="25">
        <v>42514.64583333333</v>
      </c>
      <c r="B2806" s="25">
        <v>1242.0</v>
      </c>
      <c r="C2806" s="25">
        <v>1244.13</v>
      </c>
      <c r="D2806" s="25">
        <v>1229.8</v>
      </c>
      <c r="E2806" s="25">
        <v>1233.85</v>
      </c>
      <c r="F2806" s="25">
        <v>669579.0</v>
      </c>
    </row>
    <row r="2807">
      <c r="A2807" s="25">
        <v>42515.64583333333</v>
      </c>
      <c r="B2807" s="25">
        <v>1240.5</v>
      </c>
      <c r="C2807" s="25">
        <v>1266.47</v>
      </c>
      <c r="D2807" s="25">
        <v>1240.5</v>
      </c>
      <c r="E2807" s="25">
        <v>1263.22</v>
      </c>
      <c r="F2807" s="25">
        <v>774339.0</v>
      </c>
    </row>
    <row r="2808">
      <c r="A2808" s="25">
        <v>42516.64583333333</v>
      </c>
      <c r="B2808" s="25">
        <v>1265.0</v>
      </c>
      <c r="C2808" s="25">
        <v>1282.45</v>
      </c>
      <c r="D2808" s="25">
        <v>1252.55</v>
      </c>
      <c r="E2808" s="25">
        <v>1274.35</v>
      </c>
      <c r="F2808" s="25">
        <v>971624.0</v>
      </c>
    </row>
    <row r="2809">
      <c r="A2809" s="25">
        <v>42517.64583333333</v>
      </c>
      <c r="B2809" s="25">
        <v>1276.58</v>
      </c>
      <c r="C2809" s="25">
        <v>1289.93</v>
      </c>
      <c r="D2809" s="25">
        <v>1275.3</v>
      </c>
      <c r="E2809" s="25">
        <v>1286.33</v>
      </c>
      <c r="F2809" s="25">
        <v>552338.0</v>
      </c>
    </row>
    <row r="2810">
      <c r="A2810" s="25">
        <v>42520.64583333333</v>
      </c>
      <c r="B2810" s="25">
        <v>1291.5</v>
      </c>
      <c r="C2810" s="25">
        <v>1320.98</v>
      </c>
      <c r="D2810" s="25">
        <v>1291.0</v>
      </c>
      <c r="E2810" s="25">
        <v>1318.2</v>
      </c>
      <c r="F2810" s="25">
        <v>674732.0</v>
      </c>
    </row>
    <row r="2811">
      <c r="A2811" s="25">
        <v>42521.64583333333</v>
      </c>
      <c r="B2811" s="25">
        <v>1320.0</v>
      </c>
      <c r="C2811" s="25">
        <v>1323.5</v>
      </c>
      <c r="D2811" s="25">
        <v>1281.0</v>
      </c>
      <c r="E2811" s="25">
        <v>1284.7</v>
      </c>
      <c r="F2811" s="25">
        <v>1861304.0</v>
      </c>
    </row>
    <row r="2812">
      <c r="A2812" s="25">
        <v>42522.64583333333</v>
      </c>
      <c r="B2812" s="25">
        <v>1285.6</v>
      </c>
      <c r="C2812" s="25">
        <v>1322.5</v>
      </c>
      <c r="D2812" s="25">
        <v>1285.5</v>
      </c>
      <c r="E2812" s="25">
        <v>1316.78</v>
      </c>
      <c r="F2812" s="25">
        <v>955971.0</v>
      </c>
    </row>
    <row r="2813">
      <c r="A2813" s="25">
        <v>42523.64583333333</v>
      </c>
      <c r="B2813" s="25">
        <v>1300.0</v>
      </c>
      <c r="C2813" s="25">
        <v>1327.15</v>
      </c>
      <c r="D2813" s="25">
        <v>1300.0</v>
      </c>
      <c r="E2813" s="25">
        <v>1325.08</v>
      </c>
      <c r="F2813" s="25">
        <v>704378.0</v>
      </c>
    </row>
    <row r="2814">
      <c r="A2814" s="25">
        <v>42524.64583333333</v>
      </c>
      <c r="B2814" s="25">
        <v>1325.7</v>
      </c>
      <c r="C2814" s="25">
        <v>1329.0</v>
      </c>
      <c r="D2814" s="25">
        <v>1310.25</v>
      </c>
      <c r="E2814" s="25">
        <v>1314.78</v>
      </c>
      <c r="F2814" s="25">
        <v>777461.0</v>
      </c>
    </row>
    <row r="2815">
      <c r="A2815" s="25">
        <v>42527.64583333333</v>
      </c>
      <c r="B2815" s="25">
        <v>1310.25</v>
      </c>
      <c r="C2815" s="25">
        <v>1319.5</v>
      </c>
      <c r="D2815" s="25">
        <v>1301.6</v>
      </c>
      <c r="E2815" s="25">
        <v>1306.25</v>
      </c>
      <c r="F2815" s="25">
        <v>661013.0</v>
      </c>
    </row>
    <row r="2816">
      <c r="A2816" s="25">
        <v>42528.64583333333</v>
      </c>
      <c r="B2816" s="25">
        <v>1307.0</v>
      </c>
      <c r="C2816" s="25">
        <v>1319.5</v>
      </c>
      <c r="D2816" s="25">
        <v>1306.5</v>
      </c>
      <c r="E2816" s="25">
        <v>1315.58</v>
      </c>
      <c r="F2816" s="25">
        <v>601097.0</v>
      </c>
    </row>
    <row r="2817">
      <c r="A2817" s="25">
        <v>42529.64583333333</v>
      </c>
      <c r="B2817" s="25">
        <v>1308.63</v>
      </c>
      <c r="C2817" s="25">
        <v>1314.28</v>
      </c>
      <c r="D2817" s="25">
        <v>1302.75</v>
      </c>
      <c r="E2817" s="25">
        <v>1306.55</v>
      </c>
      <c r="F2817" s="25">
        <v>469133.0</v>
      </c>
    </row>
    <row r="2818">
      <c r="A2818" s="25">
        <v>42530.64583333333</v>
      </c>
      <c r="B2818" s="25">
        <v>1311.2</v>
      </c>
      <c r="C2818" s="25">
        <v>1311.2</v>
      </c>
      <c r="D2818" s="25">
        <v>1277.6</v>
      </c>
      <c r="E2818" s="25">
        <v>1288.63</v>
      </c>
      <c r="F2818" s="25">
        <v>781069.0</v>
      </c>
    </row>
    <row r="2819">
      <c r="A2819" s="25">
        <v>42531.64583333333</v>
      </c>
      <c r="B2819" s="25">
        <v>1283.0</v>
      </c>
      <c r="C2819" s="25">
        <v>1301.63</v>
      </c>
      <c r="D2819" s="25">
        <v>1276.6</v>
      </c>
      <c r="E2819" s="25">
        <v>1277.88</v>
      </c>
      <c r="F2819" s="25">
        <v>698416.0</v>
      </c>
    </row>
    <row r="2820">
      <c r="A2820" s="25">
        <v>42534.64583333333</v>
      </c>
      <c r="B2820" s="25">
        <v>1270.0</v>
      </c>
      <c r="C2820" s="25">
        <v>1276.68</v>
      </c>
      <c r="D2820" s="25">
        <v>1259.0</v>
      </c>
      <c r="E2820" s="25">
        <v>1273.5</v>
      </c>
      <c r="F2820" s="25">
        <v>514989.0</v>
      </c>
    </row>
    <row r="2821">
      <c r="A2821" s="25">
        <v>42535.64583333333</v>
      </c>
      <c r="B2821" s="25">
        <v>1279.47</v>
      </c>
      <c r="C2821" s="25">
        <v>1279.47</v>
      </c>
      <c r="D2821" s="25">
        <v>1259.13</v>
      </c>
      <c r="E2821" s="25">
        <v>1267.43</v>
      </c>
      <c r="F2821" s="25">
        <v>488785.0</v>
      </c>
    </row>
    <row r="2822">
      <c r="A2822" s="25">
        <v>42536.64583333333</v>
      </c>
      <c r="B2822" s="25">
        <v>1265.0</v>
      </c>
      <c r="C2822" s="25">
        <v>1282.45</v>
      </c>
      <c r="D2822" s="25">
        <v>1261.0</v>
      </c>
      <c r="E2822" s="25">
        <v>1278.43</v>
      </c>
      <c r="F2822" s="25">
        <v>635422.0</v>
      </c>
    </row>
    <row r="2823">
      <c r="A2823" s="25">
        <v>42537.64583333333</v>
      </c>
      <c r="B2823" s="25">
        <v>1272.78</v>
      </c>
      <c r="C2823" s="25">
        <v>1282.35</v>
      </c>
      <c r="D2823" s="25">
        <v>1258.22</v>
      </c>
      <c r="E2823" s="25">
        <v>1279.15</v>
      </c>
      <c r="F2823" s="25">
        <v>572535.0</v>
      </c>
    </row>
    <row r="2824">
      <c r="A2824" s="25">
        <v>42538.64583333333</v>
      </c>
      <c r="B2824" s="25">
        <v>1279.5</v>
      </c>
      <c r="C2824" s="25">
        <v>1305.0</v>
      </c>
      <c r="D2824" s="25">
        <v>1279.5</v>
      </c>
      <c r="E2824" s="25">
        <v>1301.3</v>
      </c>
      <c r="F2824" s="25">
        <v>939494.0</v>
      </c>
    </row>
    <row r="2825">
      <c r="A2825" s="25">
        <v>42541.64583333333</v>
      </c>
      <c r="B2825" s="25">
        <v>1301.3</v>
      </c>
      <c r="C2825" s="25">
        <v>1334.0</v>
      </c>
      <c r="D2825" s="25">
        <v>1295.9</v>
      </c>
      <c r="E2825" s="25">
        <v>1329.65</v>
      </c>
      <c r="F2825" s="25">
        <v>936419.0</v>
      </c>
    </row>
    <row r="2826">
      <c r="A2826" s="25">
        <v>42542.64583333333</v>
      </c>
      <c r="B2826" s="25">
        <v>1331.75</v>
      </c>
      <c r="C2826" s="25">
        <v>1332.5</v>
      </c>
      <c r="D2826" s="25">
        <v>1320.7</v>
      </c>
      <c r="E2826" s="25">
        <v>1325.6</v>
      </c>
      <c r="F2826" s="25">
        <v>513845.0</v>
      </c>
    </row>
    <row r="2827">
      <c r="A2827" s="25">
        <v>42543.64583333333</v>
      </c>
      <c r="B2827" s="25">
        <v>1325.0</v>
      </c>
      <c r="C2827" s="25">
        <v>1338.85</v>
      </c>
      <c r="D2827" s="25">
        <v>1315.88</v>
      </c>
      <c r="E2827" s="25">
        <v>1333.83</v>
      </c>
      <c r="F2827" s="25">
        <v>880856.0</v>
      </c>
    </row>
    <row r="2828">
      <c r="A2828" s="25">
        <v>42544.64583333333</v>
      </c>
      <c r="B2828" s="25">
        <v>1327.5</v>
      </c>
      <c r="C2828" s="25">
        <v>1329.75</v>
      </c>
      <c r="D2828" s="25">
        <v>1312.65</v>
      </c>
      <c r="E2828" s="25">
        <v>1322.68</v>
      </c>
      <c r="F2828" s="25">
        <v>698507.0</v>
      </c>
    </row>
    <row r="2829">
      <c r="A2829" s="25">
        <v>42545.64583333333</v>
      </c>
      <c r="B2829" s="25">
        <v>1282.58</v>
      </c>
      <c r="C2829" s="25">
        <v>1296.6</v>
      </c>
      <c r="D2829" s="25">
        <v>1257.08</v>
      </c>
      <c r="E2829" s="25">
        <v>1286.97</v>
      </c>
      <c r="F2829" s="25">
        <v>1883293.0</v>
      </c>
    </row>
    <row r="2830">
      <c r="A2830" s="25">
        <v>42548.64583333333</v>
      </c>
      <c r="B2830" s="25">
        <v>1273.5</v>
      </c>
      <c r="C2830" s="25">
        <v>1273.5</v>
      </c>
      <c r="D2830" s="25">
        <v>1241.33</v>
      </c>
      <c r="E2830" s="25">
        <v>1247.93</v>
      </c>
      <c r="F2830" s="25">
        <v>2136283.0</v>
      </c>
    </row>
    <row r="2831">
      <c r="A2831" s="25">
        <v>42549.64583333333</v>
      </c>
      <c r="B2831" s="25">
        <v>1247.93</v>
      </c>
      <c r="C2831" s="25">
        <v>1251.45</v>
      </c>
      <c r="D2831" s="25">
        <v>1229.2</v>
      </c>
      <c r="E2831" s="25">
        <v>1231.97</v>
      </c>
      <c r="F2831" s="25">
        <v>2249762.0</v>
      </c>
    </row>
    <row r="2832">
      <c r="A2832" s="25">
        <v>42550.64583333333</v>
      </c>
      <c r="B2832" s="25">
        <v>1237.5</v>
      </c>
      <c r="C2832" s="25">
        <v>1256.25</v>
      </c>
      <c r="D2832" s="25">
        <v>1232.65</v>
      </c>
      <c r="E2832" s="25">
        <v>1251.45</v>
      </c>
      <c r="F2832" s="25">
        <v>1265632.0</v>
      </c>
    </row>
    <row r="2833">
      <c r="A2833" s="25">
        <v>42551.64583333333</v>
      </c>
      <c r="B2833" s="25">
        <v>1261.0</v>
      </c>
      <c r="C2833" s="25">
        <v>1281.45</v>
      </c>
      <c r="D2833" s="25">
        <v>1250.18</v>
      </c>
      <c r="E2833" s="25">
        <v>1276.55</v>
      </c>
      <c r="F2833" s="25">
        <v>2560906.0</v>
      </c>
    </row>
    <row r="2834">
      <c r="A2834" s="25">
        <v>42552.64583333333</v>
      </c>
      <c r="B2834" s="25">
        <v>1281.0</v>
      </c>
      <c r="C2834" s="25">
        <v>1282.3</v>
      </c>
      <c r="D2834" s="25">
        <v>1247.18</v>
      </c>
      <c r="E2834" s="25">
        <v>1250.43</v>
      </c>
      <c r="F2834" s="25">
        <v>1098648.0</v>
      </c>
    </row>
    <row r="2835">
      <c r="A2835" s="25">
        <v>42555.64583333333</v>
      </c>
      <c r="B2835" s="25">
        <v>1258.0</v>
      </c>
      <c r="C2835" s="25">
        <v>1262.93</v>
      </c>
      <c r="D2835" s="25">
        <v>1241.0</v>
      </c>
      <c r="E2835" s="25">
        <v>1247.1</v>
      </c>
      <c r="F2835" s="25">
        <v>941742.0</v>
      </c>
    </row>
    <row r="2836">
      <c r="A2836" s="25">
        <v>42556.64583333333</v>
      </c>
      <c r="B2836" s="25">
        <v>1247.1</v>
      </c>
      <c r="C2836" s="25">
        <v>1248.53</v>
      </c>
      <c r="D2836" s="25">
        <v>1238.58</v>
      </c>
      <c r="E2836" s="25">
        <v>1242.65</v>
      </c>
      <c r="F2836" s="25">
        <v>779874.0</v>
      </c>
    </row>
    <row r="2837">
      <c r="A2837" s="25">
        <v>42558.64583333333</v>
      </c>
      <c r="B2837" s="25">
        <v>1243.85</v>
      </c>
      <c r="C2837" s="25">
        <v>1245.93</v>
      </c>
      <c r="D2837" s="25">
        <v>1212.5</v>
      </c>
      <c r="E2837" s="25">
        <v>1214.9</v>
      </c>
      <c r="F2837" s="25">
        <v>1658400.0</v>
      </c>
    </row>
    <row r="2838">
      <c r="A2838" s="25">
        <v>42559.64583333333</v>
      </c>
      <c r="B2838" s="25">
        <v>1217.5</v>
      </c>
      <c r="C2838" s="25">
        <v>1221.03</v>
      </c>
      <c r="D2838" s="25">
        <v>1201.75</v>
      </c>
      <c r="E2838" s="25">
        <v>1213.3</v>
      </c>
      <c r="F2838" s="25">
        <v>1228178.0</v>
      </c>
    </row>
    <row r="2839">
      <c r="A2839" s="25">
        <v>42562.64583333333</v>
      </c>
      <c r="B2839" s="25">
        <v>1215.0</v>
      </c>
      <c r="C2839" s="25">
        <v>1235.9</v>
      </c>
      <c r="D2839" s="25">
        <v>1213.5</v>
      </c>
      <c r="E2839" s="25">
        <v>1232.08</v>
      </c>
      <c r="F2839" s="25">
        <v>771816.0</v>
      </c>
    </row>
    <row r="2840">
      <c r="A2840" s="25">
        <v>42563.64583333333</v>
      </c>
      <c r="B2840" s="25">
        <v>1235.85</v>
      </c>
      <c r="C2840" s="25">
        <v>1237.5</v>
      </c>
      <c r="D2840" s="25">
        <v>1217.93</v>
      </c>
      <c r="E2840" s="25">
        <v>1232.47</v>
      </c>
      <c r="F2840" s="25">
        <v>732768.0</v>
      </c>
    </row>
    <row r="2841">
      <c r="A2841" s="25">
        <v>42564.64583333333</v>
      </c>
      <c r="B2841" s="25">
        <v>1239.0</v>
      </c>
      <c r="C2841" s="25">
        <v>1249.63</v>
      </c>
      <c r="D2841" s="25">
        <v>1225.63</v>
      </c>
      <c r="E2841" s="25">
        <v>1246.55</v>
      </c>
      <c r="F2841" s="25">
        <v>1051150.0</v>
      </c>
    </row>
    <row r="2842">
      <c r="A2842" s="25">
        <v>42565.64583333333</v>
      </c>
      <c r="B2842" s="25">
        <v>1243.0</v>
      </c>
      <c r="C2842" s="25">
        <v>1264.5</v>
      </c>
      <c r="D2842" s="25">
        <v>1235.5</v>
      </c>
      <c r="E2842" s="25">
        <v>1260.95</v>
      </c>
      <c r="F2842" s="25">
        <v>1349994.0</v>
      </c>
    </row>
    <row r="2843">
      <c r="A2843" s="25">
        <v>42566.64583333333</v>
      </c>
      <c r="B2843" s="25">
        <v>1258.5</v>
      </c>
      <c r="C2843" s="25">
        <v>1263.9</v>
      </c>
      <c r="D2843" s="25">
        <v>1213.28</v>
      </c>
      <c r="E2843" s="25">
        <v>1222.68</v>
      </c>
      <c r="F2843" s="25">
        <v>4168183.0</v>
      </c>
    </row>
    <row r="2844">
      <c r="A2844" s="25">
        <v>42569.64583333333</v>
      </c>
      <c r="B2844" s="25">
        <v>1223.5</v>
      </c>
      <c r="C2844" s="25">
        <v>1234.5</v>
      </c>
      <c r="D2844" s="25">
        <v>1215.3</v>
      </c>
      <c r="E2844" s="25">
        <v>1216.72</v>
      </c>
      <c r="F2844" s="25">
        <v>1299425.0</v>
      </c>
    </row>
    <row r="2845">
      <c r="A2845" s="25">
        <v>42570.64583333333</v>
      </c>
      <c r="B2845" s="25">
        <v>1213.75</v>
      </c>
      <c r="C2845" s="25">
        <v>1236.4</v>
      </c>
      <c r="D2845" s="25">
        <v>1213.75</v>
      </c>
      <c r="E2845" s="25">
        <v>1233.1</v>
      </c>
      <c r="F2845" s="25">
        <v>1181448.0</v>
      </c>
    </row>
    <row r="2846">
      <c r="A2846" s="25">
        <v>42571.64583333333</v>
      </c>
      <c r="B2846" s="25">
        <v>1225.0</v>
      </c>
      <c r="C2846" s="25">
        <v>1251.25</v>
      </c>
      <c r="D2846" s="25">
        <v>1224.08</v>
      </c>
      <c r="E2846" s="25">
        <v>1247.47</v>
      </c>
      <c r="F2846" s="25">
        <v>1407626.0</v>
      </c>
    </row>
    <row r="2847">
      <c r="A2847" s="25">
        <v>42572.64583333333</v>
      </c>
      <c r="B2847" s="25">
        <v>1244.75</v>
      </c>
      <c r="C2847" s="25">
        <v>1259.75</v>
      </c>
      <c r="D2847" s="25">
        <v>1232.22</v>
      </c>
      <c r="E2847" s="25">
        <v>1253.03</v>
      </c>
      <c r="F2847" s="25">
        <v>1263574.0</v>
      </c>
    </row>
    <row r="2848">
      <c r="A2848" s="25">
        <v>42573.64583333333</v>
      </c>
      <c r="B2848" s="25">
        <v>1249.45</v>
      </c>
      <c r="C2848" s="25">
        <v>1262.0</v>
      </c>
      <c r="D2848" s="25">
        <v>1246.0</v>
      </c>
      <c r="E2848" s="25">
        <v>1257.55</v>
      </c>
      <c r="F2848" s="25">
        <v>758608.0</v>
      </c>
    </row>
    <row r="2849">
      <c r="A2849" s="25">
        <v>42576.64583333333</v>
      </c>
      <c r="B2849" s="25">
        <v>1256.0</v>
      </c>
      <c r="C2849" s="25">
        <v>1281.6</v>
      </c>
      <c r="D2849" s="25">
        <v>1252.9</v>
      </c>
      <c r="E2849" s="25">
        <v>1279.47</v>
      </c>
      <c r="F2849" s="25">
        <v>844398.0</v>
      </c>
    </row>
    <row r="2850">
      <c r="A2850" s="25">
        <v>42577.64583333333</v>
      </c>
      <c r="B2850" s="25">
        <v>1279.47</v>
      </c>
      <c r="C2850" s="25">
        <v>1284.0</v>
      </c>
      <c r="D2850" s="25">
        <v>1266.5</v>
      </c>
      <c r="E2850" s="25">
        <v>1276.3</v>
      </c>
      <c r="F2850" s="25">
        <v>1155645.0</v>
      </c>
    </row>
    <row r="2851">
      <c r="A2851" s="25">
        <v>42578.64583333333</v>
      </c>
      <c r="B2851" s="25">
        <v>1277.5</v>
      </c>
      <c r="C2851" s="25">
        <v>1290.2</v>
      </c>
      <c r="D2851" s="25">
        <v>1272.5</v>
      </c>
      <c r="E2851" s="25">
        <v>1288.78</v>
      </c>
      <c r="F2851" s="25">
        <v>875255.0</v>
      </c>
    </row>
    <row r="2852">
      <c r="A2852" s="25">
        <v>42579.64583333333</v>
      </c>
      <c r="B2852" s="25">
        <v>1290.25</v>
      </c>
      <c r="C2852" s="25">
        <v>1314.78</v>
      </c>
      <c r="D2852" s="25">
        <v>1288.53</v>
      </c>
      <c r="E2852" s="25">
        <v>1309.63</v>
      </c>
      <c r="F2852" s="25">
        <v>2316040.0</v>
      </c>
    </row>
    <row r="2853">
      <c r="A2853" s="25">
        <v>42580.64583333333</v>
      </c>
      <c r="B2853" s="25">
        <v>1307.0</v>
      </c>
      <c r="C2853" s="25">
        <v>1317.45</v>
      </c>
      <c r="D2853" s="25">
        <v>1299.5</v>
      </c>
      <c r="E2853" s="25">
        <v>1309.65</v>
      </c>
      <c r="F2853" s="25">
        <v>1244042.0</v>
      </c>
    </row>
    <row r="2854">
      <c r="A2854" s="25">
        <v>42583.64583333333</v>
      </c>
      <c r="B2854" s="25">
        <v>1316.0</v>
      </c>
      <c r="C2854" s="25">
        <v>1362.5</v>
      </c>
      <c r="D2854" s="25">
        <v>1316.0</v>
      </c>
      <c r="E2854" s="25">
        <v>1354.13</v>
      </c>
      <c r="F2854" s="25">
        <v>1980852.0</v>
      </c>
    </row>
    <row r="2855">
      <c r="A2855" s="25">
        <v>42584.64583333333</v>
      </c>
      <c r="B2855" s="25">
        <v>1351.45</v>
      </c>
      <c r="C2855" s="25">
        <v>1357.85</v>
      </c>
      <c r="D2855" s="25">
        <v>1344.9</v>
      </c>
      <c r="E2855" s="25">
        <v>1349.6</v>
      </c>
      <c r="F2855" s="25">
        <v>1289081.0</v>
      </c>
    </row>
    <row r="2856">
      <c r="A2856" s="25">
        <v>42585.64583333333</v>
      </c>
      <c r="B2856" s="25">
        <v>1343.0</v>
      </c>
      <c r="C2856" s="25">
        <v>1349.5</v>
      </c>
      <c r="D2856" s="25">
        <v>1324.53</v>
      </c>
      <c r="E2856" s="25">
        <v>1328.15</v>
      </c>
      <c r="F2856" s="25">
        <v>1147351.0</v>
      </c>
    </row>
    <row r="2857">
      <c r="A2857" s="25">
        <v>42586.64583333333</v>
      </c>
      <c r="B2857" s="25">
        <v>1335.0</v>
      </c>
      <c r="C2857" s="25">
        <v>1341.48</v>
      </c>
      <c r="D2857" s="25">
        <v>1318.13</v>
      </c>
      <c r="E2857" s="25">
        <v>1326.0</v>
      </c>
      <c r="F2857" s="25">
        <v>707708.0</v>
      </c>
    </row>
    <row r="2858">
      <c r="A2858" s="25">
        <v>42587.64583333333</v>
      </c>
      <c r="B2858" s="25">
        <v>1336.95</v>
      </c>
      <c r="C2858" s="25">
        <v>1342.15</v>
      </c>
      <c r="D2858" s="25">
        <v>1316.0</v>
      </c>
      <c r="E2858" s="25">
        <v>1324.55</v>
      </c>
      <c r="F2858" s="25">
        <v>934242.0</v>
      </c>
    </row>
    <row r="2859">
      <c r="A2859" s="25">
        <v>42590.64583333333</v>
      </c>
      <c r="B2859" s="25">
        <v>1320.0</v>
      </c>
      <c r="C2859" s="25">
        <v>1334.0</v>
      </c>
      <c r="D2859" s="25">
        <v>1314.53</v>
      </c>
      <c r="E2859" s="25">
        <v>1324.75</v>
      </c>
      <c r="F2859" s="25">
        <v>1029122.0</v>
      </c>
    </row>
    <row r="2860">
      <c r="A2860" s="25">
        <v>42591.64583333333</v>
      </c>
      <c r="B2860" s="25">
        <v>1329.0</v>
      </c>
      <c r="C2860" s="25">
        <v>1329.9</v>
      </c>
      <c r="D2860" s="25">
        <v>1289.43</v>
      </c>
      <c r="E2860" s="25">
        <v>1325.1</v>
      </c>
      <c r="F2860" s="25">
        <v>1130957.0</v>
      </c>
    </row>
    <row r="2861">
      <c r="A2861" s="25">
        <v>42592.64583333333</v>
      </c>
      <c r="B2861" s="25">
        <v>1325.5</v>
      </c>
      <c r="C2861" s="25">
        <v>1341.0</v>
      </c>
      <c r="D2861" s="25">
        <v>1324.0</v>
      </c>
      <c r="E2861" s="25">
        <v>1337.7</v>
      </c>
      <c r="F2861" s="25">
        <v>1031039.0</v>
      </c>
    </row>
    <row r="2862">
      <c r="A2862" s="25">
        <v>42593.64583333333</v>
      </c>
      <c r="B2862" s="25">
        <v>1332.78</v>
      </c>
      <c r="C2862" s="25">
        <v>1357.5</v>
      </c>
      <c r="D2862" s="25">
        <v>1332.78</v>
      </c>
      <c r="E2862" s="25">
        <v>1354.95</v>
      </c>
      <c r="F2862" s="25">
        <v>1116569.0</v>
      </c>
    </row>
    <row r="2863">
      <c r="A2863" s="25">
        <v>42594.64583333333</v>
      </c>
      <c r="B2863" s="25">
        <v>1352.5</v>
      </c>
      <c r="C2863" s="25">
        <v>1372.4</v>
      </c>
      <c r="D2863" s="25">
        <v>1351.03</v>
      </c>
      <c r="E2863" s="25">
        <v>1369.23</v>
      </c>
      <c r="F2863" s="25">
        <v>1163679.0</v>
      </c>
    </row>
    <row r="2864">
      <c r="A2864" s="25">
        <v>42598.64583333333</v>
      </c>
      <c r="B2864" s="25">
        <v>1369.0</v>
      </c>
      <c r="C2864" s="25">
        <v>1370.0</v>
      </c>
      <c r="D2864" s="25">
        <v>1336.93</v>
      </c>
      <c r="E2864" s="25">
        <v>1345.85</v>
      </c>
      <c r="F2864" s="25">
        <v>1591877.0</v>
      </c>
    </row>
    <row r="2865">
      <c r="A2865" s="25">
        <v>42599.64583333333</v>
      </c>
      <c r="B2865" s="25">
        <v>1349.5</v>
      </c>
      <c r="C2865" s="25">
        <v>1349.5</v>
      </c>
      <c r="D2865" s="25">
        <v>1309.0</v>
      </c>
      <c r="E2865" s="25">
        <v>1312.28</v>
      </c>
      <c r="F2865" s="25">
        <v>924283.0</v>
      </c>
    </row>
    <row r="2866">
      <c r="A2866" s="25">
        <v>42600.64583333333</v>
      </c>
      <c r="B2866" s="25">
        <v>1317.5</v>
      </c>
      <c r="C2866" s="25">
        <v>1328.78</v>
      </c>
      <c r="D2866" s="25">
        <v>1315.05</v>
      </c>
      <c r="E2866" s="25">
        <v>1319.28</v>
      </c>
      <c r="F2866" s="25">
        <v>646032.0</v>
      </c>
    </row>
    <row r="2867">
      <c r="A2867" s="25">
        <v>42601.64583333333</v>
      </c>
      <c r="B2867" s="25">
        <v>1320.0</v>
      </c>
      <c r="C2867" s="25">
        <v>1323.23</v>
      </c>
      <c r="D2867" s="25">
        <v>1300.0</v>
      </c>
      <c r="E2867" s="25">
        <v>1301.75</v>
      </c>
      <c r="F2867" s="25">
        <v>1208122.0</v>
      </c>
    </row>
    <row r="2868">
      <c r="A2868" s="25">
        <v>42604.64583333333</v>
      </c>
      <c r="B2868" s="25">
        <v>1294.0</v>
      </c>
      <c r="C2868" s="25">
        <v>1297.22</v>
      </c>
      <c r="D2868" s="25">
        <v>1268.15</v>
      </c>
      <c r="E2868" s="25">
        <v>1274.35</v>
      </c>
      <c r="F2868" s="25">
        <v>1132637.0</v>
      </c>
    </row>
    <row r="2869">
      <c r="A2869" s="25">
        <v>42605.64583333333</v>
      </c>
      <c r="B2869" s="25">
        <v>1272.47</v>
      </c>
      <c r="C2869" s="25">
        <v>1302.47</v>
      </c>
      <c r="D2869" s="25">
        <v>1270.1</v>
      </c>
      <c r="E2869" s="25">
        <v>1300.53</v>
      </c>
      <c r="F2869" s="25">
        <v>751687.0</v>
      </c>
    </row>
    <row r="2870">
      <c r="A2870" s="25">
        <v>42606.64583333333</v>
      </c>
      <c r="B2870" s="25">
        <v>1294.9</v>
      </c>
      <c r="C2870" s="25">
        <v>1301.0</v>
      </c>
      <c r="D2870" s="25">
        <v>1284.53</v>
      </c>
      <c r="E2870" s="25">
        <v>1286.03</v>
      </c>
      <c r="F2870" s="25">
        <v>558439.0</v>
      </c>
    </row>
    <row r="2871">
      <c r="A2871" s="25">
        <v>42607.64583333333</v>
      </c>
      <c r="B2871" s="25">
        <v>1290.0</v>
      </c>
      <c r="C2871" s="25">
        <v>1294.85</v>
      </c>
      <c r="D2871" s="25">
        <v>1263.0</v>
      </c>
      <c r="E2871" s="25">
        <v>1275.53</v>
      </c>
      <c r="F2871" s="25">
        <v>969845.0</v>
      </c>
    </row>
    <row r="2872">
      <c r="A2872" s="25">
        <v>42608.64583333333</v>
      </c>
      <c r="B2872" s="25">
        <v>1279.9</v>
      </c>
      <c r="C2872" s="25">
        <v>1286.28</v>
      </c>
      <c r="D2872" s="25">
        <v>1258.6</v>
      </c>
      <c r="E2872" s="25">
        <v>1262.47</v>
      </c>
      <c r="F2872" s="25">
        <v>625157.0</v>
      </c>
    </row>
    <row r="2873">
      <c r="A2873" s="25">
        <v>42611.64583333333</v>
      </c>
      <c r="B2873" s="25">
        <v>1267.47</v>
      </c>
      <c r="C2873" s="25">
        <v>1267.47</v>
      </c>
      <c r="D2873" s="25">
        <v>1233.38</v>
      </c>
      <c r="E2873" s="25">
        <v>1250.28</v>
      </c>
      <c r="F2873" s="25">
        <v>744364.0</v>
      </c>
    </row>
    <row r="2874">
      <c r="A2874" s="25">
        <v>42612.64583333333</v>
      </c>
      <c r="B2874" s="25">
        <v>1255.0</v>
      </c>
      <c r="C2874" s="25">
        <v>1274.9</v>
      </c>
      <c r="D2874" s="25">
        <v>1250.63</v>
      </c>
      <c r="E2874" s="25">
        <v>1272.08</v>
      </c>
      <c r="F2874" s="25">
        <v>722013.0</v>
      </c>
    </row>
    <row r="2875">
      <c r="A2875" s="25">
        <v>42613.64583333333</v>
      </c>
      <c r="B2875" s="25">
        <v>1275.0</v>
      </c>
      <c r="C2875" s="25">
        <v>1275.0</v>
      </c>
      <c r="D2875" s="25">
        <v>1250.43</v>
      </c>
      <c r="E2875" s="25">
        <v>1255.65</v>
      </c>
      <c r="F2875" s="25">
        <v>1615834.0</v>
      </c>
    </row>
    <row r="2876">
      <c r="A2876" s="25">
        <v>42614.64583333333</v>
      </c>
      <c r="B2876" s="25">
        <v>1262.45</v>
      </c>
      <c r="C2876" s="25">
        <v>1267.47</v>
      </c>
      <c r="D2876" s="25">
        <v>1243.53</v>
      </c>
      <c r="E2876" s="25">
        <v>1253.75</v>
      </c>
      <c r="F2876" s="25">
        <v>672868.0</v>
      </c>
    </row>
    <row r="2877">
      <c r="A2877" s="25">
        <v>42615.64583333333</v>
      </c>
      <c r="B2877" s="25">
        <v>1256.0</v>
      </c>
      <c r="C2877" s="25">
        <v>1259.7</v>
      </c>
      <c r="D2877" s="25">
        <v>1248.03</v>
      </c>
      <c r="E2877" s="25">
        <v>1257.4</v>
      </c>
      <c r="F2877" s="25">
        <v>871165.0</v>
      </c>
    </row>
    <row r="2878">
      <c r="A2878" s="25">
        <v>42619.64583333333</v>
      </c>
      <c r="B2878" s="25">
        <v>1259.95</v>
      </c>
      <c r="C2878" s="25">
        <v>1260.08</v>
      </c>
      <c r="D2878" s="25">
        <v>1240.0</v>
      </c>
      <c r="E2878" s="25">
        <v>1242.03</v>
      </c>
      <c r="F2878" s="25">
        <v>1119533.0</v>
      </c>
    </row>
    <row r="2879">
      <c r="A2879" s="25">
        <v>42620.64583333333</v>
      </c>
      <c r="B2879" s="25">
        <v>1249.85</v>
      </c>
      <c r="C2879" s="25">
        <v>1249.85</v>
      </c>
      <c r="D2879" s="25">
        <v>1211.5</v>
      </c>
      <c r="E2879" s="25">
        <v>1220.28</v>
      </c>
      <c r="F2879" s="25">
        <v>1927020.0</v>
      </c>
    </row>
    <row r="2880">
      <c r="A2880" s="25">
        <v>42621.64583333333</v>
      </c>
      <c r="B2880" s="25">
        <v>1180.0</v>
      </c>
      <c r="C2880" s="25">
        <v>1180.0</v>
      </c>
      <c r="D2880" s="25">
        <v>1142.38</v>
      </c>
      <c r="E2880" s="25">
        <v>1161.05</v>
      </c>
      <c r="F2880" s="25">
        <v>3510758.0</v>
      </c>
    </row>
    <row r="2881">
      <c r="A2881" s="25">
        <v>42622.64583333333</v>
      </c>
      <c r="B2881" s="25">
        <v>1164.85</v>
      </c>
      <c r="C2881" s="25">
        <v>1183.33</v>
      </c>
      <c r="D2881" s="25">
        <v>1160.03</v>
      </c>
      <c r="E2881" s="25">
        <v>1176.22</v>
      </c>
      <c r="F2881" s="25">
        <v>1371219.0</v>
      </c>
    </row>
    <row r="2882">
      <c r="A2882" s="25">
        <v>42625.64583333333</v>
      </c>
      <c r="B2882" s="25">
        <v>1168.5</v>
      </c>
      <c r="C2882" s="25">
        <v>1181.97</v>
      </c>
      <c r="D2882" s="25">
        <v>1162.0</v>
      </c>
      <c r="E2882" s="25">
        <v>1179.53</v>
      </c>
      <c r="F2882" s="25">
        <v>1012227.0</v>
      </c>
    </row>
    <row r="2883">
      <c r="A2883" s="25">
        <v>42627.64583333333</v>
      </c>
      <c r="B2883" s="25">
        <v>1181.0</v>
      </c>
      <c r="C2883" s="25">
        <v>1188.8</v>
      </c>
      <c r="D2883" s="25">
        <v>1155.0</v>
      </c>
      <c r="E2883" s="25">
        <v>1164.22</v>
      </c>
      <c r="F2883" s="25">
        <v>1034929.0</v>
      </c>
    </row>
    <row r="2884">
      <c r="A2884" s="25">
        <v>42628.64583333333</v>
      </c>
      <c r="B2884" s="25">
        <v>1169.97</v>
      </c>
      <c r="C2884" s="25">
        <v>1171.05</v>
      </c>
      <c r="D2884" s="25">
        <v>1158.38</v>
      </c>
      <c r="E2884" s="25">
        <v>1163.47</v>
      </c>
      <c r="F2884" s="25">
        <v>1409482.0</v>
      </c>
    </row>
    <row r="2885">
      <c r="A2885" s="25">
        <v>42629.64583333333</v>
      </c>
      <c r="B2885" s="25">
        <v>1168.35</v>
      </c>
      <c r="C2885" s="25">
        <v>1188.0</v>
      </c>
      <c r="D2885" s="25">
        <v>1160.0</v>
      </c>
      <c r="E2885" s="25">
        <v>1180.85</v>
      </c>
      <c r="F2885" s="25">
        <v>2179002.0</v>
      </c>
    </row>
    <row r="2886">
      <c r="A2886" s="25">
        <v>42632.64583333333</v>
      </c>
      <c r="B2886" s="25">
        <v>1182.5</v>
      </c>
      <c r="C2886" s="25">
        <v>1213.5</v>
      </c>
      <c r="D2886" s="25">
        <v>1175.0</v>
      </c>
      <c r="E2886" s="25">
        <v>1205.72</v>
      </c>
      <c r="F2886" s="25">
        <v>1401273.0</v>
      </c>
    </row>
    <row r="2887">
      <c r="A2887" s="25">
        <v>42633.64583333333</v>
      </c>
      <c r="B2887" s="25">
        <v>1205.5</v>
      </c>
      <c r="C2887" s="25">
        <v>1208.45</v>
      </c>
      <c r="D2887" s="25">
        <v>1192.7</v>
      </c>
      <c r="E2887" s="25">
        <v>1203.25</v>
      </c>
      <c r="F2887" s="25">
        <v>592276.0</v>
      </c>
    </row>
    <row r="2888">
      <c r="A2888" s="25">
        <v>42634.64583333333</v>
      </c>
      <c r="B2888" s="25">
        <v>1203.85</v>
      </c>
      <c r="C2888" s="25">
        <v>1212.0</v>
      </c>
      <c r="D2888" s="25">
        <v>1200.35</v>
      </c>
      <c r="E2888" s="25">
        <v>1206.7</v>
      </c>
      <c r="F2888" s="25">
        <v>839010.0</v>
      </c>
    </row>
    <row r="2889">
      <c r="A2889" s="25">
        <v>42635.64583333333</v>
      </c>
      <c r="B2889" s="25">
        <v>1212.63</v>
      </c>
      <c r="C2889" s="25">
        <v>1214.0</v>
      </c>
      <c r="D2889" s="25">
        <v>1185.55</v>
      </c>
      <c r="E2889" s="25">
        <v>1189.0</v>
      </c>
      <c r="F2889" s="25">
        <v>1428787.0</v>
      </c>
    </row>
    <row r="2890">
      <c r="A2890" s="25">
        <v>42636.64583333333</v>
      </c>
      <c r="B2890" s="25">
        <v>1191.0</v>
      </c>
      <c r="C2890" s="25">
        <v>1201.93</v>
      </c>
      <c r="D2890" s="25">
        <v>1185.58</v>
      </c>
      <c r="E2890" s="25">
        <v>1199.05</v>
      </c>
      <c r="F2890" s="25">
        <v>900363.0</v>
      </c>
    </row>
    <row r="2891">
      <c r="A2891" s="25">
        <v>42639.64583333333</v>
      </c>
      <c r="B2891" s="25">
        <v>1200.55</v>
      </c>
      <c r="C2891" s="25">
        <v>1209.55</v>
      </c>
      <c r="D2891" s="25">
        <v>1197.5</v>
      </c>
      <c r="E2891" s="25">
        <v>1200.55</v>
      </c>
      <c r="F2891" s="25">
        <v>876738.0</v>
      </c>
    </row>
    <row r="2892">
      <c r="A2892" s="25">
        <v>42640.64583333333</v>
      </c>
      <c r="B2892" s="25">
        <v>1200.55</v>
      </c>
      <c r="C2892" s="25">
        <v>1224.0</v>
      </c>
      <c r="D2892" s="25">
        <v>1200.55</v>
      </c>
      <c r="E2892" s="25">
        <v>1218.05</v>
      </c>
      <c r="F2892" s="25">
        <v>1019396.0</v>
      </c>
    </row>
    <row r="2893">
      <c r="A2893" s="25">
        <v>42641.64583333333</v>
      </c>
      <c r="B2893" s="25">
        <v>1215.5</v>
      </c>
      <c r="C2893" s="25">
        <v>1218.75</v>
      </c>
      <c r="D2893" s="25">
        <v>1207.6</v>
      </c>
      <c r="E2893" s="25">
        <v>1211.53</v>
      </c>
      <c r="F2893" s="25">
        <v>865664.0</v>
      </c>
    </row>
    <row r="2894">
      <c r="A2894" s="25">
        <v>42642.64583333333</v>
      </c>
      <c r="B2894" s="25">
        <v>1217.5</v>
      </c>
      <c r="C2894" s="25">
        <v>1228.25</v>
      </c>
      <c r="D2894" s="25">
        <v>1209.8</v>
      </c>
      <c r="E2894" s="25">
        <v>1218.9</v>
      </c>
      <c r="F2894" s="25">
        <v>1801979.0</v>
      </c>
    </row>
    <row r="2895">
      <c r="A2895" s="25">
        <v>42643.64583333333</v>
      </c>
      <c r="B2895" s="25">
        <v>1218.53</v>
      </c>
      <c r="C2895" s="25">
        <v>1224.9</v>
      </c>
      <c r="D2895" s="25">
        <v>1211.55</v>
      </c>
      <c r="E2895" s="25">
        <v>1215.4</v>
      </c>
      <c r="F2895" s="25">
        <v>1087682.0</v>
      </c>
    </row>
    <row r="2896">
      <c r="A2896" s="25">
        <v>42646.64583333333</v>
      </c>
      <c r="B2896" s="25">
        <v>1225.0</v>
      </c>
      <c r="C2896" s="25">
        <v>1228.83</v>
      </c>
      <c r="D2896" s="25">
        <v>1200.55</v>
      </c>
      <c r="E2896" s="25">
        <v>1205.85</v>
      </c>
      <c r="F2896" s="25">
        <v>909440.0</v>
      </c>
    </row>
    <row r="2897">
      <c r="A2897" s="25">
        <v>42647.64583333333</v>
      </c>
      <c r="B2897" s="25">
        <v>1210.0</v>
      </c>
      <c r="C2897" s="25">
        <v>1212.53</v>
      </c>
      <c r="D2897" s="25">
        <v>1199.0</v>
      </c>
      <c r="E2897" s="25">
        <v>1202.58</v>
      </c>
      <c r="F2897" s="25">
        <v>890359.0</v>
      </c>
    </row>
    <row r="2898">
      <c r="A2898" s="25">
        <v>42648.64583333333</v>
      </c>
      <c r="B2898" s="25">
        <v>1204.0</v>
      </c>
      <c r="C2898" s="25">
        <v>1207.7</v>
      </c>
      <c r="D2898" s="25">
        <v>1188.05</v>
      </c>
      <c r="E2898" s="25">
        <v>1193.18</v>
      </c>
      <c r="F2898" s="25">
        <v>588177.0</v>
      </c>
    </row>
    <row r="2899">
      <c r="A2899" s="25">
        <v>42649.64583333333</v>
      </c>
      <c r="B2899" s="25">
        <v>1197.5</v>
      </c>
      <c r="C2899" s="25">
        <v>1201.2</v>
      </c>
      <c r="D2899" s="25">
        <v>1186.38</v>
      </c>
      <c r="E2899" s="25">
        <v>1194.38</v>
      </c>
      <c r="F2899" s="25">
        <v>1133786.0</v>
      </c>
    </row>
    <row r="2900">
      <c r="A2900" s="25">
        <v>42650.64583333333</v>
      </c>
      <c r="B2900" s="25">
        <v>1194.0</v>
      </c>
      <c r="C2900" s="25">
        <v>1194.0</v>
      </c>
      <c r="D2900" s="25">
        <v>1179.1</v>
      </c>
      <c r="E2900" s="25">
        <v>1183.9</v>
      </c>
      <c r="F2900" s="25">
        <v>908256.0</v>
      </c>
    </row>
    <row r="2901">
      <c r="A2901" s="25">
        <v>42653.64583333333</v>
      </c>
      <c r="B2901" s="25">
        <v>1184.95</v>
      </c>
      <c r="C2901" s="25">
        <v>1193.45</v>
      </c>
      <c r="D2901" s="25">
        <v>1177.53</v>
      </c>
      <c r="E2901" s="25">
        <v>1190.15</v>
      </c>
      <c r="F2901" s="25">
        <v>601071.0</v>
      </c>
    </row>
    <row r="2902">
      <c r="A2902" s="25">
        <v>42656.64583333333</v>
      </c>
      <c r="B2902" s="25">
        <v>1181.65</v>
      </c>
      <c r="C2902" s="25">
        <v>1184.95</v>
      </c>
      <c r="D2902" s="25">
        <v>1160.45</v>
      </c>
      <c r="E2902" s="25">
        <v>1164.45</v>
      </c>
      <c r="F2902" s="25">
        <v>2586667.0</v>
      </c>
    </row>
    <row r="2903">
      <c r="A2903" s="25">
        <v>42657.64583333333</v>
      </c>
      <c r="B2903" s="25">
        <v>1157.5</v>
      </c>
      <c r="C2903" s="25">
        <v>1193.5</v>
      </c>
      <c r="D2903" s="25">
        <v>1145.5</v>
      </c>
      <c r="E2903" s="25">
        <v>1183.1</v>
      </c>
      <c r="F2903" s="25">
        <v>3870607.0</v>
      </c>
    </row>
    <row r="2904">
      <c r="A2904" s="25">
        <v>42660.64583333333</v>
      </c>
      <c r="B2904" s="25">
        <v>1184.45</v>
      </c>
      <c r="C2904" s="25">
        <v>1187.9</v>
      </c>
      <c r="D2904" s="25">
        <v>1172.2</v>
      </c>
      <c r="E2904" s="25">
        <v>1181.22</v>
      </c>
      <c r="F2904" s="25">
        <v>1364173.0</v>
      </c>
    </row>
    <row r="2905">
      <c r="A2905" s="25">
        <v>42661.64583333333</v>
      </c>
      <c r="B2905" s="25">
        <v>1188.0</v>
      </c>
      <c r="C2905" s="25">
        <v>1207.85</v>
      </c>
      <c r="D2905" s="25">
        <v>1177.4</v>
      </c>
      <c r="E2905" s="25">
        <v>1200.1</v>
      </c>
      <c r="F2905" s="25">
        <v>1064316.0</v>
      </c>
    </row>
    <row r="2906">
      <c r="A2906" s="25">
        <v>42662.64583333333</v>
      </c>
      <c r="B2906" s="25">
        <v>1200.5</v>
      </c>
      <c r="C2906" s="25">
        <v>1205.0</v>
      </c>
      <c r="D2906" s="25">
        <v>1185.15</v>
      </c>
      <c r="E2906" s="25">
        <v>1197.55</v>
      </c>
      <c r="F2906" s="25">
        <v>992529.0</v>
      </c>
    </row>
    <row r="2907">
      <c r="A2907" s="25">
        <v>42663.64583333333</v>
      </c>
      <c r="B2907" s="25">
        <v>1198.45</v>
      </c>
      <c r="C2907" s="25">
        <v>1204.68</v>
      </c>
      <c r="D2907" s="25">
        <v>1193.0</v>
      </c>
      <c r="E2907" s="25">
        <v>1200.58</v>
      </c>
      <c r="F2907" s="25">
        <v>632927.0</v>
      </c>
    </row>
    <row r="2908">
      <c r="A2908" s="25">
        <v>42664.64583333333</v>
      </c>
      <c r="B2908" s="25">
        <v>1200.0</v>
      </c>
      <c r="C2908" s="25">
        <v>1215.95</v>
      </c>
      <c r="D2908" s="25">
        <v>1199.13</v>
      </c>
      <c r="E2908" s="25">
        <v>1214.33</v>
      </c>
      <c r="F2908" s="25">
        <v>629830.0</v>
      </c>
    </row>
    <row r="2909">
      <c r="A2909" s="25">
        <v>42667.64583333333</v>
      </c>
      <c r="B2909" s="25">
        <v>1214.1</v>
      </c>
      <c r="C2909" s="25">
        <v>1217.45</v>
      </c>
      <c r="D2909" s="25">
        <v>1201.28</v>
      </c>
      <c r="E2909" s="25">
        <v>1213.85</v>
      </c>
      <c r="F2909" s="25">
        <v>626595.0</v>
      </c>
    </row>
    <row r="2910">
      <c r="A2910" s="25">
        <v>42668.64583333333</v>
      </c>
      <c r="B2910" s="25">
        <v>1202.5</v>
      </c>
      <c r="C2910" s="25">
        <v>1207.3</v>
      </c>
      <c r="D2910" s="25">
        <v>1190.5</v>
      </c>
      <c r="E2910" s="25">
        <v>1199.22</v>
      </c>
      <c r="F2910" s="25">
        <v>886233.0</v>
      </c>
    </row>
    <row r="2911">
      <c r="A2911" s="25">
        <v>42669.64583333333</v>
      </c>
      <c r="B2911" s="25">
        <v>1199.3</v>
      </c>
      <c r="C2911" s="25">
        <v>1201.38</v>
      </c>
      <c r="D2911" s="25">
        <v>1186.25</v>
      </c>
      <c r="E2911" s="25">
        <v>1198.13</v>
      </c>
      <c r="F2911" s="25">
        <v>718565.0</v>
      </c>
    </row>
    <row r="2912">
      <c r="A2912" s="25">
        <v>42670.64583333333</v>
      </c>
      <c r="B2912" s="25">
        <v>1189.85</v>
      </c>
      <c r="C2912" s="25">
        <v>1214.75</v>
      </c>
      <c r="D2912" s="25">
        <v>1182.75</v>
      </c>
      <c r="E2912" s="25">
        <v>1209.05</v>
      </c>
      <c r="F2912" s="25">
        <v>1470801.0</v>
      </c>
    </row>
    <row r="2913">
      <c r="A2913" s="25">
        <v>42671.64583333333</v>
      </c>
      <c r="B2913" s="25">
        <v>1205.0</v>
      </c>
      <c r="C2913" s="25">
        <v>1207.55</v>
      </c>
      <c r="D2913" s="25">
        <v>1194.0</v>
      </c>
      <c r="E2913" s="25">
        <v>1199.35</v>
      </c>
      <c r="F2913" s="25">
        <v>876051.0</v>
      </c>
    </row>
    <row r="2914">
      <c r="A2914" s="25">
        <v>42675.64583333333</v>
      </c>
      <c r="B2914" s="25">
        <v>1199.85</v>
      </c>
      <c r="C2914" s="25">
        <v>1199.85</v>
      </c>
      <c r="D2914" s="25">
        <v>1167.08</v>
      </c>
      <c r="E2914" s="25">
        <v>1175.0</v>
      </c>
      <c r="F2914" s="25">
        <v>1467388.0</v>
      </c>
    </row>
    <row r="2915">
      <c r="A2915" s="25">
        <v>42676.64583333333</v>
      </c>
      <c r="B2915" s="25">
        <v>1170.5</v>
      </c>
      <c r="C2915" s="25">
        <v>1172.0</v>
      </c>
      <c r="D2915" s="25">
        <v>1147.5</v>
      </c>
      <c r="E2915" s="25">
        <v>1152.03</v>
      </c>
      <c r="F2915" s="25">
        <v>1162538.0</v>
      </c>
    </row>
    <row r="2916">
      <c r="A2916" s="25">
        <v>42677.64583333333</v>
      </c>
      <c r="B2916" s="25">
        <v>1147.0</v>
      </c>
      <c r="C2916" s="25">
        <v>1167.5</v>
      </c>
      <c r="D2916" s="25">
        <v>1142.25</v>
      </c>
      <c r="E2916" s="25">
        <v>1159.72</v>
      </c>
      <c r="F2916" s="25">
        <v>731655.0</v>
      </c>
    </row>
    <row r="2917">
      <c r="A2917" s="25">
        <v>42678.64583333333</v>
      </c>
      <c r="B2917" s="25">
        <v>1160.0</v>
      </c>
      <c r="C2917" s="25">
        <v>1168.08</v>
      </c>
      <c r="D2917" s="25">
        <v>1147.0</v>
      </c>
      <c r="E2917" s="25">
        <v>1165.28</v>
      </c>
      <c r="F2917" s="25">
        <v>591876.0</v>
      </c>
    </row>
    <row r="2918">
      <c r="A2918" s="25">
        <v>42681.64583333333</v>
      </c>
      <c r="B2918" s="25">
        <v>1168.95</v>
      </c>
      <c r="C2918" s="25">
        <v>1172.45</v>
      </c>
      <c r="D2918" s="25">
        <v>1130.03</v>
      </c>
      <c r="E2918" s="25">
        <v>1138.53</v>
      </c>
      <c r="F2918" s="25">
        <v>1024026.0</v>
      </c>
    </row>
    <row r="2919">
      <c r="A2919" s="25">
        <v>42682.64583333333</v>
      </c>
      <c r="B2919" s="25">
        <v>1140.22</v>
      </c>
      <c r="C2919" s="25">
        <v>1153.5</v>
      </c>
      <c r="D2919" s="25">
        <v>1130.0</v>
      </c>
      <c r="E2919" s="25">
        <v>1141.6</v>
      </c>
      <c r="F2919" s="25">
        <v>966817.0</v>
      </c>
    </row>
    <row r="2920">
      <c r="A2920" s="25">
        <v>42683.64583333333</v>
      </c>
      <c r="B2920" s="25">
        <v>1090.0</v>
      </c>
      <c r="C2920" s="25">
        <v>1137.5</v>
      </c>
      <c r="D2920" s="25">
        <v>1071.43</v>
      </c>
      <c r="E2920" s="25">
        <v>1084.93</v>
      </c>
      <c r="F2920" s="25">
        <v>2250113.0</v>
      </c>
    </row>
    <row r="2921">
      <c r="A2921" s="25">
        <v>42684.64583333333</v>
      </c>
      <c r="B2921" s="25">
        <v>1102.4</v>
      </c>
      <c r="C2921" s="25">
        <v>1108.75</v>
      </c>
      <c r="D2921" s="25">
        <v>1070.4</v>
      </c>
      <c r="E2921" s="25">
        <v>1077.72</v>
      </c>
      <c r="F2921" s="25">
        <v>1086213.0</v>
      </c>
    </row>
    <row r="2922">
      <c r="A2922" s="25">
        <v>42685.64583333333</v>
      </c>
      <c r="B2922" s="25">
        <v>1073.53</v>
      </c>
      <c r="C2922" s="25">
        <v>1073.53</v>
      </c>
      <c r="D2922" s="25">
        <v>1043.1</v>
      </c>
      <c r="E2922" s="25">
        <v>1050.58</v>
      </c>
      <c r="F2922" s="25">
        <v>1199212.0</v>
      </c>
    </row>
    <row r="2923">
      <c r="A2923" s="25">
        <v>42689.64583333333</v>
      </c>
      <c r="B2923" s="25">
        <v>1058.45</v>
      </c>
      <c r="C2923" s="25">
        <v>1078.78</v>
      </c>
      <c r="D2923" s="25">
        <v>1025.95</v>
      </c>
      <c r="E2923" s="25">
        <v>1060.65</v>
      </c>
      <c r="F2923" s="25">
        <v>3145162.0</v>
      </c>
    </row>
    <row r="2924">
      <c r="A2924" s="25">
        <v>42690.64583333333</v>
      </c>
      <c r="B2924" s="25">
        <v>1072.55</v>
      </c>
      <c r="C2924" s="25">
        <v>1104.45</v>
      </c>
      <c r="D2924" s="25">
        <v>1069.0</v>
      </c>
      <c r="E2924" s="25">
        <v>1094.8</v>
      </c>
      <c r="F2924" s="25">
        <v>2009979.0</v>
      </c>
    </row>
    <row r="2925">
      <c r="A2925" s="25">
        <v>42691.64583333333</v>
      </c>
      <c r="B2925" s="25">
        <v>1092.5</v>
      </c>
      <c r="C2925" s="25">
        <v>1104.3</v>
      </c>
      <c r="D2925" s="25">
        <v>1065.08</v>
      </c>
      <c r="E2925" s="25">
        <v>1068.6</v>
      </c>
      <c r="F2925" s="25">
        <v>1252344.0</v>
      </c>
    </row>
    <row r="2926">
      <c r="A2926" s="25">
        <v>42692.64583333333</v>
      </c>
      <c r="B2926" s="25">
        <v>1071.0</v>
      </c>
      <c r="C2926" s="25">
        <v>1075.0</v>
      </c>
      <c r="D2926" s="25">
        <v>1052.1</v>
      </c>
      <c r="E2926" s="25">
        <v>1062.55</v>
      </c>
      <c r="F2926" s="25">
        <v>1070267.0</v>
      </c>
    </row>
    <row r="2927">
      <c r="A2927" s="25">
        <v>42695.64583333333</v>
      </c>
      <c r="B2927" s="25">
        <v>1063.1</v>
      </c>
      <c r="C2927" s="25">
        <v>1070.0</v>
      </c>
      <c r="D2927" s="25">
        <v>1052.5</v>
      </c>
      <c r="E2927" s="25">
        <v>1066.45</v>
      </c>
      <c r="F2927" s="25">
        <v>896683.0</v>
      </c>
    </row>
    <row r="2928">
      <c r="A2928" s="25">
        <v>42696.64583333333</v>
      </c>
      <c r="B2928" s="25">
        <v>1066.0</v>
      </c>
      <c r="C2928" s="25">
        <v>1088.72</v>
      </c>
      <c r="D2928" s="25">
        <v>1061.03</v>
      </c>
      <c r="E2928" s="25">
        <v>1067.5</v>
      </c>
      <c r="F2928" s="25">
        <v>659430.0</v>
      </c>
    </row>
    <row r="2929">
      <c r="A2929" s="25">
        <v>42697.64583333333</v>
      </c>
      <c r="B2929" s="25">
        <v>1074.5</v>
      </c>
      <c r="C2929" s="25">
        <v>1081.47</v>
      </c>
      <c r="D2929" s="25">
        <v>1063.6</v>
      </c>
      <c r="E2929" s="25">
        <v>1078.18</v>
      </c>
      <c r="F2929" s="25">
        <v>637904.0</v>
      </c>
    </row>
    <row r="2930">
      <c r="A2930" s="25">
        <v>42698.64583333333</v>
      </c>
      <c r="B2930" s="25">
        <v>1077.45</v>
      </c>
      <c r="C2930" s="25">
        <v>1103.8</v>
      </c>
      <c r="D2930" s="25">
        <v>1068.5</v>
      </c>
      <c r="E2930" s="25">
        <v>1094.22</v>
      </c>
      <c r="F2930" s="25">
        <v>1513117.0</v>
      </c>
    </row>
    <row r="2931">
      <c r="A2931" s="25">
        <v>42699.64583333333</v>
      </c>
      <c r="B2931" s="25">
        <v>1106.0</v>
      </c>
      <c r="C2931" s="25">
        <v>1153.63</v>
      </c>
      <c r="D2931" s="25">
        <v>1096.1</v>
      </c>
      <c r="E2931" s="25">
        <v>1150.18</v>
      </c>
      <c r="F2931" s="25">
        <v>2138074.0</v>
      </c>
    </row>
    <row r="2932">
      <c r="A2932" s="25">
        <v>42702.64583333333</v>
      </c>
      <c r="B2932" s="25">
        <v>1147.0</v>
      </c>
      <c r="C2932" s="25">
        <v>1159.72</v>
      </c>
      <c r="D2932" s="25">
        <v>1125.95</v>
      </c>
      <c r="E2932" s="25">
        <v>1141.3</v>
      </c>
      <c r="F2932" s="25">
        <v>962148.0</v>
      </c>
    </row>
    <row r="2933">
      <c r="A2933" s="25">
        <v>42703.64583333333</v>
      </c>
      <c r="B2933" s="25">
        <v>1137.5</v>
      </c>
      <c r="C2933" s="25">
        <v>1146.0</v>
      </c>
      <c r="D2933" s="25">
        <v>1126.28</v>
      </c>
      <c r="E2933" s="25">
        <v>1129.93</v>
      </c>
      <c r="F2933" s="25">
        <v>721148.0</v>
      </c>
    </row>
    <row r="2934">
      <c r="A2934" s="25">
        <v>42704.64583333333</v>
      </c>
      <c r="B2934" s="25">
        <v>1132.5</v>
      </c>
      <c r="C2934" s="25">
        <v>1147.38</v>
      </c>
      <c r="D2934" s="25">
        <v>1121.15</v>
      </c>
      <c r="E2934" s="25">
        <v>1138.03</v>
      </c>
      <c r="F2934" s="25">
        <v>1722916.0</v>
      </c>
    </row>
    <row r="2935">
      <c r="A2935" s="25">
        <v>42705.64583333333</v>
      </c>
      <c r="B2935" s="25">
        <v>1138.5</v>
      </c>
      <c r="C2935" s="25">
        <v>1145.0</v>
      </c>
      <c r="D2935" s="25">
        <v>1127.03</v>
      </c>
      <c r="E2935" s="25">
        <v>1131.72</v>
      </c>
      <c r="F2935" s="25">
        <v>561526.0</v>
      </c>
    </row>
    <row r="2936">
      <c r="A2936" s="25">
        <v>42706.64583333333</v>
      </c>
      <c r="B2936" s="25">
        <v>1129.0</v>
      </c>
      <c r="C2936" s="25">
        <v>1135.4</v>
      </c>
      <c r="D2936" s="25">
        <v>1102.6</v>
      </c>
      <c r="E2936" s="25">
        <v>1110.93</v>
      </c>
      <c r="F2936" s="25">
        <v>999016.0</v>
      </c>
    </row>
    <row r="2937">
      <c r="A2937" s="25">
        <v>42709.64583333333</v>
      </c>
      <c r="B2937" s="25">
        <v>1114.5</v>
      </c>
      <c r="C2937" s="25">
        <v>1118.93</v>
      </c>
      <c r="D2937" s="25">
        <v>1085.0</v>
      </c>
      <c r="E2937" s="25">
        <v>1093.0</v>
      </c>
      <c r="F2937" s="25">
        <v>1124763.0</v>
      </c>
    </row>
    <row r="2938">
      <c r="A2938" s="25">
        <v>42710.64583333333</v>
      </c>
      <c r="B2938" s="25">
        <v>1095.0</v>
      </c>
      <c r="C2938" s="25">
        <v>1101.97</v>
      </c>
      <c r="D2938" s="25">
        <v>1084.95</v>
      </c>
      <c r="E2938" s="25">
        <v>1091.18</v>
      </c>
      <c r="F2938" s="25">
        <v>796722.0</v>
      </c>
    </row>
    <row r="2939">
      <c r="A2939" s="25">
        <v>42711.64583333333</v>
      </c>
      <c r="B2939" s="25">
        <v>1091.1</v>
      </c>
      <c r="C2939" s="25">
        <v>1092.22</v>
      </c>
      <c r="D2939" s="25">
        <v>1072.83</v>
      </c>
      <c r="E2939" s="25">
        <v>1077.28</v>
      </c>
      <c r="F2939" s="25">
        <v>1032853.0</v>
      </c>
    </row>
    <row r="2940">
      <c r="A2940" s="25">
        <v>42712.64583333333</v>
      </c>
      <c r="B2940" s="25">
        <v>1080.25</v>
      </c>
      <c r="C2940" s="25">
        <v>1099.5</v>
      </c>
      <c r="D2940" s="25">
        <v>1080.0</v>
      </c>
      <c r="E2940" s="25">
        <v>1097.88</v>
      </c>
      <c r="F2940" s="25">
        <v>1619773.0</v>
      </c>
    </row>
    <row r="2941">
      <c r="A2941" s="25">
        <v>42713.64583333333</v>
      </c>
      <c r="B2941" s="25">
        <v>1102.5</v>
      </c>
      <c r="C2941" s="25">
        <v>1109.95</v>
      </c>
      <c r="D2941" s="25">
        <v>1086.65</v>
      </c>
      <c r="E2941" s="25">
        <v>1097.63</v>
      </c>
      <c r="F2941" s="25">
        <v>794359.0</v>
      </c>
    </row>
    <row r="2942">
      <c r="A2942" s="25">
        <v>42716.64583333333</v>
      </c>
      <c r="B2942" s="25">
        <v>1097.4</v>
      </c>
      <c r="C2942" s="25">
        <v>1108.8</v>
      </c>
      <c r="D2942" s="25">
        <v>1081.5</v>
      </c>
      <c r="E2942" s="25">
        <v>1104.1</v>
      </c>
      <c r="F2942" s="25">
        <v>655879.0</v>
      </c>
    </row>
    <row r="2943">
      <c r="A2943" s="25">
        <v>42717.64583333333</v>
      </c>
      <c r="B2943" s="25">
        <v>1109.0</v>
      </c>
      <c r="C2943" s="25">
        <v>1109.0</v>
      </c>
      <c r="D2943" s="25">
        <v>1091.5</v>
      </c>
      <c r="E2943" s="25">
        <v>1100.15</v>
      </c>
      <c r="F2943" s="25">
        <v>1073767.0</v>
      </c>
    </row>
    <row r="2944">
      <c r="A2944" s="25">
        <v>42718.64583333333</v>
      </c>
      <c r="B2944" s="25">
        <v>1107.0</v>
      </c>
      <c r="C2944" s="25">
        <v>1112.35</v>
      </c>
      <c r="D2944" s="25">
        <v>1094.5</v>
      </c>
      <c r="E2944" s="25">
        <v>1103.8</v>
      </c>
      <c r="F2944" s="25">
        <v>935183.0</v>
      </c>
    </row>
    <row r="2945">
      <c r="A2945" s="25">
        <v>42719.64583333333</v>
      </c>
      <c r="B2945" s="25">
        <v>1101.0</v>
      </c>
      <c r="C2945" s="25">
        <v>1136.05</v>
      </c>
      <c r="D2945" s="25">
        <v>1101.0</v>
      </c>
      <c r="E2945" s="25">
        <v>1129.65</v>
      </c>
      <c r="F2945" s="25">
        <v>2147705.0</v>
      </c>
    </row>
    <row r="2946">
      <c r="A2946" s="25">
        <v>42720.64583333333</v>
      </c>
      <c r="B2946" s="25">
        <v>1138.5</v>
      </c>
      <c r="C2946" s="25">
        <v>1145.0</v>
      </c>
      <c r="D2946" s="25">
        <v>1126.0</v>
      </c>
      <c r="E2946" s="25">
        <v>1141.33</v>
      </c>
      <c r="F2946" s="25">
        <v>993615.0</v>
      </c>
    </row>
    <row r="2947">
      <c r="A2947" s="25">
        <v>42723.64583333333</v>
      </c>
      <c r="B2947" s="25">
        <v>1140.0</v>
      </c>
      <c r="C2947" s="25">
        <v>1148.85</v>
      </c>
      <c r="D2947" s="25">
        <v>1130.65</v>
      </c>
      <c r="E2947" s="25">
        <v>1144.45</v>
      </c>
      <c r="F2947" s="25">
        <v>667105.0</v>
      </c>
    </row>
    <row r="2948">
      <c r="A2948" s="25">
        <v>42724.64583333333</v>
      </c>
      <c r="B2948" s="25">
        <v>1146.0</v>
      </c>
      <c r="C2948" s="25">
        <v>1172.5</v>
      </c>
      <c r="D2948" s="25">
        <v>1143.53</v>
      </c>
      <c r="E2948" s="25">
        <v>1169.65</v>
      </c>
      <c r="F2948" s="25">
        <v>1461380.0</v>
      </c>
    </row>
    <row r="2949">
      <c r="A2949" s="25">
        <v>42725.64583333333</v>
      </c>
      <c r="B2949" s="25">
        <v>1171.9</v>
      </c>
      <c r="C2949" s="25">
        <v>1171.9</v>
      </c>
      <c r="D2949" s="25">
        <v>1152.8</v>
      </c>
      <c r="E2949" s="25">
        <v>1156.8</v>
      </c>
      <c r="F2949" s="25">
        <v>1017451.0</v>
      </c>
    </row>
    <row r="2950">
      <c r="A2950" s="25">
        <v>42726.64583333333</v>
      </c>
      <c r="B2950" s="25">
        <v>1153.0</v>
      </c>
      <c r="C2950" s="25">
        <v>1162.5</v>
      </c>
      <c r="D2950" s="25">
        <v>1143.1</v>
      </c>
      <c r="E2950" s="25">
        <v>1153.85</v>
      </c>
      <c r="F2950" s="25">
        <v>934150.0</v>
      </c>
    </row>
    <row r="2951">
      <c r="A2951" s="25">
        <v>42727.64583333333</v>
      </c>
      <c r="B2951" s="25">
        <v>1150.0</v>
      </c>
      <c r="C2951" s="25">
        <v>1158.88</v>
      </c>
      <c r="D2951" s="25">
        <v>1139.4</v>
      </c>
      <c r="E2951" s="25">
        <v>1144.05</v>
      </c>
      <c r="F2951" s="25">
        <v>559477.0</v>
      </c>
    </row>
    <row r="2952">
      <c r="A2952" s="25">
        <v>42730.64583333333</v>
      </c>
      <c r="B2952" s="25">
        <v>1133.0</v>
      </c>
      <c r="C2952" s="25">
        <v>1150.8</v>
      </c>
      <c r="D2952" s="25">
        <v>1133.0</v>
      </c>
      <c r="E2952" s="25">
        <v>1146.55</v>
      </c>
      <c r="F2952" s="25">
        <v>448704.0</v>
      </c>
    </row>
    <row r="2953">
      <c r="A2953" s="25">
        <v>42731.64583333333</v>
      </c>
      <c r="B2953" s="25">
        <v>1140.75</v>
      </c>
      <c r="C2953" s="25">
        <v>1165.0</v>
      </c>
      <c r="D2953" s="25">
        <v>1140.75</v>
      </c>
      <c r="E2953" s="25">
        <v>1161.7</v>
      </c>
      <c r="F2953" s="25">
        <v>647346.0</v>
      </c>
    </row>
    <row r="2954">
      <c r="A2954" s="25">
        <v>42732.64583333333</v>
      </c>
      <c r="B2954" s="25">
        <v>1163.35</v>
      </c>
      <c r="C2954" s="25">
        <v>1174.95</v>
      </c>
      <c r="D2954" s="25">
        <v>1151.58</v>
      </c>
      <c r="E2954" s="25">
        <v>1156.7</v>
      </c>
      <c r="F2954" s="25">
        <v>675209.0</v>
      </c>
    </row>
    <row r="2955">
      <c r="A2955" s="25">
        <v>42733.64583333333</v>
      </c>
      <c r="B2955" s="25">
        <v>1151.5</v>
      </c>
      <c r="C2955" s="25">
        <v>1179.95</v>
      </c>
      <c r="D2955" s="25">
        <v>1151.5</v>
      </c>
      <c r="E2955" s="25">
        <v>1175.85</v>
      </c>
      <c r="F2955" s="25">
        <v>981758.0</v>
      </c>
    </row>
    <row r="2956">
      <c r="A2956" s="25">
        <v>42734.64583333333</v>
      </c>
      <c r="B2956" s="25">
        <v>1177.45</v>
      </c>
      <c r="C2956" s="25">
        <v>1189.3</v>
      </c>
      <c r="D2956" s="25">
        <v>1172.83</v>
      </c>
      <c r="E2956" s="25">
        <v>1182.78</v>
      </c>
      <c r="F2956" s="25">
        <v>702874.0</v>
      </c>
    </row>
    <row r="2957">
      <c r="A2957" s="25">
        <v>42737.64583333333</v>
      </c>
      <c r="B2957" s="25">
        <v>1183.3</v>
      </c>
      <c r="C2957" s="25">
        <v>1187.55</v>
      </c>
      <c r="D2957" s="25">
        <v>1176.2</v>
      </c>
      <c r="E2957" s="25">
        <v>1180.68</v>
      </c>
      <c r="F2957" s="25">
        <v>411566.0</v>
      </c>
    </row>
    <row r="2958">
      <c r="A2958" s="25">
        <v>42738.64583333333</v>
      </c>
      <c r="B2958" s="25">
        <v>1180.63</v>
      </c>
      <c r="C2958" s="25">
        <v>1185.85</v>
      </c>
      <c r="D2958" s="25">
        <v>1171.65</v>
      </c>
      <c r="E2958" s="25">
        <v>1184.13</v>
      </c>
      <c r="F2958" s="25">
        <v>737662.0</v>
      </c>
    </row>
    <row r="2959">
      <c r="A2959" s="25">
        <v>42739.64583333333</v>
      </c>
      <c r="B2959" s="25">
        <v>1184.85</v>
      </c>
      <c r="C2959" s="25">
        <v>1194.43</v>
      </c>
      <c r="D2959" s="25">
        <v>1179.15</v>
      </c>
      <c r="E2959" s="25">
        <v>1189.75</v>
      </c>
      <c r="F2959" s="25">
        <v>710033.0</v>
      </c>
    </row>
    <row r="2960">
      <c r="A2960" s="25">
        <v>42740.64583333333</v>
      </c>
      <c r="B2960" s="25">
        <v>1192.0</v>
      </c>
      <c r="C2960" s="25">
        <v>1194.97</v>
      </c>
      <c r="D2960" s="25">
        <v>1160.2</v>
      </c>
      <c r="E2960" s="25">
        <v>1167.2</v>
      </c>
      <c r="F2960" s="25">
        <v>1108202.0</v>
      </c>
    </row>
    <row r="2961">
      <c r="A2961" s="25">
        <v>42741.64583333333</v>
      </c>
      <c r="B2961" s="25">
        <v>1160.5</v>
      </c>
      <c r="C2961" s="25">
        <v>1164.68</v>
      </c>
      <c r="D2961" s="25">
        <v>1128.55</v>
      </c>
      <c r="E2961" s="25">
        <v>1140.7</v>
      </c>
      <c r="F2961" s="25">
        <v>1504948.0</v>
      </c>
    </row>
    <row r="2962">
      <c r="A2962" s="25">
        <v>42744.64583333333</v>
      </c>
      <c r="B2962" s="25">
        <v>1137.5</v>
      </c>
      <c r="C2962" s="25">
        <v>1155.65</v>
      </c>
      <c r="D2962" s="25">
        <v>1128.5</v>
      </c>
      <c r="E2962" s="25">
        <v>1151.85</v>
      </c>
      <c r="F2962" s="25">
        <v>927289.0</v>
      </c>
    </row>
    <row r="2963">
      <c r="A2963" s="25">
        <v>42745.64583333333</v>
      </c>
      <c r="B2963" s="25">
        <v>1152.0</v>
      </c>
      <c r="C2963" s="25">
        <v>1164.9</v>
      </c>
      <c r="D2963" s="25">
        <v>1145.75</v>
      </c>
      <c r="E2963" s="25">
        <v>1157.68</v>
      </c>
      <c r="F2963" s="25">
        <v>766957.0</v>
      </c>
    </row>
    <row r="2964">
      <c r="A2964" s="25">
        <v>42746.64583333333</v>
      </c>
      <c r="B2964" s="25">
        <v>1157.5</v>
      </c>
      <c r="C2964" s="25">
        <v>1164.8</v>
      </c>
      <c r="D2964" s="25">
        <v>1140.1</v>
      </c>
      <c r="E2964" s="25">
        <v>1162.5</v>
      </c>
      <c r="F2964" s="25">
        <v>965648.0</v>
      </c>
    </row>
    <row r="2965">
      <c r="A2965" s="25">
        <v>42747.64583333333</v>
      </c>
      <c r="B2965" s="25">
        <v>1162.2</v>
      </c>
      <c r="C2965" s="25">
        <v>1180.0</v>
      </c>
      <c r="D2965" s="25">
        <v>1152.0</v>
      </c>
      <c r="E2965" s="25">
        <v>1172.18</v>
      </c>
      <c r="F2965" s="25">
        <v>1285187.0</v>
      </c>
    </row>
    <row r="2966">
      <c r="A2966" s="25">
        <v>42748.64583333333</v>
      </c>
      <c r="B2966" s="25">
        <v>1174.0</v>
      </c>
      <c r="C2966" s="25">
        <v>1178.97</v>
      </c>
      <c r="D2966" s="25">
        <v>1118.93</v>
      </c>
      <c r="E2966" s="25">
        <v>1124.65</v>
      </c>
      <c r="F2966" s="25">
        <v>5117790.0</v>
      </c>
    </row>
    <row r="2967">
      <c r="A2967" s="25">
        <v>42751.64583333333</v>
      </c>
      <c r="B2967" s="25">
        <v>1125.0</v>
      </c>
      <c r="C2967" s="25">
        <v>1136.95</v>
      </c>
      <c r="D2967" s="25">
        <v>1114.0</v>
      </c>
      <c r="E2967" s="25">
        <v>1129.28</v>
      </c>
      <c r="F2967" s="25">
        <v>1682404.0</v>
      </c>
    </row>
    <row r="2968">
      <c r="A2968" s="25">
        <v>42752.64583333333</v>
      </c>
      <c r="B2968" s="25">
        <v>1127.45</v>
      </c>
      <c r="C2968" s="25">
        <v>1143.9</v>
      </c>
      <c r="D2968" s="25">
        <v>1126.4</v>
      </c>
      <c r="E2968" s="25">
        <v>1139.38</v>
      </c>
      <c r="F2968" s="25">
        <v>1504978.0</v>
      </c>
    </row>
    <row r="2969">
      <c r="A2969" s="25">
        <v>42753.64583333333</v>
      </c>
      <c r="B2969" s="25">
        <v>1139.0</v>
      </c>
      <c r="C2969" s="25">
        <v>1149.0</v>
      </c>
      <c r="D2969" s="25">
        <v>1132.72</v>
      </c>
      <c r="E2969" s="25">
        <v>1147.55</v>
      </c>
      <c r="F2969" s="25">
        <v>1568287.0</v>
      </c>
    </row>
    <row r="2970">
      <c r="A2970" s="25">
        <v>42754.64583333333</v>
      </c>
      <c r="B2970" s="25">
        <v>1147.5</v>
      </c>
      <c r="C2970" s="25">
        <v>1147.58</v>
      </c>
      <c r="D2970" s="25">
        <v>1141.47</v>
      </c>
      <c r="E2970" s="25">
        <v>1145.5</v>
      </c>
      <c r="F2970" s="25">
        <v>1125838.0</v>
      </c>
    </row>
    <row r="2971">
      <c r="A2971" s="25">
        <v>42755.64583333333</v>
      </c>
      <c r="B2971" s="25">
        <v>1143.5</v>
      </c>
      <c r="C2971" s="25">
        <v>1150.0</v>
      </c>
      <c r="D2971" s="25">
        <v>1132.5</v>
      </c>
      <c r="E2971" s="25">
        <v>1142.68</v>
      </c>
      <c r="F2971" s="25">
        <v>1018623.0</v>
      </c>
    </row>
    <row r="2972">
      <c r="A2972" s="25">
        <v>42758.64583333333</v>
      </c>
      <c r="B2972" s="25">
        <v>1132.5</v>
      </c>
      <c r="C2972" s="25">
        <v>1156.75</v>
      </c>
      <c r="D2972" s="25">
        <v>1129.9</v>
      </c>
      <c r="E2972" s="25">
        <v>1153.35</v>
      </c>
      <c r="F2972" s="25">
        <v>1159273.0</v>
      </c>
    </row>
    <row r="2973">
      <c r="A2973" s="25">
        <v>42759.64583333333</v>
      </c>
      <c r="B2973" s="25">
        <v>1152.0</v>
      </c>
      <c r="C2973" s="25">
        <v>1161.5</v>
      </c>
      <c r="D2973" s="25">
        <v>1145.0</v>
      </c>
      <c r="E2973" s="25">
        <v>1159.18</v>
      </c>
      <c r="F2973" s="25">
        <v>1141319.0</v>
      </c>
    </row>
    <row r="2974">
      <c r="A2974" s="25">
        <v>42760.64583333333</v>
      </c>
      <c r="B2974" s="25">
        <v>1161.3</v>
      </c>
      <c r="C2974" s="25">
        <v>1180.0</v>
      </c>
      <c r="D2974" s="25">
        <v>1159.03</v>
      </c>
      <c r="E2974" s="25">
        <v>1176.5</v>
      </c>
      <c r="F2974" s="25">
        <v>2055824.0</v>
      </c>
    </row>
    <row r="2975">
      <c r="A2975" s="25">
        <v>42762.64583333333</v>
      </c>
      <c r="B2975" s="25">
        <v>1172.53</v>
      </c>
      <c r="C2975" s="25">
        <v>1189.38</v>
      </c>
      <c r="D2975" s="25">
        <v>1172.53</v>
      </c>
      <c r="E2975" s="25">
        <v>1178.9</v>
      </c>
      <c r="F2975" s="25">
        <v>1435829.0</v>
      </c>
    </row>
    <row r="2976">
      <c r="A2976" s="25">
        <v>42765.64583333333</v>
      </c>
      <c r="B2976" s="25">
        <v>1170.5</v>
      </c>
      <c r="C2976" s="25">
        <v>1175.97</v>
      </c>
      <c r="D2976" s="25">
        <v>1159.08</v>
      </c>
      <c r="E2976" s="25">
        <v>1166.45</v>
      </c>
      <c r="F2976" s="25">
        <v>1288978.0</v>
      </c>
    </row>
    <row r="2977">
      <c r="A2977" s="25">
        <v>42766.64583333333</v>
      </c>
      <c r="B2977" s="25">
        <v>1160.0</v>
      </c>
      <c r="C2977" s="25">
        <v>1166.03</v>
      </c>
      <c r="D2977" s="25">
        <v>1100.03</v>
      </c>
      <c r="E2977" s="25">
        <v>1114.9</v>
      </c>
      <c r="F2977" s="25">
        <v>2333402.0</v>
      </c>
    </row>
    <row r="2978">
      <c r="A2978" s="25">
        <v>42767.64583333333</v>
      </c>
      <c r="B2978" s="25">
        <v>1110.0</v>
      </c>
      <c r="C2978" s="25">
        <v>1119.97</v>
      </c>
      <c r="D2978" s="25">
        <v>1077.78</v>
      </c>
      <c r="E2978" s="25">
        <v>1083.95</v>
      </c>
      <c r="F2978" s="25">
        <v>2432076.0</v>
      </c>
    </row>
    <row r="2979">
      <c r="A2979" s="25">
        <v>42768.64583333333</v>
      </c>
      <c r="B2979" s="25">
        <v>1085.03</v>
      </c>
      <c r="C2979" s="25">
        <v>1109.5</v>
      </c>
      <c r="D2979" s="25">
        <v>1076.5</v>
      </c>
      <c r="E2979" s="25">
        <v>1103.83</v>
      </c>
      <c r="F2979" s="25">
        <v>3004741.0</v>
      </c>
    </row>
    <row r="2980">
      <c r="A2980" s="25">
        <v>42769.64583333333</v>
      </c>
      <c r="B2980" s="25">
        <v>1104.85</v>
      </c>
      <c r="C2980" s="25">
        <v>1121.5</v>
      </c>
      <c r="D2980" s="25">
        <v>1095.5</v>
      </c>
      <c r="E2980" s="25">
        <v>1116.28</v>
      </c>
      <c r="F2980" s="25">
        <v>1076686.0</v>
      </c>
    </row>
    <row r="2981">
      <c r="A2981" s="25">
        <v>42772.64583333333</v>
      </c>
      <c r="B2981" s="25">
        <v>1129.0</v>
      </c>
      <c r="C2981" s="25">
        <v>1129.25</v>
      </c>
      <c r="D2981" s="25">
        <v>1107.47</v>
      </c>
      <c r="E2981" s="25">
        <v>1120.38</v>
      </c>
      <c r="F2981" s="25">
        <v>1204455.0</v>
      </c>
    </row>
    <row r="2982">
      <c r="A2982" s="25">
        <v>42773.64583333333</v>
      </c>
      <c r="B2982" s="25">
        <v>1122.0</v>
      </c>
      <c r="C2982" s="25">
        <v>1126.3</v>
      </c>
      <c r="D2982" s="25">
        <v>1113.0</v>
      </c>
      <c r="E2982" s="25">
        <v>1122.3</v>
      </c>
      <c r="F2982" s="25">
        <v>907319.0</v>
      </c>
    </row>
    <row r="2983">
      <c r="A2983" s="25">
        <v>42774.64583333333</v>
      </c>
      <c r="B2983" s="25">
        <v>1122.45</v>
      </c>
      <c r="C2983" s="25">
        <v>1141.3</v>
      </c>
      <c r="D2983" s="25">
        <v>1122.03</v>
      </c>
      <c r="E2983" s="25">
        <v>1135.47</v>
      </c>
      <c r="F2983" s="25">
        <v>1106292.0</v>
      </c>
    </row>
    <row r="2984">
      <c r="A2984" s="25">
        <v>42775.64583333333</v>
      </c>
      <c r="B2984" s="25">
        <v>1137.5</v>
      </c>
      <c r="C2984" s="25">
        <v>1164.0</v>
      </c>
      <c r="D2984" s="25">
        <v>1135.1</v>
      </c>
      <c r="E2984" s="25">
        <v>1158.65</v>
      </c>
      <c r="F2984" s="25">
        <v>2016601.0</v>
      </c>
    </row>
    <row r="2985">
      <c r="A2985" s="25">
        <v>42776.64583333333</v>
      </c>
      <c r="B2985" s="25">
        <v>1155.5</v>
      </c>
      <c r="C2985" s="25">
        <v>1212.22</v>
      </c>
      <c r="D2985" s="25">
        <v>1155.5</v>
      </c>
      <c r="E2985" s="25">
        <v>1198.97</v>
      </c>
      <c r="F2985" s="25">
        <v>2891080.0</v>
      </c>
    </row>
    <row r="2986">
      <c r="A2986" s="25">
        <v>42779.64583333333</v>
      </c>
      <c r="B2986" s="25">
        <v>1198.0</v>
      </c>
      <c r="C2986" s="25">
        <v>1214.5</v>
      </c>
      <c r="D2986" s="25">
        <v>1191.18</v>
      </c>
      <c r="E2986" s="25">
        <v>1207.13</v>
      </c>
      <c r="F2986" s="25">
        <v>1909906.0</v>
      </c>
    </row>
    <row r="2987">
      <c r="A2987" s="25">
        <v>42780.64583333333</v>
      </c>
      <c r="B2987" s="25">
        <v>1209.83</v>
      </c>
      <c r="C2987" s="25">
        <v>1209.83</v>
      </c>
      <c r="D2987" s="25">
        <v>1199.0</v>
      </c>
      <c r="E2987" s="25">
        <v>1203.13</v>
      </c>
      <c r="F2987" s="25">
        <v>1016664.0</v>
      </c>
    </row>
    <row r="2988">
      <c r="A2988" s="25">
        <v>42781.64583333333</v>
      </c>
      <c r="B2988" s="25">
        <v>1198.5</v>
      </c>
      <c r="C2988" s="25">
        <v>1214.0</v>
      </c>
      <c r="D2988" s="25">
        <v>1187.55</v>
      </c>
      <c r="E2988" s="25">
        <v>1206.85</v>
      </c>
      <c r="F2988" s="25">
        <v>962486.0</v>
      </c>
    </row>
    <row r="2989">
      <c r="A2989" s="25">
        <v>42782.64583333333</v>
      </c>
      <c r="B2989" s="25">
        <v>1230.0</v>
      </c>
      <c r="C2989" s="25">
        <v>1239.0</v>
      </c>
      <c r="D2989" s="25">
        <v>1217.8</v>
      </c>
      <c r="E2989" s="25">
        <v>1223.88</v>
      </c>
      <c r="F2989" s="25">
        <v>2087840.0</v>
      </c>
    </row>
    <row r="2990">
      <c r="A2990" s="25">
        <v>42783.64583333333</v>
      </c>
      <c r="B2990" s="25">
        <v>1236.0</v>
      </c>
      <c r="C2990" s="25">
        <v>1237.8</v>
      </c>
      <c r="D2990" s="25">
        <v>1201.0</v>
      </c>
      <c r="E2990" s="25">
        <v>1203.95</v>
      </c>
      <c r="F2990" s="25">
        <v>1361662.0</v>
      </c>
    </row>
    <row r="2991">
      <c r="A2991" s="25">
        <v>42786.64583333333</v>
      </c>
      <c r="B2991" s="25">
        <v>1212.5</v>
      </c>
      <c r="C2991" s="25">
        <v>1277.5</v>
      </c>
      <c r="D2991" s="25">
        <v>1204.05</v>
      </c>
      <c r="E2991" s="25">
        <v>1251.1</v>
      </c>
      <c r="F2991" s="25">
        <v>1986974.0</v>
      </c>
    </row>
    <row r="2992">
      <c r="A2992" s="25">
        <v>42787.64583333333</v>
      </c>
      <c r="B2992" s="25">
        <v>1257.0</v>
      </c>
      <c r="C2992" s="25">
        <v>1262.95</v>
      </c>
      <c r="D2992" s="25">
        <v>1227.58</v>
      </c>
      <c r="E2992" s="25">
        <v>1232.68</v>
      </c>
      <c r="F2992" s="25">
        <v>2750556.0</v>
      </c>
    </row>
    <row r="2993">
      <c r="A2993" s="25">
        <v>42788.64583333333</v>
      </c>
      <c r="B2993" s="25">
        <v>1232.95</v>
      </c>
      <c r="C2993" s="25">
        <v>1235.0</v>
      </c>
      <c r="D2993" s="25">
        <v>1200.08</v>
      </c>
      <c r="E2993" s="25">
        <v>1205.75</v>
      </c>
      <c r="F2993" s="25">
        <v>2252748.0</v>
      </c>
    </row>
    <row r="2994">
      <c r="A2994" s="25">
        <v>42789.64583333333</v>
      </c>
      <c r="B2994" s="25">
        <v>1207.5</v>
      </c>
      <c r="C2994" s="25">
        <v>1246.63</v>
      </c>
      <c r="D2994" s="25">
        <v>1207.5</v>
      </c>
      <c r="E2994" s="25">
        <v>1240.9</v>
      </c>
      <c r="F2994" s="25">
        <v>2426676.0</v>
      </c>
    </row>
    <row r="2995">
      <c r="A2995" s="25">
        <v>42793.64583333333</v>
      </c>
      <c r="B2995" s="25">
        <v>1239.55</v>
      </c>
      <c r="C2995" s="25">
        <v>1251.0</v>
      </c>
      <c r="D2995" s="25">
        <v>1235.03</v>
      </c>
      <c r="E2995" s="25">
        <v>1244.93</v>
      </c>
      <c r="F2995" s="25">
        <v>1069946.0</v>
      </c>
    </row>
    <row r="2996">
      <c r="A2996" s="25">
        <v>42794.64583333333</v>
      </c>
      <c r="B2996" s="25">
        <v>1244.75</v>
      </c>
      <c r="C2996" s="25">
        <v>1245.0</v>
      </c>
      <c r="D2996" s="25">
        <v>1225.0</v>
      </c>
      <c r="E2996" s="25">
        <v>1233.13</v>
      </c>
      <c r="F2996" s="25">
        <v>1177414.0</v>
      </c>
    </row>
    <row r="2997">
      <c r="A2997" s="25">
        <v>42795.64583333333</v>
      </c>
      <c r="B2997" s="25">
        <v>1239.95</v>
      </c>
      <c r="C2997" s="25">
        <v>1250.95</v>
      </c>
      <c r="D2997" s="25">
        <v>1235.0</v>
      </c>
      <c r="E2997" s="25">
        <v>1239.78</v>
      </c>
      <c r="F2997" s="25">
        <v>565187.0</v>
      </c>
    </row>
    <row r="2998">
      <c r="A2998" s="25">
        <v>42796.64583333333</v>
      </c>
      <c r="B2998" s="25">
        <v>1243.35</v>
      </c>
      <c r="C2998" s="25">
        <v>1255.0</v>
      </c>
      <c r="D2998" s="25">
        <v>1235.03</v>
      </c>
      <c r="E2998" s="25">
        <v>1250.72</v>
      </c>
      <c r="F2998" s="25">
        <v>772471.0</v>
      </c>
    </row>
    <row r="2999">
      <c r="A2999" s="25">
        <v>42797.64583333333</v>
      </c>
      <c r="B2999" s="25">
        <v>1246.0</v>
      </c>
      <c r="C2999" s="25">
        <v>1249.85</v>
      </c>
      <c r="D2999" s="25">
        <v>1237.7</v>
      </c>
      <c r="E2999" s="25">
        <v>1247.03</v>
      </c>
      <c r="F2999" s="25">
        <v>506985.0</v>
      </c>
    </row>
    <row r="3000">
      <c r="A3000" s="25">
        <v>42800.64583333333</v>
      </c>
      <c r="B3000" s="25">
        <v>1240.0</v>
      </c>
      <c r="C3000" s="25">
        <v>1242.0</v>
      </c>
      <c r="D3000" s="25">
        <v>1227.28</v>
      </c>
      <c r="E3000" s="25">
        <v>1236.25</v>
      </c>
      <c r="F3000" s="25">
        <v>700347.0</v>
      </c>
    </row>
    <row r="3001">
      <c r="A3001" s="25">
        <v>42801.64583333333</v>
      </c>
      <c r="B3001" s="25">
        <v>1241.45</v>
      </c>
      <c r="C3001" s="25">
        <v>1252.5</v>
      </c>
      <c r="D3001" s="25">
        <v>1237.53</v>
      </c>
      <c r="E3001" s="25">
        <v>1249.9</v>
      </c>
      <c r="F3001" s="25">
        <v>755836.0</v>
      </c>
    </row>
    <row r="3002">
      <c r="A3002" s="25">
        <v>42802.64583333333</v>
      </c>
      <c r="B3002" s="25">
        <v>1251.0</v>
      </c>
      <c r="C3002" s="25">
        <v>1260.0</v>
      </c>
      <c r="D3002" s="25">
        <v>1246.1</v>
      </c>
      <c r="E3002" s="25">
        <v>1256.1</v>
      </c>
      <c r="F3002" s="25">
        <v>895755.0</v>
      </c>
    </row>
    <row r="3003">
      <c r="A3003" s="25">
        <v>42803.64583333333</v>
      </c>
      <c r="B3003" s="25">
        <v>1257.08</v>
      </c>
      <c r="C3003" s="25">
        <v>1262.0</v>
      </c>
      <c r="D3003" s="25">
        <v>1252.03</v>
      </c>
      <c r="E3003" s="25">
        <v>1259.88</v>
      </c>
      <c r="F3003" s="25">
        <v>429234.0</v>
      </c>
    </row>
    <row r="3004">
      <c r="A3004" s="25">
        <v>42804.64583333333</v>
      </c>
      <c r="B3004" s="25">
        <v>1259.8</v>
      </c>
      <c r="C3004" s="25">
        <v>1274.78</v>
      </c>
      <c r="D3004" s="25">
        <v>1256.97</v>
      </c>
      <c r="E3004" s="25">
        <v>1271.13</v>
      </c>
      <c r="F3004" s="25">
        <v>585710.0</v>
      </c>
    </row>
    <row r="3005">
      <c r="A3005" s="25">
        <v>42808.64583333333</v>
      </c>
      <c r="B3005" s="25">
        <v>1278.4</v>
      </c>
      <c r="C3005" s="25">
        <v>1293.58</v>
      </c>
      <c r="D3005" s="25">
        <v>1275.53</v>
      </c>
      <c r="E3005" s="25">
        <v>1283.75</v>
      </c>
      <c r="F3005" s="25">
        <v>1701147.0</v>
      </c>
    </row>
    <row r="3006">
      <c r="A3006" s="25">
        <v>42809.64583333333</v>
      </c>
      <c r="B3006" s="25">
        <v>1286.0</v>
      </c>
      <c r="C3006" s="25">
        <v>1286.08</v>
      </c>
      <c r="D3006" s="25">
        <v>1246.93</v>
      </c>
      <c r="E3006" s="25">
        <v>1249.15</v>
      </c>
      <c r="F3006" s="25">
        <v>1511248.0</v>
      </c>
    </row>
    <row r="3007">
      <c r="A3007" s="25">
        <v>42810.64583333333</v>
      </c>
      <c r="B3007" s="25">
        <v>1253.0</v>
      </c>
      <c r="C3007" s="25">
        <v>1263.5</v>
      </c>
      <c r="D3007" s="25">
        <v>1253.0</v>
      </c>
      <c r="E3007" s="25">
        <v>1260.45</v>
      </c>
      <c r="F3007" s="25">
        <v>785909.0</v>
      </c>
    </row>
    <row r="3008">
      <c r="A3008" s="25">
        <v>42811.64583333333</v>
      </c>
      <c r="B3008" s="25">
        <v>1273.0</v>
      </c>
      <c r="C3008" s="25">
        <v>1273.0</v>
      </c>
      <c r="D3008" s="25">
        <v>1254.88</v>
      </c>
      <c r="E3008" s="25">
        <v>1262.88</v>
      </c>
      <c r="F3008" s="25">
        <v>1296576.0</v>
      </c>
    </row>
    <row r="3009">
      <c r="A3009" s="25">
        <v>42814.64583333333</v>
      </c>
      <c r="B3009" s="25">
        <v>1262.97</v>
      </c>
      <c r="C3009" s="25">
        <v>1262.97</v>
      </c>
      <c r="D3009" s="25">
        <v>1233.0</v>
      </c>
      <c r="E3009" s="25">
        <v>1240.0</v>
      </c>
      <c r="F3009" s="25">
        <v>1743770.0</v>
      </c>
    </row>
    <row r="3010">
      <c r="A3010" s="25">
        <v>42815.64583333333</v>
      </c>
      <c r="B3010" s="25">
        <v>1241.0</v>
      </c>
      <c r="C3010" s="25">
        <v>1246.0</v>
      </c>
      <c r="D3010" s="25">
        <v>1232.5</v>
      </c>
      <c r="E3010" s="25">
        <v>1243.35</v>
      </c>
      <c r="F3010" s="25">
        <v>1686850.0</v>
      </c>
    </row>
    <row r="3011">
      <c r="A3011" s="25">
        <v>42816.64583333333</v>
      </c>
      <c r="B3011" s="25">
        <v>1240.08</v>
      </c>
      <c r="C3011" s="25">
        <v>1248.0</v>
      </c>
      <c r="D3011" s="25">
        <v>1234.97</v>
      </c>
      <c r="E3011" s="25">
        <v>1239.47</v>
      </c>
      <c r="F3011" s="25">
        <v>944358.0</v>
      </c>
    </row>
    <row r="3012">
      <c r="A3012" s="25">
        <v>42817.64583333333</v>
      </c>
      <c r="B3012" s="25">
        <v>1241.0</v>
      </c>
      <c r="C3012" s="25">
        <v>1242.53</v>
      </c>
      <c r="D3012" s="25">
        <v>1223.6</v>
      </c>
      <c r="E3012" s="25">
        <v>1230.18</v>
      </c>
      <c r="F3012" s="25">
        <v>1310319.0</v>
      </c>
    </row>
    <row r="3013">
      <c r="A3013" s="25">
        <v>42818.64583333333</v>
      </c>
      <c r="B3013" s="25">
        <v>1234.9</v>
      </c>
      <c r="C3013" s="25">
        <v>1234.9</v>
      </c>
      <c r="D3013" s="25">
        <v>1211.65</v>
      </c>
      <c r="E3013" s="25">
        <v>1213.6</v>
      </c>
      <c r="F3013" s="25">
        <v>2549907.0</v>
      </c>
    </row>
    <row r="3014">
      <c r="A3014" s="25">
        <v>42821.64583333333</v>
      </c>
      <c r="B3014" s="25">
        <v>1213.47</v>
      </c>
      <c r="C3014" s="25">
        <v>1220.0</v>
      </c>
      <c r="D3014" s="25">
        <v>1203.0</v>
      </c>
      <c r="E3014" s="25">
        <v>1206.03</v>
      </c>
      <c r="F3014" s="25">
        <v>1090635.0</v>
      </c>
    </row>
    <row r="3015">
      <c r="A3015" s="25">
        <v>42822.64583333333</v>
      </c>
      <c r="B3015" s="25">
        <v>1205.0</v>
      </c>
      <c r="C3015" s="25">
        <v>1221.7</v>
      </c>
      <c r="D3015" s="25">
        <v>1205.0</v>
      </c>
      <c r="E3015" s="25">
        <v>1214.97</v>
      </c>
      <c r="F3015" s="25">
        <v>576579.0</v>
      </c>
    </row>
    <row r="3016">
      <c r="A3016" s="25">
        <v>42823.64583333333</v>
      </c>
      <c r="B3016" s="25">
        <v>1218.0</v>
      </c>
      <c r="C3016" s="25">
        <v>1225.4</v>
      </c>
      <c r="D3016" s="25">
        <v>1212.8</v>
      </c>
      <c r="E3016" s="25">
        <v>1222.3</v>
      </c>
      <c r="F3016" s="25">
        <v>858882.0</v>
      </c>
    </row>
    <row r="3017">
      <c r="A3017" s="25">
        <v>42824.64583333333</v>
      </c>
      <c r="B3017" s="25">
        <v>1222.45</v>
      </c>
      <c r="C3017" s="25">
        <v>1232.5</v>
      </c>
      <c r="D3017" s="25">
        <v>1217.5</v>
      </c>
      <c r="E3017" s="25">
        <v>1220.5</v>
      </c>
      <c r="F3017" s="25">
        <v>1493043.0</v>
      </c>
    </row>
    <row r="3018">
      <c r="A3018" s="25">
        <v>42825.64583333333</v>
      </c>
      <c r="B3018" s="25">
        <v>1219.2</v>
      </c>
      <c r="C3018" s="25">
        <v>1220.43</v>
      </c>
      <c r="D3018" s="25">
        <v>1207.5</v>
      </c>
      <c r="E3018" s="25">
        <v>1215.9</v>
      </c>
      <c r="F3018" s="25">
        <v>933522.0</v>
      </c>
    </row>
    <row r="3019">
      <c r="A3019" s="25">
        <v>42828.64583333333</v>
      </c>
      <c r="B3019" s="25">
        <v>1217.5</v>
      </c>
      <c r="C3019" s="25">
        <v>1217.5</v>
      </c>
      <c r="D3019" s="25">
        <v>1204.1</v>
      </c>
      <c r="E3019" s="25">
        <v>1205.85</v>
      </c>
      <c r="F3019" s="25">
        <v>598444.0</v>
      </c>
    </row>
    <row r="3020">
      <c r="A3020" s="25">
        <v>42830.64583333333</v>
      </c>
      <c r="B3020" s="25">
        <v>1209.95</v>
      </c>
      <c r="C3020" s="25">
        <v>1209.95</v>
      </c>
      <c r="D3020" s="25">
        <v>1197.5</v>
      </c>
      <c r="E3020" s="25">
        <v>1200.63</v>
      </c>
      <c r="F3020" s="25">
        <v>1452784.0</v>
      </c>
    </row>
    <row r="3021">
      <c r="A3021" s="25">
        <v>42831.64583333333</v>
      </c>
      <c r="B3021" s="25">
        <v>1200.0</v>
      </c>
      <c r="C3021" s="25">
        <v>1205.0</v>
      </c>
      <c r="D3021" s="25">
        <v>1196.28</v>
      </c>
      <c r="E3021" s="25">
        <v>1200.03</v>
      </c>
      <c r="F3021" s="25">
        <v>860352.0</v>
      </c>
    </row>
    <row r="3022">
      <c r="A3022" s="25">
        <v>42832.64583333333</v>
      </c>
      <c r="B3022" s="25">
        <v>1197.45</v>
      </c>
      <c r="C3022" s="25">
        <v>1216.63</v>
      </c>
      <c r="D3022" s="25">
        <v>1196.08</v>
      </c>
      <c r="E3022" s="25">
        <v>1214.53</v>
      </c>
      <c r="F3022" s="25">
        <v>1138506.0</v>
      </c>
    </row>
    <row r="3023">
      <c r="A3023" s="25">
        <v>42835.64583333333</v>
      </c>
      <c r="B3023" s="25">
        <v>1216.0</v>
      </c>
      <c r="C3023" s="25">
        <v>1224.5</v>
      </c>
      <c r="D3023" s="25">
        <v>1202.5</v>
      </c>
      <c r="E3023" s="25">
        <v>1211.13</v>
      </c>
      <c r="F3023" s="25">
        <v>1271632.0</v>
      </c>
    </row>
    <row r="3024">
      <c r="A3024" s="25">
        <v>42836.64583333333</v>
      </c>
      <c r="B3024" s="25">
        <v>1208.65</v>
      </c>
      <c r="C3024" s="25">
        <v>1221.55</v>
      </c>
      <c r="D3024" s="25">
        <v>1203.0</v>
      </c>
      <c r="E3024" s="25">
        <v>1209.65</v>
      </c>
      <c r="F3024" s="25">
        <v>778892.0</v>
      </c>
    </row>
    <row r="3025">
      <c r="A3025" s="25">
        <v>42837.64583333333</v>
      </c>
      <c r="B3025" s="25">
        <v>1211.25</v>
      </c>
      <c r="C3025" s="25">
        <v>1214.0</v>
      </c>
      <c r="D3025" s="25">
        <v>1191.5</v>
      </c>
      <c r="E3025" s="25">
        <v>1196.63</v>
      </c>
      <c r="F3025" s="25">
        <v>525269.0</v>
      </c>
    </row>
    <row r="3026">
      <c r="A3026" s="25">
        <v>42838.64583333333</v>
      </c>
      <c r="B3026" s="25">
        <v>1200.0</v>
      </c>
      <c r="C3026" s="25">
        <v>1204.5</v>
      </c>
      <c r="D3026" s="25">
        <v>1160.53</v>
      </c>
      <c r="E3026" s="25">
        <v>1164.33</v>
      </c>
      <c r="F3026" s="25">
        <v>1250236.0</v>
      </c>
    </row>
    <row r="3027">
      <c r="A3027" s="25">
        <v>42842.64583333333</v>
      </c>
      <c r="B3027" s="25">
        <v>1165.2</v>
      </c>
      <c r="C3027" s="25">
        <v>1166.45</v>
      </c>
      <c r="D3027" s="25">
        <v>1147.58</v>
      </c>
      <c r="E3027" s="25">
        <v>1157.43</v>
      </c>
      <c r="F3027" s="25">
        <v>1135441.0</v>
      </c>
    </row>
    <row r="3028">
      <c r="A3028" s="25">
        <v>42843.64583333333</v>
      </c>
      <c r="B3028" s="25">
        <v>1165.0</v>
      </c>
      <c r="C3028" s="25">
        <v>1167.1</v>
      </c>
      <c r="D3028" s="25">
        <v>1151.03</v>
      </c>
      <c r="E3028" s="25">
        <v>1154.4</v>
      </c>
      <c r="F3028" s="25">
        <v>865310.0</v>
      </c>
    </row>
    <row r="3029">
      <c r="A3029" s="25">
        <v>42844.64583333333</v>
      </c>
      <c r="B3029" s="25">
        <v>1131.75</v>
      </c>
      <c r="C3029" s="25">
        <v>1174.35</v>
      </c>
      <c r="D3029" s="25">
        <v>1126.4</v>
      </c>
      <c r="E3029" s="25">
        <v>1149.58</v>
      </c>
      <c r="F3029" s="25">
        <v>2813406.0</v>
      </c>
    </row>
    <row r="3030">
      <c r="A3030" s="25">
        <v>42845.64583333333</v>
      </c>
      <c r="B3030" s="25">
        <v>1152.65</v>
      </c>
      <c r="C3030" s="25">
        <v>1166.0</v>
      </c>
      <c r="D3030" s="25">
        <v>1145.47</v>
      </c>
      <c r="E3030" s="25">
        <v>1162.75</v>
      </c>
      <c r="F3030" s="25">
        <v>634421.0</v>
      </c>
    </row>
    <row r="3031">
      <c r="A3031" s="25">
        <v>42846.64583333333</v>
      </c>
      <c r="B3031" s="25">
        <v>1164.55</v>
      </c>
      <c r="C3031" s="25">
        <v>1167.83</v>
      </c>
      <c r="D3031" s="25">
        <v>1150.5</v>
      </c>
      <c r="E3031" s="25">
        <v>1155.4</v>
      </c>
      <c r="F3031" s="25">
        <v>580577.0</v>
      </c>
    </row>
    <row r="3032">
      <c r="A3032" s="25">
        <v>42849.64583333333</v>
      </c>
      <c r="B3032" s="25">
        <v>1150.0</v>
      </c>
      <c r="C3032" s="25">
        <v>1169.83</v>
      </c>
      <c r="D3032" s="25">
        <v>1141.25</v>
      </c>
      <c r="E3032" s="25">
        <v>1164.05</v>
      </c>
      <c r="F3032" s="25">
        <v>1000010.0</v>
      </c>
    </row>
    <row r="3033">
      <c r="A3033" s="25">
        <v>42850.64583333333</v>
      </c>
      <c r="B3033" s="25">
        <v>1164.0</v>
      </c>
      <c r="C3033" s="25">
        <v>1172.22</v>
      </c>
      <c r="D3033" s="25">
        <v>1151.35</v>
      </c>
      <c r="E3033" s="25">
        <v>1155.75</v>
      </c>
      <c r="F3033" s="25">
        <v>1574355.0</v>
      </c>
    </row>
    <row r="3034">
      <c r="A3034" s="25">
        <v>42851.64583333333</v>
      </c>
      <c r="B3034" s="25">
        <v>1170.0</v>
      </c>
      <c r="C3034" s="25">
        <v>1171.97</v>
      </c>
      <c r="D3034" s="25">
        <v>1151.53</v>
      </c>
      <c r="E3034" s="25">
        <v>1155.18</v>
      </c>
      <c r="F3034" s="25">
        <v>1093719.0</v>
      </c>
    </row>
    <row r="3035">
      <c r="A3035" s="25">
        <v>42852.64583333333</v>
      </c>
      <c r="B3035" s="25">
        <v>1153.03</v>
      </c>
      <c r="C3035" s="25">
        <v>1163.9</v>
      </c>
      <c r="D3035" s="25">
        <v>1138.83</v>
      </c>
      <c r="E3035" s="25">
        <v>1151.33</v>
      </c>
      <c r="F3035" s="25">
        <v>2886593.0</v>
      </c>
    </row>
    <row r="3036">
      <c r="A3036" s="25">
        <v>42853.64583333333</v>
      </c>
      <c r="B3036" s="25">
        <v>1147.0</v>
      </c>
      <c r="C3036" s="25">
        <v>1149.38</v>
      </c>
      <c r="D3036" s="25">
        <v>1134.0</v>
      </c>
      <c r="E3036" s="25">
        <v>1136.58</v>
      </c>
      <c r="F3036" s="25">
        <v>1270255.0</v>
      </c>
    </row>
    <row r="3037">
      <c r="A3037" s="25">
        <v>42857.64583333333</v>
      </c>
      <c r="B3037" s="25">
        <v>1147.0</v>
      </c>
      <c r="C3037" s="25">
        <v>1151.0</v>
      </c>
      <c r="D3037" s="25">
        <v>1140.0</v>
      </c>
      <c r="E3037" s="25">
        <v>1144.95</v>
      </c>
      <c r="F3037" s="25">
        <v>1191348.0</v>
      </c>
    </row>
    <row r="3038">
      <c r="A3038" s="25">
        <v>42858.64583333333</v>
      </c>
      <c r="B3038" s="25">
        <v>1147.5</v>
      </c>
      <c r="C3038" s="25">
        <v>1172.5</v>
      </c>
      <c r="D3038" s="25">
        <v>1134.25</v>
      </c>
      <c r="E3038" s="25">
        <v>1168.65</v>
      </c>
      <c r="F3038" s="25">
        <v>1757203.0</v>
      </c>
    </row>
    <row r="3039">
      <c r="A3039" s="25">
        <v>42859.64583333333</v>
      </c>
      <c r="B3039" s="25">
        <v>1174.97</v>
      </c>
      <c r="C3039" s="25">
        <v>1175.0</v>
      </c>
      <c r="D3039" s="25">
        <v>1154.4</v>
      </c>
      <c r="E3039" s="25">
        <v>1165.05</v>
      </c>
      <c r="F3039" s="25">
        <v>1354104.0</v>
      </c>
    </row>
    <row r="3040">
      <c r="A3040" s="25">
        <v>42860.64583333333</v>
      </c>
      <c r="B3040" s="25">
        <v>1154.0</v>
      </c>
      <c r="C3040" s="25">
        <v>1166.25</v>
      </c>
      <c r="D3040" s="25">
        <v>1151.25</v>
      </c>
      <c r="E3040" s="25">
        <v>1160.25</v>
      </c>
      <c r="F3040" s="25">
        <v>841237.0</v>
      </c>
    </row>
    <row r="3041">
      <c r="A3041" s="25">
        <v>42863.64583333333</v>
      </c>
      <c r="B3041" s="25">
        <v>1160.5</v>
      </c>
      <c r="C3041" s="25">
        <v>1173.7</v>
      </c>
      <c r="D3041" s="25">
        <v>1158.85</v>
      </c>
      <c r="E3041" s="25">
        <v>1171.22</v>
      </c>
      <c r="F3041" s="25">
        <v>535891.0</v>
      </c>
    </row>
    <row r="3042">
      <c r="A3042" s="25">
        <v>42864.64583333333</v>
      </c>
      <c r="B3042" s="25">
        <v>1171.97</v>
      </c>
      <c r="C3042" s="25">
        <v>1180.5</v>
      </c>
      <c r="D3042" s="25">
        <v>1166.28</v>
      </c>
      <c r="E3042" s="25">
        <v>1176.28</v>
      </c>
      <c r="F3042" s="25">
        <v>895135.0</v>
      </c>
    </row>
    <row r="3043">
      <c r="A3043" s="25">
        <v>42865.64583333333</v>
      </c>
      <c r="B3043" s="25">
        <v>1177.5</v>
      </c>
      <c r="C3043" s="25">
        <v>1178.08</v>
      </c>
      <c r="D3043" s="25">
        <v>1158.0</v>
      </c>
      <c r="E3043" s="25">
        <v>1166.22</v>
      </c>
      <c r="F3043" s="25">
        <v>603194.0</v>
      </c>
    </row>
    <row r="3044">
      <c r="A3044" s="25">
        <v>42866.64583333333</v>
      </c>
      <c r="B3044" s="25">
        <v>1173.65</v>
      </c>
      <c r="C3044" s="25">
        <v>1180.0</v>
      </c>
      <c r="D3044" s="25">
        <v>1161.38</v>
      </c>
      <c r="E3044" s="25">
        <v>1174.72</v>
      </c>
      <c r="F3044" s="25">
        <v>1035651.0</v>
      </c>
    </row>
    <row r="3045">
      <c r="A3045" s="25">
        <v>42867.64583333333</v>
      </c>
      <c r="B3045" s="25">
        <v>1171.65</v>
      </c>
      <c r="C3045" s="25">
        <v>1184.95</v>
      </c>
      <c r="D3045" s="25">
        <v>1160.03</v>
      </c>
      <c r="E3045" s="25">
        <v>1180.33</v>
      </c>
      <c r="F3045" s="25">
        <v>1157223.0</v>
      </c>
    </row>
    <row r="3046">
      <c r="A3046" s="25">
        <v>42870.64583333333</v>
      </c>
      <c r="B3046" s="25">
        <v>1187.55</v>
      </c>
      <c r="C3046" s="25">
        <v>1188.97</v>
      </c>
      <c r="D3046" s="25">
        <v>1170.8</v>
      </c>
      <c r="E3046" s="25">
        <v>1182.55</v>
      </c>
      <c r="F3046" s="25">
        <v>908802.0</v>
      </c>
    </row>
    <row r="3047">
      <c r="A3047" s="25">
        <v>42871.64583333333</v>
      </c>
      <c r="B3047" s="25">
        <v>1190.0</v>
      </c>
      <c r="C3047" s="25">
        <v>1217.5</v>
      </c>
      <c r="D3047" s="25">
        <v>1186.72</v>
      </c>
      <c r="E3047" s="25">
        <v>1214.58</v>
      </c>
      <c r="F3047" s="25">
        <v>1800513.0</v>
      </c>
    </row>
    <row r="3048">
      <c r="A3048" s="25">
        <v>42872.64583333333</v>
      </c>
      <c r="B3048" s="25">
        <v>1216.75</v>
      </c>
      <c r="C3048" s="25">
        <v>1230.38</v>
      </c>
      <c r="D3048" s="25">
        <v>1211.5</v>
      </c>
      <c r="E3048" s="25">
        <v>1227.68</v>
      </c>
      <c r="F3048" s="25">
        <v>1438099.0</v>
      </c>
    </row>
    <row r="3049">
      <c r="A3049" s="25">
        <v>42873.64583333333</v>
      </c>
      <c r="B3049" s="25">
        <v>1225.0</v>
      </c>
      <c r="C3049" s="25">
        <v>1286.0</v>
      </c>
      <c r="D3049" s="25">
        <v>1221.13</v>
      </c>
      <c r="E3049" s="25">
        <v>1268.1</v>
      </c>
      <c r="F3049" s="25">
        <v>2569297.0</v>
      </c>
    </row>
    <row r="3050">
      <c r="A3050" s="25">
        <v>42874.64583333333</v>
      </c>
      <c r="B3050" s="25">
        <v>1268.1</v>
      </c>
      <c r="C3050" s="25">
        <v>1270.28</v>
      </c>
      <c r="D3050" s="25">
        <v>1243.0</v>
      </c>
      <c r="E3050" s="25">
        <v>1253.58</v>
      </c>
      <c r="F3050" s="25">
        <v>893022.0</v>
      </c>
    </row>
    <row r="3051">
      <c r="A3051" s="25">
        <v>42877.64583333333</v>
      </c>
      <c r="B3051" s="25">
        <v>1255.0</v>
      </c>
      <c r="C3051" s="25">
        <v>1276.88</v>
      </c>
      <c r="D3051" s="25">
        <v>1255.0</v>
      </c>
      <c r="E3051" s="25">
        <v>1265.68</v>
      </c>
      <c r="F3051" s="25">
        <v>831970.0</v>
      </c>
    </row>
    <row r="3052">
      <c r="A3052" s="25">
        <v>42878.64583333333</v>
      </c>
      <c r="B3052" s="25">
        <v>1266.6</v>
      </c>
      <c r="C3052" s="25">
        <v>1282.08</v>
      </c>
      <c r="D3052" s="25">
        <v>1257.0</v>
      </c>
      <c r="E3052" s="25">
        <v>1260.85</v>
      </c>
      <c r="F3052" s="25">
        <v>1374298.0</v>
      </c>
    </row>
    <row r="3053">
      <c r="A3053" s="25">
        <v>42879.64583333333</v>
      </c>
      <c r="B3053" s="25">
        <v>1267.4</v>
      </c>
      <c r="C3053" s="25">
        <v>1285.0</v>
      </c>
      <c r="D3053" s="25">
        <v>1264.83</v>
      </c>
      <c r="E3053" s="25">
        <v>1279.58</v>
      </c>
      <c r="F3053" s="25">
        <v>1267274.0</v>
      </c>
    </row>
    <row r="3054">
      <c r="A3054" s="25">
        <v>42880.64583333333</v>
      </c>
      <c r="B3054" s="25">
        <v>1288.5</v>
      </c>
      <c r="C3054" s="25">
        <v>1318.78</v>
      </c>
      <c r="D3054" s="25">
        <v>1284.0</v>
      </c>
      <c r="E3054" s="25">
        <v>1312.3</v>
      </c>
      <c r="F3054" s="25">
        <v>2047047.0</v>
      </c>
    </row>
    <row r="3055">
      <c r="A3055" s="25">
        <v>42881.64583333333</v>
      </c>
      <c r="B3055" s="25">
        <v>1312.5</v>
      </c>
      <c r="C3055" s="25">
        <v>1313.43</v>
      </c>
      <c r="D3055" s="25">
        <v>1282.33</v>
      </c>
      <c r="E3055" s="25">
        <v>1289.13</v>
      </c>
      <c r="F3055" s="25">
        <v>681275.0</v>
      </c>
    </row>
    <row r="3056">
      <c r="A3056" s="25">
        <v>42884.64583333333</v>
      </c>
      <c r="B3056" s="25">
        <v>1289.5</v>
      </c>
      <c r="C3056" s="25">
        <v>1298.25</v>
      </c>
      <c r="D3056" s="25">
        <v>1282.0</v>
      </c>
      <c r="E3056" s="25">
        <v>1286.43</v>
      </c>
      <c r="F3056" s="25">
        <v>874645.0</v>
      </c>
    </row>
    <row r="3057">
      <c r="A3057" s="25">
        <v>42885.64583333333</v>
      </c>
      <c r="B3057" s="25">
        <v>1280.0</v>
      </c>
      <c r="C3057" s="25">
        <v>1287.97</v>
      </c>
      <c r="D3057" s="25">
        <v>1262.5</v>
      </c>
      <c r="E3057" s="25">
        <v>1275.55</v>
      </c>
      <c r="F3057" s="25">
        <v>463817.0</v>
      </c>
    </row>
    <row r="3058">
      <c r="A3058" s="25">
        <v>42886.64583333333</v>
      </c>
      <c r="B3058" s="25">
        <v>1266.5</v>
      </c>
      <c r="C3058" s="25">
        <v>1286.25</v>
      </c>
      <c r="D3058" s="25">
        <v>1264.0</v>
      </c>
      <c r="E3058" s="25">
        <v>1273.3</v>
      </c>
      <c r="F3058" s="25">
        <v>1251365.0</v>
      </c>
    </row>
    <row r="3059">
      <c r="A3059" s="25">
        <v>42887.64583333333</v>
      </c>
      <c r="B3059" s="25">
        <v>1265.0</v>
      </c>
      <c r="C3059" s="25">
        <v>1282.0</v>
      </c>
      <c r="D3059" s="25">
        <v>1265.0</v>
      </c>
      <c r="E3059" s="25">
        <v>1276.8</v>
      </c>
      <c r="F3059" s="25">
        <v>540032.0</v>
      </c>
    </row>
    <row r="3060">
      <c r="A3060" s="25">
        <v>42888.64583333333</v>
      </c>
      <c r="B3060" s="25">
        <v>1278.13</v>
      </c>
      <c r="C3060" s="25">
        <v>1295.93</v>
      </c>
      <c r="D3060" s="25">
        <v>1276.25</v>
      </c>
      <c r="E3060" s="25">
        <v>1282.45</v>
      </c>
      <c r="F3060" s="25">
        <v>677824.0</v>
      </c>
    </row>
    <row r="3061">
      <c r="A3061" s="25">
        <v>42891.64583333333</v>
      </c>
      <c r="B3061" s="25">
        <v>1282.5</v>
      </c>
      <c r="C3061" s="25">
        <v>1309.95</v>
      </c>
      <c r="D3061" s="25">
        <v>1280.08</v>
      </c>
      <c r="E3061" s="25">
        <v>1301.97</v>
      </c>
      <c r="F3061" s="25">
        <v>750094.0</v>
      </c>
    </row>
    <row r="3062">
      <c r="A3062" s="25">
        <v>42892.64583333333</v>
      </c>
      <c r="B3062" s="25">
        <v>1315.5</v>
      </c>
      <c r="C3062" s="25">
        <v>1354.48</v>
      </c>
      <c r="D3062" s="25">
        <v>1315.0</v>
      </c>
      <c r="E3062" s="25">
        <v>1348.0</v>
      </c>
      <c r="F3062" s="25">
        <v>2973360.0</v>
      </c>
    </row>
    <row r="3063">
      <c r="A3063" s="25">
        <v>42893.64583333333</v>
      </c>
      <c r="B3063" s="25">
        <v>1348.5</v>
      </c>
      <c r="C3063" s="25">
        <v>1350.0</v>
      </c>
      <c r="D3063" s="25">
        <v>1288.28</v>
      </c>
      <c r="E3063" s="25">
        <v>1307.63</v>
      </c>
      <c r="F3063" s="25">
        <v>2463888.0</v>
      </c>
    </row>
    <row r="3064">
      <c r="A3064" s="25">
        <v>42894.64583333333</v>
      </c>
      <c r="B3064" s="25">
        <v>1299.0</v>
      </c>
      <c r="C3064" s="25">
        <v>1302.47</v>
      </c>
      <c r="D3064" s="25">
        <v>1257.75</v>
      </c>
      <c r="E3064" s="25">
        <v>1260.8</v>
      </c>
      <c r="F3064" s="25">
        <v>1665357.0</v>
      </c>
    </row>
    <row r="3065">
      <c r="A3065" s="25">
        <v>42895.64583333333</v>
      </c>
      <c r="B3065" s="25">
        <v>1260.0</v>
      </c>
      <c r="C3065" s="25">
        <v>1273.7</v>
      </c>
      <c r="D3065" s="25">
        <v>1243.0</v>
      </c>
      <c r="E3065" s="25">
        <v>1253.5</v>
      </c>
      <c r="F3065" s="25">
        <v>1574017.0</v>
      </c>
    </row>
    <row r="3066">
      <c r="A3066" s="25">
        <v>42898.64583333333</v>
      </c>
      <c r="B3066" s="25">
        <v>1248.5</v>
      </c>
      <c r="C3066" s="25">
        <v>1256.45</v>
      </c>
      <c r="D3066" s="25">
        <v>1235.2</v>
      </c>
      <c r="E3066" s="25">
        <v>1243.6</v>
      </c>
      <c r="F3066" s="25">
        <v>813253.0</v>
      </c>
    </row>
    <row r="3067">
      <c r="A3067" s="25">
        <v>42899.64583333333</v>
      </c>
      <c r="B3067" s="25">
        <v>1232.5</v>
      </c>
      <c r="C3067" s="25">
        <v>1240.55</v>
      </c>
      <c r="D3067" s="25">
        <v>1223.5</v>
      </c>
      <c r="E3067" s="25">
        <v>1225.78</v>
      </c>
      <c r="F3067" s="25">
        <v>587707.0</v>
      </c>
    </row>
    <row r="3068">
      <c r="A3068" s="25">
        <v>42900.64583333333</v>
      </c>
      <c r="B3068" s="25">
        <v>1227.5</v>
      </c>
      <c r="C3068" s="25">
        <v>1238.0</v>
      </c>
      <c r="D3068" s="25">
        <v>1227.5</v>
      </c>
      <c r="E3068" s="25">
        <v>1235.1</v>
      </c>
      <c r="F3068" s="25">
        <v>744571.0</v>
      </c>
    </row>
    <row r="3069">
      <c r="A3069" s="25">
        <v>42901.64583333333</v>
      </c>
      <c r="B3069" s="25">
        <v>1234.5</v>
      </c>
      <c r="C3069" s="25">
        <v>1234.85</v>
      </c>
      <c r="D3069" s="25">
        <v>1202.5</v>
      </c>
      <c r="E3069" s="25">
        <v>1205.6</v>
      </c>
      <c r="F3069" s="25">
        <v>1498599.0</v>
      </c>
    </row>
    <row r="3070">
      <c r="A3070" s="25">
        <v>42902.64583333333</v>
      </c>
      <c r="B3070" s="25">
        <v>1207.47</v>
      </c>
      <c r="C3070" s="25">
        <v>1217.5</v>
      </c>
      <c r="D3070" s="25">
        <v>1193.25</v>
      </c>
      <c r="E3070" s="25">
        <v>1199.85</v>
      </c>
      <c r="F3070" s="25">
        <v>1225213.0</v>
      </c>
    </row>
    <row r="3071">
      <c r="A3071" s="25">
        <v>42905.64583333333</v>
      </c>
      <c r="B3071" s="25">
        <v>1208.45</v>
      </c>
      <c r="C3071" s="25">
        <v>1223.18</v>
      </c>
      <c r="D3071" s="25">
        <v>1202.58</v>
      </c>
      <c r="E3071" s="25">
        <v>1215.85</v>
      </c>
      <c r="F3071" s="25">
        <v>822371.0</v>
      </c>
    </row>
    <row r="3072">
      <c r="A3072" s="25">
        <v>42906.64583333333</v>
      </c>
      <c r="B3072" s="25">
        <v>1215.5</v>
      </c>
      <c r="C3072" s="25">
        <v>1224.5</v>
      </c>
      <c r="D3072" s="25">
        <v>1190.15</v>
      </c>
      <c r="E3072" s="25">
        <v>1222.5</v>
      </c>
      <c r="F3072" s="25">
        <v>835479.0</v>
      </c>
    </row>
    <row r="3073">
      <c r="A3073" s="25">
        <v>42907.64583333333</v>
      </c>
      <c r="B3073" s="25">
        <v>1220.0</v>
      </c>
      <c r="C3073" s="25">
        <v>1221.08</v>
      </c>
      <c r="D3073" s="25">
        <v>1198.6</v>
      </c>
      <c r="E3073" s="25">
        <v>1203.15</v>
      </c>
      <c r="F3073" s="25">
        <v>828909.0</v>
      </c>
    </row>
    <row r="3074">
      <c r="A3074" s="25">
        <v>42908.64583333333</v>
      </c>
      <c r="B3074" s="25">
        <v>1204.5</v>
      </c>
      <c r="C3074" s="25">
        <v>1215.5</v>
      </c>
      <c r="D3074" s="25">
        <v>1192.5</v>
      </c>
      <c r="E3074" s="25">
        <v>1197.43</v>
      </c>
      <c r="F3074" s="25">
        <v>2887941.0</v>
      </c>
    </row>
    <row r="3075">
      <c r="A3075" s="25">
        <v>42909.64583333333</v>
      </c>
      <c r="B3075" s="25">
        <v>1199.7</v>
      </c>
      <c r="C3075" s="25">
        <v>1206.97</v>
      </c>
      <c r="D3075" s="25">
        <v>1177.0</v>
      </c>
      <c r="E3075" s="25">
        <v>1180.85</v>
      </c>
      <c r="F3075" s="25">
        <v>712378.0</v>
      </c>
    </row>
    <row r="3076">
      <c r="A3076" s="25">
        <v>42913.64583333333</v>
      </c>
      <c r="B3076" s="25">
        <v>1175.3</v>
      </c>
      <c r="C3076" s="25">
        <v>1192.35</v>
      </c>
      <c r="D3076" s="25">
        <v>1165.8</v>
      </c>
      <c r="E3076" s="25">
        <v>1171.43</v>
      </c>
      <c r="F3076" s="25">
        <v>987165.0</v>
      </c>
    </row>
    <row r="3077">
      <c r="A3077" s="25">
        <v>42914.64583333333</v>
      </c>
      <c r="B3077" s="25">
        <v>1174.95</v>
      </c>
      <c r="C3077" s="25">
        <v>1179.0</v>
      </c>
      <c r="D3077" s="25">
        <v>1167.5</v>
      </c>
      <c r="E3077" s="25">
        <v>1175.03</v>
      </c>
      <c r="F3077" s="25">
        <v>894863.0</v>
      </c>
    </row>
    <row r="3078">
      <c r="A3078" s="25">
        <v>42915.64583333333</v>
      </c>
      <c r="B3078" s="25">
        <v>1179.5</v>
      </c>
      <c r="C3078" s="25">
        <v>1186.03</v>
      </c>
      <c r="D3078" s="25">
        <v>1161.55</v>
      </c>
      <c r="E3078" s="25">
        <v>1166.63</v>
      </c>
      <c r="F3078" s="25">
        <v>1235913.0</v>
      </c>
    </row>
    <row r="3079">
      <c r="A3079" s="25">
        <v>42916.64583333333</v>
      </c>
      <c r="B3079" s="25">
        <v>1162.2</v>
      </c>
      <c r="C3079" s="25">
        <v>1188.5</v>
      </c>
      <c r="D3079" s="25">
        <v>1161.55</v>
      </c>
      <c r="E3079" s="25">
        <v>1181.18</v>
      </c>
      <c r="F3079" s="25">
        <v>876924.0</v>
      </c>
    </row>
    <row r="3080">
      <c r="A3080" s="25">
        <v>42919.64583333333</v>
      </c>
      <c r="B3080" s="25">
        <v>1178.7</v>
      </c>
      <c r="C3080" s="25">
        <v>1191.53</v>
      </c>
      <c r="D3080" s="25">
        <v>1171.55</v>
      </c>
      <c r="E3080" s="25">
        <v>1186.8</v>
      </c>
      <c r="F3080" s="25">
        <v>737978.0</v>
      </c>
    </row>
    <row r="3081">
      <c r="A3081" s="25">
        <v>42920.64583333333</v>
      </c>
      <c r="B3081" s="25">
        <v>1186.65</v>
      </c>
      <c r="C3081" s="25">
        <v>1190.22</v>
      </c>
      <c r="D3081" s="25">
        <v>1175.03</v>
      </c>
      <c r="E3081" s="25">
        <v>1183.43</v>
      </c>
      <c r="F3081" s="25">
        <v>607567.0</v>
      </c>
    </row>
    <row r="3082">
      <c r="A3082" s="25">
        <v>42921.64583333333</v>
      </c>
      <c r="B3082" s="25">
        <v>1180.4</v>
      </c>
      <c r="C3082" s="25">
        <v>1182.5</v>
      </c>
      <c r="D3082" s="25">
        <v>1172.5</v>
      </c>
      <c r="E3082" s="25">
        <v>1178.0</v>
      </c>
      <c r="F3082" s="25">
        <v>407928.0</v>
      </c>
    </row>
    <row r="3083">
      <c r="A3083" s="25">
        <v>42922.64583333333</v>
      </c>
      <c r="B3083" s="25">
        <v>1179.5</v>
      </c>
      <c r="C3083" s="25">
        <v>1180.95</v>
      </c>
      <c r="D3083" s="25">
        <v>1170.05</v>
      </c>
      <c r="E3083" s="25">
        <v>1173.78</v>
      </c>
      <c r="F3083" s="25">
        <v>513394.0</v>
      </c>
    </row>
    <row r="3084">
      <c r="A3084" s="25">
        <v>42923.64583333333</v>
      </c>
      <c r="B3084" s="25">
        <v>1175.0</v>
      </c>
      <c r="C3084" s="25">
        <v>1178.22</v>
      </c>
      <c r="D3084" s="25">
        <v>1162.75</v>
      </c>
      <c r="E3084" s="25">
        <v>1165.97</v>
      </c>
      <c r="F3084" s="25">
        <v>616045.0</v>
      </c>
    </row>
    <row r="3085">
      <c r="A3085" s="25">
        <v>42926.64583333333</v>
      </c>
      <c r="B3085" s="25">
        <v>1203.0</v>
      </c>
      <c r="C3085" s="25">
        <v>1222.45</v>
      </c>
      <c r="D3085" s="25">
        <v>1189.47</v>
      </c>
      <c r="E3085" s="25">
        <v>1217.47</v>
      </c>
      <c r="F3085" s="25">
        <v>391804.0</v>
      </c>
    </row>
    <row r="3086">
      <c r="A3086" s="25">
        <v>42927.64583333333</v>
      </c>
      <c r="B3086" s="25">
        <v>1213.0</v>
      </c>
      <c r="C3086" s="25">
        <v>1257.4</v>
      </c>
      <c r="D3086" s="25">
        <v>1213.0</v>
      </c>
      <c r="E3086" s="25">
        <v>1237.9</v>
      </c>
      <c r="F3086" s="25">
        <v>1768752.0</v>
      </c>
    </row>
    <row r="3087">
      <c r="A3087" s="25">
        <v>42928.64583333333</v>
      </c>
      <c r="B3087" s="25">
        <v>1241.25</v>
      </c>
      <c r="C3087" s="25">
        <v>1241.65</v>
      </c>
      <c r="D3087" s="25">
        <v>1215.05</v>
      </c>
      <c r="E3087" s="25">
        <v>1219.72</v>
      </c>
      <c r="F3087" s="25">
        <v>1323225.0</v>
      </c>
    </row>
    <row r="3088">
      <c r="A3088" s="25">
        <v>42929.64583333333</v>
      </c>
      <c r="B3088" s="25">
        <v>1222.5</v>
      </c>
      <c r="C3088" s="25">
        <v>1236.0</v>
      </c>
      <c r="D3088" s="25">
        <v>1213.3</v>
      </c>
      <c r="E3088" s="25">
        <v>1223.2</v>
      </c>
      <c r="F3088" s="25">
        <v>1565980.0</v>
      </c>
    </row>
    <row r="3089">
      <c r="A3089" s="25">
        <v>42930.64583333333</v>
      </c>
      <c r="B3089" s="25">
        <v>1191.5</v>
      </c>
      <c r="C3089" s="25">
        <v>1212.5</v>
      </c>
      <c r="D3089" s="25">
        <v>1187.5</v>
      </c>
      <c r="E3089" s="25">
        <v>1198.72</v>
      </c>
      <c r="F3089" s="25">
        <v>2254216.0</v>
      </c>
    </row>
    <row r="3090">
      <c r="A3090" s="25">
        <v>42933.64583333333</v>
      </c>
      <c r="B3090" s="25">
        <v>1198.85</v>
      </c>
      <c r="C3090" s="25">
        <v>1211.05</v>
      </c>
      <c r="D3090" s="25">
        <v>1191.1</v>
      </c>
      <c r="E3090" s="25">
        <v>1197.72</v>
      </c>
      <c r="F3090" s="25">
        <v>1105911.0</v>
      </c>
    </row>
    <row r="3091">
      <c r="A3091" s="25">
        <v>42934.64583333333</v>
      </c>
      <c r="B3091" s="25">
        <v>1198.08</v>
      </c>
      <c r="C3091" s="25">
        <v>1221.5</v>
      </c>
      <c r="D3091" s="25">
        <v>1198.08</v>
      </c>
      <c r="E3091" s="25">
        <v>1204.18</v>
      </c>
      <c r="F3091" s="25">
        <v>954001.0</v>
      </c>
    </row>
    <row r="3092">
      <c r="A3092" s="25">
        <v>42935.64583333333</v>
      </c>
      <c r="B3092" s="25">
        <v>1207.75</v>
      </c>
      <c r="C3092" s="25">
        <v>1230.0</v>
      </c>
      <c r="D3092" s="25">
        <v>1207.55</v>
      </c>
      <c r="E3092" s="25">
        <v>1224.8</v>
      </c>
      <c r="F3092" s="25">
        <v>1957788.0</v>
      </c>
    </row>
    <row r="3093">
      <c r="A3093" s="25">
        <v>42936.64583333333</v>
      </c>
      <c r="B3093" s="25">
        <v>1224.63</v>
      </c>
      <c r="C3093" s="25">
        <v>1228.45</v>
      </c>
      <c r="D3093" s="25">
        <v>1215.25</v>
      </c>
      <c r="E3093" s="25">
        <v>1222.35</v>
      </c>
      <c r="F3093" s="25">
        <v>591252.0</v>
      </c>
    </row>
    <row r="3094">
      <c r="A3094" s="25">
        <v>42937.64583333333</v>
      </c>
      <c r="B3094" s="25">
        <v>1217.45</v>
      </c>
      <c r="C3094" s="25">
        <v>1250.0</v>
      </c>
      <c r="D3094" s="25">
        <v>1217.28</v>
      </c>
      <c r="E3094" s="25">
        <v>1245.6</v>
      </c>
      <c r="F3094" s="25">
        <v>1074208.0</v>
      </c>
    </row>
    <row r="3095">
      <c r="A3095" s="25">
        <v>42940.64583333333</v>
      </c>
      <c r="B3095" s="25">
        <v>1241.0</v>
      </c>
      <c r="C3095" s="25">
        <v>1270.0</v>
      </c>
      <c r="D3095" s="25">
        <v>1241.0</v>
      </c>
      <c r="E3095" s="25">
        <v>1265.35</v>
      </c>
      <c r="F3095" s="25">
        <v>1135701.0</v>
      </c>
    </row>
    <row r="3096">
      <c r="A3096" s="25">
        <v>42941.64583333333</v>
      </c>
      <c r="B3096" s="25">
        <v>1262.88</v>
      </c>
      <c r="C3096" s="25">
        <v>1290.0</v>
      </c>
      <c r="D3096" s="25">
        <v>1259.2</v>
      </c>
      <c r="E3096" s="25">
        <v>1285.75</v>
      </c>
      <c r="F3096" s="25">
        <v>1339416.0</v>
      </c>
    </row>
    <row r="3097">
      <c r="A3097" s="25">
        <v>42942.64583333333</v>
      </c>
      <c r="B3097" s="25">
        <v>1280.0</v>
      </c>
      <c r="C3097" s="25">
        <v>1287.5</v>
      </c>
      <c r="D3097" s="25">
        <v>1273.5</v>
      </c>
      <c r="E3097" s="25">
        <v>1278.0</v>
      </c>
      <c r="F3097" s="25">
        <v>729913.0</v>
      </c>
    </row>
    <row r="3098">
      <c r="A3098" s="25">
        <v>42943.64583333333</v>
      </c>
      <c r="B3098" s="25">
        <v>1271.1</v>
      </c>
      <c r="C3098" s="25">
        <v>1292.4</v>
      </c>
      <c r="D3098" s="25">
        <v>1233.25</v>
      </c>
      <c r="E3098" s="25">
        <v>1240.85</v>
      </c>
      <c r="F3098" s="25">
        <v>2127652.0</v>
      </c>
    </row>
    <row r="3099">
      <c r="A3099" s="25">
        <v>42944.64583333333</v>
      </c>
      <c r="B3099" s="25">
        <v>1240.5</v>
      </c>
      <c r="C3099" s="25">
        <v>1246.53</v>
      </c>
      <c r="D3099" s="25">
        <v>1221.0</v>
      </c>
      <c r="E3099" s="25">
        <v>1242.15</v>
      </c>
      <c r="F3099" s="25">
        <v>691376.0</v>
      </c>
    </row>
    <row r="3100">
      <c r="A3100" s="25">
        <v>42947.64583333333</v>
      </c>
      <c r="B3100" s="25">
        <v>1235.5</v>
      </c>
      <c r="C3100" s="25">
        <v>1259.5</v>
      </c>
      <c r="D3100" s="25">
        <v>1231.5</v>
      </c>
      <c r="E3100" s="25">
        <v>1245.9</v>
      </c>
      <c r="F3100" s="25">
        <v>1009831.0</v>
      </c>
    </row>
    <row r="3101">
      <c r="A3101" s="25">
        <v>42948.64583333333</v>
      </c>
      <c r="B3101" s="25">
        <v>1250.0</v>
      </c>
      <c r="C3101" s="25">
        <v>1260.38</v>
      </c>
      <c r="D3101" s="25">
        <v>1245.5</v>
      </c>
      <c r="E3101" s="25">
        <v>1250.83</v>
      </c>
      <c r="F3101" s="25">
        <v>873730.0</v>
      </c>
    </row>
    <row r="3102">
      <c r="A3102" s="25">
        <v>42949.64583333333</v>
      </c>
      <c r="B3102" s="25">
        <v>1250.0</v>
      </c>
      <c r="C3102" s="25">
        <v>1254.0</v>
      </c>
      <c r="D3102" s="25">
        <v>1231.0</v>
      </c>
      <c r="E3102" s="25">
        <v>1236.9</v>
      </c>
      <c r="F3102" s="25">
        <v>625512.0</v>
      </c>
    </row>
    <row r="3103">
      <c r="A3103" s="25">
        <v>42950.64583333333</v>
      </c>
      <c r="B3103" s="25">
        <v>1240.0</v>
      </c>
      <c r="C3103" s="25">
        <v>1251.0</v>
      </c>
      <c r="D3103" s="25">
        <v>1233.22</v>
      </c>
      <c r="E3103" s="25">
        <v>1244.72</v>
      </c>
      <c r="F3103" s="25">
        <v>941274.0</v>
      </c>
    </row>
    <row r="3104">
      <c r="A3104" s="25">
        <v>42951.64583333333</v>
      </c>
      <c r="B3104" s="25">
        <v>1245.4</v>
      </c>
      <c r="C3104" s="25">
        <v>1264.15</v>
      </c>
      <c r="D3104" s="25">
        <v>1244.0</v>
      </c>
      <c r="E3104" s="25">
        <v>1261.4</v>
      </c>
      <c r="F3104" s="25">
        <v>693945.0</v>
      </c>
    </row>
    <row r="3105">
      <c r="A3105" s="25">
        <v>42954.64583333333</v>
      </c>
      <c r="B3105" s="25">
        <v>1258.25</v>
      </c>
      <c r="C3105" s="25">
        <v>1260.0</v>
      </c>
      <c r="D3105" s="25">
        <v>1240.6</v>
      </c>
      <c r="E3105" s="25">
        <v>1251.72</v>
      </c>
      <c r="F3105" s="25">
        <v>942760.0</v>
      </c>
    </row>
    <row r="3106">
      <c r="A3106" s="25">
        <v>42955.64583333333</v>
      </c>
      <c r="B3106" s="25">
        <v>1256.0</v>
      </c>
      <c r="C3106" s="25">
        <v>1264.3</v>
      </c>
      <c r="D3106" s="25">
        <v>1248.15</v>
      </c>
      <c r="E3106" s="25">
        <v>1251.53</v>
      </c>
      <c r="F3106" s="25">
        <v>536979.0</v>
      </c>
    </row>
    <row r="3107">
      <c r="A3107" s="25">
        <v>42956.64583333333</v>
      </c>
      <c r="B3107" s="25">
        <v>1250.0</v>
      </c>
      <c r="C3107" s="25">
        <v>1261.43</v>
      </c>
      <c r="D3107" s="25">
        <v>1246.65</v>
      </c>
      <c r="E3107" s="25">
        <v>1256.0</v>
      </c>
      <c r="F3107" s="25">
        <v>496473.0</v>
      </c>
    </row>
    <row r="3108">
      <c r="A3108" s="25">
        <v>42957.64583333333</v>
      </c>
      <c r="B3108" s="25">
        <v>1254.5</v>
      </c>
      <c r="C3108" s="25">
        <v>1260.3</v>
      </c>
      <c r="D3108" s="25">
        <v>1243.18</v>
      </c>
      <c r="E3108" s="25">
        <v>1255.72</v>
      </c>
      <c r="F3108" s="25">
        <v>763086.0</v>
      </c>
    </row>
    <row r="3109">
      <c r="A3109" s="25">
        <v>42958.64583333333</v>
      </c>
      <c r="B3109" s="25">
        <v>1249.95</v>
      </c>
      <c r="C3109" s="25">
        <v>1267.5</v>
      </c>
      <c r="D3109" s="25">
        <v>1241.5</v>
      </c>
      <c r="E3109" s="25">
        <v>1248.03</v>
      </c>
      <c r="F3109" s="25">
        <v>697368.0</v>
      </c>
    </row>
    <row r="3110">
      <c r="A3110" s="25">
        <v>42961.64583333333</v>
      </c>
      <c r="B3110" s="25">
        <v>1251.5</v>
      </c>
      <c r="C3110" s="25">
        <v>1254.95</v>
      </c>
      <c r="D3110" s="25">
        <v>1231.5</v>
      </c>
      <c r="E3110" s="25">
        <v>1234.7</v>
      </c>
      <c r="F3110" s="25">
        <v>393252.0</v>
      </c>
    </row>
    <row r="3111">
      <c r="A3111" s="25">
        <v>42963.64583333333</v>
      </c>
      <c r="B3111" s="25">
        <v>1242.0</v>
      </c>
      <c r="C3111" s="25">
        <v>1271.9</v>
      </c>
      <c r="D3111" s="25">
        <v>1232.6</v>
      </c>
      <c r="E3111" s="25">
        <v>1246.18</v>
      </c>
      <c r="F3111" s="25">
        <v>686670.0</v>
      </c>
    </row>
    <row r="3112">
      <c r="A3112" s="25">
        <v>42964.64583333333</v>
      </c>
      <c r="B3112" s="25">
        <v>1250.35</v>
      </c>
      <c r="C3112" s="25">
        <v>1252.5</v>
      </c>
      <c r="D3112" s="25">
        <v>1231.05</v>
      </c>
      <c r="E3112" s="25">
        <v>1242.83</v>
      </c>
      <c r="F3112" s="25">
        <v>876187.0</v>
      </c>
    </row>
    <row r="3113">
      <c r="A3113" s="25">
        <v>42965.64583333333</v>
      </c>
      <c r="B3113" s="25">
        <v>1237.0</v>
      </c>
      <c r="C3113" s="25">
        <v>1274.95</v>
      </c>
      <c r="D3113" s="25">
        <v>1235.7</v>
      </c>
      <c r="E3113" s="25">
        <v>1256.9</v>
      </c>
      <c r="F3113" s="25">
        <v>1418678.0</v>
      </c>
    </row>
    <row r="3114">
      <c r="A3114" s="25">
        <v>42968.64583333333</v>
      </c>
      <c r="B3114" s="25">
        <v>1252.75</v>
      </c>
      <c r="C3114" s="25">
        <v>1274.5</v>
      </c>
      <c r="D3114" s="25">
        <v>1247.15</v>
      </c>
      <c r="E3114" s="25">
        <v>1264.4</v>
      </c>
      <c r="F3114" s="25">
        <v>1152417.0</v>
      </c>
    </row>
    <row r="3115">
      <c r="A3115" s="25">
        <v>42969.64583333333</v>
      </c>
      <c r="B3115" s="25">
        <v>1261.5</v>
      </c>
      <c r="C3115" s="25">
        <v>1269.75</v>
      </c>
      <c r="D3115" s="25">
        <v>1246.0</v>
      </c>
      <c r="E3115" s="25">
        <v>1248.78</v>
      </c>
      <c r="F3115" s="25">
        <v>565663.0</v>
      </c>
    </row>
    <row r="3116">
      <c r="A3116" s="25">
        <v>42970.64583333333</v>
      </c>
      <c r="B3116" s="25">
        <v>1252.5</v>
      </c>
      <c r="C3116" s="25">
        <v>1258.4</v>
      </c>
      <c r="D3116" s="25">
        <v>1236.58</v>
      </c>
      <c r="E3116" s="25">
        <v>1244.72</v>
      </c>
      <c r="F3116" s="25">
        <v>781136.0</v>
      </c>
    </row>
    <row r="3117">
      <c r="A3117" s="25">
        <v>42971.64583333333</v>
      </c>
      <c r="B3117" s="25">
        <v>1248.85</v>
      </c>
      <c r="C3117" s="25">
        <v>1258.97</v>
      </c>
      <c r="D3117" s="25">
        <v>1243.08</v>
      </c>
      <c r="E3117" s="25">
        <v>1248.3</v>
      </c>
      <c r="F3117" s="25">
        <v>811954.0</v>
      </c>
    </row>
    <row r="3118">
      <c r="A3118" s="25">
        <v>42975.64583333333</v>
      </c>
      <c r="B3118" s="25">
        <v>1252.3</v>
      </c>
      <c r="C3118" s="25">
        <v>1252.7</v>
      </c>
      <c r="D3118" s="25">
        <v>1230.5</v>
      </c>
      <c r="E3118" s="25">
        <v>1243.65</v>
      </c>
      <c r="F3118" s="25">
        <v>1018398.0</v>
      </c>
    </row>
    <row r="3119">
      <c r="A3119" s="25">
        <v>42976.64583333333</v>
      </c>
      <c r="B3119" s="25">
        <v>1241.0</v>
      </c>
      <c r="C3119" s="25">
        <v>1248.0</v>
      </c>
      <c r="D3119" s="25">
        <v>1231.97</v>
      </c>
      <c r="E3119" s="25">
        <v>1235.43</v>
      </c>
      <c r="F3119" s="25">
        <v>656301.0</v>
      </c>
    </row>
    <row r="3120">
      <c r="A3120" s="25">
        <v>42977.64583333333</v>
      </c>
      <c r="B3120" s="25">
        <v>1240.5</v>
      </c>
      <c r="C3120" s="25">
        <v>1245.0</v>
      </c>
      <c r="D3120" s="25">
        <v>1230.05</v>
      </c>
      <c r="E3120" s="25">
        <v>1242.28</v>
      </c>
      <c r="F3120" s="25">
        <v>485391.0</v>
      </c>
    </row>
    <row r="3121">
      <c r="A3121" s="25">
        <v>42978.64583333333</v>
      </c>
      <c r="B3121" s="25">
        <v>1242.5</v>
      </c>
      <c r="C3121" s="25">
        <v>1252.2</v>
      </c>
      <c r="D3121" s="25">
        <v>1233.33</v>
      </c>
      <c r="E3121" s="25">
        <v>1248.18</v>
      </c>
      <c r="F3121" s="25">
        <v>892332.0</v>
      </c>
    </row>
    <row r="3122">
      <c r="A3122" s="25">
        <v>42979.64583333333</v>
      </c>
      <c r="B3122" s="25">
        <v>1240.0</v>
      </c>
      <c r="C3122" s="25">
        <v>1249.03</v>
      </c>
      <c r="D3122" s="25">
        <v>1218.28</v>
      </c>
      <c r="E3122" s="25">
        <v>1228.22</v>
      </c>
      <c r="F3122" s="25">
        <v>851165.0</v>
      </c>
    </row>
    <row r="3123">
      <c r="A3123" s="25">
        <v>42982.64583333333</v>
      </c>
      <c r="B3123" s="25">
        <v>1226.55</v>
      </c>
      <c r="C3123" s="25">
        <v>1230.5</v>
      </c>
      <c r="D3123" s="25">
        <v>1219.0</v>
      </c>
      <c r="E3123" s="25">
        <v>1228.1</v>
      </c>
      <c r="F3123" s="25">
        <v>531272.0</v>
      </c>
    </row>
    <row r="3124">
      <c r="A3124" s="25">
        <v>42983.64583333333</v>
      </c>
      <c r="B3124" s="25">
        <v>1230.0</v>
      </c>
      <c r="C3124" s="25">
        <v>1245.0</v>
      </c>
      <c r="D3124" s="25">
        <v>1218.53</v>
      </c>
      <c r="E3124" s="25">
        <v>1242.18</v>
      </c>
      <c r="F3124" s="25">
        <v>582997.0</v>
      </c>
    </row>
    <row r="3125">
      <c r="A3125" s="25">
        <v>42984.64583333333</v>
      </c>
      <c r="B3125" s="25">
        <v>1234.08</v>
      </c>
      <c r="C3125" s="25">
        <v>1237.43</v>
      </c>
      <c r="D3125" s="25">
        <v>1225.0</v>
      </c>
      <c r="E3125" s="25">
        <v>1226.6</v>
      </c>
      <c r="F3125" s="25">
        <v>614382.0</v>
      </c>
    </row>
    <row r="3126">
      <c r="A3126" s="25">
        <v>42985.64583333333</v>
      </c>
      <c r="B3126" s="25">
        <v>1229.0</v>
      </c>
      <c r="C3126" s="25">
        <v>1234.2</v>
      </c>
      <c r="D3126" s="25">
        <v>1225.53</v>
      </c>
      <c r="E3126" s="25">
        <v>1230.05</v>
      </c>
      <c r="F3126" s="25">
        <v>435318.0</v>
      </c>
    </row>
    <row r="3127">
      <c r="A3127" s="25">
        <v>42986.64583333333</v>
      </c>
      <c r="B3127" s="25">
        <v>1226.88</v>
      </c>
      <c r="C3127" s="25">
        <v>1237.0</v>
      </c>
      <c r="D3127" s="25">
        <v>1226.28</v>
      </c>
      <c r="E3127" s="25">
        <v>1235.3</v>
      </c>
      <c r="F3127" s="25">
        <v>510567.0</v>
      </c>
    </row>
    <row r="3128">
      <c r="A3128" s="25">
        <v>42989.64583333333</v>
      </c>
      <c r="B3128" s="25">
        <v>1235.6</v>
      </c>
      <c r="C3128" s="25">
        <v>1241.47</v>
      </c>
      <c r="D3128" s="25">
        <v>1225.0</v>
      </c>
      <c r="E3128" s="25">
        <v>1227.22</v>
      </c>
      <c r="F3128" s="25">
        <v>366382.0</v>
      </c>
    </row>
    <row r="3129">
      <c r="A3129" s="25">
        <v>42990.64583333333</v>
      </c>
      <c r="B3129" s="25">
        <v>1236.95</v>
      </c>
      <c r="C3129" s="25">
        <v>1248.5</v>
      </c>
      <c r="D3129" s="25">
        <v>1228.5</v>
      </c>
      <c r="E3129" s="25">
        <v>1244.22</v>
      </c>
      <c r="F3129" s="25">
        <v>698230.0</v>
      </c>
    </row>
    <row r="3130">
      <c r="A3130" s="25">
        <v>42991.64583333333</v>
      </c>
      <c r="B3130" s="25">
        <v>1250.0</v>
      </c>
      <c r="C3130" s="25">
        <v>1265.83</v>
      </c>
      <c r="D3130" s="25">
        <v>1237.6</v>
      </c>
      <c r="E3130" s="25">
        <v>1244.6</v>
      </c>
      <c r="F3130" s="25">
        <v>639490.0</v>
      </c>
    </row>
    <row r="3131">
      <c r="A3131" s="25">
        <v>42992.64583333333</v>
      </c>
      <c r="B3131" s="25">
        <v>1241.0</v>
      </c>
      <c r="C3131" s="25">
        <v>1248.8</v>
      </c>
      <c r="D3131" s="25">
        <v>1235.95</v>
      </c>
      <c r="E3131" s="25">
        <v>1243.47</v>
      </c>
      <c r="F3131" s="25">
        <v>540755.0</v>
      </c>
    </row>
    <row r="3132">
      <c r="A3132" s="25">
        <v>42993.64583333333</v>
      </c>
      <c r="B3132" s="25">
        <v>1249.5</v>
      </c>
      <c r="C3132" s="25">
        <v>1258.5</v>
      </c>
      <c r="D3132" s="25">
        <v>1242.5</v>
      </c>
      <c r="E3132" s="25">
        <v>1253.03</v>
      </c>
      <c r="F3132" s="25">
        <v>1472036.0</v>
      </c>
    </row>
    <row r="3133">
      <c r="A3133" s="25">
        <v>42996.64583333333</v>
      </c>
      <c r="B3133" s="25">
        <v>1252.47</v>
      </c>
      <c r="C3133" s="25">
        <v>1259.47</v>
      </c>
      <c r="D3133" s="25">
        <v>1244.63</v>
      </c>
      <c r="E3133" s="25">
        <v>1249.53</v>
      </c>
      <c r="F3133" s="25">
        <v>363300.0</v>
      </c>
    </row>
    <row r="3134">
      <c r="A3134" s="25">
        <v>42997.64583333333</v>
      </c>
      <c r="B3134" s="25">
        <v>1252.5</v>
      </c>
      <c r="C3134" s="25">
        <v>1252.5</v>
      </c>
      <c r="D3134" s="25">
        <v>1245.75</v>
      </c>
      <c r="E3134" s="25">
        <v>1249.13</v>
      </c>
      <c r="F3134" s="25">
        <v>391377.0</v>
      </c>
    </row>
    <row r="3135">
      <c r="A3135" s="25">
        <v>42998.64583333333</v>
      </c>
      <c r="B3135" s="25">
        <v>1257.0</v>
      </c>
      <c r="C3135" s="25">
        <v>1257.0</v>
      </c>
      <c r="D3135" s="25">
        <v>1237.15</v>
      </c>
      <c r="E3135" s="25">
        <v>1246.78</v>
      </c>
      <c r="F3135" s="25">
        <v>667321.0</v>
      </c>
    </row>
    <row r="3136">
      <c r="A3136" s="25">
        <v>42999.64583333333</v>
      </c>
      <c r="B3136" s="25">
        <v>1245.53</v>
      </c>
      <c r="C3136" s="25">
        <v>1270.5</v>
      </c>
      <c r="D3136" s="25">
        <v>1240.0</v>
      </c>
      <c r="E3136" s="25">
        <v>1262.45</v>
      </c>
      <c r="F3136" s="25">
        <v>1219370.0</v>
      </c>
    </row>
    <row r="3137">
      <c r="A3137" s="25">
        <v>43000.64583333333</v>
      </c>
      <c r="B3137" s="25">
        <v>1259.95</v>
      </c>
      <c r="C3137" s="25">
        <v>1263.45</v>
      </c>
      <c r="D3137" s="25">
        <v>1246.0</v>
      </c>
      <c r="E3137" s="25">
        <v>1251.8</v>
      </c>
      <c r="F3137" s="25">
        <v>1217698.0</v>
      </c>
    </row>
    <row r="3138">
      <c r="A3138" s="25">
        <v>43003.64583333333</v>
      </c>
      <c r="B3138" s="25">
        <v>1248.28</v>
      </c>
      <c r="C3138" s="25">
        <v>1267.0</v>
      </c>
      <c r="D3138" s="25">
        <v>1246.38</v>
      </c>
      <c r="E3138" s="25">
        <v>1255.38</v>
      </c>
      <c r="F3138" s="25">
        <v>799779.0</v>
      </c>
    </row>
    <row r="3139">
      <c r="A3139" s="25">
        <v>43004.64583333333</v>
      </c>
      <c r="B3139" s="25">
        <v>1255.0</v>
      </c>
      <c r="C3139" s="25">
        <v>1263.2</v>
      </c>
      <c r="D3139" s="25">
        <v>1233.0</v>
      </c>
      <c r="E3139" s="25">
        <v>1237.33</v>
      </c>
      <c r="F3139" s="25">
        <v>724615.0</v>
      </c>
    </row>
    <row r="3140">
      <c r="A3140" s="25">
        <v>43005.64583333333</v>
      </c>
      <c r="B3140" s="25">
        <v>1245.0</v>
      </c>
      <c r="C3140" s="25">
        <v>1256.1</v>
      </c>
      <c r="D3140" s="25">
        <v>1236.88</v>
      </c>
      <c r="E3140" s="25">
        <v>1247.5</v>
      </c>
      <c r="F3140" s="25">
        <v>1005178.0</v>
      </c>
    </row>
    <row r="3141">
      <c r="A3141" s="25">
        <v>43006.64583333333</v>
      </c>
      <c r="B3141" s="25">
        <v>1247.35</v>
      </c>
      <c r="C3141" s="25">
        <v>1257.0</v>
      </c>
      <c r="D3141" s="25">
        <v>1226.0</v>
      </c>
      <c r="E3141" s="25">
        <v>1238.22</v>
      </c>
      <c r="F3141" s="25">
        <v>2166433.0</v>
      </c>
    </row>
    <row r="3142">
      <c r="A3142" s="25">
        <v>43007.64583333333</v>
      </c>
      <c r="B3142" s="25">
        <v>1239.5</v>
      </c>
      <c r="C3142" s="25">
        <v>1242.0</v>
      </c>
      <c r="D3142" s="25">
        <v>1210.75</v>
      </c>
      <c r="E3142" s="25">
        <v>1217.97</v>
      </c>
      <c r="F3142" s="25">
        <v>992507.0</v>
      </c>
    </row>
    <row r="3143">
      <c r="A3143" s="25">
        <v>43011.64583333333</v>
      </c>
      <c r="B3143" s="25">
        <v>1220.0</v>
      </c>
      <c r="C3143" s="25">
        <v>1227.15</v>
      </c>
      <c r="D3143" s="25">
        <v>1213.53</v>
      </c>
      <c r="E3143" s="25">
        <v>1224.22</v>
      </c>
      <c r="F3143" s="25">
        <v>961503.0</v>
      </c>
    </row>
    <row r="3144">
      <c r="A3144" s="25">
        <v>43012.64583333333</v>
      </c>
      <c r="B3144" s="25">
        <v>1224.8</v>
      </c>
      <c r="C3144" s="25">
        <v>1227.0</v>
      </c>
      <c r="D3144" s="25">
        <v>1212.5</v>
      </c>
      <c r="E3144" s="25">
        <v>1221.15</v>
      </c>
      <c r="F3144" s="25">
        <v>650389.0</v>
      </c>
    </row>
    <row r="3145">
      <c r="A3145" s="25">
        <v>43013.64583333333</v>
      </c>
      <c r="B3145" s="25">
        <v>1220.5</v>
      </c>
      <c r="C3145" s="25">
        <v>1221.72</v>
      </c>
      <c r="D3145" s="25">
        <v>1212.2</v>
      </c>
      <c r="E3145" s="25">
        <v>1214.8</v>
      </c>
      <c r="F3145" s="25">
        <v>842343.0</v>
      </c>
    </row>
    <row r="3146">
      <c r="A3146" s="25">
        <v>43014.64583333333</v>
      </c>
      <c r="B3146" s="25">
        <v>1215.0</v>
      </c>
      <c r="C3146" s="25">
        <v>1227.5</v>
      </c>
      <c r="D3146" s="25">
        <v>1214.03</v>
      </c>
      <c r="E3146" s="25">
        <v>1223.33</v>
      </c>
      <c r="F3146" s="25">
        <v>694594.0</v>
      </c>
    </row>
    <row r="3147">
      <c r="A3147" s="25">
        <v>43017.64583333333</v>
      </c>
      <c r="B3147" s="25">
        <v>1220.53</v>
      </c>
      <c r="C3147" s="25">
        <v>1233.97</v>
      </c>
      <c r="D3147" s="25">
        <v>1220.53</v>
      </c>
      <c r="E3147" s="25">
        <v>1227.05</v>
      </c>
      <c r="F3147" s="25">
        <v>886808.0</v>
      </c>
    </row>
    <row r="3148">
      <c r="A3148" s="25">
        <v>43018.64583333333</v>
      </c>
      <c r="B3148" s="25">
        <v>1227.5</v>
      </c>
      <c r="C3148" s="25">
        <v>1234.97</v>
      </c>
      <c r="D3148" s="25">
        <v>1225.63</v>
      </c>
      <c r="E3148" s="25">
        <v>1229.63</v>
      </c>
      <c r="F3148" s="25">
        <v>611005.0</v>
      </c>
    </row>
    <row r="3149">
      <c r="A3149" s="25">
        <v>43019.64583333333</v>
      </c>
      <c r="B3149" s="25">
        <v>1230.0</v>
      </c>
      <c r="C3149" s="25">
        <v>1257.22</v>
      </c>
      <c r="D3149" s="25">
        <v>1228.38</v>
      </c>
      <c r="E3149" s="25">
        <v>1250.18</v>
      </c>
      <c r="F3149" s="25">
        <v>763873.0</v>
      </c>
    </row>
    <row r="3150">
      <c r="A3150" s="25">
        <v>43020.64583333333</v>
      </c>
      <c r="B3150" s="25">
        <v>1256.5</v>
      </c>
      <c r="C3150" s="25">
        <v>1277.5</v>
      </c>
      <c r="D3150" s="25">
        <v>1253.5</v>
      </c>
      <c r="E3150" s="25">
        <v>1274.1</v>
      </c>
      <c r="F3150" s="25">
        <v>2503178.0</v>
      </c>
    </row>
    <row r="3151">
      <c r="A3151" s="25">
        <v>43021.64583333333</v>
      </c>
      <c r="B3151" s="25">
        <v>1274.1</v>
      </c>
      <c r="C3151" s="25">
        <v>1304.47</v>
      </c>
      <c r="D3151" s="25">
        <v>1261.5</v>
      </c>
      <c r="E3151" s="25">
        <v>1279.3</v>
      </c>
      <c r="F3151" s="25">
        <v>2033160.0</v>
      </c>
    </row>
    <row r="3152">
      <c r="A3152" s="25">
        <v>43024.64583333333</v>
      </c>
      <c r="B3152" s="25">
        <v>1277.53</v>
      </c>
      <c r="C3152" s="25">
        <v>1295.0</v>
      </c>
      <c r="D3152" s="25">
        <v>1277.53</v>
      </c>
      <c r="E3152" s="25">
        <v>1292.2</v>
      </c>
      <c r="F3152" s="25">
        <v>609295.0</v>
      </c>
    </row>
    <row r="3153">
      <c r="A3153" s="25">
        <v>43025.83333333333</v>
      </c>
      <c r="B3153" s="25">
        <v>1292.5</v>
      </c>
      <c r="C3153" s="25">
        <v>1307.47</v>
      </c>
      <c r="D3153" s="25">
        <v>1288.78</v>
      </c>
      <c r="E3153" s="25">
        <v>1297.28</v>
      </c>
      <c r="F3153" s="25">
        <v>721508.0</v>
      </c>
    </row>
    <row r="3154">
      <c r="A3154" s="25">
        <v>43026.64583333333</v>
      </c>
      <c r="B3154" s="25">
        <v>1297.5</v>
      </c>
      <c r="C3154" s="25">
        <v>1306.83</v>
      </c>
      <c r="D3154" s="25">
        <v>1290.0</v>
      </c>
      <c r="E3154" s="25">
        <v>1293.3</v>
      </c>
      <c r="F3154" s="25">
        <v>757072.0</v>
      </c>
    </row>
    <row r="3155">
      <c r="A3155" s="25">
        <v>43027.83333333333</v>
      </c>
      <c r="B3155" s="25">
        <v>1296.0</v>
      </c>
      <c r="C3155" s="25">
        <v>1297.9</v>
      </c>
      <c r="D3155" s="25">
        <v>1285.5</v>
      </c>
      <c r="E3155" s="25">
        <v>1291.7</v>
      </c>
      <c r="F3155" s="25">
        <v>43411.0</v>
      </c>
    </row>
    <row r="3156">
      <c r="A3156" s="25">
        <v>43031.64583333333</v>
      </c>
      <c r="B3156" s="25">
        <v>1292.0</v>
      </c>
      <c r="C3156" s="25">
        <v>1314.5</v>
      </c>
      <c r="D3156" s="25">
        <v>1273.72</v>
      </c>
      <c r="E3156" s="25">
        <v>1293.95</v>
      </c>
      <c r="F3156" s="25">
        <v>943044.0</v>
      </c>
    </row>
    <row r="3157">
      <c r="A3157" s="25">
        <v>43032.64583333333</v>
      </c>
      <c r="B3157" s="25">
        <v>1310.0</v>
      </c>
      <c r="C3157" s="25">
        <v>1310.45</v>
      </c>
      <c r="D3157" s="25">
        <v>1284.53</v>
      </c>
      <c r="E3157" s="25">
        <v>1289.2</v>
      </c>
      <c r="F3157" s="25">
        <v>669510.0</v>
      </c>
    </row>
    <row r="3158">
      <c r="A3158" s="25">
        <v>43033.64583333333</v>
      </c>
      <c r="B3158" s="25">
        <v>1289.25</v>
      </c>
      <c r="C3158" s="25">
        <v>1307.0</v>
      </c>
      <c r="D3158" s="25">
        <v>1277.5</v>
      </c>
      <c r="E3158" s="25">
        <v>1279.95</v>
      </c>
      <c r="F3158" s="25">
        <v>552553.0</v>
      </c>
    </row>
    <row r="3159">
      <c r="A3159" s="25">
        <v>43034.64583333333</v>
      </c>
      <c r="B3159" s="25">
        <v>1267.55</v>
      </c>
      <c r="C3159" s="25">
        <v>1284.58</v>
      </c>
      <c r="D3159" s="25">
        <v>1258.95</v>
      </c>
      <c r="E3159" s="25">
        <v>1269.43</v>
      </c>
      <c r="F3159" s="25">
        <v>1503776.0</v>
      </c>
    </row>
    <row r="3160">
      <c r="A3160" s="25">
        <v>43035.64583333333</v>
      </c>
      <c r="B3160" s="25">
        <v>1269.0</v>
      </c>
      <c r="C3160" s="25">
        <v>1296.58</v>
      </c>
      <c r="D3160" s="25">
        <v>1265.15</v>
      </c>
      <c r="E3160" s="25">
        <v>1292.15</v>
      </c>
      <c r="F3160" s="25">
        <v>704635.0</v>
      </c>
    </row>
    <row r="3161">
      <c r="A3161" s="25">
        <v>43038.64583333333</v>
      </c>
      <c r="B3161" s="25">
        <v>1293.0</v>
      </c>
      <c r="C3161" s="25">
        <v>1310.0</v>
      </c>
      <c r="D3161" s="25">
        <v>1290.85</v>
      </c>
      <c r="E3161" s="25">
        <v>1308.1</v>
      </c>
      <c r="F3161" s="25">
        <v>568626.0</v>
      </c>
    </row>
    <row r="3162">
      <c r="A3162" s="25">
        <v>43039.64583333333</v>
      </c>
      <c r="B3162" s="25">
        <v>1300.65</v>
      </c>
      <c r="C3162" s="25">
        <v>1320.0</v>
      </c>
      <c r="D3162" s="25">
        <v>1300.65</v>
      </c>
      <c r="E3162" s="25">
        <v>1312.0</v>
      </c>
      <c r="F3162" s="25">
        <v>796317.0</v>
      </c>
    </row>
    <row r="3163">
      <c r="A3163" s="25">
        <v>43040.64583333333</v>
      </c>
      <c r="B3163" s="25">
        <v>1312.0</v>
      </c>
      <c r="C3163" s="25">
        <v>1313.43</v>
      </c>
      <c r="D3163" s="25">
        <v>1289.43</v>
      </c>
      <c r="E3163" s="25">
        <v>1301.43</v>
      </c>
      <c r="F3163" s="25">
        <v>370941.0</v>
      </c>
    </row>
    <row r="3164">
      <c r="A3164" s="25">
        <v>43041.64583333333</v>
      </c>
      <c r="B3164" s="25">
        <v>1304.25</v>
      </c>
      <c r="C3164" s="25">
        <v>1337.0</v>
      </c>
      <c r="D3164" s="25">
        <v>1303.38</v>
      </c>
      <c r="E3164" s="25">
        <v>1313.08</v>
      </c>
      <c r="F3164" s="25">
        <v>734211.0</v>
      </c>
    </row>
    <row r="3165">
      <c r="A3165" s="25">
        <v>43042.64583333333</v>
      </c>
      <c r="B3165" s="25">
        <v>1316.2</v>
      </c>
      <c r="C3165" s="25">
        <v>1318.35</v>
      </c>
      <c r="D3165" s="25">
        <v>1301.4</v>
      </c>
      <c r="E3165" s="25">
        <v>1310.05</v>
      </c>
      <c r="F3165" s="25">
        <v>333443.0</v>
      </c>
    </row>
    <row r="3166">
      <c r="A3166" s="25">
        <v>43045.64583333333</v>
      </c>
      <c r="B3166" s="25">
        <v>1310.0</v>
      </c>
      <c r="C3166" s="25">
        <v>1335.9</v>
      </c>
      <c r="D3166" s="25">
        <v>1305.88</v>
      </c>
      <c r="E3166" s="25">
        <v>1332.78</v>
      </c>
      <c r="F3166" s="25">
        <v>688500.0</v>
      </c>
    </row>
    <row r="3167">
      <c r="A3167" s="25">
        <v>43046.64583333333</v>
      </c>
      <c r="B3167" s="25">
        <v>1335.0</v>
      </c>
      <c r="C3167" s="25">
        <v>1384.0</v>
      </c>
      <c r="D3167" s="25">
        <v>1333.03</v>
      </c>
      <c r="E3167" s="25">
        <v>1355.03</v>
      </c>
      <c r="F3167" s="25">
        <v>1348446.0</v>
      </c>
    </row>
    <row r="3168">
      <c r="A3168" s="25">
        <v>43047.64583333333</v>
      </c>
      <c r="B3168" s="25">
        <v>1361.5</v>
      </c>
      <c r="C3168" s="25">
        <v>1379.5</v>
      </c>
      <c r="D3168" s="25">
        <v>1359.13</v>
      </c>
      <c r="E3168" s="25">
        <v>1367.5</v>
      </c>
      <c r="F3168" s="25">
        <v>701126.0</v>
      </c>
    </row>
    <row r="3169">
      <c r="A3169" s="25">
        <v>43048.64583333333</v>
      </c>
      <c r="B3169" s="25">
        <v>1375.0</v>
      </c>
      <c r="C3169" s="25">
        <v>1375.0</v>
      </c>
      <c r="D3169" s="25">
        <v>1359.65</v>
      </c>
      <c r="E3169" s="25">
        <v>1368.2</v>
      </c>
      <c r="F3169" s="25">
        <v>576216.0</v>
      </c>
    </row>
    <row r="3170">
      <c r="A3170" s="25">
        <v>43049.64583333333</v>
      </c>
      <c r="B3170" s="25">
        <v>1361.1</v>
      </c>
      <c r="C3170" s="25">
        <v>1363.0</v>
      </c>
      <c r="D3170" s="25">
        <v>1346.68</v>
      </c>
      <c r="E3170" s="25">
        <v>1354.38</v>
      </c>
      <c r="F3170" s="25">
        <v>678283.0</v>
      </c>
    </row>
    <row r="3171">
      <c r="A3171" s="25">
        <v>43052.64583333333</v>
      </c>
      <c r="B3171" s="25">
        <v>1351.03</v>
      </c>
      <c r="C3171" s="25">
        <v>1388.7</v>
      </c>
      <c r="D3171" s="25">
        <v>1351.03</v>
      </c>
      <c r="E3171" s="25">
        <v>1379.48</v>
      </c>
      <c r="F3171" s="25">
        <v>748498.0</v>
      </c>
    </row>
    <row r="3172">
      <c r="A3172" s="25">
        <v>43053.64583333333</v>
      </c>
      <c r="B3172" s="25">
        <v>1378.28</v>
      </c>
      <c r="C3172" s="25">
        <v>1378.28</v>
      </c>
      <c r="D3172" s="25">
        <v>1353.75</v>
      </c>
      <c r="E3172" s="25">
        <v>1357.3</v>
      </c>
      <c r="F3172" s="25">
        <v>828626.0</v>
      </c>
    </row>
    <row r="3173">
      <c r="A3173" s="25">
        <v>43054.64583333333</v>
      </c>
      <c r="B3173" s="25">
        <v>1353.0</v>
      </c>
      <c r="C3173" s="25">
        <v>1377.5</v>
      </c>
      <c r="D3173" s="25">
        <v>1350.68</v>
      </c>
      <c r="E3173" s="25">
        <v>1352.65</v>
      </c>
      <c r="F3173" s="25">
        <v>3335417.0</v>
      </c>
    </row>
    <row r="3174">
      <c r="A3174" s="25">
        <v>43055.64583333333</v>
      </c>
      <c r="B3174" s="25">
        <v>1355.0</v>
      </c>
      <c r="C3174" s="25">
        <v>1381.5</v>
      </c>
      <c r="D3174" s="25">
        <v>1343.48</v>
      </c>
      <c r="E3174" s="25">
        <v>1373.33</v>
      </c>
      <c r="F3174" s="25">
        <v>826741.0</v>
      </c>
    </row>
    <row r="3175">
      <c r="A3175" s="25">
        <v>43056.64583333333</v>
      </c>
      <c r="B3175" s="25">
        <v>1374.05</v>
      </c>
      <c r="C3175" s="25">
        <v>1374.05</v>
      </c>
      <c r="D3175" s="25">
        <v>1351.8</v>
      </c>
      <c r="E3175" s="25">
        <v>1353.65</v>
      </c>
      <c r="F3175" s="25">
        <v>662732.0</v>
      </c>
    </row>
    <row r="3176">
      <c r="A3176" s="25">
        <v>43059.64583333333</v>
      </c>
      <c r="B3176" s="25">
        <v>1357.5</v>
      </c>
      <c r="C3176" s="25">
        <v>1363.45</v>
      </c>
      <c r="D3176" s="25">
        <v>1347.65</v>
      </c>
      <c r="E3176" s="25">
        <v>1351.73</v>
      </c>
      <c r="F3176" s="25">
        <v>507249.0</v>
      </c>
    </row>
    <row r="3177">
      <c r="A3177" s="25">
        <v>43060.64583333333</v>
      </c>
      <c r="B3177" s="25">
        <v>1350.5</v>
      </c>
      <c r="C3177" s="25">
        <v>1350.5</v>
      </c>
      <c r="D3177" s="25">
        <v>1333.0</v>
      </c>
      <c r="E3177" s="25">
        <v>1336.48</v>
      </c>
      <c r="F3177" s="25">
        <v>763870.0</v>
      </c>
    </row>
    <row r="3178">
      <c r="A3178" s="25">
        <v>43061.64583333333</v>
      </c>
      <c r="B3178" s="25">
        <v>1336.5</v>
      </c>
      <c r="C3178" s="25">
        <v>1354.85</v>
      </c>
      <c r="D3178" s="25">
        <v>1336.2</v>
      </c>
      <c r="E3178" s="25">
        <v>1340.33</v>
      </c>
      <c r="F3178" s="25">
        <v>911312.0</v>
      </c>
    </row>
    <row r="3179">
      <c r="A3179" s="25">
        <v>43062.64583333333</v>
      </c>
      <c r="B3179" s="25">
        <v>1340.5</v>
      </c>
      <c r="C3179" s="25">
        <v>1346.5</v>
      </c>
      <c r="D3179" s="25">
        <v>1334.5</v>
      </c>
      <c r="E3179" s="25">
        <v>1340.63</v>
      </c>
      <c r="F3179" s="25">
        <v>396735.0</v>
      </c>
    </row>
    <row r="3180">
      <c r="A3180" s="25">
        <v>43063.64583333333</v>
      </c>
      <c r="B3180" s="25">
        <v>1341.0</v>
      </c>
      <c r="C3180" s="25">
        <v>1351.45</v>
      </c>
      <c r="D3180" s="25">
        <v>1336.55</v>
      </c>
      <c r="E3180" s="25">
        <v>1344.03</v>
      </c>
      <c r="F3180" s="25">
        <v>1143756.0</v>
      </c>
    </row>
    <row r="3181">
      <c r="A3181" s="25">
        <v>43066.64583333333</v>
      </c>
      <c r="B3181" s="25">
        <v>1344.0</v>
      </c>
      <c r="C3181" s="25">
        <v>1347.95</v>
      </c>
      <c r="D3181" s="25">
        <v>1331.1</v>
      </c>
      <c r="E3181" s="25">
        <v>1342.93</v>
      </c>
      <c r="F3181" s="25">
        <v>928393.0</v>
      </c>
    </row>
    <row r="3182">
      <c r="A3182" s="25">
        <v>43067.64583333333</v>
      </c>
      <c r="B3182" s="25">
        <v>1343.0</v>
      </c>
      <c r="C3182" s="25">
        <v>1351.2</v>
      </c>
      <c r="D3182" s="25">
        <v>1335.0</v>
      </c>
      <c r="E3182" s="25">
        <v>1342.65</v>
      </c>
      <c r="F3182" s="25">
        <v>455858.0</v>
      </c>
    </row>
    <row r="3183">
      <c r="A3183" s="25">
        <v>43068.64583333333</v>
      </c>
      <c r="B3183" s="25">
        <v>1338.75</v>
      </c>
      <c r="C3183" s="25">
        <v>1346.5</v>
      </c>
      <c r="D3183" s="25">
        <v>1325.0</v>
      </c>
      <c r="E3183" s="25">
        <v>1329.08</v>
      </c>
      <c r="F3183" s="25">
        <v>723766.0</v>
      </c>
    </row>
    <row r="3184">
      <c r="A3184" s="25">
        <v>43069.64583333333</v>
      </c>
      <c r="B3184" s="25">
        <v>1326.83</v>
      </c>
      <c r="C3184" s="25">
        <v>1333.48</v>
      </c>
      <c r="D3184" s="25">
        <v>1311.5</v>
      </c>
      <c r="E3184" s="25">
        <v>1318.5</v>
      </c>
      <c r="F3184" s="25">
        <v>2149981.0</v>
      </c>
    </row>
    <row r="3185">
      <c r="A3185" s="25">
        <v>43070.64583333333</v>
      </c>
      <c r="B3185" s="25">
        <v>1317.5</v>
      </c>
      <c r="C3185" s="25">
        <v>1334.0</v>
      </c>
      <c r="D3185" s="25">
        <v>1310.75</v>
      </c>
      <c r="E3185" s="25">
        <v>1314.98</v>
      </c>
      <c r="F3185" s="25">
        <v>515572.0</v>
      </c>
    </row>
    <row r="3186">
      <c r="A3186" s="25">
        <v>43073.64583333333</v>
      </c>
      <c r="B3186" s="25">
        <v>1311.0</v>
      </c>
      <c r="C3186" s="25">
        <v>1329.25</v>
      </c>
      <c r="D3186" s="25">
        <v>1301.47</v>
      </c>
      <c r="E3186" s="25">
        <v>1316.18</v>
      </c>
      <c r="F3186" s="25">
        <v>629552.0</v>
      </c>
    </row>
    <row r="3187">
      <c r="A3187" s="25">
        <v>43074.64583333333</v>
      </c>
      <c r="B3187" s="25">
        <v>1315.5</v>
      </c>
      <c r="C3187" s="25">
        <v>1325.85</v>
      </c>
      <c r="D3187" s="25">
        <v>1314.08</v>
      </c>
      <c r="E3187" s="25">
        <v>1317.78</v>
      </c>
      <c r="F3187" s="25">
        <v>583957.0</v>
      </c>
    </row>
    <row r="3188">
      <c r="A3188" s="25">
        <v>43075.64583333333</v>
      </c>
      <c r="B3188" s="25">
        <v>1318.0</v>
      </c>
      <c r="C3188" s="25">
        <v>1322.5</v>
      </c>
      <c r="D3188" s="25">
        <v>1306.43</v>
      </c>
      <c r="E3188" s="25">
        <v>1316.65</v>
      </c>
      <c r="F3188" s="25">
        <v>703759.0</v>
      </c>
    </row>
    <row r="3189">
      <c r="A3189" s="25">
        <v>43076.64583333333</v>
      </c>
      <c r="B3189" s="25">
        <v>1316.15</v>
      </c>
      <c r="C3189" s="25">
        <v>1322.98</v>
      </c>
      <c r="D3189" s="25">
        <v>1307.5</v>
      </c>
      <c r="E3189" s="25">
        <v>1308.97</v>
      </c>
      <c r="F3189" s="25">
        <v>663150.0</v>
      </c>
    </row>
    <row r="3190">
      <c r="A3190" s="25">
        <v>43077.64583333333</v>
      </c>
      <c r="B3190" s="25">
        <v>1309.0</v>
      </c>
      <c r="C3190" s="25">
        <v>1322.5</v>
      </c>
      <c r="D3190" s="25">
        <v>1298.5</v>
      </c>
      <c r="E3190" s="25">
        <v>1300.75</v>
      </c>
      <c r="F3190" s="25">
        <v>692774.0</v>
      </c>
    </row>
    <row r="3191">
      <c r="A3191" s="25">
        <v>43080.64583333333</v>
      </c>
      <c r="B3191" s="25">
        <v>1304.18</v>
      </c>
      <c r="C3191" s="25">
        <v>1336.33</v>
      </c>
      <c r="D3191" s="25">
        <v>1304.18</v>
      </c>
      <c r="E3191" s="25">
        <v>1330.55</v>
      </c>
      <c r="F3191" s="25">
        <v>504001.0</v>
      </c>
    </row>
    <row r="3192">
      <c r="A3192" s="25">
        <v>43081.64583333333</v>
      </c>
      <c r="B3192" s="25">
        <v>1330.5</v>
      </c>
      <c r="C3192" s="25">
        <v>1331.0</v>
      </c>
      <c r="D3192" s="25">
        <v>1303.7</v>
      </c>
      <c r="E3192" s="25">
        <v>1306.08</v>
      </c>
      <c r="F3192" s="25">
        <v>941123.0</v>
      </c>
    </row>
    <row r="3193">
      <c r="A3193" s="25">
        <v>43082.64583333333</v>
      </c>
      <c r="B3193" s="25">
        <v>1305.7</v>
      </c>
      <c r="C3193" s="25">
        <v>1325.73</v>
      </c>
      <c r="D3193" s="25">
        <v>1300.5</v>
      </c>
      <c r="E3193" s="25">
        <v>1314.2</v>
      </c>
      <c r="F3193" s="25">
        <v>1480729.0</v>
      </c>
    </row>
    <row r="3194">
      <c r="A3194" s="25">
        <v>43083.64583333333</v>
      </c>
      <c r="B3194" s="25">
        <v>1316.0</v>
      </c>
      <c r="C3194" s="25">
        <v>1316.0</v>
      </c>
      <c r="D3194" s="25">
        <v>1265.55</v>
      </c>
      <c r="E3194" s="25">
        <v>1278.9</v>
      </c>
      <c r="F3194" s="25">
        <v>2752075.0</v>
      </c>
    </row>
    <row r="3195">
      <c r="A3195" s="25">
        <v>43084.64583333333</v>
      </c>
      <c r="B3195" s="25">
        <v>1281.88</v>
      </c>
      <c r="C3195" s="25">
        <v>1292.22</v>
      </c>
      <c r="D3195" s="25">
        <v>1268.43</v>
      </c>
      <c r="E3195" s="25">
        <v>1272.8</v>
      </c>
      <c r="F3195" s="25">
        <v>1359069.0</v>
      </c>
    </row>
    <row r="3196">
      <c r="A3196" s="25">
        <v>43087.64583333333</v>
      </c>
      <c r="B3196" s="25">
        <v>1268.5</v>
      </c>
      <c r="C3196" s="25">
        <v>1294.47</v>
      </c>
      <c r="D3196" s="25">
        <v>1247.18</v>
      </c>
      <c r="E3196" s="25">
        <v>1290.25</v>
      </c>
      <c r="F3196" s="25">
        <v>1090332.0</v>
      </c>
    </row>
    <row r="3197">
      <c r="A3197" s="25">
        <v>43088.64583333333</v>
      </c>
      <c r="B3197" s="25">
        <v>1288.0</v>
      </c>
      <c r="C3197" s="25">
        <v>1298.9</v>
      </c>
      <c r="D3197" s="25">
        <v>1282.35</v>
      </c>
      <c r="E3197" s="25">
        <v>1287.65</v>
      </c>
      <c r="F3197" s="25">
        <v>900976.0</v>
      </c>
    </row>
    <row r="3198">
      <c r="A3198" s="25">
        <v>43089.64583333333</v>
      </c>
      <c r="B3198" s="25">
        <v>1291.0</v>
      </c>
      <c r="C3198" s="25">
        <v>1296.38</v>
      </c>
      <c r="D3198" s="25">
        <v>1275.33</v>
      </c>
      <c r="E3198" s="25">
        <v>1294.47</v>
      </c>
      <c r="F3198" s="25">
        <v>788785.0</v>
      </c>
    </row>
    <row r="3199">
      <c r="A3199" s="25">
        <v>43090.64583333333</v>
      </c>
      <c r="B3199" s="25">
        <v>1293.5</v>
      </c>
      <c r="C3199" s="25">
        <v>1304.0</v>
      </c>
      <c r="D3199" s="25">
        <v>1290.03</v>
      </c>
      <c r="E3199" s="25">
        <v>1297.85</v>
      </c>
      <c r="F3199" s="25">
        <v>646824.0</v>
      </c>
    </row>
    <row r="3200">
      <c r="A3200" s="25">
        <v>43091.64583333333</v>
      </c>
      <c r="B3200" s="25">
        <v>1302.0</v>
      </c>
      <c r="C3200" s="25">
        <v>1331.95</v>
      </c>
      <c r="D3200" s="25">
        <v>1295.1</v>
      </c>
      <c r="E3200" s="25">
        <v>1323.38</v>
      </c>
      <c r="F3200" s="25">
        <v>1832832.0</v>
      </c>
    </row>
    <row r="3201">
      <c r="A3201" s="25">
        <v>43095.64583333333</v>
      </c>
      <c r="B3201" s="25">
        <v>1343.0</v>
      </c>
      <c r="C3201" s="25">
        <v>1344.88</v>
      </c>
      <c r="D3201" s="25">
        <v>1315.8</v>
      </c>
      <c r="E3201" s="25">
        <v>1324.73</v>
      </c>
      <c r="F3201" s="25">
        <v>1087893.0</v>
      </c>
    </row>
    <row r="3202">
      <c r="A3202" s="25">
        <v>43096.64583333333</v>
      </c>
      <c r="B3202" s="25">
        <v>1324.73</v>
      </c>
      <c r="C3202" s="25">
        <v>1329.25</v>
      </c>
      <c r="D3202" s="25">
        <v>1305.25</v>
      </c>
      <c r="E3202" s="25">
        <v>1309.95</v>
      </c>
      <c r="F3202" s="25">
        <v>369642.0</v>
      </c>
    </row>
    <row r="3203">
      <c r="A3203" s="25">
        <v>43097.64583333333</v>
      </c>
      <c r="B3203" s="25">
        <v>1304.4</v>
      </c>
      <c r="C3203" s="25">
        <v>1326.75</v>
      </c>
      <c r="D3203" s="25">
        <v>1302.83</v>
      </c>
      <c r="E3203" s="25">
        <v>1313.48</v>
      </c>
      <c r="F3203" s="25">
        <v>1302544.0</v>
      </c>
    </row>
    <row r="3204">
      <c r="A3204" s="25">
        <v>43098.64583333333</v>
      </c>
      <c r="B3204" s="25">
        <v>1311.55</v>
      </c>
      <c r="C3204" s="25">
        <v>1354.45</v>
      </c>
      <c r="D3204" s="25">
        <v>1309.28</v>
      </c>
      <c r="E3204" s="25">
        <v>1350.6</v>
      </c>
      <c r="F3204" s="25">
        <v>1304771.0</v>
      </c>
    </row>
    <row r="3205">
      <c r="A3205" s="25">
        <v>43101.64583333333</v>
      </c>
      <c r="B3205" s="25">
        <v>1341.15</v>
      </c>
      <c r="C3205" s="25">
        <v>1347.4</v>
      </c>
      <c r="D3205" s="25">
        <v>1317.5</v>
      </c>
      <c r="E3205" s="25">
        <v>1322.8</v>
      </c>
      <c r="F3205" s="25">
        <v>675880.0</v>
      </c>
    </row>
    <row r="3206">
      <c r="A3206" s="25">
        <v>43102.64583333333</v>
      </c>
      <c r="B3206" s="25">
        <v>1330.0</v>
      </c>
      <c r="C3206" s="25">
        <v>1334.8</v>
      </c>
      <c r="D3206" s="25">
        <v>1310.1</v>
      </c>
      <c r="E3206" s="25">
        <v>1315.6</v>
      </c>
      <c r="F3206" s="25">
        <v>960145.0</v>
      </c>
    </row>
    <row r="3207">
      <c r="A3207" s="25">
        <v>43103.64583333333</v>
      </c>
      <c r="B3207" s="25">
        <v>1316.0</v>
      </c>
      <c r="C3207" s="25">
        <v>1334.5</v>
      </c>
      <c r="D3207" s="25">
        <v>1315.6</v>
      </c>
      <c r="E3207" s="25">
        <v>1319.33</v>
      </c>
      <c r="F3207" s="25">
        <v>628560.0</v>
      </c>
    </row>
    <row r="3208">
      <c r="A3208" s="25">
        <v>43104.64583333333</v>
      </c>
      <c r="B3208" s="25">
        <v>1325.0</v>
      </c>
      <c r="C3208" s="25">
        <v>1331.0</v>
      </c>
      <c r="D3208" s="25">
        <v>1320.0</v>
      </c>
      <c r="E3208" s="25">
        <v>1328.55</v>
      </c>
      <c r="F3208" s="25">
        <v>456541.0</v>
      </c>
    </row>
    <row r="3209">
      <c r="A3209" s="25">
        <v>43105.64583333333</v>
      </c>
      <c r="B3209" s="25">
        <v>1325.0</v>
      </c>
      <c r="C3209" s="25">
        <v>1349.75</v>
      </c>
      <c r="D3209" s="25">
        <v>1325.0</v>
      </c>
      <c r="E3209" s="25">
        <v>1344.6</v>
      </c>
      <c r="F3209" s="25">
        <v>576853.0</v>
      </c>
    </row>
    <row r="3210">
      <c r="A3210" s="25">
        <v>43108.64583333333</v>
      </c>
      <c r="B3210" s="25">
        <v>1350.0</v>
      </c>
      <c r="C3210" s="25">
        <v>1363.43</v>
      </c>
      <c r="D3210" s="25">
        <v>1340.93</v>
      </c>
      <c r="E3210" s="25">
        <v>1357.2</v>
      </c>
      <c r="F3210" s="25">
        <v>621110.0</v>
      </c>
    </row>
    <row r="3211">
      <c r="A3211" s="25">
        <v>43109.64583333333</v>
      </c>
      <c r="B3211" s="25">
        <v>1357.5</v>
      </c>
      <c r="C3211" s="25">
        <v>1360.5</v>
      </c>
      <c r="D3211" s="25">
        <v>1338.28</v>
      </c>
      <c r="E3211" s="25">
        <v>1354.5</v>
      </c>
      <c r="F3211" s="25">
        <v>1074698.0</v>
      </c>
    </row>
    <row r="3212">
      <c r="A3212" s="25">
        <v>43110.64583333333</v>
      </c>
      <c r="B3212" s="25">
        <v>1355.5</v>
      </c>
      <c r="C3212" s="25">
        <v>1408.0</v>
      </c>
      <c r="D3212" s="25">
        <v>1347.33</v>
      </c>
      <c r="E3212" s="25">
        <v>1403.3</v>
      </c>
      <c r="F3212" s="25">
        <v>1682925.0</v>
      </c>
    </row>
    <row r="3213">
      <c r="A3213" s="25">
        <v>43111.64583333333</v>
      </c>
      <c r="B3213" s="25">
        <v>1405.0</v>
      </c>
      <c r="C3213" s="25">
        <v>1410.95</v>
      </c>
      <c r="D3213" s="25">
        <v>1391.1</v>
      </c>
      <c r="E3213" s="25">
        <v>1395.25</v>
      </c>
      <c r="F3213" s="25">
        <v>1260524.0</v>
      </c>
    </row>
    <row r="3214">
      <c r="A3214" s="25">
        <v>43112.64583333333</v>
      </c>
      <c r="B3214" s="25">
        <v>1402.5</v>
      </c>
      <c r="C3214" s="25">
        <v>1402.5</v>
      </c>
      <c r="D3214" s="25">
        <v>1370.28</v>
      </c>
      <c r="E3214" s="25">
        <v>1388.18</v>
      </c>
      <c r="F3214" s="25">
        <v>1680157.0</v>
      </c>
    </row>
    <row r="3215">
      <c r="A3215" s="25">
        <v>43115.64583333333</v>
      </c>
      <c r="B3215" s="25">
        <v>1388.58</v>
      </c>
      <c r="C3215" s="25">
        <v>1404.0</v>
      </c>
      <c r="D3215" s="25">
        <v>1367.53</v>
      </c>
      <c r="E3215" s="25">
        <v>1373.05</v>
      </c>
      <c r="F3215" s="25">
        <v>728607.0</v>
      </c>
    </row>
    <row r="3216">
      <c r="A3216" s="25">
        <v>43116.64583333333</v>
      </c>
      <c r="B3216" s="25">
        <v>1378.0</v>
      </c>
      <c r="C3216" s="25">
        <v>1430.83</v>
      </c>
      <c r="D3216" s="25">
        <v>1375.28</v>
      </c>
      <c r="E3216" s="25">
        <v>1425.43</v>
      </c>
      <c r="F3216" s="25">
        <v>2133876.0</v>
      </c>
    </row>
    <row r="3217">
      <c r="A3217" s="25">
        <v>43117.64583333333</v>
      </c>
      <c r="B3217" s="25">
        <v>1435.0</v>
      </c>
      <c r="C3217" s="25">
        <v>1462.5</v>
      </c>
      <c r="D3217" s="25">
        <v>1431.08</v>
      </c>
      <c r="E3217" s="25">
        <v>1444.48</v>
      </c>
      <c r="F3217" s="25">
        <v>2140403.0</v>
      </c>
    </row>
    <row r="3218">
      <c r="A3218" s="25">
        <v>43118.64583333333</v>
      </c>
      <c r="B3218" s="25">
        <v>1448.5</v>
      </c>
      <c r="C3218" s="25">
        <v>1466.5</v>
      </c>
      <c r="D3218" s="25">
        <v>1434.03</v>
      </c>
      <c r="E3218" s="25">
        <v>1459.1</v>
      </c>
      <c r="F3218" s="25">
        <v>1104739.0</v>
      </c>
    </row>
    <row r="3219">
      <c r="A3219" s="25">
        <v>43119.64583333333</v>
      </c>
      <c r="B3219" s="25">
        <v>1465.28</v>
      </c>
      <c r="C3219" s="25">
        <v>1491.0</v>
      </c>
      <c r="D3219" s="25">
        <v>1451.83</v>
      </c>
      <c r="E3219" s="25">
        <v>1479.65</v>
      </c>
      <c r="F3219" s="25">
        <v>910000.0</v>
      </c>
    </row>
    <row r="3220">
      <c r="A3220" s="25">
        <v>43122.64583333333</v>
      </c>
      <c r="B3220" s="25">
        <v>1480.5</v>
      </c>
      <c r="C3220" s="25">
        <v>1567.35</v>
      </c>
      <c r="D3220" s="25">
        <v>1461.0</v>
      </c>
      <c r="E3220" s="25">
        <v>1558.2</v>
      </c>
      <c r="F3220" s="25">
        <v>2183555.0</v>
      </c>
    </row>
    <row r="3221">
      <c r="A3221" s="25">
        <v>43123.64583333333</v>
      </c>
      <c r="B3221" s="25">
        <v>1557.48</v>
      </c>
      <c r="C3221" s="25">
        <v>1571.18</v>
      </c>
      <c r="D3221" s="25">
        <v>1545.03</v>
      </c>
      <c r="E3221" s="25">
        <v>1551.0</v>
      </c>
      <c r="F3221" s="25">
        <v>1619805.0</v>
      </c>
    </row>
    <row r="3222">
      <c r="A3222" s="25">
        <v>43124.64583333333</v>
      </c>
      <c r="B3222" s="25">
        <v>1545.0</v>
      </c>
      <c r="C3222" s="25">
        <v>1629.53</v>
      </c>
      <c r="D3222" s="25">
        <v>1541.33</v>
      </c>
      <c r="E3222" s="25">
        <v>1587.3</v>
      </c>
      <c r="F3222" s="25">
        <v>2810769.0</v>
      </c>
    </row>
    <row r="3223">
      <c r="A3223" s="25">
        <v>43125.64583333333</v>
      </c>
      <c r="B3223" s="25">
        <v>1587.5</v>
      </c>
      <c r="C3223" s="25">
        <v>1589.9</v>
      </c>
      <c r="D3223" s="25">
        <v>1540.5</v>
      </c>
      <c r="E3223" s="25">
        <v>1560.53</v>
      </c>
      <c r="F3223" s="25">
        <v>1916922.0</v>
      </c>
    </row>
    <row r="3224">
      <c r="A3224" s="25">
        <v>43129.64583333333</v>
      </c>
      <c r="B3224" s="25">
        <v>1565.7</v>
      </c>
      <c r="C3224" s="25">
        <v>1612.5</v>
      </c>
      <c r="D3224" s="25">
        <v>1561.0</v>
      </c>
      <c r="E3224" s="25">
        <v>1599.43</v>
      </c>
      <c r="F3224" s="25">
        <v>1570530.0</v>
      </c>
    </row>
    <row r="3225">
      <c r="A3225" s="25">
        <v>43130.64583333333</v>
      </c>
      <c r="B3225" s="25">
        <v>1590.0</v>
      </c>
      <c r="C3225" s="25">
        <v>1601.9</v>
      </c>
      <c r="D3225" s="25">
        <v>1571.85</v>
      </c>
      <c r="E3225" s="25">
        <v>1576.43</v>
      </c>
      <c r="F3225" s="25">
        <v>787379.0</v>
      </c>
    </row>
    <row r="3226">
      <c r="A3226" s="25">
        <v>43131.64583333333</v>
      </c>
      <c r="B3226" s="25">
        <v>1568.5</v>
      </c>
      <c r="C3226" s="25">
        <v>1575.0</v>
      </c>
      <c r="D3226" s="25">
        <v>1549.3</v>
      </c>
      <c r="E3226" s="25">
        <v>1556.18</v>
      </c>
      <c r="F3226" s="25">
        <v>1521607.0</v>
      </c>
    </row>
    <row r="3227">
      <c r="A3227" s="25">
        <v>43132.64583333333</v>
      </c>
      <c r="B3227" s="25">
        <v>1562.0</v>
      </c>
      <c r="C3227" s="25">
        <v>1595.0</v>
      </c>
      <c r="D3227" s="25">
        <v>1544.4</v>
      </c>
      <c r="E3227" s="25">
        <v>1569.3</v>
      </c>
      <c r="F3227" s="25">
        <v>1200315.0</v>
      </c>
    </row>
    <row r="3228">
      <c r="A3228" s="25">
        <v>43133.64583333333</v>
      </c>
      <c r="B3228" s="25">
        <v>1560.0</v>
      </c>
      <c r="C3228" s="25">
        <v>1595.0</v>
      </c>
      <c r="D3228" s="25">
        <v>1551.73</v>
      </c>
      <c r="E3228" s="25">
        <v>1576.83</v>
      </c>
      <c r="F3228" s="25">
        <v>1228245.0</v>
      </c>
    </row>
    <row r="3229">
      <c r="A3229" s="25">
        <v>43136.64583333333</v>
      </c>
      <c r="B3229" s="25">
        <v>1555.0</v>
      </c>
      <c r="C3229" s="25">
        <v>1594.0</v>
      </c>
      <c r="D3229" s="25">
        <v>1538.43</v>
      </c>
      <c r="E3229" s="25">
        <v>1551.6</v>
      </c>
      <c r="F3229" s="25">
        <v>1378871.0</v>
      </c>
    </row>
    <row r="3230">
      <c r="A3230" s="25">
        <v>43137.64583333333</v>
      </c>
      <c r="B3230" s="25">
        <v>1505.0</v>
      </c>
      <c r="C3230" s="25">
        <v>1538.58</v>
      </c>
      <c r="D3230" s="25">
        <v>1492.5</v>
      </c>
      <c r="E3230" s="25">
        <v>1498.63</v>
      </c>
      <c r="F3230" s="25">
        <v>1328653.0</v>
      </c>
    </row>
    <row r="3231">
      <c r="A3231" s="25">
        <v>43138.64583333333</v>
      </c>
      <c r="B3231" s="25">
        <v>1513.5</v>
      </c>
      <c r="C3231" s="25">
        <v>1515.5</v>
      </c>
      <c r="D3231" s="25">
        <v>1473.73</v>
      </c>
      <c r="E3231" s="25">
        <v>1477.53</v>
      </c>
      <c r="F3231" s="25">
        <v>1090162.0</v>
      </c>
    </row>
    <row r="3232">
      <c r="A3232" s="25">
        <v>43139.64583333333</v>
      </c>
      <c r="B3232" s="25">
        <v>1489.88</v>
      </c>
      <c r="C3232" s="25">
        <v>1513.8</v>
      </c>
      <c r="D3232" s="25">
        <v>1479.5</v>
      </c>
      <c r="E3232" s="25">
        <v>1487.1</v>
      </c>
      <c r="F3232" s="25">
        <v>1377502.0</v>
      </c>
    </row>
    <row r="3233">
      <c r="A3233" s="25">
        <v>43140.64583333333</v>
      </c>
      <c r="B3233" s="25">
        <v>1475.0</v>
      </c>
      <c r="C3233" s="25">
        <v>1497.0</v>
      </c>
      <c r="D3233" s="25">
        <v>1448.33</v>
      </c>
      <c r="E3233" s="25">
        <v>1485.85</v>
      </c>
      <c r="F3233" s="25">
        <v>1051229.0</v>
      </c>
    </row>
    <row r="3234">
      <c r="A3234" s="25">
        <v>43143.64583333333</v>
      </c>
      <c r="B3234" s="25">
        <v>1489.15</v>
      </c>
      <c r="C3234" s="25">
        <v>1511.68</v>
      </c>
      <c r="D3234" s="25">
        <v>1477.78</v>
      </c>
      <c r="E3234" s="25">
        <v>1483.65</v>
      </c>
      <c r="F3234" s="25">
        <v>987281.0</v>
      </c>
    </row>
    <row r="3235">
      <c r="A3235" s="25">
        <v>43145.64583333333</v>
      </c>
      <c r="B3235" s="25">
        <v>1485.0</v>
      </c>
      <c r="C3235" s="25">
        <v>1487.23</v>
      </c>
      <c r="D3235" s="25">
        <v>1446.25</v>
      </c>
      <c r="E3235" s="25">
        <v>1455.9</v>
      </c>
      <c r="F3235" s="25">
        <v>1423766.0</v>
      </c>
    </row>
    <row r="3236">
      <c r="A3236" s="25">
        <v>43146.64583333333</v>
      </c>
      <c r="B3236" s="25">
        <v>1465.98</v>
      </c>
      <c r="C3236" s="25">
        <v>1471.5</v>
      </c>
      <c r="D3236" s="25">
        <v>1452.55</v>
      </c>
      <c r="E3236" s="25">
        <v>1462.93</v>
      </c>
      <c r="F3236" s="25">
        <v>1232618.0</v>
      </c>
    </row>
    <row r="3237">
      <c r="A3237" s="25">
        <v>43147.64583333333</v>
      </c>
      <c r="B3237" s="25">
        <v>1461.5</v>
      </c>
      <c r="C3237" s="25">
        <v>1499.8</v>
      </c>
      <c r="D3237" s="25">
        <v>1461.5</v>
      </c>
      <c r="E3237" s="25">
        <v>1466.53</v>
      </c>
      <c r="F3237" s="25">
        <v>1257878.0</v>
      </c>
    </row>
    <row r="3238">
      <c r="A3238" s="25">
        <v>43150.64583333333</v>
      </c>
      <c r="B3238" s="25">
        <v>1472.5</v>
      </c>
      <c r="C3238" s="25">
        <v>1476.65</v>
      </c>
      <c r="D3238" s="25">
        <v>1447.6</v>
      </c>
      <c r="E3238" s="25">
        <v>1461.8</v>
      </c>
      <c r="F3238" s="25">
        <v>784112.0</v>
      </c>
    </row>
    <row r="3239">
      <c r="A3239" s="25">
        <v>43151.64583333333</v>
      </c>
      <c r="B3239" s="25">
        <v>1464.0</v>
      </c>
      <c r="C3239" s="25">
        <v>1492.53</v>
      </c>
      <c r="D3239" s="25">
        <v>1463.95</v>
      </c>
      <c r="E3239" s="25">
        <v>1472.38</v>
      </c>
      <c r="F3239" s="25">
        <v>944534.0</v>
      </c>
    </row>
    <row r="3240">
      <c r="A3240" s="25">
        <v>43152.64583333333</v>
      </c>
      <c r="B3240" s="25">
        <v>1487.0</v>
      </c>
      <c r="C3240" s="25">
        <v>1531.3</v>
      </c>
      <c r="D3240" s="25">
        <v>1480.03</v>
      </c>
      <c r="E3240" s="25">
        <v>1521.15</v>
      </c>
      <c r="F3240" s="25">
        <v>1544614.0</v>
      </c>
    </row>
    <row r="3241">
      <c r="A3241" s="25">
        <v>43153.64583333333</v>
      </c>
      <c r="B3241" s="25">
        <v>1526.0</v>
      </c>
      <c r="C3241" s="25">
        <v>1539.5</v>
      </c>
      <c r="D3241" s="25">
        <v>1511.25</v>
      </c>
      <c r="E3241" s="25">
        <v>1525.1</v>
      </c>
      <c r="F3241" s="25">
        <v>1731505.0</v>
      </c>
    </row>
    <row r="3242">
      <c r="A3242" s="25">
        <v>43154.64583333333</v>
      </c>
      <c r="B3242" s="25">
        <v>1525.0</v>
      </c>
      <c r="C3242" s="25">
        <v>1544.5</v>
      </c>
      <c r="D3242" s="25">
        <v>1496.05</v>
      </c>
      <c r="E3242" s="25">
        <v>1537.9</v>
      </c>
      <c r="F3242" s="25">
        <v>1681250.0</v>
      </c>
    </row>
    <row r="3243">
      <c r="A3243" s="25">
        <v>43157.64583333333</v>
      </c>
      <c r="B3243" s="25">
        <v>1537.5</v>
      </c>
      <c r="C3243" s="25">
        <v>1544.98</v>
      </c>
      <c r="D3243" s="25">
        <v>1510.6</v>
      </c>
      <c r="E3243" s="25">
        <v>1515.85</v>
      </c>
      <c r="F3243" s="25">
        <v>681941.0</v>
      </c>
    </row>
    <row r="3244">
      <c r="A3244" s="25">
        <v>43158.64583333333</v>
      </c>
      <c r="B3244" s="25">
        <v>1520.5</v>
      </c>
      <c r="C3244" s="25">
        <v>1539.28</v>
      </c>
      <c r="D3244" s="25">
        <v>1516.0</v>
      </c>
      <c r="E3244" s="25">
        <v>1521.18</v>
      </c>
      <c r="F3244" s="25">
        <v>858900.0</v>
      </c>
    </row>
    <row r="3245">
      <c r="A3245" s="25">
        <v>43159.64583333333</v>
      </c>
      <c r="B3245" s="25">
        <v>1517.5</v>
      </c>
      <c r="C3245" s="25">
        <v>1531.98</v>
      </c>
      <c r="D3245" s="25">
        <v>1510.73</v>
      </c>
      <c r="E3245" s="25">
        <v>1517.53</v>
      </c>
      <c r="F3245" s="25">
        <v>1353432.0</v>
      </c>
    </row>
    <row r="3246">
      <c r="A3246" s="25">
        <v>43160.64583333333</v>
      </c>
      <c r="B3246" s="25">
        <v>1524.5</v>
      </c>
      <c r="C3246" s="25">
        <v>1530.6</v>
      </c>
      <c r="D3246" s="25">
        <v>1510.0</v>
      </c>
      <c r="E3246" s="25">
        <v>1518.85</v>
      </c>
      <c r="F3246" s="25">
        <v>859062.0</v>
      </c>
    </row>
    <row r="3247">
      <c r="A3247" s="25">
        <v>43164.64583333333</v>
      </c>
      <c r="B3247" s="25">
        <v>1524.5</v>
      </c>
      <c r="C3247" s="25">
        <v>1556.83</v>
      </c>
      <c r="D3247" s="25">
        <v>1516.48</v>
      </c>
      <c r="E3247" s="25">
        <v>1552.93</v>
      </c>
      <c r="F3247" s="25">
        <v>1429084.0</v>
      </c>
    </row>
    <row r="3248">
      <c r="A3248" s="25">
        <v>43165.64583333333</v>
      </c>
      <c r="B3248" s="25">
        <v>1561.0</v>
      </c>
      <c r="C3248" s="25">
        <v>1563.5</v>
      </c>
      <c r="D3248" s="25">
        <v>1515.08</v>
      </c>
      <c r="E3248" s="25">
        <v>1521.4</v>
      </c>
      <c r="F3248" s="25">
        <v>953382.0</v>
      </c>
    </row>
    <row r="3249">
      <c r="A3249" s="25">
        <v>43166.64583333333</v>
      </c>
      <c r="B3249" s="25">
        <v>1535.0</v>
      </c>
      <c r="C3249" s="25">
        <v>1544.5</v>
      </c>
      <c r="D3249" s="25">
        <v>1509.25</v>
      </c>
      <c r="E3249" s="25">
        <v>1513.73</v>
      </c>
      <c r="F3249" s="25">
        <v>958886.0</v>
      </c>
    </row>
    <row r="3250">
      <c r="A3250" s="25">
        <v>43167.64583333333</v>
      </c>
      <c r="B3250" s="25">
        <v>1527.45</v>
      </c>
      <c r="C3250" s="25">
        <v>1527.45</v>
      </c>
      <c r="D3250" s="25">
        <v>1493.75</v>
      </c>
      <c r="E3250" s="25">
        <v>1501.98</v>
      </c>
      <c r="F3250" s="25">
        <v>975913.0</v>
      </c>
    </row>
    <row r="3251">
      <c r="A3251" s="25">
        <v>43168.64583333333</v>
      </c>
      <c r="B3251" s="25">
        <v>1502.5</v>
      </c>
      <c r="C3251" s="25">
        <v>1531.6</v>
      </c>
      <c r="D3251" s="25">
        <v>1488.6</v>
      </c>
      <c r="E3251" s="25">
        <v>1517.05</v>
      </c>
      <c r="F3251" s="25">
        <v>936218.0</v>
      </c>
    </row>
    <row r="3252">
      <c r="A3252" s="25">
        <v>43171.64583333333</v>
      </c>
      <c r="B3252" s="25">
        <v>1521.5</v>
      </c>
      <c r="C3252" s="25">
        <v>1541.95</v>
      </c>
      <c r="D3252" s="25">
        <v>1517.75</v>
      </c>
      <c r="E3252" s="25">
        <v>1526.08</v>
      </c>
      <c r="F3252" s="25">
        <v>1045670.0</v>
      </c>
    </row>
    <row r="3253">
      <c r="A3253" s="25">
        <v>43172.64583333333</v>
      </c>
      <c r="B3253" s="25">
        <v>1462.45</v>
      </c>
      <c r="C3253" s="25">
        <v>1469.85</v>
      </c>
      <c r="D3253" s="25">
        <v>1436.0</v>
      </c>
      <c r="E3253" s="25">
        <v>1443.4</v>
      </c>
      <c r="F3253" s="25">
        <v>4.4033577E7</v>
      </c>
    </row>
    <row r="3254">
      <c r="A3254" s="25">
        <v>43173.64583333333</v>
      </c>
      <c r="B3254" s="25">
        <v>1446.48</v>
      </c>
      <c r="C3254" s="25">
        <v>1461.53</v>
      </c>
      <c r="D3254" s="25">
        <v>1437.53</v>
      </c>
      <c r="E3254" s="25">
        <v>1443.45</v>
      </c>
      <c r="F3254" s="25">
        <v>1834334.0</v>
      </c>
    </row>
    <row r="3255">
      <c r="A3255" s="25">
        <v>43174.64583333333</v>
      </c>
      <c r="B3255" s="25">
        <v>1447.5</v>
      </c>
      <c r="C3255" s="25">
        <v>1451.28</v>
      </c>
      <c r="D3255" s="25">
        <v>1427.8</v>
      </c>
      <c r="E3255" s="25">
        <v>1434.85</v>
      </c>
      <c r="F3255" s="25">
        <v>1174453.0</v>
      </c>
    </row>
    <row r="3256">
      <c r="A3256" s="25">
        <v>43175.64583333333</v>
      </c>
      <c r="B3256" s="25">
        <v>1434.4</v>
      </c>
      <c r="C3256" s="25">
        <v>1436.0</v>
      </c>
      <c r="D3256" s="25">
        <v>1402.5</v>
      </c>
      <c r="E3256" s="25">
        <v>1412.85</v>
      </c>
      <c r="F3256" s="25">
        <v>3598741.0</v>
      </c>
    </row>
    <row r="3257">
      <c r="A3257" s="25">
        <v>43178.64583333333</v>
      </c>
      <c r="B3257" s="25">
        <v>1414.5</v>
      </c>
      <c r="C3257" s="25">
        <v>1424.0</v>
      </c>
      <c r="D3257" s="25">
        <v>1410.0</v>
      </c>
      <c r="E3257" s="25">
        <v>1415.5</v>
      </c>
      <c r="F3257" s="25">
        <v>1744970.0</v>
      </c>
    </row>
    <row r="3258">
      <c r="A3258" s="25">
        <v>43179.64583333333</v>
      </c>
      <c r="B3258" s="25">
        <v>1410.0</v>
      </c>
      <c r="C3258" s="25">
        <v>1436.6</v>
      </c>
      <c r="D3258" s="25">
        <v>1409.5</v>
      </c>
      <c r="E3258" s="25">
        <v>1432.43</v>
      </c>
      <c r="F3258" s="25">
        <v>2012492.0</v>
      </c>
    </row>
    <row r="3259">
      <c r="A3259" s="25">
        <v>43180.64583333333</v>
      </c>
      <c r="B3259" s="25">
        <v>1436.25</v>
      </c>
      <c r="C3259" s="25">
        <v>1442.15</v>
      </c>
      <c r="D3259" s="25">
        <v>1425.0</v>
      </c>
      <c r="E3259" s="25">
        <v>1428.38</v>
      </c>
      <c r="F3259" s="25">
        <v>1953839.0</v>
      </c>
    </row>
    <row r="3260">
      <c r="A3260" s="25">
        <v>43181.64583333333</v>
      </c>
      <c r="B3260" s="25">
        <v>1429.98</v>
      </c>
      <c r="C3260" s="25">
        <v>1437.98</v>
      </c>
      <c r="D3260" s="25">
        <v>1411.28</v>
      </c>
      <c r="E3260" s="25">
        <v>1415.68</v>
      </c>
      <c r="F3260" s="25">
        <v>1163047.0</v>
      </c>
    </row>
    <row r="3261">
      <c r="A3261" s="25">
        <v>43182.64583333333</v>
      </c>
      <c r="B3261" s="25">
        <v>1401.0</v>
      </c>
      <c r="C3261" s="25">
        <v>1417.05</v>
      </c>
      <c r="D3261" s="25">
        <v>1399.03</v>
      </c>
      <c r="E3261" s="25">
        <v>1409.08</v>
      </c>
      <c r="F3261" s="25">
        <v>1827061.0</v>
      </c>
    </row>
    <row r="3262">
      <c r="A3262" s="25">
        <v>43185.64583333333</v>
      </c>
      <c r="B3262" s="25">
        <v>1409.5</v>
      </c>
      <c r="C3262" s="25">
        <v>1413.7</v>
      </c>
      <c r="D3262" s="25">
        <v>1390.78</v>
      </c>
      <c r="E3262" s="25">
        <v>1408.5</v>
      </c>
      <c r="F3262" s="25">
        <v>1482105.0</v>
      </c>
    </row>
    <row r="3263">
      <c r="A3263" s="25">
        <v>43186.64583333333</v>
      </c>
      <c r="B3263" s="25">
        <v>1412.5</v>
      </c>
      <c r="C3263" s="25">
        <v>1431.5</v>
      </c>
      <c r="D3263" s="25">
        <v>1411.53</v>
      </c>
      <c r="E3263" s="25">
        <v>1423.85</v>
      </c>
      <c r="F3263" s="25">
        <v>1247287.0</v>
      </c>
    </row>
    <row r="3264">
      <c r="A3264" s="25">
        <v>43187.64583333333</v>
      </c>
      <c r="B3264" s="25">
        <v>1417.95</v>
      </c>
      <c r="C3264" s="25">
        <v>1437.5</v>
      </c>
      <c r="D3264" s="25">
        <v>1412.5</v>
      </c>
      <c r="E3264" s="25">
        <v>1424.58</v>
      </c>
      <c r="F3264" s="25">
        <v>3432827.0</v>
      </c>
    </row>
    <row r="3265">
      <c r="A3265" s="25">
        <v>43192.64583333333</v>
      </c>
      <c r="B3265" s="25">
        <v>1420.0</v>
      </c>
      <c r="C3265" s="25">
        <v>1457.0</v>
      </c>
      <c r="D3265" s="25">
        <v>1420.0</v>
      </c>
      <c r="E3265" s="25">
        <v>1454.83</v>
      </c>
      <c r="F3265" s="25">
        <v>831494.0</v>
      </c>
    </row>
    <row r="3266">
      <c r="A3266" s="25">
        <v>43193.64583333333</v>
      </c>
      <c r="B3266" s="25">
        <v>1446.05</v>
      </c>
      <c r="C3266" s="25">
        <v>1464.95</v>
      </c>
      <c r="D3266" s="25">
        <v>1446.05</v>
      </c>
      <c r="E3266" s="25">
        <v>1455.63</v>
      </c>
      <c r="F3266" s="25">
        <v>968645.0</v>
      </c>
    </row>
    <row r="3267">
      <c r="A3267" s="25">
        <v>43194.64583333333</v>
      </c>
      <c r="B3267" s="25">
        <v>1464.73</v>
      </c>
      <c r="C3267" s="25">
        <v>1467.0</v>
      </c>
      <c r="D3267" s="25">
        <v>1446.0</v>
      </c>
      <c r="E3267" s="25">
        <v>1455.45</v>
      </c>
      <c r="F3267" s="25">
        <v>1420910.0</v>
      </c>
    </row>
    <row r="3268">
      <c r="A3268" s="25">
        <v>43195.64583333333</v>
      </c>
      <c r="B3268" s="25">
        <v>1463.28</v>
      </c>
      <c r="C3268" s="25">
        <v>1481.88</v>
      </c>
      <c r="D3268" s="25">
        <v>1460.18</v>
      </c>
      <c r="E3268" s="25">
        <v>1478.98</v>
      </c>
      <c r="F3268" s="25">
        <v>904712.0</v>
      </c>
    </row>
    <row r="3269">
      <c r="A3269" s="25">
        <v>43196.64583333333</v>
      </c>
      <c r="B3269" s="25">
        <v>1477.0</v>
      </c>
      <c r="C3269" s="25">
        <v>1480.0</v>
      </c>
      <c r="D3269" s="25">
        <v>1463.28</v>
      </c>
      <c r="E3269" s="25">
        <v>1475.15</v>
      </c>
      <c r="F3269" s="25">
        <v>564509.0</v>
      </c>
    </row>
    <row r="3270">
      <c r="A3270" s="25">
        <v>43199.64583333333</v>
      </c>
      <c r="B3270" s="25">
        <v>1469.85</v>
      </c>
      <c r="C3270" s="25">
        <v>1481.75</v>
      </c>
      <c r="D3270" s="25">
        <v>1457.5</v>
      </c>
      <c r="E3270" s="25">
        <v>1461.95</v>
      </c>
      <c r="F3270" s="25">
        <v>617933.0</v>
      </c>
    </row>
    <row r="3271">
      <c r="A3271" s="25">
        <v>43200.64583333333</v>
      </c>
      <c r="B3271" s="25">
        <v>1462.85</v>
      </c>
      <c r="C3271" s="25">
        <v>1478.63</v>
      </c>
      <c r="D3271" s="25">
        <v>1462.85</v>
      </c>
      <c r="E3271" s="25">
        <v>1468.8</v>
      </c>
      <c r="F3271" s="25">
        <v>592266.0</v>
      </c>
    </row>
    <row r="3272">
      <c r="A3272" s="25">
        <v>43201.64583333333</v>
      </c>
      <c r="B3272" s="25">
        <v>1475.3</v>
      </c>
      <c r="C3272" s="25">
        <v>1512.5</v>
      </c>
      <c r="D3272" s="25">
        <v>1472.8</v>
      </c>
      <c r="E3272" s="25">
        <v>1507.08</v>
      </c>
      <c r="F3272" s="25">
        <v>1562208.0</v>
      </c>
    </row>
    <row r="3273">
      <c r="A3273" s="25">
        <v>43202.64583333333</v>
      </c>
      <c r="B3273" s="25">
        <v>1505.0</v>
      </c>
      <c r="C3273" s="25">
        <v>1575.0</v>
      </c>
      <c r="D3273" s="25">
        <v>1503.98</v>
      </c>
      <c r="E3273" s="25">
        <v>1569.63</v>
      </c>
      <c r="F3273" s="25">
        <v>3057180.0</v>
      </c>
    </row>
    <row r="3274">
      <c r="A3274" s="25">
        <v>43203.64583333333</v>
      </c>
      <c r="B3274" s="25">
        <v>1575.0</v>
      </c>
      <c r="C3274" s="25">
        <v>1620.4</v>
      </c>
      <c r="D3274" s="25">
        <v>1566.05</v>
      </c>
      <c r="E3274" s="25">
        <v>1576.65</v>
      </c>
      <c r="F3274" s="25">
        <v>4089559.0</v>
      </c>
    </row>
    <row r="3275">
      <c r="A3275" s="25">
        <v>43206.64583333333</v>
      </c>
      <c r="B3275" s="25">
        <v>1558.0</v>
      </c>
      <c r="C3275" s="25">
        <v>1599.98</v>
      </c>
      <c r="D3275" s="25">
        <v>1555.38</v>
      </c>
      <c r="E3275" s="25">
        <v>1593.83</v>
      </c>
      <c r="F3275" s="25">
        <v>3135137.0</v>
      </c>
    </row>
    <row r="3276">
      <c r="A3276" s="25">
        <v>43207.64583333333</v>
      </c>
      <c r="B3276" s="25">
        <v>1593.83</v>
      </c>
      <c r="C3276" s="25">
        <v>1597.48</v>
      </c>
      <c r="D3276" s="25">
        <v>1573.6</v>
      </c>
      <c r="E3276" s="25">
        <v>1583.3</v>
      </c>
      <c r="F3276" s="25">
        <v>1650862.0</v>
      </c>
    </row>
    <row r="3277">
      <c r="A3277" s="25">
        <v>43208.64583333333</v>
      </c>
      <c r="B3277" s="25">
        <v>1583.0</v>
      </c>
      <c r="C3277" s="25">
        <v>1596.73</v>
      </c>
      <c r="D3277" s="25">
        <v>1572.93</v>
      </c>
      <c r="E3277" s="25">
        <v>1579.55</v>
      </c>
      <c r="F3277" s="25">
        <v>1216533.0</v>
      </c>
    </row>
    <row r="3278">
      <c r="A3278" s="25">
        <v>43209.64583333333</v>
      </c>
      <c r="B3278" s="25">
        <v>1589.95</v>
      </c>
      <c r="C3278" s="25">
        <v>1608.6</v>
      </c>
      <c r="D3278" s="25">
        <v>1582.88</v>
      </c>
      <c r="E3278" s="25">
        <v>1595.58</v>
      </c>
      <c r="F3278" s="25">
        <v>2410476.0</v>
      </c>
    </row>
    <row r="3279">
      <c r="A3279" s="25">
        <v>43210.64583333333</v>
      </c>
      <c r="B3279" s="25">
        <v>1625.0</v>
      </c>
      <c r="C3279" s="25">
        <v>1711.18</v>
      </c>
      <c r="D3279" s="25">
        <v>1620.0</v>
      </c>
      <c r="E3279" s="25">
        <v>1701.23</v>
      </c>
      <c r="F3279" s="25">
        <v>9232831.0</v>
      </c>
    </row>
    <row r="3280">
      <c r="A3280" s="25">
        <v>43213.64583333333</v>
      </c>
      <c r="B3280" s="25">
        <v>1712.0</v>
      </c>
      <c r="C3280" s="25">
        <v>1778.95</v>
      </c>
      <c r="D3280" s="25">
        <v>1694.78</v>
      </c>
      <c r="E3280" s="25">
        <v>1704.33</v>
      </c>
      <c r="F3280" s="25">
        <v>7592955.0</v>
      </c>
    </row>
    <row r="3281">
      <c r="A3281" s="25">
        <v>43214.64583333333</v>
      </c>
      <c r="B3281" s="25">
        <v>1705.0</v>
      </c>
      <c r="C3281" s="25">
        <v>1721.58</v>
      </c>
      <c r="D3281" s="25">
        <v>1671.25</v>
      </c>
      <c r="E3281" s="25">
        <v>1692.83</v>
      </c>
      <c r="F3281" s="25">
        <v>4157168.0</v>
      </c>
    </row>
    <row r="3282">
      <c r="A3282" s="25">
        <v>43215.64583333333</v>
      </c>
      <c r="B3282" s="25">
        <v>1692.5</v>
      </c>
      <c r="C3282" s="25">
        <v>1741.5</v>
      </c>
      <c r="D3282" s="25">
        <v>1682.53</v>
      </c>
      <c r="E3282" s="25">
        <v>1735.13</v>
      </c>
      <c r="F3282" s="25">
        <v>4098287.0</v>
      </c>
    </row>
    <row r="3283">
      <c r="A3283" s="25">
        <v>43216.64583333333</v>
      </c>
      <c r="B3283" s="25">
        <v>1733.5</v>
      </c>
      <c r="C3283" s="25">
        <v>1780.0</v>
      </c>
      <c r="D3283" s="25">
        <v>1733.5</v>
      </c>
      <c r="E3283" s="25">
        <v>1769.63</v>
      </c>
      <c r="F3283" s="25">
        <v>6067517.0</v>
      </c>
    </row>
    <row r="3284">
      <c r="A3284" s="25">
        <v>43217.64583333333</v>
      </c>
      <c r="B3284" s="25">
        <v>1762.5</v>
      </c>
      <c r="C3284" s="25">
        <v>1772.0</v>
      </c>
      <c r="D3284" s="25">
        <v>1710.0</v>
      </c>
      <c r="E3284" s="25">
        <v>1725.98</v>
      </c>
      <c r="F3284" s="25">
        <v>2250665.0</v>
      </c>
    </row>
    <row r="3285">
      <c r="A3285" s="25">
        <v>43220.64583333333</v>
      </c>
      <c r="B3285" s="25">
        <v>1725.98</v>
      </c>
      <c r="C3285" s="25">
        <v>1774.5</v>
      </c>
      <c r="D3285" s="25">
        <v>1718.8</v>
      </c>
      <c r="E3285" s="25">
        <v>1766.05</v>
      </c>
      <c r="F3285" s="25">
        <v>1729279.0</v>
      </c>
    </row>
    <row r="3286">
      <c r="A3286" s="25">
        <v>43222.64583333333</v>
      </c>
      <c r="B3286" s="25">
        <v>1765.25</v>
      </c>
      <c r="C3286" s="25">
        <v>1766.1</v>
      </c>
      <c r="D3286" s="25">
        <v>1735.65</v>
      </c>
      <c r="E3286" s="25">
        <v>1749.88</v>
      </c>
      <c r="F3286" s="25">
        <v>1579023.0</v>
      </c>
    </row>
    <row r="3287">
      <c r="A3287" s="25">
        <v>43223.64583333333</v>
      </c>
      <c r="B3287" s="25">
        <v>1754.9</v>
      </c>
      <c r="C3287" s="25">
        <v>1763.0</v>
      </c>
      <c r="D3287" s="25">
        <v>1735.2</v>
      </c>
      <c r="E3287" s="25">
        <v>1740.93</v>
      </c>
      <c r="F3287" s="25">
        <v>1880775.0</v>
      </c>
    </row>
    <row r="3288">
      <c r="A3288" s="25">
        <v>43224.64583333333</v>
      </c>
      <c r="B3288" s="25">
        <v>1746.0</v>
      </c>
      <c r="C3288" s="25">
        <v>1748.5</v>
      </c>
      <c r="D3288" s="25">
        <v>1735.0</v>
      </c>
      <c r="E3288" s="25">
        <v>1740.38</v>
      </c>
      <c r="F3288" s="25">
        <v>1173622.0</v>
      </c>
    </row>
    <row r="3289">
      <c r="A3289" s="25">
        <v>43227.64583333333</v>
      </c>
      <c r="B3289" s="25">
        <v>1745.0</v>
      </c>
      <c r="C3289" s="25">
        <v>1745.0</v>
      </c>
      <c r="D3289" s="25">
        <v>1705.45</v>
      </c>
      <c r="E3289" s="25">
        <v>1710.48</v>
      </c>
      <c r="F3289" s="25">
        <v>1742213.0</v>
      </c>
    </row>
    <row r="3290">
      <c r="A3290" s="25">
        <v>43228.64583333333</v>
      </c>
      <c r="B3290" s="25">
        <v>1717.35</v>
      </c>
      <c r="C3290" s="25">
        <v>1743.25</v>
      </c>
      <c r="D3290" s="25">
        <v>1698.35</v>
      </c>
      <c r="E3290" s="25">
        <v>1720.6</v>
      </c>
      <c r="F3290" s="25">
        <v>1496410.0</v>
      </c>
    </row>
    <row r="3291">
      <c r="A3291" s="25">
        <v>43229.64583333333</v>
      </c>
      <c r="B3291" s="25">
        <v>1720.1</v>
      </c>
      <c r="C3291" s="25">
        <v>1747.38</v>
      </c>
      <c r="D3291" s="25">
        <v>1720.1</v>
      </c>
      <c r="E3291" s="25">
        <v>1744.65</v>
      </c>
      <c r="F3291" s="25">
        <v>1307525.0</v>
      </c>
    </row>
    <row r="3292">
      <c r="A3292" s="25">
        <v>43230.64583333333</v>
      </c>
      <c r="B3292" s="25">
        <v>1751.48</v>
      </c>
      <c r="C3292" s="25">
        <v>1755.58</v>
      </c>
      <c r="D3292" s="25">
        <v>1720.1</v>
      </c>
      <c r="E3292" s="25">
        <v>1725.63</v>
      </c>
      <c r="F3292" s="25">
        <v>1929339.0</v>
      </c>
    </row>
    <row r="3293">
      <c r="A3293" s="25">
        <v>43231.64583333333</v>
      </c>
      <c r="B3293" s="25">
        <v>1727.1</v>
      </c>
      <c r="C3293" s="25">
        <v>1742.5</v>
      </c>
      <c r="D3293" s="25">
        <v>1721.25</v>
      </c>
      <c r="E3293" s="25">
        <v>1728.48</v>
      </c>
      <c r="F3293" s="25">
        <v>1313938.0</v>
      </c>
    </row>
    <row r="3294">
      <c r="A3294" s="25">
        <v>43234.64583333333</v>
      </c>
      <c r="B3294" s="25">
        <v>1728.5</v>
      </c>
      <c r="C3294" s="25">
        <v>1735.5</v>
      </c>
      <c r="D3294" s="25">
        <v>1705.4</v>
      </c>
      <c r="E3294" s="25">
        <v>1716.78</v>
      </c>
      <c r="F3294" s="25">
        <v>1216947.0</v>
      </c>
    </row>
    <row r="3295">
      <c r="A3295" s="25">
        <v>43235.64583333333</v>
      </c>
      <c r="B3295" s="25">
        <v>1725.0</v>
      </c>
      <c r="C3295" s="25">
        <v>1747.9</v>
      </c>
      <c r="D3295" s="25">
        <v>1716.85</v>
      </c>
      <c r="E3295" s="25">
        <v>1741.2</v>
      </c>
      <c r="F3295" s="25">
        <v>976445.0</v>
      </c>
    </row>
    <row r="3296">
      <c r="A3296" s="25">
        <v>43236.64583333333</v>
      </c>
      <c r="B3296" s="25">
        <v>1739.98</v>
      </c>
      <c r="C3296" s="25">
        <v>1754.5</v>
      </c>
      <c r="D3296" s="25">
        <v>1737.63</v>
      </c>
      <c r="E3296" s="25">
        <v>1746.95</v>
      </c>
      <c r="F3296" s="25">
        <v>824225.0</v>
      </c>
    </row>
    <row r="3297">
      <c r="A3297" s="25">
        <v>43237.64583333333</v>
      </c>
      <c r="B3297" s="25">
        <v>1756.48</v>
      </c>
      <c r="C3297" s="25">
        <v>1766.58</v>
      </c>
      <c r="D3297" s="25">
        <v>1738.0</v>
      </c>
      <c r="E3297" s="25">
        <v>1745.9</v>
      </c>
      <c r="F3297" s="25">
        <v>1484024.0</v>
      </c>
    </row>
    <row r="3298">
      <c r="A3298" s="25">
        <v>43238.64583333333</v>
      </c>
      <c r="B3298" s="25">
        <v>1740.4</v>
      </c>
      <c r="C3298" s="25">
        <v>1758.85</v>
      </c>
      <c r="D3298" s="25">
        <v>1729.0</v>
      </c>
      <c r="E3298" s="25">
        <v>1751.03</v>
      </c>
      <c r="F3298" s="25">
        <v>937498.0</v>
      </c>
    </row>
    <row r="3299">
      <c r="A3299" s="25">
        <v>43241.64583333333</v>
      </c>
      <c r="B3299" s="25">
        <v>1764.35</v>
      </c>
      <c r="C3299" s="25">
        <v>1796.0</v>
      </c>
      <c r="D3299" s="25">
        <v>1759.03</v>
      </c>
      <c r="E3299" s="25">
        <v>1778.38</v>
      </c>
      <c r="F3299" s="25">
        <v>1723089.0</v>
      </c>
    </row>
    <row r="3300">
      <c r="A3300" s="25">
        <v>43242.64583333333</v>
      </c>
      <c r="B3300" s="25">
        <v>1779.0</v>
      </c>
      <c r="C3300" s="25">
        <v>1787.48</v>
      </c>
      <c r="D3300" s="25">
        <v>1746.85</v>
      </c>
      <c r="E3300" s="25">
        <v>1754.45</v>
      </c>
      <c r="F3300" s="25">
        <v>928708.0</v>
      </c>
    </row>
    <row r="3301">
      <c r="A3301" s="25">
        <v>43243.64583333333</v>
      </c>
      <c r="B3301" s="25">
        <v>1762.5</v>
      </c>
      <c r="C3301" s="25">
        <v>1772.5</v>
      </c>
      <c r="D3301" s="25">
        <v>1740.5</v>
      </c>
      <c r="E3301" s="25">
        <v>1747.55</v>
      </c>
      <c r="F3301" s="25">
        <v>753649.0</v>
      </c>
    </row>
    <row r="3302">
      <c r="A3302" s="25">
        <v>43244.64583333333</v>
      </c>
      <c r="B3302" s="25">
        <v>1755.0</v>
      </c>
      <c r="C3302" s="25">
        <v>1807.5</v>
      </c>
      <c r="D3302" s="25">
        <v>1751.18</v>
      </c>
      <c r="E3302" s="25">
        <v>1801.85</v>
      </c>
      <c r="F3302" s="25">
        <v>1481158.0</v>
      </c>
    </row>
    <row r="3303">
      <c r="A3303" s="25">
        <v>43245.64583333333</v>
      </c>
      <c r="B3303" s="25">
        <v>1812.5</v>
      </c>
      <c r="C3303" s="25">
        <v>1837.4</v>
      </c>
      <c r="D3303" s="25">
        <v>1786.28</v>
      </c>
      <c r="E3303" s="25">
        <v>1792.9</v>
      </c>
      <c r="F3303" s="25">
        <v>1884886.0</v>
      </c>
    </row>
    <row r="3304">
      <c r="A3304" s="25">
        <v>43248.64583333333</v>
      </c>
      <c r="B3304" s="25">
        <v>1808.25</v>
      </c>
      <c r="C3304" s="25">
        <v>1808.25</v>
      </c>
      <c r="D3304" s="25">
        <v>1743.0</v>
      </c>
      <c r="E3304" s="25">
        <v>1751.03</v>
      </c>
      <c r="F3304" s="25">
        <v>1858399.0</v>
      </c>
    </row>
    <row r="3305">
      <c r="A3305" s="25">
        <v>43249.64583333333</v>
      </c>
      <c r="B3305" s="25">
        <v>1764.95</v>
      </c>
      <c r="C3305" s="25">
        <v>1772.0</v>
      </c>
      <c r="D3305" s="25">
        <v>1744.0</v>
      </c>
      <c r="E3305" s="25">
        <v>1761.75</v>
      </c>
      <c r="F3305" s="25">
        <v>1762656.0</v>
      </c>
    </row>
    <row r="3306">
      <c r="A3306" s="25">
        <v>43250.64583333333</v>
      </c>
      <c r="B3306" s="25">
        <v>1754.53</v>
      </c>
      <c r="C3306" s="25">
        <v>1766.5</v>
      </c>
      <c r="D3306" s="25">
        <v>1741.25</v>
      </c>
      <c r="E3306" s="25">
        <v>1757.05</v>
      </c>
      <c r="F3306" s="25">
        <v>1889553.0</v>
      </c>
    </row>
    <row r="3307">
      <c r="A3307" s="25">
        <v>43251.64583333333</v>
      </c>
      <c r="B3307" s="25">
        <v>1734.0</v>
      </c>
      <c r="C3307" s="25">
        <v>1759.05</v>
      </c>
      <c r="D3307" s="25">
        <v>1726.1</v>
      </c>
      <c r="E3307" s="25">
        <v>1741.05</v>
      </c>
      <c r="F3307" s="25">
        <v>5049371.0</v>
      </c>
    </row>
    <row r="3308">
      <c r="A3308" s="25">
        <v>43252.64583333333</v>
      </c>
      <c r="B3308" s="25">
        <v>1754.0</v>
      </c>
      <c r="C3308" s="25">
        <v>1758.0</v>
      </c>
      <c r="D3308" s="25">
        <v>1716.0</v>
      </c>
      <c r="E3308" s="25">
        <v>1732.0</v>
      </c>
      <c r="F3308" s="25">
        <v>1603856.0</v>
      </c>
    </row>
    <row r="3309">
      <c r="A3309" s="25">
        <v>43255.64583333333</v>
      </c>
      <c r="B3309" s="25">
        <v>1745.0</v>
      </c>
      <c r="C3309" s="25">
        <v>1749.0</v>
      </c>
      <c r="D3309" s="25">
        <v>1712.6</v>
      </c>
      <c r="E3309" s="25">
        <v>1744.25</v>
      </c>
      <c r="F3309" s="25">
        <v>1681483.0</v>
      </c>
    </row>
    <row r="3310">
      <c r="A3310" s="25">
        <v>43256.64583333333</v>
      </c>
      <c r="B3310" s="25">
        <v>1744.0</v>
      </c>
      <c r="C3310" s="25">
        <v>1751.9</v>
      </c>
      <c r="D3310" s="25">
        <v>1711.15</v>
      </c>
      <c r="E3310" s="25">
        <v>1721.6</v>
      </c>
      <c r="F3310" s="25">
        <v>2449568.0</v>
      </c>
    </row>
    <row r="3311">
      <c r="A3311" s="25">
        <v>43257.64583333333</v>
      </c>
      <c r="B3311" s="25">
        <v>1723.0</v>
      </c>
      <c r="C3311" s="25">
        <v>1734.9</v>
      </c>
      <c r="D3311" s="25">
        <v>1715.2</v>
      </c>
      <c r="E3311" s="25">
        <v>1725.75</v>
      </c>
      <c r="F3311" s="25">
        <v>2236512.0</v>
      </c>
    </row>
    <row r="3312">
      <c r="A3312" s="25">
        <v>43258.64583333333</v>
      </c>
      <c r="B3312" s="25">
        <v>1725.0</v>
      </c>
      <c r="C3312" s="25">
        <v>1749.0</v>
      </c>
      <c r="D3312" s="25">
        <v>1723.8</v>
      </c>
      <c r="E3312" s="25">
        <v>1735.55</v>
      </c>
      <c r="F3312" s="25">
        <v>2414762.0</v>
      </c>
    </row>
    <row r="3313">
      <c r="A3313" s="25">
        <v>43259.64583333333</v>
      </c>
      <c r="B3313" s="25">
        <v>1735.0</v>
      </c>
      <c r="C3313" s="25">
        <v>1757.3</v>
      </c>
      <c r="D3313" s="25">
        <v>1735.0</v>
      </c>
      <c r="E3313" s="25">
        <v>1747.1</v>
      </c>
      <c r="F3313" s="25">
        <v>2582138.0</v>
      </c>
    </row>
    <row r="3314">
      <c r="A3314" s="25">
        <v>43262.64583333333</v>
      </c>
      <c r="B3314" s="25">
        <v>1747.1</v>
      </c>
      <c r="C3314" s="25">
        <v>1763.0</v>
      </c>
      <c r="D3314" s="25">
        <v>1743.0</v>
      </c>
      <c r="E3314" s="25">
        <v>1749.7</v>
      </c>
      <c r="F3314" s="25">
        <v>2179378.0</v>
      </c>
    </row>
    <row r="3315">
      <c r="A3315" s="25">
        <v>43263.64583333333</v>
      </c>
      <c r="B3315" s="25">
        <v>1757.0</v>
      </c>
      <c r="C3315" s="25">
        <v>1785.0</v>
      </c>
      <c r="D3315" s="25">
        <v>1753.0</v>
      </c>
      <c r="E3315" s="25">
        <v>1781.0</v>
      </c>
      <c r="F3315" s="25">
        <v>4608875.0</v>
      </c>
    </row>
    <row r="3316">
      <c r="A3316" s="25">
        <v>43264.64583333333</v>
      </c>
      <c r="B3316" s="25">
        <v>1816.0</v>
      </c>
      <c r="C3316" s="25">
        <v>1831.65</v>
      </c>
      <c r="D3316" s="25">
        <v>1798.0</v>
      </c>
      <c r="E3316" s="25">
        <v>1824.1</v>
      </c>
      <c r="F3316" s="25">
        <v>5370983.0</v>
      </c>
    </row>
    <row r="3317">
      <c r="A3317" s="25">
        <v>43265.64583333333</v>
      </c>
      <c r="B3317" s="25">
        <v>1830.0</v>
      </c>
      <c r="C3317" s="25">
        <v>1832.3</v>
      </c>
      <c r="D3317" s="25">
        <v>1784.0</v>
      </c>
      <c r="E3317" s="25">
        <v>1787.55</v>
      </c>
      <c r="F3317" s="25">
        <v>3819998.0</v>
      </c>
    </row>
    <row r="3318">
      <c r="A3318" s="25">
        <v>43266.64583333333</v>
      </c>
      <c r="B3318" s="25">
        <v>1800.0</v>
      </c>
      <c r="C3318" s="25">
        <v>1847.1</v>
      </c>
      <c r="D3318" s="25">
        <v>1788.6</v>
      </c>
      <c r="E3318" s="25">
        <v>1840.05</v>
      </c>
      <c r="F3318" s="25">
        <v>9183574.0</v>
      </c>
    </row>
    <row r="3319">
      <c r="A3319" s="25">
        <v>43269.64583333333</v>
      </c>
      <c r="B3319" s="25">
        <v>1867.95</v>
      </c>
      <c r="C3319" s="25">
        <v>1867.95</v>
      </c>
      <c r="D3319" s="25">
        <v>1822.15</v>
      </c>
      <c r="E3319" s="25">
        <v>1829.0</v>
      </c>
      <c r="F3319" s="25">
        <v>4674987.0</v>
      </c>
    </row>
    <row r="3320">
      <c r="A3320" s="25">
        <v>43270.64583333333</v>
      </c>
      <c r="B3320" s="25">
        <v>1822.15</v>
      </c>
      <c r="C3320" s="25">
        <v>1839.0</v>
      </c>
      <c r="D3320" s="25">
        <v>1821.0</v>
      </c>
      <c r="E3320" s="25">
        <v>1824.5</v>
      </c>
      <c r="F3320" s="25">
        <v>3245034.0</v>
      </c>
    </row>
    <row r="3321">
      <c r="A3321" s="25">
        <v>43271.64583333333</v>
      </c>
      <c r="B3321" s="25">
        <v>1832.0</v>
      </c>
      <c r="C3321" s="25">
        <v>1836.3</v>
      </c>
      <c r="D3321" s="25">
        <v>1818.6</v>
      </c>
      <c r="E3321" s="25">
        <v>1822.45</v>
      </c>
      <c r="F3321" s="25">
        <v>3107695.0</v>
      </c>
    </row>
    <row r="3322">
      <c r="A3322" s="25">
        <v>43272.64583333333</v>
      </c>
      <c r="B3322" s="25">
        <v>1832.0</v>
      </c>
      <c r="C3322" s="25">
        <v>1832.0</v>
      </c>
      <c r="D3322" s="25">
        <v>1817.6</v>
      </c>
      <c r="E3322" s="25">
        <v>1819.35</v>
      </c>
      <c r="F3322" s="25">
        <v>2910659.0</v>
      </c>
    </row>
    <row r="3323">
      <c r="A3323" s="25">
        <v>43273.64583333333</v>
      </c>
      <c r="B3323" s="25">
        <v>1827.0</v>
      </c>
      <c r="C3323" s="25">
        <v>1827.0</v>
      </c>
      <c r="D3323" s="25">
        <v>1799.55</v>
      </c>
      <c r="E3323" s="25">
        <v>1809.8</v>
      </c>
      <c r="F3323" s="25">
        <v>2949458.0</v>
      </c>
    </row>
    <row r="3324">
      <c r="A3324" s="25">
        <v>43276.64583333333</v>
      </c>
      <c r="B3324" s="25">
        <v>1811.9</v>
      </c>
      <c r="C3324" s="25">
        <v>1822.35</v>
      </c>
      <c r="D3324" s="25">
        <v>1806.0</v>
      </c>
      <c r="E3324" s="25">
        <v>1819.25</v>
      </c>
      <c r="F3324" s="25">
        <v>2083217.0</v>
      </c>
    </row>
    <row r="3325">
      <c r="A3325" s="25">
        <v>43277.64583333333</v>
      </c>
      <c r="B3325" s="25">
        <v>1823.0</v>
      </c>
      <c r="C3325" s="25">
        <v>1861.0</v>
      </c>
      <c r="D3325" s="25">
        <v>1821.0</v>
      </c>
      <c r="E3325" s="25">
        <v>1852.0</v>
      </c>
      <c r="F3325" s="25">
        <v>4679712.0</v>
      </c>
    </row>
    <row r="3326">
      <c r="A3326" s="25">
        <v>43278.64583333333</v>
      </c>
      <c r="B3326" s="25">
        <v>1860.0</v>
      </c>
      <c r="C3326" s="25">
        <v>1885.15</v>
      </c>
      <c r="D3326" s="25">
        <v>1851.25</v>
      </c>
      <c r="E3326" s="25">
        <v>1858.0</v>
      </c>
      <c r="F3326" s="25">
        <v>4081208.0</v>
      </c>
    </row>
    <row r="3327">
      <c r="A3327" s="25">
        <v>43279.64583333333</v>
      </c>
      <c r="B3327" s="25">
        <v>1865.0</v>
      </c>
      <c r="C3327" s="25">
        <v>1871.0</v>
      </c>
      <c r="D3327" s="25">
        <v>1826.3</v>
      </c>
      <c r="E3327" s="25">
        <v>1842.7</v>
      </c>
      <c r="F3327" s="25">
        <v>4888125.0</v>
      </c>
    </row>
    <row r="3328">
      <c r="A3328" s="25">
        <v>43280.64583333333</v>
      </c>
      <c r="B3328" s="25">
        <v>1844.9</v>
      </c>
      <c r="C3328" s="25">
        <v>1867.4</v>
      </c>
      <c r="D3328" s="25">
        <v>1842.3</v>
      </c>
      <c r="E3328" s="25">
        <v>1847.75</v>
      </c>
      <c r="F3328" s="25">
        <v>3506276.0</v>
      </c>
    </row>
    <row r="3329">
      <c r="A3329" s="25">
        <v>43283.64583333333</v>
      </c>
      <c r="B3329" s="25">
        <v>1852.0</v>
      </c>
      <c r="C3329" s="25">
        <v>1857.8</v>
      </c>
      <c r="D3329" s="25">
        <v>1841.1</v>
      </c>
      <c r="E3329" s="25">
        <v>1851.35</v>
      </c>
      <c r="F3329" s="25">
        <v>2650290.0</v>
      </c>
    </row>
    <row r="3330">
      <c r="A3330" s="25">
        <v>43284.64583333333</v>
      </c>
      <c r="B3330" s="25">
        <v>1859.95</v>
      </c>
      <c r="C3330" s="25">
        <v>1879.9</v>
      </c>
      <c r="D3330" s="25">
        <v>1857.05</v>
      </c>
      <c r="E3330" s="25">
        <v>1874.05</v>
      </c>
      <c r="F3330" s="25">
        <v>3242233.0</v>
      </c>
    </row>
    <row r="3331">
      <c r="A3331" s="25">
        <v>43285.64583333333</v>
      </c>
      <c r="B3331" s="25">
        <v>1879.9</v>
      </c>
      <c r="C3331" s="25">
        <v>1879.9</v>
      </c>
      <c r="D3331" s="25">
        <v>1857.15</v>
      </c>
      <c r="E3331" s="25">
        <v>1866.15</v>
      </c>
      <c r="F3331" s="25">
        <v>2700614.0</v>
      </c>
    </row>
    <row r="3332">
      <c r="A3332" s="25">
        <v>43286.64583333333</v>
      </c>
      <c r="B3332" s="25">
        <v>1873.0</v>
      </c>
      <c r="C3332" s="25">
        <v>1887.5</v>
      </c>
      <c r="D3332" s="25">
        <v>1862.1</v>
      </c>
      <c r="E3332" s="25">
        <v>1880.3</v>
      </c>
      <c r="F3332" s="25">
        <v>2472571.0</v>
      </c>
    </row>
    <row r="3333">
      <c r="A3333" s="25">
        <v>43287.64583333333</v>
      </c>
      <c r="B3333" s="25">
        <v>1882.85</v>
      </c>
      <c r="C3333" s="25">
        <v>1921.0</v>
      </c>
      <c r="D3333" s="25">
        <v>1881.65</v>
      </c>
      <c r="E3333" s="25">
        <v>1912.95</v>
      </c>
      <c r="F3333" s="25">
        <v>3713781.0</v>
      </c>
    </row>
    <row r="3334">
      <c r="A3334" s="25">
        <v>43290.64583333333</v>
      </c>
      <c r="B3334" s="25">
        <v>1924.0</v>
      </c>
      <c r="C3334" s="25">
        <v>1924.4</v>
      </c>
      <c r="D3334" s="25">
        <v>1876.5</v>
      </c>
      <c r="E3334" s="25">
        <v>1883.0</v>
      </c>
      <c r="F3334" s="25">
        <v>6151747.0</v>
      </c>
    </row>
    <row r="3335">
      <c r="A3335" s="25">
        <v>43291.64583333333</v>
      </c>
      <c r="B3335" s="25">
        <v>1898.0</v>
      </c>
      <c r="C3335" s="25">
        <v>1898.9</v>
      </c>
      <c r="D3335" s="25">
        <v>1870.75</v>
      </c>
      <c r="E3335" s="25">
        <v>1875.1</v>
      </c>
      <c r="F3335" s="25">
        <v>5303302.0</v>
      </c>
    </row>
    <row r="3336">
      <c r="A3336" s="25">
        <v>43292.64583333333</v>
      </c>
      <c r="B3336" s="25">
        <v>1900.0</v>
      </c>
      <c r="C3336" s="25">
        <v>1998.0</v>
      </c>
      <c r="D3336" s="25">
        <v>1894.15</v>
      </c>
      <c r="E3336" s="25">
        <v>1979.9</v>
      </c>
      <c r="F3336" s="25">
        <v>2.2903802E7</v>
      </c>
    </row>
    <row r="3337">
      <c r="A3337" s="25">
        <v>43293.64583333333</v>
      </c>
      <c r="B3337" s="25">
        <v>1984.0</v>
      </c>
      <c r="C3337" s="25">
        <v>1990.9</v>
      </c>
      <c r="D3337" s="25">
        <v>1960.5</v>
      </c>
      <c r="E3337" s="25">
        <v>1971.35</v>
      </c>
      <c r="F3337" s="25">
        <v>6921701.0</v>
      </c>
    </row>
    <row r="3338">
      <c r="A3338" s="25">
        <v>43294.64583333333</v>
      </c>
      <c r="B3338" s="25">
        <v>1975.0</v>
      </c>
      <c r="C3338" s="25">
        <v>1997.9</v>
      </c>
      <c r="D3338" s="25">
        <v>1974.0</v>
      </c>
      <c r="E3338" s="25">
        <v>1981.1</v>
      </c>
      <c r="F3338" s="25">
        <v>4148185.0</v>
      </c>
    </row>
    <row r="3339">
      <c r="A3339" s="25">
        <v>43297.64583333333</v>
      </c>
      <c r="B3339" s="25">
        <v>1990.0</v>
      </c>
      <c r="C3339" s="25">
        <v>1996.0</v>
      </c>
      <c r="D3339" s="25">
        <v>1977.45</v>
      </c>
      <c r="E3339" s="25">
        <v>1989.2</v>
      </c>
      <c r="F3339" s="25">
        <v>2582159.0</v>
      </c>
    </row>
    <row r="3340">
      <c r="A3340" s="25">
        <v>43298.64583333333</v>
      </c>
      <c r="B3340" s="25">
        <v>1989.0</v>
      </c>
      <c r="C3340" s="25">
        <v>2009.0</v>
      </c>
      <c r="D3340" s="25">
        <v>1981.0</v>
      </c>
      <c r="E3340" s="25">
        <v>2002.15</v>
      </c>
      <c r="F3340" s="25">
        <v>3315492.0</v>
      </c>
    </row>
    <row r="3341">
      <c r="A3341" s="25">
        <v>43299.64583333333</v>
      </c>
      <c r="B3341" s="25">
        <v>2005.0</v>
      </c>
      <c r="C3341" s="25">
        <v>2011.7</v>
      </c>
      <c r="D3341" s="25">
        <v>1993.05</v>
      </c>
      <c r="E3341" s="25">
        <v>2000.25</v>
      </c>
      <c r="F3341" s="25">
        <v>2013869.0</v>
      </c>
    </row>
    <row r="3342">
      <c r="A3342" s="25">
        <v>43300.64583333333</v>
      </c>
      <c r="B3342" s="25">
        <v>2002.1</v>
      </c>
      <c r="C3342" s="25">
        <v>2010.45</v>
      </c>
      <c r="D3342" s="25">
        <v>1970.0</v>
      </c>
      <c r="E3342" s="25">
        <v>1981.4</v>
      </c>
      <c r="F3342" s="25">
        <v>1746318.0</v>
      </c>
    </row>
    <row r="3343">
      <c r="A3343" s="25">
        <v>43301.64583333333</v>
      </c>
      <c r="B3343" s="25">
        <v>1984.9</v>
      </c>
      <c r="C3343" s="25">
        <v>2000.0</v>
      </c>
      <c r="D3343" s="25">
        <v>1984.0</v>
      </c>
      <c r="E3343" s="25">
        <v>1996.6</v>
      </c>
      <c r="F3343" s="25">
        <v>1934995.0</v>
      </c>
    </row>
    <row r="3344">
      <c r="A3344" s="25">
        <v>43304.64583333333</v>
      </c>
      <c r="B3344" s="25">
        <v>2001.0</v>
      </c>
      <c r="C3344" s="25">
        <v>2009.95</v>
      </c>
      <c r="D3344" s="25">
        <v>1986.0</v>
      </c>
      <c r="E3344" s="25">
        <v>2005.65</v>
      </c>
      <c r="F3344" s="25">
        <v>2086201.0</v>
      </c>
    </row>
    <row r="3345">
      <c r="A3345" s="25">
        <v>43305.64583333333</v>
      </c>
      <c r="B3345" s="25">
        <v>2015.0</v>
      </c>
      <c r="C3345" s="25">
        <v>2015.0</v>
      </c>
      <c r="D3345" s="25">
        <v>1984.15</v>
      </c>
      <c r="E3345" s="25">
        <v>1999.0</v>
      </c>
      <c r="F3345" s="25">
        <v>2038423.0</v>
      </c>
    </row>
    <row r="3346">
      <c r="A3346" s="25">
        <v>43306.64583333333</v>
      </c>
      <c r="B3346" s="25">
        <v>2001.9</v>
      </c>
      <c r="C3346" s="25">
        <v>2002.0</v>
      </c>
      <c r="D3346" s="25">
        <v>1968.4</v>
      </c>
      <c r="E3346" s="25">
        <v>1981.5</v>
      </c>
      <c r="F3346" s="25">
        <v>1535492.0</v>
      </c>
    </row>
    <row r="3347">
      <c r="A3347" s="25">
        <v>43307.64583333333</v>
      </c>
      <c r="B3347" s="25">
        <v>1974.95</v>
      </c>
      <c r="C3347" s="25">
        <v>1985.0</v>
      </c>
      <c r="D3347" s="25">
        <v>1955.1</v>
      </c>
      <c r="E3347" s="25">
        <v>1964.7</v>
      </c>
      <c r="F3347" s="25">
        <v>3503036.0</v>
      </c>
    </row>
    <row r="3348">
      <c r="A3348" s="25">
        <v>43308.64583333333</v>
      </c>
      <c r="B3348" s="25">
        <v>1960.85</v>
      </c>
      <c r="C3348" s="25">
        <v>1964.65</v>
      </c>
      <c r="D3348" s="25">
        <v>1940.3</v>
      </c>
      <c r="E3348" s="25">
        <v>1943.75</v>
      </c>
      <c r="F3348" s="25">
        <v>2033977.0</v>
      </c>
    </row>
    <row r="3349">
      <c r="A3349" s="25">
        <v>43311.64583333333</v>
      </c>
      <c r="B3349" s="25">
        <v>1943.0</v>
      </c>
      <c r="C3349" s="25">
        <v>1954.7</v>
      </c>
      <c r="D3349" s="25">
        <v>1931.55</v>
      </c>
      <c r="E3349" s="25">
        <v>1944.6</v>
      </c>
      <c r="F3349" s="25">
        <v>1579251.0</v>
      </c>
    </row>
    <row r="3350">
      <c r="A3350" s="25">
        <v>43312.64583333333</v>
      </c>
      <c r="B3350" s="25">
        <v>1942.0</v>
      </c>
      <c r="C3350" s="25">
        <v>1947.0</v>
      </c>
      <c r="D3350" s="25">
        <v>1928.0</v>
      </c>
      <c r="E3350" s="25">
        <v>1940.2</v>
      </c>
      <c r="F3350" s="25">
        <v>2204803.0</v>
      </c>
    </row>
    <row r="3351">
      <c r="A3351" s="25">
        <v>43313.64583333333</v>
      </c>
      <c r="B3351" s="25">
        <v>1949.95</v>
      </c>
      <c r="C3351" s="25">
        <v>1981.55</v>
      </c>
      <c r="D3351" s="25">
        <v>1949.8</v>
      </c>
      <c r="E3351" s="25">
        <v>1976.5</v>
      </c>
      <c r="F3351" s="25">
        <v>2425180.0</v>
      </c>
    </row>
    <row r="3352">
      <c r="A3352" s="25">
        <v>43314.64583333333</v>
      </c>
      <c r="B3352" s="25">
        <v>1980.0</v>
      </c>
      <c r="C3352" s="25">
        <v>1985.0</v>
      </c>
      <c r="D3352" s="25">
        <v>1945.0</v>
      </c>
      <c r="E3352" s="25">
        <v>1948.4</v>
      </c>
      <c r="F3352" s="25">
        <v>1509287.0</v>
      </c>
    </row>
    <row r="3353">
      <c r="A3353" s="25">
        <v>43315.64583333333</v>
      </c>
      <c r="B3353" s="25">
        <v>1956.5</v>
      </c>
      <c r="C3353" s="25">
        <v>1982.05</v>
      </c>
      <c r="D3353" s="25">
        <v>1956.5</v>
      </c>
      <c r="E3353" s="25">
        <v>1979.45</v>
      </c>
      <c r="F3353" s="25">
        <v>1505131.0</v>
      </c>
    </row>
    <row r="3354">
      <c r="A3354" s="25">
        <v>43318.64583333333</v>
      </c>
      <c r="B3354" s="25">
        <v>1997.0</v>
      </c>
      <c r="C3354" s="25">
        <v>1998.95</v>
      </c>
      <c r="D3354" s="25">
        <v>1972.25</v>
      </c>
      <c r="E3354" s="25">
        <v>1975.55</v>
      </c>
      <c r="F3354" s="25">
        <v>1532249.0</v>
      </c>
    </row>
    <row r="3355">
      <c r="A3355" s="25">
        <v>43319.64583333333</v>
      </c>
      <c r="B3355" s="25">
        <v>1978.2</v>
      </c>
      <c r="C3355" s="25">
        <v>1979.15</v>
      </c>
      <c r="D3355" s="25">
        <v>1960.5</v>
      </c>
      <c r="E3355" s="25">
        <v>1967.35</v>
      </c>
      <c r="F3355" s="25">
        <v>1353560.0</v>
      </c>
    </row>
    <row r="3356">
      <c r="A3356" s="25">
        <v>43320.64583333333</v>
      </c>
      <c r="B3356" s="25">
        <v>1972.0</v>
      </c>
      <c r="C3356" s="25">
        <v>1978.3</v>
      </c>
      <c r="D3356" s="25">
        <v>1962.0</v>
      </c>
      <c r="E3356" s="25">
        <v>1974.0</v>
      </c>
      <c r="F3356" s="25">
        <v>1315062.0</v>
      </c>
    </row>
    <row r="3357">
      <c r="A3357" s="25">
        <v>43321.64583333333</v>
      </c>
      <c r="B3357" s="25">
        <v>1980.0</v>
      </c>
      <c r="C3357" s="25">
        <v>1980.8</v>
      </c>
      <c r="D3357" s="25">
        <v>1966.0</v>
      </c>
      <c r="E3357" s="25">
        <v>1974.35</v>
      </c>
      <c r="F3357" s="25">
        <v>2060297.0</v>
      </c>
    </row>
    <row r="3358">
      <c r="A3358" s="25">
        <v>43322.64583333333</v>
      </c>
      <c r="B3358" s="25">
        <v>1980.95</v>
      </c>
      <c r="C3358" s="25">
        <v>1996.5</v>
      </c>
      <c r="D3358" s="25">
        <v>1972.05</v>
      </c>
      <c r="E3358" s="25">
        <v>1993.1</v>
      </c>
      <c r="F3358" s="25">
        <v>2784105.0</v>
      </c>
    </row>
    <row r="3359">
      <c r="A3359" s="25">
        <v>43325.64583333333</v>
      </c>
      <c r="B3359" s="25">
        <v>1997.8</v>
      </c>
      <c r="C3359" s="25">
        <v>2004.25</v>
      </c>
      <c r="D3359" s="25">
        <v>1990.0</v>
      </c>
      <c r="E3359" s="25">
        <v>2000.15</v>
      </c>
      <c r="F3359" s="25">
        <v>3559575.0</v>
      </c>
    </row>
    <row r="3360">
      <c r="A3360" s="25">
        <v>43326.64583333333</v>
      </c>
      <c r="B3360" s="25">
        <v>1992.0</v>
      </c>
      <c r="C3360" s="25">
        <v>2024.6</v>
      </c>
      <c r="D3360" s="25">
        <v>1982.4</v>
      </c>
      <c r="E3360" s="25">
        <v>2003.55</v>
      </c>
      <c r="F3360" s="25">
        <v>3311765.0</v>
      </c>
    </row>
    <row r="3361">
      <c r="A3361" s="25">
        <v>43328.64583333333</v>
      </c>
      <c r="B3361" s="25">
        <v>2000.3</v>
      </c>
      <c r="C3361" s="25">
        <v>2020.05</v>
      </c>
      <c r="D3361" s="25">
        <v>1995.0</v>
      </c>
      <c r="E3361" s="25">
        <v>2008.5</v>
      </c>
      <c r="F3361" s="25">
        <v>2152065.0</v>
      </c>
    </row>
    <row r="3362">
      <c r="A3362" s="25">
        <v>43329.64583333333</v>
      </c>
      <c r="B3362" s="25">
        <v>2013.85</v>
      </c>
      <c r="C3362" s="25">
        <v>2021.9</v>
      </c>
      <c r="D3362" s="25">
        <v>2004.0</v>
      </c>
      <c r="E3362" s="25">
        <v>2012.75</v>
      </c>
      <c r="F3362" s="25">
        <v>1213731.0</v>
      </c>
    </row>
    <row r="3363">
      <c r="A3363" s="25">
        <v>43332.64583333333</v>
      </c>
      <c r="B3363" s="25">
        <v>2024.0</v>
      </c>
      <c r="C3363" s="25">
        <v>2024.0</v>
      </c>
      <c r="D3363" s="25">
        <v>2003.7</v>
      </c>
      <c r="E3363" s="25">
        <v>2009.95</v>
      </c>
      <c r="F3363" s="25">
        <v>1587032.0</v>
      </c>
    </row>
    <row r="3364">
      <c r="A3364" s="25">
        <v>43333.64583333333</v>
      </c>
      <c r="B3364" s="25">
        <v>2010.15</v>
      </c>
      <c r="C3364" s="25">
        <v>2024.0</v>
      </c>
      <c r="D3364" s="25">
        <v>2004.0</v>
      </c>
      <c r="E3364" s="25">
        <v>2017.65</v>
      </c>
      <c r="F3364" s="25">
        <v>1376866.0</v>
      </c>
    </row>
    <row r="3365">
      <c r="A3365" s="25">
        <v>43335.64583333333</v>
      </c>
      <c r="B3365" s="25">
        <v>2022.8</v>
      </c>
      <c r="C3365" s="25">
        <v>2038.0</v>
      </c>
      <c r="D3365" s="25">
        <v>2020.3</v>
      </c>
      <c r="E3365" s="25">
        <v>2035.1</v>
      </c>
      <c r="F3365" s="25">
        <v>3046791.0</v>
      </c>
    </row>
    <row r="3366">
      <c r="A3366" s="25">
        <v>43336.64583333333</v>
      </c>
      <c r="B3366" s="25">
        <v>2035.1</v>
      </c>
      <c r="C3366" s="25">
        <v>2046.0</v>
      </c>
      <c r="D3366" s="25">
        <v>2031.0</v>
      </c>
      <c r="E3366" s="25">
        <v>2043.0</v>
      </c>
      <c r="F3366" s="25">
        <v>1570533.0</v>
      </c>
    </row>
    <row r="3367">
      <c r="A3367" s="25">
        <v>43339.64583333333</v>
      </c>
      <c r="B3367" s="25">
        <v>2043.0</v>
      </c>
      <c r="C3367" s="25">
        <v>2059.0</v>
      </c>
      <c r="D3367" s="25">
        <v>2035.0</v>
      </c>
      <c r="E3367" s="25">
        <v>2050.9</v>
      </c>
      <c r="F3367" s="25">
        <v>1532702.0</v>
      </c>
    </row>
    <row r="3368">
      <c r="A3368" s="25">
        <v>43340.64583333333</v>
      </c>
      <c r="B3368" s="25">
        <v>2055.0</v>
      </c>
      <c r="C3368" s="25">
        <v>2072.0</v>
      </c>
      <c r="D3368" s="25">
        <v>2052.0</v>
      </c>
      <c r="E3368" s="25">
        <v>2069.2</v>
      </c>
      <c r="F3368" s="25">
        <v>1987983.0</v>
      </c>
    </row>
    <row r="3369">
      <c r="A3369" s="25">
        <v>43341.64583333333</v>
      </c>
      <c r="B3369" s="25">
        <v>2072.5</v>
      </c>
      <c r="C3369" s="25">
        <v>2076.6</v>
      </c>
      <c r="D3369" s="25">
        <v>2045.6</v>
      </c>
      <c r="E3369" s="25">
        <v>2072.0</v>
      </c>
      <c r="F3369" s="25">
        <v>1525867.0</v>
      </c>
    </row>
    <row r="3370">
      <c r="A3370" s="25">
        <v>43342.64583333333</v>
      </c>
      <c r="B3370" s="25">
        <v>2068.0</v>
      </c>
      <c r="C3370" s="25">
        <v>2085.0</v>
      </c>
      <c r="D3370" s="25">
        <v>2065.5</v>
      </c>
      <c r="E3370" s="25">
        <v>2082.4</v>
      </c>
      <c r="F3370" s="25">
        <v>2408020.0</v>
      </c>
    </row>
    <row r="3371">
      <c r="A3371" s="25">
        <v>43343.64583333333</v>
      </c>
      <c r="B3371" s="25">
        <v>2082.3</v>
      </c>
      <c r="C3371" s="25">
        <v>2092.0</v>
      </c>
      <c r="D3371" s="25">
        <v>2074.0</v>
      </c>
      <c r="E3371" s="25">
        <v>2078.4</v>
      </c>
      <c r="F3371" s="25">
        <v>2504554.0</v>
      </c>
    </row>
    <row r="3372">
      <c r="A3372" s="25">
        <v>43346.64583333333</v>
      </c>
      <c r="B3372" s="25">
        <v>2084.8</v>
      </c>
      <c r="C3372" s="25">
        <v>2090.0</v>
      </c>
      <c r="D3372" s="25">
        <v>2048.4</v>
      </c>
      <c r="E3372" s="25">
        <v>2052.9</v>
      </c>
      <c r="F3372" s="25">
        <v>1439711.0</v>
      </c>
    </row>
    <row r="3373">
      <c r="A3373" s="25">
        <v>43347.64583333333</v>
      </c>
      <c r="B3373" s="25">
        <v>2059.8</v>
      </c>
      <c r="C3373" s="25">
        <v>2104.75</v>
      </c>
      <c r="D3373" s="25">
        <v>2056.95</v>
      </c>
      <c r="E3373" s="25">
        <v>2098.9</v>
      </c>
      <c r="F3373" s="25">
        <v>4420803.0</v>
      </c>
    </row>
    <row r="3374">
      <c r="A3374" s="25">
        <v>43348.64583333333</v>
      </c>
      <c r="B3374" s="25">
        <v>2100.0</v>
      </c>
      <c r="C3374" s="25">
        <v>2107.25</v>
      </c>
      <c r="D3374" s="25">
        <v>2075.05</v>
      </c>
      <c r="E3374" s="25">
        <v>2079.25</v>
      </c>
      <c r="F3374" s="25">
        <v>1681106.0</v>
      </c>
    </row>
    <row r="3375">
      <c r="A3375" s="25">
        <v>43349.64583333333</v>
      </c>
      <c r="B3375" s="25">
        <v>2075.0</v>
      </c>
      <c r="C3375" s="25">
        <v>2081.5</v>
      </c>
      <c r="D3375" s="25">
        <v>2060.3</v>
      </c>
      <c r="E3375" s="25">
        <v>2075.3</v>
      </c>
      <c r="F3375" s="25">
        <v>2238097.0</v>
      </c>
    </row>
    <row r="3376">
      <c r="A3376" s="25">
        <v>43350.64583333333</v>
      </c>
      <c r="B3376" s="25">
        <v>2079.3</v>
      </c>
      <c r="C3376" s="25">
        <v>2084.0</v>
      </c>
      <c r="D3376" s="25">
        <v>2065.4</v>
      </c>
      <c r="E3376" s="25">
        <v>2079.85</v>
      </c>
      <c r="F3376" s="25">
        <v>1312182.0</v>
      </c>
    </row>
    <row r="3377">
      <c r="A3377" s="25">
        <v>43353.64583333333</v>
      </c>
      <c r="B3377" s="25">
        <v>2084.4</v>
      </c>
      <c r="C3377" s="25">
        <v>2093.4</v>
      </c>
      <c r="D3377" s="25">
        <v>2074.25</v>
      </c>
      <c r="E3377" s="25">
        <v>2080.75</v>
      </c>
      <c r="F3377" s="25">
        <v>1530539.0</v>
      </c>
    </row>
    <row r="3378">
      <c r="A3378" s="25">
        <v>43354.64583333333</v>
      </c>
      <c r="B3378" s="25">
        <v>2089.0</v>
      </c>
      <c r="C3378" s="25">
        <v>2089.0</v>
      </c>
      <c r="D3378" s="25">
        <v>2042.2</v>
      </c>
      <c r="E3378" s="25">
        <v>2046.25</v>
      </c>
      <c r="F3378" s="25">
        <v>3679745.0</v>
      </c>
    </row>
    <row r="3379">
      <c r="A3379" s="25">
        <v>43355.64583333333</v>
      </c>
      <c r="B3379" s="25">
        <v>2052.35</v>
      </c>
      <c r="C3379" s="25">
        <v>2068.9</v>
      </c>
      <c r="D3379" s="25">
        <v>2040.0</v>
      </c>
      <c r="E3379" s="25">
        <v>2043.95</v>
      </c>
      <c r="F3379" s="25">
        <v>2307661.0</v>
      </c>
    </row>
    <row r="3380">
      <c r="A3380" s="25">
        <v>43357.64583333333</v>
      </c>
      <c r="B3380" s="25">
        <v>2044.0</v>
      </c>
      <c r="C3380" s="25">
        <v>2071.55</v>
      </c>
      <c r="D3380" s="25">
        <v>2018.15</v>
      </c>
      <c r="E3380" s="25">
        <v>2065.4</v>
      </c>
      <c r="F3380" s="25">
        <v>3642038.0</v>
      </c>
    </row>
    <row r="3381">
      <c r="A3381" s="25">
        <v>43360.64583333333</v>
      </c>
      <c r="B3381" s="25">
        <v>2070.0</v>
      </c>
      <c r="C3381" s="25">
        <v>2077.8</v>
      </c>
      <c r="D3381" s="25">
        <v>2054.55</v>
      </c>
      <c r="E3381" s="25">
        <v>2074.15</v>
      </c>
      <c r="F3381" s="25">
        <v>1033857.0</v>
      </c>
    </row>
    <row r="3382">
      <c r="A3382" s="25">
        <v>43361.64583333333</v>
      </c>
      <c r="B3382" s="25">
        <v>2073.0</v>
      </c>
      <c r="C3382" s="25">
        <v>2078.8</v>
      </c>
      <c r="D3382" s="25">
        <v>2057.6</v>
      </c>
      <c r="E3382" s="25">
        <v>2070.75</v>
      </c>
      <c r="F3382" s="25">
        <v>1456507.0</v>
      </c>
    </row>
    <row r="3383">
      <c r="A3383" s="25">
        <v>43362.64583333333</v>
      </c>
      <c r="B3383" s="25">
        <v>2071.9</v>
      </c>
      <c r="C3383" s="25">
        <v>2089.0</v>
      </c>
      <c r="D3383" s="25">
        <v>2066.85</v>
      </c>
      <c r="E3383" s="25">
        <v>2077.9</v>
      </c>
      <c r="F3383" s="25">
        <v>1301268.0</v>
      </c>
    </row>
    <row r="3384">
      <c r="A3384" s="25">
        <v>43364.64583333333</v>
      </c>
      <c r="B3384" s="25">
        <v>2077.0</v>
      </c>
      <c r="C3384" s="25">
        <v>2121.0</v>
      </c>
      <c r="D3384" s="25">
        <v>2050.15</v>
      </c>
      <c r="E3384" s="25">
        <v>2103.15</v>
      </c>
      <c r="F3384" s="25">
        <v>4508530.0</v>
      </c>
    </row>
    <row r="3385">
      <c r="A3385" s="25">
        <v>43367.64583333333</v>
      </c>
      <c r="B3385" s="25">
        <v>2115.0</v>
      </c>
      <c r="C3385" s="25">
        <v>2210.5</v>
      </c>
      <c r="D3385" s="25">
        <v>2098.15</v>
      </c>
      <c r="E3385" s="25">
        <v>2198.45</v>
      </c>
      <c r="F3385" s="25">
        <v>3032226.0</v>
      </c>
    </row>
    <row r="3386">
      <c r="A3386" s="25">
        <v>43368.64583333333</v>
      </c>
      <c r="B3386" s="25">
        <v>2204.9</v>
      </c>
      <c r="C3386" s="25">
        <v>2211.9</v>
      </c>
      <c r="D3386" s="25">
        <v>2153.8</v>
      </c>
      <c r="E3386" s="25">
        <v>2183.2</v>
      </c>
      <c r="F3386" s="25">
        <v>2868778.0</v>
      </c>
    </row>
    <row r="3387">
      <c r="A3387" s="25">
        <v>43369.64583333333</v>
      </c>
      <c r="B3387" s="25">
        <v>2187.0</v>
      </c>
      <c r="C3387" s="25">
        <v>2199.0</v>
      </c>
      <c r="D3387" s="25">
        <v>2135.1</v>
      </c>
      <c r="E3387" s="25">
        <v>2142.15</v>
      </c>
      <c r="F3387" s="25">
        <v>1970951.0</v>
      </c>
    </row>
    <row r="3388">
      <c r="A3388" s="25">
        <v>43370.64583333333</v>
      </c>
      <c r="B3388" s="25">
        <v>2141.9</v>
      </c>
      <c r="C3388" s="25">
        <v>2209.7</v>
      </c>
      <c r="D3388" s="25">
        <v>2135.8</v>
      </c>
      <c r="E3388" s="25">
        <v>2188.85</v>
      </c>
      <c r="F3388" s="25">
        <v>3311802.0</v>
      </c>
    </row>
    <row r="3389">
      <c r="A3389" s="25">
        <v>43371.64583333333</v>
      </c>
      <c r="B3389" s="25">
        <v>2178.0</v>
      </c>
      <c r="C3389" s="25">
        <v>2190.0</v>
      </c>
      <c r="D3389" s="25">
        <v>2158.85</v>
      </c>
      <c r="E3389" s="25">
        <v>2183.7</v>
      </c>
      <c r="F3389" s="25">
        <v>2904371.0</v>
      </c>
    </row>
    <row r="3390">
      <c r="A3390" s="25">
        <v>43374.64583333333</v>
      </c>
      <c r="B3390" s="25">
        <v>2190.9</v>
      </c>
      <c r="C3390" s="25">
        <v>2275.95</v>
      </c>
      <c r="D3390" s="25">
        <v>2190.35</v>
      </c>
      <c r="E3390" s="25">
        <v>2255.55</v>
      </c>
      <c r="F3390" s="25">
        <v>3772208.0</v>
      </c>
    </row>
    <row r="3391">
      <c r="A3391" s="25">
        <v>43376.64583333333</v>
      </c>
      <c r="B3391" s="25">
        <v>2250.3</v>
      </c>
      <c r="C3391" s="25">
        <v>2255.0</v>
      </c>
      <c r="D3391" s="25">
        <v>2155.6</v>
      </c>
      <c r="E3391" s="25">
        <v>2162.85</v>
      </c>
      <c r="F3391" s="25">
        <v>3902322.0</v>
      </c>
    </row>
    <row r="3392">
      <c r="A3392" s="25">
        <v>43377.64583333333</v>
      </c>
      <c r="B3392" s="25">
        <v>2156.6</v>
      </c>
      <c r="C3392" s="25">
        <v>2156.65</v>
      </c>
      <c r="D3392" s="25">
        <v>2056.35</v>
      </c>
      <c r="E3392" s="25">
        <v>2064.8</v>
      </c>
      <c r="F3392" s="25">
        <v>4762419.0</v>
      </c>
    </row>
    <row r="3393">
      <c r="A3393" s="25">
        <v>43378.64583333333</v>
      </c>
      <c r="B3393" s="25">
        <v>2050.0</v>
      </c>
      <c r="C3393" s="25">
        <v>2120.0</v>
      </c>
      <c r="D3393" s="25">
        <v>2020.9</v>
      </c>
      <c r="E3393" s="25">
        <v>2102.65</v>
      </c>
      <c r="F3393" s="25">
        <v>3417624.0</v>
      </c>
    </row>
    <row r="3394">
      <c r="A3394" s="25">
        <v>43381.64583333333</v>
      </c>
      <c r="B3394" s="25">
        <v>2102.65</v>
      </c>
      <c r="C3394" s="25">
        <v>2122.2</v>
      </c>
      <c r="D3394" s="25">
        <v>2048.15</v>
      </c>
      <c r="E3394" s="25">
        <v>2077.55</v>
      </c>
      <c r="F3394" s="25">
        <v>2010154.0</v>
      </c>
    </row>
    <row r="3395">
      <c r="A3395" s="25">
        <v>43382.64583333333</v>
      </c>
      <c r="B3395" s="25">
        <v>2080.35</v>
      </c>
      <c r="C3395" s="25">
        <v>2107.65</v>
      </c>
      <c r="D3395" s="25">
        <v>2053.2</v>
      </c>
      <c r="E3395" s="25">
        <v>2091.8</v>
      </c>
      <c r="F3395" s="25">
        <v>1867130.0</v>
      </c>
    </row>
    <row r="3396">
      <c r="A3396" s="25">
        <v>43383.64583333333</v>
      </c>
      <c r="B3396" s="25">
        <v>2100.0</v>
      </c>
      <c r="C3396" s="25">
        <v>2105.95</v>
      </c>
      <c r="D3396" s="25">
        <v>2029.0</v>
      </c>
      <c r="E3396" s="25">
        <v>2043.6</v>
      </c>
      <c r="F3396" s="25">
        <v>2749573.0</v>
      </c>
    </row>
    <row r="3397">
      <c r="A3397" s="25">
        <v>43384.64583333333</v>
      </c>
      <c r="B3397" s="25">
        <v>1985.0</v>
      </c>
      <c r="C3397" s="25">
        <v>2013.0</v>
      </c>
      <c r="D3397" s="25">
        <v>1941.0</v>
      </c>
      <c r="E3397" s="25">
        <v>1979.95</v>
      </c>
      <c r="F3397" s="25">
        <v>4700256.0</v>
      </c>
    </row>
    <row r="3398">
      <c r="A3398" s="25">
        <v>43385.64583333333</v>
      </c>
      <c r="B3398" s="25">
        <v>1978.0</v>
      </c>
      <c r="C3398" s="25">
        <v>1978.0</v>
      </c>
      <c r="D3398" s="25">
        <v>1903.0</v>
      </c>
      <c r="E3398" s="25">
        <v>1918.3</v>
      </c>
      <c r="F3398" s="25">
        <v>9373289.0</v>
      </c>
    </row>
    <row r="3399">
      <c r="A3399" s="25">
        <v>43388.64583333333</v>
      </c>
      <c r="B3399" s="25">
        <v>1940.0</v>
      </c>
      <c r="C3399" s="25">
        <v>1955.55</v>
      </c>
      <c r="D3399" s="25">
        <v>1920.0</v>
      </c>
      <c r="E3399" s="25">
        <v>1949.5</v>
      </c>
      <c r="F3399" s="25">
        <v>2638151.0</v>
      </c>
    </row>
    <row r="3400">
      <c r="A3400" s="25">
        <v>43389.64583333333</v>
      </c>
      <c r="B3400" s="25">
        <v>1958.0</v>
      </c>
      <c r="C3400" s="25">
        <v>1971.9</v>
      </c>
      <c r="D3400" s="25">
        <v>1935.0</v>
      </c>
      <c r="E3400" s="25">
        <v>1962.3</v>
      </c>
      <c r="F3400" s="25">
        <v>2815425.0</v>
      </c>
    </row>
    <row r="3401">
      <c r="A3401" s="25">
        <v>43390.64583333333</v>
      </c>
      <c r="B3401" s="25">
        <v>1970.0</v>
      </c>
      <c r="C3401" s="25">
        <v>1989.0</v>
      </c>
      <c r="D3401" s="25">
        <v>1920.0</v>
      </c>
      <c r="E3401" s="25">
        <v>1929.4</v>
      </c>
      <c r="F3401" s="25">
        <v>2779207.0</v>
      </c>
    </row>
    <row r="3402">
      <c r="A3402" s="25">
        <v>43392.64583333333</v>
      </c>
      <c r="B3402" s="25">
        <v>1929.0</v>
      </c>
      <c r="C3402" s="25">
        <v>1929.0</v>
      </c>
      <c r="D3402" s="25">
        <v>1870.05</v>
      </c>
      <c r="E3402" s="25">
        <v>1913.2</v>
      </c>
      <c r="F3402" s="25">
        <v>3428776.0</v>
      </c>
    </row>
    <row r="3403">
      <c r="A3403" s="25">
        <v>43395.64583333333</v>
      </c>
      <c r="B3403" s="25">
        <v>1914.0</v>
      </c>
      <c r="C3403" s="25">
        <v>1916.0</v>
      </c>
      <c r="D3403" s="25">
        <v>1886.95</v>
      </c>
      <c r="E3403" s="25">
        <v>1903.0</v>
      </c>
      <c r="F3403" s="25">
        <v>1778496.0</v>
      </c>
    </row>
    <row r="3404">
      <c r="A3404" s="25">
        <v>43396.64583333333</v>
      </c>
      <c r="B3404" s="25">
        <v>1888.0</v>
      </c>
      <c r="C3404" s="25">
        <v>1898.0</v>
      </c>
      <c r="D3404" s="25">
        <v>1837.0</v>
      </c>
      <c r="E3404" s="25">
        <v>1843.65</v>
      </c>
      <c r="F3404" s="25">
        <v>2752811.0</v>
      </c>
    </row>
    <row r="3405">
      <c r="A3405" s="25">
        <v>43397.64583333333</v>
      </c>
      <c r="B3405" s="25">
        <v>1852.05</v>
      </c>
      <c r="C3405" s="25">
        <v>1874.0</v>
      </c>
      <c r="D3405" s="25">
        <v>1811.1</v>
      </c>
      <c r="E3405" s="25">
        <v>1848.5</v>
      </c>
      <c r="F3405" s="25">
        <v>2735913.0</v>
      </c>
    </row>
    <row r="3406">
      <c r="A3406" s="25">
        <v>43398.64583333333</v>
      </c>
      <c r="B3406" s="25">
        <v>1844.0</v>
      </c>
      <c r="C3406" s="25">
        <v>1876.9</v>
      </c>
      <c r="D3406" s="25">
        <v>1825.05</v>
      </c>
      <c r="E3406" s="25">
        <v>1853.0</v>
      </c>
      <c r="F3406" s="25">
        <v>2507233.0</v>
      </c>
    </row>
    <row r="3407">
      <c r="A3407" s="25">
        <v>43399.64583333333</v>
      </c>
      <c r="B3407" s="25">
        <v>1853.9</v>
      </c>
      <c r="C3407" s="25">
        <v>1853.9</v>
      </c>
      <c r="D3407" s="25">
        <v>1791.1</v>
      </c>
      <c r="E3407" s="25">
        <v>1799.1</v>
      </c>
      <c r="F3407" s="25">
        <v>2285970.0</v>
      </c>
    </row>
    <row r="3408">
      <c r="A3408" s="25">
        <v>43402.64583333333</v>
      </c>
      <c r="B3408" s="25">
        <v>1808.7</v>
      </c>
      <c r="C3408" s="25">
        <v>1877.95</v>
      </c>
      <c r="D3408" s="25">
        <v>1784.35</v>
      </c>
      <c r="E3408" s="25">
        <v>1871.0</v>
      </c>
      <c r="F3408" s="25">
        <v>2609483.0</v>
      </c>
    </row>
    <row r="3409">
      <c r="A3409" s="25">
        <v>43403.64583333333</v>
      </c>
      <c r="B3409" s="25">
        <v>1867.0</v>
      </c>
      <c r="C3409" s="25">
        <v>1909.4</v>
      </c>
      <c r="D3409" s="25">
        <v>1845.0</v>
      </c>
      <c r="E3409" s="25">
        <v>1894.8</v>
      </c>
      <c r="F3409" s="25">
        <v>2404883.0</v>
      </c>
    </row>
    <row r="3410">
      <c r="A3410" s="25">
        <v>43404.64583333333</v>
      </c>
      <c r="B3410" s="25">
        <v>1900.0</v>
      </c>
      <c r="C3410" s="25">
        <v>1943.9</v>
      </c>
      <c r="D3410" s="25">
        <v>1875.45</v>
      </c>
      <c r="E3410" s="25">
        <v>1938.15</v>
      </c>
      <c r="F3410" s="25">
        <v>2769190.0</v>
      </c>
    </row>
    <row r="3411">
      <c r="A3411" s="25">
        <v>43405.64583333333</v>
      </c>
      <c r="B3411" s="25">
        <v>1943.65</v>
      </c>
      <c r="C3411" s="25">
        <v>1944.35</v>
      </c>
      <c r="D3411" s="25">
        <v>1901.3</v>
      </c>
      <c r="E3411" s="25">
        <v>1935.75</v>
      </c>
      <c r="F3411" s="25">
        <v>2769759.0</v>
      </c>
    </row>
    <row r="3412">
      <c r="A3412" s="25">
        <v>43406.64583333333</v>
      </c>
      <c r="B3412" s="25">
        <v>1934.2</v>
      </c>
      <c r="C3412" s="25">
        <v>1954.6</v>
      </c>
      <c r="D3412" s="25">
        <v>1905.0</v>
      </c>
      <c r="E3412" s="25">
        <v>1913.45</v>
      </c>
      <c r="F3412" s="25">
        <v>1818635.0</v>
      </c>
    </row>
    <row r="3413">
      <c r="A3413" s="25">
        <v>43409.79166666667</v>
      </c>
      <c r="B3413" s="25">
        <v>1910.0</v>
      </c>
      <c r="C3413" s="25">
        <v>1927.35</v>
      </c>
      <c r="D3413" s="25">
        <v>1884.75</v>
      </c>
      <c r="E3413" s="25">
        <v>1894.0</v>
      </c>
      <c r="F3413" s="25">
        <v>1713366.0</v>
      </c>
    </row>
    <row r="3414">
      <c r="A3414" s="25">
        <v>43410.64583333333</v>
      </c>
      <c r="B3414" s="25">
        <v>1894.0</v>
      </c>
      <c r="C3414" s="25">
        <v>1937.5</v>
      </c>
      <c r="D3414" s="25">
        <v>1891.0</v>
      </c>
      <c r="E3414" s="25">
        <v>1932.7</v>
      </c>
      <c r="F3414" s="25">
        <v>1398710.0</v>
      </c>
    </row>
    <row r="3415">
      <c r="A3415" s="25">
        <v>43413.64583333333</v>
      </c>
      <c r="B3415" s="25">
        <v>1961.0</v>
      </c>
      <c r="C3415" s="25">
        <v>1961.95</v>
      </c>
      <c r="D3415" s="25">
        <v>1905.0</v>
      </c>
      <c r="E3415" s="25">
        <v>1909.2</v>
      </c>
      <c r="F3415" s="25">
        <v>2570479.0</v>
      </c>
    </row>
    <row r="3416">
      <c r="A3416" s="25">
        <v>43416.64583333333</v>
      </c>
      <c r="B3416" s="25">
        <v>1908.5</v>
      </c>
      <c r="C3416" s="25">
        <v>1946.1</v>
      </c>
      <c r="D3416" s="25">
        <v>1908.5</v>
      </c>
      <c r="E3416" s="25">
        <v>1914.85</v>
      </c>
      <c r="F3416" s="25">
        <v>2552008.0</v>
      </c>
    </row>
    <row r="3417">
      <c r="A3417" s="25">
        <v>43417.64583333333</v>
      </c>
      <c r="B3417" s="25">
        <v>1915.0</v>
      </c>
      <c r="C3417" s="25">
        <v>1939.0</v>
      </c>
      <c r="D3417" s="25">
        <v>1903.0</v>
      </c>
      <c r="E3417" s="25">
        <v>1934.95</v>
      </c>
      <c r="F3417" s="25">
        <v>1418432.0</v>
      </c>
    </row>
    <row r="3418">
      <c r="A3418" s="25">
        <v>43418.64583333333</v>
      </c>
      <c r="B3418" s="25">
        <v>1925.0</v>
      </c>
      <c r="C3418" s="25">
        <v>1929.9</v>
      </c>
      <c r="D3418" s="25">
        <v>1870.0</v>
      </c>
      <c r="E3418" s="25">
        <v>1880.65</v>
      </c>
      <c r="F3418" s="25">
        <v>2422318.0</v>
      </c>
    </row>
    <row r="3419">
      <c r="A3419" s="25">
        <v>43419.64583333333</v>
      </c>
      <c r="B3419" s="25">
        <v>1864.0</v>
      </c>
      <c r="C3419" s="25">
        <v>1899.0</v>
      </c>
      <c r="D3419" s="25">
        <v>1857.6</v>
      </c>
      <c r="E3419" s="25">
        <v>1872.85</v>
      </c>
      <c r="F3419" s="25">
        <v>1829123.0</v>
      </c>
    </row>
    <row r="3420">
      <c r="A3420" s="25">
        <v>43420.64583333333</v>
      </c>
      <c r="B3420" s="25">
        <v>1889.0</v>
      </c>
      <c r="C3420" s="25">
        <v>1899.8</v>
      </c>
      <c r="D3420" s="25">
        <v>1870.25</v>
      </c>
      <c r="E3420" s="25">
        <v>1886.6</v>
      </c>
      <c r="F3420" s="25">
        <v>1829729.0</v>
      </c>
    </row>
    <row r="3421">
      <c r="A3421" s="25">
        <v>43423.64583333333</v>
      </c>
      <c r="B3421" s="25">
        <v>1899.0</v>
      </c>
      <c r="C3421" s="25">
        <v>1907.35</v>
      </c>
      <c r="D3421" s="25">
        <v>1864.3</v>
      </c>
      <c r="E3421" s="25">
        <v>1902.45</v>
      </c>
      <c r="F3421" s="25">
        <v>1740628.0</v>
      </c>
    </row>
    <row r="3422">
      <c r="A3422" s="25">
        <v>43424.64583333333</v>
      </c>
      <c r="B3422" s="25">
        <v>1902.0</v>
      </c>
      <c r="C3422" s="25">
        <v>1902.0</v>
      </c>
      <c r="D3422" s="25">
        <v>1874.2</v>
      </c>
      <c r="E3422" s="25">
        <v>1878.25</v>
      </c>
      <c r="F3422" s="25">
        <v>1190182.0</v>
      </c>
    </row>
    <row r="3423">
      <c r="A3423" s="25">
        <v>43425.64583333333</v>
      </c>
      <c r="B3423" s="25">
        <v>1871.0</v>
      </c>
      <c r="C3423" s="25">
        <v>1871.05</v>
      </c>
      <c r="D3423" s="25">
        <v>1798.55</v>
      </c>
      <c r="E3423" s="25">
        <v>1812.0</v>
      </c>
      <c r="F3423" s="25">
        <v>3840461.0</v>
      </c>
    </row>
    <row r="3424">
      <c r="A3424" s="25">
        <v>43426.64583333333</v>
      </c>
      <c r="B3424" s="25">
        <v>1820.0</v>
      </c>
      <c r="C3424" s="25">
        <v>1847.6</v>
      </c>
      <c r="D3424" s="25">
        <v>1809.95</v>
      </c>
      <c r="E3424" s="25">
        <v>1812.55</v>
      </c>
      <c r="F3424" s="25">
        <v>3194219.0</v>
      </c>
    </row>
    <row r="3425">
      <c r="A3425" s="25">
        <v>43430.64583333333</v>
      </c>
      <c r="B3425" s="25">
        <v>1819.0</v>
      </c>
      <c r="C3425" s="25">
        <v>1860.0</v>
      </c>
      <c r="D3425" s="25">
        <v>1784.5</v>
      </c>
      <c r="E3425" s="25">
        <v>1846.1</v>
      </c>
      <c r="F3425" s="25">
        <v>4333177.0</v>
      </c>
    </row>
    <row r="3426">
      <c r="A3426" s="25">
        <v>43431.64583333333</v>
      </c>
      <c r="B3426" s="25">
        <v>1854.0</v>
      </c>
      <c r="C3426" s="25">
        <v>1897.9</v>
      </c>
      <c r="D3426" s="25">
        <v>1835.35</v>
      </c>
      <c r="E3426" s="25">
        <v>1890.25</v>
      </c>
      <c r="F3426" s="25">
        <v>3344839.0</v>
      </c>
    </row>
    <row r="3427">
      <c r="A3427" s="25">
        <v>43432.64583333333</v>
      </c>
      <c r="B3427" s="25">
        <v>1889.0</v>
      </c>
      <c r="C3427" s="25">
        <v>1989.0</v>
      </c>
      <c r="D3427" s="25">
        <v>1882.5</v>
      </c>
      <c r="E3427" s="25">
        <v>1983.9</v>
      </c>
      <c r="F3427" s="25">
        <v>5313249.0</v>
      </c>
    </row>
    <row r="3428">
      <c r="A3428" s="25">
        <v>43433.64583333333</v>
      </c>
      <c r="B3428" s="25">
        <v>1997.0</v>
      </c>
      <c r="C3428" s="25">
        <v>1997.0</v>
      </c>
      <c r="D3428" s="25">
        <v>1942.55</v>
      </c>
      <c r="E3428" s="25">
        <v>1960.55</v>
      </c>
      <c r="F3428" s="25">
        <v>4035441.0</v>
      </c>
    </row>
    <row r="3429">
      <c r="A3429" s="25">
        <v>43434.64583333333</v>
      </c>
      <c r="B3429" s="25">
        <v>1966.0</v>
      </c>
      <c r="C3429" s="25">
        <v>1991.0</v>
      </c>
      <c r="D3429" s="25">
        <v>1959.85</v>
      </c>
      <c r="E3429" s="25">
        <v>1968.25</v>
      </c>
      <c r="F3429" s="25">
        <v>5268901.0</v>
      </c>
    </row>
    <row r="3430">
      <c r="A3430" s="25">
        <v>43437.64583333333</v>
      </c>
      <c r="B3430" s="25">
        <v>1984.0</v>
      </c>
      <c r="C3430" s="25">
        <v>1990.0</v>
      </c>
      <c r="D3430" s="25">
        <v>1968.3</v>
      </c>
      <c r="E3430" s="25">
        <v>1982.4</v>
      </c>
      <c r="F3430" s="25">
        <v>1610576.0</v>
      </c>
    </row>
    <row r="3431">
      <c r="A3431" s="25">
        <v>43438.64583333333</v>
      </c>
      <c r="B3431" s="25">
        <v>1983.0</v>
      </c>
      <c r="C3431" s="25">
        <v>2019.4</v>
      </c>
      <c r="D3431" s="25">
        <v>1971.0</v>
      </c>
      <c r="E3431" s="25">
        <v>2010.85</v>
      </c>
      <c r="F3431" s="25">
        <v>3270615.0</v>
      </c>
    </row>
    <row r="3432">
      <c r="A3432" s="25">
        <v>43439.64583333333</v>
      </c>
      <c r="B3432" s="25">
        <v>2006.0</v>
      </c>
      <c r="C3432" s="25">
        <v>2018.0</v>
      </c>
      <c r="D3432" s="25">
        <v>1985.0</v>
      </c>
      <c r="E3432" s="25">
        <v>2006.75</v>
      </c>
      <c r="F3432" s="25">
        <v>2501539.0</v>
      </c>
    </row>
    <row r="3433">
      <c r="A3433" s="25">
        <v>43440.64583333333</v>
      </c>
      <c r="B3433" s="25">
        <v>1998.0</v>
      </c>
      <c r="C3433" s="25">
        <v>2017.0</v>
      </c>
      <c r="D3433" s="25">
        <v>1979.6</v>
      </c>
      <c r="E3433" s="25">
        <v>1992.7</v>
      </c>
      <c r="F3433" s="25">
        <v>2321216.0</v>
      </c>
    </row>
    <row r="3434">
      <c r="A3434" s="25">
        <v>43441.64583333333</v>
      </c>
      <c r="B3434" s="25">
        <v>1985.05</v>
      </c>
      <c r="C3434" s="25">
        <v>2003.9</v>
      </c>
      <c r="D3434" s="25">
        <v>1973.0</v>
      </c>
      <c r="E3434" s="25">
        <v>1995.2</v>
      </c>
      <c r="F3434" s="25">
        <v>1680420.0</v>
      </c>
    </row>
    <row r="3435">
      <c r="A3435" s="25">
        <v>43444.64583333333</v>
      </c>
      <c r="B3435" s="25">
        <v>1975.0</v>
      </c>
      <c r="C3435" s="25">
        <v>2011.0</v>
      </c>
      <c r="D3435" s="25">
        <v>1960.0</v>
      </c>
      <c r="E3435" s="25">
        <v>1975.8</v>
      </c>
      <c r="F3435" s="25">
        <v>2010786.0</v>
      </c>
    </row>
    <row r="3436">
      <c r="A3436" s="25">
        <v>43445.64583333333</v>
      </c>
      <c r="B3436" s="25">
        <v>1970.0</v>
      </c>
      <c r="C3436" s="25">
        <v>2010.0</v>
      </c>
      <c r="D3436" s="25">
        <v>1961.0</v>
      </c>
      <c r="E3436" s="25">
        <v>2000.0</v>
      </c>
      <c r="F3436" s="25">
        <v>2942014.0</v>
      </c>
    </row>
    <row r="3437">
      <c r="A3437" s="25">
        <v>43446.64583333333</v>
      </c>
      <c r="B3437" s="25">
        <v>2001.1</v>
      </c>
      <c r="C3437" s="25">
        <v>2022.0</v>
      </c>
      <c r="D3437" s="25">
        <v>1984.95</v>
      </c>
      <c r="E3437" s="25">
        <v>2016.8</v>
      </c>
      <c r="F3437" s="25">
        <v>2219993.0</v>
      </c>
    </row>
    <row r="3438">
      <c r="A3438" s="25">
        <v>43447.64583333333</v>
      </c>
      <c r="B3438" s="25">
        <v>2024.0</v>
      </c>
      <c r="C3438" s="25">
        <v>2029.7</v>
      </c>
      <c r="D3438" s="25">
        <v>1974.5</v>
      </c>
      <c r="E3438" s="25">
        <v>1982.6</v>
      </c>
      <c r="F3438" s="25">
        <v>3748429.0</v>
      </c>
    </row>
    <row r="3439">
      <c r="A3439" s="25">
        <v>43448.64583333333</v>
      </c>
      <c r="B3439" s="25">
        <v>1983.0</v>
      </c>
      <c r="C3439" s="25">
        <v>1998.95</v>
      </c>
      <c r="D3439" s="25">
        <v>1975.25</v>
      </c>
      <c r="E3439" s="25">
        <v>1989.75</v>
      </c>
      <c r="F3439" s="25">
        <v>2473761.0</v>
      </c>
    </row>
    <row r="3440">
      <c r="A3440" s="25">
        <v>43451.64583333333</v>
      </c>
      <c r="B3440" s="25">
        <v>1999.0</v>
      </c>
      <c r="C3440" s="25">
        <v>2004.9</v>
      </c>
      <c r="D3440" s="25">
        <v>1985.0</v>
      </c>
      <c r="E3440" s="25">
        <v>1994.3</v>
      </c>
      <c r="F3440" s="25">
        <v>1227921.0</v>
      </c>
    </row>
    <row r="3441">
      <c r="A3441" s="25">
        <v>43452.64583333333</v>
      </c>
      <c r="B3441" s="25">
        <v>1991.9</v>
      </c>
      <c r="C3441" s="25">
        <v>2002.0</v>
      </c>
      <c r="D3441" s="25">
        <v>1976.4</v>
      </c>
      <c r="E3441" s="25">
        <v>1987.85</v>
      </c>
      <c r="F3441" s="25">
        <v>1768742.0</v>
      </c>
    </row>
    <row r="3442">
      <c r="A3442" s="25">
        <v>43453.64583333333</v>
      </c>
      <c r="B3442" s="25">
        <v>1984.8</v>
      </c>
      <c r="C3442" s="25">
        <v>1984.8</v>
      </c>
      <c r="D3442" s="25">
        <v>1960.05</v>
      </c>
      <c r="E3442" s="25">
        <v>1968.45</v>
      </c>
      <c r="F3442" s="25">
        <v>2498833.0</v>
      </c>
    </row>
    <row r="3443">
      <c r="A3443" s="25">
        <v>43454.64583333333</v>
      </c>
      <c r="B3443" s="25">
        <v>1953.8</v>
      </c>
      <c r="C3443" s="25">
        <v>1974.9</v>
      </c>
      <c r="D3443" s="25">
        <v>1946.0</v>
      </c>
      <c r="E3443" s="25">
        <v>1954.05</v>
      </c>
      <c r="F3443" s="25">
        <v>1940277.0</v>
      </c>
    </row>
    <row r="3444">
      <c r="A3444" s="25">
        <v>43455.64583333333</v>
      </c>
      <c r="B3444" s="25">
        <v>1948.0</v>
      </c>
      <c r="C3444" s="25">
        <v>1950.0</v>
      </c>
      <c r="D3444" s="25">
        <v>1886.55</v>
      </c>
      <c r="E3444" s="25">
        <v>1895.8</v>
      </c>
      <c r="F3444" s="25">
        <v>3729956.0</v>
      </c>
    </row>
    <row r="3445">
      <c r="A3445" s="25">
        <v>43458.64583333333</v>
      </c>
      <c r="B3445" s="25">
        <v>1905.8</v>
      </c>
      <c r="C3445" s="25">
        <v>1938.9</v>
      </c>
      <c r="D3445" s="25">
        <v>1905.0</v>
      </c>
      <c r="E3445" s="25">
        <v>1918.5</v>
      </c>
      <c r="F3445" s="25">
        <v>1864116.0</v>
      </c>
    </row>
    <row r="3446">
      <c r="A3446" s="25">
        <v>43460.64583333333</v>
      </c>
      <c r="B3446" s="25">
        <v>1921.8</v>
      </c>
      <c r="C3446" s="25">
        <v>1921.8</v>
      </c>
      <c r="D3446" s="25">
        <v>1870.25</v>
      </c>
      <c r="E3446" s="25">
        <v>1889.2</v>
      </c>
      <c r="F3446" s="25">
        <v>2446614.0</v>
      </c>
    </row>
    <row r="3447">
      <c r="A3447" s="25">
        <v>43461.64583333333</v>
      </c>
      <c r="B3447" s="25">
        <v>1909.0</v>
      </c>
      <c r="C3447" s="25">
        <v>1941.7</v>
      </c>
      <c r="D3447" s="25">
        <v>1872.1</v>
      </c>
      <c r="E3447" s="25">
        <v>1908.95</v>
      </c>
      <c r="F3447" s="25">
        <v>4968201.0</v>
      </c>
    </row>
    <row r="3448">
      <c r="A3448" s="25">
        <v>43462.64583333333</v>
      </c>
      <c r="B3448" s="25">
        <v>1915.0</v>
      </c>
      <c r="C3448" s="25">
        <v>1920.0</v>
      </c>
      <c r="D3448" s="25">
        <v>1893.0</v>
      </c>
      <c r="E3448" s="25">
        <v>1896.05</v>
      </c>
      <c r="F3448" s="25">
        <v>2239130.0</v>
      </c>
    </row>
    <row r="3449">
      <c r="A3449" s="25">
        <v>43465.64583333333</v>
      </c>
      <c r="B3449" s="25">
        <v>1908.0</v>
      </c>
      <c r="C3449" s="25">
        <v>1909.0</v>
      </c>
      <c r="D3449" s="25">
        <v>1886.15</v>
      </c>
      <c r="E3449" s="25">
        <v>1893.05</v>
      </c>
      <c r="F3449" s="25">
        <v>1879740.0</v>
      </c>
    </row>
    <row r="3450">
      <c r="A3450" s="25">
        <v>43466.64583333333</v>
      </c>
      <c r="B3450" s="25">
        <v>1896.0</v>
      </c>
      <c r="C3450" s="25">
        <v>1910.0</v>
      </c>
      <c r="D3450" s="25">
        <v>1885.0</v>
      </c>
      <c r="E3450" s="25">
        <v>1902.8</v>
      </c>
      <c r="F3450" s="25">
        <v>1094883.0</v>
      </c>
    </row>
    <row r="3451">
      <c r="A3451" s="25">
        <v>43467.64583333333</v>
      </c>
      <c r="B3451" s="25">
        <v>1905.0</v>
      </c>
      <c r="C3451" s="25">
        <v>1934.45</v>
      </c>
      <c r="D3451" s="25">
        <v>1900.0</v>
      </c>
      <c r="E3451" s="25">
        <v>1923.3</v>
      </c>
      <c r="F3451" s="25">
        <v>2100463.0</v>
      </c>
    </row>
    <row r="3452">
      <c r="A3452" s="25">
        <v>43468.64583333333</v>
      </c>
      <c r="B3452" s="25">
        <v>1919.0</v>
      </c>
      <c r="C3452" s="25">
        <v>1944.95</v>
      </c>
      <c r="D3452" s="25">
        <v>1893.1</v>
      </c>
      <c r="E3452" s="25">
        <v>1899.95</v>
      </c>
      <c r="F3452" s="25">
        <v>2611668.0</v>
      </c>
    </row>
    <row r="3453">
      <c r="A3453" s="25">
        <v>43469.64583333333</v>
      </c>
      <c r="B3453" s="25">
        <v>1900.0</v>
      </c>
      <c r="C3453" s="25">
        <v>1901.2</v>
      </c>
      <c r="D3453" s="25">
        <v>1841.0</v>
      </c>
      <c r="E3453" s="25">
        <v>1876.85</v>
      </c>
      <c r="F3453" s="25">
        <v>4280862.0</v>
      </c>
    </row>
    <row r="3454">
      <c r="A3454" s="25">
        <v>43472.64583333333</v>
      </c>
      <c r="B3454" s="25">
        <v>1891.8</v>
      </c>
      <c r="C3454" s="25">
        <v>1908.8</v>
      </c>
      <c r="D3454" s="25">
        <v>1881.0</v>
      </c>
      <c r="E3454" s="25">
        <v>1897.9</v>
      </c>
      <c r="F3454" s="25">
        <v>1856423.0</v>
      </c>
    </row>
    <row r="3455">
      <c r="A3455" s="25">
        <v>43473.64583333333</v>
      </c>
      <c r="B3455" s="25">
        <v>1905.4</v>
      </c>
      <c r="C3455" s="25">
        <v>1906.4</v>
      </c>
      <c r="D3455" s="25">
        <v>1883.3</v>
      </c>
      <c r="E3455" s="25">
        <v>1893.55</v>
      </c>
      <c r="F3455" s="25">
        <v>1691756.0</v>
      </c>
    </row>
    <row r="3456">
      <c r="A3456" s="25">
        <v>43474.64583333333</v>
      </c>
      <c r="B3456" s="25">
        <v>1907.4</v>
      </c>
      <c r="C3456" s="25">
        <v>1919.0</v>
      </c>
      <c r="D3456" s="25">
        <v>1866.7</v>
      </c>
      <c r="E3456" s="25">
        <v>1886.95</v>
      </c>
      <c r="F3456" s="25">
        <v>2414376.0</v>
      </c>
    </row>
    <row r="3457">
      <c r="A3457" s="25">
        <v>43475.64583333333</v>
      </c>
      <c r="B3457" s="25">
        <v>1890.0</v>
      </c>
      <c r="C3457" s="25">
        <v>1905.0</v>
      </c>
      <c r="D3457" s="25">
        <v>1872.1</v>
      </c>
      <c r="E3457" s="25">
        <v>1888.55</v>
      </c>
      <c r="F3457" s="25">
        <v>3053461.0</v>
      </c>
    </row>
    <row r="3458">
      <c r="A3458" s="25">
        <v>43476.64583333333</v>
      </c>
      <c r="B3458" s="25">
        <v>1870.0</v>
      </c>
      <c r="C3458" s="25">
        <v>1875.0</v>
      </c>
      <c r="D3458" s="25">
        <v>1835.0</v>
      </c>
      <c r="E3458" s="25">
        <v>1842.55</v>
      </c>
      <c r="F3458" s="25">
        <v>9209862.0</v>
      </c>
    </row>
    <row r="3459">
      <c r="A3459" s="25">
        <v>43479.64583333333</v>
      </c>
      <c r="B3459" s="25">
        <v>1850.0</v>
      </c>
      <c r="C3459" s="25">
        <v>1851.0</v>
      </c>
      <c r="D3459" s="25">
        <v>1810.0</v>
      </c>
      <c r="E3459" s="25">
        <v>1813.25</v>
      </c>
      <c r="F3459" s="25">
        <v>3615370.0</v>
      </c>
    </row>
    <row r="3460">
      <c r="A3460" s="25">
        <v>43480.64583333333</v>
      </c>
      <c r="B3460" s="25">
        <v>1810.0</v>
      </c>
      <c r="C3460" s="25">
        <v>1869.35</v>
      </c>
      <c r="D3460" s="25">
        <v>1808.0</v>
      </c>
      <c r="E3460" s="25">
        <v>1867.8</v>
      </c>
      <c r="F3460" s="25">
        <v>7711653.0</v>
      </c>
    </row>
    <row r="3461">
      <c r="A3461" s="25">
        <v>43481.64583333333</v>
      </c>
      <c r="B3461" s="25">
        <v>1870.0</v>
      </c>
      <c r="C3461" s="25">
        <v>1875.0</v>
      </c>
      <c r="D3461" s="25">
        <v>1847.0</v>
      </c>
      <c r="E3461" s="25">
        <v>1870.15</v>
      </c>
      <c r="F3461" s="25">
        <v>2359280.0</v>
      </c>
    </row>
    <row r="3462">
      <c r="A3462" s="25">
        <v>43482.64583333333</v>
      </c>
      <c r="B3462" s="25">
        <v>1878.0</v>
      </c>
      <c r="C3462" s="25">
        <v>1898.0</v>
      </c>
      <c r="D3462" s="25">
        <v>1871.3</v>
      </c>
      <c r="E3462" s="25">
        <v>1894.3</v>
      </c>
      <c r="F3462" s="25">
        <v>2625816.0</v>
      </c>
    </row>
    <row r="3463">
      <c r="A3463" s="25">
        <v>43483.64583333333</v>
      </c>
      <c r="B3463" s="25">
        <v>1881.0</v>
      </c>
      <c r="C3463" s="25">
        <v>1904.2</v>
      </c>
      <c r="D3463" s="25">
        <v>1876.0</v>
      </c>
      <c r="E3463" s="25">
        <v>1900.65</v>
      </c>
      <c r="F3463" s="25">
        <v>1683728.0</v>
      </c>
    </row>
    <row r="3464">
      <c r="A3464" s="25">
        <v>43486.64583333333</v>
      </c>
      <c r="B3464" s="25">
        <v>1902.0</v>
      </c>
      <c r="C3464" s="25">
        <v>1932.0</v>
      </c>
      <c r="D3464" s="25">
        <v>1895.45</v>
      </c>
      <c r="E3464" s="25">
        <v>1908.7</v>
      </c>
      <c r="F3464" s="25">
        <v>2409803.0</v>
      </c>
    </row>
    <row r="3465">
      <c r="A3465" s="25">
        <v>43487.64583333333</v>
      </c>
      <c r="B3465" s="25">
        <v>1907.1</v>
      </c>
      <c r="C3465" s="25">
        <v>1918.25</v>
      </c>
      <c r="D3465" s="25">
        <v>1890.0</v>
      </c>
      <c r="E3465" s="25">
        <v>1901.9</v>
      </c>
      <c r="F3465" s="25">
        <v>2457093.0</v>
      </c>
    </row>
    <row r="3466">
      <c r="A3466" s="25">
        <v>43488.64583333333</v>
      </c>
      <c r="B3466" s="25">
        <v>1901.0</v>
      </c>
      <c r="C3466" s="25">
        <v>1906.1</v>
      </c>
      <c r="D3466" s="25">
        <v>1870.0</v>
      </c>
      <c r="E3466" s="25">
        <v>1875.6</v>
      </c>
      <c r="F3466" s="25">
        <v>2578169.0</v>
      </c>
    </row>
    <row r="3467">
      <c r="A3467" s="25">
        <v>43489.64583333333</v>
      </c>
      <c r="B3467" s="25">
        <v>1884.8</v>
      </c>
      <c r="C3467" s="25">
        <v>1905.25</v>
      </c>
      <c r="D3467" s="25">
        <v>1875.0</v>
      </c>
      <c r="E3467" s="25">
        <v>1901.55</v>
      </c>
      <c r="F3467" s="25">
        <v>1962927.0</v>
      </c>
    </row>
    <row r="3468">
      <c r="A3468" s="25">
        <v>43490.64583333333</v>
      </c>
      <c r="B3468" s="25">
        <v>1902.0</v>
      </c>
      <c r="C3468" s="25">
        <v>1935.0</v>
      </c>
      <c r="D3468" s="25">
        <v>1901.0</v>
      </c>
      <c r="E3468" s="25">
        <v>1920.8</v>
      </c>
      <c r="F3468" s="25">
        <v>2327080.0</v>
      </c>
    </row>
    <row r="3469">
      <c r="A3469" s="25">
        <v>43493.64583333333</v>
      </c>
      <c r="B3469" s="25">
        <v>1933.0</v>
      </c>
      <c r="C3469" s="25">
        <v>1962.0</v>
      </c>
      <c r="D3469" s="25">
        <v>1925.5</v>
      </c>
      <c r="E3469" s="25">
        <v>1955.0</v>
      </c>
      <c r="F3469" s="25">
        <v>2769033.0</v>
      </c>
    </row>
    <row r="3470">
      <c r="A3470" s="25">
        <v>43494.64583333333</v>
      </c>
      <c r="B3470" s="25">
        <v>1962.0</v>
      </c>
      <c r="C3470" s="25">
        <v>1989.05</v>
      </c>
      <c r="D3470" s="25">
        <v>1936.65</v>
      </c>
      <c r="E3470" s="25">
        <v>1982.75</v>
      </c>
      <c r="F3470" s="25">
        <v>2557626.0</v>
      </c>
    </row>
    <row r="3471">
      <c r="A3471" s="25">
        <v>43495.64583333333</v>
      </c>
      <c r="B3471" s="25">
        <v>1979.6</v>
      </c>
      <c r="C3471" s="25">
        <v>1989.5</v>
      </c>
      <c r="D3471" s="25">
        <v>1954.65</v>
      </c>
      <c r="E3471" s="25">
        <v>1981.4</v>
      </c>
      <c r="F3471" s="25">
        <v>2429575.0</v>
      </c>
    </row>
    <row r="3472">
      <c r="A3472" s="25">
        <v>43496.64583333333</v>
      </c>
      <c r="B3472" s="25">
        <v>1987.0</v>
      </c>
      <c r="C3472" s="25">
        <v>2019.75</v>
      </c>
      <c r="D3472" s="25">
        <v>1985.0</v>
      </c>
      <c r="E3472" s="25">
        <v>2014.1</v>
      </c>
      <c r="F3472" s="25">
        <v>4094319.0</v>
      </c>
    </row>
    <row r="3473">
      <c r="A3473" s="25">
        <v>43497.64583333333</v>
      </c>
      <c r="B3473" s="25">
        <v>2009.5</v>
      </c>
      <c r="C3473" s="25">
        <v>2034.75</v>
      </c>
      <c r="D3473" s="25">
        <v>1998.1</v>
      </c>
      <c r="E3473" s="25">
        <v>2029.95</v>
      </c>
      <c r="F3473" s="25">
        <v>3064163.0</v>
      </c>
    </row>
    <row r="3474">
      <c r="A3474" s="25">
        <v>43500.64583333333</v>
      </c>
      <c r="B3474" s="25">
        <v>2029.95</v>
      </c>
      <c r="C3474" s="25">
        <v>2055.45</v>
      </c>
      <c r="D3474" s="25">
        <v>2023.0</v>
      </c>
      <c r="E3474" s="25">
        <v>2050.25</v>
      </c>
      <c r="F3474" s="25">
        <v>1590764.0</v>
      </c>
    </row>
    <row r="3475">
      <c r="A3475" s="25">
        <v>43501.64583333333</v>
      </c>
      <c r="B3475" s="25">
        <v>2050.0</v>
      </c>
      <c r="C3475" s="25">
        <v>2055.0</v>
      </c>
      <c r="D3475" s="25">
        <v>2028.0</v>
      </c>
      <c r="E3475" s="25">
        <v>2044.55</v>
      </c>
      <c r="F3475" s="25">
        <v>1111404.0</v>
      </c>
    </row>
    <row r="3476">
      <c r="A3476" s="25">
        <v>43502.64583333333</v>
      </c>
      <c r="B3476" s="25">
        <v>2049.9</v>
      </c>
      <c r="C3476" s="25">
        <v>2086.85</v>
      </c>
      <c r="D3476" s="25">
        <v>2041.05</v>
      </c>
      <c r="E3476" s="25">
        <v>2074.8</v>
      </c>
      <c r="F3476" s="25">
        <v>1789812.0</v>
      </c>
    </row>
    <row r="3477">
      <c r="A3477" s="25">
        <v>43503.64583333333</v>
      </c>
      <c r="B3477" s="25">
        <v>2074.75</v>
      </c>
      <c r="C3477" s="25">
        <v>2097.95</v>
      </c>
      <c r="D3477" s="25">
        <v>2067.0</v>
      </c>
      <c r="E3477" s="25">
        <v>2082.9</v>
      </c>
      <c r="F3477" s="25">
        <v>1339945.0</v>
      </c>
    </row>
    <row r="3478">
      <c r="A3478" s="25">
        <v>43504.64583333333</v>
      </c>
      <c r="B3478" s="25">
        <v>2075.0</v>
      </c>
      <c r="C3478" s="25">
        <v>2089.5</v>
      </c>
      <c r="D3478" s="25">
        <v>2051.0</v>
      </c>
      <c r="E3478" s="25">
        <v>2061.4</v>
      </c>
      <c r="F3478" s="25">
        <v>1684474.0</v>
      </c>
    </row>
    <row r="3479">
      <c r="A3479" s="25">
        <v>43507.64583333333</v>
      </c>
      <c r="B3479" s="25">
        <v>2060.0</v>
      </c>
      <c r="C3479" s="25">
        <v>2096.0</v>
      </c>
      <c r="D3479" s="25">
        <v>2048.9</v>
      </c>
      <c r="E3479" s="25">
        <v>2065.9</v>
      </c>
      <c r="F3479" s="25">
        <v>1778730.0</v>
      </c>
    </row>
    <row r="3480">
      <c r="A3480" s="25">
        <v>43508.64583333333</v>
      </c>
      <c r="B3480" s="25">
        <v>2070.0</v>
      </c>
      <c r="C3480" s="25">
        <v>2070.0</v>
      </c>
      <c r="D3480" s="25">
        <v>2018.0</v>
      </c>
      <c r="E3480" s="25">
        <v>2051.6</v>
      </c>
      <c r="F3480" s="25">
        <v>2422903.0</v>
      </c>
    </row>
    <row r="3481">
      <c r="A3481" s="25">
        <v>43509.64583333333</v>
      </c>
      <c r="B3481" s="25">
        <v>2062.0</v>
      </c>
      <c r="C3481" s="25">
        <v>2083.0</v>
      </c>
      <c r="D3481" s="25">
        <v>2050.5</v>
      </c>
      <c r="E3481" s="25">
        <v>2065.4</v>
      </c>
      <c r="F3481" s="25">
        <v>2808581.0</v>
      </c>
    </row>
    <row r="3482">
      <c r="A3482" s="25">
        <v>43510.64583333333</v>
      </c>
      <c r="B3482" s="25">
        <v>2060.05</v>
      </c>
      <c r="C3482" s="25">
        <v>2075.0</v>
      </c>
      <c r="D3482" s="25">
        <v>2033.05</v>
      </c>
      <c r="E3482" s="25">
        <v>2044.6</v>
      </c>
      <c r="F3482" s="25">
        <v>1724085.0</v>
      </c>
    </row>
    <row r="3483">
      <c r="A3483" s="25">
        <v>43511.64583333333</v>
      </c>
      <c r="B3483" s="25">
        <v>2049.0</v>
      </c>
      <c r="C3483" s="25">
        <v>2052.0</v>
      </c>
      <c r="D3483" s="25">
        <v>2010.95</v>
      </c>
      <c r="E3483" s="25">
        <v>2029.7</v>
      </c>
      <c r="F3483" s="25">
        <v>1930065.0</v>
      </c>
    </row>
    <row r="3484">
      <c r="A3484" s="25">
        <v>43514.64583333333</v>
      </c>
      <c r="B3484" s="25">
        <v>2037.6</v>
      </c>
      <c r="C3484" s="25">
        <v>2041.95</v>
      </c>
      <c r="D3484" s="25">
        <v>1962.65</v>
      </c>
      <c r="E3484" s="25">
        <v>1970.3</v>
      </c>
      <c r="F3484" s="25">
        <v>2942184.0</v>
      </c>
    </row>
    <row r="3485">
      <c r="A3485" s="25">
        <v>43515.64583333333</v>
      </c>
      <c r="B3485" s="25">
        <v>1970.0</v>
      </c>
      <c r="C3485" s="25">
        <v>1971.0</v>
      </c>
      <c r="D3485" s="25">
        <v>1892.0</v>
      </c>
      <c r="E3485" s="25">
        <v>1904.8</v>
      </c>
      <c r="F3485" s="25">
        <v>4408554.0</v>
      </c>
    </row>
    <row r="3486">
      <c r="A3486" s="25">
        <v>43516.64583333333</v>
      </c>
      <c r="B3486" s="25">
        <v>1915.0</v>
      </c>
      <c r="C3486" s="25">
        <v>1933.8</v>
      </c>
      <c r="D3486" s="25">
        <v>1881.3</v>
      </c>
      <c r="E3486" s="25">
        <v>1914.75</v>
      </c>
      <c r="F3486" s="25">
        <v>4645778.0</v>
      </c>
    </row>
    <row r="3487">
      <c r="A3487" s="25">
        <v>43517.64583333333</v>
      </c>
      <c r="B3487" s="25">
        <v>1914.75</v>
      </c>
      <c r="C3487" s="25">
        <v>1940.0</v>
      </c>
      <c r="D3487" s="25">
        <v>1897.05</v>
      </c>
      <c r="E3487" s="25">
        <v>1914.2</v>
      </c>
      <c r="F3487" s="25">
        <v>4683919.0</v>
      </c>
    </row>
    <row r="3488">
      <c r="A3488" s="25">
        <v>43518.64583333333</v>
      </c>
      <c r="B3488" s="25">
        <v>1917.2</v>
      </c>
      <c r="C3488" s="25">
        <v>1930.0</v>
      </c>
      <c r="D3488" s="25">
        <v>1905.1</v>
      </c>
      <c r="E3488" s="25">
        <v>1925.65</v>
      </c>
      <c r="F3488" s="25">
        <v>2271955.0</v>
      </c>
    </row>
    <row r="3489">
      <c r="A3489" s="25">
        <v>43521.64583333333</v>
      </c>
      <c r="B3489" s="25">
        <v>1932.5</v>
      </c>
      <c r="C3489" s="25">
        <v>1990.0</v>
      </c>
      <c r="D3489" s="25">
        <v>1930.5</v>
      </c>
      <c r="E3489" s="25">
        <v>1985.15</v>
      </c>
      <c r="F3489" s="25">
        <v>2934880.0</v>
      </c>
    </row>
    <row r="3490">
      <c r="A3490" s="25">
        <v>43522.64583333333</v>
      </c>
      <c r="B3490" s="25">
        <v>1984.0</v>
      </c>
      <c r="C3490" s="25">
        <v>2045.15</v>
      </c>
      <c r="D3490" s="25">
        <v>1972.25</v>
      </c>
      <c r="E3490" s="25">
        <v>2038.7</v>
      </c>
      <c r="F3490" s="25">
        <v>6453309.0</v>
      </c>
    </row>
    <row r="3491">
      <c r="A3491" s="25">
        <v>43523.64583333333</v>
      </c>
      <c r="B3491" s="25">
        <v>2040.0</v>
      </c>
      <c r="C3491" s="25">
        <v>2074.95</v>
      </c>
      <c r="D3491" s="25">
        <v>2022.0</v>
      </c>
      <c r="E3491" s="25">
        <v>2058.1</v>
      </c>
      <c r="F3491" s="25">
        <v>4732082.0</v>
      </c>
    </row>
    <row r="3492">
      <c r="A3492" s="25">
        <v>43524.64583333333</v>
      </c>
      <c r="B3492" s="25">
        <v>2060.0</v>
      </c>
      <c r="C3492" s="25">
        <v>2071.35</v>
      </c>
      <c r="D3492" s="25">
        <v>1977.6</v>
      </c>
      <c r="E3492" s="25">
        <v>1983.45</v>
      </c>
      <c r="F3492" s="25">
        <v>8454295.0</v>
      </c>
    </row>
    <row r="3493">
      <c r="A3493" s="25">
        <v>43525.64583333333</v>
      </c>
      <c r="B3493" s="25">
        <v>1995.05</v>
      </c>
      <c r="C3493" s="25">
        <v>2005.0</v>
      </c>
      <c r="D3493" s="25">
        <v>1980.35</v>
      </c>
      <c r="E3493" s="25">
        <v>1995.4</v>
      </c>
      <c r="F3493" s="25">
        <v>4148548.0</v>
      </c>
    </row>
    <row r="3494">
      <c r="A3494" s="25">
        <v>43529.64583333333</v>
      </c>
      <c r="B3494" s="25">
        <v>2005.0</v>
      </c>
      <c r="C3494" s="25">
        <v>2007.0</v>
      </c>
      <c r="D3494" s="25">
        <v>1976.6</v>
      </c>
      <c r="E3494" s="25">
        <v>1988.1</v>
      </c>
      <c r="F3494" s="25">
        <v>2449622.0</v>
      </c>
    </row>
    <row r="3495">
      <c r="A3495" s="25">
        <v>43530.64583333333</v>
      </c>
      <c r="B3495" s="25">
        <v>1989.3</v>
      </c>
      <c r="C3495" s="25">
        <v>2015.0</v>
      </c>
      <c r="D3495" s="25">
        <v>1985.05</v>
      </c>
      <c r="E3495" s="25">
        <v>1999.6</v>
      </c>
      <c r="F3495" s="25">
        <v>2635047.0</v>
      </c>
    </row>
    <row r="3496">
      <c r="A3496" s="25">
        <v>43531.64583333333</v>
      </c>
      <c r="B3496" s="25">
        <v>2005.0</v>
      </c>
      <c r="C3496" s="25">
        <v>2024.05</v>
      </c>
      <c r="D3496" s="25">
        <v>2000.2</v>
      </c>
      <c r="E3496" s="25">
        <v>2013.3</v>
      </c>
      <c r="F3496" s="25">
        <v>2539884.0</v>
      </c>
    </row>
    <row r="3497">
      <c r="A3497" s="25">
        <v>43532.64583333333</v>
      </c>
      <c r="B3497" s="25">
        <v>2025.0</v>
      </c>
      <c r="C3497" s="25">
        <v>2033.0</v>
      </c>
      <c r="D3497" s="25">
        <v>2010.05</v>
      </c>
      <c r="E3497" s="25">
        <v>2022.7</v>
      </c>
      <c r="F3497" s="25">
        <v>2031071.0</v>
      </c>
    </row>
    <row r="3498">
      <c r="A3498" s="25">
        <v>43535.64583333333</v>
      </c>
      <c r="B3498" s="25">
        <v>2028.9</v>
      </c>
      <c r="C3498" s="25">
        <v>2033.0</v>
      </c>
      <c r="D3498" s="25">
        <v>2003.65</v>
      </c>
      <c r="E3498" s="25">
        <v>2014.8</v>
      </c>
      <c r="F3498" s="25">
        <v>3111689.0</v>
      </c>
    </row>
    <row r="3499">
      <c r="A3499" s="25">
        <v>43536.64583333333</v>
      </c>
      <c r="B3499" s="25">
        <v>2014.05</v>
      </c>
      <c r="C3499" s="25">
        <v>2024.8</v>
      </c>
      <c r="D3499" s="25">
        <v>2003.0</v>
      </c>
      <c r="E3499" s="25">
        <v>2012.45</v>
      </c>
      <c r="F3499" s="25">
        <v>2658550.0</v>
      </c>
    </row>
    <row r="3500">
      <c r="A3500" s="25">
        <v>43537.64583333333</v>
      </c>
      <c r="B3500" s="25">
        <v>2013.0</v>
      </c>
      <c r="C3500" s="25">
        <v>2015.9</v>
      </c>
      <c r="D3500" s="25">
        <v>1978.6</v>
      </c>
      <c r="E3500" s="25">
        <v>2000.5</v>
      </c>
      <c r="F3500" s="25">
        <v>1833163.0</v>
      </c>
    </row>
    <row r="3501">
      <c r="A3501" s="25">
        <v>43538.64583333333</v>
      </c>
      <c r="B3501" s="25">
        <v>2004.95</v>
      </c>
      <c r="C3501" s="25">
        <v>2007.8</v>
      </c>
      <c r="D3501" s="25">
        <v>1981.0</v>
      </c>
      <c r="E3501" s="25">
        <v>1987.4</v>
      </c>
      <c r="F3501" s="25">
        <v>1905495.0</v>
      </c>
    </row>
    <row r="3502">
      <c r="A3502" s="25">
        <v>43539.64583333333</v>
      </c>
      <c r="B3502" s="25">
        <v>1998.9</v>
      </c>
      <c r="C3502" s="25">
        <v>2068.95</v>
      </c>
      <c r="D3502" s="25">
        <v>1991.0</v>
      </c>
      <c r="E3502" s="25">
        <v>2039.95</v>
      </c>
      <c r="F3502" s="25">
        <v>5184318.0</v>
      </c>
    </row>
    <row r="3503">
      <c r="A3503" s="25">
        <v>43542.64583333333</v>
      </c>
      <c r="B3503" s="25">
        <v>2043.0</v>
      </c>
      <c r="C3503" s="25">
        <v>2064.6</v>
      </c>
      <c r="D3503" s="25">
        <v>2011.0</v>
      </c>
      <c r="E3503" s="25">
        <v>2022.8</v>
      </c>
      <c r="F3503" s="25">
        <v>2349915.0</v>
      </c>
    </row>
    <row r="3504">
      <c r="A3504" s="25">
        <v>43543.64583333333</v>
      </c>
      <c r="B3504" s="25">
        <v>2030.0</v>
      </c>
      <c r="C3504" s="25">
        <v>2030.0</v>
      </c>
      <c r="D3504" s="25">
        <v>1995.1</v>
      </c>
      <c r="E3504" s="25">
        <v>2022.8</v>
      </c>
      <c r="F3504" s="25">
        <v>2373993.0</v>
      </c>
    </row>
    <row r="3505">
      <c r="A3505" s="25">
        <v>43544.64583333333</v>
      </c>
      <c r="B3505" s="25">
        <v>2028.0</v>
      </c>
      <c r="C3505" s="25">
        <v>2044.8</v>
      </c>
      <c r="D3505" s="25">
        <v>2000.0</v>
      </c>
      <c r="E3505" s="25">
        <v>2015.05</v>
      </c>
      <c r="F3505" s="25">
        <v>3091165.0</v>
      </c>
    </row>
    <row r="3506">
      <c r="A3506" s="25">
        <v>43546.64583333333</v>
      </c>
      <c r="B3506" s="25">
        <v>2015.0</v>
      </c>
      <c r="C3506" s="25">
        <v>2016.0</v>
      </c>
      <c r="D3506" s="25">
        <v>1983.3</v>
      </c>
      <c r="E3506" s="25">
        <v>2005.65</v>
      </c>
      <c r="F3506" s="25">
        <v>3148149.0</v>
      </c>
    </row>
    <row r="3507">
      <c r="A3507" s="25">
        <v>43549.64583333333</v>
      </c>
      <c r="B3507" s="25">
        <v>2007.8</v>
      </c>
      <c r="C3507" s="25">
        <v>2007.8</v>
      </c>
      <c r="D3507" s="25">
        <v>1977.2</v>
      </c>
      <c r="E3507" s="25">
        <v>1984.25</v>
      </c>
      <c r="F3507" s="25">
        <v>2429205.0</v>
      </c>
    </row>
    <row r="3508">
      <c r="A3508" s="25">
        <v>43550.64583333333</v>
      </c>
      <c r="B3508" s="25">
        <v>1984.0</v>
      </c>
      <c r="C3508" s="25">
        <v>1994.95</v>
      </c>
      <c r="D3508" s="25">
        <v>1958.05</v>
      </c>
      <c r="E3508" s="25">
        <v>1982.65</v>
      </c>
      <c r="F3508" s="25">
        <v>2316539.0</v>
      </c>
    </row>
    <row r="3509">
      <c r="A3509" s="25">
        <v>43551.64583333333</v>
      </c>
      <c r="B3509" s="25">
        <v>1994.0</v>
      </c>
      <c r="C3509" s="25">
        <v>1998.0</v>
      </c>
      <c r="D3509" s="25">
        <v>1961.0</v>
      </c>
      <c r="E3509" s="25">
        <v>1967.9</v>
      </c>
      <c r="F3509" s="25">
        <v>2266166.0</v>
      </c>
    </row>
    <row r="3510">
      <c r="A3510" s="25">
        <v>43552.64583333333</v>
      </c>
      <c r="B3510" s="25">
        <v>1980.0</v>
      </c>
      <c r="C3510" s="25">
        <v>2014.6</v>
      </c>
      <c r="D3510" s="25">
        <v>1972.8</v>
      </c>
      <c r="E3510" s="25">
        <v>2000.3</v>
      </c>
      <c r="F3510" s="25">
        <v>4054489.0</v>
      </c>
    </row>
    <row r="3511">
      <c r="A3511" s="25">
        <v>43553.64583333333</v>
      </c>
      <c r="B3511" s="25">
        <v>2019.0</v>
      </c>
      <c r="C3511" s="25">
        <v>2024.9</v>
      </c>
      <c r="D3511" s="25">
        <v>1983.55</v>
      </c>
      <c r="E3511" s="25">
        <v>2001.65</v>
      </c>
      <c r="F3511" s="25">
        <v>2948955.0</v>
      </c>
    </row>
    <row r="3512">
      <c r="A3512" s="25">
        <v>43556.64583333333</v>
      </c>
      <c r="B3512" s="25">
        <v>2010.0</v>
      </c>
      <c r="C3512" s="25">
        <v>2039.95</v>
      </c>
      <c r="D3512" s="25">
        <v>2008.25</v>
      </c>
      <c r="E3512" s="25">
        <v>2031.65</v>
      </c>
      <c r="F3512" s="25">
        <v>2095740.0</v>
      </c>
    </row>
    <row r="3513">
      <c r="A3513" s="25">
        <v>43557.64583333333</v>
      </c>
      <c r="B3513" s="25">
        <v>2037.1</v>
      </c>
      <c r="C3513" s="25">
        <v>2086.0</v>
      </c>
      <c r="D3513" s="25">
        <v>2037.0</v>
      </c>
      <c r="E3513" s="25">
        <v>2079.3</v>
      </c>
      <c r="F3513" s="25">
        <v>3719663.0</v>
      </c>
    </row>
    <row r="3514">
      <c r="A3514" s="25">
        <v>43558.64583333333</v>
      </c>
      <c r="B3514" s="25">
        <v>2085.0</v>
      </c>
      <c r="C3514" s="25">
        <v>2089.6</v>
      </c>
      <c r="D3514" s="25">
        <v>2058.1</v>
      </c>
      <c r="E3514" s="25">
        <v>2079.3</v>
      </c>
      <c r="F3514" s="25">
        <v>2939886.0</v>
      </c>
    </row>
    <row r="3515">
      <c r="A3515" s="25">
        <v>43559.64583333333</v>
      </c>
      <c r="B3515" s="25">
        <v>2078.15</v>
      </c>
      <c r="C3515" s="25">
        <v>2079.7</v>
      </c>
      <c r="D3515" s="25">
        <v>2007.4</v>
      </c>
      <c r="E3515" s="25">
        <v>2014.5</v>
      </c>
      <c r="F3515" s="25">
        <v>4397518.0</v>
      </c>
    </row>
    <row r="3516">
      <c r="A3516" s="25">
        <v>43560.64583333333</v>
      </c>
      <c r="B3516" s="25">
        <v>2028.65</v>
      </c>
      <c r="C3516" s="25">
        <v>2054.4</v>
      </c>
      <c r="D3516" s="25">
        <v>2018.8</v>
      </c>
      <c r="E3516" s="25">
        <v>2048.3</v>
      </c>
      <c r="F3516" s="25">
        <v>3152103.0</v>
      </c>
    </row>
    <row r="3517">
      <c r="A3517" s="25">
        <v>43563.64583333333</v>
      </c>
      <c r="B3517" s="25">
        <v>2059.0</v>
      </c>
      <c r="C3517" s="25">
        <v>2075.0</v>
      </c>
      <c r="D3517" s="25">
        <v>2032.7</v>
      </c>
      <c r="E3517" s="25">
        <v>2070.75</v>
      </c>
      <c r="F3517" s="25">
        <v>2194294.0</v>
      </c>
    </row>
    <row r="3518">
      <c r="A3518" s="25">
        <v>43564.64583333333</v>
      </c>
      <c r="B3518" s="25">
        <v>2070.0</v>
      </c>
      <c r="C3518" s="25">
        <v>2098.0</v>
      </c>
      <c r="D3518" s="25">
        <v>2057.65</v>
      </c>
      <c r="E3518" s="25">
        <v>2091.5</v>
      </c>
      <c r="F3518" s="25">
        <v>2690970.0</v>
      </c>
    </row>
    <row r="3519">
      <c r="A3519" s="25">
        <v>43565.64583333333</v>
      </c>
      <c r="B3519" s="25">
        <v>2083.0</v>
      </c>
      <c r="C3519" s="25">
        <v>2085.5</v>
      </c>
      <c r="D3519" s="25">
        <v>2036.0</v>
      </c>
      <c r="E3519" s="25">
        <v>2040.25</v>
      </c>
      <c r="F3519" s="25">
        <v>3313062.0</v>
      </c>
    </row>
    <row r="3520">
      <c r="A3520" s="25">
        <v>43566.64583333333</v>
      </c>
      <c r="B3520" s="25">
        <v>2045.0</v>
      </c>
      <c r="C3520" s="25">
        <v>2055.0</v>
      </c>
      <c r="D3520" s="25">
        <v>2013.65</v>
      </c>
      <c r="E3520" s="25">
        <v>2019.5</v>
      </c>
      <c r="F3520" s="25">
        <v>3422442.0</v>
      </c>
    </row>
    <row r="3521">
      <c r="A3521" s="25">
        <v>43567.64583333333</v>
      </c>
      <c r="B3521" s="25">
        <v>2038.0</v>
      </c>
      <c r="C3521" s="25">
        <v>2039.0</v>
      </c>
      <c r="D3521" s="25">
        <v>2007.0</v>
      </c>
      <c r="E3521" s="25">
        <v>2014.5</v>
      </c>
      <c r="F3521" s="25">
        <v>3198471.0</v>
      </c>
    </row>
    <row r="3522">
      <c r="A3522" s="25">
        <v>43570.64583333333</v>
      </c>
      <c r="B3522" s="25">
        <v>2070.0</v>
      </c>
      <c r="C3522" s="25">
        <v>2119.8</v>
      </c>
      <c r="D3522" s="25">
        <v>2041.0</v>
      </c>
      <c r="E3522" s="25">
        <v>2113.3</v>
      </c>
      <c r="F3522" s="25">
        <v>9189201.0</v>
      </c>
    </row>
    <row r="3523">
      <c r="A3523" s="25">
        <v>43571.64583333333</v>
      </c>
      <c r="B3523" s="25">
        <v>2120.0</v>
      </c>
      <c r="C3523" s="25">
        <v>2155.95</v>
      </c>
      <c r="D3523" s="25">
        <v>2115.55</v>
      </c>
      <c r="E3523" s="25">
        <v>2131.8</v>
      </c>
      <c r="F3523" s="25">
        <v>5771952.0</v>
      </c>
    </row>
    <row r="3524">
      <c r="A3524" s="25">
        <v>43573.64583333333</v>
      </c>
      <c r="B3524" s="25">
        <v>2149.9</v>
      </c>
      <c r="C3524" s="25">
        <v>2155.0</v>
      </c>
      <c r="D3524" s="25">
        <v>2114.2</v>
      </c>
      <c r="E3524" s="25">
        <v>2150.05</v>
      </c>
      <c r="F3524" s="25">
        <v>3413728.0</v>
      </c>
    </row>
    <row r="3525">
      <c r="A3525" s="25">
        <v>43577.64583333333</v>
      </c>
      <c r="B3525" s="25">
        <v>2148.0</v>
      </c>
      <c r="C3525" s="25">
        <v>2176.0</v>
      </c>
      <c r="D3525" s="25">
        <v>2145.6</v>
      </c>
      <c r="E3525" s="25">
        <v>2161.45</v>
      </c>
      <c r="F3525" s="25">
        <v>2007135.0</v>
      </c>
    </row>
    <row r="3526">
      <c r="A3526" s="25">
        <v>43578.64583333333</v>
      </c>
      <c r="B3526" s="25">
        <v>2163.0</v>
      </c>
      <c r="C3526" s="25">
        <v>2165.5</v>
      </c>
      <c r="D3526" s="25">
        <v>2134.05</v>
      </c>
      <c r="E3526" s="25">
        <v>2155.05</v>
      </c>
      <c r="F3526" s="25">
        <v>2163524.0</v>
      </c>
    </row>
    <row r="3527">
      <c r="A3527" s="25">
        <v>43579.64583333333</v>
      </c>
      <c r="B3527" s="25">
        <v>2158.0</v>
      </c>
      <c r="C3527" s="25">
        <v>2195.0</v>
      </c>
      <c r="D3527" s="25">
        <v>2156.1</v>
      </c>
      <c r="E3527" s="25">
        <v>2183.45</v>
      </c>
      <c r="F3527" s="25">
        <v>3003071.0</v>
      </c>
    </row>
    <row r="3528">
      <c r="A3528" s="25">
        <v>43580.64583333333</v>
      </c>
      <c r="B3528" s="25">
        <v>2175.0</v>
      </c>
      <c r="C3528" s="25">
        <v>2205.0</v>
      </c>
      <c r="D3528" s="25">
        <v>2168.05</v>
      </c>
      <c r="E3528" s="25">
        <v>2195.0</v>
      </c>
      <c r="F3528" s="25">
        <v>4211526.0</v>
      </c>
    </row>
    <row r="3529">
      <c r="A3529" s="25">
        <v>43581.64583333333</v>
      </c>
      <c r="B3529" s="25">
        <v>2203.0</v>
      </c>
      <c r="C3529" s="25">
        <v>2243.95</v>
      </c>
      <c r="D3529" s="25">
        <v>2193.15</v>
      </c>
      <c r="E3529" s="25">
        <v>2238.55</v>
      </c>
      <c r="F3529" s="25">
        <v>2716958.0</v>
      </c>
    </row>
    <row r="3530">
      <c r="A3530" s="25">
        <v>43585.64583333333</v>
      </c>
      <c r="B3530" s="25">
        <v>2238.55</v>
      </c>
      <c r="C3530" s="25">
        <v>2266.95</v>
      </c>
      <c r="D3530" s="25">
        <v>2230.1</v>
      </c>
      <c r="E3530" s="25">
        <v>2260.35</v>
      </c>
      <c r="F3530" s="25">
        <v>3488395.0</v>
      </c>
    </row>
    <row r="3531">
      <c r="A3531" s="25">
        <v>43587.64583333333</v>
      </c>
      <c r="B3531" s="25">
        <v>2255.0</v>
      </c>
      <c r="C3531" s="25">
        <v>2259.4</v>
      </c>
      <c r="D3531" s="25">
        <v>2211.1</v>
      </c>
      <c r="E3531" s="25">
        <v>2215.4</v>
      </c>
      <c r="F3531" s="25">
        <v>2457699.0</v>
      </c>
    </row>
    <row r="3532">
      <c r="A3532" s="25">
        <v>43588.64583333333</v>
      </c>
      <c r="B3532" s="25">
        <v>2185.0</v>
      </c>
      <c r="C3532" s="25">
        <v>2186.05</v>
      </c>
      <c r="D3532" s="25">
        <v>2125.0</v>
      </c>
      <c r="E3532" s="25">
        <v>2132.0</v>
      </c>
      <c r="F3532" s="25">
        <v>3780886.0</v>
      </c>
    </row>
    <row r="3533">
      <c r="A3533" s="25">
        <v>43591.64583333333</v>
      </c>
      <c r="B3533" s="25">
        <v>2110.0</v>
      </c>
      <c r="C3533" s="25">
        <v>2165.0</v>
      </c>
      <c r="D3533" s="25">
        <v>2108.5</v>
      </c>
      <c r="E3533" s="25">
        <v>2157.85</v>
      </c>
      <c r="F3533" s="25">
        <v>2891422.0</v>
      </c>
    </row>
    <row r="3534">
      <c r="A3534" s="25">
        <v>43592.79166666667</v>
      </c>
      <c r="B3534" s="25">
        <v>2160.05</v>
      </c>
      <c r="C3534" s="25">
        <v>2184.35</v>
      </c>
      <c r="D3534" s="25">
        <v>2138.8</v>
      </c>
      <c r="E3534" s="25">
        <v>2151.95</v>
      </c>
      <c r="F3534" s="25">
        <v>2201698.0</v>
      </c>
    </row>
    <row r="3535">
      <c r="A3535" s="25">
        <v>43593.64583333333</v>
      </c>
      <c r="B3535" s="25">
        <v>2151.0</v>
      </c>
      <c r="C3535" s="25">
        <v>2168.0</v>
      </c>
      <c r="D3535" s="25">
        <v>2130.4</v>
      </c>
      <c r="E3535" s="25">
        <v>2152.85</v>
      </c>
      <c r="F3535" s="25">
        <v>1824895.0</v>
      </c>
    </row>
    <row r="3536">
      <c r="A3536" s="25">
        <v>43594.64583333333</v>
      </c>
      <c r="B3536" s="25">
        <v>2145.0</v>
      </c>
      <c r="C3536" s="25">
        <v>2184.1</v>
      </c>
      <c r="D3536" s="25">
        <v>2136.1</v>
      </c>
      <c r="E3536" s="25">
        <v>2172.55</v>
      </c>
      <c r="F3536" s="25">
        <v>2264162.0</v>
      </c>
    </row>
    <row r="3537">
      <c r="A3537" s="25">
        <v>43595.64583333333</v>
      </c>
      <c r="B3537" s="25">
        <v>2175.0</v>
      </c>
      <c r="C3537" s="25">
        <v>2192.0</v>
      </c>
      <c r="D3537" s="25">
        <v>2125.85</v>
      </c>
      <c r="E3537" s="25">
        <v>2135.8</v>
      </c>
      <c r="F3537" s="25">
        <v>2039633.0</v>
      </c>
    </row>
    <row r="3538">
      <c r="A3538" s="25">
        <v>43598.64583333333</v>
      </c>
      <c r="B3538" s="25">
        <v>2133.0</v>
      </c>
      <c r="C3538" s="25">
        <v>2167.0</v>
      </c>
      <c r="D3538" s="25">
        <v>2121.65</v>
      </c>
      <c r="E3538" s="25">
        <v>2128.75</v>
      </c>
      <c r="F3538" s="25">
        <v>1701744.0</v>
      </c>
    </row>
    <row r="3539">
      <c r="A3539" s="25">
        <v>43599.64583333333</v>
      </c>
      <c r="B3539" s="25">
        <v>2135.0</v>
      </c>
      <c r="C3539" s="25">
        <v>2159.8</v>
      </c>
      <c r="D3539" s="25">
        <v>2072.35</v>
      </c>
      <c r="E3539" s="25">
        <v>2092.35</v>
      </c>
      <c r="F3539" s="25">
        <v>2456110.0</v>
      </c>
    </row>
    <row r="3540">
      <c r="A3540" s="25">
        <v>43600.64583333333</v>
      </c>
      <c r="B3540" s="25">
        <v>2097.0</v>
      </c>
      <c r="C3540" s="25">
        <v>2124.0</v>
      </c>
      <c r="D3540" s="25">
        <v>2084.5</v>
      </c>
      <c r="E3540" s="25">
        <v>2095.4</v>
      </c>
      <c r="F3540" s="25">
        <v>2346876.0</v>
      </c>
    </row>
    <row r="3541">
      <c r="A3541" s="25">
        <v>43601.64583333333</v>
      </c>
      <c r="B3541" s="25">
        <v>2096.0</v>
      </c>
      <c r="C3541" s="25">
        <v>2124.0</v>
      </c>
      <c r="D3541" s="25">
        <v>2077.05</v>
      </c>
      <c r="E3541" s="25">
        <v>2108.75</v>
      </c>
      <c r="F3541" s="25">
        <v>1946529.0</v>
      </c>
    </row>
    <row r="3542">
      <c r="A3542" s="25">
        <v>43602.64583333333</v>
      </c>
      <c r="B3542" s="25">
        <v>2112.6</v>
      </c>
      <c r="C3542" s="25">
        <v>2135.0</v>
      </c>
      <c r="D3542" s="25">
        <v>2090.0</v>
      </c>
      <c r="E3542" s="25">
        <v>2095.45</v>
      </c>
      <c r="F3542" s="25">
        <v>1947908.0</v>
      </c>
    </row>
    <row r="3543">
      <c r="A3543" s="25">
        <v>43605.64583333333</v>
      </c>
      <c r="B3543" s="25">
        <v>2125.0</v>
      </c>
      <c r="C3543" s="25">
        <v>2151.4</v>
      </c>
      <c r="D3543" s="25">
        <v>2050.0</v>
      </c>
      <c r="E3543" s="25">
        <v>2143.95</v>
      </c>
      <c r="F3543" s="25">
        <v>2625116.0</v>
      </c>
    </row>
    <row r="3544">
      <c r="A3544" s="25">
        <v>43606.64583333333</v>
      </c>
      <c r="B3544" s="25">
        <v>2148.05</v>
      </c>
      <c r="C3544" s="25">
        <v>2148.7</v>
      </c>
      <c r="D3544" s="25">
        <v>2102.55</v>
      </c>
      <c r="E3544" s="25">
        <v>2109.75</v>
      </c>
      <c r="F3544" s="25">
        <v>1863157.0</v>
      </c>
    </row>
    <row r="3545">
      <c r="A3545" s="25">
        <v>43607.64583333333</v>
      </c>
      <c r="B3545" s="25">
        <v>2110.0</v>
      </c>
      <c r="C3545" s="25">
        <v>2121.95</v>
      </c>
      <c r="D3545" s="25">
        <v>2075.0</v>
      </c>
      <c r="E3545" s="25">
        <v>2081.75</v>
      </c>
      <c r="F3545" s="25">
        <v>2595795.0</v>
      </c>
    </row>
    <row r="3546">
      <c r="A3546" s="25">
        <v>43608.64583333333</v>
      </c>
      <c r="B3546" s="25">
        <v>2098.0</v>
      </c>
      <c r="C3546" s="25">
        <v>2115.35</v>
      </c>
      <c r="D3546" s="25">
        <v>2050.0</v>
      </c>
      <c r="E3546" s="25">
        <v>2054.05</v>
      </c>
      <c r="F3546" s="25">
        <v>2541294.0</v>
      </c>
    </row>
    <row r="3547">
      <c r="A3547" s="25">
        <v>43609.64583333333</v>
      </c>
      <c r="B3547" s="25">
        <v>2070.0</v>
      </c>
      <c r="C3547" s="25">
        <v>2070.0</v>
      </c>
      <c r="D3547" s="25">
        <v>2032.25</v>
      </c>
      <c r="E3547" s="25">
        <v>2048.0</v>
      </c>
      <c r="F3547" s="25">
        <v>2274208.0</v>
      </c>
    </row>
    <row r="3548">
      <c r="A3548" s="25">
        <v>43612.64583333333</v>
      </c>
      <c r="B3548" s="25">
        <v>2054.8</v>
      </c>
      <c r="C3548" s="25">
        <v>2068.95</v>
      </c>
      <c r="D3548" s="25">
        <v>2040.1</v>
      </c>
      <c r="E3548" s="25">
        <v>2055.15</v>
      </c>
      <c r="F3548" s="25">
        <v>2329820.0</v>
      </c>
    </row>
    <row r="3549">
      <c r="A3549" s="25">
        <v>43613.64583333333</v>
      </c>
      <c r="B3549" s="25">
        <v>2060.0</v>
      </c>
      <c r="C3549" s="25">
        <v>2097.5</v>
      </c>
      <c r="D3549" s="25">
        <v>2045.0</v>
      </c>
      <c r="E3549" s="25">
        <v>2073.75</v>
      </c>
      <c r="F3549" s="25">
        <v>5872979.0</v>
      </c>
    </row>
    <row r="3550">
      <c r="A3550" s="25">
        <v>43614.64583333333</v>
      </c>
      <c r="B3550" s="25">
        <v>2080.0</v>
      </c>
      <c r="C3550" s="25">
        <v>2123.7</v>
      </c>
      <c r="D3550" s="25">
        <v>2077.1</v>
      </c>
      <c r="E3550" s="25">
        <v>2107.55</v>
      </c>
      <c r="F3550" s="25">
        <v>3281320.0</v>
      </c>
    </row>
    <row r="3551">
      <c r="A3551" s="25">
        <v>43615.64583333333</v>
      </c>
      <c r="B3551" s="25">
        <v>2123.0</v>
      </c>
      <c r="C3551" s="25">
        <v>2156.55</v>
      </c>
      <c r="D3551" s="25">
        <v>2114.4</v>
      </c>
      <c r="E3551" s="25">
        <v>2146.3</v>
      </c>
      <c r="F3551" s="25">
        <v>4971725.0</v>
      </c>
    </row>
    <row r="3552">
      <c r="A3552" s="25">
        <v>43616.64583333333</v>
      </c>
      <c r="B3552" s="25">
        <v>2160.0</v>
      </c>
      <c r="C3552" s="25">
        <v>2204.95</v>
      </c>
      <c r="D3552" s="25">
        <v>2152.25</v>
      </c>
      <c r="E3552" s="25">
        <v>2196.55</v>
      </c>
      <c r="F3552" s="25">
        <v>4265370.0</v>
      </c>
    </row>
    <row r="3553">
      <c r="A3553" s="25">
        <v>43619.64583333333</v>
      </c>
      <c r="B3553" s="25">
        <v>2201.0</v>
      </c>
      <c r="C3553" s="25">
        <v>2247.65</v>
      </c>
      <c r="D3553" s="25">
        <v>2185.65</v>
      </c>
      <c r="E3553" s="25">
        <v>2242.3</v>
      </c>
      <c r="F3553" s="25">
        <v>3682419.0</v>
      </c>
    </row>
    <row r="3554">
      <c r="A3554" s="25">
        <v>43620.64583333333</v>
      </c>
      <c r="B3554" s="25">
        <v>2224.0</v>
      </c>
      <c r="C3554" s="25">
        <v>2224.0</v>
      </c>
      <c r="D3554" s="25">
        <v>2175.0</v>
      </c>
      <c r="E3554" s="25">
        <v>2183.1</v>
      </c>
      <c r="F3554" s="25">
        <v>2408658.0</v>
      </c>
    </row>
    <row r="3555">
      <c r="A3555" s="25">
        <v>43622.64583333333</v>
      </c>
      <c r="B3555" s="25">
        <v>2199.0</v>
      </c>
      <c r="C3555" s="25">
        <v>2199.0</v>
      </c>
      <c r="D3555" s="25">
        <v>2152.0</v>
      </c>
      <c r="E3555" s="25">
        <v>2166.1</v>
      </c>
      <c r="F3555" s="25">
        <v>3735467.0</v>
      </c>
    </row>
    <row r="3556">
      <c r="A3556" s="25">
        <v>43623.64583333333</v>
      </c>
      <c r="B3556" s="25">
        <v>2174.0</v>
      </c>
      <c r="C3556" s="25">
        <v>2189.8</v>
      </c>
      <c r="D3556" s="25">
        <v>2142.1</v>
      </c>
      <c r="E3556" s="25">
        <v>2181.75</v>
      </c>
      <c r="F3556" s="25">
        <v>2659446.0</v>
      </c>
    </row>
    <row r="3557">
      <c r="A3557" s="25">
        <v>43626.64583333333</v>
      </c>
      <c r="B3557" s="25">
        <v>2196.7</v>
      </c>
      <c r="C3557" s="25">
        <v>2235.85</v>
      </c>
      <c r="D3557" s="25">
        <v>2185.5</v>
      </c>
      <c r="E3557" s="25">
        <v>2231.5</v>
      </c>
      <c r="F3557" s="25">
        <v>2080593.0</v>
      </c>
    </row>
    <row r="3558">
      <c r="A3558" s="25">
        <v>43627.64583333333</v>
      </c>
      <c r="B3558" s="25">
        <v>2237.0</v>
      </c>
      <c r="C3558" s="25">
        <v>2263.95</v>
      </c>
      <c r="D3558" s="25">
        <v>2231.0</v>
      </c>
      <c r="E3558" s="25">
        <v>2252.8</v>
      </c>
      <c r="F3558" s="25">
        <v>3048937.0</v>
      </c>
    </row>
    <row r="3559">
      <c r="A3559" s="25">
        <v>43628.64583333333</v>
      </c>
      <c r="B3559" s="25">
        <v>2245.0</v>
      </c>
      <c r="C3559" s="25">
        <v>2266.9</v>
      </c>
      <c r="D3559" s="25">
        <v>2219.0</v>
      </c>
      <c r="E3559" s="25">
        <v>2260.9</v>
      </c>
      <c r="F3559" s="25">
        <v>2404448.0</v>
      </c>
    </row>
    <row r="3560">
      <c r="A3560" s="25">
        <v>43629.64583333333</v>
      </c>
      <c r="B3560" s="25">
        <v>2264.0</v>
      </c>
      <c r="C3560" s="25">
        <v>2285.0</v>
      </c>
      <c r="D3560" s="25">
        <v>2243.05</v>
      </c>
      <c r="E3560" s="25">
        <v>2254.1</v>
      </c>
      <c r="F3560" s="25">
        <v>3320916.0</v>
      </c>
    </row>
    <row r="3561">
      <c r="A3561" s="25">
        <v>43630.64583333333</v>
      </c>
      <c r="B3561" s="25">
        <v>2257.25</v>
      </c>
      <c r="C3561" s="25">
        <v>2263.1</v>
      </c>
      <c r="D3561" s="25">
        <v>2234.0</v>
      </c>
      <c r="E3561" s="25">
        <v>2254.5</v>
      </c>
      <c r="F3561" s="25">
        <v>2131408.0</v>
      </c>
    </row>
    <row r="3562">
      <c r="A3562" s="25">
        <v>43633.64583333333</v>
      </c>
      <c r="B3562" s="25">
        <v>2256.0</v>
      </c>
      <c r="C3562" s="25">
        <v>2262.0</v>
      </c>
      <c r="D3562" s="25">
        <v>2241.45</v>
      </c>
      <c r="E3562" s="25">
        <v>2249.2</v>
      </c>
      <c r="F3562" s="25">
        <v>1489497.0</v>
      </c>
    </row>
    <row r="3563">
      <c r="A3563" s="25">
        <v>43634.64583333333</v>
      </c>
      <c r="B3563" s="25">
        <v>2244.0</v>
      </c>
      <c r="C3563" s="25">
        <v>2260.0</v>
      </c>
      <c r="D3563" s="25">
        <v>2231.2</v>
      </c>
      <c r="E3563" s="25">
        <v>2250.85</v>
      </c>
      <c r="F3563" s="25">
        <v>1877447.0</v>
      </c>
    </row>
    <row r="3564">
      <c r="A3564" s="25">
        <v>43635.64583333333</v>
      </c>
      <c r="B3564" s="25">
        <v>2255.0</v>
      </c>
      <c r="C3564" s="25">
        <v>2276.0</v>
      </c>
      <c r="D3564" s="25">
        <v>2243.15</v>
      </c>
      <c r="E3564" s="25">
        <v>2259.9</v>
      </c>
      <c r="F3564" s="25">
        <v>1652817.0</v>
      </c>
    </row>
    <row r="3565">
      <c r="A3565" s="25">
        <v>43636.64583333333</v>
      </c>
      <c r="B3565" s="25">
        <v>2230.0</v>
      </c>
      <c r="C3565" s="25">
        <v>2284.0</v>
      </c>
      <c r="D3565" s="25">
        <v>2212.0</v>
      </c>
      <c r="E3565" s="25">
        <v>2277.95</v>
      </c>
      <c r="F3565" s="25">
        <v>2199377.0</v>
      </c>
    </row>
    <row r="3566">
      <c r="A3566" s="25">
        <v>43637.64583333333</v>
      </c>
      <c r="B3566" s="25">
        <v>2285.0</v>
      </c>
      <c r="C3566" s="25">
        <v>2292.5</v>
      </c>
      <c r="D3566" s="25">
        <v>2242.0</v>
      </c>
      <c r="E3566" s="25">
        <v>2249.85</v>
      </c>
      <c r="F3566" s="25">
        <v>3871804.0</v>
      </c>
    </row>
    <row r="3567">
      <c r="A3567" s="25">
        <v>43640.64583333333</v>
      </c>
      <c r="B3567" s="25">
        <v>2254.15</v>
      </c>
      <c r="C3567" s="25">
        <v>2280.0</v>
      </c>
      <c r="D3567" s="25">
        <v>2250.8</v>
      </c>
      <c r="E3567" s="25">
        <v>2275.5</v>
      </c>
      <c r="F3567" s="25">
        <v>1382424.0</v>
      </c>
    </row>
    <row r="3568">
      <c r="A3568" s="25">
        <v>43641.64583333333</v>
      </c>
      <c r="B3568" s="25">
        <v>2270.0</v>
      </c>
      <c r="C3568" s="25">
        <v>2274.45</v>
      </c>
      <c r="D3568" s="25">
        <v>2250.5</v>
      </c>
      <c r="E3568" s="25">
        <v>2267.8</v>
      </c>
      <c r="F3568" s="25">
        <v>1386077.0</v>
      </c>
    </row>
    <row r="3569">
      <c r="A3569" s="25">
        <v>43642.64583333333</v>
      </c>
      <c r="B3569" s="25">
        <v>2265.0</v>
      </c>
      <c r="C3569" s="25">
        <v>2266.8</v>
      </c>
      <c r="D3569" s="25">
        <v>2250.0</v>
      </c>
      <c r="E3569" s="25">
        <v>2254.2</v>
      </c>
      <c r="F3569" s="25">
        <v>1762224.0</v>
      </c>
    </row>
    <row r="3570">
      <c r="A3570" s="25">
        <v>43643.64583333333</v>
      </c>
      <c r="B3570" s="25">
        <v>2255.0</v>
      </c>
      <c r="C3570" s="25">
        <v>2264.0</v>
      </c>
      <c r="D3570" s="25">
        <v>2241.3</v>
      </c>
      <c r="E3570" s="25">
        <v>2252.55</v>
      </c>
      <c r="F3570" s="25">
        <v>2813464.0</v>
      </c>
    </row>
    <row r="3571">
      <c r="A3571" s="25">
        <v>43644.64583333333</v>
      </c>
      <c r="B3571" s="25">
        <v>2260.0</v>
      </c>
      <c r="C3571" s="25">
        <v>2261.95</v>
      </c>
      <c r="D3571" s="25">
        <v>2222.5</v>
      </c>
      <c r="E3571" s="25">
        <v>2227.2</v>
      </c>
      <c r="F3571" s="25">
        <v>2372928.0</v>
      </c>
    </row>
    <row r="3572">
      <c r="A3572" s="25">
        <v>43647.64583333333</v>
      </c>
      <c r="B3572" s="25">
        <v>2235.0</v>
      </c>
      <c r="C3572" s="25">
        <v>2255.0</v>
      </c>
      <c r="D3572" s="25">
        <v>2206.6</v>
      </c>
      <c r="E3572" s="25">
        <v>2239.55</v>
      </c>
      <c r="F3572" s="25">
        <v>2769940.0</v>
      </c>
    </row>
    <row r="3573">
      <c r="A3573" s="25">
        <v>43648.64583333333</v>
      </c>
      <c r="B3573" s="25">
        <v>2244.9</v>
      </c>
      <c r="C3573" s="25">
        <v>2257.0</v>
      </c>
      <c r="D3573" s="25">
        <v>2216.45</v>
      </c>
      <c r="E3573" s="25">
        <v>2252.1</v>
      </c>
      <c r="F3573" s="25">
        <v>1771746.0</v>
      </c>
    </row>
    <row r="3574">
      <c r="A3574" s="25">
        <v>43649.64583333333</v>
      </c>
      <c r="B3574" s="25">
        <v>2252.2</v>
      </c>
      <c r="C3574" s="25">
        <v>2258.8</v>
      </c>
      <c r="D3574" s="25">
        <v>2232.0</v>
      </c>
      <c r="E3574" s="25">
        <v>2237.65</v>
      </c>
      <c r="F3574" s="25">
        <v>1656881.0</v>
      </c>
    </row>
    <row r="3575">
      <c r="A3575" s="25">
        <v>43650.64583333333</v>
      </c>
      <c r="B3575" s="25">
        <v>2234.0</v>
      </c>
      <c r="C3575" s="25">
        <v>2252.0</v>
      </c>
      <c r="D3575" s="25">
        <v>2230.1</v>
      </c>
      <c r="E3575" s="25">
        <v>2242.65</v>
      </c>
      <c r="F3575" s="25">
        <v>984140.0</v>
      </c>
    </row>
    <row r="3576">
      <c r="A3576" s="25">
        <v>43651.64583333333</v>
      </c>
      <c r="B3576" s="25">
        <v>2247.0</v>
      </c>
      <c r="C3576" s="25">
        <v>2250.0</v>
      </c>
      <c r="D3576" s="25">
        <v>2140.0</v>
      </c>
      <c r="E3576" s="25">
        <v>2163.1</v>
      </c>
      <c r="F3576" s="25">
        <v>4088470.0</v>
      </c>
    </row>
    <row r="3577">
      <c r="A3577" s="25">
        <v>43654.64583333333</v>
      </c>
      <c r="B3577" s="25">
        <v>2149.0</v>
      </c>
      <c r="C3577" s="25">
        <v>2188.8</v>
      </c>
      <c r="D3577" s="25">
        <v>2132.1</v>
      </c>
      <c r="E3577" s="25">
        <v>2175.4</v>
      </c>
      <c r="F3577" s="25">
        <v>2788062.0</v>
      </c>
    </row>
    <row r="3578">
      <c r="A3578" s="25">
        <v>43655.64583333333</v>
      </c>
      <c r="B3578" s="25">
        <v>2174.0</v>
      </c>
      <c r="C3578" s="25">
        <v>2174.4</v>
      </c>
      <c r="D3578" s="25">
        <v>2104.55</v>
      </c>
      <c r="E3578" s="25">
        <v>2133.35</v>
      </c>
      <c r="F3578" s="25">
        <v>3977224.0</v>
      </c>
    </row>
    <row r="3579">
      <c r="A3579" s="25">
        <v>43656.64583333333</v>
      </c>
      <c r="B3579" s="25">
        <v>2080.0</v>
      </c>
      <c r="C3579" s="25">
        <v>2127.85</v>
      </c>
      <c r="D3579" s="25">
        <v>2071.3</v>
      </c>
      <c r="E3579" s="25">
        <v>2108.2</v>
      </c>
      <c r="F3579" s="25">
        <v>6343581.0</v>
      </c>
    </row>
    <row r="3580">
      <c r="A3580" s="25">
        <v>43657.64583333333</v>
      </c>
      <c r="B3580" s="25">
        <v>2128.0</v>
      </c>
      <c r="C3580" s="25">
        <v>2129.0</v>
      </c>
      <c r="D3580" s="25">
        <v>2086.05</v>
      </c>
      <c r="E3580" s="25">
        <v>2102.55</v>
      </c>
      <c r="F3580" s="25">
        <v>2400346.0</v>
      </c>
    </row>
    <row r="3581">
      <c r="A3581" s="25">
        <v>43658.64583333333</v>
      </c>
      <c r="B3581" s="25">
        <v>2102.1</v>
      </c>
      <c r="C3581" s="25">
        <v>2119.75</v>
      </c>
      <c r="D3581" s="25">
        <v>2093.1</v>
      </c>
      <c r="E3581" s="25">
        <v>2107.6</v>
      </c>
      <c r="F3581" s="25">
        <v>1560725.0</v>
      </c>
    </row>
    <row r="3582">
      <c r="A3582" s="25">
        <v>43661.64583333333</v>
      </c>
      <c r="B3582" s="25">
        <v>2125.0</v>
      </c>
      <c r="C3582" s="25">
        <v>2153.6</v>
      </c>
      <c r="D3582" s="25">
        <v>2098.0</v>
      </c>
      <c r="E3582" s="25">
        <v>2145.7</v>
      </c>
      <c r="F3582" s="25">
        <v>2900415.0</v>
      </c>
    </row>
    <row r="3583">
      <c r="A3583" s="25">
        <v>43662.64583333333</v>
      </c>
      <c r="B3583" s="25">
        <v>2126.0</v>
      </c>
      <c r="C3583" s="25">
        <v>2132.5</v>
      </c>
      <c r="D3583" s="25">
        <v>2100.0</v>
      </c>
      <c r="E3583" s="25">
        <v>2106.0</v>
      </c>
      <c r="F3583" s="25">
        <v>2735399.0</v>
      </c>
    </row>
    <row r="3584">
      <c r="A3584" s="25">
        <v>43663.64583333333</v>
      </c>
      <c r="B3584" s="25">
        <v>2108.0</v>
      </c>
      <c r="C3584" s="25">
        <v>2125.0</v>
      </c>
      <c r="D3584" s="25">
        <v>2092.1</v>
      </c>
      <c r="E3584" s="25">
        <v>2117.25</v>
      </c>
      <c r="F3584" s="25">
        <v>1802969.0</v>
      </c>
    </row>
    <row r="3585">
      <c r="A3585" s="25">
        <v>43664.64583333333</v>
      </c>
      <c r="B3585" s="25">
        <v>2116.2</v>
      </c>
      <c r="C3585" s="25">
        <v>2116.2</v>
      </c>
      <c r="D3585" s="25">
        <v>2060.0</v>
      </c>
      <c r="E3585" s="25">
        <v>2065.95</v>
      </c>
      <c r="F3585" s="25">
        <v>3072096.0</v>
      </c>
    </row>
    <row r="3586">
      <c r="A3586" s="25">
        <v>43665.64583333333</v>
      </c>
      <c r="B3586" s="25">
        <v>2077.0</v>
      </c>
      <c r="C3586" s="25">
        <v>2097.0</v>
      </c>
      <c r="D3586" s="25">
        <v>2062.5</v>
      </c>
      <c r="E3586" s="25">
        <v>2076.95</v>
      </c>
      <c r="F3586" s="25">
        <v>1953177.0</v>
      </c>
    </row>
    <row r="3587">
      <c r="A3587" s="25">
        <v>43668.64583333333</v>
      </c>
      <c r="B3587" s="25">
        <v>2077.0</v>
      </c>
      <c r="C3587" s="25">
        <v>2117.45</v>
      </c>
      <c r="D3587" s="25">
        <v>2068.8</v>
      </c>
      <c r="E3587" s="25">
        <v>2109.9</v>
      </c>
      <c r="F3587" s="25">
        <v>1920167.0</v>
      </c>
    </row>
    <row r="3588">
      <c r="A3588" s="25">
        <v>43669.64583333333</v>
      </c>
      <c r="B3588" s="25">
        <v>2127.9</v>
      </c>
      <c r="C3588" s="25">
        <v>2130.0</v>
      </c>
      <c r="D3588" s="25">
        <v>2102.4</v>
      </c>
      <c r="E3588" s="25">
        <v>2112.45</v>
      </c>
      <c r="F3588" s="25">
        <v>3538588.0</v>
      </c>
    </row>
    <row r="3589">
      <c r="A3589" s="25">
        <v>43670.64583333333</v>
      </c>
      <c r="B3589" s="25">
        <v>2110.0</v>
      </c>
      <c r="C3589" s="25">
        <v>2120.8</v>
      </c>
      <c r="D3589" s="25">
        <v>2076.5</v>
      </c>
      <c r="E3589" s="25">
        <v>2096.8</v>
      </c>
      <c r="F3589" s="25">
        <v>2413196.0</v>
      </c>
    </row>
    <row r="3590">
      <c r="A3590" s="25">
        <v>43671.64583333333</v>
      </c>
      <c r="B3590" s="25">
        <v>2108.9</v>
      </c>
      <c r="C3590" s="25">
        <v>2135.0</v>
      </c>
      <c r="D3590" s="25">
        <v>2092.55</v>
      </c>
      <c r="E3590" s="25">
        <v>2127.9</v>
      </c>
      <c r="F3590" s="25">
        <v>2544464.0</v>
      </c>
    </row>
    <row r="3591">
      <c r="A3591" s="25">
        <v>43672.64583333333</v>
      </c>
      <c r="B3591" s="25">
        <v>2129.8</v>
      </c>
      <c r="C3591" s="25">
        <v>2129.8</v>
      </c>
      <c r="D3591" s="25">
        <v>2095.0</v>
      </c>
      <c r="E3591" s="25">
        <v>2109.05</v>
      </c>
      <c r="F3591" s="25">
        <v>1720592.0</v>
      </c>
    </row>
    <row r="3592">
      <c r="A3592" s="25">
        <v>43675.64583333333</v>
      </c>
      <c r="B3592" s="25">
        <v>2110.8</v>
      </c>
      <c r="C3592" s="25">
        <v>2142.0</v>
      </c>
      <c r="D3592" s="25">
        <v>2103.3</v>
      </c>
      <c r="E3592" s="25">
        <v>2130.0</v>
      </c>
      <c r="F3592" s="25">
        <v>1647090.0</v>
      </c>
    </row>
    <row r="3593">
      <c r="A3593" s="25">
        <v>43676.64583333333</v>
      </c>
      <c r="B3593" s="25">
        <v>2130.0</v>
      </c>
      <c r="C3593" s="25">
        <v>2185.0</v>
      </c>
      <c r="D3593" s="25">
        <v>2120.45</v>
      </c>
      <c r="E3593" s="25">
        <v>2179.15</v>
      </c>
      <c r="F3593" s="25">
        <v>2851672.0</v>
      </c>
    </row>
    <row r="3594">
      <c r="A3594" s="25">
        <v>43677.64583333333</v>
      </c>
      <c r="B3594" s="25">
        <v>2171.75</v>
      </c>
      <c r="C3594" s="25">
        <v>2211.7</v>
      </c>
      <c r="D3594" s="25">
        <v>2147.15</v>
      </c>
      <c r="E3594" s="25">
        <v>2205.7</v>
      </c>
      <c r="F3594" s="25">
        <v>3000677.0</v>
      </c>
    </row>
    <row r="3595">
      <c r="A3595" s="25">
        <v>43678.64583333333</v>
      </c>
      <c r="B3595" s="25">
        <v>2200.0</v>
      </c>
      <c r="C3595" s="25">
        <v>2217.5</v>
      </c>
      <c r="D3595" s="25">
        <v>2166.25</v>
      </c>
      <c r="E3595" s="25">
        <v>2180.05</v>
      </c>
      <c r="F3595" s="25">
        <v>2375236.0</v>
      </c>
    </row>
    <row r="3596">
      <c r="A3596" s="25">
        <v>43679.64583333333</v>
      </c>
      <c r="B3596" s="25">
        <v>2173.0</v>
      </c>
      <c r="C3596" s="25">
        <v>2210.0</v>
      </c>
      <c r="D3596" s="25">
        <v>2165.5</v>
      </c>
      <c r="E3596" s="25">
        <v>2205.3</v>
      </c>
      <c r="F3596" s="25">
        <v>2500816.0</v>
      </c>
    </row>
    <row r="3597">
      <c r="A3597" s="25">
        <v>43682.64583333333</v>
      </c>
      <c r="B3597" s="25">
        <v>2199.9</v>
      </c>
      <c r="C3597" s="25">
        <v>2252.25</v>
      </c>
      <c r="D3597" s="25">
        <v>2195.6</v>
      </c>
      <c r="E3597" s="25">
        <v>2248.6</v>
      </c>
      <c r="F3597" s="25">
        <v>3039682.0</v>
      </c>
    </row>
    <row r="3598">
      <c r="A3598" s="25">
        <v>43683.64583333333</v>
      </c>
      <c r="B3598" s="25">
        <v>2232.8</v>
      </c>
      <c r="C3598" s="25">
        <v>2251.95</v>
      </c>
      <c r="D3598" s="25">
        <v>2211.45</v>
      </c>
      <c r="E3598" s="25">
        <v>2214.9</v>
      </c>
      <c r="F3598" s="25">
        <v>2885467.0</v>
      </c>
    </row>
    <row r="3599">
      <c r="A3599" s="25">
        <v>43684.64583333333</v>
      </c>
      <c r="B3599" s="25">
        <v>2230.0</v>
      </c>
      <c r="C3599" s="25">
        <v>2238.5</v>
      </c>
      <c r="D3599" s="25">
        <v>2207.25</v>
      </c>
      <c r="E3599" s="25">
        <v>2213.45</v>
      </c>
      <c r="F3599" s="25">
        <v>2165362.0</v>
      </c>
    </row>
    <row r="3600">
      <c r="A3600" s="25">
        <v>43685.64583333333</v>
      </c>
      <c r="B3600" s="25">
        <v>2228.9</v>
      </c>
      <c r="C3600" s="25">
        <v>2281.0</v>
      </c>
      <c r="D3600" s="25">
        <v>2218.9</v>
      </c>
      <c r="E3600" s="25">
        <v>2258.1</v>
      </c>
      <c r="F3600" s="25">
        <v>2073298.0</v>
      </c>
    </row>
    <row r="3601">
      <c r="A3601" s="25">
        <v>43686.64583333333</v>
      </c>
      <c r="B3601" s="25">
        <v>2260.0</v>
      </c>
      <c r="C3601" s="25">
        <v>2267.9</v>
      </c>
      <c r="D3601" s="25">
        <v>2241.35</v>
      </c>
      <c r="E3601" s="25">
        <v>2246.25</v>
      </c>
      <c r="F3601" s="25">
        <v>1744550.0</v>
      </c>
    </row>
    <row r="3602">
      <c r="A3602" s="25">
        <v>43690.64583333333</v>
      </c>
      <c r="B3602" s="25">
        <v>2245.0</v>
      </c>
      <c r="C3602" s="25">
        <v>2246.25</v>
      </c>
      <c r="D3602" s="25">
        <v>2194.3</v>
      </c>
      <c r="E3602" s="25">
        <v>2199.45</v>
      </c>
      <c r="F3602" s="25">
        <v>1647281.0</v>
      </c>
    </row>
    <row r="3603">
      <c r="A3603" s="25">
        <v>43691.64583333333</v>
      </c>
      <c r="B3603" s="25">
        <v>2181.1</v>
      </c>
      <c r="C3603" s="25">
        <v>2217.85</v>
      </c>
      <c r="D3603" s="25">
        <v>2167.4</v>
      </c>
      <c r="E3603" s="25">
        <v>2204.4</v>
      </c>
      <c r="F3603" s="25">
        <v>1945002.0</v>
      </c>
    </row>
    <row r="3604">
      <c r="A3604" s="25">
        <v>43693.64583333333</v>
      </c>
      <c r="B3604" s="25">
        <v>2241.4</v>
      </c>
      <c r="C3604" s="25">
        <v>2241.4</v>
      </c>
      <c r="D3604" s="25">
        <v>2143.25</v>
      </c>
      <c r="E3604" s="25">
        <v>2165.1</v>
      </c>
      <c r="F3604" s="25">
        <v>3755507.0</v>
      </c>
    </row>
    <row r="3605">
      <c r="A3605" s="25">
        <v>43696.64583333333</v>
      </c>
      <c r="B3605" s="25">
        <v>2180.0</v>
      </c>
      <c r="C3605" s="25">
        <v>2186.0</v>
      </c>
      <c r="D3605" s="25">
        <v>2157.7</v>
      </c>
      <c r="E3605" s="25">
        <v>2163.0</v>
      </c>
      <c r="F3605" s="25">
        <v>974884.0</v>
      </c>
    </row>
    <row r="3606">
      <c r="A3606" s="25">
        <v>43697.64583333333</v>
      </c>
      <c r="B3606" s="25">
        <v>2172.0</v>
      </c>
      <c r="C3606" s="25">
        <v>2205.0</v>
      </c>
      <c r="D3606" s="25">
        <v>2166.5</v>
      </c>
      <c r="E3606" s="25">
        <v>2186.75</v>
      </c>
      <c r="F3606" s="25">
        <v>1843611.0</v>
      </c>
    </row>
    <row r="3607">
      <c r="A3607" s="25">
        <v>43698.64583333333</v>
      </c>
      <c r="B3607" s="25">
        <v>2184.95</v>
      </c>
      <c r="C3607" s="25">
        <v>2202.0</v>
      </c>
      <c r="D3607" s="25">
        <v>2182.25</v>
      </c>
      <c r="E3607" s="25">
        <v>2186.2</v>
      </c>
      <c r="F3607" s="25">
        <v>1214408.0</v>
      </c>
    </row>
    <row r="3608">
      <c r="A3608" s="25">
        <v>43699.64583333333</v>
      </c>
      <c r="B3608" s="25">
        <v>2187.0</v>
      </c>
      <c r="C3608" s="25">
        <v>2235.65</v>
      </c>
      <c r="D3608" s="25">
        <v>2170.0</v>
      </c>
      <c r="E3608" s="25">
        <v>2216.0</v>
      </c>
      <c r="F3608" s="25">
        <v>2131601.0</v>
      </c>
    </row>
    <row r="3609">
      <c r="A3609" s="25">
        <v>43700.64583333333</v>
      </c>
      <c r="B3609" s="25">
        <v>2214.95</v>
      </c>
      <c r="C3609" s="25">
        <v>2259.9</v>
      </c>
      <c r="D3609" s="25">
        <v>2213.9</v>
      </c>
      <c r="E3609" s="25">
        <v>2247.7</v>
      </c>
      <c r="F3609" s="25">
        <v>2826425.0</v>
      </c>
    </row>
    <row r="3610">
      <c r="A3610" s="25">
        <v>43703.64583333333</v>
      </c>
      <c r="B3610" s="25">
        <v>2247.0</v>
      </c>
      <c r="C3610" s="25">
        <v>2282.0</v>
      </c>
      <c r="D3610" s="25">
        <v>2225.0</v>
      </c>
      <c r="E3610" s="25">
        <v>2276.3</v>
      </c>
      <c r="F3610" s="25">
        <v>2345475.0</v>
      </c>
    </row>
    <row r="3611">
      <c r="A3611" s="25">
        <v>43704.64583333333</v>
      </c>
      <c r="B3611" s="25">
        <v>2270.0</v>
      </c>
      <c r="C3611" s="25">
        <v>2274.85</v>
      </c>
      <c r="D3611" s="25">
        <v>2229.0</v>
      </c>
      <c r="E3611" s="25">
        <v>2236.5</v>
      </c>
      <c r="F3611" s="25">
        <v>3432106.0</v>
      </c>
    </row>
    <row r="3612">
      <c r="A3612" s="25">
        <v>43705.64583333333</v>
      </c>
      <c r="B3612" s="25">
        <v>2240.0</v>
      </c>
      <c r="C3612" s="25">
        <v>2252.15</v>
      </c>
      <c r="D3612" s="25">
        <v>2216.0</v>
      </c>
      <c r="E3612" s="25">
        <v>2239.25</v>
      </c>
      <c r="F3612" s="25">
        <v>1294621.0</v>
      </c>
    </row>
    <row r="3613">
      <c r="A3613" s="25">
        <v>43706.64583333333</v>
      </c>
      <c r="B3613" s="25">
        <v>2222.2</v>
      </c>
      <c r="C3613" s="25">
        <v>2248.2</v>
      </c>
      <c r="D3613" s="25">
        <v>2222.2</v>
      </c>
      <c r="E3613" s="25">
        <v>2233.45</v>
      </c>
      <c r="F3613" s="25">
        <v>1670652.0</v>
      </c>
    </row>
    <row r="3614">
      <c r="A3614" s="25">
        <v>43707.64583333333</v>
      </c>
      <c r="B3614" s="25">
        <v>2241.0</v>
      </c>
      <c r="C3614" s="25">
        <v>2266.0</v>
      </c>
      <c r="D3614" s="25">
        <v>2218.0</v>
      </c>
      <c r="E3614" s="25">
        <v>2259.6</v>
      </c>
      <c r="F3614" s="25">
        <v>2583625.0</v>
      </c>
    </row>
    <row r="3615">
      <c r="A3615" s="25">
        <v>43711.64583333333</v>
      </c>
      <c r="B3615" s="25">
        <v>2270.0</v>
      </c>
      <c r="C3615" s="25">
        <v>2296.2</v>
      </c>
      <c r="D3615" s="25">
        <v>2236.95</v>
      </c>
      <c r="E3615" s="25">
        <v>2251.6</v>
      </c>
      <c r="F3615" s="25">
        <v>2545060.0</v>
      </c>
    </row>
    <row r="3616">
      <c r="A3616" s="25">
        <v>43712.64583333333</v>
      </c>
      <c r="B3616" s="25">
        <v>2265.0</v>
      </c>
      <c r="C3616" s="25">
        <v>2270.0</v>
      </c>
      <c r="D3616" s="25">
        <v>2233.0</v>
      </c>
      <c r="E3616" s="25">
        <v>2245.4</v>
      </c>
      <c r="F3616" s="25">
        <v>2228092.0</v>
      </c>
    </row>
    <row r="3617">
      <c r="A3617" s="25">
        <v>43713.64583333333</v>
      </c>
      <c r="B3617" s="25">
        <v>2242.2</v>
      </c>
      <c r="C3617" s="25">
        <v>2253.65</v>
      </c>
      <c r="D3617" s="25">
        <v>2207.3</v>
      </c>
      <c r="E3617" s="25">
        <v>2215.3</v>
      </c>
      <c r="F3617" s="25">
        <v>2055943.0</v>
      </c>
    </row>
    <row r="3618">
      <c r="A3618" s="25">
        <v>43714.64583333333</v>
      </c>
      <c r="B3618" s="25">
        <v>2216.0</v>
      </c>
      <c r="C3618" s="25">
        <v>2233.5</v>
      </c>
      <c r="D3618" s="25">
        <v>2192.6</v>
      </c>
      <c r="E3618" s="25">
        <v>2197.5</v>
      </c>
      <c r="F3618" s="25">
        <v>1890550.0</v>
      </c>
    </row>
    <row r="3619">
      <c r="A3619" s="25">
        <v>43717.64583333333</v>
      </c>
      <c r="B3619" s="25">
        <v>2200.0</v>
      </c>
      <c r="C3619" s="25">
        <v>2202.85</v>
      </c>
      <c r="D3619" s="25">
        <v>2179.8</v>
      </c>
      <c r="E3619" s="25">
        <v>2182.85</v>
      </c>
      <c r="F3619" s="25">
        <v>1703945.0</v>
      </c>
    </row>
    <row r="3620">
      <c r="A3620" s="25">
        <v>43719.64583333333</v>
      </c>
      <c r="B3620" s="25">
        <v>2186.0</v>
      </c>
      <c r="C3620" s="25">
        <v>2195.0</v>
      </c>
      <c r="D3620" s="25">
        <v>2146.55</v>
      </c>
      <c r="E3620" s="25">
        <v>2154.0</v>
      </c>
      <c r="F3620" s="25">
        <v>2627440.0</v>
      </c>
    </row>
    <row r="3621">
      <c r="A3621" s="25">
        <v>43720.64583333333</v>
      </c>
      <c r="B3621" s="25">
        <v>2155.0</v>
      </c>
      <c r="C3621" s="25">
        <v>2165.0</v>
      </c>
      <c r="D3621" s="25">
        <v>2120.35</v>
      </c>
      <c r="E3621" s="25">
        <v>2133.6</v>
      </c>
      <c r="F3621" s="25">
        <v>2118859.0</v>
      </c>
    </row>
    <row r="3622">
      <c r="A3622" s="25">
        <v>43721.64583333333</v>
      </c>
      <c r="B3622" s="25">
        <v>2135.0</v>
      </c>
      <c r="C3622" s="25">
        <v>2157.95</v>
      </c>
      <c r="D3622" s="25">
        <v>2115.55</v>
      </c>
      <c r="E3622" s="25">
        <v>2141.95</v>
      </c>
      <c r="F3622" s="25">
        <v>2291174.0</v>
      </c>
    </row>
    <row r="3623">
      <c r="A3623" s="25">
        <v>43724.64583333333</v>
      </c>
      <c r="B3623" s="25">
        <v>2159.95</v>
      </c>
      <c r="C3623" s="25">
        <v>2173.4</v>
      </c>
      <c r="D3623" s="25">
        <v>2126.4</v>
      </c>
      <c r="E3623" s="25">
        <v>2150.0</v>
      </c>
      <c r="F3623" s="25">
        <v>2597948.0</v>
      </c>
    </row>
    <row r="3624">
      <c r="A3624" s="25">
        <v>43725.64583333333</v>
      </c>
      <c r="B3624" s="25">
        <v>2154.95</v>
      </c>
      <c r="C3624" s="25">
        <v>2156.55</v>
      </c>
      <c r="D3624" s="25">
        <v>2105.6</v>
      </c>
      <c r="E3624" s="25">
        <v>2122.65</v>
      </c>
      <c r="F3624" s="25">
        <v>2796530.0</v>
      </c>
    </row>
    <row r="3625">
      <c r="A3625" s="25">
        <v>43726.64583333333</v>
      </c>
      <c r="B3625" s="25">
        <v>2126.4</v>
      </c>
      <c r="C3625" s="25">
        <v>2142.95</v>
      </c>
      <c r="D3625" s="25">
        <v>2113.15</v>
      </c>
      <c r="E3625" s="25">
        <v>2138.55</v>
      </c>
      <c r="F3625" s="25">
        <v>1454663.0</v>
      </c>
    </row>
    <row r="3626">
      <c r="A3626" s="25">
        <v>43727.64583333333</v>
      </c>
      <c r="B3626" s="25">
        <v>2135.0</v>
      </c>
      <c r="C3626" s="25">
        <v>2135.8</v>
      </c>
      <c r="D3626" s="25">
        <v>2091.0</v>
      </c>
      <c r="E3626" s="25">
        <v>2101.95</v>
      </c>
      <c r="F3626" s="25">
        <v>1652691.0</v>
      </c>
    </row>
    <row r="3627">
      <c r="A3627" s="25">
        <v>43728.64583333333</v>
      </c>
      <c r="B3627" s="25">
        <v>2104.9</v>
      </c>
      <c r="C3627" s="25">
        <v>2129.4</v>
      </c>
      <c r="D3627" s="25">
        <v>2057.0</v>
      </c>
      <c r="E3627" s="25">
        <v>2065.45</v>
      </c>
      <c r="F3627" s="25">
        <v>6941979.0</v>
      </c>
    </row>
    <row r="3628">
      <c r="A3628" s="25">
        <v>43731.64583333333</v>
      </c>
      <c r="B3628" s="25">
        <v>2099.0</v>
      </c>
      <c r="C3628" s="25">
        <v>2099.0</v>
      </c>
      <c r="D3628" s="25">
        <v>1975.0</v>
      </c>
      <c r="E3628" s="25">
        <v>2015.8</v>
      </c>
      <c r="F3628" s="25">
        <v>6323401.0</v>
      </c>
    </row>
    <row r="3629">
      <c r="A3629" s="25">
        <v>43732.64583333333</v>
      </c>
      <c r="B3629" s="25">
        <v>2015.0</v>
      </c>
      <c r="C3629" s="25">
        <v>2061.0</v>
      </c>
      <c r="D3629" s="25">
        <v>2013.0</v>
      </c>
      <c r="E3629" s="25">
        <v>2044.7</v>
      </c>
      <c r="F3629" s="25">
        <v>4620978.0</v>
      </c>
    </row>
    <row r="3630">
      <c r="A3630" s="25">
        <v>43733.64583333333</v>
      </c>
      <c r="B3630" s="25">
        <v>2065.0</v>
      </c>
      <c r="C3630" s="25">
        <v>2092.0</v>
      </c>
      <c r="D3630" s="25">
        <v>2060.05</v>
      </c>
      <c r="E3630" s="25">
        <v>2088.45</v>
      </c>
      <c r="F3630" s="25">
        <v>4002232.0</v>
      </c>
    </row>
    <row r="3631">
      <c r="A3631" s="25">
        <v>43734.64583333333</v>
      </c>
      <c r="B3631" s="25">
        <v>2097.9</v>
      </c>
      <c r="C3631" s="25">
        <v>2107.0</v>
      </c>
      <c r="D3631" s="25">
        <v>2063.0</v>
      </c>
      <c r="E3631" s="25">
        <v>2087.6</v>
      </c>
      <c r="F3631" s="25">
        <v>4234281.0</v>
      </c>
    </row>
    <row r="3632">
      <c r="A3632" s="25">
        <v>43735.64583333333</v>
      </c>
      <c r="B3632" s="25">
        <v>2085.0</v>
      </c>
      <c r="C3632" s="25">
        <v>2085.2</v>
      </c>
      <c r="D3632" s="25">
        <v>2051.4</v>
      </c>
      <c r="E3632" s="25">
        <v>2056.15</v>
      </c>
      <c r="F3632" s="25">
        <v>2046795.0</v>
      </c>
    </row>
    <row r="3633">
      <c r="A3633" s="25">
        <v>43738.64583333333</v>
      </c>
      <c r="B3633" s="25">
        <v>2061.85</v>
      </c>
      <c r="C3633" s="25">
        <v>2104.0</v>
      </c>
      <c r="D3633" s="25">
        <v>2060.0</v>
      </c>
      <c r="E3633" s="25">
        <v>2099.3</v>
      </c>
      <c r="F3633" s="25">
        <v>2620039.0</v>
      </c>
    </row>
    <row r="3634">
      <c r="A3634" s="25">
        <v>43739.64583333333</v>
      </c>
      <c r="B3634" s="25">
        <v>2095.95</v>
      </c>
      <c r="C3634" s="25">
        <v>2095.95</v>
      </c>
      <c r="D3634" s="25">
        <v>2039.7</v>
      </c>
      <c r="E3634" s="25">
        <v>2059.95</v>
      </c>
      <c r="F3634" s="25">
        <v>3342877.0</v>
      </c>
    </row>
    <row r="3635">
      <c r="A3635" s="25">
        <v>43741.64583333333</v>
      </c>
      <c r="B3635" s="25">
        <v>2070.0</v>
      </c>
      <c r="C3635" s="25">
        <v>2081.15</v>
      </c>
      <c r="D3635" s="25">
        <v>2046.15</v>
      </c>
      <c r="E3635" s="25">
        <v>2060.25</v>
      </c>
      <c r="F3635" s="25">
        <v>2317618.0</v>
      </c>
    </row>
    <row r="3636">
      <c r="A3636" s="25">
        <v>43742.64583333333</v>
      </c>
      <c r="B3636" s="25">
        <v>2060.6</v>
      </c>
      <c r="C3636" s="25">
        <v>2087.95</v>
      </c>
      <c r="D3636" s="25">
        <v>2054.95</v>
      </c>
      <c r="E3636" s="25">
        <v>2079.35</v>
      </c>
      <c r="F3636" s="25">
        <v>2163251.0</v>
      </c>
    </row>
    <row r="3637">
      <c r="A3637" s="25">
        <v>43745.64583333333</v>
      </c>
      <c r="B3637" s="25">
        <v>2080.0</v>
      </c>
      <c r="C3637" s="25">
        <v>2094.5</v>
      </c>
      <c r="D3637" s="25">
        <v>2041.0</v>
      </c>
      <c r="E3637" s="25">
        <v>2047.7</v>
      </c>
      <c r="F3637" s="25">
        <v>2177916.0</v>
      </c>
    </row>
    <row r="3638">
      <c r="A3638" s="25">
        <v>43747.64583333333</v>
      </c>
      <c r="B3638" s="25">
        <v>2060.0</v>
      </c>
      <c r="C3638" s="25">
        <v>2060.0</v>
      </c>
      <c r="D3638" s="25">
        <v>2015.5</v>
      </c>
      <c r="E3638" s="25">
        <v>2020.1</v>
      </c>
      <c r="F3638" s="25">
        <v>2066920.0</v>
      </c>
    </row>
    <row r="3639">
      <c r="A3639" s="25">
        <v>43748.64583333333</v>
      </c>
      <c r="B3639" s="25">
        <v>2028.0</v>
      </c>
      <c r="C3639" s="25">
        <v>2039.05</v>
      </c>
      <c r="D3639" s="25">
        <v>1997.1</v>
      </c>
      <c r="E3639" s="25">
        <v>2004.45</v>
      </c>
      <c r="F3639" s="25">
        <v>2881452.0</v>
      </c>
    </row>
    <row r="3640">
      <c r="A3640" s="25">
        <v>43749.64583333333</v>
      </c>
      <c r="B3640" s="25">
        <v>1931.0</v>
      </c>
      <c r="C3640" s="25">
        <v>1995.0</v>
      </c>
      <c r="D3640" s="25">
        <v>1925.0</v>
      </c>
      <c r="E3640" s="25">
        <v>1986.85</v>
      </c>
      <c r="F3640" s="25">
        <v>1.2593069E7</v>
      </c>
    </row>
    <row r="3641">
      <c r="A3641" s="25">
        <v>43752.64583333333</v>
      </c>
      <c r="B3641" s="25">
        <v>1995.0</v>
      </c>
      <c r="C3641" s="25">
        <v>2032.75</v>
      </c>
      <c r="D3641" s="25">
        <v>1968.0</v>
      </c>
      <c r="E3641" s="25">
        <v>2021.0</v>
      </c>
      <c r="F3641" s="25">
        <v>3510704.0</v>
      </c>
    </row>
    <row r="3642">
      <c r="A3642" s="25">
        <v>43753.64583333333</v>
      </c>
      <c r="B3642" s="25">
        <v>2032.0</v>
      </c>
      <c r="C3642" s="25">
        <v>2047.0</v>
      </c>
      <c r="D3642" s="25">
        <v>2022.7</v>
      </c>
      <c r="E3642" s="25">
        <v>2037.3</v>
      </c>
      <c r="F3642" s="25">
        <v>2261310.0</v>
      </c>
    </row>
    <row r="3643">
      <c r="A3643" s="25">
        <v>43754.64583333333</v>
      </c>
      <c r="B3643" s="25">
        <v>2038.0</v>
      </c>
      <c r="C3643" s="25">
        <v>2056.0</v>
      </c>
      <c r="D3643" s="25">
        <v>2016.0</v>
      </c>
      <c r="E3643" s="25">
        <v>2046.4</v>
      </c>
      <c r="F3643" s="25">
        <v>3034082.0</v>
      </c>
    </row>
    <row r="3644">
      <c r="A3644" s="25">
        <v>43755.64583333333</v>
      </c>
      <c r="B3644" s="25">
        <v>2014.0</v>
      </c>
      <c r="C3644" s="25">
        <v>2038.0</v>
      </c>
      <c r="D3644" s="25">
        <v>1999.3</v>
      </c>
      <c r="E3644" s="25">
        <v>2030.95</v>
      </c>
      <c r="F3644" s="25">
        <v>3818774.0</v>
      </c>
    </row>
    <row r="3645">
      <c r="A3645" s="25">
        <v>43756.64583333333</v>
      </c>
      <c r="B3645" s="25">
        <v>2037.5</v>
      </c>
      <c r="C3645" s="25">
        <v>2063.9</v>
      </c>
      <c r="D3645" s="25">
        <v>2025.0</v>
      </c>
      <c r="E3645" s="25">
        <v>2057.35</v>
      </c>
      <c r="F3645" s="25">
        <v>3087901.0</v>
      </c>
    </row>
    <row r="3646">
      <c r="A3646" s="25">
        <v>43760.64583333333</v>
      </c>
      <c r="B3646" s="25">
        <v>2080.0</v>
      </c>
      <c r="C3646" s="25">
        <v>2111.5</v>
      </c>
      <c r="D3646" s="25">
        <v>2040.05</v>
      </c>
      <c r="E3646" s="25">
        <v>2051.4</v>
      </c>
      <c r="F3646" s="25">
        <v>5552505.0</v>
      </c>
    </row>
    <row r="3647">
      <c r="A3647" s="25">
        <v>43761.64583333333</v>
      </c>
      <c r="B3647" s="25">
        <v>2060.0</v>
      </c>
      <c r="C3647" s="25">
        <v>2083.85</v>
      </c>
      <c r="D3647" s="25">
        <v>2052.5</v>
      </c>
      <c r="E3647" s="25">
        <v>2070.1</v>
      </c>
      <c r="F3647" s="25">
        <v>2348134.0</v>
      </c>
    </row>
    <row r="3648">
      <c r="A3648" s="25">
        <v>43762.64583333333</v>
      </c>
      <c r="B3648" s="25">
        <v>2084.0</v>
      </c>
      <c r="C3648" s="25">
        <v>2099.0</v>
      </c>
      <c r="D3648" s="25">
        <v>2061.3</v>
      </c>
      <c r="E3648" s="25">
        <v>2082.0</v>
      </c>
      <c r="F3648" s="25">
        <v>2798671.0</v>
      </c>
    </row>
    <row r="3649">
      <c r="A3649" s="25">
        <v>43763.79166666667</v>
      </c>
      <c r="B3649" s="25">
        <v>2094.0</v>
      </c>
      <c r="C3649" s="25">
        <v>2130.0</v>
      </c>
      <c r="D3649" s="25">
        <v>2075.05</v>
      </c>
      <c r="E3649" s="25">
        <v>2124.95</v>
      </c>
      <c r="F3649" s="25">
        <v>3954245.0</v>
      </c>
    </row>
    <row r="3650">
      <c r="A3650" s="25">
        <v>43765.80902777778</v>
      </c>
      <c r="B3650" s="25">
        <v>2129.0</v>
      </c>
      <c r="C3650" s="25">
        <v>2129.0</v>
      </c>
      <c r="D3650" s="25">
        <v>2108.8</v>
      </c>
      <c r="E3650" s="25">
        <v>2117.65</v>
      </c>
      <c r="F3650" s="25">
        <v>224405.0</v>
      </c>
    </row>
    <row r="3651">
      <c r="A3651" s="25">
        <v>43767.64583333333</v>
      </c>
      <c r="B3651" s="25">
        <v>2121.5</v>
      </c>
      <c r="C3651" s="25">
        <v>2201.7</v>
      </c>
      <c r="D3651" s="25">
        <v>2121.5</v>
      </c>
      <c r="E3651" s="25">
        <v>2194.85</v>
      </c>
      <c r="F3651" s="25">
        <v>5064173.0</v>
      </c>
    </row>
    <row r="3652">
      <c r="A3652" s="25">
        <v>43768.64583333333</v>
      </c>
      <c r="B3652" s="25">
        <v>2225.0</v>
      </c>
      <c r="C3652" s="25">
        <v>2260.0</v>
      </c>
      <c r="D3652" s="25">
        <v>2176.85</v>
      </c>
      <c r="E3652" s="25">
        <v>2252.8</v>
      </c>
      <c r="F3652" s="25">
        <v>5195136.0</v>
      </c>
    </row>
    <row r="3653">
      <c r="A3653" s="25">
        <v>43769.64583333333</v>
      </c>
      <c r="B3653" s="25">
        <v>2250.0</v>
      </c>
      <c r="C3653" s="25">
        <v>2284.95</v>
      </c>
      <c r="D3653" s="25">
        <v>2237.0</v>
      </c>
      <c r="E3653" s="25">
        <v>2269.65</v>
      </c>
      <c r="F3653" s="25">
        <v>4879261.0</v>
      </c>
    </row>
    <row r="3654">
      <c r="A3654" s="25">
        <v>43770.64583333333</v>
      </c>
      <c r="B3654" s="25">
        <v>2264.0</v>
      </c>
      <c r="C3654" s="25">
        <v>2275.0</v>
      </c>
      <c r="D3654" s="25">
        <v>2195.0</v>
      </c>
      <c r="E3654" s="25">
        <v>2200.9</v>
      </c>
      <c r="F3654" s="25">
        <v>4172620.0</v>
      </c>
    </row>
    <row r="3655">
      <c r="A3655" s="25">
        <v>43773.64583333333</v>
      </c>
      <c r="B3655" s="25">
        <v>2207.0</v>
      </c>
      <c r="C3655" s="25">
        <v>2229.2</v>
      </c>
      <c r="D3655" s="25">
        <v>2180.9</v>
      </c>
      <c r="E3655" s="25">
        <v>2193.95</v>
      </c>
      <c r="F3655" s="25">
        <v>2646411.0</v>
      </c>
    </row>
    <row r="3656">
      <c r="A3656" s="25">
        <v>43774.64583333333</v>
      </c>
      <c r="B3656" s="25">
        <v>2197.0</v>
      </c>
      <c r="C3656" s="25">
        <v>2211.0</v>
      </c>
      <c r="D3656" s="25">
        <v>2169.0</v>
      </c>
      <c r="E3656" s="25">
        <v>2201.85</v>
      </c>
      <c r="F3656" s="25">
        <v>2693475.0</v>
      </c>
    </row>
    <row r="3657">
      <c r="A3657" s="25">
        <v>43775.64583333333</v>
      </c>
      <c r="B3657" s="25">
        <v>2200.0</v>
      </c>
      <c r="C3657" s="25">
        <v>2210.8</v>
      </c>
      <c r="D3657" s="25">
        <v>2179.0</v>
      </c>
      <c r="E3657" s="25">
        <v>2188.5</v>
      </c>
      <c r="F3657" s="25">
        <v>2540719.0</v>
      </c>
    </row>
    <row r="3658">
      <c r="A3658" s="25">
        <v>43776.64583333333</v>
      </c>
      <c r="B3658" s="25">
        <v>2204.5</v>
      </c>
      <c r="C3658" s="25">
        <v>2204.5</v>
      </c>
      <c r="D3658" s="25">
        <v>2175.2</v>
      </c>
      <c r="E3658" s="25">
        <v>2185.35</v>
      </c>
      <c r="F3658" s="25">
        <v>1915598.0</v>
      </c>
    </row>
    <row r="3659">
      <c r="A3659" s="25">
        <v>43777.64583333333</v>
      </c>
      <c r="B3659" s="25">
        <v>2189.6</v>
      </c>
      <c r="C3659" s="25">
        <v>2189.6</v>
      </c>
      <c r="D3659" s="25">
        <v>2124.0</v>
      </c>
      <c r="E3659" s="25">
        <v>2129.95</v>
      </c>
      <c r="F3659" s="25">
        <v>2788759.0</v>
      </c>
    </row>
    <row r="3660">
      <c r="A3660" s="25">
        <v>43780.64583333333</v>
      </c>
      <c r="B3660" s="25">
        <v>2135.0</v>
      </c>
      <c r="C3660" s="25">
        <v>2139.0</v>
      </c>
      <c r="D3660" s="25">
        <v>2091.0</v>
      </c>
      <c r="E3660" s="25">
        <v>2100.95</v>
      </c>
      <c r="F3660" s="25">
        <v>2983768.0</v>
      </c>
    </row>
    <row r="3661">
      <c r="A3661" s="25">
        <v>43782.64583333333</v>
      </c>
      <c r="B3661" s="25">
        <v>2118.0</v>
      </c>
      <c r="C3661" s="25">
        <v>2183.8</v>
      </c>
      <c r="D3661" s="25">
        <v>2118.0</v>
      </c>
      <c r="E3661" s="25">
        <v>2178.6</v>
      </c>
      <c r="F3661" s="25">
        <v>3823365.0</v>
      </c>
    </row>
    <row r="3662">
      <c r="A3662" s="25">
        <v>43783.64583333333</v>
      </c>
      <c r="B3662" s="25">
        <v>2187.5</v>
      </c>
      <c r="C3662" s="25">
        <v>2200.0</v>
      </c>
      <c r="D3662" s="25">
        <v>2146.7</v>
      </c>
      <c r="E3662" s="25">
        <v>2196.8</v>
      </c>
      <c r="F3662" s="25">
        <v>2995915.0</v>
      </c>
    </row>
    <row r="3663">
      <c r="A3663" s="25">
        <v>43784.64583333333</v>
      </c>
      <c r="B3663" s="25">
        <v>2196.0</v>
      </c>
      <c r="C3663" s="25">
        <v>2211.5</v>
      </c>
      <c r="D3663" s="25">
        <v>2168.75</v>
      </c>
      <c r="E3663" s="25">
        <v>2174.45</v>
      </c>
      <c r="F3663" s="25">
        <v>2724180.0</v>
      </c>
    </row>
    <row r="3664">
      <c r="A3664" s="25">
        <v>43787.64583333333</v>
      </c>
      <c r="B3664" s="25">
        <v>2178.4</v>
      </c>
      <c r="C3664" s="25">
        <v>2187.75</v>
      </c>
      <c r="D3664" s="25">
        <v>2148.75</v>
      </c>
      <c r="E3664" s="25">
        <v>2152.6</v>
      </c>
      <c r="F3664" s="25">
        <v>1611089.0</v>
      </c>
    </row>
    <row r="3665">
      <c r="A3665" s="25">
        <v>43788.64583333333</v>
      </c>
      <c r="B3665" s="25">
        <v>2153.0</v>
      </c>
      <c r="C3665" s="25">
        <v>2154.65</v>
      </c>
      <c r="D3665" s="25">
        <v>2105.0</v>
      </c>
      <c r="E3665" s="25">
        <v>2108.8</v>
      </c>
      <c r="F3665" s="25">
        <v>2975313.0</v>
      </c>
    </row>
    <row r="3666">
      <c r="A3666" s="25">
        <v>43789.64583333333</v>
      </c>
      <c r="B3666" s="25">
        <v>2121.95</v>
      </c>
      <c r="C3666" s="25">
        <v>2135.0</v>
      </c>
      <c r="D3666" s="25">
        <v>2094.5</v>
      </c>
      <c r="E3666" s="25">
        <v>2108.55</v>
      </c>
      <c r="F3666" s="25">
        <v>2894129.0</v>
      </c>
    </row>
    <row r="3667">
      <c r="A3667" s="25">
        <v>43790.64583333333</v>
      </c>
      <c r="B3667" s="25">
        <v>2112.0</v>
      </c>
      <c r="C3667" s="25">
        <v>2126.6</v>
      </c>
      <c r="D3667" s="25">
        <v>2107.4</v>
      </c>
      <c r="E3667" s="25">
        <v>2118.1</v>
      </c>
      <c r="F3667" s="25">
        <v>2052574.0</v>
      </c>
    </row>
    <row r="3668">
      <c r="A3668" s="25">
        <v>43791.64583333333</v>
      </c>
      <c r="B3668" s="25">
        <v>2097.0</v>
      </c>
      <c r="C3668" s="25">
        <v>2107.0</v>
      </c>
      <c r="D3668" s="25">
        <v>2060.5</v>
      </c>
      <c r="E3668" s="25">
        <v>2071.7</v>
      </c>
      <c r="F3668" s="25">
        <v>3742049.0</v>
      </c>
    </row>
    <row r="3669">
      <c r="A3669" s="25">
        <v>43794.64583333333</v>
      </c>
      <c r="B3669" s="25">
        <v>2074.55</v>
      </c>
      <c r="C3669" s="25">
        <v>2084.95</v>
      </c>
      <c r="D3669" s="25">
        <v>2052.2</v>
      </c>
      <c r="E3669" s="25">
        <v>2081.5</v>
      </c>
      <c r="F3669" s="25">
        <v>2737010.0</v>
      </c>
    </row>
    <row r="3670">
      <c r="A3670" s="25">
        <v>43795.64583333333</v>
      </c>
      <c r="B3670" s="25">
        <v>2089.85</v>
      </c>
      <c r="C3670" s="25">
        <v>2097.9</v>
      </c>
      <c r="D3670" s="25">
        <v>2035.05</v>
      </c>
      <c r="E3670" s="25">
        <v>2046.65</v>
      </c>
      <c r="F3670" s="25">
        <v>6561580.0</v>
      </c>
    </row>
    <row r="3671">
      <c r="A3671" s="25">
        <v>43796.64583333333</v>
      </c>
      <c r="B3671" s="25">
        <v>2052.0</v>
      </c>
      <c r="C3671" s="25">
        <v>2071.7</v>
      </c>
      <c r="D3671" s="25">
        <v>2046.55</v>
      </c>
      <c r="E3671" s="25">
        <v>2054.3</v>
      </c>
      <c r="F3671" s="25">
        <v>2907521.0</v>
      </c>
    </row>
    <row r="3672">
      <c r="A3672" s="25">
        <v>43797.64583333333</v>
      </c>
      <c r="B3672" s="25">
        <v>2067.05</v>
      </c>
      <c r="C3672" s="25">
        <v>2094.4</v>
      </c>
      <c r="D3672" s="25">
        <v>2060.0</v>
      </c>
      <c r="E3672" s="25">
        <v>2077.35</v>
      </c>
      <c r="F3672" s="25">
        <v>2924429.0</v>
      </c>
    </row>
    <row r="3673">
      <c r="A3673" s="25">
        <v>43798.64583333333</v>
      </c>
      <c r="B3673" s="25">
        <v>2085.0</v>
      </c>
      <c r="C3673" s="25">
        <v>2085.0</v>
      </c>
      <c r="D3673" s="25">
        <v>2045.8</v>
      </c>
      <c r="E3673" s="25">
        <v>2053.25</v>
      </c>
      <c r="F3673" s="25">
        <v>2064271.0</v>
      </c>
    </row>
    <row r="3674">
      <c r="A3674" s="25">
        <v>43802.64583333333</v>
      </c>
      <c r="B3674" s="25">
        <v>2027.7</v>
      </c>
      <c r="C3674" s="25">
        <v>2062.0</v>
      </c>
      <c r="D3674" s="25">
        <v>2010.0</v>
      </c>
      <c r="E3674" s="25">
        <v>2051.0</v>
      </c>
      <c r="F3674" s="25">
        <v>4664774.0</v>
      </c>
    </row>
    <row r="3675">
      <c r="A3675" s="25">
        <v>43803.64583333333</v>
      </c>
      <c r="B3675" s="25">
        <v>2053.0</v>
      </c>
      <c r="C3675" s="25">
        <v>2082.0</v>
      </c>
      <c r="D3675" s="25">
        <v>2045.5</v>
      </c>
      <c r="E3675" s="25">
        <v>2078.5</v>
      </c>
      <c r="F3675" s="25">
        <v>3334301.0</v>
      </c>
    </row>
    <row r="3676">
      <c r="A3676" s="25">
        <v>43804.64583333333</v>
      </c>
      <c r="B3676" s="25">
        <v>2083.0</v>
      </c>
      <c r="C3676" s="25">
        <v>2126.8</v>
      </c>
      <c r="D3676" s="25">
        <v>2068.35</v>
      </c>
      <c r="E3676" s="25">
        <v>2121.3</v>
      </c>
      <c r="F3676" s="25">
        <v>3902721.0</v>
      </c>
    </row>
    <row r="3677">
      <c r="A3677" s="25">
        <v>43805.64583333333</v>
      </c>
      <c r="B3677" s="25">
        <v>2124.0</v>
      </c>
      <c r="C3677" s="25">
        <v>2128.0</v>
      </c>
      <c r="D3677" s="25">
        <v>2101.0</v>
      </c>
      <c r="E3677" s="25">
        <v>2123.6</v>
      </c>
      <c r="F3677" s="25">
        <v>1829461.0</v>
      </c>
    </row>
    <row r="3678">
      <c r="A3678" s="25">
        <v>43808.64583333333</v>
      </c>
      <c r="B3678" s="25">
        <v>2127.95</v>
      </c>
      <c r="C3678" s="25">
        <v>2127.95</v>
      </c>
      <c r="D3678" s="25">
        <v>2053.5</v>
      </c>
      <c r="E3678" s="25">
        <v>2060.45</v>
      </c>
      <c r="F3678" s="25">
        <v>2244747.0</v>
      </c>
    </row>
    <row r="3679">
      <c r="A3679" s="25">
        <v>43809.64583333333</v>
      </c>
      <c r="B3679" s="25">
        <v>2060.0</v>
      </c>
      <c r="C3679" s="25">
        <v>2060.85</v>
      </c>
      <c r="D3679" s="25">
        <v>2003.25</v>
      </c>
      <c r="E3679" s="25">
        <v>2012.85</v>
      </c>
      <c r="F3679" s="25">
        <v>4520045.0</v>
      </c>
    </row>
    <row r="3680">
      <c r="A3680" s="25">
        <v>43810.64583333333</v>
      </c>
      <c r="B3680" s="25">
        <v>2025.4</v>
      </c>
      <c r="C3680" s="25">
        <v>2048.0</v>
      </c>
      <c r="D3680" s="25">
        <v>2006.75</v>
      </c>
      <c r="E3680" s="25">
        <v>2041.9</v>
      </c>
      <c r="F3680" s="25">
        <v>4943024.0</v>
      </c>
    </row>
    <row r="3681">
      <c r="A3681" s="25">
        <v>43811.64583333333</v>
      </c>
      <c r="B3681" s="25">
        <v>2051.1</v>
      </c>
      <c r="C3681" s="25">
        <v>2083.65</v>
      </c>
      <c r="D3681" s="25">
        <v>1984.0</v>
      </c>
      <c r="E3681" s="25">
        <v>2020.9</v>
      </c>
      <c r="F3681" s="25">
        <v>7137306.0</v>
      </c>
    </row>
    <row r="3682">
      <c r="A3682" s="25">
        <v>43812.64583333333</v>
      </c>
      <c r="B3682" s="25">
        <v>2023.0</v>
      </c>
      <c r="C3682" s="25">
        <v>2077.4</v>
      </c>
      <c r="D3682" s="25">
        <v>2007.0</v>
      </c>
      <c r="E3682" s="25">
        <v>2071.25</v>
      </c>
      <c r="F3682" s="25">
        <v>5711133.0</v>
      </c>
    </row>
    <row r="3683">
      <c r="A3683" s="25">
        <v>43815.64583333333</v>
      </c>
      <c r="B3683" s="25">
        <v>2096.0</v>
      </c>
      <c r="C3683" s="25">
        <v>2136.0</v>
      </c>
      <c r="D3683" s="25">
        <v>2080.3</v>
      </c>
      <c r="E3683" s="25">
        <v>2126.75</v>
      </c>
      <c r="F3683" s="25">
        <v>5574177.0</v>
      </c>
    </row>
    <row r="3684">
      <c r="A3684" s="25">
        <v>43816.64583333333</v>
      </c>
      <c r="B3684" s="25">
        <v>2126.5</v>
      </c>
      <c r="C3684" s="25">
        <v>2169.0</v>
      </c>
      <c r="D3684" s="25">
        <v>2119.0</v>
      </c>
      <c r="E3684" s="25">
        <v>2164.95</v>
      </c>
      <c r="F3684" s="25">
        <v>6059673.0</v>
      </c>
    </row>
    <row r="3685">
      <c r="A3685" s="25">
        <v>43817.64583333333</v>
      </c>
      <c r="B3685" s="25">
        <v>2174.0</v>
      </c>
      <c r="C3685" s="25">
        <v>2203.45</v>
      </c>
      <c r="D3685" s="25">
        <v>2153.0</v>
      </c>
      <c r="E3685" s="25">
        <v>2167.75</v>
      </c>
      <c r="F3685" s="25">
        <v>8251081.0</v>
      </c>
    </row>
    <row r="3686">
      <c r="A3686" s="25">
        <v>43818.64583333333</v>
      </c>
      <c r="B3686" s="25">
        <v>2179.8</v>
      </c>
      <c r="C3686" s="25">
        <v>2236.5</v>
      </c>
      <c r="D3686" s="25">
        <v>2167.55</v>
      </c>
      <c r="E3686" s="25">
        <v>2229.05</v>
      </c>
      <c r="F3686" s="25">
        <v>6251505.0</v>
      </c>
    </row>
    <row r="3687">
      <c r="A3687" s="25">
        <v>43819.64583333333</v>
      </c>
      <c r="B3687" s="25">
        <v>2220.0</v>
      </c>
      <c r="C3687" s="25">
        <v>2246.7</v>
      </c>
      <c r="D3687" s="25">
        <v>2208.25</v>
      </c>
      <c r="E3687" s="25">
        <v>2222.9</v>
      </c>
      <c r="F3687" s="25">
        <v>5548338.0</v>
      </c>
    </row>
    <row r="3688">
      <c r="A3688" s="25">
        <v>43822.64583333333</v>
      </c>
      <c r="B3688" s="25">
        <v>2210.0</v>
      </c>
      <c r="C3688" s="25">
        <v>2241.95</v>
      </c>
      <c r="D3688" s="25">
        <v>2210.0</v>
      </c>
      <c r="E3688" s="25">
        <v>2231.7</v>
      </c>
      <c r="F3688" s="25">
        <v>2247329.0</v>
      </c>
    </row>
    <row r="3689">
      <c r="A3689" s="25">
        <v>43823.64583333333</v>
      </c>
      <c r="B3689" s="25">
        <v>2239.0</v>
      </c>
      <c r="C3689" s="25">
        <v>2243.55</v>
      </c>
      <c r="D3689" s="25">
        <v>2211.15</v>
      </c>
      <c r="E3689" s="25">
        <v>2215.6</v>
      </c>
      <c r="F3689" s="25">
        <v>1805896.0</v>
      </c>
    </row>
    <row r="3690">
      <c r="A3690" s="25">
        <v>43825.64583333333</v>
      </c>
      <c r="B3690" s="25">
        <v>2216.4</v>
      </c>
      <c r="C3690" s="25">
        <v>2229.0</v>
      </c>
      <c r="D3690" s="25">
        <v>2195.2</v>
      </c>
      <c r="E3690" s="25">
        <v>2201.95</v>
      </c>
      <c r="F3690" s="25">
        <v>1880367.0</v>
      </c>
    </row>
    <row r="3691">
      <c r="A3691" s="25">
        <v>43826.64583333333</v>
      </c>
      <c r="B3691" s="25">
        <v>2208.0</v>
      </c>
      <c r="C3691" s="25">
        <v>2226.4</v>
      </c>
      <c r="D3691" s="25">
        <v>2176.0</v>
      </c>
      <c r="E3691" s="25">
        <v>2198.5</v>
      </c>
      <c r="F3691" s="25">
        <v>2720261.0</v>
      </c>
    </row>
    <row r="3692">
      <c r="A3692" s="25">
        <v>43829.64583333333</v>
      </c>
      <c r="B3692" s="25">
        <v>2207.0</v>
      </c>
      <c r="C3692" s="25">
        <v>2225.0</v>
      </c>
      <c r="D3692" s="25">
        <v>2177.1</v>
      </c>
      <c r="E3692" s="25">
        <v>2183.2</v>
      </c>
      <c r="F3692" s="25">
        <v>2288830.0</v>
      </c>
    </row>
    <row r="3693">
      <c r="A3693" s="25">
        <v>43830.64583333333</v>
      </c>
      <c r="B3693" s="25">
        <v>2189.0</v>
      </c>
      <c r="C3693" s="25">
        <v>2197.0</v>
      </c>
      <c r="D3693" s="25">
        <v>2157.45</v>
      </c>
      <c r="E3693" s="25">
        <v>2161.7</v>
      </c>
      <c r="F3693" s="25">
        <v>1909289.0</v>
      </c>
    </row>
    <row r="3694">
      <c r="A3694" s="25">
        <v>43831.64583333333</v>
      </c>
      <c r="B3694" s="25">
        <v>2168.0</v>
      </c>
      <c r="C3694" s="25">
        <v>2183.9</v>
      </c>
      <c r="D3694" s="25">
        <v>2154.0</v>
      </c>
      <c r="E3694" s="25">
        <v>2167.6</v>
      </c>
      <c r="F3694" s="25">
        <v>1354908.0</v>
      </c>
    </row>
    <row r="3695">
      <c r="A3695" s="25">
        <v>43832.64583333333</v>
      </c>
      <c r="B3695" s="25">
        <v>2179.95</v>
      </c>
      <c r="C3695" s="25">
        <v>2179.95</v>
      </c>
      <c r="D3695" s="25">
        <v>2149.2</v>
      </c>
      <c r="E3695" s="25">
        <v>2157.65</v>
      </c>
      <c r="F3695" s="25">
        <v>2380752.0</v>
      </c>
    </row>
    <row r="3696">
      <c r="A3696" s="25">
        <v>43833.64583333333</v>
      </c>
      <c r="B3696" s="25">
        <v>2164.0</v>
      </c>
      <c r="C3696" s="25">
        <v>2223.0</v>
      </c>
      <c r="D3696" s="25">
        <v>2164.0</v>
      </c>
      <c r="E3696" s="25">
        <v>2200.65</v>
      </c>
      <c r="F3696" s="25">
        <v>4655761.0</v>
      </c>
    </row>
    <row r="3697">
      <c r="A3697" s="25">
        <v>43836.64583333333</v>
      </c>
      <c r="B3697" s="25">
        <v>2205.0</v>
      </c>
      <c r="C3697" s="25">
        <v>2225.95</v>
      </c>
      <c r="D3697" s="25">
        <v>2187.9</v>
      </c>
      <c r="E3697" s="25">
        <v>2200.45</v>
      </c>
      <c r="F3697" s="25">
        <v>3023209.0</v>
      </c>
    </row>
    <row r="3698">
      <c r="A3698" s="25">
        <v>43837.64583333333</v>
      </c>
      <c r="B3698" s="25">
        <v>2200.5</v>
      </c>
      <c r="C3698" s="25">
        <v>2214.65</v>
      </c>
      <c r="D3698" s="25">
        <v>2183.8</v>
      </c>
      <c r="E3698" s="25">
        <v>2205.85</v>
      </c>
      <c r="F3698" s="25">
        <v>2429317.0</v>
      </c>
    </row>
    <row r="3699">
      <c r="A3699" s="25">
        <v>43838.64583333333</v>
      </c>
      <c r="B3699" s="25">
        <v>2205.0</v>
      </c>
      <c r="C3699" s="25">
        <v>2260.0</v>
      </c>
      <c r="D3699" s="25">
        <v>2202.05</v>
      </c>
      <c r="E3699" s="25">
        <v>2255.25</v>
      </c>
      <c r="F3699" s="25">
        <v>5197454.0</v>
      </c>
    </row>
    <row r="3700">
      <c r="A3700" s="25">
        <v>43839.64583333333</v>
      </c>
      <c r="B3700" s="25">
        <v>2248.75</v>
      </c>
      <c r="C3700" s="25">
        <v>2251.95</v>
      </c>
      <c r="D3700" s="25">
        <v>2210.0</v>
      </c>
      <c r="E3700" s="25">
        <v>2214.35</v>
      </c>
      <c r="F3700" s="25">
        <v>3734173.0</v>
      </c>
    </row>
    <row r="3701">
      <c r="A3701" s="25">
        <v>43840.64583333333</v>
      </c>
      <c r="B3701" s="25">
        <v>2228.0</v>
      </c>
      <c r="C3701" s="25">
        <v>2234.0</v>
      </c>
      <c r="D3701" s="25">
        <v>2208.0</v>
      </c>
      <c r="E3701" s="25">
        <v>2213.55</v>
      </c>
      <c r="F3701" s="25">
        <v>1915807.0</v>
      </c>
    </row>
    <row r="3702">
      <c r="A3702" s="25">
        <v>43843.64583333333</v>
      </c>
      <c r="B3702" s="25">
        <v>2217.85</v>
      </c>
      <c r="C3702" s="25">
        <v>2218.95</v>
      </c>
      <c r="D3702" s="25">
        <v>2184.7</v>
      </c>
      <c r="E3702" s="25">
        <v>2190.35</v>
      </c>
      <c r="F3702" s="25">
        <v>2843893.0</v>
      </c>
    </row>
    <row r="3703">
      <c r="A3703" s="25">
        <v>43844.64583333333</v>
      </c>
      <c r="B3703" s="25">
        <v>2195.0</v>
      </c>
      <c r="C3703" s="25">
        <v>2229.8</v>
      </c>
      <c r="D3703" s="25">
        <v>2195.0</v>
      </c>
      <c r="E3703" s="25">
        <v>2206.9</v>
      </c>
      <c r="F3703" s="25">
        <v>2948452.0</v>
      </c>
    </row>
    <row r="3704">
      <c r="A3704" s="25">
        <v>43845.64583333333</v>
      </c>
      <c r="B3704" s="25">
        <v>2213.0</v>
      </c>
      <c r="C3704" s="25">
        <v>2231.0</v>
      </c>
      <c r="D3704" s="25">
        <v>2194.2</v>
      </c>
      <c r="E3704" s="25">
        <v>2226.9</v>
      </c>
      <c r="F3704" s="25">
        <v>2620681.0</v>
      </c>
    </row>
    <row r="3705">
      <c r="A3705" s="25">
        <v>43846.64583333333</v>
      </c>
      <c r="B3705" s="25">
        <v>2226.95</v>
      </c>
      <c r="C3705" s="25">
        <v>2249.0</v>
      </c>
      <c r="D3705" s="25">
        <v>2215.0</v>
      </c>
      <c r="E3705" s="25">
        <v>2238.8</v>
      </c>
      <c r="F3705" s="25">
        <v>3117214.0</v>
      </c>
    </row>
    <row r="3706">
      <c r="A3706" s="25">
        <v>43847.64583333333</v>
      </c>
      <c r="B3706" s="25">
        <v>2240.75</v>
      </c>
      <c r="C3706" s="25">
        <v>2253.55</v>
      </c>
      <c r="D3706" s="25">
        <v>2213.0</v>
      </c>
      <c r="E3706" s="25">
        <v>2219.1</v>
      </c>
      <c r="F3706" s="25">
        <v>3281059.0</v>
      </c>
    </row>
    <row r="3707">
      <c r="A3707" s="25">
        <v>43850.64583333333</v>
      </c>
      <c r="B3707" s="25">
        <v>2194.9</v>
      </c>
      <c r="C3707" s="25">
        <v>2242.2</v>
      </c>
      <c r="D3707" s="25">
        <v>2156.2</v>
      </c>
      <c r="E3707" s="25">
        <v>2170.35</v>
      </c>
      <c r="F3707" s="25">
        <v>5817599.0</v>
      </c>
    </row>
    <row r="3708">
      <c r="A3708" s="25">
        <v>43851.64583333333</v>
      </c>
      <c r="B3708" s="25">
        <v>2169.95</v>
      </c>
      <c r="C3708" s="25">
        <v>2186.55</v>
      </c>
      <c r="D3708" s="25">
        <v>2158.05</v>
      </c>
      <c r="E3708" s="25">
        <v>2171.05</v>
      </c>
      <c r="F3708" s="25">
        <v>1902980.0</v>
      </c>
    </row>
    <row r="3709">
      <c r="A3709" s="25">
        <v>43852.64583333333</v>
      </c>
      <c r="B3709" s="25">
        <v>2181.0</v>
      </c>
      <c r="C3709" s="25">
        <v>2210.0</v>
      </c>
      <c r="D3709" s="25">
        <v>2173.7</v>
      </c>
      <c r="E3709" s="25">
        <v>2206.9</v>
      </c>
      <c r="F3709" s="25">
        <v>1773686.0</v>
      </c>
    </row>
    <row r="3710">
      <c r="A3710" s="25">
        <v>43853.64583333333</v>
      </c>
      <c r="B3710" s="25">
        <v>2209.8</v>
      </c>
      <c r="C3710" s="25">
        <v>2217.75</v>
      </c>
      <c r="D3710" s="25">
        <v>2183.7</v>
      </c>
      <c r="E3710" s="25">
        <v>2190.95</v>
      </c>
      <c r="F3710" s="25">
        <v>2069866.0</v>
      </c>
    </row>
    <row r="3711">
      <c r="A3711" s="25">
        <v>43854.64583333333</v>
      </c>
      <c r="B3711" s="25">
        <v>2190.95</v>
      </c>
      <c r="C3711" s="25">
        <v>2190.95</v>
      </c>
      <c r="D3711" s="25">
        <v>2170.0</v>
      </c>
      <c r="E3711" s="25">
        <v>2183.4</v>
      </c>
      <c r="F3711" s="25">
        <v>1319430.0</v>
      </c>
    </row>
    <row r="3712">
      <c r="A3712" s="25">
        <v>43857.64583333333</v>
      </c>
      <c r="B3712" s="25">
        <v>2189.7</v>
      </c>
      <c r="C3712" s="25">
        <v>2193.45</v>
      </c>
      <c r="D3712" s="25">
        <v>2165.0</v>
      </c>
      <c r="E3712" s="25">
        <v>2169.25</v>
      </c>
      <c r="F3712" s="25">
        <v>1549101.0</v>
      </c>
    </row>
    <row r="3713">
      <c r="A3713" s="25">
        <v>43858.64583333333</v>
      </c>
      <c r="B3713" s="25">
        <v>2174.0</v>
      </c>
      <c r="C3713" s="25">
        <v>2187.8</v>
      </c>
      <c r="D3713" s="25">
        <v>2152.0</v>
      </c>
      <c r="E3713" s="25">
        <v>2183.75</v>
      </c>
      <c r="F3713" s="25">
        <v>1743024.0</v>
      </c>
    </row>
    <row r="3714">
      <c r="A3714" s="25">
        <v>43859.64583333333</v>
      </c>
      <c r="B3714" s="25">
        <v>2185.0</v>
      </c>
      <c r="C3714" s="25">
        <v>2186.95</v>
      </c>
      <c r="D3714" s="25">
        <v>2150.0</v>
      </c>
      <c r="E3714" s="25">
        <v>2154.6</v>
      </c>
      <c r="F3714" s="25">
        <v>2306761.0</v>
      </c>
    </row>
    <row r="3715">
      <c r="A3715" s="25">
        <v>43860.64583333333</v>
      </c>
      <c r="B3715" s="25">
        <v>2160.0</v>
      </c>
      <c r="C3715" s="25">
        <v>2165.0</v>
      </c>
      <c r="D3715" s="25">
        <v>2125.0</v>
      </c>
      <c r="E3715" s="25">
        <v>2137.85</v>
      </c>
      <c r="F3715" s="25">
        <v>2098567.0</v>
      </c>
    </row>
    <row r="3716">
      <c r="A3716" s="25">
        <v>43861.64583333333</v>
      </c>
      <c r="B3716" s="25">
        <v>2139.4</v>
      </c>
      <c r="C3716" s="25">
        <v>2144.35</v>
      </c>
      <c r="D3716" s="25">
        <v>2071.6</v>
      </c>
      <c r="E3716" s="25">
        <v>2079.05</v>
      </c>
      <c r="F3716" s="25">
        <v>3287223.0</v>
      </c>
    </row>
    <row r="3717">
      <c r="A3717" s="25">
        <v>43862.70833333333</v>
      </c>
      <c r="B3717" s="25">
        <v>2079.5</v>
      </c>
      <c r="C3717" s="25">
        <v>2179.0</v>
      </c>
      <c r="D3717" s="25">
        <v>2063.6</v>
      </c>
      <c r="E3717" s="25">
        <v>2175.0</v>
      </c>
      <c r="F3717" s="25">
        <v>3127520.0</v>
      </c>
    </row>
    <row r="3718">
      <c r="A3718" s="25">
        <v>43864.64583333333</v>
      </c>
      <c r="B3718" s="25">
        <v>2152.0</v>
      </c>
      <c r="C3718" s="25">
        <v>2194.7</v>
      </c>
      <c r="D3718" s="25">
        <v>2093.2</v>
      </c>
      <c r="E3718" s="25">
        <v>2102.5</v>
      </c>
      <c r="F3718" s="25">
        <v>4728073.0</v>
      </c>
    </row>
    <row r="3719">
      <c r="A3719" s="25">
        <v>43865.64583333333</v>
      </c>
      <c r="B3719" s="25">
        <v>2129.0</v>
      </c>
      <c r="C3719" s="25">
        <v>2136.7</v>
      </c>
      <c r="D3719" s="25">
        <v>2086.6</v>
      </c>
      <c r="E3719" s="25">
        <v>2107.75</v>
      </c>
      <c r="F3719" s="25">
        <v>3509339.0</v>
      </c>
    </row>
    <row r="3720">
      <c r="A3720" s="25">
        <v>43866.64583333333</v>
      </c>
      <c r="B3720" s="25">
        <v>2115.0</v>
      </c>
      <c r="C3720" s="25">
        <v>2156.7</v>
      </c>
      <c r="D3720" s="25">
        <v>2104.3</v>
      </c>
      <c r="E3720" s="25">
        <v>2146.55</v>
      </c>
      <c r="F3720" s="25">
        <v>2439322.0</v>
      </c>
    </row>
    <row r="3721">
      <c r="A3721" s="25">
        <v>43867.64583333333</v>
      </c>
      <c r="B3721" s="25">
        <v>2145.0</v>
      </c>
      <c r="C3721" s="25">
        <v>2174.2</v>
      </c>
      <c r="D3721" s="25">
        <v>2115.5</v>
      </c>
      <c r="E3721" s="25">
        <v>2128.35</v>
      </c>
      <c r="F3721" s="25">
        <v>2640065.0</v>
      </c>
    </row>
    <row r="3722">
      <c r="A3722" s="25">
        <v>43868.64583333333</v>
      </c>
      <c r="B3722" s="25">
        <v>2139.0</v>
      </c>
      <c r="C3722" s="25">
        <v>2151.0</v>
      </c>
      <c r="D3722" s="25">
        <v>2119.0</v>
      </c>
      <c r="E3722" s="25">
        <v>2136.55</v>
      </c>
      <c r="F3722" s="25">
        <v>2083442.0</v>
      </c>
    </row>
    <row r="3723">
      <c r="A3723" s="25">
        <v>43871.64583333333</v>
      </c>
      <c r="B3723" s="25">
        <v>2140.9</v>
      </c>
      <c r="C3723" s="25">
        <v>2167.0</v>
      </c>
      <c r="D3723" s="25">
        <v>2119.0</v>
      </c>
      <c r="E3723" s="25">
        <v>2161.95</v>
      </c>
      <c r="F3723" s="25">
        <v>2383032.0</v>
      </c>
    </row>
    <row r="3724">
      <c r="A3724" s="25">
        <v>43872.64583333333</v>
      </c>
      <c r="B3724" s="25">
        <v>2163.0</v>
      </c>
      <c r="C3724" s="25">
        <v>2174.8</v>
      </c>
      <c r="D3724" s="25">
        <v>2147.6</v>
      </c>
      <c r="E3724" s="25">
        <v>2153.4</v>
      </c>
      <c r="F3724" s="25">
        <v>1335820.0</v>
      </c>
    </row>
    <row r="3725">
      <c r="A3725" s="25">
        <v>43873.64583333333</v>
      </c>
      <c r="B3725" s="25">
        <v>2151.1</v>
      </c>
      <c r="C3725" s="25">
        <v>2185.0</v>
      </c>
      <c r="D3725" s="25">
        <v>2150.0</v>
      </c>
      <c r="E3725" s="25">
        <v>2170.75</v>
      </c>
      <c r="F3725" s="25">
        <v>1620407.0</v>
      </c>
    </row>
    <row r="3726">
      <c r="A3726" s="25">
        <v>43874.64583333333</v>
      </c>
      <c r="B3726" s="25">
        <v>2172.95</v>
      </c>
      <c r="C3726" s="25">
        <v>2197.0</v>
      </c>
      <c r="D3726" s="25">
        <v>2171.0</v>
      </c>
      <c r="E3726" s="25">
        <v>2191.95</v>
      </c>
      <c r="F3726" s="25">
        <v>1645948.0</v>
      </c>
    </row>
    <row r="3727">
      <c r="A3727" s="25">
        <v>43875.64583333333</v>
      </c>
      <c r="B3727" s="25">
        <v>2188.0</v>
      </c>
      <c r="C3727" s="25">
        <v>2212.0</v>
      </c>
      <c r="D3727" s="25">
        <v>2171.0</v>
      </c>
      <c r="E3727" s="25">
        <v>2184.2</v>
      </c>
      <c r="F3727" s="25">
        <v>1500115.0</v>
      </c>
    </row>
    <row r="3728">
      <c r="A3728" s="25">
        <v>43878.64583333333</v>
      </c>
      <c r="B3728" s="25">
        <v>2196.95</v>
      </c>
      <c r="C3728" s="25">
        <v>2217.0</v>
      </c>
      <c r="D3728" s="25">
        <v>2190.2</v>
      </c>
      <c r="E3728" s="25">
        <v>2203.25</v>
      </c>
      <c r="F3728" s="25">
        <v>1774724.0</v>
      </c>
    </row>
    <row r="3729">
      <c r="A3729" s="25">
        <v>43879.64583333333</v>
      </c>
      <c r="B3729" s="25">
        <v>2199.95</v>
      </c>
      <c r="C3729" s="25">
        <v>2221.0</v>
      </c>
      <c r="D3729" s="25">
        <v>2186.05</v>
      </c>
      <c r="E3729" s="25">
        <v>2215.75</v>
      </c>
      <c r="F3729" s="25">
        <v>2486223.0</v>
      </c>
    </row>
    <row r="3730">
      <c r="A3730" s="25">
        <v>43880.64583333333</v>
      </c>
      <c r="B3730" s="25">
        <v>2215.75</v>
      </c>
      <c r="C3730" s="25">
        <v>2230.0</v>
      </c>
      <c r="D3730" s="25">
        <v>2190.5</v>
      </c>
      <c r="E3730" s="25">
        <v>2196.35</v>
      </c>
      <c r="F3730" s="25">
        <v>1760463.0</v>
      </c>
    </row>
    <row r="3731">
      <c r="A3731" s="25">
        <v>43881.64583333333</v>
      </c>
      <c r="B3731" s="25">
        <v>2204.5</v>
      </c>
      <c r="C3731" s="25">
        <v>2214.4</v>
      </c>
      <c r="D3731" s="25">
        <v>2151.25</v>
      </c>
      <c r="E3731" s="25">
        <v>2156.8</v>
      </c>
      <c r="F3731" s="25">
        <v>2317278.0</v>
      </c>
    </row>
    <row r="3732">
      <c r="A3732" s="25">
        <v>43885.64583333333</v>
      </c>
      <c r="B3732" s="25">
        <v>2156.0</v>
      </c>
      <c r="C3732" s="25">
        <v>2178.95</v>
      </c>
      <c r="D3732" s="25">
        <v>2106.7</v>
      </c>
      <c r="E3732" s="25">
        <v>2115.35</v>
      </c>
      <c r="F3732" s="25">
        <v>3092877.0</v>
      </c>
    </row>
    <row r="3733">
      <c r="A3733" s="25">
        <v>43886.64583333333</v>
      </c>
      <c r="B3733" s="25">
        <v>2115.5</v>
      </c>
      <c r="C3733" s="25">
        <v>2176.65</v>
      </c>
      <c r="D3733" s="25">
        <v>2111.0</v>
      </c>
      <c r="E3733" s="25">
        <v>2156.15</v>
      </c>
      <c r="F3733" s="25">
        <v>2674567.0</v>
      </c>
    </row>
    <row r="3734">
      <c r="A3734" s="25">
        <v>43887.64583333333</v>
      </c>
      <c r="B3734" s="25">
        <v>2154.0</v>
      </c>
      <c r="C3734" s="25">
        <v>2163.9</v>
      </c>
      <c r="D3734" s="25">
        <v>2112.95</v>
      </c>
      <c r="E3734" s="25">
        <v>2123.6</v>
      </c>
      <c r="F3734" s="25">
        <v>2686842.0</v>
      </c>
    </row>
    <row r="3735">
      <c r="A3735" s="25">
        <v>43888.64583333333</v>
      </c>
      <c r="B3735" s="25">
        <v>2119.95</v>
      </c>
      <c r="C3735" s="25">
        <v>2119.95</v>
      </c>
      <c r="D3735" s="25">
        <v>2086.2</v>
      </c>
      <c r="E3735" s="25">
        <v>2105.5</v>
      </c>
      <c r="F3735" s="25">
        <v>2349001.0</v>
      </c>
    </row>
    <row r="3736">
      <c r="A3736" s="25">
        <v>43889.64583333333</v>
      </c>
      <c r="B3736" s="25">
        <v>2068.0</v>
      </c>
      <c r="C3736" s="25">
        <v>2069.5</v>
      </c>
      <c r="D3736" s="25">
        <v>1990.0</v>
      </c>
      <c r="E3736" s="25">
        <v>2000.15</v>
      </c>
      <c r="F3736" s="25">
        <v>4298076.0</v>
      </c>
    </row>
    <row r="3737">
      <c r="A3737" s="25">
        <v>43892.64583333333</v>
      </c>
      <c r="B3737" s="25">
        <v>2035.0</v>
      </c>
      <c r="C3737" s="25">
        <v>2053.95</v>
      </c>
      <c r="D3737" s="25">
        <v>1985.7</v>
      </c>
      <c r="E3737" s="25">
        <v>2001.3</v>
      </c>
      <c r="F3737" s="25">
        <v>2667076.0</v>
      </c>
    </row>
    <row r="3738">
      <c r="A3738" s="25">
        <v>43893.64583333333</v>
      </c>
      <c r="B3738" s="25">
        <v>2020.0</v>
      </c>
      <c r="C3738" s="25">
        <v>2060.0</v>
      </c>
      <c r="D3738" s="25">
        <v>2012.0</v>
      </c>
      <c r="E3738" s="25">
        <v>2036.2</v>
      </c>
      <c r="F3738" s="25">
        <v>2757585.0</v>
      </c>
    </row>
    <row r="3739">
      <c r="A3739" s="25">
        <v>43894.64583333333</v>
      </c>
      <c r="B3739" s="25">
        <v>2056.0</v>
      </c>
      <c r="C3739" s="25">
        <v>2094.45</v>
      </c>
      <c r="D3739" s="25">
        <v>2025.0</v>
      </c>
      <c r="E3739" s="25">
        <v>2083.2</v>
      </c>
      <c r="F3739" s="25">
        <v>3237002.0</v>
      </c>
    </row>
    <row r="3740">
      <c r="A3740" s="25">
        <v>43895.64583333333</v>
      </c>
      <c r="B3740" s="25">
        <v>2085.7</v>
      </c>
      <c r="C3740" s="25">
        <v>2147.75</v>
      </c>
      <c r="D3740" s="25">
        <v>2084.05</v>
      </c>
      <c r="E3740" s="25">
        <v>2125.05</v>
      </c>
      <c r="F3740" s="25">
        <v>3937056.0</v>
      </c>
    </row>
    <row r="3741">
      <c r="A3741" s="25">
        <v>43896.64583333333</v>
      </c>
      <c r="B3741" s="25">
        <v>2098.0</v>
      </c>
      <c r="C3741" s="25">
        <v>2123.65</v>
      </c>
      <c r="D3741" s="25">
        <v>2071.6</v>
      </c>
      <c r="E3741" s="25">
        <v>2116.45</v>
      </c>
      <c r="F3741" s="25">
        <v>2595027.0</v>
      </c>
    </row>
    <row r="3742">
      <c r="A3742" s="25">
        <v>43899.64583333333</v>
      </c>
      <c r="B3742" s="25">
        <v>2075.0</v>
      </c>
      <c r="C3742" s="25">
        <v>2079.9</v>
      </c>
      <c r="D3742" s="25">
        <v>1935.0</v>
      </c>
      <c r="E3742" s="25">
        <v>1972.35</v>
      </c>
      <c r="F3742" s="25">
        <v>4940982.0</v>
      </c>
    </row>
    <row r="3743">
      <c r="A3743" s="25">
        <v>43901.64583333333</v>
      </c>
      <c r="B3743" s="25">
        <v>1933.0</v>
      </c>
      <c r="C3743" s="25">
        <v>1987.3</v>
      </c>
      <c r="D3743" s="25">
        <v>1920.0</v>
      </c>
      <c r="E3743" s="25">
        <v>1953.7</v>
      </c>
      <c r="F3743" s="25">
        <v>6796752.0</v>
      </c>
    </row>
    <row r="3744">
      <c r="A3744" s="25">
        <v>43902.64583333333</v>
      </c>
      <c r="B3744" s="25">
        <v>1904.0</v>
      </c>
      <c r="C3744" s="25">
        <v>1908.4</v>
      </c>
      <c r="D3744" s="25">
        <v>1758.35</v>
      </c>
      <c r="E3744" s="25">
        <v>1769.85</v>
      </c>
      <c r="F3744" s="25">
        <v>8728972.0</v>
      </c>
    </row>
    <row r="3745">
      <c r="A3745" s="25">
        <v>43903.64583333333</v>
      </c>
      <c r="B3745" s="25">
        <v>1687.9</v>
      </c>
      <c r="C3745" s="25">
        <v>1820.0</v>
      </c>
      <c r="D3745" s="25">
        <v>1506.05</v>
      </c>
      <c r="E3745" s="25">
        <v>1806.3</v>
      </c>
      <c r="F3745" s="25">
        <v>8029725.0</v>
      </c>
    </row>
    <row r="3746">
      <c r="A3746" s="25">
        <v>43906.64583333333</v>
      </c>
      <c r="B3746" s="25">
        <v>1755.0</v>
      </c>
      <c r="C3746" s="25">
        <v>1842.25</v>
      </c>
      <c r="D3746" s="25">
        <v>1675.85</v>
      </c>
      <c r="E3746" s="25">
        <v>1696.4</v>
      </c>
      <c r="F3746" s="25">
        <v>7844420.0</v>
      </c>
    </row>
    <row r="3747">
      <c r="A3747" s="25">
        <v>43907.64583333333</v>
      </c>
      <c r="B3747" s="25">
        <v>1730.0</v>
      </c>
      <c r="C3747" s="25">
        <v>1731.0</v>
      </c>
      <c r="D3747" s="25">
        <v>1623.15</v>
      </c>
      <c r="E3747" s="25">
        <v>1658.0</v>
      </c>
      <c r="F3747" s="25">
        <v>5713269.0</v>
      </c>
    </row>
    <row r="3748">
      <c r="A3748" s="25">
        <v>43908.64583333333</v>
      </c>
      <c r="B3748" s="25">
        <v>1676.8</v>
      </c>
      <c r="C3748" s="25">
        <v>1713.55</v>
      </c>
      <c r="D3748" s="25">
        <v>1627.75</v>
      </c>
      <c r="E3748" s="25">
        <v>1654.4</v>
      </c>
      <c r="F3748" s="25">
        <v>7259111.0</v>
      </c>
    </row>
    <row r="3749">
      <c r="A3749" s="25">
        <v>43909.64583333333</v>
      </c>
      <c r="B3749" s="25">
        <v>1559.7</v>
      </c>
      <c r="C3749" s="25">
        <v>1685.45</v>
      </c>
      <c r="D3749" s="25">
        <v>1546.75</v>
      </c>
      <c r="E3749" s="25">
        <v>1636.35</v>
      </c>
      <c r="F3749" s="25">
        <v>5135162.0</v>
      </c>
    </row>
    <row r="3750">
      <c r="A3750" s="25">
        <v>43910.64583333333</v>
      </c>
      <c r="B3750" s="25">
        <v>1630.0</v>
      </c>
      <c r="C3750" s="25">
        <v>1869.0</v>
      </c>
      <c r="D3750" s="25">
        <v>1627.0</v>
      </c>
      <c r="E3750" s="25">
        <v>1797.45</v>
      </c>
      <c r="F3750" s="25">
        <v>8547645.0</v>
      </c>
    </row>
    <row r="3751">
      <c r="A3751" s="25">
        <v>43913.64583333333</v>
      </c>
      <c r="B3751" s="25">
        <v>1620.0</v>
      </c>
      <c r="C3751" s="25">
        <v>1750.0</v>
      </c>
      <c r="D3751" s="25">
        <v>1617.75</v>
      </c>
      <c r="E3751" s="25">
        <v>1669.7</v>
      </c>
      <c r="F3751" s="25">
        <v>7003558.0</v>
      </c>
    </row>
    <row r="3752">
      <c r="A3752" s="25">
        <v>43914.64583333333</v>
      </c>
      <c r="B3752" s="25">
        <v>1653.05</v>
      </c>
      <c r="C3752" s="25">
        <v>1770.0</v>
      </c>
      <c r="D3752" s="25">
        <v>1632.85</v>
      </c>
      <c r="E3752" s="25">
        <v>1703.15</v>
      </c>
      <c r="F3752" s="25">
        <v>6354209.0</v>
      </c>
    </row>
    <row r="3753">
      <c r="A3753" s="25">
        <v>43915.64583333333</v>
      </c>
      <c r="B3753" s="25">
        <v>1700.0</v>
      </c>
      <c r="C3753" s="25">
        <v>1810.0</v>
      </c>
      <c r="D3753" s="25">
        <v>1680.0</v>
      </c>
      <c r="E3753" s="25">
        <v>1750.3</v>
      </c>
      <c r="F3753" s="25">
        <v>2765527.0</v>
      </c>
    </row>
    <row r="3754">
      <c r="A3754" s="25">
        <v>43916.64583333333</v>
      </c>
      <c r="B3754" s="25">
        <v>1831.6</v>
      </c>
      <c r="C3754" s="25">
        <v>1832.05</v>
      </c>
      <c r="D3754" s="25">
        <v>1722.55</v>
      </c>
      <c r="E3754" s="25">
        <v>1790.95</v>
      </c>
      <c r="F3754" s="25">
        <v>4556071.0</v>
      </c>
    </row>
    <row r="3755">
      <c r="A3755" s="25">
        <v>43917.64583333333</v>
      </c>
      <c r="B3755" s="25">
        <v>1820.0</v>
      </c>
      <c r="C3755" s="25">
        <v>1850.0</v>
      </c>
      <c r="D3755" s="25">
        <v>1750.4</v>
      </c>
      <c r="E3755" s="25">
        <v>1824.5</v>
      </c>
      <c r="F3755" s="25">
        <v>4331310.0</v>
      </c>
    </row>
    <row r="3756">
      <c r="A3756" s="25">
        <v>43920.64583333333</v>
      </c>
      <c r="B3756" s="25">
        <v>1766.0</v>
      </c>
      <c r="C3756" s="25">
        <v>1905.0</v>
      </c>
      <c r="D3756" s="25">
        <v>1763.55</v>
      </c>
      <c r="E3756" s="25">
        <v>1778.5</v>
      </c>
      <c r="F3756" s="25">
        <v>8513608.0</v>
      </c>
    </row>
    <row r="3757">
      <c r="A3757" s="25">
        <v>43921.64583333333</v>
      </c>
      <c r="B3757" s="25">
        <v>1837.4</v>
      </c>
      <c r="C3757" s="25">
        <v>1855.0</v>
      </c>
      <c r="D3757" s="25">
        <v>1780.0</v>
      </c>
      <c r="E3757" s="25">
        <v>1826.1</v>
      </c>
      <c r="F3757" s="25">
        <v>3927593.0</v>
      </c>
    </row>
    <row r="3758">
      <c r="A3758" s="25">
        <v>43922.64583333333</v>
      </c>
      <c r="B3758" s="25">
        <v>1825.9</v>
      </c>
      <c r="C3758" s="25">
        <v>1834.75</v>
      </c>
      <c r="D3758" s="25">
        <v>1702.0</v>
      </c>
      <c r="E3758" s="25">
        <v>1708.75</v>
      </c>
      <c r="F3758" s="25">
        <v>4941898.0</v>
      </c>
    </row>
    <row r="3759">
      <c r="A3759" s="25">
        <v>43924.64583333333</v>
      </c>
      <c r="B3759" s="25">
        <v>1740.0</v>
      </c>
      <c r="C3759" s="25">
        <v>1740.0</v>
      </c>
      <c r="D3759" s="25">
        <v>1650.0</v>
      </c>
      <c r="E3759" s="25">
        <v>1654.2</v>
      </c>
      <c r="F3759" s="25">
        <v>5735529.0</v>
      </c>
    </row>
    <row r="3760">
      <c r="A3760" s="25">
        <v>43928.64583333333</v>
      </c>
      <c r="B3760" s="25">
        <v>1710.0</v>
      </c>
      <c r="C3760" s="25">
        <v>1785.85</v>
      </c>
      <c r="D3760" s="25">
        <v>1705.0</v>
      </c>
      <c r="E3760" s="25">
        <v>1775.2</v>
      </c>
      <c r="F3760" s="25">
        <v>5427965.0</v>
      </c>
    </row>
    <row r="3761">
      <c r="A3761" s="25">
        <v>43929.64583333333</v>
      </c>
      <c r="B3761" s="25">
        <v>1760.0</v>
      </c>
      <c r="C3761" s="25">
        <v>1806.0</v>
      </c>
      <c r="D3761" s="25">
        <v>1701.0</v>
      </c>
      <c r="E3761" s="25">
        <v>1705.45</v>
      </c>
      <c r="F3761" s="25">
        <v>6285616.0</v>
      </c>
    </row>
    <row r="3762">
      <c r="A3762" s="25">
        <v>43930.64583333333</v>
      </c>
      <c r="B3762" s="25">
        <v>1750.45</v>
      </c>
      <c r="C3762" s="25">
        <v>1778.8</v>
      </c>
      <c r="D3762" s="25">
        <v>1731.2</v>
      </c>
      <c r="E3762" s="25">
        <v>1766.15</v>
      </c>
      <c r="F3762" s="25">
        <v>5307649.0</v>
      </c>
    </row>
    <row r="3763">
      <c r="A3763" s="25">
        <v>43934.64583333333</v>
      </c>
      <c r="B3763" s="25">
        <v>1761.0</v>
      </c>
      <c r="C3763" s="25">
        <v>1787.0</v>
      </c>
      <c r="D3763" s="25">
        <v>1746.0</v>
      </c>
      <c r="E3763" s="25">
        <v>1759.25</v>
      </c>
      <c r="F3763" s="25">
        <v>2990478.0</v>
      </c>
    </row>
    <row r="3764">
      <c r="A3764" s="25">
        <v>43936.64583333333</v>
      </c>
      <c r="B3764" s="25">
        <v>1785.0</v>
      </c>
      <c r="C3764" s="25">
        <v>1812.0</v>
      </c>
      <c r="D3764" s="25">
        <v>1727.8</v>
      </c>
      <c r="E3764" s="25">
        <v>1735.15</v>
      </c>
      <c r="F3764" s="25">
        <v>4761401.0</v>
      </c>
    </row>
    <row r="3765">
      <c r="A3765" s="25">
        <v>43937.64583333333</v>
      </c>
      <c r="B3765" s="25">
        <v>1709.95</v>
      </c>
      <c r="C3765" s="25">
        <v>1764.9</v>
      </c>
      <c r="D3765" s="25">
        <v>1675.05</v>
      </c>
      <c r="E3765" s="25">
        <v>1716.05</v>
      </c>
      <c r="F3765" s="25">
        <v>6245583.0</v>
      </c>
    </row>
    <row r="3766">
      <c r="A3766" s="25">
        <v>43938.64583333333</v>
      </c>
      <c r="B3766" s="25">
        <v>1800.0</v>
      </c>
      <c r="C3766" s="25">
        <v>1851.95</v>
      </c>
      <c r="D3766" s="25">
        <v>1753.0</v>
      </c>
      <c r="E3766" s="25">
        <v>1806.2</v>
      </c>
      <c r="F3766" s="25">
        <v>9895825.0</v>
      </c>
    </row>
    <row r="3767">
      <c r="A3767" s="25">
        <v>43941.64583333333</v>
      </c>
      <c r="B3767" s="25">
        <v>1830.0</v>
      </c>
      <c r="C3767" s="25">
        <v>1830.0</v>
      </c>
      <c r="D3767" s="25">
        <v>1802.5</v>
      </c>
      <c r="E3767" s="25">
        <v>1818.65</v>
      </c>
      <c r="F3767" s="25">
        <v>3244293.0</v>
      </c>
    </row>
    <row r="3768">
      <c r="A3768" s="25">
        <v>43942.64583333333</v>
      </c>
      <c r="B3768" s="25">
        <v>1765.0</v>
      </c>
      <c r="C3768" s="25">
        <v>1794.6</v>
      </c>
      <c r="D3768" s="25">
        <v>1727.7</v>
      </c>
      <c r="E3768" s="25">
        <v>1737.65</v>
      </c>
      <c r="F3768" s="25">
        <v>5122606.0</v>
      </c>
    </row>
    <row r="3769">
      <c r="A3769" s="25">
        <v>43943.64583333333</v>
      </c>
      <c r="B3769" s="25">
        <v>1737.65</v>
      </c>
      <c r="C3769" s="25">
        <v>1790.0</v>
      </c>
      <c r="D3769" s="25">
        <v>1719.15</v>
      </c>
      <c r="E3769" s="25">
        <v>1769.5</v>
      </c>
      <c r="F3769" s="25">
        <v>3829839.0</v>
      </c>
    </row>
    <row r="3770">
      <c r="A3770" s="25">
        <v>43944.64583333333</v>
      </c>
      <c r="B3770" s="25">
        <v>1780.0</v>
      </c>
      <c r="C3770" s="25">
        <v>1900.0</v>
      </c>
      <c r="D3770" s="25">
        <v>1760.85</v>
      </c>
      <c r="E3770" s="25">
        <v>1878.25</v>
      </c>
      <c r="F3770" s="25">
        <v>5934424.0</v>
      </c>
    </row>
    <row r="3771">
      <c r="A3771" s="25">
        <v>43945.64583333333</v>
      </c>
      <c r="B3771" s="25">
        <v>1840.7</v>
      </c>
      <c r="C3771" s="25">
        <v>1851.95</v>
      </c>
      <c r="D3771" s="25">
        <v>1807.8</v>
      </c>
      <c r="E3771" s="25">
        <v>1818.55</v>
      </c>
      <c r="F3771" s="25">
        <v>2987150.0</v>
      </c>
    </row>
    <row r="3772">
      <c r="A3772" s="25">
        <v>43948.64583333333</v>
      </c>
      <c r="B3772" s="25">
        <v>1832.3</v>
      </c>
      <c r="C3772" s="25">
        <v>1875.0</v>
      </c>
      <c r="D3772" s="25">
        <v>1825.0</v>
      </c>
      <c r="E3772" s="25">
        <v>1836.6</v>
      </c>
      <c r="F3772" s="25">
        <v>3374747.0</v>
      </c>
    </row>
    <row r="3773">
      <c r="A3773" s="25">
        <v>43949.64583333333</v>
      </c>
      <c r="B3773" s="25">
        <v>1865.0</v>
      </c>
      <c r="C3773" s="25">
        <v>1868.0</v>
      </c>
      <c r="D3773" s="25">
        <v>1832.6</v>
      </c>
      <c r="E3773" s="25">
        <v>1859.05</v>
      </c>
      <c r="F3773" s="25">
        <v>2678512.0</v>
      </c>
    </row>
    <row r="3774">
      <c r="A3774" s="25">
        <v>43950.64583333333</v>
      </c>
      <c r="B3774" s="25">
        <v>1874.0</v>
      </c>
      <c r="C3774" s="25">
        <v>1912.55</v>
      </c>
      <c r="D3774" s="25">
        <v>1850.05</v>
      </c>
      <c r="E3774" s="25">
        <v>1905.65</v>
      </c>
      <c r="F3774" s="25">
        <v>4241579.0</v>
      </c>
    </row>
    <row r="3775">
      <c r="A3775" s="25">
        <v>43951.64583333333</v>
      </c>
      <c r="B3775" s="25">
        <v>1980.0</v>
      </c>
      <c r="C3775" s="25">
        <v>2032.0</v>
      </c>
      <c r="D3775" s="25">
        <v>1942.2</v>
      </c>
      <c r="E3775" s="25">
        <v>2014.45</v>
      </c>
      <c r="F3775" s="25">
        <v>5915950.0</v>
      </c>
    </row>
    <row r="3776">
      <c r="A3776" s="25">
        <v>43955.64583333333</v>
      </c>
      <c r="B3776" s="25">
        <v>1966.0</v>
      </c>
      <c r="C3776" s="25">
        <v>1966.0</v>
      </c>
      <c r="D3776" s="25">
        <v>1913.65</v>
      </c>
      <c r="E3776" s="25">
        <v>1930.45</v>
      </c>
      <c r="F3776" s="25">
        <v>3729409.0</v>
      </c>
    </row>
    <row r="3777">
      <c r="A3777" s="25">
        <v>43956.64583333333</v>
      </c>
      <c r="B3777" s="25">
        <v>1955.1</v>
      </c>
      <c r="C3777" s="25">
        <v>1977.0</v>
      </c>
      <c r="D3777" s="25">
        <v>1927.0</v>
      </c>
      <c r="E3777" s="25">
        <v>1932.75</v>
      </c>
      <c r="F3777" s="25">
        <v>2905541.0</v>
      </c>
    </row>
    <row r="3778">
      <c r="A3778" s="25">
        <v>43957.64583333333</v>
      </c>
      <c r="B3778" s="25">
        <v>1939.8</v>
      </c>
      <c r="C3778" s="25">
        <v>1953.7</v>
      </c>
      <c r="D3778" s="25">
        <v>1893.6</v>
      </c>
      <c r="E3778" s="25">
        <v>1903.6</v>
      </c>
      <c r="F3778" s="25">
        <v>3517432.0</v>
      </c>
    </row>
    <row r="3779">
      <c r="A3779" s="25">
        <v>43958.64583333333</v>
      </c>
      <c r="B3779" s="25">
        <v>1910.0</v>
      </c>
      <c r="C3779" s="25">
        <v>1934.45</v>
      </c>
      <c r="D3779" s="25">
        <v>1883.35</v>
      </c>
      <c r="E3779" s="25">
        <v>1891.65</v>
      </c>
      <c r="F3779" s="25">
        <v>3166784.0</v>
      </c>
    </row>
    <row r="3780">
      <c r="A3780" s="25">
        <v>43959.64583333333</v>
      </c>
      <c r="B3780" s="25">
        <v>1939.1</v>
      </c>
      <c r="C3780" s="25">
        <v>1939.5</v>
      </c>
      <c r="D3780" s="25">
        <v>1886.25</v>
      </c>
      <c r="E3780" s="25">
        <v>1893.4</v>
      </c>
      <c r="F3780" s="25">
        <v>2686536.0</v>
      </c>
    </row>
    <row r="3781">
      <c r="A3781" s="25">
        <v>43962.64583333333</v>
      </c>
      <c r="B3781" s="25">
        <v>1909.0</v>
      </c>
      <c r="C3781" s="25">
        <v>1951.4</v>
      </c>
      <c r="D3781" s="25">
        <v>1909.0</v>
      </c>
      <c r="E3781" s="25">
        <v>1935.3</v>
      </c>
      <c r="F3781" s="25">
        <v>2449846.0</v>
      </c>
    </row>
    <row r="3782">
      <c r="A3782" s="25">
        <v>43963.64583333333</v>
      </c>
      <c r="B3782" s="25">
        <v>1933.4</v>
      </c>
      <c r="C3782" s="25">
        <v>1956.5</v>
      </c>
      <c r="D3782" s="25">
        <v>1910.25</v>
      </c>
      <c r="E3782" s="25">
        <v>1949.5</v>
      </c>
      <c r="F3782" s="25">
        <v>3256630.0</v>
      </c>
    </row>
    <row r="3783">
      <c r="A3783" s="25">
        <v>43964.64583333333</v>
      </c>
      <c r="B3783" s="25">
        <v>1994.0</v>
      </c>
      <c r="C3783" s="25">
        <v>1994.0</v>
      </c>
      <c r="D3783" s="25">
        <v>1925.65</v>
      </c>
      <c r="E3783" s="25">
        <v>1949.65</v>
      </c>
      <c r="F3783" s="25">
        <v>2656665.0</v>
      </c>
    </row>
    <row r="3784">
      <c r="A3784" s="25">
        <v>43965.64583333333</v>
      </c>
      <c r="B3784" s="25">
        <v>1910.0</v>
      </c>
      <c r="C3784" s="25">
        <v>1923.1</v>
      </c>
      <c r="D3784" s="25">
        <v>1891.1</v>
      </c>
      <c r="E3784" s="25">
        <v>1902.35</v>
      </c>
      <c r="F3784" s="25">
        <v>2263204.0</v>
      </c>
    </row>
    <row r="3785">
      <c r="A3785" s="25">
        <v>43966.64583333333</v>
      </c>
      <c r="B3785" s="25">
        <v>1916.0</v>
      </c>
      <c r="C3785" s="25">
        <v>1917.4</v>
      </c>
      <c r="D3785" s="25">
        <v>1865.2</v>
      </c>
      <c r="E3785" s="25">
        <v>1892.9</v>
      </c>
      <c r="F3785" s="25">
        <v>3173682.0</v>
      </c>
    </row>
    <row r="3786">
      <c r="A3786" s="25">
        <v>43969.64583333333</v>
      </c>
      <c r="B3786" s="25">
        <v>1907.0</v>
      </c>
      <c r="C3786" s="25">
        <v>1952.95</v>
      </c>
      <c r="D3786" s="25">
        <v>1872.1</v>
      </c>
      <c r="E3786" s="25">
        <v>1945.6</v>
      </c>
      <c r="F3786" s="25">
        <v>3727896.0</v>
      </c>
    </row>
    <row r="3787">
      <c r="A3787" s="25">
        <v>43970.64583333333</v>
      </c>
      <c r="B3787" s="25">
        <v>1903.0</v>
      </c>
      <c r="C3787" s="25">
        <v>1966.45</v>
      </c>
      <c r="D3787" s="25">
        <v>1903.0</v>
      </c>
      <c r="E3787" s="25">
        <v>1948.65</v>
      </c>
      <c r="F3787" s="25">
        <v>3198699.0</v>
      </c>
    </row>
    <row r="3788">
      <c r="A3788" s="25">
        <v>43971.64583333333</v>
      </c>
      <c r="B3788" s="25">
        <v>1950.0</v>
      </c>
      <c r="C3788" s="25">
        <v>1962.9</v>
      </c>
      <c r="D3788" s="25">
        <v>1931.7</v>
      </c>
      <c r="E3788" s="25">
        <v>1953.6</v>
      </c>
      <c r="F3788" s="25">
        <v>2778505.0</v>
      </c>
    </row>
    <row r="3789">
      <c r="A3789" s="25">
        <v>43972.64583333333</v>
      </c>
      <c r="B3789" s="25">
        <v>1946.0</v>
      </c>
      <c r="C3789" s="25">
        <v>1998.0</v>
      </c>
      <c r="D3789" s="25">
        <v>1941.15</v>
      </c>
      <c r="E3789" s="25">
        <v>1991.2</v>
      </c>
      <c r="F3789" s="25">
        <v>3400925.0</v>
      </c>
    </row>
    <row r="3790">
      <c r="A3790" s="25">
        <v>43973.64583333333</v>
      </c>
      <c r="B3790" s="25">
        <v>1977.1</v>
      </c>
      <c r="C3790" s="25">
        <v>2032.0</v>
      </c>
      <c r="D3790" s="25">
        <v>1961.25</v>
      </c>
      <c r="E3790" s="25">
        <v>2020.35</v>
      </c>
      <c r="F3790" s="25">
        <v>3663422.0</v>
      </c>
    </row>
    <row r="3791">
      <c r="A3791" s="25">
        <v>43977.64583333333</v>
      </c>
      <c r="B3791" s="25">
        <v>2015.0</v>
      </c>
      <c r="C3791" s="25">
        <v>2024.0</v>
      </c>
      <c r="D3791" s="25">
        <v>1925.0</v>
      </c>
      <c r="E3791" s="25">
        <v>1943.0</v>
      </c>
      <c r="F3791" s="25">
        <v>4575512.0</v>
      </c>
    </row>
    <row r="3792">
      <c r="A3792" s="25">
        <v>43978.64583333333</v>
      </c>
      <c r="B3792" s="25">
        <v>1959.0</v>
      </c>
      <c r="C3792" s="25">
        <v>2010.0</v>
      </c>
      <c r="D3792" s="25">
        <v>1941.25</v>
      </c>
      <c r="E3792" s="25">
        <v>2005.3</v>
      </c>
      <c r="F3792" s="25">
        <v>3482185.0</v>
      </c>
    </row>
    <row r="3793">
      <c r="A3793" s="25">
        <v>43979.64583333333</v>
      </c>
      <c r="B3793" s="25">
        <v>1988.5</v>
      </c>
      <c r="C3793" s="25">
        <v>2014.0</v>
      </c>
      <c r="D3793" s="25">
        <v>1971.3</v>
      </c>
      <c r="E3793" s="25">
        <v>2004.3</v>
      </c>
      <c r="F3793" s="25">
        <v>3475788.0</v>
      </c>
    </row>
    <row r="3794">
      <c r="A3794" s="25">
        <v>43980.64583333333</v>
      </c>
      <c r="B3794" s="25">
        <v>1982.0</v>
      </c>
      <c r="C3794" s="25">
        <v>2002.65</v>
      </c>
      <c r="D3794" s="25">
        <v>1962.4</v>
      </c>
      <c r="E3794" s="25">
        <v>1972.35</v>
      </c>
      <c r="F3794" s="25">
        <v>7237765.0</v>
      </c>
    </row>
    <row r="3795">
      <c r="A3795" s="25">
        <v>43983.64583333333</v>
      </c>
      <c r="B3795" s="25">
        <v>1990.0</v>
      </c>
      <c r="C3795" s="25">
        <v>2060.0</v>
      </c>
      <c r="D3795" s="25">
        <v>1981.1</v>
      </c>
      <c r="E3795" s="25">
        <v>2045.25</v>
      </c>
      <c r="F3795" s="25">
        <v>3747850.0</v>
      </c>
    </row>
    <row r="3796">
      <c r="A3796" s="25">
        <v>43984.64583333333</v>
      </c>
      <c r="B3796" s="25">
        <v>2060.2</v>
      </c>
      <c r="C3796" s="25">
        <v>2081.0</v>
      </c>
      <c r="D3796" s="25">
        <v>2040.05</v>
      </c>
      <c r="E3796" s="25">
        <v>2047.15</v>
      </c>
      <c r="F3796" s="25">
        <v>2443886.0</v>
      </c>
    </row>
    <row r="3797">
      <c r="A3797" s="25">
        <v>43985.64583333333</v>
      </c>
      <c r="B3797" s="25">
        <v>2051.85</v>
      </c>
      <c r="C3797" s="25">
        <v>2063.75</v>
      </c>
      <c r="D3797" s="25">
        <v>2020.0</v>
      </c>
      <c r="E3797" s="25">
        <v>2046.15</v>
      </c>
      <c r="F3797" s="25">
        <v>3699799.0</v>
      </c>
    </row>
    <row r="3798">
      <c r="A3798" s="25">
        <v>43986.64583333333</v>
      </c>
      <c r="B3798" s="25">
        <v>2046.75</v>
      </c>
      <c r="C3798" s="25">
        <v>2100.0</v>
      </c>
      <c r="D3798" s="25">
        <v>2046.75</v>
      </c>
      <c r="E3798" s="25">
        <v>2091.55</v>
      </c>
      <c r="F3798" s="25">
        <v>4048593.0</v>
      </c>
    </row>
    <row r="3799">
      <c r="A3799" s="25">
        <v>43987.64583333333</v>
      </c>
      <c r="B3799" s="25">
        <v>2091.6</v>
      </c>
      <c r="C3799" s="25">
        <v>2098.0</v>
      </c>
      <c r="D3799" s="25">
        <v>2040.3</v>
      </c>
      <c r="E3799" s="25">
        <v>2048.25</v>
      </c>
      <c r="F3799" s="25">
        <v>3573299.0</v>
      </c>
    </row>
    <row r="3800">
      <c r="A3800" s="25">
        <v>43990.64583333333</v>
      </c>
      <c r="B3800" s="25">
        <v>2078.25</v>
      </c>
      <c r="C3800" s="25">
        <v>2095.0</v>
      </c>
      <c r="D3800" s="25">
        <v>2062.1</v>
      </c>
      <c r="E3800" s="25">
        <v>2071.75</v>
      </c>
      <c r="F3800" s="25">
        <v>2957841.0</v>
      </c>
    </row>
    <row r="3801">
      <c r="A3801" s="25">
        <v>43991.64583333333</v>
      </c>
      <c r="B3801" s="25">
        <v>2063.1</v>
      </c>
      <c r="C3801" s="25">
        <v>2095.5</v>
      </c>
      <c r="D3801" s="25">
        <v>2060.25</v>
      </c>
      <c r="E3801" s="25">
        <v>2072.05</v>
      </c>
      <c r="F3801" s="25">
        <v>2910152.0</v>
      </c>
    </row>
    <row r="3802">
      <c r="A3802" s="25">
        <v>43992.64583333333</v>
      </c>
      <c r="B3802" s="25">
        <v>2077.05</v>
      </c>
      <c r="C3802" s="25">
        <v>2132.0</v>
      </c>
      <c r="D3802" s="25">
        <v>2073.5</v>
      </c>
      <c r="E3802" s="25">
        <v>2108.75</v>
      </c>
      <c r="F3802" s="25">
        <v>5168494.0</v>
      </c>
    </row>
    <row r="3803">
      <c r="A3803" s="25">
        <v>43993.64583333333</v>
      </c>
      <c r="B3803" s="25">
        <v>2100.0</v>
      </c>
      <c r="C3803" s="25">
        <v>2105.0</v>
      </c>
      <c r="D3803" s="25">
        <v>2061.8</v>
      </c>
      <c r="E3803" s="25">
        <v>2067.65</v>
      </c>
      <c r="F3803" s="25">
        <v>2269569.0</v>
      </c>
    </row>
    <row r="3804">
      <c r="A3804" s="25">
        <v>43994.64583333333</v>
      </c>
      <c r="B3804" s="25">
        <v>2011.2</v>
      </c>
      <c r="C3804" s="25">
        <v>2049.2</v>
      </c>
      <c r="D3804" s="25">
        <v>2011.0</v>
      </c>
      <c r="E3804" s="25">
        <v>2039.5</v>
      </c>
      <c r="F3804" s="25">
        <v>2842757.0</v>
      </c>
    </row>
    <row r="3805">
      <c r="A3805" s="25">
        <v>43997.64583333333</v>
      </c>
      <c r="B3805" s="25">
        <v>2039.1</v>
      </c>
      <c r="C3805" s="25">
        <v>2059.0</v>
      </c>
      <c r="D3805" s="25">
        <v>2000.95</v>
      </c>
      <c r="E3805" s="25">
        <v>2029.9</v>
      </c>
      <c r="F3805" s="25">
        <v>2399028.0</v>
      </c>
    </row>
    <row r="3806">
      <c r="A3806" s="25">
        <v>43998.64583333333</v>
      </c>
      <c r="B3806" s="25">
        <v>2065.0</v>
      </c>
      <c r="C3806" s="25">
        <v>2073.95</v>
      </c>
      <c r="D3806" s="25">
        <v>2031.0</v>
      </c>
      <c r="E3806" s="25">
        <v>2045.8</v>
      </c>
      <c r="F3806" s="25">
        <v>2146528.0</v>
      </c>
    </row>
    <row r="3807">
      <c r="A3807" s="25">
        <v>43999.64583333333</v>
      </c>
      <c r="B3807" s="25">
        <v>2046.0</v>
      </c>
      <c r="C3807" s="25">
        <v>2058.85</v>
      </c>
      <c r="D3807" s="25">
        <v>2026.55</v>
      </c>
      <c r="E3807" s="25">
        <v>2047.8</v>
      </c>
      <c r="F3807" s="25">
        <v>2703546.0</v>
      </c>
    </row>
    <row r="3808">
      <c r="A3808" s="25">
        <v>44000.64583333333</v>
      </c>
      <c r="B3808" s="25">
        <v>2045.0</v>
      </c>
      <c r="C3808" s="25">
        <v>2059.2</v>
      </c>
      <c r="D3808" s="25">
        <v>2025.2</v>
      </c>
      <c r="E3808" s="25">
        <v>2038.1</v>
      </c>
      <c r="F3808" s="25">
        <v>1944471.0</v>
      </c>
    </row>
    <row r="3809">
      <c r="A3809" s="25">
        <v>44001.64583333333</v>
      </c>
      <c r="B3809" s="25">
        <v>2042.0</v>
      </c>
      <c r="C3809" s="25">
        <v>2090.0</v>
      </c>
      <c r="D3809" s="25">
        <v>2032.0</v>
      </c>
      <c r="E3809" s="25">
        <v>2044.6</v>
      </c>
      <c r="F3809" s="25">
        <v>5681784.0</v>
      </c>
    </row>
    <row r="3810">
      <c r="A3810" s="25">
        <v>44004.64583333333</v>
      </c>
      <c r="B3810" s="25">
        <v>2050.0</v>
      </c>
      <c r="C3810" s="25">
        <v>2052.25</v>
      </c>
      <c r="D3810" s="25">
        <v>2019.15</v>
      </c>
      <c r="E3810" s="25">
        <v>2027.95</v>
      </c>
      <c r="F3810" s="25">
        <v>3196138.0</v>
      </c>
    </row>
    <row r="3811">
      <c r="A3811" s="25">
        <v>44005.64583333333</v>
      </c>
      <c r="B3811" s="25">
        <v>2027.0</v>
      </c>
      <c r="C3811" s="25">
        <v>2044.0</v>
      </c>
      <c r="D3811" s="25">
        <v>2010.0</v>
      </c>
      <c r="E3811" s="25">
        <v>2035.3</v>
      </c>
      <c r="F3811" s="25">
        <v>4206122.0</v>
      </c>
    </row>
    <row r="3812">
      <c r="A3812" s="25">
        <v>44006.64583333333</v>
      </c>
      <c r="B3812" s="25">
        <v>2034.0</v>
      </c>
      <c r="C3812" s="25">
        <v>2064.25</v>
      </c>
      <c r="D3812" s="25">
        <v>2031.6</v>
      </c>
      <c r="E3812" s="25">
        <v>2042.2</v>
      </c>
      <c r="F3812" s="25">
        <v>2560951.0</v>
      </c>
    </row>
    <row r="3813">
      <c r="A3813" s="25">
        <v>44007.64583333333</v>
      </c>
      <c r="B3813" s="25">
        <v>2035.0</v>
      </c>
      <c r="C3813" s="25">
        <v>2060.0</v>
      </c>
      <c r="D3813" s="25">
        <v>2009.25</v>
      </c>
      <c r="E3813" s="25">
        <v>2016.1</v>
      </c>
      <c r="F3813" s="25">
        <v>3044089.0</v>
      </c>
    </row>
    <row r="3814">
      <c r="A3814" s="25">
        <v>44008.64583333333</v>
      </c>
      <c r="B3814" s="25">
        <v>2025.0</v>
      </c>
      <c r="C3814" s="25">
        <v>2132.0</v>
      </c>
      <c r="D3814" s="25">
        <v>2019.95</v>
      </c>
      <c r="E3814" s="25">
        <v>2118.85</v>
      </c>
      <c r="F3814" s="25">
        <v>6300912.0</v>
      </c>
    </row>
    <row r="3815">
      <c r="A3815" s="25">
        <v>44011.64583333333</v>
      </c>
      <c r="B3815" s="25">
        <v>2108.0</v>
      </c>
      <c r="C3815" s="25">
        <v>2127.6</v>
      </c>
      <c r="D3815" s="25">
        <v>2091.3</v>
      </c>
      <c r="E3815" s="25">
        <v>2101.65</v>
      </c>
      <c r="F3815" s="25">
        <v>3076344.0</v>
      </c>
    </row>
    <row r="3816">
      <c r="A3816" s="25">
        <v>44012.64583333333</v>
      </c>
      <c r="B3816" s="25">
        <v>2100.0</v>
      </c>
      <c r="C3816" s="25">
        <v>2111.9</v>
      </c>
      <c r="D3816" s="25">
        <v>2075.05</v>
      </c>
      <c r="E3816" s="25">
        <v>2082.15</v>
      </c>
      <c r="F3816" s="25">
        <v>3071877.0</v>
      </c>
    </row>
    <row r="3817">
      <c r="A3817" s="25">
        <v>44013.64583333333</v>
      </c>
      <c r="B3817" s="25">
        <v>2079.7</v>
      </c>
      <c r="C3817" s="25">
        <v>2113.95</v>
      </c>
      <c r="D3817" s="25">
        <v>2079.5</v>
      </c>
      <c r="E3817" s="25">
        <v>2092.05</v>
      </c>
      <c r="F3817" s="25">
        <v>2503466.0</v>
      </c>
    </row>
    <row r="3818">
      <c r="A3818" s="25">
        <v>44014.64583333333</v>
      </c>
      <c r="B3818" s="25">
        <v>2102.0</v>
      </c>
      <c r="C3818" s="25">
        <v>2165.0</v>
      </c>
      <c r="D3818" s="25">
        <v>2098.0</v>
      </c>
      <c r="E3818" s="25">
        <v>2157.15</v>
      </c>
      <c r="F3818" s="25">
        <v>3758709.0</v>
      </c>
    </row>
    <row r="3819">
      <c r="A3819" s="25">
        <v>44015.64583333333</v>
      </c>
      <c r="B3819" s="25">
        <v>2163.65</v>
      </c>
      <c r="C3819" s="25">
        <v>2205.0</v>
      </c>
      <c r="D3819" s="25">
        <v>2160.25</v>
      </c>
      <c r="E3819" s="25">
        <v>2199.65</v>
      </c>
      <c r="F3819" s="25">
        <v>4185215.0</v>
      </c>
    </row>
    <row r="3820">
      <c r="A3820" s="25">
        <v>44018.64583333333</v>
      </c>
      <c r="B3820" s="25">
        <v>2205.0</v>
      </c>
      <c r="C3820" s="25">
        <v>2269.9</v>
      </c>
      <c r="D3820" s="25">
        <v>2205.0</v>
      </c>
      <c r="E3820" s="25">
        <v>2263.2</v>
      </c>
      <c r="F3820" s="25">
        <v>5190366.0</v>
      </c>
    </row>
    <row r="3821">
      <c r="A3821" s="25">
        <v>44019.64583333333</v>
      </c>
      <c r="B3821" s="25">
        <v>2275.0</v>
      </c>
      <c r="C3821" s="25">
        <v>2302.7</v>
      </c>
      <c r="D3821" s="25">
        <v>2232.15</v>
      </c>
      <c r="E3821" s="25">
        <v>2269.9</v>
      </c>
      <c r="F3821" s="25">
        <v>5630081.0</v>
      </c>
    </row>
    <row r="3822">
      <c r="A3822" s="25">
        <v>44020.64583333333</v>
      </c>
      <c r="B3822" s="25">
        <v>2270.0</v>
      </c>
      <c r="C3822" s="25">
        <v>2274.4</v>
      </c>
      <c r="D3822" s="25">
        <v>2207.6</v>
      </c>
      <c r="E3822" s="25">
        <v>2218.9</v>
      </c>
      <c r="F3822" s="25">
        <v>2793674.0</v>
      </c>
    </row>
    <row r="3823">
      <c r="A3823" s="25">
        <v>44021.64583333333</v>
      </c>
      <c r="B3823" s="25">
        <v>2229.0</v>
      </c>
      <c r="C3823" s="25">
        <v>2244.5</v>
      </c>
      <c r="D3823" s="25">
        <v>2191.05</v>
      </c>
      <c r="E3823" s="25">
        <v>2204.35</v>
      </c>
      <c r="F3823" s="25">
        <v>3443998.0</v>
      </c>
    </row>
    <row r="3824">
      <c r="A3824" s="25">
        <v>44022.64583333333</v>
      </c>
      <c r="B3824" s="25">
        <v>2205.25</v>
      </c>
      <c r="C3824" s="25">
        <v>2249.85</v>
      </c>
      <c r="D3824" s="25">
        <v>2176.0</v>
      </c>
      <c r="E3824" s="25">
        <v>2222.35</v>
      </c>
      <c r="F3824" s="25">
        <v>9610327.0</v>
      </c>
    </row>
    <row r="3825">
      <c r="A3825" s="25">
        <v>44025.64583333333</v>
      </c>
      <c r="B3825" s="25">
        <v>2220.0</v>
      </c>
      <c r="C3825" s="25">
        <v>2244.95</v>
      </c>
      <c r="D3825" s="25">
        <v>2210.0</v>
      </c>
      <c r="E3825" s="25">
        <v>2220.0</v>
      </c>
      <c r="F3825" s="25">
        <v>2963525.0</v>
      </c>
    </row>
    <row r="3826">
      <c r="A3826" s="25">
        <v>44026.64583333333</v>
      </c>
      <c r="B3826" s="25">
        <v>2210.0</v>
      </c>
      <c r="C3826" s="25">
        <v>2239.0</v>
      </c>
      <c r="D3826" s="25">
        <v>2165.0</v>
      </c>
      <c r="E3826" s="25">
        <v>2171.95</v>
      </c>
      <c r="F3826" s="25">
        <v>2976749.0</v>
      </c>
    </row>
    <row r="3827">
      <c r="A3827" s="25">
        <v>44027.64583333333</v>
      </c>
      <c r="B3827" s="25">
        <v>2185.0</v>
      </c>
      <c r="C3827" s="25">
        <v>2260.0</v>
      </c>
      <c r="D3827" s="25">
        <v>2181.1</v>
      </c>
      <c r="E3827" s="25">
        <v>2233.9</v>
      </c>
      <c r="F3827" s="25">
        <v>5569322.0</v>
      </c>
    </row>
    <row r="3828">
      <c r="A3828" s="25">
        <v>44028.64583333333</v>
      </c>
      <c r="B3828" s="25">
        <v>2244.0</v>
      </c>
      <c r="C3828" s="25">
        <v>2333.0</v>
      </c>
      <c r="D3828" s="25">
        <v>2220.1</v>
      </c>
      <c r="E3828" s="25">
        <v>2234.75</v>
      </c>
      <c r="F3828" s="25">
        <v>8582120.0</v>
      </c>
    </row>
    <row r="3829">
      <c r="A3829" s="25">
        <v>44029.64583333333</v>
      </c>
      <c r="B3829" s="25">
        <v>2237.0</v>
      </c>
      <c r="C3829" s="25">
        <v>2243.9</v>
      </c>
      <c r="D3829" s="25">
        <v>2190.05</v>
      </c>
      <c r="E3829" s="25">
        <v>2200.75</v>
      </c>
      <c r="F3829" s="25">
        <v>4509143.0</v>
      </c>
    </row>
    <row r="3830">
      <c r="A3830" s="25">
        <v>44032.64583333333</v>
      </c>
      <c r="B3830" s="25">
        <v>2201.0</v>
      </c>
      <c r="C3830" s="25">
        <v>2226.9</v>
      </c>
      <c r="D3830" s="25">
        <v>2190.8</v>
      </c>
      <c r="E3830" s="25">
        <v>2207.9</v>
      </c>
      <c r="F3830" s="25">
        <v>2952719.0</v>
      </c>
    </row>
    <row r="3831">
      <c r="A3831" s="25">
        <v>44033.64583333333</v>
      </c>
      <c r="B3831" s="25">
        <v>2230.0</v>
      </c>
      <c r="C3831" s="25">
        <v>2238.65</v>
      </c>
      <c r="D3831" s="25">
        <v>2201.15</v>
      </c>
      <c r="E3831" s="25">
        <v>2225.05</v>
      </c>
      <c r="F3831" s="25">
        <v>2665386.0</v>
      </c>
    </row>
    <row r="3832">
      <c r="A3832" s="25">
        <v>44034.64583333333</v>
      </c>
      <c r="B3832" s="25">
        <v>2231.0</v>
      </c>
      <c r="C3832" s="25">
        <v>2231.0</v>
      </c>
      <c r="D3832" s="25">
        <v>2184.2</v>
      </c>
      <c r="E3832" s="25">
        <v>2190.95</v>
      </c>
      <c r="F3832" s="25">
        <v>2861698.0</v>
      </c>
    </row>
    <row r="3833">
      <c r="A3833" s="25">
        <v>44035.64583333333</v>
      </c>
      <c r="B3833" s="25">
        <v>2190.95</v>
      </c>
      <c r="C3833" s="25">
        <v>2190.95</v>
      </c>
      <c r="D3833" s="25">
        <v>2163.0</v>
      </c>
      <c r="E3833" s="25">
        <v>2171.2</v>
      </c>
      <c r="F3833" s="25">
        <v>2265791.0</v>
      </c>
    </row>
    <row r="3834">
      <c r="A3834" s="25">
        <v>44036.64583333333</v>
      </c>
      <c r="B3834" s="25">
        <v>2154.5</v>
      </c>
      <c r="C3834" s="25">
        <v>2163.0</v>
      </c>
      <c r="D3834" s="25">
        <v>2125.1</v>
      </c>
      <c r="E3834" s="25">
        <v>2157.4</v>
      </c>
      <c r="F3834" s="25">
        <v>3665123.0</v>
      </c>
    </row>
    <row r="3835">
      <c r="A3835" s="25">
        <v>44039.64583333333</v>
      </c>
      <c r="B3835" s="25">
        <v>2165.0</v>
      </c>
      <c r="C3835" s="25">
        <v>2215.0</v>
      </c>
      <c r="D3835" s="25">
        <v>2163.5</v>
      </c>
      <c r="E3835" s="25">
        <v>2206.8</v>
      </c>
      <c r="F3835" s="25">
        <v>4248837.0</v>
      </c>
    </row>
    <row r="3836">
      <c r="A3836" s="25">
        <v>44040.64583333333</v>
      </c>
      <c r="B3836" s="25">
        <v>2215.0</v>
      </c>
      <c r="C3836" s="25">
        <v>2320.0</v>
      </c>
      <c r="D3836" s="25">
        <v>2215.0</v>
      </c>
      <c r="E3836" s="25">
        <v>2309.75</v>
      </c>
      <c r="F3836" s="25">
        <v>8092458.0</v>
      </c>
    </row>
    <row r="3837">
      <c r="A3837" s="25">
        <v>44041.64583333333</v>
      </c>
      <c r="B3837" s="25">
        <v>2292.0</v>
      </c>
      <c r="C3837" s="25">
        <v>2342.0</v>
      </c>
      <c r="D3837" s="25">
        <v>2246.05</v>
      </c>
      <c r="E3837" s="25">
        <v>2276.05</v>
      </c>
      <c r="F3837" s="25">
        <v>6090440.0</v>
      </c>
    </row>
    <row r="3838">
      <c r="A3838" s="25">
        <v>44042.64583333333</v>
      </c>
      <c r="B3838" s="25">
        <v>2285.9</v>
      </c>
      <c r="C3838" s="25">
        <v>2358.0</v>
      </c>
      <c r="D3838" s="25">
        <v>2272.25</v>
      </c>
      <c r="E3838" s="25">
        <v>2279.5</v>
      </c>
      <c r="F3838" s="25">
        <v>7098913.0</v>
      </c>
    </row>
    <row r="3839">
      <c r="A3839" s="25">
        <v>44043.64583333333</v>
      </c>
      <c r="B3839" s="25">
        <v>2303.15</v>
      </c>
      <c r="C3839" s="25">
        <v>2334.8</v>
      </c>
      <c r="D3839" s="25">
        <v>2257.45</v>
      </c>
      <c r="E3839" s="25">
        <v>2281.4</v>
      </c>
      <c r="F3839" s="25">
        <v>4723290.0</v>
      </c>
    </row>
    <row r="3840">
      <c r="A3840" s="25">
        <v>44046.64583333333</v>
      </c>
      <c r="B3840" s="25">
        <v>2290.45</v>
      </c>
      <c r="C3840" s="25">
        <v>2303.85</v>
      </c>
      <c r="D3840" s="25">
        <v>2230.7</v>
      </c>
      <c r="E3840" s="25">
        <v>2254.15</v>
      </c>
      <c r="F3840" s="25">
        <v>4012445.0</v>
      </c>
    </row>
    <row r="3841">
      <c r="A3841" s="25">
        <v>44047.64583333333</v>
      </c>
      <c r="B3841" s="25">
        <v>2259.95</v>
      </c>
      <c r="C3841" s="25">
        <v>2269.65</v>
      </c>
      <c r="D3841" s="25">
        <v>2225.05</v>
      </c>
      <c r="E3841" s="25">
        <v>2249.7</v>
      </c>
      <c r="F3841" s="25">
        <v>2927953.0</v>
      </c>
    </row>
    <row r="3842">
      <c r="A3842" s="25">
        <v>44048.64583333333</v>
      </c>
      <c r="B3842" s="25">
        <v>2260.0</v>
      </c>
      <c r="C3842" s="25">
        <v>2300.0</v>
      </c>
      <c r="D3842" s="25">
        <v>2253.0</v>
      </c>
      <c r="E3842" s="25">
        <v>2259.5</v>
      </c>
      <c r="F3842" s="25">
        <v>3800641.0</v>
      </c>
    </row>
    <row r="3843">
      <c r="A3843" s="25">
        <v>44049.64583333333</v>
      </c>
      <c r="B3843" s="25">
        <v>2275.0</v>
      </c>
      <c r="C3843" s="25">
        <v>2319.5</v>
      </c>
      <c r="D3843" s="25">
        <v>2265.35</v>
      </c>
      <c r="E3843" s="25">
        <v>2308.1</v>
      </c>
      <c r="F3843" s="25">
        <v>4748348.0</v>
      </c>
    </row>
    <row r="3844">
      <c r="A3844" s="25">
        <v>44050.64583333333</v>
      </c>
      <c r="B3844" s="25">
        <v>2308.0</v>
      </c>
      <c r="C3844" s="25">
        <v>2328.0</v>
      </c>
      <c r="D3844" s="25">
        <v>2287.0</v>
      </c>
      <c r="E3844" s="25">
        <v>2295.35</v>
      </c>
      <c r="F3844" s="25">
        <v>3165495.0</v>
      </c>
    </row>
    <row r="3845">
      <c r="A3845" s="25">
        <v>44053.64583333333</v>
      </c>
      <c r="B3845" s="25">
        <v>2318.0</v>
      </c>
      <c r="C3845" s="25">
        <v>2325.0</v>
      </c>
      <c r="D3845" s="25">
        <v>2276.05</v>
      </c>
      <c r="E3845" s="25">
        <v>2282.8</v>
      </c>
      <c r="F3845" s="25">
        <v>2929385.0</v>
      </c>
    </row>
    <row r="3846">
      <c r="A3846" s="25">
        <v>44054.64583333333</v>
      </c>
      <c r="B3846" s="25">
        <v>2283.0</v>
      </c>
      <c r="C3846" s="25">
        <v>2312.0</v>
      </c>
      <c r="D3846" s="25">
        <v>2275.6</v>
      </c>
      <c r="E3846" s="25">
        <v>2279.9</v>
      </c>
      <c r="F3846" s="25">
        <v>2774509.0</v>
      </c>
    </row>
    <row r="3847">
      <c r="A3847" s="25">
        <v>44055.64583333333</v>
      </c>
      <c r="B3847" s="25">
        <v>2288.35</v>
      </c>
      <c r="C3847" s="25">
        <v>2296.4</v>
      </c>
      <c r="D3847" s="25">
        <v>2246.55</v>
      </c>
      <c r="E3847" s="25">
        <v>2257.35</v>
      </c>
      <c r="F3847" s="25">
        <v>3415766.0</v>
      </c>
    </row>
    <row r="3848">
      <c r="A3848" s="25">
        <v>44056.64583333333</v>
      </c>
      <c r="B3848" s="25">
        <v>2273.0</v>
      </c>
      <c r="C3848" s="25">
        <v>2300.0</v>
      </c>
      <c r="D3848" s="25">
        <v>2250.5</v>
      </c>
      <c r="E3848" s="25">
        <v>2254.45</v>
      </c>
      <c r="F3848" s="25">
        <v>2695682.0</v>
      </c>
    </row>
    <row r="3849">
      <c r="A3849" s="25">
        <v>44057.64583333333</v>
      </c>
      <c r="B3849" s="25">
        <v>2277.0</v>
      </c>
      <c r="C3849" s="25">
        <v>2281.3</v>
      </c>
      <c r="D3849" s="25">
        <v>2233.1</v>
      </c>
      <c r="E3849" s="25">
        <v>2242.15</v>
      </c>
      <c r="F3849" s="25">
        <v>2270405.0</v>
      </c>
    </row>
    <row r="3850">
      <c r="A3850" s="25">
        <v>44060.64583333333</v>
      </c>
      <c r="B3850" s="25">
        <v>2263.0</v>
      </c>
      <c r="C3850" s="25">
        <v>2270.0</v>
      </c>
      <c r="D3850" s="25">
        <v>2238.25</v>
      </c>
      <c r="E3850" s="25">
        <v>2253.4</v>
      </c>
      <c r="F3850" s="25">
        <v>2625670.0</v>
      </c>
    </row>
    <row r="3851">
      <c r="A3851" s="25">
        <v>44061.64583333333</v>
      </c>
      <c r="B3851" s="25">
        <v>2262.8</v>
      </c>
      <c r="C3851" s="25">
        <v>2289.0</v>
      </c>
      <c r="D3851" s="25">
        <v>2248.3</v>
      </c>
      <c r="E3851" s="25">
        <v>2269.75</v>
      </c>
      <c r="F3851" s="25">
        <v>3493411.0</v>
      </c>
    </row>
    <row r="3852">
      <c r="A3852" s="25">
        <v>44062.64583333333</v>
      </c>
      <c r="B3852" s="25">
        <v>2276.35</v>
      </c>
      <c r="C3852" s="25">
        <v>2284.6</v>
      </c>
      <c r="D3852" s="25">
        <v>2252.5</v>
      </c>
      <c r="E3852" s="25">
        <v>2256.6</v>
      </c>
      <c r="F3852" s="25">
        <v>2843007.0</v>
      </c>
    </row>
    <row r="3853">
      <c r="A3853" s="25">
        <v>44063.64583333333</v>
      </c>
      <c r="B3853" s="25">
        <v>2257.0</v>
      </c>
      <c r="C3853" s="25">
        <v>2276.55</v>
      </c>
      <c r="D3853" s="25">
        <v>2240.05</v>
      </c>
      <c r="E3853" s="25">
        <v>2252.85</v>
      </c>
      <c r="F3853" s="25">
        <v>2895265.0</v>
      </c>
    </row>
    <row r="3854">
      <c r="A3854" s="25">
        <v>44064.64583333333</v>
      </c>
      <c r="B3854" s="25">
        <v>2260.0</v>
      </c>
      <c r="C3854" s="25">
        <v>2271.0</v>
      </c>
      <c r="D3854" s="25">
        <v>2241.05</v>
      </c>
      <c r="E3854" s="25">
        <v>2248.6</v>
      </c>
      <c r="F3854" s="25">
        <v>1975304.0</v>
      </c>
    </row>
    <row r="3855">
      <c r="A3855" s="25">
        <v>44067.64583333333</v>
      </c>
      <c r="B3855" s="25">
        <v>2250.6</v>
      </c>
      <c r="C3855" s="25">
        <v>2259.95</v>
      </c>
      <c r="D3855" s="25">
        <v>2230.0</v>
      </c>
      <c r="E3855" s="25">
        <v>2248.1</v>
      </c>
      <c r="F3855" s="25">
        <v>2167987.0</v>
      </c>
    </row>
    <row r="3856">
      <c r="A3856" s="25">
        <v>44068.64583333333</v>
      </c>
      <c r="B3856" s="25">
        <v>2245.0</v>
      </c>
      <c r="C3856" s="25">
        <v>2250.0</v>
      </c>
      <c r="D3856" s="25">
        <v>2233.55</v>
      </c>
      <c r="E3856" s="25">
        <v>2242.65</v>
      </c>
      <c r="F3856" s="25">
        <v>1663454.0</v>
      </c>
    </row>
    <row r="3857">
      <c r="A3857" s="25">
        <v>44069.64583333333</v>
      </c>
      <c r="B3857" s="25">
        <v>2242.0</v>
      </c>
      <c r="C3857" s="25">
        <v>2259.9</v>
      </c>
      <c r="D3857" s="25">
        <v>2216.45</v>
      </c>
      <c r="E3857" s="25">
        <v>2253.5</v>
      </c>
      <c r="F3857" s="25">
        <v>2618159.0</v>
      </c>
    </row>
    <row r="3858">
      <c r="A3858" s="25">
        <v>44070.64583333333</v>
      </c>
      <c r="B3858" s="25">
        <v>2266.0</v>
      </c>
      <c r="C3858" s="25">
        <v>2287.35</v>
      </c>
      <c r="D3858" s="25">
        <v>2241.75</v>
      </c>
      <c r="E3858" s="25">
        <v>2248.4</v>
      </c>
      <c r="F3858" s="25">
        <v>3579397.0</v>
      </c>
    </row>
    <row r="3859">
      <c r="A3859" s="25">
        <v>44071.64583333333</v>
      </c>
      <c r="B3859" s="25">
        <v>2268.4</v>
      </c>
      <c r="C3859" s="25">
        <v>2279.95</v>
      </c>
      <c r="D3859" s="25">
        <v>2235.1</v>
      </c>
      <c r="E3859" s="25">
        <v>2238.55</v>
      </c>
      <c r="F3859" s="25">
        <v>2941156.0</v>
      </c>
    </row>
    <row r="3860">
      <c r="A3860" s="25">
        <v>44074.64583333333</v>
      </c>
      <c r="B3860" s="25">
        <v>2240.0</v>
      </c>
      <c r="C3860" s="25">
        <v>2276.2</v>
      </c>
      <c r="D3860" s="25">
        <v>2228.0</v>
      </c>
      <c r="E3860" s="25">
        <v>2257.25</v>
      </c>
      <c r="F3860" s="25">
        <v>6018160.0</v>
      </c>
    </row>
    <row r="3861">
      <c r="A3861" s="25">
        <v>44075.64583333333</v>
      </c>
      <c r="B3861" s="25">
        <v>2269.0</v>
      </c>
      <c r="C3861" s="25">
        <v>2278.0</v>
      </c>
      <c r="D3861" s="25">
        <v>2241.3</v>
      </c>
      <c r="E3861" s="25">
        <v>2246.35</v>
      </c>
      <c r="F3861" s="25">
        <v>3610908.0</v>
      </c>
    </row>
    <row r="3862">
      <c r="A3862" s="25">
        <v>44076.64583333333</v>
      </c>
      <c r="B3862" s="25">
        <v>2247.0</v>
      </c>
      <c r="C3862" s="25">
        <v>2268.75</v>
      </c>
      <c r="D3862" s="25">
        <v>2241.65</v>
      </c>
      <c r="E3862" s="25">
        <v>2265.15</v>
      </c>
      <c r="F3862" s="25">
        <v>2084152.0</v>
      </c>
    </row>
    <row r="3863">
      <c r="A3863" s="25">
        <v>44077.64583333333</v>
      </c>
      <c r="B3863" s="25">
        <v>2268.0</v>
      </c>
      <c r="C3863" s="25">
        <v>2324.0</v>
      </c>
      <c r="D3863" s="25">
        <v>2268.0</v>
      </c>
      <c r="E3863" s="25">
        <v>2299.5</v>
      </c>
      <c r="F3863" s="25">
        <v>4654146.0</v>
      </c>
    </row>
    <row r="3864">
      <c r="A3864" s="25">
        <v>44078.64583333333</v>
      </c>
      <c r="B3864" s="25">
        <v>2275.0</v>
      </c>
      <c r="C3864" s="25">
        <v>2324.25</v>
      </c>
      <c r="D3864" s="25">
        <v>2262.95</v>
      </c>
      <c r="E3864" s="25">
        <v>2288.8</v>
      </c>
      <c r="F3864" s="25">
        <v>5232180.0</v>
      </c>
    </row>
    <row r="3865">
      <c r="A3865" s="25">
        <v>44081.64583333333</v>
      </c>
      <c r="B3865" s="25">
        <v>2289.0</v>
      </c>
      <c r="C3865" s="25">
        <v>2343.5</v>
      </c>
      <c r="D3865" s="25">
        <v>2283.35</v>
      </c>
      <c r="E3865" s="25">
        <v>2327.05</v>
      </c>
      <c r="F3865" s="25">
        <v>4620416.0</v>
      </c>
    </row>
    <row r="3866">
      <c r="A3866" s="25">
        <v>44082.64583333333</v>
      </c>
      <c r="B3866" s="25">
        <v>2335.95</v>
      </c>
      <c r="C3866" s="25">
        <v>2390.45</v>
      </c>
      <c r="D3866" s="25">
        <v>2327.05</v>
      </c>
      <c r="E3866" s="25">
        <v>2348.2</v>
      </c>
      <c r="F3866" s="25">
        <v>7454161.0</v>
      </c>
    </row>
    <row r="3867">
      <c r="A3867" s="25">
        <v>44083.64583333333</v>
      </c>
      <c r="B3867" s="25">
        <v>2325.0</v>
      </c>
      <c r="C3867" s="25">
        <v>2359.0</v>
      </c>
      <c r="D3867" s="25">
        <v>2320.0</v>
      </c>
      <c r="E3867" s="25">
        <v>2327.65</v>
      </c>
      <c r="F3867" s="25">
        <v>3866542.0</v>
      </c>
    </row>
    <row r="3868">
      <c r="A3868" s="25">
        <v>44084.64583333333</v>
      </c>
      <c r="B3868" s="25">
        <v>2335.0</v>
      </c>
      <c r="C3868" s="25">
        <v>2348.5</v>
      </c>
      <c r="D3868" s="25">
        <v>2324.3</v>
      </c>
      <c r="E3868" s="25">
        <v>2331.15</v>
      </c>
      <c r="F3868" s="25">
        <v>2308813.0</v>
      </c>
    </row>
    <row r="3869">
      <c r="A3869" s="25">
        <v>44085.64583333333</v>
      </c>
      <c r="B3869" s="25">
        <v>2330.95</v>
      </c>
      <c r="C3869" s="25">
        <v>2383.0</v>
      </c>
      <c r="D3869" s="25">
        <v>2330.15</v>
      </c>
      <c r="E3869" s="25">
        <v>2374.1</v>
      </c>
      <c r="F3869" s="25">
        <v>4145429.0</v>
      </c>
    </row>
    <row r="3870">
      <c r="A3870" s="25">
        <v>44088.64583333333</v>
      </c>
      <c r="B3870" s="25">
        <v>2384.1</v>
      </c>
      <c r="C3870" s="25">
        <v>2505.75</v>
      </c>
      <c r="D3870" s="25">
        <v>2381.85</v>
      </c>
      <c r="E3870" s="25">
        <v>2491.4</v>
      </c>
      <c r="F3870" s="25">
        <v>7512284.0</v>
      </c>
    </row>
    <row r="3871">
      <c r="A3871" s="25">
        <v>44089.64583333333</v>
      </c>
      <c r="B3871" s="25">
        <v>2491.4</v>
      </c>
      <c r="C3871" s="25">
        <v>2538.0</v>
      </c>
      <c r="D3871" s="25">
        <v>2464.6</v>
      </c>
      <c r="E3871" s="25">
        <v>2491.4</v>
      </c>
      <c r="F3871" s="25">
        <v>7318773.0</v>
      </c>
    </row>
    <row r="3872">
      <c r="A3872" s="25">
        <v>44090.64583333333</v>
      </c>
      <c r="B3872" s="25">
        <v>2488.95</v>
      </c>
      <c r="C3872" s="25">
        <v>2507.6</v>
      </c>
      <c r="D3872" s="25">
        <v>2477.3</v>
      </c>
      <c r="E3872" s="25">
        <v>2503.0</v>
      </c>
      <c r="F3872" s="25">
        <v>3074013.0</v>
      </c>
    </row>
    <row r="3873">
      <c r="A3873" s="25">
        <v>44091.64583333333</v>
      </c>
      <c r="B3873" s="25">
        <v>2480.0</v>
      </c>
      <c r="C3873" s="25">
        <v>2495.75</v>
      </c>
      <c r="D3873" s="25">
        <v>2450.6</v>
      </c>
      <c r="E3873" s="25">
        <v>2460.95</v>
      </c>
      <c r="F3873" s="25">
        <v>4828231.0</v>
      </c>
    </row>
    <row r="3874">
      <c r="A3874" s="25">
        <v>44092.64583333333</v>
      </c>
      <c r="B3874" s="25">
        <v>2485.0</v>
      </c>
      <c r="C3874" s="25">
        <v>2500.4</v>
      </c>
      <c r="D3874" s="25">
        <v>2436.4</v>
      </c>
      <c r="E3874" s="25">
        <v>2449.9</v>
      </c>
      <c r="F3874" s="25">
        <v>4183256.0</v>
      </c>
    </row>
    <row r="3875">
      <c r="A3875" s="25">
        <v>44095.64583333333</v>
      </c>
      <c r="B3875" s="25">
        <v>2465.0</v>
      </c>
      <c r="C3875" s="25">
        <v>2504.9</v>
      </c>
      <c r="D3875" s="25">
        <v>2452.15</v>
      </c>
      <c r="E3875" s="25">
        <v>2465.3</v>
      </c>
      <c r="F3875" s="25">
        <v>4598809.0</v>
      </c>
    </row>
    <row r="3876">
      <c r="A3876" s="25">
        <v>44096.64583333333</v>
      </c>
      <c r="B3876" s="25">
        <v>2485.0</v>
      </c>
      <c r="C3876" s="25">
        <v>2555.0</v>
      </c>
      <c r="D3876" s="25">
        <v>2458.0</v>
      </c>
      <c r="E3876" s="25">
        <v>2522.95</v>
      </c>
      <c r="F3876" s="25">
        <v>7499927.0</v>
      </c>
    </row>
    <row r="3877">
      <c r="A3877" s="25">
        <v>44097.64583333333</v>
      </c>
      <c r="B3877" s="25">
        <v>2510.0</v>
      </c>
      <c r="C3877" s="25">
        <v>2519.85</v>
      </c>
      <c r="D3877" s="25">
        <v>2409.0</v>
      </c>
      <c r="E3877" s="25">
        <v>2467.45</v>
      </c>
      <c r="F3877" s="25">
        <v>7503152.0</v>
      </c>
    </row>
    <row r="3878">
      <c r="A3878" s="25">
        <v>44098.64583333333</v>
      </c>
      <c r="B3878" s="25">
        <v>2450.0</v>
      </c>
      <c r="C3878" s="25">
        <v>2450.0</v>
      </c>
      <c r="D3878" s="25">
        <v>2302.6</v>
      </c>
      <c r="E3878" s="25">
        <v>2332.25</v>
      </c>
      <c r="F3878" s="25">
        <v>8425118.0</v>
      </c>
    </row>
    <row r="3879">
      <c r="A3879" s="25">
        <v>44099.64583333333</v>
      </c>
      <c r="B3879" s="25">
        <v>2368.0</v>
      </c>
      <c r="C3879" s="25">
        <v>2440.0</v>
      </c>
      <c r="D3879" s="25">
        <v>2352.1</v>
      </c>
      <c r="E3879" s="25">
        <v>2422.3</v>
      </c>
      <c r="F3879" s="25">
        <v>8228297.0</v>
      </c>
    </row>
    <row r="3880">
      <c r="A3880" s="25">
        <v>44102.64583333333</v>
      </c>
      <c r="B3880" s="25">
        <v>2440.0</v>
      </c>
      <c r="C3880" s="25">
        <v>2444.0</v>
      </c>
      <c r="D3880" s="25">
        <v>2366.0</v>
      </c>
      <c r="E3880" s="25">
        <v>2426.3</v>
      </c>
      <c r="F3880" s="25">
        <v>4347177.0</v>
      </c>
    </row>
    <row r="3881">
      <c r="A3881" s="25">
        <v>44103.64583333333</v>
      </c>
      <c r="B3881" s="25">
        <v>2434.85</v>
      </c>
      <c r="C3881" s="25">
        <v>2511.05</v>
      </c>
      <c r="D3881" s="25">
        <v>2426.3</v>
      </c>
      <c r="E3881" s="25">
        <v>2488.4</v>
      </c>
      <c r="F3881" s="25">
        <v>6995815.0</v>
      </c>
    </row>
    <row r="3882">
      <c r="A3882" s="25">
        <v>44104.64583333333</v>
      </c>
      <c r="B3882" s="25">
        <v>2489.0</v>
      </c>
      <c r="C3882" s="25">
        <v>2505.0</v>
      </c>
      <c r="D3882" s="25">
        <v>2460.0</v>
      </c>
      <c r="E3882" s="25">
        <v>2492.3</v>
      </c>
      <c r="F3882" s="25">
        <v>3917186.0</v>
      </c>
    </row>
    <row r="3883">
      <c r="A3883" s="25">
        <v>44105.64583333333</v>
      </c>
      <c r="B3883" s="25">
        <v>2510.0</v>
      </c>
      <c r="C3883" s="25">
        <v>2540.0</v>
      </c>
      <c r="D3883" s="25">
        <v>2492.3</v>
      </c>
      <c r="E3883" s="25">
        <v>2523.45</v>
      </c>
      <c r="F3883" s="25">
        <v>2610338.0</v>
      </c>
    </row>
    <row r="3884">
      <c r="A3884" s="25">
        <v>44109.64583333333</v>
      </c>
      <c r="B3884" s="25">
        <v>2620.0</v>
      </c>
      <c r="C3884" s="25">
        <v>2728.1</v>
      </c>
      <c r="D3884" s="25">
        <v>2603.05</v>
      </c>
      <c r="E3884" s="25">
        <v>2705.8</v>
      </c>
      <c r="F3884" s="25">
        <v>1.7412119E7</v>
      </c>
    </row>
    <row r="3885">
      <c r="A3885" s="25">
        <v>44110.64583333333</v>
      </c>
      <c r="B3885" s="25">
        <v>2736.0</v>
      </c>
      <c r="C3885" s="25">
        <v>2736.0</v>
      </c>
      <c r="D3885" s="25">
        <v>2650.1</v>
      </c>
      <c r="E3885" s="25">
        <v>2714.3</v>
      </c>
      <c r="F3885" s="25">
        <v>9846376.0</v>
      </c>
    </row>
    <row r="3886">
      <c r="A3886" s="25">
        <v>44111.64583333333</v>
      </c>
      <c r="B3886" s="25">
        <v>2742.0</v>
      </c>
      <c r="C3886" s="25">
        <v>2770.0</v>
      </c>
      <c r="D3886" s="25">
        <v>2703.0</v>
      </c>
      <c r="E3886" s="25">
        <v>2735.95</v>
      </c>
      <c r="F3886" s="25">
        <v>9656167.0</v>
      </c>
    </row>
    <row r="3887">
      <c r="A3887" s="25">
        <v>44112.64583333333</v>
      </c>
      <c r="B3887" s="25">
        <v>2800.0</v>
      </c>
      <c r="C3887" s="25">
        <v>2885.0</v>
      </c>
      <c r="D3887" s="25">
        <v>2800.0</v>
      </c>
      <c r="E3887" s="25">
        <v>2825.7</v>
      </c>
      <c r="F3887" s="25">
        <v>1.9839826E7</v>
      </c>
    </row>
    <row r="3888">
      <c r="A3888" s="25">
        <v>44113.64583333333</v>
      </c>
      <c r="B3888" s="25">
        <v>2810.0</v>
      </c>
      <c r="C3888" s="25">
        <v>2829.85</v>
      </c>
      <c r="D3888" s="25">
        <v>2780.0</v>
      </c>
      <c r="E3888" s="25">
        <v>2812.95</v>
      </c>
      <c r="F3888" s="25">
        <v>7739375.0</v>
      </c>
    </row>
    <row r="3889">
      <c r="A3889" s="25">
        <v>44116.64583333333</v>
      </c>
      <c r="B3889" s="25">
        <v>2815.5</v>
      </c>
      <c r="C3889" s="25">
        <v>2854.0</v>
      </c>
      <c r="D3889" s="25">
        <v>2800.75</v>
      </c>
      <c r="E3889" s="25">
        <v>2830.0</v>
      </c>
      <c r="F3889" s="25">
        <v>4623211.0</v>
      </c>
    </row>
    <row r="3890">
      <c r="A3890" s="25">
        <v>44117.64583333333</v>
      </c>
      <c r="B3890" s="25">
        <v>2845.0</v>
      </c>
      <c r="C3890" s="25">
        <v>2854.9</v>
      </c>
      <c r="D3890" s="25">
        <v>2812.2</v>
      </c>
      <c r="E3890" s="25">
        <v>2826.55</v>
      </c>
      <c r="F3890" s="25">
        <v>4209905.0</v>
      </c>
    </row>
    <row r="3891">
      <c r="A3891" s="25">
        <v>44118.64583333333</v>
      </c>
      <c r="B3891" s="25">
        <v>2842.0</v>
      </c>
      <c r="C3891" s="25">
        <v>2842.0</v>
      </c>
      <c r="D3891" s="25">
        <v>2787.55</v>
      </c>
      <c r="E3891" s="25">
        <v>2809.6</v>
      </c>
      <c r="F3891" s="25">
        <v>4395979.0</v>
      </c>
    </row>
    <row r="3892">
      <c r="A3892" s="25">
        <v>44119.64583333333</v>
      </c>
      <c r="B3892" s="25">
        <v>2811.0</v>
      </c>
      <c r="C3892" s="25">
        <v>2827.75</v>
      </c>
      <c r="D3892" s="25">
        <v>2727.0</v>
      </c>
      <c r="E3892" s="25">
        <v>2740.6</v>
      </c>
      <c r="F3892" s="25">
        <v>6629395.0</v>
      </c>
    </row>
    <row r="3893">
      <c r="A3893" s="25">
        <v>44120.64583333333</v>
      </c>
      <c r="B3893" s="25">
        <v>2750.1</v>
      </c>
      <c r="C3893" s="25">
        <v>2771.65</v>
      </c>
      <c r="D3893" s="25">
        <v>2731.3</v>
      </c>
      <c r="E3893" s="25">
        <v>2763.3</v>
      </c>
      <c r="F3893" s="25">
        <v>5273773.0</v>
      </c>
    </row>
    <row r="3894">
      <c r="A3894" s="25">
        <v>44123.64583333333</v>
      </c>
      <c r="B3894" s="25">
        <v>2774.0</v>
      </c>
      <c r="C3894" s="25">
        <v>2774.0</v>
      </c>
      <c r="D3894" s="25">
        <v>2706.6</v>
      </c>
      <c r="E3894" s="25">
        <v>2711.55</v>
      </c>
      <c r="F3894" s="25">
        <v>3331194.0</v>
      </c>
    </row>
    <row r="3895">
      <c r="A3895" s="25">
        <v>44124.64583333333</v>
      </c>
      <c r="B3895" s="25">
        <v>2725.0</v>
      </c>
      <c r="C3895" s="25">
        <v>2759.9</v>
      </c>
      <c r="D3895" s="25">
        <v>2717.95</v>
      </c>
      <c r="E3895" s="25">
        <v>2739.0</v>
      </c>
      <c r="F3895" s="25">
        <v>3406298.0</v>
      </c>
    </row>
    <row r="3896">
      <c r="A3896" s="25">
        <v>44125.64583333333</v>
      </c>
      <c r="B3896" s="25">
        <v>2739.0</v>
      </c>
      <c r="C3896" s="25">
        <v>2749.0</v>
      </c>
      <c r="D3896" s="25">
        <v>2663.05</v>
      </c>
      <c r="E3896" s="25">
        <v>2675.4</v>
      </c>
      <c r="F3896" s="25">
        <v>4570175.0</v>
      </c>
    </row>
    <row r="3897">
      <c r="A3897" s="25">
        <v>44126.64583333333</v>
      </c>
      <c r="B3897" s="25">
        <v>2661.0</v>
      </c>
      <c r="C3897" s="25">
        <v>2686.65</v>
      </c>
      <c r="D3897" s="25">
        <v>2638.1</v>
      </c>
      <c r="E3897" s="25">
        <v>2671.15</v>
      </c>
      <c r="F3897" s="25">
        <v>5262311.0</v>
      </c>
    </row>
    <row r="3898">
      <c r="A3898" s="25">
        <v>44127.64583333333</v>
      </c>
      <c r="B3898" s="25">
        <v>2687.8</v>
      </c>
      <c r="C3898" s="25">
        <v>2702.0</v>
      </c>
      <c r="D3898" s="25">
        <v>2670.1</v>
      </c>
      <c r="E3898" s="25">
        <v>2686.8</v>
      </c>
      <c r="F3898" s="25">
        <v>3499372.0</v>
      </c>
    </row>
    <row r="3899">
      <c r="A3899" s="25">
        <v>44130.64583333333</v>
      </c>
      <c r="B3899" s="25">
        <v>2689.95</v>
      </c>
      <c r="C3899" s="25">
        <v>2709.95</v>
      </c>
      <c r="D3899" s="25">
        <v>2670.5</v>
      </c>
      <c r="E3899" s="25">
        <v>2688.2</v>
      </c>
      <c r="F3899" s="25">
        <v>2672766.0</v>
      </c>
    </row>
    <row r="3900">
      <c r="A3900" s="25">
        <v>44131.64583333333</v>
      </c>
      <c r="B3900" s="25">
        <v>2699.75</v>
      </c>
      <c r="C3900" s="25">
        <v>2718.15</v>
      </c>
      <c r="D3900" s="25">
        <v>2624.1</v>
      </c>
      <c r="E3900" s="25">
        <v>2630.15</v>
      </c>
      <c r="F3900" s="25">
        <v>3537594.0</v>
      </c>
    </row>
    <row r="3901">
      <c r="A3901" s="25">
        <v>44132.64583333333</v>
      </c>
      <c r="B3901" s="25">
        <v>2650.0</v>
      </c>
      <c r="C3901" s="25">
        <v>2655.95</v>
      </c>
      <c r="D3901" s="25">
        <v>2606.0</v>
      </c>
      <c r="E3901" s="25">
        <v>2622.2</v>
      </c>
      <c r="F3901" s="25">
        <v>3569515.0</v>
      </c>
    </row>
    <row r="3902">
      <c r="A3902" s="25">
        <v>44133.64583333333</v>
      </c>
      <c r="B3902" s="25">
        <v>2608.0</v>
      </c>
      <c r="C3902" s="25">
        <v>2655.0</v>
      </c>
      <c r="D3902" s="25">
        <v>2600.25</v>
      </c>
      <c r="E3902" s="25">
        <v>2632.65</v>
      </c>
      <c r="F3902" s="25">
        <v>3105970.0</v>
      </c>
    </row>
    <row r="3903">
      <c r="A3903" s="25">
        <v>44134.64583333333</v>
      </c>
      <c r="B3903" s="25">
        <v>2636.1</v>
      </c>
      <c r="C3903" s="25">
        <v>2674.35</v>
      </c>
      <c r="D3903" s="25">
        <v>2621.6</v>
      </c>
      <c r="E3903" s="25">
        <v>2664.85</v>
      </c>
      <c r="F3903" s="25">
        <v>3427003.0</v>
      </c>
    </row>
    <row r="3904">
      <c r="A3904" s="25">
        <v>44137.64583333333</v>
      </c>
      <c r="B3904" s="25">
        <v>2660.0</v>
      </c>
      <c r="C3904" s="25">
        <v>2664.85</v>
      </c>
      <c r="D3904" s="25">
        <v>2600.05</v>
      </c>
      <c r="E3904" s="25">
        <v>2604.6</v>
      </c>
      <c r="F3904" s="25">
        <v>2571196.0</v>
      </c>
    </row>
    <row r="3905">
      <c r="A3905" s="25">
        <v>44138.64583333333</v>
      </c>
      <c r="B3905" s="25">
        <v>2604.0</v>
      </c>
      <c r="C3905" s="25">
        <v>2665.0</v>
      </c>
      <c r="D3905" s="25">
        <v>2601.05</v>
      </c>
      <c r="E3905" s="25">
        <v>2633.6</v>
      </c>
      <c r="F3905" s="25">
        <v>2879269.0</v>
      </c>
    </row>
    <row r="3906">
      <c r="A3906" s="25">
        <v>44139.64583333333</v>
      </c>
      <c r="B3906" s="25">
        <v>2610.0</v>
      </c>
      <c r="C3906" s="25">
        <v>2721.85</v>
      </c>
      <c r="D3906" s="25">
        <v>2610.0</v>
      </c>
      <c r="E3906" s="25">
        <v>2653.15</v>
      </c>
      <c r="F3906" s="25">
        <v>4893928.0</v>
      </c>
    </row>
    <row r="3907">
      <c r="A3907" s="25">
        <v>44140.64583333333</v>
      </c>
      <c r="B3907" s="25">
        <v>2685.0</v>
      </c>
      <c r="C3907" s="25">
        <v>2710.0</v>
      </c>
      <c r="D3907" s="25">
        <v>2667.0</v>
      </c>
      <c r="E3907" s="25">
        <v>2685.7</v>
      </c>
      <c r="F3907" s="25">
        <v>2816502.0</v>
      </c>
    </row>
    <row r="3908">
      <c r="A3908" s="25">
        <v>44141.64583333333</v>
      </c>
      <c r="B3908" s="25">
        <v>2699.0</v>
      </c>
      <c r="C3908" s="25">
        <v>2713.25</v>
      </c>
      <c r="D3908" s="25">
        <v>2681.3</v>
      </c>
      <c r="E3908" s="25">
        <v>2707.45</v>
      </c>
      <c r="F3908" s="25">
        <v>3884421.0</v>
      </c>
    </row>
    <row r="3909">
      <c r="A3909" s="25">
        <v>44144.64583333333</v>
      </c>
      <c r="B3909" s="25">
        <v>2731.1</v>
      </c>
      <c r="C3909" s="25">
        <v>2744.0</v>
      </c>
      <c r="D3909" s="25">
        <v>2695.1</v>
      </c>
      <c r="E3909" s="25">
        <v>2726.6</v>
      </c>
      <c r="F3909" s="25">
        <v>3646592.0</v>
      </c>
    </row>
    <row r="3910">
      <c r="A3910" s="25">
        <v>44145.64583333333</v>
      </c>
      <c r="B3910" s="25">
        <v>2697.2</v>
      </c>
      <c r="C3910" s="25">
        <v>2713.15</v>
      </c>
      <c r="D3910" s="25">
        <v>2638.35</v>
      </c>
      <c r="E3910" s="25">
        <v>2649.6</v>
      </c>
      <c r="F3910" s="25">
        <v>4760020.0</v>
      </c>
    </row>
    <row r="3911">
      <c r="A3911" s="25">
        <v>44146.64583333333</v>
      </c>
      <c r="B3911" s="25">
        <v>2667.95</v>
      </c>
      <c r="C3911" s="25">
        <v>2692.8</v>
      </c>
      <c r="D3911" s="25">
        <v>2643.4</v>
      </c>
      <c r="E3911" s="25">
        <v>2687.8</v>
      </c>
      <c r="F3911" s="25">
        <v>3242441.0</v>
      </c>
    </row>
    <row r="3912">
      <c r="A3912" s="25">
        <v>44147.64583333333</v>
      </c>
      <c r="B3912" s="25">
        <v>2686.0</v>
      </c>
      <c r="C3912" s="25">
        <v>2713.0</v>
      </c>
      <c r="D3912" s="25">
        <v>2661.75</v>
      </c>
      <c r="E3912" s="25">
        <v>2671.05</v>
      </c>
      <c r="F3912" s="25">
        <v>2437505.0</v>
      </c>
    </row>
    <row r="3913">
      <c r="A3913" s="25">
        <v>44148.64583333333</v>
      </c>
      <c r="B3913" s="25">
        <v>2655.75</v>
      </c>
      <c r="C3913" s="25">
        <v>2664.9</v>
      </c>
      <c r="D3913" s="25">
        <v>2636.0</v>
      </c>
      <c r="E3913" s="25">
        <v>2656.85</v>
      </c>
      <c r="F3913" s="25">
        <v>2548093.0</v>
      </c>
    </row>
    <row r="3914">
      <c r="A3914" s="25">
        <v>44152.64583333333</v>
      </c>
      <c r="B3914" s="25">
        <v>2695.0</v>
      </c>
      <c r="C3914" s="25">
        <v>2695.0</v>
      </c>
      <c r="D3914" s="25">
        <v>2650.05</v>
      </c>
      <c r="E3914" s="25">
        <v>2666.05</v>
      </c>
      <c r="F3914" s="25">
        <v>2827273.0</v>
      </c>
    </row>
    <row r="3915">
      <c r="A3915" s="25">
        <v>44153.64583333333</v>
      </c>
      <c r="B3915" s="25">
        <v>2661.0</v>
      </c>
      <c r="C3915" s="25">
        <v>2664.2</v>
      </c>
      <c r="D3915" s="25">
        <v>2607.05</v>
      </c>
      <c r="E3915" s="25">
        <v>2626.65</v>
      </c>
      <c r="F3915" s="25">
        <v>2893762.0</v>
      </c>
    </row>
    <row r="3916">
      <c r="A3916" s="25">
        <v>44154.64583333333</v>
      </c>
      <c r="B3916" s="25">
        <v>2637.0</v>
      </c>
      <c r="C3916" s="25">
        <v>2676.15</v>
      </c>
      <c r="D3916" s="25">
        <v>2630.85</v>
      </c>
      <c r="E3916" s="25">
        <v>2636.9</v>
      </c>
      <c r="F3916" s="25">
        <v>4167501.0</v>
      </c>
    </row>
    <row r="3917">
      <c r="A3917" s="25">
        <v>44155.64583333333</v>
      </c>
      <c r="B3917" s="25">
        <v>2655.0</v>
      </c>
      <c r="C3917" s="25">
        <v>2676.0</v>
      </c>
      <c r="D3917" s="25">
        <v>2627.55</v>
      </c>
      <c r="E3917" s="25">
        <v>2660.25</v>
      </c>
      <c r="F3917" s="25">
        <v>2711471.0</v>
      </c>
    </row>
    <row r="3918">
      <c r="A3918" s="25">
        <v>44158.64583333333</v>
      </c>
      <c r="B3918" s="25">
        <v>2690.0</v>
      </c>
      <c r="C3918" s="25">
        <v>2730.0</v>
      </c>
      <c r="D3918" s="25">
        <v>2665.0</v>
      </c>
      <c r="E3918" s="25">
        <v>2724.25</v>
      </c>
      <c r="F3918" s="25">
        <v>3706418.0</v>
      </c>
    </row>
    <row r="3919">
      <c r="A3919" s="25">
        <v>44159.64583333333</v>
      </c>
      <c r="B3919" s="25">
        <v>2734.4</v>
      </c>
      <c r="C3919" s="25">
        <v>2743.0</v>
      </c>
      <c r="D3919" s="25">
        <v>2705.0</v>
      </c>
      <c r="E3919" s="25">
        <v>2722.05</v>
      </c>
      <c r="F3919" s="25">
        <v>3120516.0</v>
      </c>
    </row>
    <row r="3920">
      <c r="A3920" s="25">
        <v>44160.64583333333</v>
      </c>
      <c r="B3920" s="25">
        <v>2729.0</v>
      </c>
      <c r="C3920" s="25">
        <v>2732.95</v>
      </c>
      <c r="D3920" s="25">
        <v>2688.2</v>
      </c>
      <c r="E3920" s="25">
        <v>2701.3</v>
      </c>
      <c r="F3920" s="25">
        <v>3302249.0</v>
      </c>
    </row>
    <row r="3921">
      <c r="A3921" s="25">
        <v>44161.64583333333</v>
      </c>
      <c r="B3921" s="25">
        <v>2686.0</v>
      </c>
      <c r="C3921" s="25">
        <v>2730.95</v>
      </c>
      <c r="D3921" s="25">
        <v>2680.0</v>
      </c>
      <c r="E3921" s="25">
        <v>2720.6</v>
      </c>
      <c r="F3921" s="25">
        <v>2341099.0</v>
      </c>
    </row>
    <row r="3922">
      <c r="A3922" s="25">
        <v>44162.64583333333</v>
      </c>
      <c r="B3922" s="25">
        <v>2705.0</v>
      </c>
      <c r="C3922" s="25">
        <v>2717.7</v>
      </c>
      <c r="D3922" s="25">
        <v>2669.05</v>
      </c>
      <c r="E3922" s="25">
        <v>2679.65</v>
      </c>
      <c r="F3922" s="25">
        <v>6086808.0</v>
      </c>
    </row>
    <row r="3923">
      <c r="A3923" s="25">
        <v>44166.64583333333</v>
      </c>
      <c r="B3923" s="25">
        <v>2679.0</v>
      </c>
      <c r="C3923" s="25">
        <v>2735.9</v>
      </c>
      <c r="D3923" s="25">
        <v>2624.45</v>
      </c>
      <c r="E3923" s="25">
        <v>2726.8</v>
      </c>
      <c r="F3923" s="25">
        <v>3605017.0</v>
      </c>
    </row>
    <row r="3924">
      <c r="A3924" s="25">
        <v>44167.64583333333</v>
      </c>
      <c r="B3924" s="25">
        <v>2719.0</v>
      </c>
      <c r="C3924" s="25">
        <v>2754.7</v>
      </c>
      <c r="D3924" s="25">
        <v>2702.45</v>
      </c>
      <c r="E3924" s="25">
        <v>2749.55</v>
      </c>
      <c r="F3924" s="25">
        <v>2509032.0</v>
      </c>
    </row>
    <row r="3925">
      <c r="A3925" s="25">
        <v>44168.64583333333</v>
      </c>
      <c r="B3925" s="25">
        <v>2773.9</v>
      </c>
      <c r="C3925" s="25">
        <v>2773.9</v>
      </c>
      <c r="D3925" s="25">
        <v>2700.8</v>
      </c>
      <c r="E3925" s="25">
        <v>2709.45</v>
      </c>
      <c r="F3925" s="25">
        <v>2852548.0</v>
      </c>
    </row>
    <row r="3926">
      <c r="A3926" s="25">
        <v>44169.64583333333</v>
      </c>
      <c r="B3926" s="25">
        <v>2710.8</v>
      </c>
      <c r="C3926" s="25">
        <v>2738.85</v>
      </c>
      <c r="D3926" s="25">
        <v>2699.0</v>
      </c>
      <c r="E3926" s="25">
        <v>2727.55</v>
      </c>
      <c r="F3926" s="25">
        <v>2686527.0</v>
      </c>
    </row>
    <row r="3927">
      <c r="A3927" s="25">
        <v>44172.64583333333</v>
      </c>
      <c r="B3927" s="25">
        <v>2715.0</v>
      </c>
      <c r="C3927" s="25">
        <v>2744.0</v>
      </c>
      <c r="D3927" s="25">
        <v>2706.15</v>
      </c>
      <c r="E3927" s="25">
        <v>2737.7</v>
      </c>
      <c r="F3927" s="25">
        <v>1996400.0</v>
      </c>
    </row>
    <row r="3928">
      <c r="A3928" s="25">
        <v>44173.64583333333</v>
      </c>
      <c r="B3928" s="25">
        <v>2740.0</v>
      </c>
      <c r="C3928" s="25">
        <v>2805.55</v>
      </c>
      <c r="D3928" s="25">
        <v>2732.45</v>
      </c>
      <c r="E3928" s="25">
        <v>2797.3</v>
      </c>
      <c r="F3928" s="25">
        <v>4277818.0</v>
      </c>
    </row>
    <row r="3929">
      <c r="A3929" s="25">
        <v>44174.64583333333</v>
      </c>
      <c r="B3929" s="25">
        <v>2815.0</v>
      </c>
      <c r="C3929" s="25">
        <v>2840.0</v>
      </c>
      <c r="D3929" s="25">
        <v>2793.15</v>
      </c>
      <c r="E3929" s="25">
        <v>2810.8</v>
      </c>
      <c r="F3929" s="25">
        <v>3659996.0</v>
      </c>
    </row>
    <row r="3930">
      <c r="A3930" s="25">
        <v>44175.64583333333</v>
      </c>
      <c r="B3930" s="25">
        <v>2818.0</v>
      </c>
      <c r="C3930" s="25">
        <v>2827.3</v>
      </c>
      <c r="D3930" s="25">
        <v>2780.25</v>
      </c>
      <c r="E3930" s="25">
        <v>2784.3</v>
      </c>
      <c r="F3930" s="25">
        <v>2127801.0</v>
      </c>
    </row>
    <row r="3931">
      <c r="A3931" s="25">
        <v>44176.64583333333</v>
      </c>
      <c r="B3931" s="25">
        <v>2792.7</v>
      </c>
      <c r="C3931" s="25">
        <v>2807.7</v>
      </c>
      <c r="D3931" s="25">
        <v>2764.55</v>
      </c>
      <c r="E3931" s="25">
        <v>2783.6</v>
      </c>
      <c r="F3931" s="25">
        <v>1795408.0</v>
      </c>
    </row>
    <row r="3932">
      <c r="A3932" s="25">
        <v>44179.64583333333</v>
      </c>
      <c r="B3932" s="25">
        <v>2802.0</v>
      </c>
      <c r="C3932" s="25">
        <v>2804.0</v>
      </c>
      <c r="D3932" s="25">
        <v>2756.25</v>
      </c>
      <c r="E3932" s="25">
        <v>2797.7</v>
      </c>
      <c r="F3932" s="25">
        <v>2483658.0</v>
      </c>
    </row>
    <row r="3933">
      <c r="A3933" s="25">
        <v>44180.64583333333</v>
      </c>
      <c r="B3933" s="25">
        <v>2786.0</v>
      </c>
      <c r="C3933" s="25">
        <v>2794.7</v>
      </c>
      <c r="D3933" s="25">
        <v>2755.0</v>
      </c>
      <c r="E3933" s="25">
        <v>2761.55</v>
      </c>
      <c r="F3933" s="25">
        <v>2365509.0</v>
      </c>
    </row>
    <row r="3934">
      <c r="A3934" s="25">
        <v>44181.64583333333</v>
      </c>
      <c r="B3934" s="25">
        <v>2779.0</v>
      </c>
      <c r="C3934" s="25">
        <v>2819.8</v>
      </c>
      <c r="D3934" s="25">
        <v>2760.45</v>
      </c>
      <c r="E3934" s="25">
        <v>2814.2</v>
      </c>
      <c r="F3934" s="25">
        <v>2565149.0</v>
      </c>
    </row>
    <row r="3935">
      <c r="A3935" s="25">
        <v>44182.64583333333</v>
      </c>
      <c r="B3935" s="25">
        <v>2811.0</v>
      </c>
      <c r="C3935" s="25">
        <v>2853.7</v>
      </c>
      <c r="D3935" s="25">
        <v>2805.0</v>
      </c>
      <c r="E3935" s="25">
        <v>2838.2</v>
      </c>
      <c r="F3935" s="25">
        <v>2863460.0</v>
      </c>
    </row>
    <row r="3936">
      <c r="A3936" s="25">
        <v>44183.64583333333</v>
      </c>
      <c r="B3936" s="25">
        <v>2868.0</v>
      </c>
      <c r="C3936" s="25">
        <v>2898.0</v>
      </c>
      <c r="D3936" s="25">
        <v>2846.2</v>
      </c>
      <c r="E3936" s="25">
        <v>2861.0</v>
      </c>
      <c r="F3936" s="25">
        <v>6076692.0</v>
      </c>
    </row>
    <row r="3937">
      <c r="A3937" s="25">
        <v>44186.64583333333</v>
      </c>
      <c r="B3937" s="25">
        <v>2861.0</v>
      </c>
      <c r="C3937" s="25">
        <v>2886.5</v>
      </c>
      <c r="D3937" s="25">
        <v>2785.0</v>
      </c>
      <c r="E3937" s="25">
        <v>2820.15</v>
      </c>
      <c r="F3937" s="25">
        <v>2705195.0</v>
      </c>
    </row>
    <row r="3938">
      <c r="A3938" s="25">
        <v>44187.64583333333</v>
      </c>
      <c r="B3938" s="25">
        <v>2834.0</v>
      </c>
      <c r="C3938" s="25">
        <v>2883.65</v>
      </c>
      <c r="D3938" s="25">
        <v>2818.65</v>
      </c>
      <c r="E3938" s="25">
        <v>2872.5</v>
      </c>
      <c r="F3938" s="25">
        <v>2881737.0</v>
      </c>
    </row>
    <row r="3939">
      <c r="A3939" s="25">
        <v>44188.64583333333</v>
      </c>
      <c r="B3939" s="25">
        <v>2876.05</v>
      </c>
      <c r="C3939" s="25">
        <v>2919.0</v>
      </c>
      <c r="D3939" s="25">
        <v>2865.45</v>
      </c>
      <c r="E3939" s="25">
        <v>2908.75</v>
      </c>
      <c r="F3939" s="25">
        <v>2790988.0</v>
      </c>
    </row>
    <row r="3940">
      <c r="A3940" s="25">
        <v>44189.64583333333</v>
      </c>
      <c r="B3940" s="25">
        <v>2909.0</v>
      </c>
      <c r="C3940" s="25">
        <v>2921.35</v>
      </c>
      <c r="D3940" s="25">
        <v>2883.2</v>
      </c>
      <c r="E3940" s="25">
        <v>2909.35</v>
      </c>
      <c r="F3940" s="25">
        <v>1807144.0</v>
      </c>
    </row>
    <row r="3941">
      <c r="A3941" s="25">
        <v>44193.64583333333</v>
      </c>
      <c r="B3941" s="25">
        <v>2910.0</v>
      </c>
      <c r="C3941" s="25">
        <v>2949.7</v>
      </c>
      <c r="D3941" s="25">
        <v>2902.0</v>
      </c>
      <c r="E3941" s="25">
        <v>2929.4</v>
      </c>
      <c r="F3941" s="25">
        <v>2108994.0</v>
      </c>
    </row>
    <row r="3942">
      <c r="A3942" s="25">
        <v>44194.64583333333</v>
      </c>
      <c r="B3942" s="25">
        <v>2920.0</v>
      </c>
      <c r="C3942" s="25">
        <v>2952.0</v>
      </c>
      <c r="D3942" s="25">
        <v>2920.0</v>
      </c>
      <c r="E3942" s="25">
        <v>2930.5</v>
      </c>
      <c r="F3942" s="25">
        <v>1994151.0</v>
      </c>
    </row>
    <row r="3943">
      <c r="A3943" s="25">
        <v>44195.64583333333</v>
      </c>
      <c r="B3943" s="25">
        <v>2934.4</v>
      </c>
      <c r="C3943" s="25">
        <v>2947.7</v>
      </c>
      <c r="D3943" s="25">
        <v>2902.0</v>
      </c>
      <c r="E3943" s="25">
        <v>2909.3</v>
      </c>
      <c r="F3943" s="25">
        <v>2637968.0</v>
      </c>
    </row>
    <row r="3944">
      <c r="A3944" s="25">
        <v>44196.64583333333</v>
      </c>
      <c r="B3944" s="25">
        <v>2900.0</v>
      </c>
      <c r="C3944" s="25">
        <v>2905.0</v>
      </c>
      <c r="D3944" s="25">
        <v>2845.0</v>
      </c>
      <c r="E3944" s="25">
        <v>2862.75</v>
      </c>
      <c r="F3944" s="25">
        <v>4040956.0</v>
      </c>
    </row>
    <row r="3945">
      <c r="A3945" s="25">
        <v>44197.64583333333</v>
      </c>
      <c r="B3945" s="25">
        <v>2880.0</v>
      </c>
      <c r="C3945" s="25">
        <v>2940.0</v>
      </c>
      <c r="D3945" s="25">
        <v>2879.0</v>
      </c>
      <c r="E3945" s="25">
        <v>2928.25</v>
      </c>
      <c r="F3945" s="25">
        <v>2681440.0</v>
      </c>
    </row>
    <row r="3946">
      <c r="A3946" s="25">
        <v>44200.64583333333</v>
      </c>
      <c r="B3946" s="25">
        <v>2950.0</v>
      </c>
      <c r="C3946" s="25">
        <v>3050.75</v>
      </c>
      <c r="D3946" s="25">
        <v>2940.95</v>
      </c>
      <c r="E3946" s="25">
        <v>3039.45</v>
      </c>
      <c r="F3946" s="25">
        <v>5113293.0</v>
      </c>
    </row>
    <row r="3947">
      <c r="A3947" s="25">
        <v>44201.64583333333</v>
      </c>
      <c r="B3947" s="25">
        <v>3039.6</v>
      </c>
      <c r="C3947" s="25">
        <v>3114.25</v>
      </c>
      <c r="D3947" s="25">
        <v>3039.6</v>
      </c>
      <c r="E3947" s="25">
        <v>3093.0</v>
      </c>
      <c r="F3947" s="25">
        <v>5801309.0</v>
      </c>
    </row>
    <row r="3948">
      <c r="A3948" s="25">
        <v>44202.64583333333</v>
      </c>
      <c r="B3948" s="25">
        <v>3100.0</v>
      </c>
      <c r="C3948" s="25">
        <v>3113.5</v>
      </c>
      <c r="D3948" s="25">
        <v>3037.2</v>
      </c>
      <c r="E3948" s="25">
        <v>3051.5</v>
      </c>
      <c r="F3948" s="25">
        <v>3726716.0</v>
      </c>
    </row>
    <row r="3949">
      <c r="A3949" s="25">
        <v>44203.64583333333</v>
      </c>
      <c r="B3949" s="25">
        <v>3075.0</v>
      </c>
      <c r="C3949" s="25">
        <v>3080.85</v>
      </c>
      <c r="D3949" s="25">
        <v>3000.25</v>
      </c>
      <c r="E3949" s="25">
        <v>3032.8</v>
      </c>
      <c r="F3949" s="25">
        <v>3717827.0</v>
      </c>
    </row>
    <row r="3950">
      <c r="A3950" s="25">
        <v>44204.64583333333</v>
      </c>
      <c r="B3950" s="25">
        <v>3090.0</v>
      </c>
      <c r="C3950" s="25">
        <v>3128.0</v>
      </c>
      <c r="D3950" s="25">
        <v>3060.0</v>
      </c>
      <c r="E3950" s="25">
        <v>3120.9</v>
      </c>
      <c r="F3950" s="25">
        <v>5879039.0</v>
      </c>
    </row>
    <row r="3951">
      <c r="A3951" s="25">
        <v>44207.64583333333</v>
      </c>
      <c r="B3951" s="25">
        <v>3230.0</v>
      </c>
      <c r="C3951" s="25">
        <v>3230.0</v>
      </c>
      <c r="D3951" s="25">
        <v>3146.55</v>
      </c>
      <c r="E3951" s="25">
        <v>3176.45</v>
      </c>
      <c r="F3951" s="25">
        <v>9508039.0</v>
      </c>
    </row>
    <row r="3952">
      <c r="A3952" s="25">
        <v>44208.64583333333</v>
      </c>
      <c r="B3952" s="25">
        <v>3176.45</v>
      </c>
      <c r="C3952" s="25">
        <v>3210.0</v>
      </c>
      <c r="D3952" s="25">
        <v>3150.0</v>
      </c>
      <c r="E3952" s="25">
        <v>3174.85</v>
      </c>
      <c r="F3952" s="25">
        <v>3611458.0</v>
      </c>
    </row>
    <row r="3953">
      <c r="A3953" s="25">
        <v>44209.64583333333</v>
      </c>
      <c r="B3953" s="25">
        <v>3175.0</v>
      </c>
      <c r="C3953" s="25">
        <v>3177.0</v>
      </c>
      <c r="D3953" s="25">
        <v>3126.25</v>
      </c>
      <c r="E3953" s="25">
        <v>3158.95</v>
      </c>
      <c r="F3953" s="25">
        <v>3572801.0</v>
      </c>
    </row>
    <row r="3954">
      <c r="A3954" s="25">
        <v>44210.64583333333</v>
      </c>
      <c r="B3954" s="25">
        <v>3155.0</v>
      </c>
      <c r="C3954" s="25">
        <v>3266.5</v>
      </c>
      <c r="D3954" s="25">
        <v>3120.4</v>
      </c>
      <c r="E3954" s="25">
        <v>3250.7</v>
      </c>
      <c r="F3954" s="25">
        <v>6931542.0</v>
      </c>
    </row>
    <row r="3955">
      <c r="A3955" s="25">
        <v>44211.64583333333</v>
      </c>
      <c r="B3955" s="25">
        <v>3235.0</v>
      </c>
      <c r="C3955" s="25">
        <v>3274.0</v>
      </c>
      <c r="D3955" s="25">
        <v>3210.0</v>
      </c>
      <c r="E3955" s="25">
        <v>3233.35</v>
      </c>
      <c r="F3955" s="25">
        <v>4131692.0</v>
      </c>
    </row>
    <row r="3956">
      <c r="A3956" s="25">
        <v>44214.64583333333</v>
      </c>
      <c r="B3956" s="25">
        <v>3250.0</v>
      </c>
      <c r="C3956" s="25">
        <v>3256.75</v>
      </c>
      <c r="D3956" s="25">
        <v>3187.4</v>
      </c>
      <c r="E3956" s="25">
        <v>3221.75</v>
      </c>
      <c r="F3956" s="25">
        <v>4160906.0</v>
      </c>
    </row>
    <row r="3957">
      <c r="A3957" s="25">
        <v>44215.64583333333</v>
      </c>
      <c r="B3957" s="25">
        <v>3233.0</v>
      </c>
      <c r="C3957" s="25">
        <v>3279.0</v>
      </c>
      <c r="D3957" s="25">
        <v>3232.0</v>
      </c>
      <c r="E3957" s="25">
        <v>3260.7</v>
      </c>
      <c r="F3957" s="25">
        <v>2975735.0</v>
      </c>
    </row>
    <row r="3958">
      <c r="A3958" s="25">
        <v>44216.64583333333</v>
      </c>
      <c r="B3958" s="25">
        <v>3270.0</v>
      </c>
      <c r="C3958" s="25">
        <v>3327.95</v>
      </c>
      <c r="D3958" s="25">
        <v>3267.1</v>
      </c>
      <c r="E3958" s="25">
        <v>3308.8</v>
      </c>
      <c r="F3958" s="25">
        <v>3453446.0</v>
      </c>
    </row>
    <row r="3959">
      <c r="A3959" s="25">
        <v>44217.64583333333</v>
      </c>
      <c r="B3959" s="25">
        <v>3305.0</v>
      </c>
      <c r="C3959" s="25">
        <v>3309.15</v>
      </c>
      <c r="D3959" s="25">
        <v>3262.1</v>
      </c>
      <c r="E3959" s="25">
        <v>3273.85</v>
      </c>
      <c r="F3959" s="25">
        <v>2778546.0</v>
      </c>
    </row>
    <row r="3960">
      <c r="A3960" s="25">
        <v>44218.64583333333</v>
      </c>
      <c r="B3960" s="25">
        <v>3241.9</v>
      </c>
      <c r="C3960" s="25">
        <v>3325.0</v>
      </c>
      <c r="D3960" s="25">
        <v>3241.9</v>
      </c>
      <c r="E3960" s="25">
        <v>3303.1</v>
      </c>
      <c r="F3960" s="25">
        <v>3052459.0</v>
      </c>
    </row>
    <row r="3961">
      <c r="A3961" s="25">
        <v>44221.64583333333</v>
      </c>
      <c r="B3961" s="25">
        <v>3308.95</v>
      </c>
      <c r="C3961" s="25">
        <v>3339.8</v>
      </c>
      <c r="D3961" s="25">
        <v>3278.65</v>
      </c>
      <c r="E3961" s="25">
        <v>3291.3</v>
      </c>
      <c r="F3961" s="25">
        <v>2272887.0</v>
      </c>
    </row>
    <row r="3962">
      <c r="A3962" s="25">
        <v>44223.64583333333</v>
      </c>
      <c r="B3962" s="25">
        <v>3300.0</v>
      </c>
      <c r="C3962" s="25">
        <v>3306.45</v>
      </c>
      <c r="D3962" s="25">
        <v>3227.0</v>
      </c>
      <c r="E3962" s="25">
        <v>3261.05</v>
      </c>
      <c r="F3962" s="25">
        <v>2786662.0</v>
      </c>
    </row>
    <row r="3963">
      <c r="A3963" s="25">
        <v>44224.64583333333</v>
      </c>
      <c r="B3963" s="25">
        <v>3230.0</v>
      </c>
      <c r="C3963" s="25">
        <v>3275.0</v>
      </c>
      <c r="D3963" s="25">
        <v>3183.8</v>
      </c>
      <c r="E3963" s="25">
        <v>3196.55</v>
      </c>
      <c r="F3963" s="25">
        <v>3083938.0</v>
      </c>
    </row>
    <row r="3964">
      <c r="A3964" s="25">
        <v>44225.64583333333</v>
      </c>
      <c r="B3964" s="25">
        <v>3210.05</v>
      </c>
      <c r="C3964" s="25">
        <v>3216.85</v>
      </c>
      <c r="D3964" s="25">
        <v>3100.0</v>
      </c>
      <c r="E3964" s="25">
        <v>3111.35</v>
      </c>
      <c r="F3964" s="25">
        <v>5445659.0</v>
      </c>
    </row>
    <row r="3965">
      <c r="A3965" s="25">
        <v>44228.64583333333</v>
      </c>
      <c r="B3965" s="25">
        <v>3100.0</v>
      </c>
      <c r="C3965" s="25">
        <v>3165.0</v>
      </c>
      <c r="D3965" s="25">
        <v>3044.1</v>
      </c>
      <c r="E3965" s="25">
        <v>3139.35</v>
      </c>
      <c r="F3965" s="25">
        <v>3985846.0</v>
      </c>
    </row>
    <row r="3966">
      <c r="A3966" s="25">
        <v>44229.64583333333</v>
      </c>
      <c r="B3966" s="25">
        <v>3174.0</v>
      </c>
      <c r="C3966" s="25">
        <v>3224.0</v>
      </c>
      <c r="D3966" s="25">
        <v>3150.0</v>
      </c>
      <c r="E3966" s="25">
        <v>3203.45</v>
      </c>
      <c r="F3966" s="25">
        <v>2881837.0</v>
      </c>
    </row>
    <row r="3967">
      <c r="A3967" s="25">
        <v>44230.64583333333</v>
      </c>
      <c r="B3967" s="25">
        <v>3213.0</v>
      </c>
      <c r="C3967" s="25">
        <v>3236.0</v>
      </c>
      <c r="D3967" s="25">
        <v>3162.65</v>
      </c>
      <c r="E3967" s="25">
        <v>3200.05</v>
      </c>
      <c r="F3967" s="25">
        <v>2505866.0</v>
      </c>
    </row>
    <row r="3968">
      <c r="A3968" s="25">
        <v>44231.64583333333</v>
      </c>
      <c r="B3968" s="25">
        <v>3216.05</v>
      </c>
      <c r="C3968" s="25">
        <v>3237.85</v>
      </c>
      <c r="D3968" s="25">
        <v>3176.0</v>
      </c>
      <c r="E3968" s="25">
        <v>3188.45</v>
      </c>
      <c r="F3968" s="25">
        <v>2057261.0</v>
      </c>
    </row>
    <row r="3969">
      <c r="A3969" s="25">
        <v>44232.64583333333</v>
      </c>
      <c r="B3969" s="25">
        <v>3198.95</v>
      </c>
      <c r="C3969" s="25">
        <v>3205.85</v>
      </c>
      <c r="D3969" s="25">
        <v>3129.0</v>
      </c>
      <c r="E3969" s="25">
        <v>3157.95</v>
      </c>
      <c r="F3969" s="25">
        <v>2366135.0</v>
      </c>
    </row>
    <row r="3970">
      <c r="A3970" s="25">
        <v>44235.64583333333</v>
      </c>
      <c r="B3970" s="25">
        <v>3189.5</v>
      </c>
      <c r="C3970" s="25">
        <v>3226.0</v>
      </c>
      <c r="D3970" s="25">
        <v>3155.15</v>
      </c>
      <c r="E3970" s="25">
        <v>3214.1</v>
      </c>
      <c r="F3970" s="25">
        <v>2526592.0</v>
      </c>
    </row>
    <row r="3971">
      <c r="A3971" s="25">
        <v>44236.64583333333</v>
      </c>
      <c r="B3971" s="25">
        <v>3195.0</v>
      </c>
      <c r="C3971" s="25">
        <v>3245.8</v>
      </c>
      <c r="D3971" s="25">
        <v>3164.0</v>
      </c>
      <c r="E3971" s="25">
        <v>3176.9</v>
      </c>
      <c r="F3971" s="25">
        <v>2658751.0</v>
      </c>
    </row>
    <row r="3972">
      <c r="A3972" s="25">
        <v>44237.64583333333</v>
      </c>
      <c r="B3972" s="25">
        <v>3185.0</v>
      </c>
      <c r="C3972" s="25">
        <v>3219.4</v>
      </c>
      <c r="D3972" s="25">
        <v>3157.3</v>
      </c>
      <c r="E3972" s="25">
        <v>3213.3</v>
      </c>
      <c r="F3972" s="25">
        <v>2127983.0</v>
      </c>
    </row>
    <row r="3973">
      <c r="A3973" s="25">
        <v>44238.64583333333</v>
      </c>
      <c r="B3973" s="25">
        <v>3215.0</v>
      </c>
      <c r="C3973" s="25">
        <v>3219.3</v>
      </c>
      <c r="D3973" s="25">
        <v>3185.05</v>
      </c>
      <c r="E3973" s="25">
        <v>3206.0</v>
      </c>
      <c r="F3973" s="25">
        <v>1165882.0</v>
      </c>
    </row>
    <row r="3974">
      <c r="A3974" s="25">
        <v>44239.64583333333</v>
      </c>
      <c r="B3974" s="25">
        <v>3184.2</v>
      </c>
      <c r="C3974" s="25">
        <v>3245.5</v>
      </c>
      <c r="D3974" s="25">
        <v>3182.0</v>
      </c>
      <c r="E3974" s="25">
        <v>3190.8</v>
      </c>
      <c r="F3974" s="25">
        <v>2777404.0</v>
      </c>
    </row>
    <row r="3975">
      <c r="A3975" s="25">
        <v>44242.64583333333</v>
      </c>
      <c r="B3975" s="25">
        <v>3209.0</v>
      </c>
      <c r="C3975" s="25">
        <v>3209.0</v>
      </c>
      <c r="D3975" s="25">
        <v>3131.55</v>
      </c>
      <c r="E3975" s="25">
        <v>3139.85</v>
      </c>
      <c r="F3975" s="25">
        <v>2630853.0</v>
      </c>
    </row>
    <row r="3976">
      <c r="A3976" s="25">
        <v>44243.64583333333</v>
      </c>
      <c r="B3976" s="25">
        <v>3150.0</v>
      </c>
      <c r="C3976" s="25">
        <v>3167.65</v>
      </c>
      <c r="D3976" s="25">
        <v>3100.0</v>
      </c>
      <c r="E3976" s="25">
        <v>3108.8</v>
      </c>
      <c r="F3976" s="25">
        <v>3435770.0</v>
      </c>
    </row>
    <row r="3977">
      <c r="A3977" s="25">
        <v>44244.64583333333</v>
      </c>
      <c r="B3977" s="25">
        <v>3105.1</v>
      </c>
      <c r="C3977" s="25">
        <v>3132.85</v>
      </c>
      <c r="D3977" s="25">
        <v>3045.55</v>
      </c>
      <c r="E3977" s="25">
        <v>3073.1</v>
      </c>
      <c r="F3977" s="25">
        <v>3678426.0</v>
      </c>
    </row>
    <row r="3978">
      <c r="A3978" s="25">
        <v>44245.64583333333</v>
      </c>
      <c r="B3978" s="25">
        <v>3065.0</v>
      </c>
      <c r="C3978" s="25">
        <v>3097.9</v>
      </c>
      <c r="D3978" s="25">
        <v>3031.0</v>
      </c>
      <c r="E3978" s="25">
        <v>3057.35</v>
      </c>
      <c r="F3978" s="25">
        <v>4189909.0</v>
      </c>
    </row>
    <row r="3979">
      <c r="A3979" s="25">
        <v>44246.64583333333</v>
      </c>
      <c r="B3979" s="25">
        <v>3058.0</v>
      </c>
      <c r="C3979" s="25">
        <v>3087.15</v>
      </c>
      <c r="D3979" s="25">
        <v>3016.15</v>
      </c>
      <c r="E3979" s="25">
        <v>3071.85</v>
      </c>
      <c r="F3979" s="25">
        <v>3725028.0</v>
      </c>
    </row>
    <row r="3980">
      <c r="A3980" s="25">
        <v>44249.64583333333</v>
      </c>
      <c r="B3980" s="25">
        <v>3096.0</v>
      </c>
      <c r="C3980" s="25">
        <v>3096.0</v>
      </c>
      <c r="D3980" s="25">
        <v>2943.15</v>
      </c>
      <c r="E3980" s="25">
        <v>2958.45</v>
      </c>
      <c r="F3980" s="25">
        <v>5366696.0</v>
      </c>
    </row>
    <row r="3981">
      <c r="A3981" s="25">
        <v>44250.64583333333</v>
      </c>
      <c r="B3981" s="25">
        <v>2970.0</v>
      </c>
      <c r="C3981" s="25">
        <v>3028.0</v>
      </c>
      <c r="D3981" s="25">
        <v>2968.0</v>
      </c>
      <c r="E3981" s="25">
        <v>2980.2</v>
      </c>
      <c r="F3981" s="25">
        <v>3832829.0</v>
      </c>
    </row>
    <row r="3982">
      <c r="A3982" s="25">
        <v>44251.64583333333</v>
      </c>
      <c r="B3982" s="25">
        <v>2972.0</v>
      </c>
      <c r="C3982" s="25">
        <v>3003.35</v>
      </c>
      <c r="D3982" s="25">
        <v>2921.15</v>
      </c>
      <c r="E3982" s="25">
        <v>2948.1</v>
      </c>
      <c r="F3982" s="25">
        <v>3774549.0</v>
      </c>
    </row>
    <row r="3983">
      <c r="A3983" s="25">
        <v>44252.64583333333</v>
      </c>
      <c r="B3983" s="25">
        <v>2974.0</v>
      </c>
      <c r="C3983" s="25">
        <v>3029.9</v>
      </c>
      <c r="D3983" s="25">
        <v>2968.45</v>
      </c>
      <c r="E3983" s="25">
        <v>2995.3</v>
      </c>
      <c r="F3983" s="25">
        <v>4224073.0</v>
      </c>
    </row>
    <row r="3984">
      <c r="A3984" s="25">
        <v>44253.64583333333</v>
      </c>
      <c r="B3984" s="25">
        <v>2960.0</v>
      </c>
      <c r="C3984" s="25">
        <v>2972.35</v>
      </c>
      <c r="D3984" s="25">
        <v>2880.0</v>
      </c>
      <c r="E3984" s="25">
        <v>2894.3</v>
      </c>
      <c r="F3984" s="25">
        <v>5553153.0</v>
      </c>
    </row>
    <row r="3985">
      <c r="A3985" s="25">
        <v>44256.64583333333</v>
      </c>
      <c r="B3985" s="25">
        <v>2926.0</v>
      </c>
      <c r="C3985" s="25">
        <v>2965.0</v>
      </c>
      <c r="D3985" s="25">
        <v>2901.8</v>
      </c>
      <c r="E3985" s="25">
        <v>2924.2</v>
      </c>
      <c r="F3985" s="25">
        <v>3265871.0</v>
      </c>
    </row>
    <row r="3986">
      <c r="A3986" s="25">
        <v>44257.64583333333</v>
      </c>
      <c r="B3986" s="25">
        <v>2960.0</v>
      </c>
      <c r="C3986" s="25">
        <v>3025.0</v>
      </c>
      <c r="D3986" s="25">
        <v>2948.0</v>
      </c>
      <c r="E3986" s="25">
        <v>3006.35</v>
      </c>
      <c r="F3986" s="25">
        <v>3306469.0</v>
      </c>
    </row>
    <row r="3987">
      <c r="A3987" s="25">
        <v>44258.64583333333</v>
      </c>
      <c r="B3987" s="25">
        <v>3035.0</v>
      </c>
      <c r="C3987" s="25">
        <v>3064.0</v>
      </c>
      <c r="D3987" s="25">
        <v>2996.9</v>
      </c>
      <c r="E3987" s="25">
        <v>3059.1</v>
      </c>
      <c r="F3987" s="25">
        <v>3509857.0</v>
      </c>
    </row>
    <row r="3988">
      <c r="A3988" s="25">
        <v>44259.64583333333</v>
      </c>
      <c r="B3988" s="25">
        <v>3023.0</v>
      </c>
      <c r="C3988" s="25">
        <v>3081.45</v>
      </c>
      <c r="D3988" s="25">
        <v>3016.05</v>
      </c>
      <c r="E3988" s="25">
        <v>3049.7</v>
      </c>
      <c r="F3988" s="25">
        <v>3916760.0</v>
      </c>
    </row>
    <row r="3989">
      <c r="A3989" s="25">
        <v>44260.64583333333</v>
      </c>
      <c r="B3989" s="25">
        <v>3016.1</v>
      </c>
      <c r="C3989" s="25">
        <v>3063.2</v>
      </c>
      <c r="D3989" s="25">
        <v>2996.6</v>
      </c>
      <c r="E3989" s="25">
        <v>3008.05</v>
      </c>
      <c r="F3989" s="25">
        <v>3203686.0</v>
      </c>
    </row>
    <row r="3990">
      <c r="A3990" s="25">
        <v>44263.64583333333</v>
      </c>
      <c r="B3990" s="25">
        <v>3016.0</v>
      </c>
      <c r="C3990" s="25">
        <v>3033.0</v>
      </c>
      <c r="D3990" s="25">
        <v>2996.0</v>
      </c>
      <c r="E3990" s="25">
        <v>3006.95</v>
      </c>
      <c r="F3990" s="25">
        <v>2003125.0</v>
      </c>
    </row>
    <row r="3991">
      <c r="A3991" s="25">
        <v>44264.64583333333</v>
      </c>
      <c r="B3991" s="25">
        <v>3006.95</v>
      </c>
      <c r="C3991" s="25">
        <v>3066.9</v>
      </c>
      <c r="D3991" s="25">
        <v>2992.1</v>
      </c>
      <c r="E3991" s="25">
        <v>3050.95</v>
      </c>
      <c r="F3991" s="25">
        <v>1942397.0</v>
      </c>
    </row>
    <row r="3992">
      <c r="A3992" s="25">
        <v>44265.64583333333</v>
      </c>
      <c r="B3992" s="25">
        <v>3075.0</v>
      </c>
      <c r="C3992" s="25">
        <v>3093.2</v>
      </c>
      <c r="D3992" s="25">
        <v>3060.0</v>
      </c>
      <c r="E3992" s="25">
        <v>3070.95</v>
      </c>
      <c r="F3992" s="25">
        <v>3053778.0</v>
      </c>
    </row>
    <row r="3993">
      <c r="A3993" s="25">
        <v>44267.64583333333</v>
      </c>
      <c r="B3993" s="25">
        <v>3075.0</v>
      </c>
      <c r="C3993" s="25">
        <v>3117.0</v>
      </c>
      <c r="D3993" s="25">
        <v>3041.35</v>
      </c>
      <c r="E3993" s="25">
        <v>3057.95</v>
      </c>
      <c r="F3993" s="25">
        <v>2938317.0</v>
      </c>
    </row>
    <row r="3994">
      <c r="A3994" s="25">
        <v>44270.64583333333</v>
      </c>
      <c r="B3994" s="25">
        <v>3041.0</v>
      </c>
      <c r="C3994" s="25">
        <v>3099.0</v>
      </c>
      <c r="D3994" s="25">
        <v>3041.0</v>
      </c>
      <c r="E3994" s="25">
        <v>3066.15</v>
      </c>
      <c r="F3994" s="25">
        <v>3097140.0</v>
      </c>
    </row>
    <row r="3995">
      <c r="A3995" s="25">
        <v>44271.64583333333</v>
      </c>
      <c r="B3995" s="25">
        <v>3060.0</v>
      </c>
      <c r="C3995" s="25">
        <v>3141.0</v>
      </c>
      <c r="D3995" s="25">
        <v>3060.0</v>
      </c>
      <c r="E3995" s="25">
        <v>3110.05</v>
      </c>
      <c r="F3995" s="25">
        <v>4894756.0</v>
      </c>
    </row>
    <row r="3996">
      <c r="A3996" s="25">
        <v>44272.64583333333</v>
      </c>
      <c r="B3996" s="25">
        <v>3105.0</v>
      </c>
      <c r="C3996" s="25">
        <v>3155.0</v>
      </c>
      <c r="D3996" s="25">
        <v>3085.3</v>
      </c>
      <c r="E3996" s="25">
        <v>3112.95</v>
      </c>
      <c r="F3996" s="25">
        <v>3838390.0</v>
      </c>
    </row>
    <row r="3997">
      <c r="A3997" s="25">
        <v>44273.64583333333</v>
      </c>
      <c r="B3997" s="25">
        <v>3125.95</v>
      </c>
      <c r="C3997" s="25">
        <v>3146.45</v>
      </c>
      <c r="D3997" s="25">
        <v>2987.05</v>
      </c>
      <c r="E3997" s="25">
        <v>3036.5</v>
      </c>
      <c r="F3997" s="25">
        <v>3656306.0</v>
      </c>
    </row>
    <row r="3998">
      <c r="A3998" s="25">
        <v>44274.64583333333</v>
      </c>
      <c r="B3998" s="25">
        <v>3030.0</v>
      </c>
      <c r="C3998" s="25">
        <v>3099.0</v>
      </c>
      <c r="D3998" s="25">
        <v>3005.0</v>
      </c>
      <c r="E3998" s="25">
        <v>3050.2</v>
      </c>
      <c r="F3998" s="25">
        <v>5776626.0</v>
      </c>
    </row>
    <row r="3999">
      <c r="A3999" s="25">
        <v>44277.64583333333</v>
      </c>
      <c r="B3999" s="25">
        <v>3048.7</v>
      </c>
      <c r="C3999" s="25">
        <v>3139.45</v>
      </c>
      <c r="D3999" s="25">
        <v>3018.65</v>
      </c>
      <c r="E3999" s="25">
        <v>3129.65</v>
      </c>
      <c r="F3999" s="25">
        <v>2821646.0</v>
      </c>
    </row>
    <row r="4000">
      <c r="A4000" s="25">
        <v>44278.64583333333</v>
      </c>
      <c r="B4000" s="25">
        <v>3140.0</v>
      </c>
      <c r="C4000" s="25">
        <v>3169.0</v>
      </c>
      <c r="D4000" s="25">
        <v>3122.85</v>
      </c>
      <c r="E4000" s="25">
        <v>3142.6</v>
      </c>
      <c r="F4000" s="25">
        <v>3305973.0</v>
      </c>
    </row>
    <row r="4001">
      <c r="A4001" s="25">
        <v>44279.64583333333</v>
      </c>
      <c r="B4001" s="25">
        <v>3111.2</v>
      </c>
      <c r="C4001" s="25">
        <v>3152.3</v>
      </c>
      <c r="D4001" s="25">
        <v>3111.15</v>
      </c>
      <c r="E4001" s="25">
        <v>3121.1</v>
      </c>
      <c r="F4001" s="25">
        <v>2207104.0</v>
      </c>
    </row>
    <row r="4002">
      <c r="A4002" s="25">
        <v>44280.64583333333</v>
      </c>
      <c r="B4002" s="25">
        <v>3112.2</v>
      </c>
      <c r="C4002" s="25">
        <v>3130.85</v>
      </c>
      <c r="D4002" s="25">
        <v>3050.0</v>
      </c>
      <c r="E4002" s="25">
        <v>3064.85</v>
      </c>
      <c r="F4002" s="25">
        <v>3179786.0</v>
      </c>
    </row>
    <row r="4003">
      <c r="A4003" s="25">
        <v>44281.64583333333</v>
      </c>
      <c r="B4003" s="25">
        <v>3090.65</v>
      </c>
      <c r="C4003" s="25">
        <v>3118.0</v>
      </c>
      <c r="D4003" s="25">
        <v>3043.05</v>
      </c>
      <c r="E4003" s="25">
        <v>3066.8</v>
      </c>
      <c r="F4003" s="25">
        <v>3697370.0</v>
      </c>
    </row>
    <row r="4004">
      <c r="A4004" s="25">
        <v>44285.64583333333</v>
      </c>
      <c r="B4004" s="25">
        <v>3083.0</v>
      </c>
      <c r="C4004" s="25">
        <v>3188.45</v>
      </c>
      <c r="D4004" s="25">
        <v>3060.9</v>
      </c>
      <c r="E4004" s="25">
        <v>3158.55</v>
      </c>
      <c r="F4004" s="25">
        <v>4694261.0</v>
      </c>
    </row>
    <row r="4005">
      <c r="A4005" s="25">
        <v>44286.64583333333</v>
      </c>
      <c r="B4005" s="25">
        <v>3155.0</v>
      </c>
      <c r="C4005" s="25">
        <v>3205.0</v>
      </c>
      <c r="D4005" s="25">
        <v>3132.0</v>
      </c>
      <c r="E4005" s="25">
        <v>3177.85</v>
      </c>
      <c r="F4005" s="25">
        <v>3530069.0</v>
      </c>
    </row>
    <row r="4006">
      <c r="A4006" s="25">
        <v>44287.64583333333</v>
      </c>
      <c r="B4006" s="25">
        <v>3191.1</v>
      </c>
      <c r="C4006" s="25">
        <v>3215.0</v>
      </c>
      <c r="D4006" s="25">
        <v>3145.0</v>
      </c>
      <c r="E4006" s="25">
        <v>3165.0</v>
      </c>
      <c r="F4006" s="25">
        <v>4285076.0</v>
      </c>
    </row>
    <row r="4007">
      <c r="A4007" s="25">
        <v>44291.64583333333</v>
      </c>
      <c r="B4007" s="25">
        <v>3171.0</v>
      </c>
      <c r="C4007" s="25">
        <v>3263.0</v>
      </c>
      <c r="D4007" s="25">
        <v>3151.0</v>
      </c>
      <c r="E4007" s="25">
        <v>3238.9</v>
      </c>
      <c r="F4007" s="25">
        <v>5317862.0</v>
      </c>
    </row>
    <row r="4008">
      <c r="A4008" s="25">
        <v>44292.64583333333</v>
      </c>
      <c r="B4008" s="25">
        <v>3275.0</v>
      </c>
      <c r="C4008" s="25">
        <v>3275.0</v>
      </c>
      <c r="D4008" s="25">
        <v>3230.0</v>
      </c>
      <c r="E4008" s="25">
        <v>3264.7</v>
      </c>
      <c r="F4008" s="25">
        <v>2291562.0</v>
      </c>
    </row>
    <row r="4009">
      <c r="A4009" s="25">
        <v>44293.64583333333</v>
      </c>
      <c r="B4009" s="25">
        <v>3259.0</v>
      </c>
      <c r="C4009" s="25">
        <v>3277.55</v>
      </c>
      <c r="D4009" s="25">
        <v>3234.8</v>
      </c>
      <c r="E4009" s="25">
        <v>3271.4</v>
      </c>
      <c r="F4009" s="25">
        <v>2491268.0</v>
      </c>
    </row>
    <row r="4010">
      <c r="A4010" s="25">
        <v>44294.64583333333</v>
      </c>
      <c r="B4010" s="25">
        <v>3270.0</v>
      </c>
      <c r="C4010" s="25">
        <v>3335.0</v>
      </c>
      <c r="D4010" s="25">
        <v>3266.05</v>
      </c>
      <c r="E4010" s="25">
        <v>3317.35</v>
      </c>
      <c r="F4010" s="25">
        <v>2578118.0</v>
      </c>
    </row>
    <row r="4011">
      <c r="A4011" s="25">
        <v>44295.64583333333</v>
      </c>
      <c r="B4011" s="25">
        <v>3354.0</v>
      </c>
      <c r="C4011" s="25">
        <v>3354.35</v>
      </c>
      <c r="D4011" s="25">
        <v>3308.0</v>
      </c>
      <c r="E4011" s="25">
        <v>3322.25</v>
      </c>
      <c r="F4011" s="25">
        <v>2911129.0</v>
      </c>
    </row>
    <row r="4012">
      <c r="A4012" s="25">
        <v>44298.64583333333</v>
      </c>
      <c r="B4012" s="25">
        <v>3322.25</v>
      </c>
      <c r="C4012" s="25">
        <v>3338.1</v>
      </c>
      <c r="D4012" s="25">
        <v>3213.2</v>
      </c>
      <c r="E4012" s="25">
        <v>3246.55</v>
      </c>
      <c r="F4012" s="25">
        <v>3791828.0</v>
      </c>
    </row>
    <row r="4013">
      <c r="A4013" s="25">
        <v>44299.64583333333</v>
      </c>
      <c r="B4013" s="25">
        <v>3214.0</v>
      </c>
      <c r="C4013" s="25">
        <v>3214.0</v>
      </c>
      <c r="D4013" s="25">
        <v>3073.05</v>
      </c>
      <c r="E4013" s="25">
        <v>3104.05</v>
      </c>
      <c r="F4013" s="25">
        <v>8654596.0</v>
      </c>
    </row>
    <row r="4014">
      <c r="A4014" s="25">
        <v>44301.64583333333</v>
      </c>
      <c r="B4014" s="25">
        <v>3160.3</v>
      </c>
      <c r="C4014" s="25">
        <v>3237.25</v>
      </c>
      <c r="D4014" s="25">
        <v>3087.45</v>
      </c>
      <c r="E4014" s="25">
        <v>3218.95</v>
      </c>
      <c r="F4014" s="25">
        <v>6062760.0</v>
      </c>
    </row>
    <row r="4015">
      <c r="A4015" s="25">
        <v>44302.64583333333</v>
      </c>
      <c r="B4015" s="25">
        <v>3229.0</v>
      </c>
      <c r="C4015" s="25">
        <v>3247.0</v>
      </c>
      <c r="D4015" s="25">
        <v>3182.6</v>
      </c>
      <c r="E4015" s="25">
        <v>3195.15</v>
      </c>
      <c r="F4015" s="25">
        <v>3224657.0</v>
      </c>
    </row>
    <row r="4016">
      <c r="A4016" s="25">
        <v>44305.64583333333</v>
      </c>
      <c r="B4016" s="25">
        <v>3169.0</v>
      </c>
      <c r="C4016" s="25">
        <v>3189.0</v>
      </c>
      <c r="D4016" s="25">
        <v>3135.1</v>
      </c>
      <c r="E4016" s="25">
        <v>3161.8</v>
      </c>
      <c r="F4016" s="25">
        <v>2679106.0</v>
      </c>
    </row>
    <row r="4017">
      <c r="A4017" s="25">
        <v>44306.64583333333</v>
      </c>
      <c r="B4017" s="25">
        <v>3225.0</v>
      </c>
      <c r="C4017" s="25">
        <v>3225.35</v>
      </c>
      <c r="D4017" s="25">
        <v>3126.35</v>
      </c>
      <c r="E4017" s="25">
        <v>3144.55</v>
      </c>
      <c r="F4017" s="25">
        <v>3141893.0</v>
      </c>
    </row>
    <row r="4018">
      <c r="A4018" s="25">
        <v>44308.64583333333</v>
      </c>
      <c r="B4018" s="25">
        <v>3148.0</v>
      </c>
      <c r="C4018" s="25">
        <v>3148.0</v>
      </c>
      <c r="D4018" s="25">
        <v>3105.25</v>
      </c>
      <c r="E4018" s="25">
        <v>3118.8</v>
      </c>
      <c r="F4018" s="25">
        <v>1988980.0</v>
      </c>
    </row>
    <row r="4019">
      <c r="A4019" s="25">
        <v>44309.64583333333</v>
      </c>
      <c r="B4019" s="25">
        <v>3105.0</v>
      </c>
      <c r="C4019" s="25">
        <v>3119.0</v>
      </c>
      <c r="D4019" s="25">
        <v>3091.05</v>
      </c>
      <c r="E4019" s="25">
        <v>3109.5</v>
      </c>
      <c r="F4019" s="25">
        <v>1615309.0</v>
      </c>
    </row>
    <row r="4020">
      <c r="A4020" s="25">
        <v>44312.64583333333</v>
      </c>
      <c r="B4020" s="25">
        <v>3102.05</v>
      </c>
      <c r="C4020" s="25">
        <v>3153.0</v>
      </c>
      <c r="D4020" s="25">
        <v>3088.05</v>
      </c>
      <c r="E4020" s="25">
        <v>3100.8</v>
      </c>
      <c r="F4020" s="25">
        <v>2490260.0</v>
      </c>
    </row>
    <row r="4021">
      <c r="A4021" s="25">
        <v>44313.64583333333</v>
      </c>
      <c r="B4021" s="25">
        <v>3106.0</v>
      </c>
      <c r="C4021" s="25">
        <v>3136.1</v>
      </c>
      <c r="D4021" s="25">
        <v>3103.0</v>
      </c>
      <c r="E4021" s="25">
        <v>3132.0</v>
      </c>
      <c r="F4021" s="25">
        <v>1471417.0</v>
      </c>
    </row>
    <row r="4022">
      <c r="A4022" s="25">
        <v>44314.64583333333</v>
      </c>
      <c r="B4022" s="25">
        <v>3149.95</v>
      </c>
      <c r="C4022" s="25">
        <v>3151.0</v>
      </c>
      <c r="D4022" s="25">
        <v>3112.0</v>
      </c>
      <c r="E4022" s="25">
        <v>3124.1</v>
      </c>
      <c r="F4022" s="25">
        <v>1639037.0</v>
      </c>
    </row>
    <row r="4023">
      <c r="A4023" s="25">
        <v>44315.64583333333</v>
      </c>
      <c r="B4023" s="25">
        <v>3145.6</v>
      </c>
      <c r="C4023" s="25">
        <v>3157.35</v>
      </c>
      <c r="D4023" s="25">
        <v>3105.5</v>
      </c>
      <c r="E4023" s="25">
        <v>3115.25</v>
      </c>
      <c r="F4023" s="25">
        <v>1621395.0</v>
      </c>
    </row>
    <row r="4024">
      <c r="A4024" s="25">
        <v>44316.64583333333</v>
      </c>
      <c r="B4024" s="25">
        <v>3099.0</v>
      </c>
      <c r="C4024" s="25">
        <v>3132.05</v>
      </c>
      <c r="D4024" s="25">
        <v>3020.0</v>
      </c>
      <c r="E4024" s="25">
        <v>3035.65</v>
      </c>
      <c r="F4024" s="25">
        <v>3072305.0</v>
      </c>
    </row>
    <row r="4025">
      <c r="A4025" s="25">
        <v>44319.64583333333</v>
      </c>
      <c r="B4025" s="25">
        <v>3024.9</v>
      </c>
      <c r="C4025" s="25">
        <v>3055.0</v>
      </c>
      <c r="D4025" s="25">
        <v>3004.0</v>
      </c>
      <c r="E4025" s="25">
        <v>3037.0</v>
      </c>
      <c r="F4025" s="25">
        <v>1545831.0</v>
      </c>
    </row>
    <row r="4026">
      <c r="A4026" s="25">
        <v>44320.64583333333</v>
      </c>
      <c r="B4026" s="25">
        <v>3062.8</v>
      </c>
      <c r="C4026" s="25">
        <v>3090.0</v>
      </c>
      <c r="D4026" s="25">
        <v>3035.0</v>
      </c>
      <c r="E4026" s="25">
        <v>3049.75</v>
      </c>
      <c r="F4026" s="25">
        <v>1990777.0</v>
      </c>
    </row>
    <row r="4027">
      <c r="A4027" s="25">
        <v>44321.64583333333</v>
      </c>
      <c r="B4027" s="25">
        <v>3070.0</v>
      </c>
      <c r="C4027" s="25">
        <v>3099.4</v>
      </c>
      <c r="D4027" s="25">
        <v>3052.4</v>
      </c>
      <c r="E4027" s="25">
        <v>3095.7</v>
      </c>
      <c r="F4027" s="25">
        <v>1939289.0</v>
      </c>
    </row>
    <row r="4028">
      <c r="A4028" s="25">
        <v>44322.64583333333</v>
      </c>
      <c r="B4028" s="25">
        <v>3105.5</v>
      </c>
      <c r="C4028" s="25">
        <v>3134.0</v>
      </c>
      <c r="D4028" s="25">
        <v>3074.0</v>
      </c>
      <c r="E4028" s="25">
        <v>3111.45</v>
      </c>
      <c r="F4028" s="25">
        <v>1791671.0</v>
      </c>
    </row>
    <row r="4029">
      <c r="A4029" s="25">
        <v>44323.64583333333</v>
      </c>
      <c r="B4029" s="25">
        <v>3133.0</v>
      </c>
      <c r="C4029" s="25">
        <v>3159.85</v>
      </c>
      <c r="D4029" s="25">
        <v>3111.8</v>
      </c>
      <c r="E4029" s="25">
        <v>3132.9</v>
      </c>
      <c r="F4029" s="25">
        <v>1912540.0</v>
      </c>
    </row>
    <row r="4030">
      <c r="A4030" s="25">
        <v>44326.64583333333</v>
      </c>
      <c r="B4030" s="25">
        <v>3145.95</v>
      </c>
      <c r="C4030" s="25">
        <v>3164.2</v>
      </c>
      <c r="D4030" s="25">
        <v>3125.0</v>
      </c>
      <c r="E4030" s="25">
        <v>3145.5</v>
      </c>
      <c r="F4030" s="25">
        <v>2137153.0</v>
      </c>
    </row>
    <row r="4031">
      <c r="A4031" s="25">
        <v>44327.64583333333</v>
      </c>
      <c r="B4031" s="25">
        <v>3125.0</v>
      </c>
      <c r="C4031" s="25">
        <v>3128.1</v>
      </c>
      <c r="D4031" s="25">
        <v>3091.15</v>
      </c>
      <c r="E4031" s="25">
        <v>3122.6</v>
      </c>
      <c r="F4031" s="25">
        <v>2415625.0</v>
      </c>
    </row>
    <row r="4032">
      <c r="A4032" s="25">
        <v>44328.64583333333</v>
      </c>
      <c r="B4032" s="25">
        <v>3120.0</v>
      </c>
      <c r="C4032" s="25">
        <v>3120.0</v>
      </c>
      <c r="D4032" s="25">
        <v>3070.6</v>
      </c>
      <c r="E4032" s="25">
        <v>3087.6</v>
      </c>
      <c r="F4032" s="25">
        <v>1978558.0</v>
      </c>
    </row>
    <row r="4033">
      <c r="A4033" s="25">
        <v>44330.64583333333</v>
      </c>
      <c r="B4033" s="25">
        <v>3098.5</v>
      </c>
      <c r="C4033" s="25">
        <v>3098.5</v>
      </c>
      <c r="D4033" s="25">
        <v>3040.0</v>
      </c>
      <c r="E4033" s="25">
        <v>3051.5</v>
      </c>
      <c r="F4033" s="25">
        <v>2043935.0</v>
      </c>
    </row>
    <row r="4034">
      <c r="A4034" s="25">
        <v>44333.64583333333</v>
      </c>
      <c r="B4034" s="25">
        <v>3055.0</v>
      </c>
      <c r="C4034" s="25">
        <v>3075.2</v>
      </c>
      <c r="D4034" s="25">
        <v>3036.0</v>
      </c>
      <c r="E4034" s="25">
        <v>3069.75</v>
      </c>
      <c r="F4034" s="25">
        <v>2890462.0</v>
      </c>
    </row>
    <row r="4035">
      <c r="A4035" s="25">
        <v>44334.64583333333</v>
      </c>
      <c r="B4035" s="25">
        <v>3100.0</v>
      </c>
      <c r="C4035" s="25">
        <v>3124.0</v>
      </c>
      <c r="D4035" s="25">
        <v>3078.0</v>
      </c>
      <c r="E4035" s="25">
        <v>3088.8</v>
      </c>
      <c r="F4035" s="25">
        <v>2098538.0</v>
      </c>
    </row>
    <row r="4036">
      <c r="A4036" s="25">
        <v>44335.64583333333</v>
      </c>
      <c r="B4036" s="25">
        <v>3084.0</v>
      </c>
      <c r="C4036" s="25">
        <v>3118.0</v>
      </c>
      <c r="D4036" s="25">
        <v>3067.1</v>
      </c>
      <c r="E4036" s="25">
        <v>3082.0</v>
      </c>
      <c r="F4036" s="25">
        <v>1986041.0</v>
      </c>
    </row>
    <row r="4037">
      <c r="A4037" s="25">
        <v>44336.64583333333</v>
      </c>
      <c r="B4037" s="25">
        <v>3067.1</v>
      </c>
      <c r="C4037" s="25">
        <v>3088.8</v>
      </c>
      <c r="D4037" s="25">
        <v>3052.1</v>
      </c>
      <c r="E4037" s="25">
        <v>3060.0</v>
      </c>
      <c r="F4037" s="25">
        <v>2329027.0</v>
      </c>
    </row>
    <row r="4038">
      <c r="A4038" s="25">
        <v>44337.64583333333</v>
      </c>
      <c r="B4038" s="25">
        <v>3061.0</v>
      </c>
      <c r="C4038" s="25">
        <v>3088.2</v>
      </c>
      <c r="D4038" s="25">
        <v>3055.1</v>
      </c>
      <c r="E4038" s="25">
        <v>3080.5</v>
      </c>
      <c r="F4038" s="25">
        <v>1685566.0</v>
      </c>
    </row>
    <row r="4039">
      <c r="A4039" s="25">
        <v>44340.64583333333</v>
      </c>
      <c r="B4039" s="25">
        <v>3081.5</v>
      </c>
      <c r="C4039" s="25">
        <v>3105.0</v>
      </c>
      <c r="D4039" s="25">
        <v>3072.0</v>
      </c>
      <c r="E4039" s="25">
        <v>3081.5</v>
      </c>
      <c r="F4039" s="25">
        <v>1652260.0</v>
      </c>
    </row>
    <row r="4040">
      <c r="A4040" s="25">
        <v>44341.64583333333</v>
      </c>
      <c r="B4040" s="25">
        <v>3092.0</v>
      </c>
      <c r="C4040" s="25">
        <v>3128.25</v>
      </c>
      <c r="D4040" s="25">
        <v>3082.1</v>
      </c>
      <c r="E4040" s="25">
        <v>3114.0</v>
      </c>
      <c r="F4040" s="25">
        <v>1841613.0</v>
      </c>
    </row>
    <row r="4041">
      <c r="A4041" s="25">
        <v>44342.64583333333</v>
      </c>
      <c r="B4041" s="25">
        <v>3120.0</v>
      </c>
      <c r="C4041" s="25">
        <v>3165.0</v>
      </c>
      <c r="D4041" s="25">
        <v>3103.8</v>
      </c>
      <c r="E4041" s="25">
        <v>3158.5</v>
      </c>
      <c r="F4041" s="25">
        <v>1923753.0</v>
      </c>
    </row>
    <row r="4042">
      <c r="A4042" s="25">
        <v>44343.64583333333</v>
      </c>
      <c r="B4042" s="25">
        <v>3161.95</v>
      </c>
      <c r="C4042" s="25">
        <v>3217.75</v>
      </c>
      <c r="D4042" s="25">
        <v>3161.8</v>
      </c>
      <c r="E4042" s="25">
        <v>3180.0</v>
      </c>
      <c r="F4042" s="25">
        <v>5959785.0</v>
      </c>
    </row>
    <row r="4043">
      <c r="A4043" s="25">
        <v>44344.64583333333</v>
      </c>
      <c r="B4043" s="25">
        <v>3189.5</v>
      </c>
      <c r="C4043" s="25">
        <v>3198.0</v>
      </c>
      <c r="D4043" s="25">
        <v>3135.65</v>
      </c>
      <c r="E4043" s="25">
        <v>3143.6</v>
      </c>
      <c r="F4043" s="25">
        <v>1763701.0</v>
      </c>
    </row>
    <row r="4044">
      <c r="A4044" s="25">
        <v>44347.64583333333</v>
      </c>
      <c r="B4044" s="25">
        <v>3150.0</v>
      </c>
      <c r="C4044" s="25">
        <v>3170.35</v>
      </c>
      <c r="D4044" s="25">
        <v>3128.6</v>
      </c>
      <c r="E4044" s="25">
        <v>3159.15</v>
      </c>
      <c r="F4044" s="25">
        <v>1652799.0</v>
      </c>
    </row>
    <row r="4045">
      <c r="A4045" s="25">
        <v>44348.64583333333</v>
      </c>
      <c r="B4045" s="25">
        <v>3168.6</v>
      </c>
      <c r="C4045" s="25">
        <v>3169.95</v>
      </c>
      <c r="D4045" s="25">
        <v>3132.0</v>
      </c>
      <c r="E4045" s="25">
        <v>3153.0</v>
      </c>
      <c r="F4045" s="25">
        <v>1377441.0</v>
      </c>
    </row>
    <row r="4046">
      <c r="A4046" s="25">
        <v>44349.64583333333</v>
      </c>
      <c r="B4046" s="25">
        <v>3150.85</v>
      </c>
      <c r="C4046" s="25">
        <v>3159.45</v>
      </c>
      <c r="D4046" s="25">
        <v>3115.0</v>
      </c>
      <c r="E4046" s="25">
        <v>3129.45</v>
      </c>
      <c r="F4046" s="25">
        <v>2240078.0</v>
      </c>
    </row>
    <row r="4047">
      <c r="A4047" s="25">
        <v>44350.64583333333</v>
      </c>
      <c r="B4047" s="25">
        <v>3154.55</v>
      </c>
      <c r="C4047" s="25">
        <v>3154.55</v>
      </c>
      <c r="D4047" s="25">
        <v>3122.65</v>
      </c>
      <c r="E4047" s="25">
        <v>3141.25</v>
      </c>
      <c r="F4047" s="25">
        <v>1281706.0</v>
      </c>
    </row>
    <row r="4048">
      <c r="A4048" s="25">
        <v>44351.64583333333</v>
      </c>
      <c r="B4048" s="25">
        <v>3128.0</v>
      </c>
      <c r="C4048" s="25">
        <v>3156.85</v>
      </c>
      <c r="D4048" s="25">
        <v>3125.0</v>
      </c>
      <c r="E4048" s="25">
        <v>3143.75</v>
      </c>
      <c r="F4048" s="25">
        <v>1836060.0</v>
      </c>
    </row>
    <row r="4049">
      <c r="A4049" s="25">
        <v>44354.64583333333</v>
      </c>
      <c r="B4049" s="25">
        <v>3145.0</v>
      </c>
      <c r="C4049" s="25">
        <v>3190.45</v>
      </c>
      <c r="D4049" s="25">
        <v>3133.6</v>
      </c>
      <c r="E4049" s="25">
        <v>3183.2</v>
      </c>
      <c r="F4049" s="25">
        <v>2559821.0</v>
      </c>
    </row>
    <row r="4050">
      <c r="A4050" s="25">
        <v>44355.64583333333</v>
      </c>
      <c r="B4050" s="25">
        <v>3198.0</v>
      </c>
      <c r="C4050" s="25">
        <v>3231.0</v>
      </c>
      <c r="D4050" s="25">
        <v>3187.2</v>
      </c>
      <c r="E4050" s="25">
        <v>3200.15</v>
      </c>
      <c r="F4050" s="25">
        <v>2574057.0</v>
      </c>
    </row>
    <row r="4051">
      <c r="A4051" s="25">
        <v>44356.64583333333</v>
      </c>
      <c r="B4051" s="25">
        <v>3202.0</v>
      </c>
      <c r="C4051" s="25">
        <v>3220.0</v>
      </c>
      <c r="D4051" s="25">
        <v>3186.2</v>
      </c>
      <c r="E4051" s="25">
        <v>3200.25</v>
      </c>
      <c r="F4051" s="25">
        <v>1710925.0</v>
      </c>
    </row>
    <row r="4052">
      <c r="A4052" s="25">
        <v>44357.64583333333</v>
      </c>
      <c r="B4052" s="25">
        <v>3210.0</v>
      </c>
      <c r="C4052" s="25">
        <v>3224.0</v>
      </c>
      <c r="D4052" s="25">
        <v>3193.0</v>
      </c>
      <c r="E4052" s="25">
        <v>3216.8</v>
      </c>
      <c r="F4052" s="25">
        <v>1874324.0</v>
      </c>
    </row>
    <row r="4053">
      <c r="A4053" s="25">
        <v>44358.64583333333</v>
      </c>
      <c r="B4053" s="25">
        <v>3211.55</v>
      </c>
      <c r="C4053" s="25">
        <v>3309.0</v>
      </c>
      <c r="D4053" s="25">
        <v>3211.0</v>
      </c>
      <c r="E4053" s="25">
        <v>3273.8</v>
      </c>
      <c r="F4053" s="25">
        <v>3452954.0</v>
      </c>
    </row>
    <row r="4054">
      <c r="A4054" s="25">
        <v>44361.64583333333</v>
      </c>
      <c r="B4054" s="25">
        <v>3279.0</v>
      </c>
      <c r="C4054" s="25">
        <v>3308.7</v>
      </c>
      <c r="D4054" s="25">
        <v>3270.35</v>
      </c>
      <c r="E4054" s="25">
        <v>3276.35</v>
      </c>
      <c r="F4054" s="25">
        <v>1847360.0</v>
      </c>
    </row>
    <row r="4055">
      <c r="A4055" s="25">
        <v>44362.64583333333</v>
      </c>
      <c r="B4055" s="25">
        <v>3298.0</v>
      </c>
      <c r="C4055" s="25">
        <v>3298.0</v>
      </c>
      <c r="D4055" s="25">
        <v>3251.55</v>
      </c>
      <c r="E4055" s="25">
        <v>3262.75</v>
      </c>
      <c r="F4055" s="25">
        <v>1304985.0</v>
      </c>
    </row>
    <row r="4056">
      <c r="A4056" s="25">
        <v>44363.64583333333</v>
      </c>
      <c r="B4056" s="25">
        <v>3262.1</v>
      </c>
      <c r="C4056" s="25">
        <v>3294.7</v>
      </c>
      <c r="D4056" s="25">
        <v>3253.0</v>
      </c>
      <c r="E4056" s="25">
        <v>3274.35</v>
      </c>
      <c r="F4056" s="25">
        <v>1635552.0</v>
      </c>
    </row>
    <row r="4057">
      <c r="A4057" s="25">
        <v>44364.64583333333</v>
      </c>
      <c r="B4057" s="25">
        <v>3265.5</v>
      </c>
      <c r="C4057" s="25">
        <v>3336.05</v>
      </c>
      <c r="D4057" s="25">
        <v>3260.0</v>
      </c>
      <c r="E4057" s="25">
        <v>3317.75</v>
      </c>
      <c r="F4057" s="25">
        <v>2273413.0</v>
      </c>
    </row>
    <row r="4058">
      <c r="A4058" s="25">
        <v>44365.64583333333</v>
      </c>
      <c r="B4058" s="25">
        <v>3350.9</v>
      </c>
      <c r="C4058" s="25">
        <v>3358.0</v>
      </c>
      <c r="D4058" s="25">
        <v>3275.0</v>
      </c>
      <c r="E4058" s="25">
        <v>3297.3</v>
      </c>
      <c r="F4058" s="25">
        <v>3380431.0</v>
      </c>
    </row>
    <row r="4059">
      <c r="A4059" s="25">
        <v>44368.64583333333</v>
      </c>
      <c r="B4059" s="25">
        <v>3265.0</v>
      </c>
      <c r="C4059" s="25">
        <v>3286.0</v>
      </c>
      <c r="D4059" s="25">
        <v>3251.7</v>
      </c>
      <c r="E4059" s="25">
        <v>3273.1</v>
      </c>
      <c r="F4059" s="25">
        <v>1130569.0</v>
      </c>
    </row>
    <row r="4060">
      <c r="A4060" s="25">
        <v>44369.64583333333</v>
      </c>
      <c r="B4060" s="25">
        <v>3304.0</v>
      </c>
      <c r="C4060" s="25">
        <v>3327.05</v>
      </c>
      <c r="D4060" s="25">
        <v>3285.0</v>
      </c>
      <c r="E4060" s="25">
        <v>3301.2</v>
      </c>
      <c r="F4060" s="25">
        <v>1708688.0</v>
      </c>
    </row>
    <row r="4061">
      <c r="A4061" s="25">
        <v>44370.64583333333</v>
      </c>
      <c r="B4061" s="25">
        <v>3329.0</v>
      </c>
      <c r="C4061" s="25">
        <v>3329.0</v>
      </c>
      <c r="D4061" s="25">
        <v>3256.4</v>
      </c>
      <c r="E4061" s="25">
        <v>3261.4</v>
      </c>
      <c r="F4061" s="25">
        <v>1467104.0</v>
      </c>
    </row>
    <row r="4062">
      <c r="A4062" s="25">
        <v>44371.64583333333</v>
      </c>
      <c r="B4062" s="25">
        <v>3284.0</v>
      </c>
      <c r="C4062" s="25">
        <v>3383.0</v>
      </c>
      <c r="D4062" s="25">
        <v>3278.5</v>
      </c>
      <c r="E4062" s="25">
        <v>3373.6</v>
      </c>
      <c r="F4062" s="25">
        <v>4155204.0</v>
      </c>
    </row>
    <row r="4063">
      <c r="A4063" s="25">
        <v>44372.64583333333</v>
      </c>
      <c r="B4063" s="25">
        <v>3375.25</v>
      </c>
      <c r="C4063" s="25">
        <v>3399.65</v>
      </c>
      <c r="D4063" s="25">
        <v>3350.0</v>
      </c>
      <c r="E4063" s="25">
        <v>3380.8</v>
      </c>
      <c r="F4063" s="25">
        <v>2722861.0</v>
      </c>
    </row>
    <row r="4064">
      <c r="A4064" s="25">
        <v>44375.64583333333</v>
      </c>
      <c r="B4064" s="25">
        <v>3391.5</v>
      </c>
      <c r="C4064" s="25">
        <v>3391.5</v>
      </c>
      <c r="D4064" s="25">
        <v>3333.0</v>
      </c>
      <c r="E4064" s="25">
        <v>3336.75</v>
      </c>
      <c r="F4064" s="25">
        <v>1355238.0</v>
      </c>
    </row>
    <row r="4065">
      <c r="A4065" s="25">
        <v>44376.64583333333</v>
      </c>
      <c r="B4065" s="25">
        <v>3342.0</v>
      </c>
      <c r="C4065" s="25">
        <v>3366.3</v>
      </c>
      <c r="D4065" s="25">
        <v>3326.5</v>
      </c>
      <c r="E4065" s="25">
        <v>3340.85</v>
      </c>
      <c r="F4065" s="25">
        <v>1497322.0</v>
      </c>
    </row>
    <row r="4066">
      <c r="A4066" s="25">
        <v>44377.64583333333</v>
      </c>
      <c r="B4066" s="25">
        <v>3346.0</v>
      </c>
      <c r="C4066" s="25">
        <v>3382.0</v>
      </c>
      <c r="D4066" s="25">
        <v>3338.5</v>
      </c>
      <c r="E4066" s="25">
        <v>3345.75</v>
      </c>
      <c r="F4066" s="25">
        <v>1693146.0</v>
      </c>
    </row>
    <row r="4067">
      <c r="A4067" s="25">
        <v>44378.64583333333</v>
      </c>
      <c r="B4067" s="25">
        <v>3358.0</v>
      </c>
      <c r="C4067" s="25">
        <v>3362.0</v>
      </c>
      <c r="D4067" s="25">
        <v>3332.35</v>
      </c>
      <c r="E4067" s="25">
        <v>3341.5</v>
      </c>
      <c r="F4067" s="25">
        <v>990310.0</v>
      </c>
    </row>
    <row r="4068">
      <c r="A4068" s="25">
        <v>44379.64583333333</v>
      </c>
      <c r="B4068" s="25">
        <v>3331.0</v>
      </c>
      <c r="C4068" s="25">
        <v>3339.7</v>
      </c>
      <c r="D4068" s="25">
        <v>3295.2</v>
      </c>
      <c r="E4068" s="25">
        <v>3325.45</v>
      </c>
      <c r="F4068" s="25">
        <v>1682274.0</v>
      </c>
    </row>
    <row r="4069">
      <c r="A4069" s="25">
        <v>44382.64583333333</v>
      </c>
      <c r="B4069" s="25">
        <v>3342.0</v>
      </c>
      <c r="C4069" s="25">
        <v>3374.0</v>
      </c>
      <c r="D4069" s="25">
        <v>3302.0</v>
      </c>
      <c r="E4069" s="25">
        <v>3321.0</v>
      </c>
      <c r="F4069" s="25">
        <v>1972858.0</v>
      </c>
    </row>
    <row r="4070">
      <c r="A4070" s="25">
        <v>44383.64583333333</v>
      </c>
      <c r="B4070" s="25">
        <v>3313.0</v>
      </c>
      <c r="C4070" s="25">
        <v>3328.0</v>
      </c>
      <c r="D4070" s="25">
        <v>3256.1</v>
      </c>
      <c r="E4070" s="25">
        <v>3262.3</v>
      </c>
      <c r="F4070" s="25">
        <v>2159420.0</v>
      </c>
    </row>
    <row r="4071">
      <c r="A4071" s="25">
        <v>44384.64583333333</v>
      </c>
      <c r="B4071" s="25">
        <v>3275.0</v>
      </c>
      <c r="C4071" s="25">
        <v>3282.7</v>
      </c>
      <c r="D4071" s="25">
        <v>3241.6</v>
      </c>
      <c r="E4071" s="25">
        <v>3274.95</v>
      </c>
      <c r="F4071" s="25">
        <v>2640710.0</v>
      </c>
    </row>
    <row r="4072">
      <c r="A4072" s="25">
        <v>44385.64583333333</v>
      </c>
      <c r="B4072" s="25">
        <v>3298.0</v>
      </c>
      <c r="C4072" s="25">
        <v>3298.0</v>
      </c>
      <c r="D4072" s="25">
        <v>3231.9</v>
      </c>
      <c r="E4072" s="25">
        <v>3258.5</v>
      </c>
      <c r="F4072" s="25">
        <v>2485811.0</v>
      </c>
    </row>
    <row r="4073">
      <c r="A4073" s="25">
        <v>44386.64583333333</v>
      </c>
      <c r="B4073" s="25">
        <v>3250.0</v>
      </c>
      <c r="C4073" s="25">
        <v>3282.0</v>
      </c>
      <c r="D4073" s="25">
        <v>3201.0</v>
      </c>
      <c r="E4073" s="25">
        <v>3208.15</v>
      </c>
      <c r="F4073" s="25">
        <v>6365067.0</v>
      </c>
    </row>
    <row r="4074">
      <c r="A4074" s="25">
        <v>44389.64583333333</v>
      </c>
      <c r="B4074" s="25">
        <v>3235.0</v>
      </c>
      <c r="C4074" s="25">
        <v>3236.0</v>
      </c>
      <c r="D4074" s="25">
        <v>3188.35</v>
      </c>
      <c r="E4074" s="25">
        <v>3193.1</v>
      </c>
      <c r="F4074" s="25">
        <v>1892226.0</v>
      </c>
    </row>
    <row r="4075">
      <c r="A4075" s="25">
        <v>44390.64583333333</v>
      </c>
      <c r="B4075" s="25">
        <v>3214.0</v>
      </c>
      <c r="C4075" s="25">
        <v>3214.0</v>
      </c>
      <c r="D4075" s="25">
        <v>3175.0</v>
      </c>
      <c r="E4075" s="25">
        <v>3187.55</v>
      </c>
      <c r="F4075" s="25">
        <v>1809339.0</v>
      </c>
    </row>
    <row r="4076">
      <c r="A4076" s="25">
        <v>44391.64583333333</v>
      </c>
      <c r="B4076" s="25">
        <v>3187.0</v>
      </c>
      <c r="C4076" s="25">
        <v>3222.0</v>
      </c>
      <c r="D4076" s="25">
        <v>3185.0</v>
      </c>
      <c r="E4076" s="25">
        <v>3214.55</v>
      </c>
      <c r="F4076" s="25">
        <v>2044279.0</v>
      </c>
    </row>
    <row r="4077">
      <c r="A4077" s="25">
        <v>44392.64583333333</v>
      </c>
      <c r="B4077" s="25">
        <v>3227.6</v>
      </c>
      <c r="C4077" s="25">
        <v>3231.85</v>
      </c>
      <c r="D4077" s="25">
        <v>3194.0</v>
      </c>
      <c r="E4077" s="25">
        <v>3202.95</v>
      </c>
      <c r="F4077" s="25">
        <v>2232968.0</v>
      </c>
    </row>
    <row r="4078">
      <c r="A4078" s="25">
        <v>44393.64583333333</v>
      </c>
      <c r="B4078" s="25">
        <v>3213.0</v>
      </c>
      <c r="C4078" s="25">
        <v>3219.85</v>
      </c>
      <c r="D4078" s="25">
        <v>3192.0</v>
      </c>
      <c r="E4078" s="25">
        <v>3194.8</v>
      </c>
      <c r="F4078" s="25">
        <v>1256526.0</v>
      </c>
    </row>
    <row r="4079">
      <c r="A4079" s="25">
        <v>44396.64583333333</v>
      </c>
      <c r="B4079" s="25">
        <v>3180.0</v>
      </c>
      <c r="C4079" s="25">
        <v>3199.8</v>
      </c>
      <c r="D4079" s="25">
        <v>3176.0</v>
      </c>
      <c r="E4079" s="25">
        <v>3184.6</v>
      </c>
      <c r="F4079" s="25">
        <v>1597058.0</v>
      </c>
    </row>
    <row r="4080">
      <c r="A4080" s="25">
        <v>44397.64583333333</v>
      </c>
      <c r="B4080" s="25">
        <v>3184.6</v>
      </c>
      <c r="C4080" s="25">
        <v>3215.0</v>
      </c>
      <c r="D4080" s="25">
        <v>3156.15</v>
      </c>
      <c r="E4080" s="25">
        <v>3205.8</v>
      </c>
      <c r="F4080" s="25">
        <v>1811945.0</v>
      </c>
    </row>
    <row r="4081">
      <c r="A4081" s="25">
        <v>44399.64583333333</v>
      </c>
      <c r="B4081" s="25">
        <v>3190.0</v>
      </c>
      <c r="C4081" s="25">
        <v>3224.95</v>
      </c>
      <c r="D4081" s="25">
        <v>3190.0</v>
      </c>
      <c r="E4081" s="25">
        <v>3216.35</v>
      </c>
      <c r="F4081" s="25">
        <v>2859334.0</v>
      </c>
    </row>
    <row r="4082">
      <c r="A4082" s="25">
        <v>44400.64583333333</v>
      </c>
      <c r="B4082" s="25">
        <v>3230.0</v>
      </c>
      <c r="C4082" s="25">
        <v>3241.55</v>
      </c>
      <c r="D4082" s="25">
        <v>3206.65</v>
      </c>
      <c r="E4082" s="25">
        <v>3212.85</v>
      </c>
      <c r="F4082" s="25">
        <v>1776193.0</v>
      </c>
    </row>
    <row r="4083">
      <c r="A4083" s="25">
        <v>44403.64583333333</v>
      </c>
      <c r="B4083" s="25">
        <v>3200.0</v>
      </c>
      <c r="C4083" s="25">
        <v>3224.25</v>
      </c>
      <c r="D4083" s="25">
        <v>3190.85</v>
      </c>
      <c r="E4083" s="25">
        <v>3197.55</v>
      </c>
      <c r="F4083" s="25">
        <v>1259611.0</v>
      </c>
    </row>
    <row r="4084">
      <c r="A4084" s="25">
        <v>44404.64583333333</v>
      </c>
      <c r="B4084" s="25">
        <v>3200.0</v>
      </c>
      <c r="C4084" s="25">
        <v>3210.0</v>
      </c>
      <c r="D4084" s="25">
        <v>3161.15</v>
      </c>
      <c r="E4084" s="25">
        <v>3182.95</v>
      </c>
      <c r="F4084" s="25">
        <v>1121367.0</v>
      </c>
    </row>
    <row r="4085">
      <c r="A4085" s="25">
        <v>44405.64583333333</v>
      </c>
      <c r="B4085" s="25">
        <v>3188.0</v>
      </c>
      <c r="C4085" s="25">
        <v>3204.45</v>
      </c>
      <c r="D4085" s="25">
        <v>3132.4</v>
      </c>
      <c r="E4085" s="25">
        <v>3197.8</v>
      </c>
      <c r="F4085" s="25">
        <v>1660654.0</v>
      </c>
    </row>
    <row r="4086">
      <c r="A4086" s="25">
        <v>44406.64583333333</v>
      </c>
      <c r="B4086" s="25">
        <v>3200.25</v>
      </c>
      <c r="C4086" s="25">
        <v>3225.45</v>
      </c>
      <c r="D4086" s="25">
        <v>3190.3</v>
      </c>
      <c r="E4086" s="25">
        <v>3195.8</v>
      </c>
      <c r="F4086" s="25">
        <v>1731997.0</v>
      </c>
    </row>
    <row r="4087">
      <c r="A4087" s="25">
        <v>44407.64583333333</v>
      </c>
      <c r="B4087" s="25">
        <v>3219.0</v>
      </c>
      <c r="C4087" s="25">
        <v>3223.5</v>
      </c>
      <c r="D4087" s="25">
        <v>3162.35</v>
      </c>
      <c r="E4087" s="25">
        <v>3167.45</v>
      </c>
      <c r="F4087" s="25">
        <v>2999943.0</v>
      </c>
    </row>
    <row r="4088">
      <c r="A4088" s="25">
        <v>44410.64583333333</v>
      </c>
      <c r="B4088" s="25">
        <v>3180.0</v>
      </c>
      <c r="C4088" s="25">
        <v>3224.9</v>
      </c>
      <c r="D4088" s="25">
        <v>3167.0</v>
      </c>
      <c r="E4088" s="25">
        <v>3219.4</v>
      </c>
      <c r="F4088" s="25">
        <v>2608669.0</v>
      </c>
    </row>
    <row r="4089">
      <c r="A4089" s="25">
        <v>44411.64583333333</v>
      </c>
      <c r="B4089" s="25">
        <v>3229.0</v>
      </c>
      <c r="C4089" s="25">
        <v>3290.0</v>
      </c>
      <c r="D4089" s="25">
        <v>3218.95</v>
      </c>
      <c r="E4089" s="25">
        <v>3284.9</v>
      </c>
      <c r="F4089" s="25">
        <v>3804735.0</v>
      </c>
    </row>
    <row r="4090">
      <c r="A4090" s="25">
        <v>44412.64583333333</v>
      </c>
      <c r="B4090" s="25">
        <v>3300.0</v>
      </c>
      <c r="C4090" s="25">
        <v>3305.2</v>
      </c>
      <c r="D4090" s="25">
        <v>3261.2</v>
      </c>
      <c r="E4090" s="25">
        <v>3273.95</v>
      </c>
      <c r="F4090" s="25">
        <v>2929598.0</v>
      </c>
    </row>
    <row r="4091">
      <c r="A4091" s="25">
        <v>44413.64583333333</v>
      </c>
      <c r="B4091" s="25">
        <v>3275.0</v>
      </c>
      <c r="C4091" s="25">
        <v>3315.0</v>
      </c>
      <c r="D4091" s="25">
        <v>3262.5</v>
      </c>
      <c r="E4091" s="25">
        <v>3283.95</v>
      </c>
      <c r="F4091" s="25">
        <v>2534521.0</v>
      </c>
    </row>
    <row r="4092">
      <c r="A4092" s="25">
        <v>44414.64583333333</v>
      </c>
      <c r="B4092" s="25">
        <v>3272.55</v>
      </c>
      <c r="C4092" s="25">
        <v>3324.0</v>
      </c>
      <c r="D4092" s="25">
        <v>3265.0</v>
      </c>
      <c r="E4092" s="25">
        <v>3309.8</v>
      </c>
      <c r="F4092" s="25">
        <v>2292362.0</v>
      </c>
    </row>
    <row r="4093">
      <c r="A4093" s="25">
        <v>44417.64583333333</v>
      </c>
      <c r="B4093" s="25">
        <v>3323.9</v>
      </c>
      <c r="C4093" s="25">
        <v>3337.0</v>
      </c>
      <c r="D4093" s="25">
        <v>3310.0</v>
      </c>
      <c r="E4093" s="25">
        <v>3322.7</v>
      </c>
      <c r="F4093" s="25">
        <v>1510489.0</v>
      </c>
    </row>
    <row r="4094">
      <c r="A4094" s="25">
        <v>44418.64583333333</v>
      </c>
      <c r="B4094" s="25">
        <v>3315.6</v>
      </c>
      <c r="C4094" s="25">
        <v>3349.9</v>
      </c>
      <c r="D4094" s="25">
        <v>3315.6</v>
      </c>
      <c r="E4094" s="25">
        <v>3333.9</v>
      </c>
      <c r="F4094" s="25">
        <v>2040777.0</v>
      </c>
    </row>
    <row r="4095">
      <c r="A4095" s="25">
        <v>44419.64583333333</v>
      </c>
      <c r="B4095" s="25">
        <v>3350.0</v>
      </c>
      <c r="C4095" s="25">
        <v>3360.0</v>
      </c>
      <c r="D4095" s="25">
        <v>3327.1</v>
      </c>
      <c r="E4095" s="25">
        <v>3344.2</v>
      </c>
      <c r="F4095" s="25">
        <v>1929707.0</v>
      </c>
    </row>
    <row r="4096">
      <c r="A4096" s="25">
        <v>44420.64583333333</v>
      </c>
      <c r="B4096" s="25">
        <v>3326.0</v>
      </c>
      <c r="C4096" s="25">
        <v>3368.0</v>
      </c>
      <c r="D4096" s="25">
        <v>3326.0</v>
      </c>
      <c r="E4096" s="25">
        <v>3351.75</v>
      </c>
      <c r="F4096" s="25">
        <v>1310205.0</v>
      </c>
    </row>
    <row r="4097">
      <c r="A4097" s="25">
        <v>44421.64583333333</v>
      </c>
      <c r="B4097" s="25">
        <v>3360.75</v>
      </c>
      <c r="C4097" s="25">
        <v>3480.0</v>
      </c>
      <c r="D4097" s="25">
        <v>3357.5</v>
      </c>
      <c r="E4097" s="25">
        <v>3463.4</v>
      </c>
      <c r="F4097" s="25">
        <v>4363584.0</v>
      </c>
    </row>
    <row r="4098">
      <c r="A4098" s="25">
        <v>44424.64583333333</v>
      </c>
      <c r="B4098" s="25">
        <v>3460.0</v>
      </c>
      <c r="C4098" s="25">
        <v>3494.35</v>
      </c>
      <c r="D4098" s="25">
        <v>3436.5</v>
      </c>
      <c r="E4098" s="25">
        <v>3472.95</v>
      </c>
      <c r="F4098" s="25">
        <v>2083489.0</v>
      </c>
    </row>
    <row r="4099">
      <c r="A4099" s="25">
        <v>44425.64583333333</v>
      </c>
      <c r="B4099" s="25">
        <v>3482.1</v>
      </c>
      <c r="C4099" s="25">
        <v>3560.8</v>
      </c>
      <c r="D4099" s="25">
        <v>3463.0</v>
      </c>
      <c r="E4099" s="25">
        <v>3553.05</v>
      </c>
      <c r="F4099" s="25">
        <v>4336019.0</v>
      </c>
    </row>
    <row r="4100">
      <c r="A4100" s="25">
        <v>44426.64583333333</v>
      </c>
      <c r="B4100" s="25">
        <v>3573.85</v>
      </c>
      <c r="C4100" s="25">
        <v>3595.0</v>
      </c>
      <c r="D4100" s="25">
        <v>3536.6</v>
      </c>
      <c r="E4100" s="25">
        <v>3560.55</v>
      </c>
      <c r="F4100" s="25">
        <v>2631309.0</v>
      </c>
    </row>
    <row r="4101">
      <c r="A4101" s="25">
        <v>44428.64583333333</v>
      </c>
      <c r="B4101" s="25">
        <v>3506.0</v>
      </c>
      <c r="C4101" s="25">
        <v>3575.0</v>
      </c>
      <c r="D4101" s="25">
        <v>3500.0</v>
      </c>
      <c r="E4101" s="25">
        <v>3559.5</v>
      </c>
      <c r="F4101" s="25">
        <v>2836148.0</v>
      </c>
    </row>
    <row r="4102">
      <c r="A4102" s="25">
        <v>44431.64583333333</v>
      </c>
      <c r="B4102" s="25">
        <v>3580.0</v>
      </c>
      <c r="C4102" s="25">
        <v>3673.0</v>
      </c>
      <c r="D4102" s="25">
        <v>3561.9</v>
      </c>
      <c r="E4102" s="25">
        <v>3637.4</v>
      </c>
      <c r="F4102" s="25">
        <v>3744176.0</v>
      </c>
    </row>
    <row r="4103">
      <c r="A4103" s="25">
        <v>44432.64583333333</v>
      </c>
      <c r="B4103" s="25">
        <v>3657.0</v>
      </c>
      <c r="C4103" s="25">
        <v>3667.35</v>
      </c>
      <c r="D4103" s="25">
        <v>3594.4</v>
      </c>
      <c r="E4103" s="25">
        <v>3613.2</v>
      </c>
      <c r="F4103" s="25">
        <v>2511141.0</v>
      </c>
    </row>
    <row r="4104">
      <c r="A4104" s="25">
        <v>44433.64583333333</v>
      </c>
      <c r="B4104" s="25">
        <v>3610.0</v>
      </c>
      <c r="C4104" s="25">
        <v>3697.75</v>
      </c>
      <c r="D4104" s="25">
        <v>3607.05</v>
      </c>
      <c r="E4104" s="25">
        <v>3659.0</v>
      </c>
      <c r="F4104" s="25">
        <v>2123263.0</v>
      </c>
    </row>
    <row r="4105">
      <c r="A4105" s="25">
        <v>44434.64583333333</v>
      </c>
      <c r="B4105" s="25">
        <v>3660.0</v>
      </c>
      <c r="C4105" s="25">
        <v>3687.6</v>
      </c>
      <c r="D4105" s="25">
        <v>3647.9</v>
      </c>
      <c r="E4105" s="25">
        <v>3671.85</v>
      </c>
      <c r="F4105" s="25">
        <v>1902533.0</v>
      </c>
    </row>
    <row r="4106">
      <c r="A4106" s="25">
        <v>44435.64583333333</v>
      </c>
      <c r="B4106" s="25">
        <v>3666.0</v>
      </c>
      <c r="C4106" s="25">
        <v>3729.5</v>
      </c>
      <c r="D4106" s="25">
        <v>3651.1</v>
      </c>
      <c r="E4106" s="25">
        <v>3720.15</v>
      </c>
      <c r="F4106" s="25">
        <v>3944728.0</v>
      </c>
    </row>
    <row r="4107">
      <c r="A4107" s="25">
        <v>44438.64583333333</v>
      </c>
      <c r="B4107" s="25">
        <v>3715.0</v>
      </c>
      <c r="C4107" s="25">
        <v>3740.35</v>
      </c>
      <c r="D4107" s="25">
        <v>3687.6</v>
      </c>
      <c r="E4107" s="25">
        <v>3701.3</v>
      </c>
      <c r="F4107" s="25">
        <v>2033114.0</v>
      </c>
    </row>
    <row r="4108">
      <c r="A4108" s="25">
        <v>44439.64583333333</v>
      </c>
      <c r="B4108" s="25">
        <v>3709.4</v>
      </c>
      <c r="C4108" s="25">
        <v>3804.1</v>
      </c>
      <c r="D4108" s="25">
        <v>3703.45</v>
      </c>
      <c r="E4108" s="25">
        <v>3786.45</v>
      </c>
      <c r="F4108" s="25">
        <v>3207480.0</v>
      </c>
    </row>
    <row r="4109">
      <c r="A4109" s="25">
        <v>44440.64583333333</v>
      </c>
      <c r="B4109" s="25">
        <v>3796.0</v>
      </c>
      <c r="C4109" s="25">
        <v>3816.7</v>
      </c>
      <c r="D4109" s="25">
        <v>3707.0</v>
      </c>
      <c r="E4109" s="25">
        <v>3714.95</v>
      </c>
      <c r="F4109" s="25">
        <v>2643336.0</v>
      </c>
    </row>
    <row r="4110">
      <c r="A4110" s="25">
        <v>44441.64583333333</v>
      </c>
      <c r="B4110" s="25">
        <v>3734.0</v>
      </c>
      <c r="C4110" s="25">
        <v>3859.15</v>
      </c>
      <c r="D4110" s="25">
        <v>3722.0</v>
      </c>
      <c r="E4110" s="25">
        <v>3836.75</v>
      </c>
      <c r="F4110" s="25">
        <v>3403717.0</v>
      </c>
    </row>
    <row r="4111">
      <c r="A4111" s="25">
        <v>44442.64583333333</v>
      </c>
      <c r="B4111" s="25">
        <v>3825.0</v>
      </c>
      <c r="C4111" s="25">
        <v>3856.9</v>
      </c>
      <c r="D4111" s="25">
        <v>3804.55</v>
      </c>
      <c r="E4111" s="25">
        <v>3842.05</v>
      </c>
      <c r="F4111" s="25">
        <v>1746812.0</v>
      </c>
    </row>
    <row r="4112">
      <c r="A4112" s="25">
        <v>44445.64583333333</v>
      </c>
      <c r="B4112" s="25">
        <v>3849.7</v>
      </c>
      <c r="C4112" s="25">
        <v>3877.6</v>
      </c>
      <c r="D4112" s="25">
        <v>3814.0</v>
      </c>
      <c r="E4112" s="25">
        <v>3852.0</v>
      </c>
      <c r="F4112" s="25">
        <v>1723693.0</v>
      </c>
    </row>
    <row r="4113">
      <c r="A4113" s="25">
        <v>44446.64583333333</v>
      </c>
      <c r="B4113" s="25">
        <v>3864.0</v>
      </c>
      <c r="C4113" s="25">
        <v>3869.95</v>
      </c>
      <c r="D4113" s="25">
        <v>3808.25</v>
      </c>
      <c r="E4113" s="25">
        <v>3815.9</v>
      </c>
      <c r="F4113" s="25">
        <v>1585039.0</v>
      </c>
    </row>
    <row r="4114">
      <c r="A4114" s="25">
        <v>44447.64583333333</v>
      </c>
      <c r="B4114" s="25">
        <v>3810.0</v>
      </c>
      <c r="C4114" s="25">
        <v>3815.0</v>
      </c>
      <c r="D4114" s="25">
        <v>3756.0</v>
      </c>
      <c r="E4114" s="25">
        <v>3774.15</v>
      </c>
      <c r="F4114" s="25">
        <v>4147175.0</v>
      </c>
    </row>
    <row r="4115">
      <c r="A4115" s="25">
        <v>44448.64583333333</v>
      </c>
      <c r="B4115" s="25">
        <v>3789.7</v>
      </c>
      <c r="C4115" s="25">
        <v>3808.7</v>
      </c>
      <c r="D4115" s="25">
        <v>3765.0</v>
      </c>
      <c r="E4115" s="25">
        <v>3791.4</v>
      </c>
      <c r="F4115" s="25">
        <v>1441148.0</v>
      </c>
    </row>
    <row r="4116">
      <c r="A4116" s="25">
        <v>44452.64583333333</v>
      </c>
      <c r="B4116" s="25">
        <v>3767.0</v>
      </c>
      <c r="C4116" s="25">
        <v>3852.4</v>
      </c>
      <c r="D4116" s="25">
        <v>3767.0</v>
      </c>
      <c r="E4116" s="25">
        <v>3845.35</v>
      </c>
      <c r="F4116" s="25">
        <v>1691473.0</v>
      </c>
    </row>
    <row r="4117">
      <c r="A4117" s="25">
        <v>44453.64583333333</v>
      </c>
      <c r="B4117" s="25">
        <v>3849.95</v>
      </c>
      <c r="C4117" s="25">
        <v>3896.5</v>
      </c>
      <c r="D4117" s="25">
        <v>3825.0</v>
      </c>
      <c r="E4117" s="25">
        <v>3885.9</v>
      </c>
      <c r="F4117" s="25">
        <v>1991188.0</v>
      </c>
    </row>
    <row r="4118">
      <c r="A4118" s="25">
        <v>44454.64583333333</v>
      </c>
      <c r="B4118" s="25">
        <v>3882.1</v>
      </c>
      <c r="C4118" s="25">
        <v>3980.0</v>
      </c>
      <c r="D4118" s="25">
        <v>3866.0</v>
      </c>
      <c r="E4118" s="25">
        <v>3954.55</v>
      </c>
      <c r="F4118" s="25">
        <v>2461369.0</v>
      </c>
    </row>
    <row r="4119">
      <c r="A4119" s="25">
        <v>44455.64583333333</v>
      </c>
      <c r="B4119" s="25">
        <v>3930.0</v>
      </c>
      <c r="C4119" s="25">
        <v>3981.75</v>
      </c>
      <c r="D4119" s="25">
        <v>3892.1</v>
      </c>
      <c r="E4119" s="25">
        <v>3903.3</v>
      </c>
      <c r="F4119" s="25">
        <v>2946666.0</v>
      </c>
    </row>
    <row r="4120">
      <c r="A4120" s="25">
        <v>44456.64583333333</v>
      </c>
      <c r="B4120" s="25">
        <v>3920.0</v>
      </c>
      <c r="C4120" s="25">
        <v>3945.0</v>
      </c>
      <c r="D4120" s="25">
        <v>3805.0</v>
      </c>
      <c r="E4120" s="25">
        <v>3827.85</v>
      </c>
      <c r="F4120" s="25">
        <v>6477148.0</v>
      </c>
    </row>
    <row r="4121">
      <c r="A4121" s="25">
        <v>44459.64583333333</v>
      </c>
      <c r="B4121" s="25">
        <v>3809.0</v>
      </c>
      <c r="C4121" s="25">
        <v>3871.0</v>
      </c>
      <c r="D4121" s="25">
        <v>3807.85</v>
      </c>
      <c r="E4121" s="25">
        <v>3823.5</v>
      </c>
      <c r="F4121" s="25">
        <v>2002008.0</v>
      </c>
    </row>
    <row r="4122">
      <c r="A4122" s="25">
        <v>44460.64583333333</v>
      </c>
      <c r="B4122" s="25">
        <v>3858.0</v>
      </c>
      <c r="C4122" s="25">
        <v>3871.55</v>
      </c>
      <c r="D4122" s="25">
        <v>3821.65</v>
      </c>
      <c r="E4122" s="25">
        <v>3862.95</v>
      </c>
      <c r="F4122" s="25">
        <v>1568129.0</v>
      </c>
    </row>
    <row r="4123">
      <c r="A4123" s="25">
        <v>44461.64583333333</v>
      </c>
      <c r="B4123" s="25">
        <v>3862.5</v>
      </c>
      <c r="C4123" s="25">
        <v>3896.85</v>
      </c>
      <c r="D4123" s="25">
        <v>3852.45</v>
      </c>
      <c r="E4123" s="25">
        <v>3862.15</v>
      </c>
      <c r="F4123" s="25">
        <v>1744067.0</v>
      </c>
    </row>
    <row r="4124">
      <c r="A4124" s="25">
        <v>44462.64583333333</v>
      </c>
      <c r="B4124" s="25">
        <v>3870.0</v>
      </c>
      <c r="C4124" s="25">
        <v>3879.0</v>
      </c>
      <c r="D4124" s="25">
        <v>3835.0</v>
      </c>
      <c r="E4124" s="25">
        <v>3869.25</v>
      </c>
      <c r="F4124" s="25">
        <v>2003869.0</v>
      </c>
    </row>
    <row r="4125">
      <c r="A4125" s="25">
        <v>44463.64583333333</v>
      </c>
      <c r="B4125" s="25">
        <v>3890.0</v>
      </c>
      <c r="C4125" s="25">
        <v>3944.4</v>
      </c>
      <c r="D4125" s="25">
        <v>3855.0</v>
      </c>
      <c r="E4125" s="25">
        <v>3871.3</v>
      </c>
      <c r="F4125" s="25">
        <v>2320754.0</v>
      </c>
    </row>
    <row r="4126">
      <c r="A4126" s="25">
        <v>44466.64583333333</v>
      </c>
      <c r="B4126" s="25">
        <v>3900.0</v>
      </c>
      <c r="C4126" s="25">
        <v>3904.0</v>
      </c>
      <c r="D4126" s="25">
        <v>3802.9</v>
      </c>
      <c r="E4126" s="25">
        <v>3836.95</v>
      </c>
      <c r="F4126" s="25">
        <v>1673362.0</v>
      </c>
    </row>
    <row r="4127">
      <c r="A4127" s="25">
        <v>44467.64583333333</v>
      </c>
      <c r="B4127" s="25">
        <v>3850.0</v>
      </c>
      <c r="C4127" s="25">
        <v>3850.0</v>
      </c>
      <c r="D4127" s="25">
        <v>3751.25</v>
      </c>
      <c r="E4127" s="25">
        <v>3779.15</v>
      </c>
      <c r="F4127" s="25">
        <v>2253075.0</v>
      </c>
    </row>
    <row r="4128">
      <c r="A4128" s="25">
        <v>44468.64583333333</v>
      </c>
      <c r="B4128" s="25">
        <v>3759.8</v>
      </c>
      <c r="C4128" s="25">
        <v>3806.0</v>
      </c>
      <c r="D4128" s="25">
        <v>3722.15</v>
      </c>
      <c r="E4128" s="25">
        <v>3791.9</v>
      </c>
      <c r="F4128" s="25">
        <v>2489161.0</v>
      </c>
    </row>
    <row r="4129">
      <c r="A4129" s="25">
        <v>44469.64583333333</v>
      </c>
      <c r="B4129" s="25">
        <v>3805.0</v>
      </c>
      <c r="C4129" s="25">
        <v>3805.0</v>
      </c>
      <c r="D4129" s="25">
        <v>3750.1</v>
      </c>
      <c r="E4129" s="25">
        <v>3775.55</v>
      </c>
      <c r="F4129" s="25">
        <v>2252412.0</v>
      </c>
    </row>
    <row r="4130">
      <c r="A4130" s="25">
        <v>44470.64583333333</v>
      </c>
      <c r="B4130" s="25">
        <v>3781.75</v>
      </c>
      <c r="C4130" s="25">
        <v>3810.0</v>
      </c>
      <c r="D4130" s="25">
        <v>3725.0</v>
      </c>
      <c r="E4130" s="25">
        <v>3730.2</v>
      </c>
      <c r="F4130" s="25">
        <v>1578374.0</v>
      </c>
    </row>
    <row r="4131">
      <c r="A4131" s="25">
        <v>44473.64583333333</v>
      </c>
      <c r="B4131" s="25">
        <v>3724.8</v>
      </c>
      <c r="C4131" s="25">
        <v>3783.65</v>
      </c>
      <c r="D4131" s="25">
        <v>3707.45</v>
      </c>
      <c r="E4131" s="25">
        <v>3773.3</v>
      </c>
      <c r="F4131" s="25">
        <v>1356860.0</v>
      </c>
    </row>
    <row r="4132">
      <c r="A4132" s="25">
        <v>44474.64583333333</v>
      </c>
      <c r="B4132" s="25">
        <v>3754.0</v>
      </c>
      <c r="C4132" s="25">
        <v>3840.0</v>
      </c>
      <c r="D4132" s="25">
        <v>3741.6</v>
      </c>
      <c r="E4132" s="25">
        <v>3833.3</v>
      </c>
      <c r="F4132" s="25">
        <v>1877966.0</v>
      </c>
    </row>
    <row r="4133">
      <c r="A4133" s="25">
        <v>44475.64583333333</v>
      </c>
      <c r="B4133" s="25">
        <v>3836.0</v>
      </c>
      <c r="C4133" s="25">
        <v>3857.45</v>
      </c>
      <c r="D4133" s="25">
        <v>3795.0</v>
      </c>
      <c r="E4133" s="25">
        <v>3810.9</v>
      </c>
      <c r="F4133" s="25">
        <v>1678154.0</v>
      </c>
    </row>
    <row r="4134">
      <c r="A4134" s="25">
        <v>44476.64583333333</v>
      </c>
      <c r="B4134" s="25">
        <v>3830.0</v>
      </c>
      <c r="C4134" s="25">
        <v>3899.0</v>
      </c>
      <c r="D4134" s="25">
        <v>3820.05</v>
      </c>
      <c r="E4134" s="25">
        <v>3892.9</v>
      </c>
      <c r="F4134" s="25">
        <v>1647233.0</v>
      </c>
    </row>
    <row r="4135">
      <c r="A4135" s="25">
        <v>44477.64583333333</v>
      </c>
      <c r="B4135" s="25">
        <v>3925.0</v>
      </c>
      <c r="C4135" s="25">
        <v>3989.9</v>
      </c>
      <c r="D4135" s="25">
        <v>3900.0</v>
      </c>
      <c r="E4135" s="25">
        <v>3935.65</v>
      </c>
      <c r="F4135" s="25">
        <v>2934339.0</v>
      </c>
    </row>
    <row r="4136">
      <c r="A4136" s="25">
        <v>44480.64583333333</v>
      </c>
      <c r="B4136" s="25">
        <v>3755.0</v>
      </c>
      <c r="C4136" s="25">
        <v>3757.5</v>
      </c>
      <c r="D4136" s="25">
        <v>3660.0</v>
      </c>
      <c r="E4136" s="25">
        <v>3685.6</v>
      </c>
      <c r="F4136" s="25">
        <v>1.1845402E7</v>
      </c>
    </row>
    <row r="4137">
      <c r="A4137" s="25">
        <v>44481.64583333333</v>
      </c>
      <c r="B4137" s="25">
        <v>3706.0</v>
      </c>
      <c r="C4137" s="25">
        <v>3707.0</v>
      </c>
      <c r="D4137" s="25">
        <v>3630.6</v>
      </c>
      <c r="E4137" s="25">
        <v>3652.85</v>
      </c>
      <c r="F4137" s="25">
        <v>5752877.0</v>
      </c>
    </row>
    <row r="4138">
      <c r="A4138" s="25">
        <v>44482.64583333333</v>
      </c>
      <c r="B4138" s="25">
        <v>3650.0</v>
      </c>
      <c r="C4138" s="25">
        <v>3675.45</v>
      </c>
      <c r="D4138" s="25">
        <v>3645.0</v>
      </c>
      <c r="E4138" s="25">
        <v>3655.2</v>
      </c>
      <c r="F4138" s="25">
        <v>3545655.0</v>
      </c>
    </row>
    <row r="4139">
      <c r="A4139" s="25">
        <v>44483.64583333333</v>
      </c>
      <c r="B4139" s="25">
        <v>3625.0</v>
      </c>
      <c r="C4139" s="25">
        <v>3670.0</v>
      </c>
      <c r="D4139" s="25">
        <v>3608.2</v>
      </c>
      <c r="E4139" s="25">
        <v>3611.45</v>
      </c>
      <c r="F4139" s="25">
        <v>6442299.0</v>
      </c>
    </row>
    <row r="4140">
      <c r="A4140" s="25">
        <v>44487.64583333333</v>
      </c>
      <c r="B4140" s="25">
        <v>3603.45</v>
      </c>
      <c r="C4140" s="25">
        <v>3652.7</v>
      </c>
      <c r="D4140" s="25">
        <v>3601.45</v>
      </c>
      <c r="E4140" s="25">
        <v>3647.15</v>
      </c>
      <c r="F4140" s="25">
        <v>3590107.0</v>
      </c>
    </row>
    <row r="4141">
      <c r="A4141" s="25">
        <v>44488.64583333333</v>
      </c>
      <c r="B4141" s="25">
        <v>3669.0</v>
      </c>
      <c r="C4141" s="25">
        <v>3690.1</v>
      </c>
      <c r="D4141" s="25">
        <v>3625.2</v>
      </c>
      <c r="E4141" s="25">
        <v>3634.15</v>
      </c>
      <c r="F4141" s="25">
        <v>3135441.0</v>
      </c>
    </row>
    <row r="4142">
      <c r="A4142" s="25">
        <v>44489.64583333333</v>
      </c>
      <c r="B4142" s="25">
        <v>3612.0</v>
      </c>
      <c r="C4142" s="25">
        <v>3630.0</v>
      </c>
      <c r="D4142" s="25">
        <v>3578.3</v>
      </c>
      <c r="E4142" s="25">
        <v>3608.85</v>
      </c>
      <c r="F4142" s="25">
        <v>2933693.0</v>
      </c>
    </row>
    <row r="4143">
      <c r="A4143" s="25">
        <v>44490.64583333333</v>
      </c>
      <c r="B4143" s="25">
        <v>3604.1</v>
      </c>
      <c r="C4143" s="25">
        <v>3607.45</v>
      </c>
      <c r="D4143" s="25">
        <v>3511.25</v>
      </c>
      <c r="E4143" s="25">
        <v>3532.5</v>
      </c>
      <c r="F4143" s="25">
        <v>4871211.0</v>
      </c>
    </row>
    <row r="4144">
      <c r="A4144" s="25">
        <v>44491.64583333333</v>
      </c>
      <c r="B4144" s="25">
        <v>3560.0</v>
      </c>
      <c r="C4144" s="25">
        <v>3561.6</v>
      </c>
      <c r="D4144" s="25">
        <v>3485.0</v>
      </c>
      <c r="E4144" s="25">
        <v>3498.85</v>
      </c>
      <c r="F4144" s="25">
        <v>2691670.0</v>
      </c>
    </row>
    <row r="4145">
      <c r="A4145" s="25">
        <v>44494.64583333333</v>
      </c>
      <c r="B4145" s="25">
        <v>3503.0</v>
      </c>
      <c r="C4145" s="25">
        <v>3514.55</v>
      </c>
      <c r="D4145" s="25">
        <v>3450.0</v>
      </c>
      <c r="E4145" s="25">
        <v>3492.95</v>
      </c>
      <c r="F4145" s="25">
        <v>2595594.0</v>
      </c>
    </row>
    <row r="4146">
      <c r="A4146" s="25">
        <v>44495.64583333333</v>
      </c>
      <c r="B4146" s="25">
        <v>3494.5</v>
      </c>
      <c r="C4146" s="25">
        <v>3529.0</v>
      </c>
      <c r="D4146" s="25">
        <v>3475.0</v>
      </c>
      <c r="E4146" s="25">
        <v>3482.6</v>
      </c>
      <c r="F4146" s="25">
        <v>3878763.0</v>
      </c>
    </row>
    <row r="4147">
      <c r="A4147" s="25">
        <v>44496.64583333333</v>
      </c>
      <c r="B4147" s="25">
        <v>3483.0</v>
      </c>
      <c r="C4147" s="25">
        <v>3511.25</v>
      </c>
      <c r="D4147" s="25">
        <v>3483.0</v>
      </c>
      <c r="E4147" s="25">
        <v>3489.75</v>
      </c>
      <c r="F4147" s="25">
        <v>2510813.0</v>
      </c>
    </row>
    <row r="4148">
      <c r="A4148" s="25">
        <v>44497.64583333333</v>
      </c>
      <c r="B4148" s="25">
        <v>3518.0</v>
      </c>
      <c r="C4148" s="25">
        <v>3518.0</v>
      </c>
      <c r="D4148" s="25">
        <v>3415.0</v>
      </c>
      <c r="E4148" s="25">
        <v>3421.65</v>
      </c>
      <c r="F4148" s="25">
        <v>2424942.0</v>
      </c>
    </row>
    <row r="4149">
      <c r="A4149" s="25">
        <v>44498.64583333333</v>
      </c>
      <c r="B4149" s="25">
        <v>3400.05</v>
      </c>
      <c r="C4149" s="25">
        <v>3461.0</v>
      </c>
      <c r="D4149" s="25">
        <v>3385.95</v>
      </c>
      <c r="E4149" s="25">
        <v>3397.75</v>
      </c>
      <c r="F4149" s="25">
        <v>3960501.0</v>
      </c>
    </row>
    <row r="4150">
      <c r="A4150" s="25">
        <v>44501.64583333333</v>
      </c>
      <c r="B4150" s="25">
        <v>3437.95</v>
      </c>
      <c r="C4150" s="25">
        <v>3487.0</v>
      </c>
      <c r="D4150" s="25">
        <v>3412.95</v>
      </c>
      <c r="E4150" s="25">
        <v>3476.4</v>
      </c>
      <c r="F4150" s="25">
        <v>2020718.0</v>
      </c>
    </row>
    <row r="4151">
      <c r="A4151" s="25">
        <v>44502.64583333333</v>
      </c>
      <c r="B4151" s="25">
        <v>3494.0</v>
      </c>
      <c r="C4151" s="25">
        <v>3513.6</v>
      </c>
      <c r="D4151" s="25">
        <v>3469.75</v>
      </c>
      <c r="E4151" s="25">
        <v>3484.2</v>
      </c>
      <c r="F4151" s="25">
        <v>3087414.0</v>
      </c>
    </row>
    <row r="4152">
      <c r="A4152" s="25">
        <v>44503.64583333333</v>
      </c>
      <c r="B4152" s="25">
        <v>3504.2</v>
      </c>
      <c r="C4152" s="25">
        <v>3519.9</v>
      </c>
      <c r="D4152" s="25">
        <v>3466.05</v>
      </c>
      <c r="E4152" s="25">
        <v>3492.25</v>
      </c>
      <c r="F4152" s="25">
        <v>1537639.0</v>
      </c>
    </row>
    <row r="4153">
      <c r="A4153" s="25">
        <v>44504.80208333333</v>
      </c>
      <c r="B4153" s="25">
        <v>3512.95</v>
      </c>
      <c r="C4153" s="25">
        <v>3513.25</v>
      </c>
      <c r="D4153" s="25">
        <v>3505.0</v>
      </c>
      <c r="E4153" s="25">
        <v>3508.65</v>
      </c>
      <c r="F4153" s="25">
        <v>328991.0</v>
      </c>
    </row>
    <row r="4154">
      <c r="A4154" s="25">
        <v>44508.64583333333</v>
      </c>
      <c r="B4154" s="25">
        <v>3548.0</v>
      </c>
      <c r="C4154" s="25">
        <v>3548.0</v>
      </c>
      <c r="D4154" s="25">
        <v>3481.2</v>
      </c>
      <c r="E4154" s="25">
        <v>3502.75</v>
      </c>
      <c r="F4154" s="25">
        <v>2526082.0</v>
      </c>
    </row>
    <row r="4155">
      <c r="A4155" s="25">
        <v>44509.64583333333</v>
      </c>
      <c r="B4155" s="25">
        <v>3508.0</v>
      </c>
      <c r="C4155" s="25">
        <v>3535.0</v>
      </c>
      <c r="D4155" s="25">
        <v>3496.0</v>
      </c>
      <c r="E4155" s="25">
        <v>3505.7</v>
      </c>
      <c r="F4155" s="25">
        <v>1782692.0</v>
      </c>
    </row>
    <row r="4156">
      <c r="A4156" s="25">
        <v>44510.64583333333</v>
      </c>
      <c r="B4156" s="25">
        <v>3498.0</v>
      </c>
      <c r="C4156" s="25">
        <v>3519.7</v>
      </c>
      <c r="D4156" s="25">
        <v>3480.2</v>
      </c>
      <c r="E4156" s="25">
        <v>3484.3</v>
      </c>
      <c r="F4156" s="25">
        <v>1516489.0</v>
      </c>
    </row>
    <row r="4157">
      <c r="A4157" s="25">
        <v>44511.64583333333</v>
      </c>
      <c r="B4157" s="25">
        <v>3480.0</v>
      </c>
      <c r="C4157" s="25">
        <v>3510.05</v>
      </c>
      <c r="D4157" s="25">
        <v>3436.0</v>
      </c>
      <c r="E4157" s="25">
        <v>3488.2</v>
      </c>
      <c r="F4157" s="25">
        <v>1284514.0</v>
      </c>
    </row>
    <row r="4158">
      <c r="A4158" s="25">
        <v>44512.64583333333</v>
      </c>
      <c r="B4158" s="25">
        <v>3506.0</v>
      </c>
      <c r="C4158" s="25">
        <v>3534.15</v>
      </c>
      <c r="D4158" s="25">
        <v>3485.7</v>
      </c>
      <c r="E4158" s="25">
        <v>3526.05</v>
      </c>
      <c r="F4158" s="25">
        <v>1747259.0</v>
      </c>
    </row>
    <row r="4159">
      <c r="A4159" s="25">
        <v>44515.64583333333</v>
      </c>
      <c r="B4159" s="25">
        <v>3528.0</v>
      </c>
      <c r="C4159" s="25">
        <v>3569.6</v>
      </c>
      <c r="D4159" s="25">
        <v>3528.0</v>
      </c>
      <c r="E4159" s="25">
        <v>3553.3</v>
      </c>
      <c r="F4159" s="25">
        <v>1809157.0</v>
      </c>
    </row>
    <row r="4160">
      <c r="A4160" s="25">
        <v>44516.64583333333</v>
      </c>
      <c r="B4160" s="25">
        <v>3569.0</v>
      </c>
      <c r="C4160" s="25">
        <v>3575.55</v>
      </c>
      <c r="D4160" s="25">
        <v>3542.0</v>
      </c>
      <c r="E4160" s="25">
        <v>3556.4</v>
      </c>
      <c r="F4160" s="25">
        <v>2013204.0</v>
      </c>
    </row>
    <row r="4161">
      <c r="A4161" s="25">
        <v>44517.64583333333</v>
      </c>
      <c r="B4161" s="25">
        <v>3550.6</v>
      </c>
      <c r="C4161" s="25">
        <v>3562.85</v>
      </c>
      <c r="D4161" s="25">
        <v>3506.4</v>
      </c>
      <c r="E4161" s="25">
        <v>3521.9</v>
      </c>
      <c r="F4161" s="25">
        <v>1632914.0</v>
      </c>
    </row>
    <row r="4162">
      <c r="A4162" s="25">
        <v>44518.64583333333</v>
      </c>
      <c r="B4162" s="25">
        <v>3515.15</v>
      </c>
      <c r="C4162" s="25">
        <v>3520.85</v>
      </c>
      <c r="D4162" s="25">
        <v>3451.6</v>
      </c>
      <c r="E4162" s="25">
        <v>3475.7</v>
      </c>
      <c r="F4162" s="25">
        <v>2136598.0</v>
      </c>
    </row>
    <row r="4163">
      <c r="A4163" s="25">
        <v>44522.64583333333</v>
      </c>
      <c r="B4163" s="25">
        <v>3478.4</v>
      </c>
      <c r="C4163" s="25">
        <v>3515.95</v>
      </c>
      <c r="D4163" s="25">
        <v>3440.3</v>
      </c>
      <c r="E4163" s="25">
        <v>3458.4</v>
      </c>
      <c r="F4163" s="25">
        <v>3167936.0</v>
      </c>
    </row>
    <row r="4164">
      <c r="A4164" s="25">
        <v>44523.64583333333</v>
      </c>
      <c r="B4164" s="25">
        <v>3445.0</v>
      </c>
      <c r="C4164" s="25">
        <v>3480.95</v>
      </c>
      <c r="D4164" s="25">
        <v>3407.8</v>
      </c>
      <c r="E4164" s="25">
        <v>3464.25</v>
      </c>
      <c r="F4164" s="25">
        <v>2153461.0</v>
      </c>
    </row>
    <row r="4165">
      <c r="A4165" s="25">
        <v>44524.64583333333</v>
      </c>
      <c r="B4165" s="25">
        <v>3472.2</v>
      </c>
      <c r="C4165" s="25">
        <v>3493.05</v>
      </c>
      <c r="D4165" s="25">
        <v>3424.0</v>
      </c>
      <c r="E4165" s="25">
        <v>3443.3</v>
      </c>
      <c r="F4165" s="25">
        <v>2161746.0</v>
      </c>
    </row>
    <row r="4166">
      <c r="A4166" s="25">
        <v>44525.64583333333</v>
      </c>
      <c r="B4166" s="25">
        <v>3443.9</v>
      </c>
      <c r="C4166" s="25">
        <v>3463.0</v>
      </c>
      <c r="D4166" s="25">
        <v>3434.05</v>
      </c>
      <c r="E4166" s="25">
        <v>3445.9</v>
      </c>
      <c r="F4166" s="25">
        <v>1849619.0</v>
      </c>
    </row>
    <row r="4167">
      <c r="A4167" s="25">
        <v>44526.64583333333</v>
      </c>
      <c r="B4167" s="25">
        <v>3425.0</v>
      </c>
      <c r="C4167" s="25">
        <v>3490.0</v>
      </c>
      <c r="D4167" s="25">
        <v>3411.9</v>
      </c>
      <c r="E4167" s="25">
        <v>3446.85</v>
      </c>
      <c r="F4167" s="25">
        <v>1941251.0</v>
      </c>
    </row>
    <row r="4168">
      <c r="A4168" s="25">
        <v>44529.64583333333</v>
      </c>
      <c r="B4168" s="25">
        <v>3447.15</v>
      </c>
      <c r="C4168" s="25">
        <v>3529.35</v>
      </c>
      <c r="D4168" s="25">
        <v>3406.45</v>
      </c>
      <c r="E4168" s="25">
        <v>3502.0</v>
      </c>
      <c r="F4168" s="25">
        <v>2981745.0</v>
      </c>
    </row>
    <row r="4169">
      <c r="A4169" s="25">
        <v>44530.64583333333</v>
      </c>
      <c r="B4169" s="25">
        <v>3491.0</v>
      </c>
      <c r="C4169" s="25">
        <v>3563.75</v>
      </c>
      <c r="D4169" s="25">
        <v>3491.0</v>
      </c>
      <c r="E4169" s="25">
        <v>3529.15</v>
      </c>
      <c r="F4169" s="25">
        <v>5588446.0</v>
      </c>
    </row>
    <row r="4170">
      <c r="A4170" s="25">
        <v>44531.64583333333</v>
      </c>
      <c r="B4170" s="25">
        <v>3535.0</v>
      </c>
      <c r="C4170" s="25">
        <v>3590.0</v>
      </c>
      <c r="D4170" s="25">
        <v>3535.0</v>
      </c>
      <c r="E4170" s="25">
        <v>3577.8</v>
      </c>
      <c r="F4170" s="25">
        <v>2102118.0</v>
      </c>
    </row>
    <row r="4171">
      <c r="A4171" s="25">
        <v>44532.64583333333</v>
      </c>
      <c r="B4171" s="25">
        <v>3589.2</v>
      </c>
      <c r="C4171" s="25">
        <v>3648.0</v>
      </c>
      <c r="D4171" s="25">
        <v>3574.1</v>
      </c>
      <c r="E4171" s="25">
        <v>3642.9</v>
      </c>
      <c r="F4171" s="25">
        <v>3152938.0</v>
      </c>
    </row>
    <row r="4172">
      <c r="A4172" s="25">
        <v>44533.64583333333</v>
      </c>
      <c r="B4172" s="25">
        <v>3646.45</v>
      </c>
      <c r="C4172" s="25">
        <v>3665.95</v>
      </c>
      <c r="D4172" s="25">
        <v>3630.85</v>
      </c>
      <c r="E4172" s="25">
        <v>3640.45</v>
      </c>
      <c r="F4172" s="25">
        <v>2486263.0</v>
      </c>
    </row>
    <row r="4173">
      <c r="A4173" s="25">
        <v>44536.64583333333</v>
      </c>
      <c r="B4173" s="25">
        <v>3640.45</v>
      </c>
      <c r="C4173" s="25">
        <v>3658.0</v>
      </c>
      <c r="D4173" s="25">
        <v>3522.0</v>
      </c>
      <c r="E4173" s="25">
        <v>3536.4</v>
      </c>
      <c r="F4173" s="25">
        <v>1849642.0</v>
      </c>
    </row>
    <row r="4174">
      <c r="A4174" s="25">
        <v>44537.64583333333</v>
      </c>
      <c r="B4174" s="25">
        <v>3562.5</v>
      </c>
      <c r="C4174" s="25">
        <v>3598.0</v>
      </c>
      <c r="D4174" s="25">
        <v>3524.3</v>
      </c>
      <c r="E4174" s="25">
        <v>3584.5</v>
      </c>
      <c r="F4174" s="25">
        <v>1484458.0</v>
      </c>
    </row>
    <row r="4175">
      <c r="A4175" s="25">
        <v>44538.64583333333</v>
      </c>
      <c r="B4175" s="25">
        <v>3601.0</v>
      </c>
      <c r="C4175" s="25">
        <v>3646.45</v>
      </c>
      <c r="D4175" s="25">
        <v>3601.0</v>
      </c>
      <c r="E4175" s="25">
        <v>3626.9</v>
      </c>
      <c r="F4175" s="25">
        <v>1428660.0</v>
      </c>
    </row>
    <row r="4176">
      <c r="A4176" s="25">
        <v>44539.64583333333</v>
      </c>
      <c r="B4176" s="25">
        <v>3610.0</v>
      </c>
      <c r="C4176" s="25">
        <v>3634.75</v>
      </c>
      <c r="D4176" s="25">
        <v>3566.0</v>
      </c>
      <c r="E4176" s="25">
        <v>3601.75</v>
      </c>
      <c r="F4176" s="25">
        <v>1567957.0</v>
      </c>
    </row>
    <row r="4177">
      <c r="A4177" s="25">
        <v>44540.64583333333</v>
      </c>
      <c r="B4177" s="25">
        <v>3585.0</v>
      </c>
      <c r="C4177" s="25">
        <v>3642.0</v>
      </c>
      <c r="D4177" s="25">
        <v>3575.1</v>
      </c>
      <c r="E4177" s="25">
        <v>3636.8</v>
      </c>
      <c r="F4177" s="25">
        <v>1510718.0</v>
      </c>
    </row>
    <row r="4178">
      <c r="A4178" s="25">
        <v>44543.64583333333</v>
      </c>
      <c r="B4178" s="25">
        <v>3650.0</v>
      </c>
      <c r="C4178" s="25">
        <v>3662.0</v>
      </c>
      <c r="D4178" s="25">
        <v>3601.7</v>
      </c>
      <c r="E4178" s="25">
        <v>3609.65</v>
      </c>
      <c r="F4178" s="25">
        <v>1883864.0</v>
      </c>
    </row>
    <row r="4179">
      <c r="A4179" s="25">
        <v>44544.64583333333</v>
      </c>
      <c r="B4179" s="25">
        <v>3605.0</v>
      </c>
      <c r="C4179" s="25">
        <v>3635.0</v>
      </c>
      <c r="D4179" s="25">
        <v>3576.7</v>
      </c>
      <c r="E4179" s="25">
        <v>3623.8</v>
      </c>
      <c r="F4179" s="25">
        <v>1747007.0</v>
      </c>
    </row>
    <row r="4180">
      <c r="A4180" s="25">
        <v>44545.64583333333</v>
      </c>
      <c r="B4180" s="25">
        <v>3620.0</v>
      </c>
      <c r="C4180" s="25">
        <v>3623.0</v>
      </c>
      <c r="D4180" s="25">
        <v>3558.15</v>
      </c>
      <c r="E4180" s="25">
        <v>3570.35</v>
      </c>
      <c r="F4180" s="25">
        <v>1603233.0</v>
      </c>
    </row>
    <row r="4181">
      <c r="A4181" s="25">
        <v>44546.64583333333</v>
      </c>
      <c r="B4181" s="25">
        <v>3582.0</v>
      </c>
      <c r="C4181" s="25">
        <v>3608.45</v>
      </c>
      <c r="D4181" s="25">
        <v>3570.0</v>
      </c>
      <c r="E4181" s="25">
        <v>3581.6</v>
      </c>
      <c r="F4181" s="25">
        <v>2072320.0</v>
      </c>
    </row>
    <row r="4182">
      <c r="A4182" s="25">
        <v>44547.64583333333</v>
      </c>
      <c r="B4182" s="25">
        <v>3602.5</v>
      </c>
      <c r="C4182" s="25">
        <v>3651.35</v>
      </c>
      <c r="D4182" s="25">
        <v>3573.7</v>
      </c>
      <c r="E4182" s="25">
        <v>3584.35</v>
      </c>
      <c r="F4182" s="25">
        <v>4333992.0</v>
      </c>
    </row>
    <row r="4183">
      <c r="A4183" s="25">
        <v>44550.64583333333</v>
      </c>
      <c r="B4183" s="25">
        <v>3589.0</v>
      </c>
      <c r="C4183" s="25">
        <v>3606.0</v>
      </c>
      <c r="D4183" s="25">
        <v>3510.15</v>
      </c>
      <c r="E4183" s="25">
        <v>3556.9</v>
      </c>
      <c r="F4183" s="25">
        <v>2312310.0</v>
      </c>
    </row>
    <row r="4184">
      <c r="A4184" s="25">
        <v>44551.64583333333</v>
      </c>
      <c r="B4184" s="25">
        <v>3582.65</v>
      </c>
      <c r="C4184" s="25">
        <v>3641.2</v>
      </c>
      <c r="D4184" s="25">
        <v>3566.4</v>
      </c>
      <c r="E4184" s="25">
        <v>3608.3</v>
      </c>
      <c r="F4184" s="25">
        <v>2340989.0</v>
      </c>
    </row>
    <row r="4185">
      <c r="A4185" s="25">
        <v>44552.64583333333</v>
      </c>
      <c r="B4185" s="25">
        <v>3624.0</v>
      </c>
      <c r="C4185" s="25">
        <v>3636.8</v>
      </c>
      <c r="D4185" s="25">
        <v>3606.25</v>
      </c>
      <c r="E4185" s="25">
        <v>3630.75</v>
      </c>
      <c r="F4185" s="25">
        <v>1224328.0</v>
      </c>
    </row>
    <row r="4186">
      <c r="A4186" s="25">
        <v>44553.64583333333</v>
      </c>
      <c r="B4186" s="25">
        <v>3648.0</v>
      </c>
      <c r="C4186" s="25">
        <v>3670.5</v>
      </c>
      <c r="D4186" s="25">
        <v>3630.0</v>
      </c>
      <c r="E4186" s="25">
        <v>3662.7</v>
      </c>
      <c r="F4186" s="25">
        <v>1792861.0</v>
      </c>
    </row>
    <row r="4187">
      <c r="A4187" s="25">
        <v>44554.64583333333</v>
      </c>
      <c r="B4187" s="25">
        <v>3685.0</v>
      </c>
      <c r="C4187" s="25">
        <v>3705.0</v>
      </c>
      <c r="D4187" s="25">
        <v>3644.8</v>
      </c>
      <c r="E4187" s="25">
        <v>3670.9</v>
      </c>
      <c r="F4187" s="25">
        <v>2209923.0</v>
      </c>
    </row>
    <row r="4188">
      <c r="A4188" s="25">
        <v>44557.64583333333</v>
      </c>
      <c r="B4188" s="25">
        <v>3671.0</v>
      </c>
      <c r="C4188" s="25">
        <v>3700.0</v>
      </c>
      <c r="D4188" s="25">
        <v>3653.1</v>
      </c>
      <c r="E4188" s="25">
        <v>3696.1</v>
      </c>
      <c r="F4188" s="25">
        <v>1534135.0</v>
      </c>
    </row>
    <row r="4189">
      <c r="A4189" s="25">
        <v>44558.64583333333</v>
      </c>
      <c r="B4189" s="25">
        <v>3710.0</v>
      </c>
      <c r="C4189" s="25">
        <v>3725.0</v>
      </c>
      <c r="D4189" s="25">
        <v>3693.85</v>
      </c>
      <c r="E4189" s="25">
        <v>3706.55</v>
      </c>
      <c r="F4189" s="25">
        <v>1456218.0</v>
      </c>
    </row>
    <row r="4190">
      <c r="A4190" s="25">
        <v>44559.64583333333</v>
      </c>
      <c r="B4190" s="25">
        <v>3692.25</v>
      </c>
      <c r="C4190" s="25">
        <v>3719.95</v>
      </c>
      <c r="D4190" s="25">
        <v>3685.0</v>
      </c>
      <c r="E4190" s="25">
        <v>3694.7</v>
      </c>
      <c r="F4190" s="25">
        <v>1456923.0</v>
      </c>
    </row>
    <row r="4191">
      <c r="A4191" s="25">
        <v>44560.64583333333</v>
      </c>
      <c r="B4191" s="25">
        <v>3681.35</v>
      </c>
      <c r="C4191" s="25">
        <v>3740.0</v>
      </c>
      <c r="D4191" s="25">
        <v>3680.0</v>
      </c>
      <c r="E4191" s="25">
        <v>3733.75</v>
      </c>
      <c r="F4191" s="25">
        <v>1966475.0</v>
      </c>
    </row>
    <row r="4192">
      <c r="A4192" s="25">
        <v>44561.64583333333</v>
      </c>
      <c r="B4192" s="25">
        <v>3742.8</v>
      </c>
      <c r="C4192" s="25">
        <v>3760.0</v>
      </c>
      <c r="D4192" s="25">
        <v>3731.3</v>
      </c>
      <c r="E4192" s="25">
        <v>3738.35</v>
      </c>
      <c r="F4192" s="25">
        <v>1207141.0</v>
      </c>
    </row>
    <row r="4193">
      <c r="A4193" s="25">
        <v>44564.64583333333</v>
      </c>
      <c r="B4193" s="25">
        <v>3750.0</v>
      </c>
      <c r="C4193" s="25">
        <v>3830.0</v>
      </c>
      <c r="D4193" s="25">
        <v>3745.0</v>
      </c>
      <c r="E4193" s="25">
        <v>3817.75</v>
      </c>
      <c r="F4193" s="25">
        <v>2346158.0</v>
      </c>
    </row>
    <row r="4194">
      <c r="A4194" s="25">
        <v>44565.64583333333</v>
      </c>
      <c r="B4194" s="25">
        <v>3831.1</v>
      </c>
      <c r="C4194" s="25">
        <v>3889.15</v>
      </c>
      <c r="D4194" s="25">
        <v>3811.7</v>
      </c>
      <c r="E4194" s="25">
        <v>3884.75</v>
      </c>
      <c r="F4194" s="25">
        <v>2488606.0</v>
      </c>
    </row>
    <row r="4195">
      <c r="A4195" s="25">
        <v>44566.64583333333</v>
      </c>
      <c r="B4195" s="25">
        <v>3865.0</v>
      </c>
      <c r="C4195" s="25">
        <v>3870.0</v>
      </c>
      <c r="D4195" s="25">
        <v>3812.4</v>
      </c>
      <c r="E4195" s="25">
        <v>3860.95</v>
      </c>
      <c r="F4195" s="25">
        <v>1733031.0</v>
      </c>
    </row>
    <row r="4196">
      <c r="A4196" s="25">
        <v>44567.64583333333</v>
      </c>
      <c r="B4196" s="25">
        <v>3812.0</v>
      </c>
      <c r="C4196" s="25">
        <v>3835.0</v>
      </c>
      <c r="D4196" s="25">
        <v>3772.0</v>
      </c>
      <c r="E4196" s="25">
        <v>3807.45</v>
      </c>
      <c r="F4196" s="25">
        <v>1810293.0</v>
      </c>
    </row>
    <row r="4197">
      <c r="A4197" s="25">
        <v>44568.64583333333</v>
      </c>
      <c r="B4197" s="25">
        <v>3820.0</v>
      </c>
      <c r="C4197" s="25">
        <v>3864.9</v>
      </c>
      <c r="D4197" s="25">
        <v>3796.4</v>
      </c>
      <c r="E4197" s="25">
        <v>3853.5</v>
      </c>
      <c r="F4197" s="25">
        <v>2460591.0</v>
      </c>
    </row>
    <row r="4198">
      <c r="A4198" s="25">
        <v>44571.64583333333</v>
      </c>
      <c r="B4198" s="25">
        <v>3978.0</v>
      </c>
      <c r="C4198" s="25">
        <v>3978.0</v>
      </c>
      <c r="D4198" s="25">
        <v>3861.0</v>
      </c>
      <c r="E4198" s="25">
        <v>3879.85</v>
      </c>
      <c r="F4198" s="25">
        <v>3937092.0</v>
      </c>
    </row>
    <row r="4199">
      <c r="A4199" s="25">
        <v>44572.64583333333</v>
      </c>
      <c r="B4199" s="25">
        <v>3856.0</v>
      </c>
      <c r="C4199" s="25">
        <v>3925.0</v>
      </c>
      <c r="D4199" s="25">
        <v>3856.0</v>
      </c>
      <c r="E4199" s="25">
        <v>3915.9</v>
      </c>
      <c r="F4199" s="25">
        <v>1906106.0</v>
      </c>
    </row>
    <row r="4200">
      <c r="A4200" s="25">
        <v>44573.64583333333</v>
      </c>
      <c r="B4200" s="25">
        <v>3925.0</v>
      </c>
      <c r="C4200" s="25">
        <v>3929.0</v>
      </c>
      <c r="D4200" s="25">
        <v>3836.55</v>
      </c>
      <c r="E4200" s="25">
        <v>3859.9</v>
      </c>
      <c r="F4200" s="25">
        <v>3203744.0</v>
      </c>
    </row>
    <row r="4201">
      <c r="A4201" s="25">
        <v>44574.64583333333</v>
      </c>
      <c r="B4201" s="25">
        <v>3918.0</v>
      </c>
      <c r="C4201" s="25">
        <v>3923.0</v>
      </c>
      <c r="D4201" s="25">
        <v>3857.0</v>
      </c>
      <c r="E4201" s="25">
        <v>3897.9</v>
      </c>
      <c r="F4201" s="25">
        <v>6684507.0</v>
      </c>
    </row>
    <row r="4202">
      <c r="A4202" s="25">
        <v>44575.64583333333</v>
      </c>
      <c r="B4202" s="25">
        <v>3877.85</v>
      </c>
      <c r="C4202" s="25">
        <v>3977.0</v>
      </c>
      <c r="D4202" s="25">
        <v>3860.05</v>
      </c>
      <c r="E4202" s="25">
        <v>3968.15</v>
      </c>
      <c r="F4202" s="25">
        <v>3348123.0</v>
      </c>
    </row>
    <row r="4203">
      <c r="A4203" s="25">
        <v>44578.64583333333</v>
      </c>
      <c r="B4203" s="25">
        <v>3992.7</v>
      </c>
      <c r="C4203" s="25">
        <v>4043.0</v>
      </c>
      <c r="D4203" s="25">
        <v>3962.3</v>
      </c>
      <c r="E4203" s="25">
        <v>4019.15</v>
      </c>
      <c r="F4203" s="25">
        <v>3442604.0</v>
      </c>
    </row>
    <row r="4204">
      <c r="A4204" s="25">
        <v>44579.64583333333</v>
      </c>
      <c r="B4204" s="25">
        <v>4033.95</v>
      </c>
      <c r="C4204" s="25">
        <v>4041.7</v>
      </c>
      <c r="D4204" s="25">
        <v>3980.0</v>
      </c>
      <c r="E4204" s="25">
        <v>3990.6</v>
      </c>
      <c r="F4204" s="25">
        <v>2389041.0</v>
      </c>
    </row>
    <row r="4205">
      <c r="A4205" s="25">
        <v>44580.64583333333</v>
      </c>
      <c r="B4205" s="25">
        <v>4012.0</v>
      </c>
      <c r="C4205" s="25">
        <v>4012.0</v>
      </c>
      <c r="D4205" s="25">
        <v>3910.5</v>
      </c>
      <c r="E4205" s="25">
        <v>3914.65</v>
      </c>
      <c r="F4205" s="25">
        <v>3102539.0</v>
      </c>
    </row>
    <row r="4206">
      <c r="A4206" s="25">
        <v>44581.64583333333</v>
      </c>
      <c r="B4206" s="25">
        <v>3910.0</v>
      </c>
      <c r="C4206" s="25">
        <v>3920.0</v>
      </c>
      <c r="D4206" s="25">
        <v>3811.0</v>
      </c>
      <c r="E4206" s="25">
        <v>3826.55</v>
      </c>
      <c r="F4206" s="25">
        <v>6176776.0</v>
      </c>
    </row>
    <row r="4207">
      <c r="A4207" s="25">
        <v>44582.64583333333</v>
      </c>
      <c r="B4207" s="25">
        <v>3807.0</v>
      </c>
      <c r="C4207" s="25">
        <v>3851.55</v>
      </c>
      <c r="D4207" s="25">
        <v>3771.1</v>
      </c>
      <c r="E4207" s="25">
        <v>3833.5</v>
      </c>
      <c r="F4207" s="25">
        <v>3112358.0</v>
      </c>
    </row>
    <row r="4208">
      <c r="A4208" s="25">
        <v>44585.64583333333</v>
      </c>
      <c r="B4208" s="25">
        <v>3840.0</v>
      </c>
      <c r="C4208" s="25">
        <v>3849.65</v>
      </c>
      <c r="D4208" s="25">
        <v>3740.1</v>
      </c>
      <c r="E4208" s="25">
        <v>3771.35</v>
      </c>
      <c r="F4208" s="25">
        <v>3258414.0</v>
      </c>
    </row>
    <row r="4209">
      <c r="A4209" s="25">
        <v>44586.64583333333</v>
      </c>
      <c r="B4209" s="25">
        <v>3769.5</v>
      </c>
      <c r="C4209" s="25">
        <v>3809.4</v>
      </c>
      <c r="D4209" s="25">
        <v>3722.2</v>
      </c>
      <c r="E4209" s="25">
        <v>3769.9</v>
      </c>
      <c r="F4209" s="25">
        <v>3330501.0</v>
      </c>
    </row>
    <row r="4210">
      <c r="A4210" s="25">
        <v>44588.64583333333</v>
      </c>
      <c r="B4210" s="25">
        <v>3731.0</v>
      </c>
      <c r="C4210" s="25">
        <v>3733.4</v>
      </c>
      <c r="D4210" s="25">
        <v>3625.1</v>
      </c>
      <c r="E4210" s="25">
        <v>3649.25</v>
      </c>
      <c r="F4210" s="25">
        <v>5718297.0</v>
      </c>
    </row>
    <row r="4211">
      <c r="A4211" s="25">
        <v>44589.64583333333</v>
      </c>
      <c r="B4211" s="25">
        <v>3646.0</v>
      </c>
      <c r="C4211" s="25">
        <v>3729.8</v>
      </c>
      <c r="D4211" s="25">
        <v>3646.0</v>
      </c>
      <c r="E4211" s="25">
        <v>3690.05</v>
      </c>
      <c r="F4211" s="25">
        <v>3143862.0</v>
      </c>
    </row>
    <row r="4212">
      <c r="A4212" s="25">
        <v>44592.64583333333</v>
      </c>
      <c r="B4212" s="25">
        <v>3749.0</v>
      </c>
      <c r="C4212" s="25">
        <v>3758.0</v>
      </c>
      <c r="D4212" s="25">
        <v>3721.4</v>
      </c>
      <c r="E4212" s="25">
        <v>3736.25</v>
      </c>
      <c r="F4212" s="25">
        <v>2739393.0</v>
      </c>
    </row>
    <row r="4213">
      <c r="A4213" s="25">
        <v>44593.64583333333</v>
      </c>
      <c r="B4213" s="25">
        <v>3770.0</v>
      </c>
      <c r="C4213" s="25">
        <v>3808.0</v>
      </c>
      <c r="D4213" s="25">
        <v>3736.4</v>
      </c>
      <c r="E4213" s="25">
        <v>3800.65</v>
      </c>
      <c r="F4213" s="25">
        <v>2105169.0</v>
      </c>
    </row>
    <row r="4214">
      <c r="A4214" s="25">
        <v>44594.64583333333</v>
      </c>
      <c r="B4214" s="25">
        <v>3827.9</v>
      </c>
      <c r="C4214" s="25">
        <v>3864.0</v>
      </c>
      <c r="D4214" s="25">
        <v>3800.65</v>
      </c>
      <c r="E4214" s="25">
        <v>3856.2</v>
      </c>
      <c r="F4214" s="25">
        <v>1984212.0</v>
      </c>
    </row>
    <row r="4215">
      <c r="A4215" s="25">
        <v>44595.64583333333</v>
      </c>
      <c r="B4215" s="25">
        <v>3851.0</v>
      </c>
      <c r="C4215" s="25">
        <v>3882.5</v>
      </c>
      <c r="D4215" s="25">
        <v>3816.05</v>
      </c>
      <c r="E4215" s="25">
        <v>3824.6</v>
      </c>
      <c r="F4215" s="25">
        <v>1960538.0</v>
      </c>
    </row>
    <row r="4216">
      <c r="A4216" s="25">
        <v>44596.64583333333</v>
      </c>
      <c r="B4216" s="25">
        <v>3815.3</v>
      </c>
      <c r="C4216" s="25">
        <v>3824.7</v>
      </c>
      <c r="D4216" s="25">
        <v>3769.0</v>
      </c>
      <c r="E4216" s="25">
        <v>3814.9</v>
      </c>
      <c r="F4216" s="25">
        <v>2307366.0</v>
      </c>
    </row>
    <row r="4217">
      <c r="A4217" s="25">
        <v>44599.64583333333</v>
      </c>
      <c r="B4217" s="25">
        <v>3791.0</v>
      </c>
      <c r="C4217" s="25">
        <v>3831.8</v>
      </c>
      <c r="D4217" s="25">
        <v>3756.15</v>
      </c>
      <c r="E4217" s="25">
        <v>3779.0</v>
      </c>
      <c r="F4217" s="25">
        <v>1919149.0</v>
      </c>
    </row>
    <row r="4218">
      <c r="A4218" s="25">
        <v>44600.64583333333</v>
      </c>
      <c r="B4218" s="25">
        <v>3791.55</v>
      </c>
      <c r="C4218" s="25">
        <v>3799.7</v>
      </c>
      <c r="D4218" s="25">
        <v>3721.0</v>
      </c>
      <c r="E4218" s="25">
        <v>3743.45</v>
      </c>
      <c r="F4218" s="25">
        <v>2946443.0</v>
      </c>
    </row>
    <row r="4219">
      <c r="A4219" s="25">
        <v>44601.64583333333</v>
      </c>
      <c r="B4219" s="25">
        <v>3750.0</v>
      </c>
      <c r="C4219" s="25">
        <v>3777.95</v>
      </c>
      <c r="D4219" s="25">
        <v>3746.1</v>
      </c>
      <c r="E4219" s="25">
        <v>3760.55</v>
      </c>
      <c r="F4219" s="25">
        <v>1638721.0</v>
      </c>
    </row>
    <row r="4220">
      <c r="A4220" s="25">
        <v>44602.64583333333</v>
      </c>
      <c r="B4220" s="25">
        <v>3789.8</v>
      </c>
      <c r="C4220" s="25">
        <v>3789.8</v>
      </c>
      <c r="D4220" s="25">
        <v>3758.0</v>
      </c>
      <c r="E4220" s="25">
        <v>3770.35</v>
      </c>
      <c r="F4220" s="25">
        <v>2112459.0</v>
      </c>
    </row>
    <row r="4221">
      <c r="A4221" s="25">
        <v>44603.64583333333</v>
      </c>
      <c r="B4221" s="25">
        <v>3752.5</v>
      </c>
      <c r="C4221" s="25">
        <v>3752.5</v>
      </c>
      <c r="D4221" s="25">
        <v>3690.0</v>
      </c>
      <c r="E4221" s="25">
        <v>3694.95</v>
      </c>
      <c r="F4221" s="25">
        <v>3851488.0</v>
      </c>
    </row>
    <row r="4222">
      <c r="A4222" s="25">
        <v>44606.64583333333</v>
      </c>
      <c r="B4222" s="25">
        <v>3724.0</v>
      </c>
      <c r="C4222" s="25">
        <v>3793.25</v>
      </c>
      <c r="D4222" s="25">
        <v>3710.0</v>
      </c>
      <c r="E4222" s="25">
        <v>3733.75</v>
      </c>
      <c r="F4222" s="25">
        <v>5951745.0</v>
      </c>
    </row>
    <row r="4223">
      <c r="A4223" s="25">
        <v>44607.64583333333</v>
      </c>
      <c r="B4223" s="25">
        <v>3786.0</v>
      </c>
      <c r="C4223" s="25">
        <v>3835.0</v>
      </c>
      <c r="D4223" s="25">
        <v>3748.0</v>
      </c>
      <c r="E4223" s="25">
        <v>3817.8</v>
      </c>
      <c r="F4223" s="25">
        <v>3931683.0</v>
      </c>
    </row>
    <row r="4224">
      <c r="A4224" s="25">
        <v>44608.64583333333</v>
      </c>
      <c r="B4224" s="25">
        <v>3844.0</v>
      </c>
      <c r="C4224" s="25">
        <v>3854.1</v>
      </c>
      <c r="D4224" s="25">
        <v>3806.0</v>
      </c>
      <c r="E4224" s="25">
        <v>3813.1</v>
      </c>
      <c r="F4224" s="25">
        <v>3256906.0</v>
      </c>
    </row>
    <row r="4225">
      <c r="A4225" s="25">
        <v>44609.64583333333</v>
      </c>
      <c r="B4225" s="25">
        <v>3825.0</v>
      </c>
      <c r="C4225" s="25">
        <v>3835.0</v>
      </c>
      <c r="D4225" s="25">
        <v>3779.0</v>
      </c>
      <c r="E4225" s="25">
        <v>3784.2</v>
      </c>
      <c r="F4225" s="25">
        <v>3134372.0</v>
      </c>
    </row>
    <row r="4226">
      <c r="A4226" s="25">
        <v>44610.64583333333</v>
      </c>
      <c r="B4226" s="25">
        <v>3769.0</v>
      </c>
      <c r="C4226" s="25">
        <v>3815.95</v>
      </c>
      <c r="D4226" s="25">
        <v>3757.6</v>
      </c>
      <c r="E4226" s="25">
        <v>3793.9</v>
      </c>
      <c r="F4226" s="25">
        <v>3688883.0</v>
      </c>
    </row>
    <row r="4227">
      <c r="A4227" s="25">
        <v>44613.64583333333</v>
      </c>
      <c r="B4227" s="25">
        <v>3810.0</v>
      </c>
      <c r="C4227" s="25">
        <v>3827.8</v>
      </c>
      <c r="D4227" s="25">
        <v>3705.55</v>
      </c>
      <c r="E4227" s="25">
        <v>3719.4</v>
      </c>
      <c r="F4227" s="25">
        <v>7465922.0</v>
      </c>
    </row>
    <row r="4228">
      <c r="A4228" s="25">
        <v>44614.64583333333</v>
      </c>
      <c r="B4228" s="25">
        <v>3650.0</v>
      </c>
      <c r="C4228" s="25">
        <v>3667.9</v>
      </c>
      <c r="D4228" s="25">
        <v>3570.0</v>
      </c>
      <c r="E4228" s="25">
        <v>3586.4</v>
      </c>
      <c r="F4228" s="25">
        <v>5408531.0</v>
      </c>
    </row>
    <row r="4229">
      <c r="A4229" s="25">
        <v>44615.64583333333</v>
      </c>
      <c r="B4229" s="25">
        <v>3611.0</v>
      </c>
      <c r="C4229" s="25">
        <v>3622.9</v>
      </c>
      <c r="D4229" s="25">
        <v>3555.65</v>
      </c>
      <c r="E4229" s="25">
        <v>3563.8</v>
      </c>
      <c r="F4229" s="25">
        <v>2426203.0</v>
      </c>
    </row>
    <row r="4230">
      <c r="A4230" s="25">
        <v>44616.64583333333</v>
      </c>
      <c r="B4230" s="25">
        <v>3474.0</v>
      </c>
      <c r="C4230" s="25">
        <v>3483.85</v>
      </c>
      <c r="D4230" s="25">
        <v>3391.1</v>
      </c>
      <c r="E4230" s="25">
        <v>3401.65</v>
      </c>
      <c r="F4230" s="25">
        <v>5039136.0</v>
      </c>
    </row>
    <row r="4231">
      <c r="A4231" s="25">
        <v>44617.64583333333</v>
      </c>
      <c r="B4231" s="25">
        <v>3468.0</v>
      </c>
      <c r="C4231" s="25">
        <v>3530.0</v>
      </c>
      <c r="D4231" s="25">
        <v>3462.0</v>
      </c>
      <c r="E4231" s="25">
        <v>3520.75</v>
      </c>
      <c r="F4231" s="25">
        <v>2549723.0</v>
      </c>
    </row>
    <row r="4232">
      <c r="A4232" s="25">
        <v>44620.64583333333</v>
      </c>
      <c r="B4232" s="25">
        <v>3490.0</v>
      </c>
      <c r="C4232" s="25">
        <v>3563.75</v>
      </c>
      <c r="D4232" s="25">
        <v>3455.9</v>
      </c>
      <c r="E4232" s="25">
        <v>3554.2</v>
      </c>
      <c r="F4232" s="25">
        <v>3288942.0</v>
      </c>
    </row>
    <row r="4233">
      <c r="A4233" s="25">
        <v>44622.64583333333</v>
      </c>
      <c r="B4233" s="25">
        <v>3552.5</v>
      </c>
      <c r="C4233" s="25">
        <v>3571.95</v>
      </c>
      <c r="D4233" s="25">
        <v>3506.0</v>
      </c>
      <c r="E4233" s="25">
        <v>3546.15</v>
      </c>
      <c r="F4233" s="25">
        <v>2761341.0</v>
      </c>
    </row>
    <row r="4234">
      <c r="A4234" s="25">
        <v>44623.64583333333</v>
      </c>
      <c r="B4234" s="25">
        <v>3562.85</v>
      </c>
      <c r="C4234" s="25">
        <v>3578.6</v>
      </c>
      <c r="D4234" s="25">
        <v>3530.1</v>
      </c>
      <c r="E4234" s="25">
        <v>3544.4</v>
      </c>
      <c r="F4234" s="25">
        <v>1928039.0</v>
      </c>
    </row>
    <row r="4235">
      <c r="A4235" s="25">
        <v>44624.64583333333</v>
      </c>
      <c r="B4235" s="25">
        <v>3501.5</v>
      </c>
      <c r="C4235" s="25">
        <v>3561.2</v>
      </c>
      <c r="D4235" s="25">
        <v>3487.05</v>
      </c>
      <c r="E4235" s="25">
        <v>3524.35</v>
      </c>
      <c r="F4235" s="25">
        <v>2370257.0</v>
      </c>
    </row>
    <row r="4236">
      <c r="A4236" s="25">
        <v>44627.64583333333</v>
      </c>
      <c r="B4236" s="25">
        <v>3450.0</v>
      </c>
      <c r="C4236" s="25">
        <v>3548.0</v>
      </c>
      <c r="D4236" s="25">
        <v>3431.55</v>
      </c>
      <c r="E4236" s="25">
        <v>3484.9</v>
      </c>
      <c r="F4236" s="25">
        <v>3054130.0</v>
      </c>
    </row>
    <row r="4237">
      <c r="A4237" s="25">
        <v>44628.64583333333</v>
      </c>
      <c r="B4237" s="25">
        <v>3460.0</v>
      </c>
      <c r="C4237" s="25">
        <v>3609.0</v>
      </c>
      <c r="D4237" s="25">
        <v>3460.0</v>
      </c>
      <c r="E4237" s="25">
        <v>3599.95</v>
      </c>
      <c r="F4237" s="25">
        <v>3300992.0</v>
      </c>
    </row>
    <row r="4238">
      <c r="A4238" s="25">
        <v>44629.64583333333</v>
      </c>
      <c r="B4238" s="25">
        <v>3605.0</v>
      </c>
      <c r="C4238" s="25">
        <v>3654.0</v>
      </c>
      <c r="D4238" s="25">
        <v>3597.05</v>
      </c>
      <c r="E4238" s="25">
        <v>3632.6</v>
      </c>
      <c r="F4238" s="25">
        <v>2719654.0</v>
      </c>
    </row>
    <row r="4239">
      <c r="A4239" s="25">
        <v>44630.64583333333</v>
      </c>
      <c r="B4239" s="25">
        <v>3684.0</v>
      </c>
      <c r="C4239" s="25">
        <v>3684.0</v>
      </c>
      <c r="D4239" s="25">
        <v>3615.0</v>
      </c>
      <c r="E4239" s="25">
        <v>3620.95</v>
      </c>
      <c r="F4239" s="25">
        <v>2005441.0</v>
      </c>
    </row>
    <row r="4240">
      <c r="A4240" s="25">
        <v>44631.64583333333</v>
      </c>
      <c r="B4240" s="25">
        <v>3603.25</v>
      </c>
      <c r="C4240" s="25">
        <v>3639.85</v>
      </c>
      <c r="D4240" s="25">
        <v>3592.85</v>
      </c>
      <c r="E4240" s="25">
        <v>3599.15</v>
      </c>
      <c r="F4240" s="25">
        <v>1623423.0</v>
      </c>
    </row>
    <row r="4241">
      <c r="A4241" s="25">
        <v>44634.64583333333</v>
      </c>
      <c r="B4241" s="25">
        <v>3580.0</v>
      </c>
      <c r="C4241" s="25">
        <v>3648.35</v>
      </c>
      <c r="D4241" s="25">
        <v>3580.0</v>
      </c>
      <c r="E4241" s="25">
        <v>3643.0</v>
      </c>
      <c r="F4241" s="25">
        <v>1765688.0</v>
      </c>
    </row>
    <row r="4242">
      <c r="A4242" s="25">
        <v>44635.64583333333</v>
      </c>
      <c r="B4242" s="25">
        <v>3659.0</v>
      </c>
      <c r="C4242" s="25">
        <v>3659.0</v>
      </c>
      <c r="D4242" s="25">
        <v>3585.4</v>
      </c>
      <c r="E4242" s="25">
        <v>3593.9</v>
      </c>
      <c r="F4242" s="25">
        <v>3651133.0</v>
      </c>
    </row>
    <row r="4243">
      <c r="A4243" s="25">
        <v>44636.64583333333</v>
      </c>
      <c r="B4243" s="25">
        <v>3640.5</v>
      </c>
      <c r="C4243" s="25">
        <v>3668.0</v>
      </c>
      <c r="D4243" s="25">
        <v>3616.25</v>
      </c>
      <c r="E4243" s="25">
        <v>3655.9</v>
      </c>
      <c r="F4243" s="25">
        <v>3090475.0</v>
      </c>
    </row>
    <row r="4244">
      <c r="A4244" s="25">
        <v>44637.64583333333</v>
      </c>
      <c r="B4244" s="25">
        <v>3696.6</v>
      </c>
      <c r="C4244" s="25">
        <v>3710.0</v>
      </c>
      <c r="D4244" s="25">
        <v>3660.3</v>
      </c>
      <c r="E4244" s="25">
        <v>3672.75</v>
      </c>
      <c r="F4244" s="25">
        <v>3600452.0</v>
      </c>
    </row>
    <row r="4245">
      <c r="A4245" s="25">
        <v>44641.64583333333</v>
      </c>
      <c r="B4245" s="25">
        <v>3696.0</v>
      </c>
      <c r="C4245" s="25">
        <v>3713.95</v>
      </c>
      <c r="D4245" s="25">
        <v>3615.0</v>
      </c>
      <c r="E4245" s="25">
        <v>3626.7</v>
      </c>
      <c r="F4245" s="25">
        <v>2413831.0</v>
      </c>
    </row>
    <row r="4246">
      <c r="A4246" s="25">
        <v>44642.64583333333</v>
      </c>
      <c r="B4246" s="25">
        <v>3640.0</v>
      </c>
      <c r="C4246" s="25">
        <v>3711.0</v>
      </c>
      <c r="D4246" s="25">
        <v>3625.0</v>
      </c>
      <c r="E4246" s="25">
        <v>3700.95</v>
      </c>
      <c r="F4246" s="25">
        <v>2907611.0</v>
      </c>
    </row>
    <row r="4247">
      <c r="A4247" s="25">
        <v>44643.64583333333</v>
      </c>
      <c r="B4247" s="25">
        <v>3708.0</v>
      </c>
      <c r="C4247" s="25">
        <v>3729.8</v>
      </c>
      <c r="D4247" s="25">
        <v>3690.0</v>
      </c>
      <c r="E4247" s="25">
        <v>3712.4</v>
      </c>
      <c r="F4247" s="25">
        <v>1596195.0</v>
      </c>
    </row>
    <row r="4248">
      <c r="A4248" s="25">
        <v>44644.64583333333</v>
      </c>
      <c r="B4248" s="25">
        <v>3700.0</v>
      </c>
      <c r="C4248" s="25">
        <v>3758.2</v>
      </c>
      <c r="D4248" s="25">
        <v>3695.0</v>
      </c>
      <c r="E4248" s="25">
        <v>3749.85</v>
      </c>
      <c r="F4248" s="25">
        <v>1879046.0</v>
      </c>
    </row>
    <row r="4249">
      <c r="A4249" s="25">
        <v>44645.64583333333</v>
      </c>
      <c r="B4249" s="25">
        <v>3759.9</v>
      </c>
      <c r="C4249" s="25">
        <v>3779.5</v>
      </c>
      <c r="D4249" s="25">
        <v>3672.0</v>
      </c>
      <c r="E4249" s="25">
        <v>3707.45</v>
      </c>
      <c r="F4249" s="25">
        <v>1690133.0</v>
      </c>
    </row>
    <row r="4250">
      <c r="A4250" s="25">
        <v>44648.64583333333</v>
      </c>
      <c r="B4250" s="25">
        <v>3695.0</v>
      </c>
      <c r="C4250" s="25">
        <v>3713.0</v>
      </c>
      <c r="D4250" s="25">
        <v>3661.2</v>
      </c>
      <c r="E4250" s="25">
        <v>3707.7</v>
      </c>
      <c r="F4250" s="25">
        <v>1760990.0</v>
      </c>
    </row>
    <row r="4251">
      <c r="A4251" s="25">
        <v>44649.64583333333</v>
      </c>
      <c r="B4251" s="25">
        <v>3694.75</v>
      </c>
      <c r="C4251" s="25">
        <v>3722.0</v>
      </c>
      <c r="D4251" s="25">
        <v>3691.0</v>
      </c>
      <c r="E4251" s="25">
        <v>3705.35</v>
      </c>
      <c r="F4251" s="25">
        <v>2689063.0</v>
      </c>
    </row>
    <row r="4252">
      <c r="A4252" s="25">
        <v>44650.64583333333</v>
      </c>
      <c r="B4252" s="25">
        <v>3738.0</v>
      </c>
      <c r="C4252" s="25">
        <v>3738.0</v>
      </c>
      <c r="D4252" s="25">
        <v>3706.2</v>
      </c>
      <c r="E4252" s="25">
        <v>3731.55</v>
      </c>
      <c r="F4252" s="25">
        <v>1583455.0</v>
      </c>
    </row>
    <row r="4253">
      <c r="A4253" s="25">
        <v>44651.64583333333</v>
      </c>
      <c r="B4253" s="25">
        <v>3740.0</v>
      </c>
      <c r="C4253" s="25">
        <v>3754.65</v>
      </c>
      <c r="D4253" s="25">
        <v>3720.2</v>
      </c>
      <c r="E4253" s="25">
        <v>3739.95</v>
      </c>
      <c r="F4253" s="25">
        <v>2168110.0</v>
      </c>
    </row>
    <row r="4254">
      <c r="A4254" s="25">
        <v>44652.64583333333</v>
      </c>
      <c r="B4254" s="25">
        <v>3748.0</v>
      </c>
      <c r="C4254" s="25">
        <v>3763.0</v>
      </c>
      <c r="D4254" s="25">
        <v>3728.05</v>
      </c>
      <c r="E4254" s="25">
        <v>3758.75</v>
      </c>
      <c r="F4254" s="25">
        <v>1387014.0</v>
      </c>
    </row>
    <row r="4255">
      <c r="A4255" s="25">
        <v>44655.64583333333</v>
      </c>
      <c r="B4255" s="25">
        <v>3762.0</v>
      </c>
      <c r="C4255" s="25">
        <v>3780.0</v>
      </c>
      <c r="D4255" s="25">
        <v>3737.1</v>
      </c>
      <c r="E4255" s="25">
        <v>3770.35</v>
      </c>
      <c r="F4255" s="25">
        <v>1472994.0</v>
      </c>
    </row>
    <row r="4256">
      <c r="A4256" s="25">
        <v>44656.64583333333</v>
      </c>
      <c r="B4256" s="25">
        <v>3772.0</v>
      </c>
      <c r="C4256" s="25">
        <v>3835.6</v>
      </c>
      <c r="D4256" s="25">
        <v>3772.0</v>
      </c>
      <c r="E4256" s="25">
        <v>3814.8</v>
      </c>
      <c r="F4256" s="25">
        <v>2314947.0</v>
      </c>
    </row>
    <row r="4257">
      <c r="A4257" s="25">
        <v>44657.64583333333</v>
      </c>
      <c r="B4257" s="25">
        <v>3809.3</v>
      </c>
      <c r="C4257" s="25">
        <v>3809.3</v>
      </c>
      <c r="D4257" s="25">
        <v>3731.15</v>
      </c>
      <c r="E4257" s="25">
        <v>3755.35</v>
      </c>
      <c r="F4257" s="25">
        <v>2051729.0</v>
      </c>
    </row>
    <row r="4258">
      <c r="A4258" s="25">
        <v>44658.64583333333</v>
      </c>
      <c r="B4258" s="25">
        <v>3745.5</v>
      </c>
      <c r="C4258" s="25">
        <v>3745.5</v>
      </c>
      <c r="D4258" s="25">
        <v>3679.0</v>
      </c>
      <c r="E4258" s="25">
        <v>3684.15</v>
      </c>
      <c r="F4258" s="25">
        <v>2494829.0</v>
      </c>
    </row>
    <row r="4259">
      <c r="A4259" s="25">
        <v>44659.64583333333</v>
      </c>
      <c r="B4259" s="25">
        <v>3690.0</v>
      </c>
      <c r="C4259" s="25">
        <v>3705.0</v>
      </c>
      <c r="D4259" s="25">
        <v>3642.5</v>
      </c>
      <c r="E4259" s="25">
        <v>3685.65</v>
      </c>
      <c r="F4259" s="25">
        <v>2296773.0</v>
      </c>
    </row>
    <row r="4260">
      <c r="A4260" s="25">
        <v>44662.64583333333</v>
      </c>
      <c r="B4260" s="25">
        <v>3690.0</v>
      </c>
      <c r="C4260" s="25">
        <v>3712.35</v>
      </c>
      <c r="D4260" s="25">
        <v>3656.1</v>
      </c>
      <c r="E4260" s="25">
        <v>3696.4</v>
      </c>
      <c r="F4260" s="25">
        <v>2291660.0</v>
      </c>
    </row>
    <row r="4261">
      <c r="A4261" s="25">
        <v>44663.64583333333</v>
      </c>
      <c r="B4261" s="25">
        <v>3683.0</v>
      </c>
      <c r="C4261" s="25">
        <v>3739.0</v>
      </c>
      <c r="D4261" s="25">
        <v>3648.35</v>
      </c>
      <c r="E4261" s="25">
        <v>3691.1</v>
      </c>
      <c r="F4261" s="25">
        <v>4483476.0</v>
      </c>
    </row>
    <row r="4262">
      <c r="A4262" s="25">
        <v>44664.64583333333</v>
      </c>
      <c r="B4262" s="25">
        <v>3707.0</v>
      </c>
      <c r="C4262" s="25">
        <v>3709.85</v>
      </c>
      <c r="D4262" s="25">
        <v>3655.55</v>
      </c>
      <c r="E4262" s="25">
        <v>3661.95</v>
      </c>
      <c r="F4262" s="25">
        <v>1621672.0</v>
      </c>
    </row>
    <row r="4263">
      <c r="A4263" s="25">
        <v>44669.64583333333</v>
      </c>
      <c r="B4263" s="25">
        <v>3610.0</v>
      </c>
      <c r="C4263" s="25">
        <v>3610.0</v>
      </c>
      <c r="D4263" s="25">
        <v>3522.5</v>
      </c>
      <c r="E4263" s="25">
        <v>3528.05</v>
      </c>
      <c r="F4263" s="25">
        <v>3820792.0</v>
      </c>
    </row>
    <row r="4264">
      <c r="A4264" s="25">
        <v>44670.64583333333</v>
      </c>
      <c r="B4264" s="25">
        <v>3550.0</v>
      </c>
      <c r="C4264" s="25">
        <v>3563.55</v>
      </c>
      <c r="D4264" s="25">
        <v>3439.15</v>
      </c>
      <c r="E4264" s="25">
        <v>3471.9</v>
      </c>
      <c r="F4264" s="25">
        <v>3170014.0</v>
      </c>
    </row>
    <row r="4265">
      <c r="A4265" s="25">
        <v>44671.64583333333</v>
      </c>
      <c r="B4265" s="25">
        <v>3500.0</v>
      </c>
      <c r="C4265" s="25">
        <v>3569.15</v>
      </c>
      <c r="D4265" s="25">
        <v>3480.0</v>
      </c>
      <c r="E4265" s="25">
        <v>3556.8</v>
      </c>
      <c r="F4265" s="25">
        <v>2640370.0</v>
      </c>
    </row>
    <row r="4266">
      <c r="A4266" s="25">
        <v>44672.64583333333</v>
      </c>
      <c r="B4266" s="25">
        <v>3580.0</v>
      </c>
      <c r="C4266" s="25">
        <v>3644.0</v>
      </c>
      <c r="D4266" s="25">
        <v>3567.4</v>
      </c>
      <c r="E4266" s="25">
        <v>3628.65</v>
      </c>
      <c r="F4266" s="25">
        <v>2280996.0</v>
      </c>
    </row>
    <row r="4267">
      <c r="A4267" s="25">
        <v>44673.64583333333</v>
      </c>
      <c r="B4267" s="25">
        <v>3581.1</v>
      </c>
      <c r="C4267" s="25">
        <v>3617.0</v>
      </c>
      <c r="D4267" s="25">
        <v>3571.5</v>
      </c>
      <c r="E4267" s="25">
        <v>3612.55</v>
      </c>
      <c r="F4267" s="25">
        <v>1581465.0</v>
      </c>
    </row>
    <row r="4268">
      <c r="A4268" s="25">
        <v>44676.64583333333</v>
      </c>
      <c r="B4268" s="25">
        <v>3558.0</v>
      </c>
      <c r="C4268" s="25">
        <v>3584.0</v>
      </c>
      <c r="D4268" s="25">
        <v>3533.1</v>
      </c>
      <c r="E4268" s="25">
        <v>3548.2</v>
      </c>
      <c r="F4268" s="25">
        <v>1960694.0</v>
      </c>
    </row>
    <row r="4269">
      <c r="A4269" s="25">
        <v>44677.64583333333</v>
      </c>
      <c r="B4269" s="25">
        <v>3575.15</v>
      </c>
      <c r="C4269" s="25">
        <v>3587.9</v>
      </c>
      <c r="D4269" s="25">
        <v>3518.15</v>
      </c>
      <c r="E4269" s="25">
        <v>3546.3</v>
      </c>
      <c r="F4269" s="25">
        <v>1943469.0</v>
      </c>
    </row>
    <row r="4270">
      <c r="A4270" s="25">
        <v>44678.64583333333</v>
      </c>
      <c r="B4270" s="25">
        <v>3546.0</v>
      </c>
      <c r="C4270" s="25">
        <v>3568.45</v>
      </c>
      <c r="D4270" s="25">
        <v>3506.3</v>
      </c>
      <c r="E4270" s="25">
        <v>3561.2</v>
      </c>
      <c r="F4270" s="25">
        <v>1727648.0</v>
      </c>
    </row>
    <row r="4271">
      <c r="A4271" s="25">
        <v>44679.64583333333</v>
      </c>
      <c r="B4271" s="25">
        <v>3588.0</v>
      </c>
      <c r="C4271" s="25">
        <v>3604.4</v>
      </c>
      <c r="D4271" s="25">
        <v>3538.05</v>
      </c>
      <c r="E4271" s="25">
        <v>3584.3</v>
      </c>
      <c r="F4271" s="25">
        <v>1703660.0</v>
      </c>
    </row>
    <row r="4272">
      <c r="A4272" s="25">
        <v>44680.64583333333</v>
      </c>
      <c r="B4272" s="25">
        <v>3597.0</v>
      </c>
      <c r="C4272" s="25">
        <v>3623.25</v>
      </c>
      <c r="D4272" s="25">
        <v>3536.85</v>
      </c>
      <c r="E4272" s="25">
        <v>3546.7</v>
      </c>
      <c r="F4272" s="25">
        <v>2051115.0</v>
      </c>
    </row>
    <row r="4273">
      <c r="A4273" s="25">
        <v>44683.64583333333</v>
      </c>
      <c r="B4273" s="25">
        <v>3519.9</v>
      </c>
      <c r="C4273" s="25">
        <v>3547.95</v>
      </c>
      <c r="D4273" s="25">
        <v>3492.75</v>
      </c>
      <c r="E4273" s="25">
        <v>3542.4</v>
      </c>
      <c r="F4273" s="25">
        <v>1324161.0</v>
      </c>
    </row>
    <row r="4274">
      <c r="A4274" s="25">
        <v>44685.64583333333</v>
      </c>
      <c r="B4274" s="25">
        <v>3538.5</v>
      </c>
      <c r="C4274" s="25">
        <v>3545.45</v>
      </c>
      <c r="D4274" s="25">
        <v>3465.3</v>
      </c>
      <c r="E4274" s="25">
        <v>3479.75</v>
      </c>
      <c r="F4274" s="25">
        <v>2305825.0</v>
      </c>
    </row>
    <row r="4275">
      <c r="A4275" s="25">
        <v>44686.64583333333</v>
      </c>
      <c r="B4275" s="25">
        <v>3512.1</v>
      </c>
      <c r="C4275" s="25">
        <v>3533.0</v>
      </c>
      <c r="D4275" s="25">
        <v>3485.35</v>
      </c>
      <c r="E4275" s="25">
        <v>3513.4</v>
      </c>
      <c r="F4275" s="25">
        <v>1612262.0</v>
      </c>
    </row>
    <row r="4276">
      <c r="A4276" s="25">
        <v>44687.64583333333</v>
      </c>
      <c r="B4276" s="25">
        <v>3459.0</v>
      </c>
      <c r="C4276" s="25">
        <v>3474.5</v>
      </c>
      <c r="D4276" s="25">
        <v>3424.5</v>
      </c>
      <c r="E4276" s="25">
        <v>3432.6</v>
      </c>
      <c r="F4276" s="25">
        <v>2010812.0</v>
      </c>
    </row>
    <row r="4277">
      <c r="A4277" s="25">
        <v>44690.64583333333</v>
      </c>
      <c r="B4277" s="25">
        <v>3398.0</v>
      </c>
      <c r="C4277" s="25">
        <v>3456.0</v>
      </c>
      <c r="D4277" s="25">
        <v>3346.85</v>
      </c>
      <c r="E4277" s="25">
        <v>3445.1</v>
      </c>
      <c r="F4277" s="25">
        <v>2481830.0</v>
      </c>
    </row>
    <row r="4278">
      <c r="A4278" s="25">
        <v>44691.64583333333</v>
      </c>
      <c r="B4278" s="25">
        <v>3434.0</v>
      </c>
      <c r="C4278" s="25">
        <v>3464.8</v>
      </c>
      <c r="D4278" s="25">
        <v>3422.0</v>
      </c>
      <c r="E4278" s="25">
        <v>3438.75</v>
      </c>
      <c r="F4278" s="25">
        <v>1622685.0</v>
      </c>
    </row>
    <row r="4279">
      <c r="A4279" s="25">
        <v>44692.64583333333</v>
      </c>
      <c r="B4279" s="25">
        <v>3435.0</v>
      </c>
      <c r="C4279" s="25">
        <v>3448.45</v>
      </c>
      <c r="D4279" s="25">
        <v>3382.15</v>
      </c>
      <c r="E4279" s="25">
        <v>3412.0</v>
      </c>
      <c r="F4279" s="25">
        <v>1841769.0</v>
      </c>
    </row>
    <row r="4280">
      <c r="A4280" s="25">
        <v>44693.64583333333</v>
      </c>
      <c r="B4280" s="25">
        <v>3378.0</v>
      </c>
      <c r="C4280" s="25">
        <v>3449.7</v>
      </c>
      <c r="D4280" s="25">
        <v>3350.1</v>
      </c>
      <c r="E4280" s="25">
        <v>3408.65</v>
      </c>
      <c r="F4280" s="25">
        <v>2807195.0</v>
      </c>
    </row>
    <row r="4281">
      <c r="A4281" s="25">
        <v>44694.64583333333</v>
      </c>
      <c r="B4281" s="25">
        <v>3435.0</v>
      </c>
      <c r="C4281" s="25">
        <v>3439.9</v>
      </c>
      <c r="D4281" s="25">
        <v>3382.15</v>
      </c>
      <c r="E4281" s="25">
        <v>3414.9</v>
      </c>
      <c r="F4281" s="25">
        <v>2187823.0</v>
      </c>
    </row>
    <row r="4282">
      <c r="A4282" s="25">
        <v>44697.64583333333</v>
      </c>
      <c r="B4282" s="25">
        <v>3415.0</v>
      </c>
      <c r="C4282" s="25">
        <v>3430.0</v>
      </c>
      <c r="D4282" s="25">
        <v>3366.6</v>
      </c>
      <c r="E4282" s="25">
        <v>3376.8</v>
      </c>
      <c r="F4282" s="25">
        <v>1195813.0</v>
      </c>
    </row>
    <row r="4283">
      <c r="A4283" s="25">
        <v>44698.64583333333</v>
      </c>
      <c r="B4283" s="25">
        <v>3370.0</v>
      </c>
      <c r="C4283" s="25">
        <v>3467.0</v>
      </c>
      <c r="D4283" s="25">
        <v>3350.4</v>
      </c>
      <c r="E4283" s="25">
        <v>3451.6</v>
      </c>
      <c r="F4283" s="25">
        <v>1754076.0</v>
      </c>
    </row>
    <row r="4284">
      <c r="A4284" s="25">
        <v>44699.64583333333</v>
      </c>
      <c r="B4284" s="25">
        <v>3465.0</v>
      </c>
      <c r="C4284" s="25">
        <v>3495.0</v>
      </c>
      <c r="D4284" s="25">
        <v>3443.05</v>
      </c>
      <c r="E4284" s="25">
        <v>3448.8</v>
      </c>
      <c r="F4284" s="25">
        <v>1866781.0</v>
      </c>
    </row>
    <row r="4285">
      <c r="A4285" s="25">
        <v>44700.64583333333</v>
      </c>
      <c r="B4285" s="25">
        <v>3397.0</v>
      </c>
      <c r="C4285" s="25">
        <v>3405.0</v>
      </c>
      <c r="D4285" s="25">
        <v>3230.0</v>
      </c>
      <c r="E4285" s="25">
        <v>3261.95</v>
      </c>
      <c r="F4285" s="25">
        <v>4642963.0</v>
      </c>
    </row>
    <row r="4286">
      <c r="A4286" s="25">
        <v>44701.64583333333</v>
      </c>
      <c r="B4286" s="25">
        <v>3310.0</v>
      </c>
      <c r="C4286" s="25">
        <v>3313.9</v>
      </c>
      <c r="D4286" s="25">
        <v>3270.05</v>
      </c>
      <c r="E4286" s="25">
        <v>3293.0</v>
      </c>
      <c r="F4286" s="25">
        <v>3065125.0</v>
      </c>
    </row>
    <row r="4287">
      <c r="A4287" s="25">
        <v>44704.64583333333</v>
      </c>
      <c r="B4287" s="25">
        <v>3304.8</v>
      </c>
      <c r="C4287" s="25">
        <v>3338.9</v>
      </c>
      <c r="D4287" s="25">
        <v>3267.0</v>
      </c>
      <c r="E4287" s="25">
        <v>3321.75</v>
      </c>
      <c r="F4287" s="25">
        <v>2293690.0</v>
      </c>
    </row>
    <row r="4288">
      <c r="A4288" s="25">
        <v>44705.64583333333</v>
      </c>
      <c r="B4288" s="25">
        <v>3315.15</v>
      </c>
      <c r="C4288" s="25">
        <v>3324.85</v>
      </c>
      <c r="D4288" s="25">
        <v>3275.6</v>
      </c>
      <c r="E4288" s="25">
        <v>3288.0</v>
      </c>
      <c r="F4288" s="25">
        <v>1711510.0</v>
      </c>
    </row>
    <row r="4289">
      <c r="A4289" s="25">
        <v>44706.64583333333</v>
      </c>
      <c r="B4289" s="25">
        <v>3292.85</v>
      </c>
      <c r="C4289" s="25">
        <v>3292.85</v>
      </c>
      <c r="D4289" s="25">
        <v>3154.05</v>
      </c>
      <c r="E4289" s="25">
        <v>3167.65</v>
      </c>
      <c r="F4289" s="25">
        <v>3548046.0</v>
      </c>
    </row>
    <row r="4290">
      <c r="A4290" s="25">
        <v>44707.64583333333</v>
      </c>
      <c r="B4290" s="25">
        <v>3191.0</v>
      </c>
      <c r="C4290" s="25">
        <v>3241.5</v>
      </c>
      <c r="D4290" s="25">
        <v>3180.55</v>
      </c>
      <c r="E4290" s="25">
        <v>3226.95</v>
      </c>
      <c r="F4290" s="25">
        <v>2813186.0</v>
      </c>
    </row>
    <row r="4291">
      <c r="A4291" s="25">
        <v>44708.64583333333</v>
      </c>
      <c r="B4291" s="25">
        <v>3253.2</v>
      </c>
      <c r="C4291" s="25">
        <v>3278.9</v>
      </c>
      <c r="D4291" s="25">
        <v>3229.2</v>
      </c>
      <c r="E4291" s="25">
        <v>3261.3</v>
      </c>
      <c r="F4291" s="25">
        <v>3103153.0</v>
      </c>
    </row>
    <row r="4292">
      <c r="A4292" s="25">
        <v>44711.64583333333</v>
      </c>
      <c r="B4292" s="25">
        <v>3297.0</v>
      </c>
      <c r="C4292" s="25">
        <v>3386.6</v>
      </c>
      <c r="D4292" s="25">
        <v>3286.35</v>
      </c>
      <c r="E4292" s="25">
        <v>3375.25</v>
      </c>
      <c r="F4292" s="25">
        <v>2094624.0</v>
      </c>
    </row>
    <row r="4293">
      <c r="A4293" s="25">
        <v>44712.64583333333</v>
      </c>
      <c r="B4293" s="25">
        <v>3354.15</v>
      </c>
      <c r="C4293" s="25">
        <v>3383.4</v>
      </c>
      <c r="D4293" s="25">
        <v>3325.0</v>
      </c>
      <c r="E4293" s="25">
        <v>3364.35</v>
      </c>
      <c r="F4293" s="25">
        <v>4840965.0</v>
      </c>
    </row>
    <row r="4294">
      <c r="A4294" s="25">
        <v>44713.64583333333</v>
      </c>
      <c r="B4294" s="25">
        <v>3388.0</v>
      </c>
      <c r="C4294" s="25">
        <v>3388.0</v>
      </c>
      <c r="D4294" s="25">
        <v>3340.05</v>
      </c>
      <c r="E4294" s="25">
        <v>3355.2</v>
      </c>
      <c r="F4294" s="25">
        <v>1493835.0</v>
      </c>
    </row>
    <row r="4295">
      <c r="A4295" s="25">
        <v>44714.64583333333</v>
      </c>
      <c r="B4295" s="25">
        <v>3355.0</v>
      </c>
      <c r="C4295" s="25">
        <v>3432.0</v>
      </c>
      <c r="D4295" s="25">
        <v>3346.3</v>
      </c>
      <c r="E4295" s="25">
        <v>3423.0</v>
      </c>
      <c r="F4295" s="25">
        <v>2657939.0</v>
      </c>
    </row>
    <row r="4296">
      <c r="A4296" s="25">
        <v>44715.64583333333</v>
      </c>
      <c r="B4296" s="25">
        <v>3459.4</v>
      </c>
      <c r="C4296" s="25">
        <v>3477.3</v>
      </c>
      <c r="D4296" s="25">
        <v>3431.2</v>
      </c>
      <c r="E4296" s="25">
        <v>3440.15</v>
      </c>
      <c r="F4296" s="25">
        <v>1913622.0</v>
      </c>
    </row>
    <row r="4297">
      <c r="A4297" s="25">
        <v>44718.64583333333</v>
      </c>
      <c r="B4297" s="25">
        <v>3418.0</v>
      </c>
      <c r="C4297" s="25">
        <v>3453.0</v>
      </c>
      <c r="D4297" s="25">
        <v>3377.15</v>
      </c>
      <c r="E4297" s="25">
        <v>3430.95</v>
      </c>
      <c r="F4297" s="25">
        <v>1084210.0</v>
      </c>
    </row>
    <row r="4298">
      <c r="A4298" s="25">
        <v>44719.64583333333</v>
      </c>
      <c r="B4298" s="25">
        <v>3401.05</v>
      </c>
      <c r="C4298" s="25">
        <v>3418.85</v>
      </c>
      <c r="D4298" s="25">
        <v>3356.0</v>
      </c>
      <c r="E4298" s="25">
        <v>3362.7</v>
      </c>
      <c r="F4298" s="25">
        <v>2308256.0</v>
      </c>
    </row>
    <row r="4299">
      <c r="A4299" s="25">
        <v>44720.64583333333</v>
      </c>
      <c r="B4299" s="25">
        <v>3380.15</v>
      </c>
      <c r="C4299" s="25">
        <v>3413.95</v>
      </c>
      <c r="D4299" s="25">
        <v>3346.5</v>
      </c>
      <c r="E4299" s="25">
        <v>3404.15</v>
      </c>
      <c r="F4299" s="25">
        <v>2185707.0</v>
      </c>
    </row>
    <row r="4300">
      <c r="A4300" s="25">
        <v>44721.64583333333</v>
      </c>
      <c r="B4300" s="25">
        <v>3385.0</v>
      </c>
      <c r="C4300" s="25">
        <v>3437.0</v>
      </c>
      <c r="D4300" s="25">
        <v>3353.1</v>
      </c>
      <c r="E4300" s="25">
        <v>3427.1</v>
      </c>
      <c r="F4300" s="25">
        <v>1279197.0</v>
      </c>
    </row>
    <row r="4301">
      <c r="A4301" s="25">
        <v>44722.64583333333</v>
      </c>
      <c r="B4301" s="25">
        <v>3382.0</v>
      </c>
      <c r="C4301" s="25">
        <v>3393.0</v>
      </c>
      <c r="D4301" s="25">
        <v>3352.0</v>
      </c>
      <c r="E4301" s="25">
        <v>3359.9</v>
      </c>
      <c r="F4301" s="25">
        <v>1527582.0</v>
      </c>
    </row>
    <row r="4302">
      <c r="A4302" s="25">
        <v>44725.64583333333</v>
      </c>
      <c r="B4302" s="25">
        <v>3290.0</v>
      </c>
      <c r="C4302" s="25">
        <v>3293.0</v>
      </c>
      <c r="D4302" s="25">
        <v>3192.45</v>
      </c>
      <c r="E4302" s="25">
        <v>3219.6</v>
      </c>
      <c r="F4302" s="25">
        <v>3030921.0</v>
      </c>
    </row>
    <row r="4303">
      <c r="A4303" s="25">
        <v>44726.64583333333</v>
      </c>
      <c r="B4303" s="25">
        <v>3190.0</v>
      </c>
      <c r="C4303" s="25">
        <v>3238.9</v>
      </c>
      <c r="D4303" s="25">
        <v>3174.7</v>
      </c>
      <c r="E4303" s="25">
        <v>3210.55</v>
      </c>
      <c r="F4303" s="25">
        <v>2611493.0</v>
      </c>
    </row>
    <row r="4304">
      <c r="A4304" s="25">
        <v>44727.64583333333</v>
      </c>
      <c r="B4304" s="25">
        <v>3218.5</v>
      </c>
      <c r="C4304" s="25">
        <v>3234.0</v>
      </c>
      <c r="D4304" s="25">
        <v>3201.0</v>
      </c>
      <c r="E4304" s="25">
        <v>3206.3</v>
      </c>
      <c r="F4304" s="25">
        <v>1404536.0</v>
      </c>
    </row>
    <row r="4305">
      <c r="A4305" s="25">
        <v>44728.64583333333</v>
      </c>
      <c r="B4305" s="25">
        <v>3240.0</v>
      </c>
      <c r="C4305" s="25">
        <v>3244.85</v>
      </c>
      <c r="D4305" s="25">
        <v>3133.05</v>
      </c>
      <c r="E4305" s="25">
        <v>3142.0</v>
      </c>
      <c r="F4305" s="25">
        <v>2032028.0</v>
      </c>
    </row>
    <row r="4306">
      <c r="A4306" s="25">
        <v>44729.64583333333</v>
      </c>
      <c r="B4306" s="25">
        <v>3092.0</v>
      </c>
      <c r="C4306" s="25">
        <v>3118.75</v>
      </c>
      <c r="D4306" s="25">
        <v>3023.85</v>
      </c>
      <c r="E4306" s="25">
        <v>3088.9</v>
      </c>
      <c r="F4306" s="25">
        <v>5240434.0</v>
      </c>
    </row>
    <row r="4307">
      <c r="A4307" s="25">
        <v>44732.64583333333</v>
      </c>
      <c r="B4307" s="25">
        <v>3094.0</v>
      </c>
      <c r="C4307" s="25">
        <v>3138.75</v>
      </c>
      <c r="D4307" s="25">
        <v>3069.0</v>
      </c>
      <c r="E4307" s="25">
        <v>3112.4</v>
      </c>
      <c r="F4307" s="25">
        <v>1502769.0</v>
      </c>
    </row>
    <row r="4308">
      <c r="A4308" s="25">
        <v>44733.64583333333</v>
      </c>
      <c r="B4308" s="25">
        <v>3130.0</v>
      </c>
      <c r="C4308" s="25">
        <v>3237.75</v>
      </c>
      <c r="D4308" s="25">
        <v>3125.4</v>
      </c>
      <c r="E4308" s="25">
        <v>3211.95</v>
      </c>
      <c r="F4308" s="25">
        <v>2964461.0</v>
      </c>
    </row>
    <row r="4309">
      <c r="A4309" s="25">
        <v>44734.64583333333</v>
      </c>
      <c r="B4309" s="25">
        <v>3199.9</v>
      </c>
      <c r="C4309" s="25">
        <v>3250.55</v>
      </c>
      <c r="D4309" s="25">
        <v>3183.0</v>
      </c>
      <c r="E4309" s="25">
        <v>3222.95</v>
      </c>
      <c r="F4309" s="25">
        <v>3336315.0</v>
      </c>
    </row>
    <row r="4310">
      <c r="A4310" s="25">
        <v>44735.64583333333</v>
      </c>
      <c r="B4310" s="25">
        <v>3222.95</v>
      </c>
      <c r="C4310" s="25">
        <v>3318.0</v>
      </c>
      <c r="D4310" s="25">
        <v>3222.95</v>
      </c>
      <c r="E4310" s="25">
        <v>3308.8</v>
      </c>
      <c r="F4310" s="25">
        <v>3692578.0</v>
      </c>
    </row>
    <row r="4311">
      <c r="A4311" s="25">
        <v>44736.64583333333</v>
      </c>
      <c r="B4311" s="25">
        <v>3339.0</v>
      </c>
      <c r="C4311" s="25">
        <v>3345.0</v>
      </c>
      <c r="D4311" s="25">
        <v>3277.5</v>
      </c>
      <c r="E4311" s="25">
        <v>3293.1</v>
      </c>
      <c r="F4311" s="25">
        <v>2132118.0</v>
      </c>
    </row>
    <row r="4312">
      <c r="A4312" s="25">
        <v>44739.64583333333</v>
      </c>
      <c r="B4312" s="25">
        <v>3350.0</v>
      </c>
      <c r="C4312" s="25">
        <v>3362.9</v>
      </c>
      <c r="D4312" s="25">
        <v>3306.5</v>
      </c>
      <c r="E4312" s="25">
        <v>3314.7</v>
      </c>
      <c r="F4312" s="25">
        <v>2037686.0</v>
      </c>
    </row>
    <row r="4313">
      <c r="A4313" s="25">
        <v>44740.64583333333</v>
      </c>
      <c r="B4313" s="25">
        <v>3307.0</v>
      </c>
      <c r="C4313" s="25">
        <v>3330.0</v>
      </c>
      <c r="D4313" s="25">
        <v>3272.6</v>
      </c>
      <c r="E4313" s="25">
        <v>3318.15</v>
      </c>
      <c r="F4313" s="25">
        <v>1400046.0</v>
      </c>
    </row>
    <row r="4314">
      <c r="A4314" s="25">
        <v>44741.64583333333</v>
      </c>
      <c r="B4314" s="25">
        <v>3271.0</v>
      </c>
      <c r="C4314" s="25">
        <v>3333.0</v>
      </c>
      <c r="D4314" s="25">
        <v>3271.0</v>
      </c>
      <c r="E4314" s="25">
        <v>3290.5</v>
      </c>
      <c r="F4314" s="25">
        <v>2133994.0</v>
      </c>
    </row>
    <row r="4315">
      <c r="A4315" s="25">
        <v>44742.64583333333</v>
      </c>
      <c r="B4315" s="25">
        <v>3272.0</v>
      </c>
      <c r="C4315" s="25">
        <v>3310.9</v>
      </c>
      <c r="D4315" s="25">
        <v>3255.0</v>
      </c>
      <c r="E4315" s="25">
        <v>3267.1</v>
      </c>
      <c r="F4315" s="25">
        <v>2719603.0</v>
      </c>
    </row>
    <row r="4316">
      <c r="A4316" s="25">
        <v>44743.64583333333</v>
      </c>
      <c r="B4316" s="25">
        <v>3260.0</v>
      </c>
      <c r="C4316" s="25">
        <v>3333.0</v>
      </c>
      <c r="D4316" s="25">
        <v>3252.05</v>
      </c>
      <c r="E4316" s="25">
        <v>3315.1</v>
      </c>
      <c r="F4316" s="25">
        <v>1502879.0</v>
      </c>
    </row>
    <row r="4317">
      <c r="A4317" s="25">
        <v>44746.64583333333</v>
      </c>
      <c r="B4317" s="25">
        <v>3312.0</v>
      </c>
      <c r="C4317" s="25">
        <v>3317.95</v>
      </c>
      <c r="D4317" s="25">
        <v>3225.05</v>
      </c>
      <c r="E4317" s="25">
        <v>3235.05</v>
      </c>
      <c r="F4317" s="25">
        <v>2622535.0</v>
      </c>
    </row>
    <row r="4318">
      <c r="A4318" s="25">
        <v>44747.64583333333</v>
      </c>
      <c r="B4318" s="25">
        <v>3255.0</v>
      </c>
      <c r="C4318" s="25">
        <v>3272.0</v>
      </c>
      <c r="D4318" s="25">
        <v>3206.95</v>
      </c>
      <c r="E4318" s="25">
        <v>3216.3</v>
      </c>
      <c r="F4318" s="25">
        <v>2170627.0</v>
      </c>
    </row>
    <row r="4319">
      <c r="A4319" s="25">
        <v>44748.64583333333</v>
      </c>
      <c r="B4319" s="25">
        <v>3218.5</v>
      </c>
      <c r="C4319" s="25">
        <v>3268.5</v>
      </c>
      <c r="D4319" s="25">
        <v>3202.25</v>
      </c>
      <c r="E4319" s="25">
        <v>3260.75</v>
      </c>
      <c r="F4319" s="25">
        <v>2182144.0</v>
      </c>
    </row>
    <row r="4320">
      <c r="A4320" s="25">
        <v>44749.64583333333</v>
      </c>
      <c r="B4320" s="25">
        <v>3271.0</v>
      </c>
      <c r="C4320" s="25">
        <v>3319.4</v>
      </c>
      <c r="D4320" s="25">
        <v>3265.05</v>
      </c>
      <c r="E4320" s="25">
        <v>3287.85</v>
      </c>
      <c r="F4320" s="25">
        <v>1989921.0</v>
      </c>
    </row>
    <row r="4321">
      <c r="A4321" s="25">
        <v>44750.64583333333</v>
      </c>
      <c r="B4321" s="25">
        <v>3300.0</v>
      </c>
      <c r="C4321" s="25">
        <v>3305.0</v>
      </c>
      <c r="D4321" s="25">
        <v>3250.0</v>
      </c>
      <c r="E4321" s="25">
        <v>3265.45</v>
      </c>
      <c r="F4321" s="25">
        <v>2136916.0</v>
      </c>
    </row>
    <row r="4322">
      <c r="A4322" s="25">
        <v>44753.64583333333</v>
      </c>
      <c r="B4322" s="25">
        <v>3206.15</v>
      </c>
      <c r="C4322" s="25">
        <v>3225.0</v>
      </c>
      <c r="D4322" s="25">
        <v>3106.0</v>
      </c>
      <c r="E4322" s="25">
        <v>3113.8</v>
      </c>
      <c r="F4322" s="25">
        <v>6974600.0</v>
      </c>
    </row>
    <row r="4323">
      <c r="A4323" s="25">
        <v>44754.64583333333</v>
      </c>
      <c r="B4323" s="25">
        <v>3114.9</v>
      </c>
      <c r="C4323" s="25">
        <v>3136.2</v>
      </c>
      <c r="D4323" s="25">
        <v>3080.25</v>
      </c>
      <c r="E4323" s="25">
        <v>3084.7</v>
      </c>
      <c r="F4323" s="25">
        <v>3734815.0</v>
      </c>
    </row>
    <row r="4324">
      <c r="A4324" s="25">
        <v>44755.64583333333</v>
      </c>
      <c r="B4324" s="25">
        <v>3104.0</v>
      </c>
      <c r="C4324" s="25">
        <v>3110.0</v>
      </c>
      <c r="D4324" s="25">
        <v>3035.0</v>
      </c>
      <c r="E4324" s="25">
        <v>3038.75</v>
      </c>
      <c r="F4324" s="25">
        <v>3863530.0</v>
      </c>
    </row>
    <row r="4325">
      <c r="A4325" s="25">
        <v>44756.64583333333</v>
      </c>
      <c r="B4325" s="25">
        <v>3056.0</v>
      </c>
      <c r="C4325" s="25">
        <v>3057.0</v>
      </c>
      <c r="D4325" s="25">
        <v>2967.0</v>
      </c>
      <c r="E4325" s="25">
        <v>2998.75</v>
      </c>
      <c r="F4325" s="25">
        <v>4764908.0</v>
      </c>
    </row>
    <row r="4326">
      <c r="A4326" s="25">
        <v>44757.64583333333</v>
      </c>
      <c r="B4326" s="25">
        <v>3018.55</v>
      </c>
      <c r="C4326" s="25">
        <v>3028.9</v>
      </c>
      <c r="D4326" s="25">
        <v>2953.0</v>
      </c>
      <c r="E4326" s="25">
        <v>2994.6</v>
      </c>
      <c r="F4326" s="25">
        <v>4574806.0</v>
      </c>
    </row>
    <row r="4327">
      <c r="A4327" s="25">
        <v>44760.64583333333</v>
      </c>
      <c r="B4327" s="25">
        <v>3023.0</v>
      </c>
      <c r="C4327" s="25">
        <v>3076.95</v>
      </c>
      <c r="D4327" s="25">
        <v>3014.3</v>
      </c>
      <c r="E4327" s="25">
        <v>3063.5</v>
      </c>
      <c r="F4327" s="25">
        <v>3202795.0</v>
      </c>
    </row>
    <row r="4328">
      <c r="A4328" s="25">
        <v>44761.64583333333</v>
      </c>
      <c r="B4328" s="25">
        <v>3030.05</v>
      </c>
      <c r="C4328" s="25">
        <v>3078.95</v>
      </c>
      <c r="D4328" s="25">
        <v>3030.05</v>
      </c>
      <c r="E4328" s="25">
        <v>3074.25</v>
      </c>
      <c r="F4328" s="25">
        <v>1865074.0</v>
      </c>
    </row>
    <row r="4329">
      <c r="A4329" s="25">
        <v>44762.64583333333</v>
      </c>
      <c r="B4329" s="25">
        <v>3107.8</v>
      </c>
      <c r="C4329" s="25">
        <v>3171.95</v>
      </c>
      <c r="D4329" s="25">
        <v>3098.05</v>
      </c>
      <c r="E4329" s="25">
        <v>3164.8</v>
      </c>
      <c r="F4329" s="25">
        <v>3402251.0</v>
      </c>
    </row>
    <row r="4330">
      <c r="A4330" s="25">
        <v>44763.64583333333</v>
      </c>
      <c r="B4330" s="25">
        <v>3167.0</v>
      </c>
      <c r="C4330" s="25">
        <v>3184.0</v>
      </c>
      <c r="D4330" s="25">
        <v>3144.05</v>
      </c>
      <c r="E4330" s="25">
        <v>3177.3</v>
      </c>
      <c r="F4330" s="25">
        <v>2420640.0</v>
      </c>
    </row>
    <row r="4331">
      <c r="A4331" s="25">
        <v>44764.64583333333</v>
      </c>
      <c r="B4331" s="25">
        <v>3185.0</v>
      </c>
      <c r="C4331" s="25">
        <v>3197.0</v>
      </c>
      <c r="D4331" s="25">
        <v>3143.5</v>
      </c>
      <c r="E4331" s="25">
        <v>3171.0</v>
      </c>
      <c r="F4331" s="25">
        <v>2075886.0</v>
      </c>
    </row>
    <row r="4332">
      <c r="A4332" s="25">
        <v>44767.64583333333</v>
      </c>
      <c r="B4332" s="25">
        <v>3165.0</v>
      </c>
      <c r="C4332" s="25">
        <v>3186.45</v>
      </c>
      <c r="D4332" s="25">
        <v>3149.1</v>
      </c>
      <c r="E4332" s="25">
        <v>3166.75</v>
      </c>
      <c r="F4332" s="25">
        <v>1797504.0</v>
      </c>
    </row>
    <row r="4333">
      <c r="A4333" s="25">
        <v>44768.64583333333</v>
      </c>
      <c r="B4333" s="25">
        <v>3164.7</v>
      </c>
      <c r="C4333" s="25">
        <v>3168.9</v>
      </c>
      <c r="D4333" s="25">
        <v>3096.5</v>
      </c>
      <c r="E4333" s="25">
        <v>3115.9</v>
      </c>
      <c r="F4333" s="25">
        <v>2639367.0</v>
      </c>
    </row>
    <row r="4334">
      <c r="A4334" s="25">
        <v>44769.64583333333</v>
      </c>
      <c r="B4334" s="25">
        <v>3115.0</v>
      </c>
      <c r="C4334" s="25">
        <v>3194.1</v>
      </c>
      <c r="D4334" s="25">
        <v>3110.0</v>
      </c>
      <c r="E4334" s="25">
        <v>3188.85</v>
      </c>
      <c r="F4334" s="25">
        <v>1389808.0</v>
      </c>
    </row>
    <row r="4335">
      <c r="A4335" s="25">
        <v>44770.64583333333</v>
      </c>
      <c r="B4335" s="25">
        <v>3216.0</v>
      </c>
      <c r="C4335" s="25">
        <v>3264.0</v>
      </c>
      <c r="D4335" s="25">
        <v>3201.65</v>
      </c>
      <c r="E4335" s="25">
        <v>3260.5</v>
      </c>
      <c r="F4335" s="25">
        <v>2106333.0</v>
      </c>
    </row>
    <row r="4336">
      <c r="A4336" s="25">
        <v>44771.64583333333</v>
      </c>
      <c r="B4336" s="25">
        <v>3290.0</v>
      </c>
      <c r="C4336" s="25">
        <v>3317.3</v>
      </c>
      <c r="D4336" s="25">
        <v>3275.0</v>
      </c>
      <c r="E4336" s="25">
        <v>3301.9</v>
      </c>
      <c r="F4336" s="25">
        <v>2430257.0</v>
      </c>
    </row>
    <row r="4337">
      <c r="A4337" s="25">
        <v>44774.64583333333</v>
      </c>
      <c r="B4337" s="25">
        <v>3327.0</v>
      </c>
      <c r="C4337" s="25">
        <v>3327.0</v>
      </c>
      <c r="D4337" s="25">
        <v>3271.0</v>
      </c>
      <c r="E4337" s="25">
        <v>3298.8</v>
      </c>
      <c r="F4337" s="25">
        <v>1306913.0</v>
      </c>
    </row>
    <row r="4338">
      <c r="A4338" s="25">
        <v>44775.64583333333</v>
      </c>
      <c r="B4338" s="25">
        <v>3290.0</v>
      </c>
      <c r="C4338" s="25">
        <v>3312.9</v>
      </c>
      <c r="D4338" s="25">
        <v>3271.65</v>
      </c>
      <c r="E4338" s="25">
        <v>3291.8</v>
      </c>
      <c r="F4338" s="25">
        <v>1269114.0</v>
      </c>
    </row>
    <row r="4339">
      <c r="A4339" s="25">
        <v>44776.64583333333</v>
      </c>
      <c r="B4339" s="25">
        <v>3280.0</v>
      </c>
      <c r="C4339" s="25">
        <v>3349.0</v>
      </c>
      <c r="D4339" s="25">
        <v>3277.05</v>
      </c>
      <c r="E4339" s="25">
        <v>3339.5</v>
      </c>
      <c r="F4339" s="25">
        <v>2895824.0</v>
      </c>
    </row>
    <row r="4340">
      <c r="A4340" s="25">
        <v>44777.64583333333</v>
      </c>
      <c r="B4340" s="25">
        <v>3350.0</v>
      </c>
      <c r="C4340" s="25">
        <v>3387.9</v>
      </c>
      <c r="D4340" s="25">
        <v>3307.35</v>
      </c>
      <c r="E4340" s="25">
        <v>3354.95</v>
      </c>
      <c r="F4340" s="25">
        <v>2150567.0</v>
      </c>
    </row>
    <row r="4341">
      <c r="A4341" s="25">
        <v>44778.64583333333</v>
      </c>
      <c r="B4341" s="25">
        <v>3361.2</v>
      </c>
      <c r="C4341" s="25">
        <v>3377.0</v>
      </c>
      <c r="D4341" s="25">
        <v>3355.0</v>
      </c>
      <c r="E4341" s="25">
        <v>3365.05</v>
      </c>
      <c r="F4341" s="25">
        <v>1106933.0</v>
      </c>
    </row>
    <row r="4342">
      <c r="A4342" s="25">
        <v>44781.64583333333</v>
      </c>
      <c r="B4342" s="25">
        <v>3365.0</v>
      </c>
      <c r="C4342" s="25">
        <v>3378.9</v>
      </c>
      <c r="D4342" s="25">
        <v>3336.0</v>
      </c>
      <c r="E4342" s="25">
        <v>3374.45</v>
      </c>
      <c r="F4342" s="25">
        <v>1068836.0</v>
      </c>
    </row>
    <row r="4343">
      <c r="A4343" s="25">
        <v>44783.64583333333</v>
      </c>
      <c r="B4343" s="25">
        <v>3385.0</v>
      </c>
      <c r="C4343" s="25">
        <v>3385.0</v>
      </c>
      <c r="D4343" s="25">
        <v>3335.0</v>
      </c>
      <c r="E4343" s="25">
        <v>3354.25</v>
      </c>
      <c r="F4343" s="25">
        <v>1878359.0</v>
      </c>
    </row>
    <row r="4344">
      <c r="A4344" s="25">
        <v>44784.64583333333</v>
      </c>
      <c r="B4344" s="25">
        <v>3400.0</v>
      </c>
      <c r="C4344" s="25">
        <v>3428.7</v>
      </c>
      <c r="D4344" s="25">
        <v>3375.05</v>
      </c>
      <c r="E4344" s="25">
        <v>3422.5</v>
      </c>
      <c r="F4344" s="25">
        <v>1449248.0</v>
      </c>
    </row>
    <row r="4345">
      <c r="A4345" s="25">
        <v>44785.64583333333</v>
      </c>
      <c r="B4345" s="25">
        <v>3419.0</v>
      </c>
      <c r="C4345" s="25">
        <v>3419.0</v>
      </c>
      <c r="D4345" s="25">
        <v>3381.25</v>
      </c>
      <c r="E4345" s="25">
        <v>3401.55</v>
      </c>
      <c r="F4345" s="25">
        <v>1472354.0</v>
      </c>
    </row>
    <row r="4346">
      <c r="A4346" s="25">
        <v>44789.64583333333</v>
      </c>
      <c r="B4346" s="25">
        <v>3411.0</v>
      </c>
      <c r="C4346" s="25">
        <v>3414.85</v>
      </c>
      <c r="D4346" s="25">
        <v>3387.5</v>
      </c>
      <c r="E4346" s="25">
        <v>3392.7</v>
      </c>
      <c r="F4346" s="25">
        <v>839942.0</v>
      </c>
    </row>
    <row r="4347">
      <c r="A4347" s="25">
        <v>44790.64583333333</v>
      </c>
      <c r="B4347" s="25">
        <v>3385.1</v>
      </c>
      <c r="C4347" s="25">
        <v>3417.95</v>
      </c>
      <c r="D4347" s="25">
        <v>3371.1</v>
      </c>
      <c r="E4347" s="25">
        <v>3401.1</v>
      </c>
      <c r="F4347" s="25">
        <v>1622326.0</v>
      </c>
    </row>
    <row r="4348">
      <c r="A4348" s="25">
        <v>44791.64583333333</v>
      </c>
      <c r="B4348" s="25">
        <v>3390.0</v>
      </c>
      <c r="C4348" s="25">
        <v>3392.0</v>
      </c>
      <c r="D4348" s="25">
        <v>3362.0</v>
      </c>
      <c r="E4348" s="25">
        <v>3381.25</v>
      </c>
      <c r="F4348" s="25">
        <v>1430659.0</v>
      </c>
    </row>
    <row r="4349">
      <c r="A4349" s="25">
        <v>44792.64583333333</v>
      </c>
      <c r="B4349" s="25">
        <v>3387.0</v>
      </c>
      <c r="C4349" s="25">
        <v>3421.5</v>
      </c>
      <c r="D4349" s="25">
        <v>3371.25</v>
      </c>
      <c r="E4349" s="25">
        <v>3385.75</v>
      </c>
      <c r="F4349" s="25">
        <v>1398410.0</v>
      </c>
    </row>
    <row r="4350">
      <c r="A4350" s="25">
        <v>44795.64583333333</v>
      </c>
      <c r="B4350" s="25">
        <v>3365.0</v>
      </c>
      <c r="C4350" s="25">
        <v>3384.1</v>
      </c>
      <c r="D4350" s="25">
        <v>3347.4</v>
      </c>
      <c r="E4350" s="25">
        <v>3354.55</v>
      </c>
      <c r="F4350" s="25">
        <v>1536532.0</v>
      </c>
    </row>
    <row r="4351">
      <c r="A4351" s="25">
        <v>44796.64583333333</v>
      </c>
      <c r="B4351" s="25">
        <v>3319.95</v>
      </c>
      <c r="C4351" s="25">
        <v>3341.9</v>
      </c>
      <c r="D4351" s="25">
        <v>3270.0</v>
      </c>
      <c r="E4351" s="25">
        <v>3284.6</v>
      </c>
      <c r="F4351" s="25">
        <v>1849256.0</v>
      </c>
    </row>
    <row r="4352">
      <c r="A4352" s="25">
        <v>44797.64583333333</v>
      </c>
      <c r="B4352" s="25">
        <v>3292.0</v>
      </c>
      <c r="C4352" s="25">
        <v>3308.0</v>
      </c>
      <c r="D4352" s="25">
        <v>3250.2</v>
      </c>
      <c r="E4352" s="25">
        <v>3255.35</v>
      </c>
      <c r="F4352" s="25">
        <v>1691923.0</v>
      </c>
    </row>
    <row r="4353">
      <c r="A4353" s="25">
        <v>44798.64583333333</v>
      </c>
      <c r="B4353" s="25">
        <v>3276.0</v>
      </c>
      <c r="C4353" s="25">
        <v>3278.15</v>
      </c>
      <c r="D4353" s="25">
        <v>3214.75</v>
      </c>
      <c r="E4353" s="25">
        <v>3218.2</v>
      </c>
      <c r="F4353" s="25">
        <v>1946930.0</v>
      </c>
    </row>
    <row r="4354">
      <c r="A4354" s="25">
        <v>44799.64583333333</v>
      </c>
      <c r="B4354" s="25">
        <v>3234.3</v>
      </c>
      <c r="C4354" s="25">
        <v>3257.0</v>
      </c>
      <c r="D4354" s="25">
        <v>3216.8</v>
      </c>
      <c r="E4354" s="25">
        <v>3222.2</v>
      </c>
      <c r="F4354" s="25">
        <v>1457962.0</v>
      </c>
    </row>
    <row r="4355">
      <c r="A4355" s="25">
        <v>44802.64583333333</v>
      </c>
      <c r="B4355" s="25">
        <v>3125.0</v>
      </c>
      <c r="C4355" s="25">
        <v>3142.7</v>
      </c>
      <c r="D4355" s="25">
        <v>3081.0</v>
      </c>
      <c r="E4355" s="25">
        <v>3132.55</v>
      </c>
      <c r="F4355" s="25">
        <v>2539173.0</v>
      </c>
    </row>
    <row r="4356">
      <c r="A4356" s="25">
        <v>44803.64583333333</v>
      </c>
      <c r="B4356" s="25">
        <v>3155.0</v>
      </c>
      <c r="C4356" s="25">
        <v>3226.5</v>
      </c>
      <c r="D4356" s="25">
        <v>3142.1</v>
      </c>
      <c r="E4356" s="25">
        <v>3211.15</v>
      </c>
      <c r="F4356" s="25">
        <v>3431525.0</v>
      </c>
    </row>
    <row r="4357">
      <c r="A4357" s="25">
        <v>44805.64583333333</v>
      </c>
      <c r="B4357" s="25">
        <v>3190.0</v>
      </c>
      <c r="C4357" s="25">
        <v>3190.0</v>
      </c>
      <c r="D4357" s="25">
        <v>3121.0</v>
      </c>
      <c r="E4357" s="25">
        <v>3131.7</v>
      </c>
      <c r="F4357" s="25">
        <v>3546935.0</v>
      </c>
    </row>
    <row r="4358">
      <c r="A4358" s="25">
        <v>44806.64583333333</v>
      </c>
      <c r="B4358" s="25">
        <v>3163.0</v>
      </c>
      <c r="C4358" s="25">
        <v>3163.0</v>
      </c>
      <c r="D4358" s="25">
        <v>3120.3</v>
      </c>
      <c r="E4358" s="25">
        <v>3130.4</v>
      </c>
      <c r="F4358" s="25">
        <v>2052900.0</v>
      </c>
    </row>
    <row r="4359">
      <c r="A4359" s="25">
        <v>44809.64583333333</v>
      </c>
      <c r="B4359" s="25">
        <v>3123.65</v>
      </c>
      <c r="C4359" s="25">
        <v>3147.95</v>
      </c>
      <c r="D4359" s="25">
        <v>3112.25</v>
      </c>
      <c r="E4359" s="25">
        <v>3133.4</v>
      </c>
      <c r="F4359" s="25">
        <v>2147912.0</v>
      </c>
    </row>
    <row r="4360">
      <c r="A4360" s="25">
        <v>44810.64583333333</v>
      </c>
      <c r="B4360" s="25">
        <v>3135.5</v>
      </c>
      <c r="C4360" s="25">
        <v>3140.85</v>
      </c>
      <c r="D4360" s="25">
        <v>3106.35</v>
      </c>
      <c r="E4360" s="25">
        <v>3127.05</v>
      </c>
      <c r="F4360" s="25">
        <v>1936453.0</v>
      </c>
    </row>
    <row r="4361">
      <c r="A4361" s="25">
        <v>44811.64583333333</v>
      </c>
      <c r="B4361" s="25">
        <v>3102.0</v>
      </c>
      <c r="C4361" s="25">
        <v>3161.9</v>
      </c>
      <c r="D4361" s="25">
        <v>3102.0</v>
      </c>
      <c r="E4361" s="25">
        <v>3149.6</v>
      </c>
      <c r="F4361" s="25">
        <v>1291534.0</v>
      </c>
    </row>
    <row r="4362">
      <c r="A4362" s="25">
        <v>44812.64583333333</v>
      </c>
      <c r="B4362" s="25">
        <v>3170.0</v>
      </c>
      <c r="C4362" s="25">
        <v>3183.5</v>
      </c>
      <c r="D4362" s="25">
        <v>3160.1</v>
      </c>
      <c r="E4362" s="25">
        <v>3169.65</v>
      </c>
      <c r="F4362" s="25">
        <v>1346113.0</v>
      </c>
    </row>
    <row r="4363">
      <c r="A4363" s="25">
        <v>44813.64583333333</v>
      </c>
      <c r="B4363" s="25">
        <v>3195.0</v>
      </c>
      <c r="C4363" s="25">
        <v>3233.5</v>
      </c>
      <c r="D4363" s="25">
        <v>3168.5</v>
      </c>
      <c r="E4363" s="25">
        <v>3217.65</v>
      </c>
      <c r="F4363" s="25">
        <v>1561185.0</v>
      </c>
    </row>
    <row r="4364">
      <c r="A4364" s="25">
        <v>44816.64583333333</v>
      </c>
      <c r="B4364" s="25">
        <v>3239.9</v>
      </c>
      <c r="C4364" s="25">
        <v>3269.8</v>
      </c>
      <c r="D4364" s="25">
        <v>3225.0</v>
      </c>
      <c r="E4364" s="25">
        <v>3242.95</v>
      </c>
      <c r="F4364" s="25">
        <v>1785928.0</v>
      </c>
    </row>
    <row r="4365">
      <c r="A4365" s="25">
        <v>44817.64583333333</v>
      </c>
      <c r="B4365" s="25">
        <v>3263.45</v>
      </c>
      <c r="C4365" s="25">
        <v>3263.45</v>
      </c>
      <c r="D4365" s="25">
        <v>3225.0</v>
      </c>
      <c r="E4365" s="25">
        <v>3229.35</v>
      </c>
      <c r="F4365" s="25">
        <v>1972678.0</v>
      </c>
    </row>
    <row r="4366">
      <c r="A4366" s="25">
        <v>44818.64583333333</v>
      </c>
      <c r="B4366" s="25">
        <v>3135.0</v>
      </c>
      <c r="C4366" s="25">
        <v>3141.4</v>
      </c>
      <c r="D4366" s="25">
        <v>3113.8</v>
      </c>
      <c r="E4366" s="25">
        <v>3120.4</v>
      </c>
      <c r="F4366" s="25">
        <v>5090269.0</v>
      </c>
    </row>
    <row r="4367">
      <c r="A4367" s="25">
        <v>44819.64583333333</v>
      </c>
      <c r="B4367" s="25">
        <v>3130.0</v>
      </c>
      <c r="C4367" s="25">
        <v>3137.75</v>
      </c>
      <c r="D4367" s="25">
        <v>3100.0</v>
      </c>
      <c r="E4367" s="25">
        <v>3104.35</v>
      </c>
      <c r="F4367" s="25">
        <v>2138023.0</v>
      </c>
    </row>
    <row r="4368">
      <c r="A4368" s="25">
        <v>44820.64583333333</v>
      </c>
      <c r="B4368" s="25">
        <v>3076.0</v>
      </c>
      <c r="C4368" s="25">
        <v>3094.35</v>
      </c>
      <c r="D4368" s="25">
        <v>3000.0</v>
      </c>
      <c r="E4368" s="25">
        <v>3008.7</v>
      </c>
      <c r="F4368" s="25">
        <v>5322221.0</v>
      </c>
    </row>
    <row r="4369">
      <c r="A4369" s="25">
        <v>44823.64583333333</v>
      </c>
      <c r="B4369" s="25">
        <v>3036.0</v>
      </c>
      <c r="C4369" s="25">
        <v>3042.0</v>
      </c>
      <c r="D4369" s="25">
        <v>2987.8</v>
      </c>
      <c r="E4369" s="25">
        <v>3028.8</v>
      </c>
      <c r="F4369" s="25">
        <v>2072220.0</v>
      </c>
    </row>
    <row r="4370">
      <c r="A4370" s="25">
        <v>44824.64583333333</v>
      </c>
      <c r="B4370" s="25">
        <v>3050.0</v>
      </c>
      <c r="C4370" s="25">
        <v>3079.95</v>
      </c>
      <c r="D4370" s="25">
        <v>3030.0</v>
      </c>
      <c r="E4370" s="25">
        <v>3040.3</v>
      </c>
      <c r="F4370" s="25">
        <v>1544295.0</v>
      </c>
    </row>
    <row r="4371">
      <c r="A4371" s="25">
        <v>44825.64583333333</v>
      </c>
      <c r="B4371" s="25">
        <v>3028.0</v>
      </c>
      <c r="C4371" s="25">
        <v>3041.4</v>
      </c>
      <c r="D4371" s="25">
        <v>2998.15</v>
      </c>
      <c r="E4371" s="25">
        <v>3001.2</v>
      </c>
      <c r="F4371" s="25">
        <v>2253818.0</v>
      </c>
    </row>
    <row r="4372">
      <c r="A4372" s="25">
        <v>44826.64583333333</v>
      </c>
      <c r="B4372" s="25">
        <v>2990.0</v>
      </c>
      <c r="C4372" s="25">
        <v>3029.95</v>
      </c>
      <c r="D4372" s="25">
        <v>2979.3</v>
      </c>
      <c r="E4372" s="25">
        <v>3007.4</v>
      </c>
      <c r="F4372" s="25">
        <v>2017983.0</v>
      </c>
    </row>
    <row r="4373">
      <c r="A4373" s="25">
        <v>44827.64583333333</v>
      </c>
      <c r="B4373" s="25">
        <v>3004.0</v>
      </c>
      <c r="C4373" s="25">
        <v>3022.5</v>
      </c>
      <c r="D4373" s="25">
        <v>2979.0</v>
      </c>
      <c r="E4373" s="25">
        <v>2982.05</v>
      </c>
      <c r="F4373" s="25">
        <v>2652374.0</v>
      </c>
    </row>
    <row r="4374">
      <c r="A4374" s="25">
        <v>44830.64583333333</v>
      </c>
      <c r="B4374" s="25">
        <v>2959.85</v>
      </c>
      <c r="C4374" s="25">
        <v>3025.85</v>
      </c>
      <c r="D4374" s="25">
        <v>2926.1</v>
      </c>
      <c r="E4374" s="25">
        <v>2994.4</v>
      </c>
      <c r="F4374" s="25">
        <v>2925489.0</v>
      </c>
    </row>
    <row r="4375">
      <c r="A4375" s="25">
        <v>44831.64583333333</v>
      </c>
      <c r="B4375" s="25">
        <v>3009.4</v>
      </c>
      <c r="C4375" s="25">
        <v>3025.0</v>
      </c>
      <c r="D4375" s="25">
        <v>2976.0</v>
      </c>
      <c r="E4375" s="25">
        <v>3017.45</v>
      </c>
      <c r="F4375" s="25">
        <v>2227447.0</v>
      </c>
    </row>
    <row r="4376">
      <c r="A4376" s="25">
        <v>44832.64583333333</v>
      </c>
      <c r="B4376" s="25">
        <v>2980.0</v>
      </c>
      <c r="C4376" s="25">
        <v>3049.95</v>
      </c>
      <c r="D4376" s="25">
        <v>2980.0</v>
      </c>
      <c r="E4376" s="25">
        <v>3035.65</v>
      </c>
      <c r="F4376" s="25">
        <v>2739767.0</v>
      </c>
    </row>
    <row r="4377">
      <c r="A4377" s="25">
        <v>44833.64583333333</v>
      </c>
      <c r="B4377" s="25">
        <v>3054.0</v>
      </c>
      <c r="C4377" s="25">
        <v>3055.85</v>
      </c>
      <c r="D4377" s="25">
        <v>2990.0</v>
      </c>
      <c r="E4377" s="25">
        <v>2997.3</v>
      </c>
      <c r="F4377" s="25">
        <v>2493902.0</v>
      </c>
    </row>
    <row r="4378">
      <c r="A4378" s="25">
        <v>44834.64583333333</v>
      </c>
      <c r="B4378" s="25">
        <v>2990.85</v>
      </c>
      <c r="C4378" s="25">
        <v>3019.7</v>
      </c>
      <c r="D4378" s="25">
        <v>2950.1</v>
      </c>
      <c r="E4378" s="25">
        <v>3004.55</v>
      </c>
      <c r="F4378" s="25">
        <v>2817353.0</v>
      </c>
    </row>
    <row r="4379">
      <c r="A4379" s="25">
        <v>44837.64583333333</v>
      </c>
      <c r="B4379" s="25">
        <v>2995.0</v>
      </c>
      <c r="C4379" s="25">
        <v>3020.7</v>
      </c>
      <c r="D4379" s="25">
        <v>2974.0</v>
      </c>
      <c r="E4379" s="25">
        <v>2984.95</v>
      </c>
      <c r="F4379" s="25">
        <v>1763331.0</v>
      </c>
    </row>
    <row r="4380">
      <c r="A4380" s="25">
        <v>44838.64583333333</v>
      </c>
      <c r="B4380" s="25">
        <v>3029.95</v>
      </c>
      <c r="C4380" s="25">
        <v>3098.0</v>
      </c>
      <c r="D4380" s="25">
        <v>3023.0</v>
      </c>
      <c r="E4380" s="25">
        <v>3091.15</v>
      </c>
      <c r="F4380" s="25">
        <v>2145875.0</v>
      </c>
    </row>
    <row r="4381">
      <c r="A4381" s="25">
        <v>44840.64583333333</v>
      </c>
      <c r="B4381" s="25">
        <v>3111.0</v>
      </c>
      <c r="C4381" s="25">
        <v>3124.0</v>
      </c>
      <c r="D4381" s="25">
        <v>3092.45</v>
      </c>
      <c r="E4381" s="25">
        <v>3101.95</v>
      </c>
      <c r="F4381" s="25">
        <v>1790816.0</v>
      </c>
    </row>
    <row r="4382">
      <c r="A4382" s="25">
        <v>44841.64583333333</v>
      </c>
      <c r="B4382" s="25">
        <v>3097.4</v>
      </c>
      <c r="C4382" s="25">
        <v>3105.0</v>
      </c>
      <c r="D4382" s="25">
        <v>3058.1</v>
      </c>
      <c r="E4382" s="25">
        <v>3064.9</v>
      </c>
      <c r="F4382" s="25">
        <v>1939879.0</v>
      </c>
    </row>
    <row r="4383">
      <c r="A4383" s="25">
        <v>44844.64583333333</v>
      </c>
      <c r="B4383" s="25">
        <v>3010.0</v>
      </c>
      <c r="C4383" s="25">
        <v>3127.0</v>
      </c>
      <c r="D4383" s="25">
        <v>3005.0</v>
      </c>
      <c r="E4383" s="25">
        <v>3118.55</v>
      </c>
      <c r="F4383" s="25">
        <v>3064063.0</v>
      </c>
    </row>
    <row r="4384">
      <c r="A4384" s="25">
        <v>44845.64583333333</v>
      </c>
      <c r="B4384" s="25">
        <v>3100.0</v>
      </c>
      <c r="C4384" s="25">
        <v>3145.0</v>
      </c>
      <c r="D4384" s="25">
        <v>3053.35</v>
      </c>
      <c r="E4384" s="25">
        <v>3069.55</v>
      </c>
      <c r="F4384" s="25">
        <v>4730645.0</v>
      </c>
    </row>
    <row r="4385">
      <c r="A4385" s="25">
        <v>44846.64583333333</v>
      </c>
      <c r="B4385" s="25">
        <v>3084.9</v>
      </c>
      <c r="C4385" s="25">
        <v>3109.9</v>
      </c>
      <c r="D4385" s="25">
        <v>3062.05</v>
      </c>
      <c r="E4385" s="25">
        <v>3100.75</v>
      </c>
      <c r="F4385" s="25">
        <v>1665247.0</v>
      </c>
    </row>
    <row r="4386">
      <c r="A4386" s="25">
        <v>44847.64583333333</v>
      </c>
      <c r="B4386" s="25">
        <v>3100.75</v>
      </c>
      <c r="C4386" s="25">
        <v>3110.0</v>
      </c>
      <c r="D4386" s="25">
        <v>3052.35</v>
      </c>
      <c r="E4386" s="25">
        <v>3103.3</v>
      </c>
      <c r="F4386" s="25">
        <v>2054781.0</v>
      </c>
    </row>
    <row r="4387">
      <c r="A4387" s="25">
        <v>44848.64583333333</v>
      </c>
      <c r="B4387" s="25">
        <v>3145.0</v>
      </c>
      <c r="C4387" s="25">
        <v>3150.0</v>
      </c>
      <c r="D4387" s="25">
        <v>3071.0</v>
      </c>
      <c r="E4387" s="25">
        <v>3099.15</v>
      </c>
      <c r="F4387" s="25">
        <v>2245977.0</v>
      </c>
    </row>
    <row r="4388">
      <c r="A4388" s="25">
        <v>44851.64583333333</v>
      </c>
      <c r="B4388" s="25">
        <v>3072.65</v>
      </c>
      <c r="C4388" s="25">
        <v>3128.4</v>
      </c>
      <c r="D4388" s="25">
        <v>3071.45</v>
      </c>
      <c r="E4388" s="25">
        <v>3111.75</v>
      </c>
      <c r="F4388" s="25">
        <v>1517005.0</v>
      </c>
    </row>
    <row r="4389">
      <c r="A4389" s="25">
        <v>44852.64583333333</v>
      </c>
      <c r="B4389" s="25">
        <v>3150.0</v>
      </c>
      <c r="C4389" s="25">
        <v>3155.35</v>
      </c>
      <c r="D4389" s="25">
        <v>3128.55</v>
      </c>
      <c r="E4389" s="25">
        <v>3144.7</v>
      </c>
      <c r="F4389" s="25">
        <v>1793722.0</v>
      </c>
    </row>
    <row r="4390">
      <c r="A4390" s="25">
        <v>44853.64583333333</v>
      </c>
      <c r="B4390" s="25">
        <v>3159.0</v>
      </c>
      <c r="C4390" s="25">
        <v>3159.0</v>
      </c>
      <c r="D4390" s="25">
        <v>3112.0</v>
      </c>
      <c r="E4390" s="25">
        <v>3121.85</v>
      </c>
      <c r="F4390" s="25">
        <v>1194289.0</v>
      </c>
    </row>
    <row r="4391">
      <c r="A4391" s="25">
        <v>44854.64583333333</v>
      </c>
      <c r="B4391" s="25">
        <v>3105.0</v>
      </c>
      <c r="C4391" s="25">
        <v>3160.0</v>
      </c>
      <c r="D4391" s="25">
        <v>3105.0</v>
      </c>
      <c r="E4391" s="25">
        <v>3157.3</v>
      </c>
      <c r="F4391" s="25">
        <v>1587601.0</v>
      </c>
    </row>
    <row r="4392">
      <c r="A4392" s="25">
        <v>44855.64583333333</v>
      </c>
      <c r="B4392" s="25">
        <v>3157.8</v>
      </c>
      <c r="C4392" s="25">
        <v>3160.4</v>
      </c>
      <c r="D4392" s="25">
        <v>3127.0</v>
      </c>
      <c r="E4392" s="25">
        <v>3137.4</v>
      </c>
      <c r="F4392" s="25">
        <v>1021913.0</v>
      </c>
    </row>
    <row r="4393">
      <c r="A4393" s="25">
        <v>44859.64583333333</v>
      </c>
      <c r="B4393" s="25">
        <v>3180.5</v>
      </c>
      <c r="C4393" s="25">
        <v>3184.25</v>
      </c>
      <c r="D4393" s="25">
        <v>3151.15</v>
      </c>
      <c r="E4393" s="25">
        <v>3162.1</v>
      </c>
      <c r="F4393" s="25">
        <v>2069643.0</v>
      </c>
    </row>
    <row r="4394">
      <c r="A4394" s="25">
        <v>44861.64583333333</v>
      </c>
      <c r="B4394" s="25">
        <v>3160.7</v>
      </c>
      <c r="C4394" s="25">
        <v>3174.0</v>
      </c>
      <c r="D4394" s="25">
        <v>3134.35</v>
      </c>
      <c r="E4394" s="25">
        <v>3157.4</v>
      </c>
      <c r="F4394" s="25">
        <v>2438421.0</v>
      </c>
    </row>
    <row r="4395">
      <c r="A4395" s="25">
        <v>44862.64583333333</v>
      </c>
      <c r="B4395" s="25">
        <v>3150.0</v>
      </c>
      <c r="C4395" s="25">
        <v>3178.5</v>
      </c>
      <c r="D4395" s="25">
        <v>3145.0</v>
      </c>
      <c r="E4395" s="25">
        <v>3163.25</v>
      </c>
      <c r="F4395" s="25">
        <v>1355739.0</v>
      </c>
    </row>
    <row r="4396">
      <c r="A4396" s="25">
        <v>44865.64583333333</v>
      </c>
      <c r="B4396" s="25">
        <v>3199.0</v>
      </c>
      <c r="C4396" s="25">
        <v>3199.0</v>
      </c>
      <c r="D4396" s="25">
        <v>3177.8</v>
      </c>
      <c r="E4396" s="25">
        <v>3193.15</v>
      </c>
      <c r="F4396" s="25">
        <v>1919414.0</v>
      </c>
    </row>
    <row r="4397">
      <c r="A4397" s="25">
        <v>44866.64583333333</v>
      </c>
      <c r="B4397" s="25">
        <v>3214.5</v>
      </c>
      <c r="C4397" s="25">
        <v>3262.6</v>
      </c>
      <c r="D4397" s="25">
        <v>3203.45</v>
      </c>
      <c r="E4397" s="25">
        <v>3259.7</v>
      </c>
      <c r="F4397" s="25">
        <v>2991060.0</v>
      </c>
    </row>
    <row r="4398">
      <c r="A4398" s="25">
        <v>44867.64583333333</v>
      </c>
      <c r="B4398" s="25">
        <v>3270.0</v>
      </c>
      <c r="C4398" s="25">
        <v>3270.0</v>
      </c>
      <c r="D4398" s="25">
        <v>3222.05</v>
      </c>
      <c r="E4398" s="25">
        <v>3241.7</v>
      </c>
      <c r="F4398" s="25">
        <v>1405955.0</v>
      </c>
    </row>
    <row r="4399">
      <c r="A4399" s="25">
        <v>44868.64583333333</v>
      </c>
      <c r="B4399" s="25">
        <v>3228.05</v>
      </c>
      <c r="C4399" s="25">
        <v>3228.05</v>
      </c>
      <c r="D4399" s="25">
        <v>3195.0</v>
      </c>
      <c r="E4399" s="25">
        <v>3206.75</v>
      </c>
      <c r="F4399" s="25">
        <v>1422652.0</v>
      </c>
    </row>
    <row r="4400">
      <c r="A4400" s="25">
        <v>44869.64583333333</v>
      </c>
      <c r="B4400" s="25">
        <v>3217.0</v>
      </c>
      <c r="C4400" s="25">
        <v>3220.05</v>
      </c>
      <c r="D4400" s="25">
        <v>3166.15</v>
      </c>
      <c r="E4400" s="25">
        <v>3217.4</v>
      </c>
      <c r="F4400" s="25">
        <v>1464013.0</v>
      </c>
    </row>
    <row r="4401">
      <c r="A4401" s="25">
        <v>44872.64583333333</v>
      </c>
      <c r="B4401" s="25">
        <v>3229.0</v>
      </c>
      <c r="C4401" s="25">
        <v>3242.8</v>
      </c>
      <c r="D4401" s="25">
        <v>3195.1</v>
      </c>
      <c r="E4401" s="25">
        <v>3233.7</v>
      </c>
      <c r="F4401" s="25">
        <v>1474498.0</v>
      </c>
    </row>
    <row r="4402">
      <c r="A4402" s="25">
        <v>44874.64583333333</v>
      </c>
      <c r="B4402" s="25">
        <v>3249.8</v>
      </c>
      <c r="C4402" s="25">
        <v>3249.8</v>
      </c>
      <c r="D4402" s="25">
        <v>3201.65</v>
      </c>
      <c r="E4402" s="25">
        <v>3216.05</v>
      </c>
      <c r="F4402" s="25">
        <v>1162267.0</v>
      </c>
    </row>
    <row r="4403">
      <c r="A4403" s="25">
        <v>44875.64583333333</v>
      </c>
      <c r="B4403" s="25">
        <v>3170.0</v>
      </c>
      <c r="C4403" s="25">
        <v>3225.0</v>
      </c>
      <c r="D4403" s="25">
        <v>3170.0</v>
      </c>
      <c r="E4403" s="25">
        <v>3205.65</v>
      </c>
      <c r="F4403" s="25">
        <v>1573092.0</v>
      </c>
    </row>
    <row r="4404">
      <c r="A4404" s="25">
        <v>44876.64583333333</v>
      </c>
      <c r="B4404" s="25">
        <v>3269.6</v>
      </c>
      <c r="C4404" s="25">
        <v>3341.6</v>
      </c>
      <c r="D4404" s="25">
        <v>3255.05</v>
      </c>
      <c r="E4404" s="25">
        <v>3315.95</v>
      </c>
      <c r="F4404" s="25">
        <v>3265394.0</v>
      </c>
    </row>
    <row r="4405">
      <c r="A4405" s="25">
        <v>44879.64583333333</v>
      </c>
      <c r="B4405" s="25">
        <v>3324.0</v>
      </c>
      <c r="C4405" s="25">
        <v>3349.0</v>
      </c>
      <c r="D4405" s="25">
        <v>3309.0</v>
      </c>
      <c r="E4405" s="25">
        <v>3335.5</v>
      </c>
      <c r="F4405" s="25">
        <v>1342074.0</v>
      </c>
    </row>
    <row r="4406">
      <c r="A4406" s="25">
        <v>44880.64583333333</v>
      </c>
      <c r="B4406" s="25">
        <v>3321.0</v>
      </c>
      <c r="C4406" s="25">
        <v>3339.95</v>
      </c>
      <c r="D4406" s="25">
        <v>3292.0</v>
      </c>
      <c r="E4406" s="25">
        <v>3332.6</v>
      </c>
      <c r="F4406" s="25">
        <v>1400708.0</v>
      </c>
    </row>
    <row r="4407">
      <c r="A4407" s="25">
        <v>44881.64583333333</v>
      </c>
      <c r="B4407" s="25">
        <v>3338.9</v>
      </c>
      <c r="C4407" s="25">
        <v>3367.9</v>
      </c>
      <c r="D4407" s="25">
        <v>3321.45</v>
      </c>
      <c r="E4407" s="25">
        <v>3355.35</v>
      </c>
      <c r="F4407" s="25">
        <v>1748235.0</v>
      </c>
    </row>
    <row r="4408">
      <c r="A4408" s="25">
        <v>44882.64583333333</v>
      </c>
      <c r="B4408" s="25">
        <v>3340.0</v>
      </c>
      <c r="C4408" s="25">
        <v>3360.0</v>
      </c>
      <c r="D4408" s="25">
        <v>3317.75</v>
      </c>
      <c r="E4408" s="25">
        <v>3349.0</v>
      </c>
      <c r="F4408" s="25">
        <v>1417986.0</v>
      </c>
    </row>
    <row r="4409">
      <c r="A4409" s="25">
        <v>44883.64583333333</v>
      </c>
      <c r="B4409" s="25">
        <v>3350.0</v>
      </c>
      <c r="C4409" s="25">
        <v>3362.75</v>
      </c>
      <c r="D4409" s="25">
        <v>3321.0</v>
      </c>
      <c r="E4409" s="25">
        <v>3343.45</v>
      </c>
      <c r="F4409" s="25">
        <v>1164540.0</v>
      </c>
    </row>
    <row r="4410">
      <c r="A4410" s="25">
        <v>44886.64583333333</v>
      </c>
      <c r="B4410" s="25">
        <v>3322.5</v>
      </c>
      <c r="C4410" s="25">
        <v>3333.7</v>
      </c>
      <c r="D4410" s="25">
        <v>3273.0</v>
      </c>
      <c r="E4410" s="25">
        <v>3283.5</v>
      </c>
      <c r="F4410" s="25">
        <v>1304194.0</v>
      </c>
    </row>
    <row r="4411">
      <c r="A4411" s="25">
        <v>44887.64583333333</v>
      </c>
      <c r="B4411" s="25">
        <v>3280.0</v>
      </c>
      <c r="C4411" s="25">
        <v>3318.95</v>
      </c>
      <c r="D4411" s="25">
        <v>3255.25</v>
      </c>
      <c r="E4411" s="25">
        <v>3314.95</v>
      </c>
      <c r="F4411" s="25">
        <v>1149739.0</v>
      </c>
    </row>
    <row r="4412">
      <c r="A4412" s="25">
        <v>44888.64583333333</v>
      </c>
      <c r="B4412" s="25">
        <v>3330.0</v>
      </c>
      <c r="C4412" s="25">
        <v>3330.0</v>
      </c>
      <c r="D4412" s="25">
        <v>3291.0</v>
      </c>
      <c r="E4412" s="25">
        <v>3308.3</v>
      </c>
      <c r="F4412" s="25">
        <v>1150011.0</v>
      </c>
    </row>
    <row r="4413">
      <c r="A4413" s="25">
        <v>44889.64583333333</v>
      </c>
      <c r="B4413" s="25">
        <v>3316.25</v>
      </c>
      <c r="C4413" s="25">
        <v>3392.95</v>
      </c>
      <c r="D4413" s="25">
        <v>3308.3</v>
      </c>
      <c r="E4413" s="25">
        <v>3380.15</v>
      </c>
      <c r="F4413" s="25">
        <v>1296591.0</v>
      </c>
    </row>
    <row r="4414">
      <c r="A4414" s="25">
        <v>44890.64583333333</v>
      </c>
      <c r="B4414" s="25">
        <v>3383.0</v>
      </c>
      <c r="C4414" s="25">
        <v>3403.35</v>
      </c>
      <c r="D4414" s="25">
        <v>3348.0</v>
      </c>
      <c r="E4414" s="25">
        <v>3389.65</v>
      </c>
      <c r="F4414" s="25">
        <v>1588981.0</v>
      </c>
    </row>
    <row r="4415">
      <c r="A4415" s="25">
        <v>44893.64583333333</v>
      </c>
      <c r="B4415" s="25">
        <v>3366.0</v>
      </c>
      <c r="C4415" s="25">
        <v>3417.0</v>
      </c>
      <c r="D4415" s="25">
        <v>3365.55</v>
      </c>
      <c r="E4415" s="25">
        <v>3395.25</v>
      </c>
      <c r="F4415" s="25">
        <v>2195437.0</v>
      </c>
    </row>
    <row r="4416">
      <c r="A4416" s="25">
        <v>44894.64583333333</v>
      </c>
      <c r="B4416" s="25">
        <v>3383.0</v>
      </c>
      <c r="C4416" s="25">
        <v>3429.0</v>
      </c>
      <c r="D4416" s="25">
        <v>3383.0</v>
      </c>
      <c r="E4416" s="25">
        <v>3397.35</v>
      </c>
      <c r="F4416" s="25">
        <v>1576028.0</v>
      </c>
    </row>
    <row r="4417">
      <c r="A4417" s="25">
        <v>44895.64583333333</v>
      </c>
      <c r="B4417" s="25">
        <v>3383.0</v>
      </c>
      <c r="C4417" s="25">
        <v>3414.9</v>
      </c>
      <c r="D4417" s="25">
        <v>3375.0</v>
      </c>
      <c r="E4417" s="25">
        <v>3390.8</v>
      </c>
      <c r="F4417" s="25">
        <v>3410702.0</v>
      </c>
    </row>
    <row r="4418">
      <c r="A4418" s="25">
        <v>44896.64583333333</v>
      </c>
      <c r="B4418" s="25">
        <v>3425.0</v>
      </c>
      <c r="C4418" s="25">
        <v>3480.0</v>
      </c>
      <c r="D4418" s="25">
        <v>3420.0</v>
      </c>
      <c r="E4418" s="25">
        <v>3475.65</v>
      </c>
      <c r="F4418" s="25">
        <v>2180856.0</v>
      </c>
    </row>
    <row r="4419">
      <c r="A4419" s="25">
        <v>44897.64583333333</v>
      </c>
      <c r="B4419" s="25">
        <v>3458.1</v>
      </c>
      <c r="C4419" s="25">
        <v>3468.9</v>
      </c>
      <c r="D4419" s="25">
        <v>3413.0</v>
      </c>
      <c r="E4419" s="25">
        <v>3439.15</v>
      </c>
      <c r="F4419" s="25">
        <v>2411749.0</v>
      </c>
    </row>
    <row r="4420">
      <c r="A4420" s="25">
        <v>44900.64583333333</v>
      </c>
      <c r="B4420" s="25">
        <v>3433.0</v>
      </c>
      <c r="C4420" s="25">
        <v>3439.15</v>
      </c>
      <c r="D4420" s="25">
        <v>3407.0</v>
      </c>
      <c r="E4420" s="25">
        <v>3425.9</v>
      </c>
      <c r="F4420" s="25">
        <v>1475065.0</v>
      </c>
    </row>
    <row r="4421">
      <c r="A4421" s="25">
        <v>44901.64583333333</v>
      </c>
      <c r="B4421" s="25">
        <v>3400.05</v>
      </c>
      <c r="C4421" s="25">
        <v>3407.95</v>
      </c>
      <c r="D4421" s="25">
        <v>3368.0</v>
      </c>
      <c r="E4421" s="25">
        <v>3385.35</v>
      </c>
      <c r="F4421" s="25">
        <v>1166999.0</v>
      </c>
    </row>
    <row r="4422">
      <c r="A4422" s="25">
        <v>44902.64583333333</v>
      </c>
      <c r="B4422" s="25">
        <v>3368.3</v>
      </c>
      <c r="C4422" s="25">
        <v>3393.7</v>
      </c>
      <c r="D4422" s="25">
        <v>3354.0</v>
      </c>
      <c r="E4422" s="25">
        <v>3380.6</v>
      </c>
      <c r="F4422" s="25">
        <v>1167505.0</v>
      </c>
    </row>
    <row r="4423">
      <c r="A4423" s="25">
        <v>44903.64583333333</v>
      </c>
      <c r="B4423" s="25">
        <v>3360.0</v>
      </c>
      <c r="C4423" s="25">
        <v>3380.6</v>
      </c>
      <c r="D4423" s="25">
        <v>3339.45</v>
      </c>
      <c r="E4423" s="25">
        <v>3350.55</v>
      </c>
      <c r="F4423" s="25">
        <v>1285619.0</v>
      </c>
    </row>
    <row r="4424">
      <c r="A4424" s="25">
        <v>44904.64583333333</v>
      </c>
      <c r="B4424" s="25">
        <v>3374.1</v>
      </c>
      <c r="C4424" s="25">
        <v>3374.1</v>
      </c>
      <c r="D4424" s="25">
        <v>3276.35</v>
      </c>
      <c r="E4424" s="25">
        <v>3292.75</v>
      </c>
      <c r="F4424" s="25">
        <v>1797896.0</v>
      </c>
    </row>
    <row r="4425">
      <c r="A4425" s="25">
        <v>44907.64583333333</v>
      </c>
      <c r="B4425" s="25">
        <v>3255.5</v>
      </c>
      <c r="C4425" s="25">
        <v>3296.0</v>
      </c>
      <c r="D4425" s="25">
        <v>3236.1</v>
      </c>
      <c r="E4425" s="25">
        <v>3286.45</v>
      </c>
      <c r="F4425" s="25">
        <v>1527610.0</v>
      </c>
    </row>
    <row r="4426">
      <c r="A4426" s="25">
        <v>44908.64583333333</v>
      </c>
      <c r="B4426" s="25">
        <v>3277.2</v>
      </c>
      <c r="C4426" s="25">
        <v>3336.45</v>
      </c>
      <c r="D4426" s="25">
        <v>3267.8</v>
      </c>
      <c r="E4426" s="25">
        <v>3332.1</v>
      </c>
      <c r="F4426" s="25">
        <v>1378016.0</v>
      </c>
    </row>
    <row r="4427">
      <c r="A4427" s="25">
        <v>44909.64583333333</v>
      </c>
      <c r="B4427" s="25">
        <v>3348.8</v>
      </c>
      <c r="C4427" s="25">
        <v>3377.0</v>
      </c>
      <c r="D4427" s="25">
        <v>3340.9</v>
      </c>
      <c r="E4427" s="25">
        <v>3365.35</v>
      </c>
      <c r="F4427" s="25">
        <v>1213311.0</v>
      </c>
    </row>
    <row r="4428">
      <c r="A4428" s="25">
        <v>44910.64583333333</v>
      </c>
      <c r="B4428" s="25">
        <v>3358.8</v>
      </c>
      <c r="C4428" s="25">
        <v>3364.75</v>
      </c>
      <c r="D4428" s="25">
        <v>3298.95</v>
      </c>
      <c r="E4428" s="25">
        <v>3305.1</v>
      </c>
      <c r="F4428" s="25">
        <v>1415694.0</v>
      </c>
    </row>
    <row r="4429">
      <c r="A4429" s="25">
        <v>44911.64583333333</v>
      </c>
      <c r="B4429" s="25">
        <v>3275.0</v>
      </c>
      <c r="C4429" s="25">
        <v>3292.0</v>
      </c>
      <c r="D4429" s="25">
        <v>3225.2</v>
      </c>
      <c r="E4429" s="25">
        <v>3240.25</v>
      </c>
      <c r="F4429" s="25">
        <v>2703680.0</v>
      </c>
    </row>
    <row r="4430">
      <c r="A4430" s="25">
        <v>44914.64583333333</v>
      </c>
      <c r="B4430" s="25">
        <v>3227.0</v>
      </c>
      <c r="C4430" s="25">
        <v>3245.5</v>
      </c>
      <c r="D4430" s="25">
        <v>3194.5</v>
      </c>
      <c r="E4430" s="25">
        <v>3202.05</v>
      </c>
      <c r="F4430" s="25">
        <v>2120965.0</v>
      </c>
    </row>
    <row r="4431">
      <c r="A4431" s="25">
        <v>44915.64583333333</v>
      </c>
      <c r="B4431" s="25">
        <v>3198.9</v>
      </c>
      <c r="C4431" s="25">
        <v>3249.0</v>
      </c>
      <c r="D4431" s="25">
        <v>3163.65</v>
      </c>
      <c r="E4431" s="25">
        <v>3243.95</v>
      </c>
      <c r="F4431" s="25">
        <v>1529971.0</v>
      </c>
    </row>
    <row r="4432">
      <c r="A4432" s="25">
        <v>44916.64583333333</v>
      </c>
      <c r="B4432" s="25">
        <v>3249.0</v>
      </c>
      <c r="C4432" s="25">
        <v>3283.05</v>
      </c>
      <c r="D4432" s="25">
        <v>3240.0</v>
      </c>
      <c r="E4432" s="25">
        <v>3268.55</v>
      </c>
      <c r="F4432" s="25">
        <v>1432566.0</v>
      </c>
    </row>
    <row r="4433">
      <c r="A4433" s="25">
        <v>44917.64583333333</v>
      </c>
      <c r="B4433" s="25">
        <v>3294.0</v>
      </c>
      <c r="C4433" s="25">
        <v>3294.0</v>
      </c>
      <c r="D4433" s="25">
        <v>3245.1</v>
      </c>
      <c r="E4433" s="25">
        <v>3259.7</v>
      </c>
      <c r="F4433" s="25">
        <v>1384101.0</v>
      </c>
    </row>
    <row r="4434">
      <c r="A4434" s="25">
        <v>44918.64583333333</v>
      </c>
      <c r="B4434" s="25">
        <v>3217.0</v>
      </c>
      <c r="C4434" s="25">
        <v>3266.85</v>
      </c>
      <c r="D4434" s="25">
        <v>3217.0</v>
      </c>
      <c r="E4434" s="25">
        <v>3228.35</v>
      </c>
      <c r="F4434" s="25">
        <v>1360281.0</v>
      </c>
    </row>
    <row r="4435">
      <c r="A4435" s="25">
        <v>44921.64583333333</v>
      </c>
      <c r="B4435" s="25">
        <v>3228.35</v>
      </c>
      <c r="C4435" s="25">
        <v>3272.0</v>
      </c>
      <c r="D4435" s="25">
        <v>3225.05</v>
      </c>
      <c r="E4435" s="25">
        <v>3252.9</v>
      </c>
      <c r="F4435" s="25">
        <v>870157.0</v>
      </c>
    </row>
    <row r="4436">
      <c r="A4436" s="25">
        <v>44922.64583333333</v>
      </c>
      <c r="B4436" s="25">
        <v>3269.2</v>
      </c>
      <c r="C4436" s="25">
        <v>3273.8</v>
      </c>
      <c r="D4436" s="25">
        <v>3231.5</v>
      </c>
      <c r="E4436" s="25">
        <v>3259.5</v>
      </c>
      <c r="F4436" s="25">
        <v>835883.0</v>
      </c>
    </row>
    <row r="4437">
      <c r="A4437" s="25">
        <v>44923.64583333333</v>
      </c>
      <c r="B4437" s="25">
        <v>3249.8</v>
      </c>
      <c r="C4437" s="25">
        <v>3266.1</v>
      </c>
      <c r="D4437" s="25">
        <v>3226.0</v>
      </c>
      <c r="E4437" s="25">
        <v>3257.1</v>
      </c>
      <c r="F4437" s="25">
        <v>910795.0</v>
      </c>
    </row>
    <row r="4438">
      <c r="A4438" s="25">
        <v>44924.64583333333</v>
      </c>
      <c r="B4438" s="25">
        <v>3231.1</v>
      </c>
      <c r="C4438" s="25">
        <v>3271.5</v>
      </c>
      <c r="D4438" s="25">
        <v>3228.0</v>
      </c>
      <c r="E4438" s="25">
        <v>3268.75</v>
      </c>
      <c r="F4438" s="25">
        <v>1037927.0</v>
      </c>
    </row>
    <row r="4439">
      <c r="A4439" s="25">
        <v>44925.64583333333</v>
      </c>
      <c r="B4439" s="25">
        <v>3286.05</v>
      </c>
      <c r="C4439" s="25">
        <v>3299.0</v>
      </c>
      <c r="D4439" s="25">
        <v>3246.2</v>
      </c>
      <c r="E4439" s="25">
        <v>3256.7</v>
      </c>
      <c r="F4439" s="25">
        <v>1163131.0</v>
      </c>
    </row>
    <row r="4440">
      <c r="A4440" s="25">
        <v>44928.64583333333</v>
      </c>
      <c r="B4440" s="25">
        <v>3261.0</v>
      </c>
      <c r="C4440" s="25">
        <v>3266.85</v>
      </c>
      <c r="D4440" s="25">
        <v>3235.2</v>
      </c>
      <c r="E4440" s="25">
        <v>3261.45</v>
      </c>
      <c r="F4440" s="25">
        <v>709547.0</v>
      </c>
    </row>
    <row r="4441">
      <c r="A4441" s="25">
        <v>44929.64583333333</v>
      </c>
      <c r="B4441" s="25">
        <v>3252.0</v>
      </c>
      <c r="C4441" s="25">
        <v>3320.0</v>
      </c>
      <c r="D4441" s="25">
        <v>3245.3</v>
      </c>
      <c r="E4441" s="25">
        <v>3311.35</v>
      </c>
      <c r="F4441" s="25">
        <v>1245178.0</v>
      </c>
    </row>
    <row r="4442">
      <c r="A4442" s="25">
        <v>44930.64583333333</v>
      </c>
      <c r="B4442" s="25">
        <v>3306.7</v>
      </c>
      <c r="C4442" s="25">
        <v>3327.35</v>
      </c>
      <c r="D4442" s="25">
        <v>3286.2</v>
      </c>
      <c r="E4442" s="25">
        <v>3314.65</v>
      </c>
      <c r="F4442" s="25">
        <v>1231668.0</v>
      </c>
    </row>
    <row r="4443">
      <c r="A4443" s="25">
        <v>44931.64583333333</v>
      </c>
      <c r="B4443" s="25">
        <v>3330.2</v>
      </c>
      <c r="C4443" s="25">
        <v>3337.3</v>
      </c>
      <c r="D4443" s="25">
        <v>3281.95</v>
      </c>
      <c r="E4443" s="25">
        <v>3311.1</v>
      </c>
      <c r="F4443" s="25">
        <v>1826057.0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107</v>
      </c>
      <c r="B1" s="25" t="s">
        <v>108</v>
      </c>
      <c r="C1" s="25" t="s">
        <v>109</v>
      </c>
      <c r="D1" s="25" t="s">
        <v>110</v>
      </c>
      <c r="E1" s="25" t="s">
        <v>111</v>
      </c>
      <c r="F1" s="25" t="s">
        <v>112</v>
      </c>
    </row>
    <row r="2">
      <c r="A2" s="25">
        <v>38355.645833333336</v>
      </c>
      <c r="B2" s="25">
        <v>132.44</v>
      </c>
      <c r="C2" s="25">
        <v>149.88</v>
      </c>
      <c r="D2" s="25">
        <v>130.97</v>
      </c>
      <c r="E2" s="25">
        <v>132.47</v>
      </c>
      <c r="F2" s="25">
        <v>569018.0</v>
      </c>
    </row>
    <row r="3">
      <c r="A3" s="25">
        <v>38356.645833333336</v>
      </c>
      <c r="B3" s="25">
        <v>132.81</v>
      </c>
      <c r="C3" s="25">
        <v>132.81</v>
      </c>
      <c r="D3" s="25">
        <v>130.0</v>
      </c>
      <c r="E3" s="25">
        <v>130.63</v>
      </c>
      <c r="F3" s="25">
        <v>638804.0</v>
      </c>
    </row>
    <row r="4">
      <c r="A4" s="25">
        <v>38357.645833333336</v>
      </c>
      <c r="B4" s="25">
        <v>129.06</v>
      </c>
      <c r="C4" s="25">
        <v>130.0</v>
      </c>
      <c r="D4" s="25">
        <v>125.07</v>
      </c>
      <c r="E4" s="25">
        <v>128.28</v>
      </c>
      <c r="F4" s="25">
        <v>1387367.0</v>
      </c>
    </row>
    <row r="5">
      <c r="A5" s="25">
        <v>38358.645833333336</v>
      </c>
      <c r="B5" s="25">
        <v>127.58</v>
      </c>
      <c r="C5" s="25">
        <v>130.87</v>
      </c>
      <c r="D5" s="25">
        <v>124.88</v>
      </c>
      <c r="E5" s="25">
        <v>127.73</v>
      </c>
      <c r="F5" s="25">
        <v>1689444.0</v>
      </c>
    </row>
    <row r="6">
      <c r="A6" s="25">
        <v>38359.645833333336</v>
      </c>
      <c r="B6" s="25">
        <v>127.19</v>
      </c>
      <c r="C6" s="25">
        <v>129.06</v>
      </c>
      <c r="D6" s="25">
        <v>124.69</v>
      </c>
      <c r="E6" s="25">
        <v>128.18</v>
      </c>
      <c r="F6" s="25">
        <v>2093755.0</v>
      </c>
    </row>
    <row r="7">
      <c r="A7" s="25">
        <v>38362.645833333336</v>
      </c>
      <c r="B7" s="25">
        <v>128.75</v>
      </c>
      <c r="C7" s="25">
        <v>131.25</v>
      </c>
      <c r="D7" s="25">
        <v>123.81</v>
      </c>
      <c r="E7" s="25">
        <v>124.68</v>
      </c>
      <c r="F7" s="25">
        <v>1540740.0</v>
      </c>
    </row>
    <row r="8">
      <c r="A8" s="25">
        <v>38363.645833333336</v>
      </c>
      <c r="B8" s="25">
        <v>124.38</v>
      </c>
      <c r="C8" s="25">
        <v>126.42</v>
      </c>
      <c r="D8" s="25">
        <v>121.94</v>
      </c>
      <c r="E8" s="25">
        <v>123.23</v>
      </c>
      <c r="F8" s="25">
        <v>2130200.0</v>
      </c>
    </row>
    <row r="9">
      <c r="A9" s="25">
        <v>38364.645833333336</v>
      </c>
      <c r="B9" s="25">
        <v>126.56</v>
      </c>
      <c r="C9" s="25">
        <v>126.56</v>
      </c>
      <c r="D9" s="25">
        <v>117.2</v>
      </c>
      <c r="E9" s="25">
        <v>119.14</v>
      </c>
      <c r="F9" s="25">
        <v>3944813.0</v>
      </c>
    </row>
    <row r="10">
      <c r="A10" s="25">
        <v>38365.645833333336</v>
      </c>
      <c r="B10" s="25">
        <v>128.13</v>
      </c>
      <c r="C10" s="25">
        <v>128.13</v>
      </c>
      <c r="D10" s="25">
        <v>120.63</v>
      </c>
      <c r="E10" s="25">
        <v>123.02</v>
      </c>
      <c r="F10" s="25">
        <v>2191279.0</v>
      </c>
    </row>
    <row r="11">
      <c r="A11" s="25">
        <v>38366.645833333336</v>
      </c>
      <c r="B11" s="25">
        <v>123.75</v>
      </c>
      <c r="C11" s="25">
        <v>125.52</v>
      </c>
      <c r="D11" s="25">
        <v>121.88</v>
      </c>
      <c r="E11" s="25">
        <v>123.38</v>
      </c>
      <c r="F11" s="25">
        <v>1240756.0</v>
      </c>
    </row>
    <row r="12">
      <c r="A12" s="25">
        <v>38369.645833333336</v>
      </c>
      <c r="B12" s="25">
        <v>123.88</v>
      </c>
      <c r="C12" s="25">
        <v>125.88</v>
      </c>
      <c r="D12" s="25">
        <v>120.95</v>
      </c>
      <c r="E12" s="25">
        <v>124.86</v>
      </c>
      <c r="F12" s="25">
        <v>1219275.0</v>
      </c>
    </row>
    <row r="13">
      <c r="A13" s="25">
        <v>38370.645833333336</v>
      </c>
      <c r="B13" s="25">
        <v>125.63</v>
      </c>
      <c r="C13" s="25">
        <v>126.25</v>
      </c>
      <c r="D13" s="25">
        <v>121.99</v>
      </c>
      <c r="E13" s="25">
        <v>122.84</v>
      </c>
      <c r="F13" s="25">
        <v>1177235.0</v>
      </c>
    </row>
    <row r="14">
      <c r="A14" s="25">
        <v>38371.645833333336</v>
      </c>
      <c r="B14" s="25">
        <v>122.2</v>
      </c>
      <c r="C14" s="25">
        <v>124.36</v>
      </c>
      <c r="D14" s="25">
        <v>121.96</v>
      </c>
      <c r="E14" s="25">
        <v>122.43</v>
      </c>
      <c r="F14" s="25">
        <v>752342.0</v>
      </c>
    </row>
    <row r="15">
      <c r="A15" s="25">
        <v>38372.645833333336</v>
      </c>
      <c r="B15" s="25">
        <v>122.0</v>
      </c>
      <c r="C15" s="25">
        <v>123.63</v>
      </c>
      <c r="D15" s="25">
        <v>120.13</v>
      </c>
      <c r="E15" s="25">
        <v>122.8</v>
      </c>
      <c r="F15" s="25">
        <v>1158695.0</v>
      </c>
    </row>
    <row r="16">
      <c r="A16" s="25">
        <v>38376.645833333336</v>
      </c>
      <c r="B16" s="25">
        <v>122.5</v>
      </c>
      <c r="C16" s="25">
        <v>122.81</v>
      </c>
      <c r="D16" s="25">
        <v>118.29</v>
      </c>
      <c r="E16" s="25">
        <v>119.09</v>
      </c>
      <c r="F16" s="25">
        <v>1166426.0</v>
      </c>
    </row>
    <row r="17">
      <c r="A17" s="25">
        <v>38377.645833333336</v>
      </c>
      <c r="B17" s="25">
        <v>119.31</v>
      </c>
      <c r="C17" s="25">
        <v>120.13</v>
      </c>
      <c r="D17" s="25">
        <v>117.63</v>
      </c>
      <c r="E17" s="25">
        <v>119.55</v>
      </c>
      <c r="F17" s="25">
        <v>1012566.0</v>
      </c>
    </row>
    <row r="18">
      <c r="A18" s="25">
        <v>38379.645833333336</v>
      </c>
      <c r="B18" s="25">
        <v>120.63</v>
      </c>
      <c r="C18" s="25">
        <v>122.78</v>
      </c>
      <c r="D18" s="25">
        <v>120.35</v>
      </c>
      <c r="E18" s="25">
        <v>122.01</v>
      </c>
      <c r="F18" s="25">
        <v>1229261.0</v>
      </c>
    </row>
    <row r="19">
      <c r="A19" s="25">
        <v>38380.645833333336</v>
      </c>
      <c r="B19" s="25">
        <v>122.5</v>
      </c>
      <c r="C19" s="25">
        <v>127.99</v>
      </c>
      <c r="D19" s="25">
        <v>121.58</v>
      </c>
      <c r="E19" s="25">
        <v>127.35</v>
      </c>
      <c r="F19" s="25">
        <v>1124972.0</v>
      </c>
    </row>
    <row r="20">
      <c r="A20" s="25">
        <v>38383.645833333336</v>
      </c>
      <c r="B20" s="25">
        <v>128.81</v>
      </c>
      <c r="C20" s="25">
        <v>131.11</v>
      </c>
      <c r="D20" s="25">
        <v>127.0</v>
      </c>
      <c r="E20" s="25">
        <v>129.29</v>
      </c>
      <c r="F20" s="25">
        <v>1491545.0</v>
      </c>
    </row>
    <row r="21">
      <c r="A21" s="25">
        <v>38384.645833333336</v>
      </c>
      <c r="B21" s="25">
        <v>129.38</v>
      </c>
      <c r="C21" s="25">
        <v>130.88</v>
      </c>
      <c r="D21" s="25">
        <v>128.44</v>
      </c>
      <c r="E21" s="25">
        <v>128.86</v>
      </c>
      <c r="F21" s="25">
        <v>1385412.0</v>
      </c>
    </row>
    <row r="22">
      <c r="A22" s="25">
        <v>38385.645833333336</v>
      </c>
      <c r="B22" s="25">
        <v>129.56</v>
      </c>
      <c r="C22" s="25">
        <v>131.81</v>
      </c>
      <c r="D22" s="25">
        <v>129.0</v>
      </c>
      <c r="E22" s="25">
        <v>129.49</v>
      </c>
      <c r="F22" s="25">
        <v>808641.0</v>
      </c>
    </row>
    <row r="23">
      <c r="A23" s="25">
        <v>38386.645833333336</v>
      </c>
      <c r="B23" s="25">
        <v>129.38</v>
      </c>
      <c r="C23" s="25">
        <v>131.88</v>
      </c>
      <c r="D23" s="25">
        <v>128.89</v>
      </c>
      <c r="E23" s="25">
        <v>131.33</v>
      </c>
      <c r="F23" s="25">
        <v>925842.0</v>
      </c>
    </row>
    <row r="24">
      <c r="A24" s="25">
        <v>38387.645833333336</v>
      </c>
      <c r="B24" s="25">
        <v>132.19</v>
      </c>
      <c r="C24" s="25">
        <v>132.49</v>
      </c>
      <c r="D24" s="25">
        <v>129.84</v>
      </c>
      <c r="E24" s="25">
        <v>130.34</v>
      </c>
      <c r="F24" s="25">
        <v>598786.0</v>
      </c>
    </row>
    <row r="25">
      <c r="A25" s="25">
        <v>38390.645833333336</v>
      </c>
      <c r="B25" s="25">
        <v>130.0</v>
      </c>
      <c r="C25" s="25">
        <v>131.56</v>
      </c>
      <c r="D25" s="25">
        <v>126.25</v>
      </c>
      <c r="E25" s="25">
        <v>126.87</v>
      </c>
      <c r="F25" s="25">
        <v>1943090.0</v>
      </c>
    </row>
    <row r="26">
      <c r="A26" s="25">
        <v>38391.645833333336</v>
      </c>
      <c r="B26" s="25">
        <v>128.75</v>
      </c>
      <c r="C26" s="25">
        <v>128.75</v>
      </c>
      <c r="D26" s="25">
        <v>126.56</v>
      </c>
      <c r="E26" s="25">
        <v>127.73</v>
      </c>
      <c r="F26" s="25">
        <v>1085279.0</v>
      </c>
    </row>
    <row r="27">
      <c r="A27" s="25">
        <v>38392.645833333336</v>
      </c>
      <c r="B27" s="25">
        <v>128.13</v>
      </c>
      <c r="C27" s="25">
        <v>129.03</v>
      </c>
      <c r="D27" s="25">
        <v>127.38</v>
      </c>
      <c r="E27" s="25">
        <v>127.81</v>
      </c>
      <c r="F27" s="25">
        <v>517138.0</v>
      </c>
    </row>
    <row r="28">
      <c r="A28" s="25">
        <v>38393.645833333336</v>
      </c>
      <c r="B28" s="25">
        <v>128.44</v>
      </c>
      <c r="C28" s="25">
        <v>128.44</v>
      </c>
      <c r="D28" s="25">
        <v>126.6</v>
      </c>
      <c r="E28" s="25">
        <v>127.78</v>
      </c>
      <c r="F28" s="25">
        <v>464726.0</v>
      </c>
    </row>
    <row r="29">
      <c r="A29" s="25">
        <v>38394.645833333336</v>
      </c>
      <c r="B29" s="25">
        <v>129.38</v>
      </c>
      <c r="C29" s="25">
        <v>131.73</v>
      </c>
      <c r="D29" s="25">
        <v>129.38</v>
      </c>
      <c r="E29" s="25">
        <v>131.48</v>
      </c>
      <c r="F29" s="25">
        <v>1157691.0</v>
      </c>
    </row>
    <row r="30">
      <c r="A30" s="25">
        <v>38397.645833333336</v>
      </c>
      <c r="B30" s="25">
        <v>132.5</v>
      </c>
      <c r="C30" s="25">
        <v>136.23</v>
      </c>
      <c r="D30" s="25">
        <v>132.5</v>
      </c>
      <c r="E30" s="25">
        <v>135.6</v>
      </c>
      <c r="F30" s="25">
        <v>1315304.0</v>
      </c>
    </row>
    <row r="31">
      <c r="A31" s="25">
        <v>38398.645833333336</v>
      </c>
      <c r="B31" s="25">
        <v>135.63</v>
      </c>
      <c r="C31" s="25">
        <v>136.75</v>
      </c>
      <c r="D31" s="25">
        <v>134.06</v>
      </c>
      <c r="E31" s="25">
        <v>136.37</v>
      </c>
      <c r="F31" s="25">
        <v>971239.0</v>
      </c>
    </row>
    <row r="32">
      <c r="A32" s="25">
        <v>38399.645833333336</v>
      </c>
      <c r="B32" s="25">
        <v>136.5</v>
      </c>
      <c r="C32" s="25">
        <v>137.84</v>
      </c>
      <c r="D32" s="25">
        <v>135.63</v>
      </c>
      <c r="E32" s="25">
        <v>136.48</v>
      </c>
      <c r="F32" s="25">
        <v>1047327.0</v>
      </c>
    </row>
    <row r="33">
      <c r="A33" s="25">
        <v>38400.645833333336</v>
      </c>
      <c r="B33" s="25">
        <v>135.63</v>
      </c>
      <c r="C33" s="25">
        <v>136.24</v>
      </c>
      <c r="D33" s="25">
        <v>133.45</v>
      </c>
      <c r="E33" s="25">
        <v>135.87</v>
      </c>
      <c r="F33" s="25">
        <v>1095545.0</v>
      </c>
    </row>
    <row r="34">
      <c r="A34" s="25">
        <v>38401.645833333336</v>
      </c>
      <c r="B34" s="25">
        <v>135.63</v>
      </c>
      <c r="C34" s="25">
        <v>136.48</v>
      </c>
      <c r="D34" s="25">
        <v>131.31</v>
      </c>
      <c r="E34" s="25">
        <v>135.29</v>
      </c>
      <c r="F34" s="25">
        <v>404461.0</v>
      </c>
    </row>
    <row r="35">
      <c r="A35" s="25">
        <v>38404.645833333336</v>
      </c>
      <c r="B35" s="25">
        <v>135.13</v>
      </c>
      <c r="C35" s="25">
        <v>135.31</v>
      </c>
      <c r="D35" s="25">
        <v>133.13</v>
      </c>
      <c r="E35" s="25">
        <v>133.99</v>
      </c>
      <c r="F35" s="25">
        <v>500467.0</v>
      </c>
    </row>
    <row r="36">
      <c r="A36" s="25">
        <v>38405.645833333336</v>
      </c>
      <c r="B36" s="25">
        <v>134.31</v>
      </c>
      <c r="C36" s="25">
        <v>135.94</v>
      </c>
      <c r="D36" s="25">
        <v>131.48</v>
      </c>
      <c r="E36" s="25">
        <v>135.06</v>
      </c>
      <c r="F36" s="25">
        <v>514552.0</v>
      </c>
    </row>
    <row r="37">
      <c r="A37" s="25">
        <v>38406.645833333336</v>
      </c>
      <c r="B37" s="25">
        <v>134.54</v>
      </c>
      <c r="C37" s="25">
        <v>134.69</v>
      </c>
      <c r="D37" s="25">
        <v>133.44</v>
      </c>
      <c r="E37" s="25">
        <v>133.79</v>
      </c>
      <c r="F37" s="25">
        <v>476471.0</v>
      </c>
    </row>
    <row r="38">
      <c r="A38" s="25">
        <v>38407.645833333336</v>
      </c>
      <c r="B38" s="25">
        <v>134.06</v>
      </c>
      <c r="C38" s="25">
        <v>135.94</v>
      </c>
      <c r="D38" s="25">
        <v>133.75</v>
      </c>
      <c r="E38" s="25">
        <v>135.27</v>
      </c>
      <c r="F38" s="25">
        <v>841927.0</v>
      </c>
    </row>
    <row r="39">
      <c r="A39" s="25">
        <v>38408.645833333336</v>
      </c>
      <c r="B39" s="25">
        <v>134.71</v>
      </c>
      <c r="C39" s="25">
        <v>136.63</v>
      </c>
      <c r="D39" s="25">
        <v>134.71</v>
      </c>
      <c r="E39" s="25">
        <v>136.22</v>
      </c>
      <c r="F39" s="25">
        <v>659015.0</v>
      </c>
    </row>
    <row r="40">
      <c r="A40" s="25">
        <v>38411.645833333336</v>
      </c>
      <c r="B40" s="25">
        <v>138.06</v>
      </c>
      <c r="C40" s="25">
        <v>140.5</v>
      </c>
      <c r="D40" s="25">
        <v>134.57</v>
      </c>
      <c r="E40" s="25">
        <v>140.01</v>
      </c>
      <c r="F40" s="25">
        <v>1092410.0</v>
      </c>
    </row>
    <row r="41">
      <c r="A41" s="25">
        <v>38412.645833333336</v>
      </c>
      <c r="B41" s="25">
        <v>140.0</v>
      </c>
      <c r="C41" s="25">
        <v>140.0</v>
      </c>
      <c r="D41" s="25">
        <v>135.94</v>
      </c>
      <c r="E41" s="25">
        <v>136.33</v>
      </c>
      <c r="F41" s="25">
        <v>735018.0</v>
      </c>
    </row>
    <row r="42">
      <c r="A42" s="25">
        <v>38413.645833333336</v>
      </c>
      <c r="B42" s="25">
        <v>136.38</v>
      </c>
      <c r="C42" s="25">
        <v>137.81</v>
      </c>
      <c r="D42" s="25">
        <v>134.38</v>
      </c>
      <c r="E42" s="25">
        <v>136.69</v>
      </c>
      <c r="F42" s="25">
        <v>942219.0</v>
      </c>
    </row>
    <row r="43">
      <c r="A43" s="25">
        <v>38414.645833333336</v>
      </c>
      <c r="B43" s="25">
        <v>136.31</v>
      </c>
      <c r="C43" s="25">
        <v>139.19</v>
      </c>
      <c r="D43" s="25">
        <v>136.31</v>
      </c>
      <c r="E43" s="25">
        <v>138.4</v>
      </c>
      <c r="F43" s="25">
        <v>936420.0</v>
      </c>
    </row>
    <row r="44">
      <c r="A44" s="25">
        <v>38415.645833333336</v>
      </c>
      <c r="B44" s="25">
        <v>138.45</v>
      </c>
      <c r="C44" s="25">
        <v>140.61</v>
      </c>
      <c r="D44" s="25">
        <v>138.44</v>
      </c>
      <c r="E44" s="25">
        <v>139.64</v>
      </c>
      <c r="F44" s="25">
        <v>781056.0</v>
      </c>
    </row>
    <row r="45">
      <c r="A45" s="25">
        <v>38418.645833333336</v>
      </c>
      <c r="B45" s="25">
        <v>139.69</v>
      </c>
      <c r="C45" s="25">
        <v>141.38</v>
      </c>
      <c r="D45" s="25">
        <v>138.91</v>
      </c>
      <c r="E45" s="25">
        <v>140.76</v>
      </c>
      <c r="F45" s="25">
        <v>765755.0</v>
      </c>
    </row>
    <row r="46">
      <c r="A46" s="25">
        <v>38419.645833333336</v>
      </c>
      <c r="B46" s="25">
        <v>140.63</v>
      </c>
      <c r="C46" s="25">
        <v>142.67</v>
      </c>
      <c r="D46" s="25">
        <v>140.0</v>
      </c>
      <c r="E46" s="25">
        <v>141.51</v>
      </c>
      <c r="F46" s="25">
        <v>672332.0</v>
      </c>
    </row>
    <row r="47">
      <c r="A47" s="25">
        <v>38420.645833333336</v>
      </c>
      <c r="B47" s="25">
        <v>140.63</v>
      </c>
      <c r="C47" s="25">
        <v>142.05</v>
      </c>
      <c r="D47" s="25">
        <v>139.14</v>
      </c>
      <c r="E47" s="25">
        <v>140.74</v>
      </c>
      <c r="F47" s="25">
        <v>541886.0</v>
      </c>
    </row>
    <row r="48">
      <c r="A48" s="25">
        <v>38421.645833333336</v>
      </c>
      <c r="B48" s="25">
        <v>140.63</v>
      </c>
      <c r="C48" s="25">
        <v>140.63</v>
      </c>
      <c r="D48" s="25">
        <v>137.19</v>
      </c>
      <c r="E48" s="25">
        <v>139.5</v>
      </c>
      <c r="F48" s="25">
        <v>829120.0</v>
      </c>
    </row>
    <row r="49">
      <c r="A49" s="25">
        <v>38422.645833333336</v>
      </c>
      <c r="B49" s="25">
        <v>140.0</v>
      </c>
      <c r="C49" s="25">
        <v>140.63</v>
      </c>
      <c r="D49" s="25">
        <v>137.83</v>
      </c>
      <c r="E49" s="25">
        <v>138.42</v>
      </c>
      <c r="F49" s="25">
        <v>620165.0</v>
      </c>
    </row>
    <row r="50">
      <c r="A50" s="25">
        <v>38425.645833333336</v>
      </c>
      <c r="B50" s="25">
        <v>138.13</v>
      </c>
      <c r="C50" s="25">
        <v>140.06</v>
      </c>
      <c r="D50" s="25">
        <v>136.88</v>
      </c>
      <c r="E50" s="25">
        <v>139.13</v>
      </c>
      <c r="F50" s="25">
        <v>657213.0</v>
      </c>
    </row>
    <row r="51">
      <c r="A51" s="25">
        <v>38426.645833333336</v>
      </c>
      <c r="B51" s="25">
        <v>137.5</v>
      </c>
      <c r="C51" s="25">
        <v>139.36</v>
      </c>
      <c r="D51" s="25">
        <v>135.0</v>
      </c>
      <c r="E51" s="25">
        <v>138.18</v>
      </c>
      <c r="F51" s="25">
        <v>391768.0</v>
      </c>
    </row>
    <row r="52">
      <c r="A52" s="25">
        <v>38427.645833333336</v>
      </c>
      <c r="B52" s="25">
        <v>137.25</v>
      </c>
      <c r="C52" s="25">
        <v>139.04</v>
      </c>
      <c r="D52" s="25">
        <v>136.63</v>
      </c>
      <c r="E52" s="25">
        <v>137.07</v>
      </c>
      <c r="F52" s="25">
        <v>668346.0</v>
      </c>
    </row>
    <row r="53">
      <c r="A53" s="25">
        <v>38428.645833333336</v>
      </c>
      <c r="B53" s="25">
        <v>137.19</v>
      </c>
      <c r="C53" s="25">
        <v>137.75</v>
      </c>
      <c r="D53" s="25">
        <v>135.69</v>
      </c>
      <c r="E53" s="25">
        <v>136.32</v>
      </c>
      <c r="F53" s="25">
        <v>513507.0</v>
      </c>
    </row>
    <row r="54">
      <c r="A54" s="25">
        <v>38429.645833333336</v>
      </c>
      <c r="B54" s="25">
        <v>136.54</v>
      </c>
      <c r="C54" s="25">
        <v>137.81</v>
      </c>
      <c r="D54" s="25">
        <v>134.06</v>
      </c>
      <c r="E54" s="25">
        <v>137.5</v>
      </c>
      <c r="F54" s="25">
        <v>966091.0</v>
      </c>
    </row>
    <row r="55">
      <c r="A55" s="25">
        <v>38432.645833333336</v>
      </c>
      <c r="B55" s="25">
        <v>138.06</v>
      </c>
      <c r="C55" s="25">
        <v>140.55</v>
      </c>
      <c r="D55" s="25">
        <v>137.19</v>
      </c>
      <c r="E55" s="25">
        <v>139.78</v>
      </c>
      <c r="F55" s="25">
        <v>927593.0</v>
      </c>
    </row>
    <row r="56">
      <c r="A56" s="25">
        <v>38433.645833333336</v>
      </c>
      <c r="B56" s="25">
        <v>141.19</v>
      </c>
      <c r="C56" s="25">
        <v>141.25</v>
      </c>
      <c r="D56" s="25">
        <v>137.5</v>
      </c>
      <c r="E56" s="25">
        <v>138.98</v>
      </c>
      <c r="F56" s="25">
        <v>836551.0</v>
      </c>
    </row>
    <row r="57">
      <c r="A57" s="25">
        <v>38434.645833333336</v>
      </c>
      <c r="B57" s="25">
        <v>138.59</v>
      </c>
      <c r="C57" s="25">
        <v>138.99</v>
      </c>
      <c r="D57" s="25">
        <v>134.46</v>
      </c>
      <c r="E57" s="25">
        <v>135.15</v>
      </c>
      <c r="F57" s="25">
        <v>749135.0</v>
      </c>
    </row>
    <row r="58">
      <c r="A58" s="25">
        <v>38435.645833333336</v>
      </c>
      <c r="B58" s="25">
        <v>135.63</v>
      </c>
      <c r="C58" s="25">
        <v>136.78</v>
      </c>
      <c r="D58" s="25">
        <v>134.38</v>
      </c>
      <c r="E58" s="25">
        <v>134.94</v>
      </c>
      <c r="F58" s="25">
        <v>785921.0</v>
      </c>
    </row>
    <row r="59">
      <c r="A59" s="25">
        <v>38439.645833333336</v>
      </c>
      <c r="B59" s="25">
        <v>135.94</v>
      </c>
      <c r="C59" s="25">
        <v>138.56</v>
      </c>
      <c r="D59" s="25">
        <v>135.44</v>
      </c>
      <c r="E59" s="25">
        <v>136.63</v>
      </c>
      <c r="F59" s="25">
        <v>625894.0</v>
      </c>
    </row>
    <row r="60">
      <c r="A60" s="25">
        <v>38440.645833333336</v>
      </c>
      <c r="B60" s="25">
        <v>136.75</v>
      </c>
      <c r="C60" s="25">
        <v>136.75</v>
      </c>
      <c r="D60" s="25">
        <v>134.38</v>
      </c>
      <c r="E60" s="25">
        <v>135.41</v>
      </c>
      <c r="F60" s="25">
        <v>526226.0</v>
      </c>
    </row>
    <row r="61">
      <c r="A61" s="25">
        <v>38441.645833333336</v>
      </c>
      <c r="B61" s="25">
        <v>134.69</v>
      </c>
      <c r="C61" s="25">
        <v>136.88</v>
      </c>
      <c r="D61" s="25">
        <v>133.88</v>
      </c>
      <c r="E61" s="25">
        <v>135.64</v>
      </c>
      <c r="F61" s="25">
        <v>608331.0</v>
      </c>
    </row>
    <row r="62">
      <c r="A62" s="25">
        <v>38442.645833333336</v>
      </c>
      <c r="B62" s="25">
        <v>139.04</v>
      </c>
      <c r="C62" s="25">
        <v>144.69</v>
      </c>
      <c r="D62" s="25">
        <v>136.76</v>
      </c>
      <c r="E62" s="25">
        <v>141.07</v>
      </c>
      <c r="F62" s="25">
        <v>1120777.0</v>
      </c>
    </row>
    <row r="63">
      <c r="A63" s="25">
        <v>38443.645833333336</v>
      </c>
      <c r="B63" s="25">
        <v>141.24</v>
      </c>
      <c r="C63" s="25">
        <v>141.24</v>
      </c>
      <c r="D63" s="25">
        <v>138.27</v>
      </c>
      <c r="E63" s="25">
        <v>139.74</v>
      </c>
      <c r="F63" s="25">
        <v>857932.0</v>
      </c>
    </row>
    <row r="64">
      <c r="A64" s="25">
        <v>38446.645833333336</v>
      </c>
      <c r="B64" s="25">
        <v>139.81</v>
      </c>
      <c r="C64" s="25">
        <v>141.06</v>
      </c>
      <c r="D64" s="25">
        <v>138.53</v>
      </c>
      <c r="E64" s="25">
        <v>139.29</v>
      </c>
      <c r="F64" s="25">
        <v>807511.0</v>
      </c>
    </row>
    <row r="65">
      <c r="A65" s="25">
        <v>38447.645833333336</v>
      </c>
      <c r="B65" s="25">
        <v>140.63</v>
      </c>
      <c r="C65" s="25">
        <v>151.43</v>
      </c>
      <c r="D65" s="25">
        <v>138.31</v>
      </c>
      <c r="E65" s="25">
        <v>138.84</v>
      </c>
      <c r="F65" s="25">
        <v>488134.0</v>
      </c>
    </row>
    <row r="66">
      <c r="A66" s="25">
        <v>38448.645833333336</v>
      </c>
      <c r="B66" s="25">
        <v>139.06</v>
      </c>
      <c r="C66" s="25">
        <v>140.0</v>
      </c>
      <c r="D66" s="25">
        <v>138.19</v>
      </c>
      <c r="E66" s="25">
        <v>139.77</v>
      </c>
      <c r="F66" s="25">
        <v>581060.0</v>
      </c>
    </row>
    <row r="67">
      <c r="A67" s="25">
        <v>38449.645833333336</v>
      </c>
      <c r="B67" s="25">
        <v>139.25</v>
      </c>
      <c r="C67" s="25">
        <v>140.29</v>
      </c>
      <c r="D67" s="25">
        <v>135.97</v>
      </c>
      <c r="E67" s="25">
        <v>136.77</v>
      </c>
      <c r="F67" s="25">
        <v>689221.0</v>
      </c>
    </row>
    <row r="68">
      <c r="A68" s="25">
        <v>38450.645833333336</v>
      </c>
      <c r="B68" s="25">
        <v>135.97</v>
      </c>
      <c r="C68" s="25">
        <v>136.25</v>
      </c>
      <c r="D68" s="25">
        <v>132.38</v>
      </c>
      <c r="E68" s="25">
        <v>132.99</v>
      </c>
      <c r="F68" s="25">
        <v>1229483.0</v>
      </c>
    </row>
    <row r="69">
      <c r="A69" s="25">
        <v>38453.645833333336</v>
      </c>
      <c r="B69" s="25">
        <v>133.0</v>
      </c>
      <c r="C69" s="25">
        <v>133.0</v>
      </c>
      <c r="D69" s="25">
        <v>129.39</v>
      </c>
      <c r="E69" s="25">
        <v>129.86</v>
      </c>
      <c r="F69" s="25">
        <v>747290.0</v>
      </c>
    </row>
    <row r="70">
      <c r="A70" s="25">
        <v>38454.645833333336</v>
      </c>
      <c r="B70" s="25">
        <v>124.0</v>
      </c>
      <c r="C70" s="25">
        <v>133.13</v>
      </c>
      <c r="D70" s="25">
        <v>124.0</v>
      </c>
      <c r="E70" s="25">
        <v>132.35</v>
      </c>
      <c r="F70" s="25">
        <v>1077898.0</v>
      </c>
    </row>
    <row r="71">
      <c r="A71" s="25">
        <v>38455.645833333336</v>
      </c>
      <c r="B71" s="25">
        <v>133.75</v>
      </c>
      <c r="C71" s="25">
        <v>133.75</v>
      </c>
      <c r="D71" s="25">
        <v>130.45</v>
      </c>
      <c r="E71" s="25">
        <v>131.34</v>
      </c>
      <c r="F71" s="25">
        <v>1189436.0</v>
      </c>
    </row>
    <row r="72">
      <c r="A72" s="25">
        <v>38457.645833333336</v>
      </c>
      <c r="B72" s="25">
        <v>128.13</v>
      </c>
      <c r="C72" s="25">
        <v>128.13</v>
      </c>
      <c r="D72" s="25">
        <v>120.94</v>
      </c>
      <c r="E72" s="25">
        <v>122.32</v>
      </c>
      <c r="F72" s="25">
        <v>2182500.0</v>
      </c>
    </row>
    <row r="73">
      <c r="A73" s="25">
        <v>38460.645833333336</v>
      </c>
      <c r="B73" s="25">
        <v>121.88</v>
      </c>
      <c r="C73" s="25">
        <v>121.88</v>
      </c>
      <c r="D73" s="25">
        <v>118.75</v>
      </c>
      <c r="E73" s="25">
        <v>119.62</v>
      </c>
      <c r="F73" s="25">
        <v>1685205.0</v>
      </c>
    </row>
    <row r="74">
      <c r="A74" s="25">
        <v>38461.645833333336</v>
      </c>
      <c r="B74" s="25">
        <v>120.88</v>
      </c>
      <c r="C74" s="25">
        <v>123.42</v>
      </c>
      <c r="D74" s="25">
        <v>118.75</v>
      </c>
      <c r="E74" s="25">
        <v>119.54</v>
      </c>
      <c r="F74" s="25">
        <v>1534425.0</v>
      </c>
    </row>
    <row r="75">
      <c r="A75" s="25">
        <v>38462.645833333336</v>
      </c>
      <c r="B75" s="25">
        <v>121.88</v>
      </c>
      <c r="C75" s="25">
        <v>122.48</v>
      </c>
      <c r="D75" s="25">
        <v>118.33</v>
      </c>
      <c r="E75" s="25">
        <v>121.75</v>
      </c>
      <c r="F75" s="25">
        <v>1670393.0</v>
      </c>
    </row>
    <row r="76">
      <c r="A76" s="25">
        <v>38463.645833333336</v>
      </c>
      <c r="B76" s="25">
        <v>121.25</v>
      </c>
      <c r="C76" s="25">
        <v>121.88</v>
      </c>
      <c r="D76" s="25">
        <v>118.94</v>
      </c>
      <c r="E76" s="25">
        <v>121.55</v>
      </c>
      <c r="F76" s="25">
        <v>1334519.0</v>
      </c>
    </row>
    <row r="77">
      <c r="A77" s="25">
        <v>38464.645833333336</v>
      </c>
      <c r="B77" s="25">
        <v>123.75</v>
      </c>
      <c r="C77" s="25">
        <v>125.5</v>
      </c>
      <c r="D77" s="25">
        <v>121.74</v>
      </c>
      <c r="E77" s="25">
        <v>124.95</v>
      </c>
      <c r="F77" s="25">
        <v>1531323.0</v>
      </c>
    </row>
    <row r="78">
      <c r="A78" s="25">
        <v>38467.645833333336</v>
      </c>
      <c r="B78" s="25">
        <v>126.13</v>
      </c>
      <c r="C78" s="25">
        <v>126.13</v>
      </c>
      <c r="D78" s="25">
        <v>123.44</v>
      </c>
      <c r="E78" s="25">
        <v>124.28</v>
      </c>
      <c r="F78" s="25">
        <v>853123.0</v>
      </c>
    </row>
    <row r="79">
      <c r="A79" s="25">
        <v>38468.645833333336</v>
      </c>
      <c r="B79" s="25">
        <v>123.69</v>
      </c>
      <c r="C79" s="25">
        <v>123.73</v>
      </c>
      <c r="D79" s="25">
        <v>122.03</v>
      </c>
      <c r="E79" s="25">
        <v>122.41</v>
      </c>
      <c r="F79" s="25">
        <v>569124.0</v>
      </c>
    </row>
    <row r="80">
      <c r="A80" s="25">
        <v>38469.645833333336</v>
      </c>
      <c r="B80" s="25">
        <v>119.69</v>
      </c>
      <c r="C80" s="25">
        <v>120.94</v>
      </c>
      <c r="D80" s="25">
        <v>117.38</v>
      </c>
      <c r="E80" s="25">
        <v>119.63</v>
      </c>
      <c r="F80" s="25">
        <v>2027164.0</v>
      </c>
    </row>
    <row r="81">
      <c r="A81" s="25">
        <v>38470.645833333336</v>
      </c>
      <c r="B81" s="25">
        <v>119.38</v>
      </c>
      <c r="C81" s="25">
        <v>119.69</v>
      </c>
      <c r="D81" s="25">
        <v>118.13</v>
      </c>
      <c r="E81" s="25">
        <v>119.1</v>
      </c>
      <c r="F81" s="25">
        <v>1382335.0</v>
      </c>
    </row>
    <row r="82">
      <c r="A82" s="25">
        <v>38471.645833333336</v>
      </c>
      <c r="B82" s="25">
        <v>119.94</v>
      </c>
      <c r="C82" s="25">
        <v>119.94</v>
      </c>
      <c r="D82" s="25">
        <v>117.28</v>
      </c>
      <c r="E82" s="25">
        <v>117.93</v>
      </c>
      <c r="F82" s="25">
        <v>862568.0</v>
      </c>
    </row>
    <row r="83">
      <c r="A83" s="25">
        <v>38474.645833333336</v>
      </c>
      <c r="B83" s="25">
        <v>118.56</v>
      </c>
      <c r="C83" s="25">
        <v>124.09</v>
      </c>
      <c r="D83" s="25">
        <v>118.56</v>
      </c>
      <c r="E83" s="25">
        <v>119.7</v>
      </c>
      <c r="F83" s="25">
        <v>690525.0</v>
      </c>
    </row>
    <row r="84">
      <c r="A84" s="25">
        <v>38475.645833333336</v>
      </c>
      <c r="B84" s="25">
        <v>120.31</v>
      </c>
      <c r="C84" s="25">
        <v>120.31</v>
      </c>
      <c r="D84" s="25">
        <v>118.75</v>
      </c>
      <c r="E84" s="25">
        <v>118.84</v>
      </c>
      <c r="F84" s="25">
        <v>654224.0</v>
      </c>
    </row>
    <row r="85">
      <c r="A85" s="25">
        <v>38476.645833333336</v>
      </c>
      <c r="B85" s="25">
        <v>118.75</v>
      </c>
      <c r="C85" s="25">
        <v>121.69</v>
      </c>
      <c r="D85" s="25">
        <v>118.75</v>
      </c>
      <c r="E85" s="25">
        <v>121.1</v>
      </c>
      <c r="F85" s="25">
        <v>710444.0</v>
      </c>
    </row>
    <row r="86">
      <c r="A86" s="25">
        <v>38477.645833333336</v>
      </c>
      <c r="B86" s="25">
        <v>123.13</v>
      </c>
      <c r="C86" s="25">
        <v>125.44</v>
      </c>
      <c r="D86" s="25">
        <v>121.95</v>
      </c>
      <c r="E86" s="25">
        <v>124.7</v>
      </c>
      <c r="F86" s="25">
        <v>1597625.0</v>
      </c>
    </row>
    <row r="87">
      <c r="A87" s="25">
        <v>38478.645833333336</v>
      </c>
      <c r="B87" s="25">
        <v>125.19</v>
      </c>
      <c r="C87" s="25">
        <v>126.88</v>
      </c>
      <c r="D87" s="25">
        <v>124.81</v>
      </c>
      <c r="E87" s="25">
        <v>126.35</v>
      </c>
      <c r="F87" s="25">
        <v>984132.0</v>
      </c>
    </row>
    <row r="88">
      <c r="A88" s="25">
        <v>38481.645833333336</v>
      </c>
      <c r="B88" s="25">
        <v>127.44</v>
      </c>
      <c r="C88" s="25">
        <v>131.47</v>
      </c>
      <c r="D88" s="25">
        <v>127.44</v>
      </c>
      <c r="E88" s="25">
        <v>131.04</v>
      </c>
      <c r="F88" s="25">
        <v>1229618.0</v>
      </c>
    </row>
    <row r="89">
      <c r="A89" s="25">
        <v>38482.645833333336</v>
      </c>
      <c r="B89" s="25">
        <v>131.25</v>
      </c>
      <c r="C89" s="25">
        <v>132.44</v>
      </c>
      <c r="D89" s="25">
        <v>128.13</v>
      </c>
      <c r="E89" s="25">
        <v>128.7</v>
      </c>
      <c r="F89" s="25">
        <v>1140931.0</v>
      </c>
    </row>
    <row r="90">
      <c r="A90" s="25">
        <v>38483.645833333336</v>
      </c>
      <c r="B90" s="25">
        <v>124.69</v>
      </c>
      <c r="C90" s="25">
        <v>130.0</v>
      </c>
      <c r="D90" s="25">
        <v>124.69</v>
      </c>
      <c r="E90" s="25">
        <v>129.12</v>
      </c>
      <c r="F90" s="25">
        <v>1005510.0</v>
      </c>
    </row>
    <row r="91">
      <c r="A91" s="25">
        <v>38484.645833333336</v>
      </c>
      <c r="B91" s="25">
        <v>128.92</v>
      </c>
      <c r="C91" s="25">
        <v>129.13</v>
      </c>
      <c r="D91" s="25">
        <v>127.56</v>
      </c>
      <c r="E91" s="25">
        <v>128.82</v>
      </c>
      <c r="F91" s="25">
        <v>720509.0</v>
      </c>
    </row>
    <row r="92">
      <c r="A92" s="25">
        <v>38485.645833333336</v>
      </c>
      <c r="B92" s="25">
        <v>128.13</v>
      </c>
      <c r="C92" s="25">
        <v>128.13</v>
      </c>
      <c r="D92" s="25">
        <v>126.28</v>
      </c>
      <c r="E92" s="25">
        <v>127.06</v>
      </c>
      <c r="F92" s="25">
        <v>1087895.0</v>
      </c>
    </row>
    <row r="93">
      <c r="A93" s="25">
        <v>38488.645833333336</v>
      </c>
      <c r="B93" s="25">
        <v>127.5</v>
      </c>
      <c r="C93" s="25">
        <v>130.31</v>
      </c>
      <c r="D93" s="25">
        <v>127.5</v>
      </c>
      <c r="E93" s="25">
        <v>129.87</v>
      </c>
      <c r="F93" s="25">
        <v>1016669.0</v>
      </c>
    </row>
    <row r="94">
      <c r="A94" s="25">
        <v>38489.645833333336</v>
      </c>
      <c r="B94" s="25">
        <v>130.25</v>
      </c>
      <c r="C94" s="25">
        <v>132.25</v>
      </c>
      <c r="D94" s="25">
        <v>128.48</v>
      </c>
      <c r="E94" s="25">
        <v>129.0</v>
      </c>
      <c r="F94" s="25">
        <v>1316706.0</v>
      </c>
    </row>
    <row r="95">
      <c r="A95" s="25">
        <v>38490.645833333336</v>
      </c>
      <c r="B95" s="25">
        <v>128.75</v>
      </c>
      <c r="C95" s="25">
        <v>128.87</v>
      </c>
      <c r="D95" s="25">
        <v>124.57</v>
      </c>
      <c r="E95" s="25">
        <v>127.64</v>
      </c>
      <c r="F95" s="25">
        <v>1385709.0</v>
      </c>
    </row>
    <row r="96">
      <c r="A96" s="25">
        <v>38491.645833333336</v>
      </c>
      <c r="B96" s="25">
        <v>129.06</v>
      </c>
      <c r="C96" s="25">
        <v>131.88</v>
      </c>
      <c r="D96" s="25">
        <v>129.06</v>
      </c>
      <c r="E96" s="25">
        <v>131.05</v>
      </c>
      <c r="F96" s="25">
        <v>1051705.0</v>
      </c>
    </row>
    <row r="97">
      <c r="A97" s="25">
        <v>38492.645833333336</v>
      </c>
      <c r="B97" s="25">
        <v>132.13</v>
      </c>
      <c r="C97" s="25">
        <v>134.38</v>
      </c>
      <c r="D97" s="25">
        <v>129.63</v>
      </c>
      <c r="E97" s="25">
        <v>133.78</v>
      </c>
      <c r="F97" s="25">
        <v>959660.0</v>
      </c>
    </row>
    <row r="98">
      <c r="A98" s="25">
        <v>38495.645833333336</v>
      </c>
      <c r="B98" s="25">
        <v>134.25</v>
      </c>
      <c r="C98" s="25">
        <v>134.25</v>
      </c>
      <c r="D98" s="25">
        <v>132.27</v>
      </c>
      <c r="E98" s="25">
        <v>133.41</v>
      </c>
      <c r="F98" s="25">
        <v>362733.0</v>
      </c>
    </row>
    <row r="99">
      <c r="A99" s="25">
        <v>38496.645833333336</v>
      </c>
      <c r="B99" s="25">
        <v>135.13</v>
      </c>
      <c r="C99" s="25">
        <v>135.85</v>
      </c>
      <c r="D99" s="25">
        <v>133.66</v>
      </c>
      <c r="E99" s="25">
        <v>134.72</v>
      </c>
      <c r="F99" s="25">
        <v>893314.0</v>
      </c>
    </row>
    <row r="100">
      <c r="A100" s="25">
        <v>38497.645833333336</v>
      </c>
      <c r="B100" s="25">
        <v>133.19</v>
      </c>
      <c r="C100" s="25">
        <v>137.5</v>
      </c>
      <c r="D100" s="25">
        <v>131.95</v>
      </c>
      <c r="E100" s="25">
        <v>135.7</v>
      </c>
      <c r="F100" s="25">
        <v>1635341.0</v>
      </c>
    </row>
    <row r="101">
      <c r="A101" s="25">
        <v>38498.645833333336</v>
      </c>
      <c r="B101" s="25">
        <v>135.32</v>
      </c>
      <c r="C101" s="25">
        <v>139.25</v>
      </c>
      <c r="D101" s="25">
        <v>135.32</v>
      </c>
      <c r="E101" s="25">
        <v>137.82</v>
      </c>
      <c r="F101" s="25">
        <v>2035637.0</v>
      </c>
    </row>
    <row r="102">
      <c r="A102" s="25">
        <v>38499.645833333336</v>
      </c>
      <c r="B102" s="25">
        <v>134.06</v>
      </c>
      <c r="C102" s="25">
        <v>141.53</v>
      </c>
      <c r="D102" s="25">
        <v>134.06</v>
      </c>
      <c r="E102" s="25">
        <v>139.52</v>
      </c>
      <c r="F102" s="25">
        <v>1336273.0</v>
      </c>
    </row>
    <row r="103">
      <c r="A103" s="25">
        <v>38502.645833333336</v>
      </c>
      <c r="B103" s="25">
        <v>137.26</v>
      </c>
      <c r="C103" s="25">
        <v>140.06</v>
      </c>
      <c r="D103" s="25">
        <v>136.91</v>
      </c>
      <c r="E103" s="25">
        <v>139.25</v>
      </c>
      <c r="F103" s="25">
        <v>885674.0</v>
      </c>
    </row>
    <row r="104">
      <c r="A104" s="25">
        <v>38503.645833333336</v>
      </c>
      <c r="B104" s="25">
        <v>138.44</v>
      </c>
      <c r="C104" s="25">
        <v>141.13</v>
      </c>
      <c r="D104" s="25">
        <v>138.25</v>
      </c>
      <c r="E104" s="25">
        <v>140.65</v>
      </c>
      <c r="F104" s="25">
        <v>844930.0</v>
      </c>
    </row>
    <row r="105">
      <c r="A105" s="25">
        <v>38504.645833333336</v>
      </c>
      <c r="B105" s="25">
        <v>140.94</v>
      </c>
      <c r="C105" s="25">
        <v>141.31</v>
      </c>
      <c r="D105" s="25">
        <v>138.0</v>
      </c>
      <c r="E105" s="25">
        <v>138.88</v>
      </c>
      <c r="F105" s="25">
        <v>774889.0</v>
      </c>
    </row>
    <row r="106">
      <c r="A106" s="25">
        <v>38505.645833333336</v>
      </c>
      <c r="B106" s="25">
        <v>139.06</v>
      </c>
      <c r="C106" s="25">
        <v>139.5</v>
      </c>
      <c r="D106" s="25">
        <v>137.24</v>
      </c>
      <c r="E106" s="25">
        <v>137.58</v>
      </c>
      <c r="F106" s="25">
        <v>467703.0</v>
      </c>
    </row>
    <row r="107">
      <c r="A107" s="25">
        <v>38506.645833333336</v>
      </c>
      <c r="B107" s="25">
        <v>138.06</v>
      </c>
      <c r="C107" s="25">
        <v>142.18</v>
      </c>
      <c r="D107" s="25">
        <v>136.88</v>
      </c>
      <c r="E107" s="25">
        <v>140.99</v>
      </c>
      <c r="F107" s="25">
        <v>792981.0</v>
      </c>
    </row>
    <row r="108">
      <c r="A108" s="25">
        <v>38509.645833333336</v>
      </c>
      <c r="B108" s="25">
        <v>139.71</v>
      </c>
      <c r="C108" s="25">
        <v>141.06</v>
      </c>
      <c r="D108" s="25">
        <v>137.71</v>
      </c>
      <c r="E108" s="25">
        <v>138.53</v>
      </c>
      <c r="F108" s="25">
        <v>480421.0</v>
      </c>
    </row>
    <row r="109">
      <c r="A109" s="25">
        <v>38510.645833333336</v>
      </c>
      <c r="B109" s="25">
        <v>137.56</v>
      </c>
      <c r="C109" s="25">
        <v>140.25</v>
      </c>
      <c r="D109" s="25">
        <v>137.56</v>
      </c>
      <c r="E109" s="25">
        <v>139.55</v>
      </c>
      <c r="F109" s="25">
        <v>611110.0</v>
      </c>
    </row>
    <row r="110">
      <c r="A110" s="25">
        <v>38511.645833333336</v>
      </c>
      <c r="B110" s="25">
        <v>138.92</v>
      </c>
      <c r="C110" s="25">
        <v>144.06</v>
      </c>
      <c r="D110" s="25">
        <v>138.92</v>
      </c>
      <c r="E110" s="25">
        <v>143.52</v>
      </c>
      <c r="F110" s="25">
        <v>1039065.0</v>
      </c>
    </row>
    <row r="111">
      <c r="A111" s="25">
        <v>38512.645833333336</v>
      </c>
      <c r="B111" s="25">
        <v>142.35</v>
      </c>
      <c r="C111" s="25">
        <v>143.13</v>
      </c>
      <c r="D111" s="25">
        <v>139.19</v>
      </c>
      <c r="E111" s="25">
        <v>139.8</v>
      </c>
      <c r="F111" s="25">
        <v>806245.0</v>
      </c>
    </row>
    <row r="112">
      <c r="A112" s="25">
        <v>38513.645833333336</v>
      </c>
      <c r="B112" s="25">
        <v>140.63</v>
      </c>
      <c r="C112" s="25">
        <v>141.88</v>
      </c>
      <c r="D112" s="25">
        <v>137.5</v>
      </c>
      <c r="E112" s="25">
        <v>138.27</v>
      </c>
      <c r="F112" s="25">
        <v>726637.0</v>
      </c>
    </row>
    <row r="113">
      <c r="A113" s="25">
        <v>38516.645833333336</v>
      </c>
      <c r="B113" s="25">
        <v>138.46</v>
      </c>
      <c r="C113" s="25">
        <v>140.25</v>
      </c>
      <c r="D113" s="25">
        <v>138.46</v>
      </c>
      <c r="E113" s="25">
        <v>139.0</v>
      </c>
      <c r="F113" s="25">
        <v>643037.0</v>
      </c>
    </row>
    <row r="114">
      <c r="A114" s="25">
        <v>38517.645833333336</v>
      </c>
      <c r="B114" s="25">
        <v>140.0</v>
      </c>
      <c r="C114" s="25">
        <v>141.25</v>
      </c>
      <c r="D114" s="25">
        <v>139.06</v>
      </c>
      <c r="E114" s="25">
        <v>139.7</v>
      </c>
      <c r="F114" s="25">
        <v>481064.0</v>
      </c>
    </row>
    <row r="115">
      <c r="A115" s="25">
        <v>38518.645833333336</v>
      </c>
      <c r="B115" s="25">
        <v>140.0</v>
      </c>
      <c r="C115" s="25">
        <v>141.5</v>
      </c>
      <c r="D115" s="25">
        <v>139.39</v>
      </c>
      <c r="E115" s="25">
        <v>141.04</v>
      </c>
      <c r="F115" s="25">
        <v>852068.0</v>
      </c>
    </row>
    <row r="116">
      <c r="A116" s="25">
        <v>38519.645833333336</v>
      </c>
      <c r="B116" s="25">
        <v>140.63</v>
      </c>
      <c r="C116" s="25">
        <v>143.43</v>
      </c>
      <c r="D116" s="25">
        <v>139.7</v>
      </c>
      <c r="E116" s="25">
        <v>142.53</v>
      </c>
      <c r="F116" s="25">
        <v>1076296.0</v>
      </c>
    </row>
    <row r="117">
      <c r="A117" s="25">
        <v>38520.645833333336</v>
      </c>
      <c r="B117" s="25">
        <v>142.5</v>
      </c>
      <c r="C117" s="25">
        <v>143.62</v>
      </c>
      <c r="D117" s="25">
        <v>141.5</v>
      </c>
      <c r="E117" s="25">
        <v>143.01</v>
      </c>
      <c r="F117" s="25">
        <v>968776.0</v>
      </c>
    </row>
    <row r="118">
      <c r="A118" s="25">
        <v>38523.645833333336</v>
      </c>
      <c r="B118" s="25">
        <v>143.44</v>
      </c>
      <c r="C118" s="25">
        <v>148.92</v>
      </c>
      <c r="D118" s="25">
        <v>139.67</v>
      </c>
      <c r="E118" s="25">
        <v>148.19</v>
      </c>
      <c r="F118" s="25">
        <v>1522694.0</v>
      </c>
    </row>
    <row r="119">
      <c r="A119" s="25">
        <v>38524.645833333336</v>
      </c>
      <c r="B119" s="25">
        <v>146.88</v>
      </c>
      <c r="C119" s="25">
        <v>150.0</v>
      </c>
      <c r="D119" s="25">
        <v>145.71</v>
      </c>
      <c r="E119" s="25">
        <v>149.59</v>
      </c>
      <c r="F119" s="25">
        <v>1222558.0</v>
      </c>
    </row>
    <row r="120">
      <c r="A120" s="25">
        <v>38525.645833333336</v>
      </c>
      <c r="B120" s="25">
        <v>147.21</v>
      </c>
      <c r="C120" s="25">
        <v>150.87</v>
      </c>
      <c r="D120" s="25">
        <v>147.21</v>
      </c>
      <c r="E120" s="25">
        <v>149.32</v>
      </c>
      <c r="F120" s="25">
        <v>1607601.0</v>
      </c>
    </row>
    <row r="121">
      <c r="A121" s="25">
        <v>38526.645833333336</v>
      </c>
      <c r="B121" s="25">
        <v>149.69</v>
      </c>
      <c r="C121" s="25">
        <v>149.69</v>
      </c>
      <c r="D121" s="25">
        <v>146.13</v>
      </c>
      <c r="E121" s="25">
        <v>146.52</v>
      </c>
      <c r="F121" s="25">
        <v>1027543.0</v>
      </c>
    </row>
    <row r="122">
      <c r="A122" s="25">
        <v>38527.645833333336</v>
      </c>
      <c r="B122" s="25">
        <v>145.0</v>
      </c>
      <c r="C122" s="25">
        <v>146.56</v>
      </c>
      <c r="D122" s="25">
        <v>143.88</v>
      </c>
      <c r="E122" s="25">
        <v>144.57</v>
      </c>
      <c r="F122" s="25">
        <v>974988.0</v>
      </c>
    </row>
    <row r="123">
      <c r="A123" s="25">
        <v>38530.645833333336</v>
      </c>
      <c r="B123" s="25">
        <v>142.51</v>
      </c>
      <c r="C123" s="25">
        <v>147.56</v>
      </c>
      <c r="D123" s="25">
        <v>142.51</v>
      </c>
      <c r="E123" s="25">
        <v>146.15</v>
      </c>
      <c r="F123" s="25">
        <v>913215.0</v>
      </c>
    </row>
    <row r="124">
      <c r="A124" s="25">
        <v>38531.645833333336</v>
      </c>
      <c r="B124" s="25">
        <v>146.5</v>
      </c>
      <c r="C124" s="25">
        <v>146.5</v>
      </c>
      <c r="D124" s="25">
        <v>143.0</v>
      </c>
      <c r="E124" s="25">
        <v>143.29</v>
      </c>
      <c r="F124" s="25">
        <v>925659.0</v>
      </c>
    </row>
    <row r="125">
      <c r="A125" s="25">
        <v>38532.645833333336</v>
      </c>
      <c r="B125" s="25">
        <v>144.5</v>
      </c>
      <c r="C125" s="25">
        <v>145.94</v>
      </c>
      <c r="D125" s="25">
        <v>143.75</v>
      </c>
      <c r="E125" s="25">
        <v>145.29</v>
      </c>
      <c r="F125" s="25">
        <v>802272.0</v>
      </c>
    </row>
    <row r="126">
      <c r="A126" s="25">
        <v>38533.645833333336</v>
      </c>
      <c r="B126" s="25">
        <v>146.38</v>
      </c>
      <c r="C126" s="25">
        <v>149.37</v>
      </c>
      <c r="D126" s="25">
        <v>146.25</v>
      </c>
      <c r="E126" s="25">
        <v>147.39</v>
      </c>
      <c r="F126" s="25">
        <v>1216514.0</v>
      </c>
    </row>
    <row r="127">
      <c r="A127" s="25">
        <v>38534.645833333336</v>
      </c>
      <c r="B127" s="25">
        <v>146.56</v>
      </c>
      <c r="C127" s="25">
        <v>147.88</v>
      </c>
      <c r="D127" s="25">
        <v>145.51</v>
      </c>
      <c r="E127" s="25">
        <v>146.94</v>
      </c>
      <c r="F127" s="25">
        <v>382141.0</v>
      </c>
    </row>
    <row r="128">
      <c r="A128" s="25">
        <v>38537.645833333336</v>
      </c>
      <c r="B128" s="25">
        <v>146.88</v>
      </c>
      <c r="C128" s="25">
        <v>150.0</v>
      </c>
      <c r="D128" s="25">
        <v>145.77</v>
      </c>
      <c r="E128" s="25">
        <v>149.64</v>
      </c>
      <c r="F128" s="25">
        <v>463198.0</v>
      </c>
    </row>
    <row r="129">
      <c r="A129" s="25">
        <v>38538.645833333336</v>
      </c>
      <c r="B129" s="25">
        <v>149.38</v>
      </c>
      <c r="C129" s="25">
        <v>149.94</v>
      </c>
      <c r="D129" s="25">
        <v>145.01</v>
      </c>
      <c r="E129" s="25">
        <v>145.64</v>
      </c>
      <c r="F129" s="25">
        <v>563478.0</v>
      </c>
    </row>
    <row r="130">
      <c r="A130" s="25">
        <v>38539.645833333336</v>
      </c>
      <c r="B130" s="25">
        <v>145.63</v>
      </c>
      <c r="C130" s="25">
        <v>147.49</v>
      </c>
      <c r="D130" s="25">
        <v>144.88</v>
      </c>
      <c r="E130" s="25">
        <v>146.6</v>
      </c>
      <c r="F130" s="25">
        <v>1176144.0</v>
      </c>
    </row>
    <row r="131">
      <c r="A131" s="25">
        <v>38540.645833333336</v>
      </c>
      <c r="B131" s="25">
        <v>147.0</v>
      </c>
      <c r="C131" s="25">
        <v>148.37</v>
      </c>
      <c r="D131" s="25">
        <v>144.17</v>
      </c>
      <c r="E131" s="25">
        <v>144.99</v>
      </c>
      <c r="F131" s="25">
        <v>927397.0</v>
      </c>
    </row>
    <row r="132">
      <c r="A132" s="25">
        <v>38541.645833333336</v>
      </c>
      <c r="B132" s="25">
        <v>146.75</v>
      </c>
      <c r="C132" s="25">
        <v>147.25</v>
      </c>
      <c r="D132" s="25">
        <v>144.39</v>
      </c>
      <c r="E132" s="25">
        <v>145.93</v>
      </c>
      <c r="F132" s="25">
        <v>671038.0</v>
      </c>
    </row>
    <row r="133">
      <c r="A133" s="25">
        <v>38544.645833333336</v>
      </c>
      <c r="B133" s="25">
        <v>146.88</v>
      </c>
      <c r="C133" s="25">
        <v>147.5</v>
      </c>
      <c r="D133" s="25">
        <v>144.07</v>
      </c>
      <c r="E133" s="25">
        <v>144.74</v>
      </c>
      <c r="F133" s="25">
        <v>1166625.0</v>
      </c>
    </row>
    <row r="134">
      <c r="A134" s="25">
        <v>38545.645833333336</v>
      </c>
      <c r="B134" s="25">
        <v>145.0</v>
      </c>
      <c r="C134" s="25">
        <v>145.0</v>
      </c>
      <c r="D134" s="25">
        <v>137.21</v>
      </c>
      <c r="E134" s="25">
        <v>138.83</v>
      </c>
      <c r="F134" s="25">
        <v>3025132.0</v>
      </c>
    </row>
    <row r="135">
      <c r="A135" s="25">
        <v>38546.645833333336</v>
      </c>
      <c r="B135" s="25">
        <v>139.06</v>
      </c>
      <c r="C135" s="25">
        <v>140.67</v>
      </c>
      <c r="D135" s="25">
        <v>137.5</v>
      </c>
      <c r="E135" s="25">
        <v>137.84</v>
      </c>
      <c r="F135" s="25">
        <v>1959750.0</v>
      </c>
    </row>
    <row r="136">
      <c r="A136" s="25">
        <v>38547.645833333336</v>
      </c>
      <c r="B136" s="25">
        <v>138.44</v>
      </c>
      <c r="C136" s="25">
        <v>138.9</v>
      </c>
      <c r="D136" s="25">
        <v>132.82</v>
      </c>
      <c r="E136" s="25">
        <v>133.49</v>
      </c>
      <c r="F136" s="25">
        <v>1821247.0</v>
      </c>
    </row>
    <row r="137">
      <c r="A137" s="25">
        <v>38548.645833333336</v>
      </c>
      <c r="B137" s="25">
        <v>137.19</v>
      </c>
      <c r="C137" s="25">
        <v>137.81</v>
      </c>
      <c r="D137" s="25">
        <v>133.7</v>
      </c>
      <c r="E137" s="25">
        <v>137.24</v>
      </c>
      <c r="F137" s="25">
        <v>1000764.0</v>
      </c>
    </row>
    <row r="138">
      <c r="A138" s="25">
        <v>38551.645833333336</v>
      </c>
      <c r="B138" s="25">
        <v>137.26</v>
      </c>
      <c r="C138" s="25">
        <v>142.5</v>
      </c>
      <c r="D138" s="25">
        <v>137.26</v>
      </c>
      <c r="E138" s="25">
        <v>142.0</v>
      </c>
      <c r="F138" s="25">
        <v>1446546.0</v>
      </c>
    </row>
    <row r="139">
      <c r="A139" s="25">
        <v>38552.645833333336</v>
      </c>
      <c r="B139" s="25">
        <v>142.0</v>
      </c>
      <c r="C139" s="25">
        <v>142.5</v>
      </c>
      <c r="D139" s="25">
        <v>140.63</v>
      </c>
      <c r="E139" s="25">
        <v>141.03</v>
      </c>
      <c r="F139" s="25">
        <v>689427.0</v>
      </c>
    </row>
    <row r="140">
      <c r="A140" s="25">
        <v>38553.645833333336</v>
      </c>
      <c r="B140" s="25">
        <v>141.54</v>
      </c>
      <c r="C140" s="25">
        <v>141.54</v>
      </c>
      <c r="D140" s="25">
        <v>139.44</v>
      </c>
      <c r="E140" s="25">
        <v>139.58</v>
      </c>
      <c r="F140" s="25">
        <v>652038.0</v>
      </c>
    </row>
    <row r="141">
      <c r="A141" s="25">
        <v>38554.645833333336</v>
      </c>
      <c r="B141" s="25">
        <v>141.54</v>
      </c>
      <c r="C141" s="25">
        <v>145.07</v>
      </c>
      <c r="D141" s="25">
        <v>137.25</v>
      </c>
      <c r="E141" s="25">
        <v>138.06</v>
      </c>
      <c r="F141" s="25">
        <v>760941.0</v>
      </c>
    </row>
    <row r="142">
      <c r="A142" s="25">
        <v>38555.645833333336</v>
      </c>
      <c r="B142" s="25">
        <v>138.25</v>
      </c>
      <c r="C142" s="25">
        <v>140.5</v>
      </c>
      <c r="D142" s="25">
        <v>136.07</v>
      </c>
      <c r="E142" s="25">
        <v>139.92</v>
      </c>
      <c r="F142" s="25">
        <v>1117284.0</v>
      </c>
    </row>
    <row r="143">
      <c r="A143" s="25">
        <v>38558.645833333336</v>
      </c>
      <c r="B143" s="25">
        <v>139.69</v>
      </c>
      <c r="C143" s="25">
        <v>141.17</v>
      </c>
      <c r="D143" s="25">
        <v>138.77</v>
      </c>
      <c r="E143" s="25">
        <v>139.31</v>
      </c>
      <c r="F143" s="25">
        <v>565964.0</v>
      </c>
    </row>
    <row r="144">
      <c r="A144" s="25">
        <v>38559.645833333336</v>
      </c>
      <c r="B144" s="25">
        <v>139.38</v>
      </c>
      <c r="C144" s="25">
        <v>139.69</v>
      </c>
      <c r="D144" s="25">
        <v>138.06</v>
      </c>
      <c r="E144" s="25">
        <v>139.15</v>
      </c>
      <c r="F144" s="25">
        <v>503956.0</v>
      </c>
    </row>
    <row r="145">
      <c r="A145" s="25">
        <v>38560.645833333336</v>
      </c>
      <c r="B145" s="25">
        <v>139.69</v>
      </c>
      <c r="C145" s="25">
        <v>140.25</v>
      </c>
      <c r="D145" s="25">
        <v>138.63</v>
      </c>
      <c r="E145" s="25">
        <v>139.41</v>
      </c>
      <c r="F145" s="25">
        <v>456652.0</v>
      </c>
    </row>
    <row r="146">
      <c r="A146" s="25">
        <v>38562.645833333336</v>
      </c>
      <c r="B146" s="25">
        <v>138.81</v>
      </c>
      <c r="C146" s="25">
        <v>143.31</v>
      </c>
      <c r="D146" s="25">
        <v>138.81</v>
      </c>
      <c r="E146" s="25">
        <v>141.78</v>
      </c>
      <c r="F146" s="25">
        <v>1762150.0</v>
      </c>
    </row>
    <row r="147">
      <c r="A147" s="25">
        <v>38565.645833333336</v>
      </c>
      <c r="B147" s="25">
        <v>137.63</v>
      </c>
      <c r="C147" s="25">
        <v>142.15</v>
      </c>
      <c r="D147" s="25">
        <v>137.63</v>
      </c>
      <c r="E147" s="25">
        <v>141.53</v>
      </c>
      <c r="F147" s="25">
        <v>456227.0</v>
      </c>
    </row>
    <row r="148">
      <c r="A148" s="25">
        <v>38566.645833333336</v>
      </c>
      <c r="B148" s="25">
        <v>142.15</v>
      </c>
      <c r="C148" s="25">
        <v>144.25</v>
      </c>
      <c r="D148" s="25">
        <v>141.28</v>
      </c>
      <c r="E148" s="25">
        <v>143.7</v>
      </c>
      <c r="F148" s="25">
        <v>845574.0</v>
      </c>
    </row>
    <row r="149">
      <c r="A149" s="25">
        <v>38567.645833333336</v>
      </c>
      <c r="B149" s="25">
        <v>144.38</v>
      </c>
      <c r="C149" s="25">
        <v>147.81</v>
      </c>
      <c r="D149" s="25">
        <v>144.38</v>
      </c>
      <c r="E149" s="25">
        <v>147.25</v>
      </c>
      <c r="F149" s="25">
        <v>1033725.0</v>
      </c>
    </row>
    <row r="150">
      <c r="A150" s="25">
        <v>38568.645833333336</v>
      </c>
      <c r="B150" s="25">
        <v>147.81</v>
      </c>
      <c r="C150" s="25">
        <v>148.88</v>
      </c>
      <c r="D150" s="25">
        <v>143.96</v>
      </c>
      <c r="E150" s="25">
        <v>144.59</v>
      </c>
      <c r="F150" s="25">
        <v>727858.0</v>
      </c>
    </row>
    <row r="151">
      <c r="A151" s="25">
        <v>38569.645833333336</v>
      </c>
      <c r="B151" s="25">
        <v>144.13</v>
      </c>
      <c r="C151" s="25">
        <v>144.75</v>
      </c>
      <c r="D151" s="25">
        <v>142.28</v>
      </c>
      <c r="E151" s="25">
        <v>143.22</v>
      </c>
      <c r="F151" s="25">
        <v>747139.0</v>
      </c>
    </row>
    <row r="152">
      <c r="A152" s="25">
        <v>38572.645833333336</v>
      </c>
      <c r="B152" s="25">
        <v>143.25</v>
      </c>
      <c r="C152" s="25">
        <v>143.25</v>
      </c>
      <c r="D152" s="25">
        <v>140.63</v>
      </c>
      <c r="E152" s="25">
        <v>141.92</v>
      </c>
      <c r="F152" s="25">
        <v>603382.0</v>
      </c>
    </row>
    <row r="153">
      <c r="A153" s="25">
        <v>38573.645833333336</v>
      </c>
      <c r="B153" s="25">
        <v>140.64</v>
      </c>
      <c r="C153" s="25">
        <v>143.04</v>
      </c>
      <c r="D153" s="25">
        <v>140.64</v>
      </c>
      <c r="E153" s="25">
        <v>141.51</v>
      </c>
      <c r="F153" s="25">
        <v>705772.0</v>
      </c>
    </row>
    <row r="154">
      <c r="A154" s="25">
        <v>38574.645833333336</v>
      </c>
      <c r="B154" s="25">
        <v>142.75</v>
      </c>
      <c r="C154" s="25">
        <v>145.44</v>
      </c>
      <c r="D154" s="25">
        <v>142.38</v>
      </c>
      <c r="E154" s="25">
        <v>144.69</v>
      </c>
      <c r="F154" s="25">
        <v>800183.0</v>
      </c>
    </row>
    <row r="155">
      <c r="A155" s="25">
        <v>38575.645833333336</v>
      </c>
      <c r="B155" s="25">
        <v>145.06</v>
      </c>
      <c r="C155" s="25">
        <v>145.31</v>
      </c>
      <c r="D155" s="25">
        <v>142.81</v>
      </c>
      <c r="E155" s="25">
        <v>143.34</v>
      </c>
      <c r="F155" s="25">
        <v>528804.0</v>
      </c>
    </row>
    <row r="156">
      <c r="A156" s="25">
        <v>38576.645833333336</v>
      </c>
      <c r="B156" s="25">
        <v>144.38</v>
      </c>
      <c r="C156" s="25">
        <v>144.38</v>
      </c>
      <c r="D156" s="25">
        <v>140.76</v>
      </c>
      <c r="E156" s="25">
        <v>141.34</v>
      </c>
      <c r="F156" s="25">
        <v>735248.0</v>
      </c>
    </row>
    <row r="157">
      <c r="A157" s="25">
        <v>38580.645833333336</v>
      </c>
      <c r="B157" s="25">
        <v>140.76</v>
      </c>
      <c r="C157" s="25">
        <v>141.25</v>
      </c>
      <c r="D157" s="25">
        <v>139.38</v>
      </c>
      <c r="E157" s="25">
        <v>140.62</v>
      </c>
      <c r="F157" s="25">
        <v>781578.0</v>
      </c>
    </row>
    <row r="158">
      <c r="A158" s="25">
        <v>38581.645833333336</v>
      </c>
      <c r="B158" s="25">
        <v>140.5</v>
      </c>
      <c r="C158" s="25">
        <v>145.56</v>
      </c>
      <c r="D158" s="25">
        <v>139.85</v>
      </c>
      <c r="E158" s="25">
        <v>144.87</v>
      </c>
      <c r="F158" s="25">
        <v>1262282.0</v>
      </c>
    </row>
    <row r="159">
      <c r="A159" s="25">
        <v>38582.645833333336</v>
      </c>
      <c r="B159" s="25">
        <v>144.88</v>
      </c>
      <c r="C159" s="25">
        <v>145.0</v>
      </c>
      <c r="D159" s="25">
        <v>143.05</v>
      </c>
      <c r="E159" s="25">
        <v>143.67</v>
      </c>
      <c r="F159" s="25">
        <v>695780.0</v>
      </c>
    </row>
    <row r="160">
      <c r="A160" s="25">
        <v>38583.645833333336</v>
      </c>
      <c r="B160" s="25">
        <v>145.0</v>
      </c>
      <c r="C160" s="25">
        <v>145.0</v>
      </c>
      <c r="D160" s="25">
        <v>142.07</v>
      </c>
      <c r="E160" s="25">
        <v>143.84</v>
      </c>
      <c r="F160" s="25">
        <v>476554.0</v>
      </c>
    </row>
    <row r="161">
      <c r="A161" s="25">
        <v>38586.645833333336</v>
      </c>
      <c r="B161" s="25">
        <v>145.0</v>
      </c>
      <c r="C161" s="25">
        <v>146.25</v>
      </c>
      <c r="D161" s="25">
        <v>143.38</v>
      </c>
      <c r="E161" s="25">
        <v>144.68</v>
      </c>
      <c r="F161" s="25">
        <v>743961.0</v>
      </c>
    </row>
    <row r="162">
      <c r="A162" s="25">
        <v>38587.645833333336</v>
      </c>
      <c r="B162" s="25">
        <v>144.38</v>
      </c>
      <c r="C162" s="25">
        <v>145.31</v>
      </c>
      <c r="D162" s="25">
        <v>142.65</v>
      </c>
      <c r="E162" s="25">
        <v>142.82</v>
      </c>
      <c r="F162" s="25">
        <v>893832.0</v>
      </c>
    </row>
    <row r="163">
      <c r="A163" s="25">
        <v>38588.645833333336</v>
      </c>
      <c r="B163" s="25">
        <v>143.44</v>
      </c>
      <c r="C163" s="25">
        <v>143.44</v>
      </c>
      <c r="D163" s="25">
        <v>140.64</v>
      </c>
      <c r="E163" s="25">
        <v>141.51</v>
      </c>
      <c r="F163" s="25">
        <v>759044.0</v>
      </c>
    </row>
    <row r="164">
      <c r="A164" s="25">
        <v>38589.645833333336</v>
      </c>
      <c r="B164" s="25">
        <v>141.88</v>
      </c>
      <c r="C164" s="25">
        <v>144.15</v>
      </c>
      <c r="D164" s="25">
        <v>141.65</v>
      </c>
      <c r="E164" s="25">
        <v>141.99</v>
      </c>
      <c r="F164" s="25">
        <v>576403.0</v>
      </c>
    </row>
    <row r="165">
      <c r="A165" s="25">
        <v>38590.645833333336</v>
      </c>
      <c r="B165" s="25">
        <v>142.5</v>
      </c>
      <c r="C165" s="25">
        <v>144.36</v>
      </c>
      <c r="D165" s="25">
        <v>141.25</v>
      </c>
      <c r="E165" s="25">
        <v>141.83</v>
      </c>
      <c r="F165" s="25">
        <v>732003.0</v>
      </c>
    </row>
    <row r="166">
      <c r="A166" s="25">
        <v>38593.645833333336</v>
      </c>
      <c r="B166" s="25">
        <v>142.81</v>
      </c>
      <c r="C166" s="25">
        <v>144.17</v>
      </c>
      <c r="D166" s="25">
        <v>140.63</v>
      </c>
      <c r="E166" s="25">
        <v>143.82</v>
      </c>
      <c r="F166" s="25">
        <v>715752.0</v>
      </c>
    </row>
    <row r="167">
      <c r="A167" s="25">
        <v>38594.645833333336</v>
      </c>
      <c r="B167" s="25">
        <v>144.31</v>
      </c>
      <c r="C167" s="25">
        <v>147.0</v>
      </c>
      <c r="D167" s="25">
        <v>143.88</v>
      </c>
      <c r="E167" s="25">
        <v>146.68</v>
      </c>
      <c r="F167" s="25">
        <v>820210.0</v>
      </c>
    </row>
    <row r="168">
      <c r="A168" s="25">
        <v>38595.645833333336</v>
      </c>
      <c r="B168" s="25">
        <v>147.0</v>
      </c>
      <c r="C168" s="25">
        <v>148.94</v>
      </c>
      <c r="D168" s="25">
        <v>145.64</v>
      </c>
      <c r="E168" s="25">
        <v>148.51</v>
      </c>
      <c r="F168" s="25">
        <v>802612.0</v>
      </c>
    </row>
    <row r="169">
      <c r="A169" s="25">
        <v>38596.645833333336</v>
      </c>
      <c r="B169" s="25">
        <v>150.13</v>
      </c>
      <c r="C169" s="25">
        <v>153.28</v>
      </c>
      <c r="D169" s="25">
        <v>150.07</v>
      </c>
      <c r="E169" s="25">
        <v>151.6</v>
      </c>
      <c r="F169" s="25">
        <v>846163.0</v>
      </c>
    </row>
    <row r="170">
      <c r="A170" s="25">
        <v>38597.645833333336</v>
      </c>
      <c r="B170" s="25">
        <v>151.56</v>
      </c>
      <c r="C170" s="25">
        <v>153.11</v>
      </c>
      <c r="D170" s="25">
        <v>148.75</v>
      </c>
      <c r="E170" s="25">
        <v>149.11</v>
      </c>
      <c r="F170" s="25">
        <v>682363.0</v>
      </c>
    </row>
    <row r="171">
      <c r="A171" s="25">
        <v>38600.645833333336</v>
      </c>
      <c r="B171" s="25">
        <v>149.13</v>
      </c>
      <c r="C171" s="25">
        <v>150.63</v>
      </c>
      <c r="D171" s="25">
        <v>146.88</v>
      </c>
      <c r="E171" s="25">
        <v>147.17</v>
      </c>
      <c r="F171" s="25">
        <v>632372.0</v>
      </c>
    </row>
    <row r="172">
      <c r="A172" s="25">
        <v>38601.645833333336</v>
      </c>
      <c r="B172" s="25">
        <v>149.38</v>
      </c>
      <c r="C172" s="25">
        <v>149.38</v>
      </c>
      <c r="D172" s="25">
        <v>146.57</v>
      </c>
      <c r="E172" s="25">
        <v>147.75</v>
      </c>
      <c r="F172" s="25">
        <v>566113.0</v>
      </c>
    </row>
    <row r="173">
      <c r="A173" s="25">
        <v>38603.645833333336</v>
      </c>
      <c r="B173" s="25">
        <v>148.36</v>
      </c>
      <c r="C173" s="25">
        <v>151.78</v>
      </c>
      <c r="D173" s="25">
        <v>147.81</v>
      </c>
      <c r="E173" s="25">
        <v>151.4</v>
      </c>
      <c r="F173" s="25">
        <v>747443.0</v>
      </c>
    </row>
    <row r="174">
      <c r="A174" s="25">
        <v>38604.645833333336</v>
      </c>
      <c r="B174" s="25">
        <v>151.0</v>
      </c>
      <c r="C174" s="25">
        <v>152.17</v>
      </c>
      <c r="D174" s="25">
        <v>150.06</v>
      </c>
      <c r="E174" s="25">
        <v>151.07</v>
      </c>
      <c r="F174" s="25">
        <v>594364.0</v>
      </c>
    </row>
    <row r="175">
      <c r="A175" s="25">
        <v>38607.645833333336</v>
      </c>
      <c r="B175" s="25">
        <v>151.56</v>
      </c>
      <c r="C175" s="25">
        <v>152.44</v>
      </c>
      <c r="D175" s="25">
        <v>150.97</v>
      </c>
      <c r="E175" s="25">
        <v>151.43</v>
      </c>
      <c r="F175" s="25">
        <v>432670.0</v>
      </c>
    </row>
    <row r="176">
      <c r="A176" s="25">
        <v>38608.645833333336</v>
      </c>
      <c r="B176" s="25">
        <v>152.13</v>
      </c>
      <c r="C176" s="25">
        <v>153.13</v>
      </c>
      <c r="D176" s="25">
        <v>151.04</v>
      </c>
      <c r="E176" s="25">
        <v>152.89</v>
      </c>
      <c r="F176" s="25">
        <v>690722.0</v>
      </c>
    </row>
    <row r="177">
      <c r="A177" s="25">
        <v>38609.645833333336</v>
      </c>
      <c r="B177" s="25">
        <v>152.66</v>
      </c>
      <c r="C177" s="25">
        <v>154.5</v>
      </c>
      <c r="D177" s="25">
        <v>151.25</v>
      </c>
      <c r="E177" s="25">
        <v>152.86</v>
      </c>
      <c r="F177" s="25">
        <v>803111.0</v>
      </c>
    </row>
    <row r="178">
      <c r="A178" s="25">
        <v>38610.645833333336</v>
      </c>
      <c r="B178" s="25">
        <v>153.0</v>
      </c>
      <c r="C178" s="25">
        <v>153.44</v>
      </c>
      <c r="D178" s="25">
        <v>152.19</v>
      </c>
      <c r="E178" s="25">
        <v>153.16</v>
      </c>
      <c r="F178" s="25">
        <v>387494.0</v>
      </c>
    </row>
    <row r="179">
      <c r="A179" s="25">
        <v>38611.645833333336</v>
      </c>
      <c r="B179" s="25">
        <v>153.44</v>
      </c>
      <c r="C179" s="25">
        <v>154.0</v>
      </c>
      <c r="D179" s="25">
        <v>152.5</v>
      </c>
      <c r="E179" s="25">
        <v>152.93</v>
      </c>
      <c r="F179" s="25">
        <v>419234.0</v>
      </c>
    </row>
    <row r="180">
      <c r="A180" s="25">
        <v>38614.645833333336</v>
      </c>
      <c r="B180" s="25">
        <v>153.13</v>
      </c>
      <c r="C180" s="25">
        <v>153.75</v>
      </c>
      <c r="D180" s="25">
        <v>151.95</v>
      </c>
      <c r="E180" s="25">
        <v>153.14</v>
      </c>
      <c r="F180" s="25">
        <v>431113.0</v>
      </c>
    </row>
    <row r="181">
      <c r="A181" s="25">
        <v>38615.645833333336</v>
      </c>
      <c r="B181" s="25">
        <v>153.38</v>
      </c>
      <c r="C181" s="25">
        <v>157.44</v>
      </c>
      <c r="D181" s="25">
        <v>152.01</v>
      </c>
      <c r="E181" s="25">
        <v>156.48</v>
      </c>
      <c r="F181" s="25">
        <v>806007.0</v>
      </c>
    </row>
    <row r="182">
      <c r="A182" s="25">
        <v>38616.645833333336</v>
      </c>
      <c r="B182" s="25">
        <v>156.81</v>
      </c>
      <c r="C182" s="25">
        <v>156.88</v>
      </c>
      <c r="D182" s="25">
        <v>151.56</v>
      </c>
      <c r="E182" s="25">
        <v>153.87</v>
      </c>
      <c r="F182" s="25">
        <v>861706.0</v>
      </c>
    </row>
    <row r="183">
      <c r="A183" s="25">
        <v>38617.645833333336</v>
      </c>
      <c r="B183" s="25">
        <v>153.43</v>
      </c>
      <c r="C183" s="25">
        <v>154.28</v>
      </c>
      <c r="D183" s="25">
        <v>150.0</v>
      </c>
      <c r="E183" s="25">
        <v>150.78</v>
      </c>
      <c r="F183" s="25">
        <v>641228.0</v>
      </c>
    </row>
    <row r="184">
      <c r="A184" s="25">
        <v>38618.645833333336</v>
      </c>
      <c r="B184" s="25">
        <v>151.19</v>
      </c>
      <c r="C184" s="25">
        <v>152.5</v>
      </c>
      <c r="D184" s="25">
        <v>148.28</v>
      </c>
      <c r="E184" s="25">
        <v>149.91</v>
      </c>
      <c r="F184" s="25">
        <v>849365.0</v>
      </c>
    </row>
    <row r="185">
      <c r="A185" s="25">
        <v>38621.645833333336</v>
      </c>
      <c r="B185" s="25">
        <v>151.19</v>
      </c>
      <c r="C185" s="25">
        <v>155.92</v>
      </c>
      <c r="D185" s="25">
        <v>149.78</v>
      </c>
      <c r="E185" s="25">
        <v>155.4</v>
      </c>
      <c r="F185" s="25">
        <v>621205.0</v>
      </c>
    </row>
    <row r="186">
      <c r="A186" s="25">
        <v>38622.645833333336</v>
      </c>
      <c r="B186" s="25">
        <v>155.4</v>
      </c>
      <c r="C186" s="25">
        <v>156.69</v>
      </c>
      <c r="D186" s="25">
        <v>153.75</v>
      </c>
      <c r="E186" s="25">
        <v>154.86</v>
      </c>
      <c r="F186" s="25">
        <v>922411.0</v>
      </c>
    </row>
    <row r="187">
      <c r="A187" s="25">
        <v>38623.645833333336</v>
      </c>
      <c r="B187" s="25">
        <v>154.38</v>
      </c>
      <c r="C187" s="25">
        <v>154.65</v>
      </c>
      <c r="D187" s="25">
        <v>151.56</v>
      </c>
      <c r="E187" s="25">
        <v>154.43</v>
      </c>
      <c r="F187" s="25">
        <v>1005386.0</v>
      </c>
    </row>
    <row r="188">
      <c r="A188" s="25">
        <v>38624.645833333336</v>
      </c>
      <c r="B188" s="25">
        <v>154.69</v>
      </c>
      <c r="C188" s="25">
        <v>158.75</v>
      </c>
      <c r="D188" s="25">
        <v>154.51</v>
      </c>
      <c r="E188" s="25">
        <v>157.89</v>
      </c>
      <c r="F188" s="25">
        <v>1394569.0</v>
      </c>
    </row>
    <row r="189">
      <c r="A189" s="25">
        <v>38625.645833333336</v>
      </c>
      <c r="B189" s="25">
        <v>158.75</v>
      </c>
      <c r="C189" s="25">
        <v>160.06</v>
      </c>
      <c r="D189" s="25">
        <v>156.38</v>
      </c>
      <c r="E189" s="25">
        <v>157.21</v>
      </c>
      <c r="F189" s="25">
        <v>928755.0</v>
      </c>
    </row>
    <row r="190">
      <c r="A190" s="25">
        <v>38628.645833333336</v>
      </c>
      <c r="B190" s="25">
        <v>157.81</v>
      </c>
      <c r="C190" s="25">
        <v>160.0</v>
      </c>
      <c r="D190" s="25">
        <v>157.81</v>
      </c>
      <c r="E190" s="25">
        <v>159.57</v>
      </c>
      <c r="F190" s="25">
        <v>512679.0</v>
      </c>
    </row>
    <row r="191">
      <c r="A191" s="25">
        <v>38629.645833333336</v>
      </c>
      <c r="B191" s="25">
        <v>159.99</v>
      </c>
      <c r="C191" s="25">
        <v>164.78</v>
      </c>
      <c r="D191" s="25">
        <v>158.44</v>
      </c>
      <c r="E191" s="25">
        <v>164.24</v>
      </c>
      <c r="F191" s="25">
        <v>1340832.0</v>
      </c>
    </row>
    <row r="192">
      <c r="A192" s="25">
        <v>38630.645833333336</v>
      </c>
      <c r="B192" s="25">
        <v>164.19</v>
      </c>
      <c r="C192" s="25">
        <v>166.31</v>
      </c>
      <c r="D192" s="25">
        <v>161.46</v>
      </c>
      <c r="E192" s="25">
        <v>165.0</v>
      </c>
      <c r="F192" s="25">
        <v>1515976.0</v>
      </c>
    </row>
    <row r="193">
      <c r="A193" s="25">
        <v>38631.645833333336</v>
      </c>
      <c r="B193" s="25">
        <v>163.75</v>
      </c>
      <c r="C193" s="25">
        <v>166.56</v>
      </c>
      <c r="D193" s="25">
        <v>161.5</v>
      </c>
      <c r="E193" s="25">
        <v>163.07</v>
      </c>
      <c r="F193" s="25">
        <v>1624576.0</v>
      </c>
    </row>
    <row r="194">
      <c r="A194" s="25">
        <v>38632.645833333336</v>
      </c>
      <c r="B194" s="25">
        <v>163.07</v>
      </c>
      <c r="C194" s="25">
        <v>164.87</v>
      </c>
      <c r="D194" s="25">
        <v>160.02</v>
      </c>
      <c r="E194" s="25">
        <v>160.78</v>
      </c>
      <c r="F194" s="25">
        <v>1066867.0</v>
      </c>
    </row>
    <row r="195">
      <c r="A195" s="25">
        <v>38635.645833333336</v>
      </c>
      <c r="B195" s="25">
        <v>164.06</v>
      </c>
      <c r="C195" s="25">
        <v>165.38</v>
      </c>
      <c r="D195" s="25">
        <v>161.38</v>
      </c>
      <c r="E195" s="25">
        <v>163.89</v>
      </c>
      <c r="F195" s="25">
        <v>1204890.0</v>
      </c>
    </row>
    <row r="196">
      <c r="A196" s="25">
        <v>38636.645833333336</v>
      </c>
      <c r="B196" s="25">
        <v>166.38</v>
      </c>
      <c r="C196" s="25">
        <v>170.63</v>
      </c>
      <c r="D196" s="25">
        <v>164.38</v>
      </c>
      <c r="E196" s="25">
        <v>167.68</v>
      </c>
      <c r="F196" s="25">
        <v>1956990.0</v>
      </c>
    </row>
    <row r="197">
      <c r="A197" s="25">
        <v>38638.645833333336</v>
      </c>
      <c r="B197" s="25">
        <v>165.75</v>
      </c>
      <c r="C197" s="25">
        <v>167.75</v>
      </c>
      <c r="D197" s="25">
        <v>162.09</v>
      </c>
      <c r="E197" s="25">
        <v>163.92</v>
      </c>
      <c r="F197" s="25">
        <v>2042937.0</v>
      </c>
    </row>
    <row r="198">
      <c r="A198" s="25">
        <v>38639.645833333336</v>
      </c>
      <c r="B198" s="25">
        <v>164.63</v>
      </c>
      <c r="C198" s="25">
        <v>165.25</v>
      </c>
      <c r="D198" s="25">
        <v>161.88</v>
      </c>
      <c r="E198" s="25">
        <v>162.59</v>
      </c>
      <c r="F198" s="25">
        <v>1161279.0</v>
      </c>
    </row>
    <row r="199">
      <c r="A199" s="25">
        <v>38642.645833333336</v>
      </c>
      <c r="B199" s="25">
        <v>163.63</v>
      </c>
      <c r="C199" s="25">
        <v>164.31</v>
      </c>
      <c r="D199" s="25">
        <v>161.39</v>
      </c>
      <c r="E199" s="25">
        <v>161.98</v>
      </c>
      <c r="F199" s="25">
        <v>971075.0</v>
      </c>
    </row>
    <row r="200">
      <c r="A200" s="25">
        <v>38643.645833333336</v>
      </c>
      <c r="B200" s="25">
        <v>162.0</v>
      </c>
      <c r="C200" s="25">
        <v>163.87</v>
      </c>
      <c r="D200" s="25">
        <v>157.19</v>
      </c>
      <c r="E200" s="25">
        <v>158.16</v>
      </c>
      <c r="F200" s="25">
        <v>1639051.0</v>
      </c>
    </row>
    <row r="201">
      <c r="A201" s="25">
        <v>38644.645833333336</v>
      </c>
      <c r="B201" s="25">
        <v>157.19</v>
      </c>
      <c r="C201" s="25">
        <v>157.75</v>
      </c>
      <c r="D201" s="25">
        <v>154.44</v>
      </c>
      <c r="E201" s="25">
        <v>156.48</v>
      </c>
      <c r="F201" s="25">
        <v>1525953.0</v>
      </c>
    </row>
    <row r="202">
      <c r="A202" s="25">
        <v>38645.645833333336</v>
      </c>
      <c r="B202" s="25">
        <v>157.75</v>
      </c>
      <c r="C202" s="25">
        <v>160.94</v>
      </c>
      <c r="D202" s="25">
        <v>155.71</v>
      </c>
      <c r="E202" s="25">
        <v>158.66</v>
      </c>
      <c r="F202" s="25">
        <v>1290606.0</v>
      </c>
    </row>
    <row r="203">
      <c r="A203" s="25">
        <v>38646.645833333336</v>
      </c>
      <c r="B203" s="25">
        <v>158.75</v>
      </c>
      <c r="C203" s="25">
        <v>160.75</v>
      </c>
      <c r="D203" s="25">
        <v>157.56</v>
      </c>
      <c r="E203" s="25">
        <v>159.57</v>
      </c>
      <c r="F203" s="25">
        <v>923848.0</v>
      </c>
    </row>
    <row r="204">
      <c r="A204" s="25">
        <v>38649.645833333336</v>
      </c>
      <c r="B204" s="25">
        <v>160.0</v>
      </c>
      <c r="C204" s="25">
        <v>160.92</v>
      </c>
      <c r="D204" s="25">
        <v>155.96</v>
      </c>
      <c r="E204" s="25">
        <v>156.96</v>
      </c>
      <c r="F204" s="25">
        <v>546481.0</v>
      </c>
    </row>
    <row r="205">
      <c r="A205" s="25">
        <v>38650.645833333336</v>
      </c>
      <c r="B205" s="25">
        <v>158.44</v>
      </c>
      <c r="C205" s="25">
        <v>159.9</v>
      </c>
      <c r="D205" s="25">
        <v>156.69</v>
      </c>
      <c r="E205" s="25">
        <v>157.58</v>
      </c>
      <c r="F205" s="25">
        <v>809277.0</v>
      </c>
    </row>
    <row r="206">
      <c r="A206" s="25">
        <v>38651.645833333336</v>
      </c>
      <c r="B206" s="25">
        <v>156.19</v>
      </c>
      <c r="C206" s="25">
        <v>159.04</v>
      </c>
      <c r="D206" s="25">
        <v>153.25</v>
      </c>
      <c r="E206" s="25">
        <v>156.88</v>
      </c>
      <c r="F206" s="25">
        <v>643588.0</v>
      </c>
    </row>
    <row r="207">
      <c r="A207" s="25">
        <v>38652.645833333336</v>
      </c>
      <c r="B207" s="25">
        <v>157.19</v>
      </c>
      <c r="C207" s="25">
        <v>157.81</v>
      </c>
      <c r="D207" s="25">
        <v>152.58</v>
      </c>
      <c r="E207" s="25">
        <v>154.14</v>
      </c>
      <c r="F207" s="25">
        <v>1049581.0</v>
      </c>
    </row>
    <row r="208">
      <c r="A208" s="25">
        <v>38653.645833333336</v>
      </c>
      <c r="B208" s="25">
        <v>153.13</v>
      </c>
      <c r="C208" s="25">
        <v>154.0</v>
      </c>
      <c r="D208" s="25">
        <v>150.0</v>
      </c>
      <c r="E208" s="25">
        <v>150.96</v>
      </c>
      <c r="F208" s="25">
        <v>764818.0</v>
      </c>
    </row>
    <row r="209">
      <c r="A209" s="25">
        <v>38656.645833333336</v>
      </c>
      <c r="B209" s="25">
        <v>150.25</v>
      </c>
      <c r="C209" s="25">
        <v>158.38</v>
      </c>
      <c r="D209" s="25">
        <v>150.25</v>
      </c>
      <c r="E209" s="25">
        <v>157.62</v>
      </c>
      <c r="F209" s="25">
        <v>885369.0</v>
      </c>
    </row>
    <row r="210">
      <c r="A210" s="25">
        <v>38657.645833333336</v>
      </c>
      <c r="B210" s="25">
        <v>159.38</v>
      </c>
      <c r="C210" s="25">
        <v>162.18</v>
      </c>
      <c r="D210" s="25">
        <v>158.13</v>
      </c>
      <c r="E210" s="25">
        <v>158.65</v>
      </c>
      <c r="F210" s="25">
        <v>201633.0</v>
      </c>
    </row>
    <row r="211">
      <c r="A211" s="25">
        <v>38658.645833333336</v>
      </c>
      <c r="B211" s="25">
        <v>159.38</v>
      </c>
      <c r="C211" s="25">
        <v>162.74</v>
      </c>
      <c r="D211" s="25">
        <v>156.07</v>
      </c>
      <c r="E211" s="25">
        <v>161.66</v>
      </c>
      <c r="F211" s="25">
        <v>1051394.0</v>
      </c>
    </row>
    <row r="212">
      <c r="A212" s="25">
        <v>38663.645833333336</v>
      </c>
      <c r="B212" s="25">
        <v>158.38</v>
      </c>
      <c r="C212" s="25">
        <v>166.24</v>
      </c>
      <c r="D212" s="25">
        <v>158.38</v>
      </c>
      <c r="E212" s="25">
        <v>164.9</v>
      </c>
      <c r="F212" s="25">
        <v>1097600.0</v>
      </c>
    </row>
    <row r="213">
      <c r="A213" s="25">
        <v>38664.645833333336</v>
      </c>
      <c r="B213" s="25">
        <v>164.81</v>
      </c>
      <c r="C213" s="25">
        <v>166.56</v>
      </c>
      <c r="D213" s="25">
        <v>164.38</v>
      </c>
      <c r="E213" s="25">
        <v>165.24</v>
      </c>
      <c r="F213" s="25">
        <v>872965.0</v>
      </c>
    </row>
    <row r="214">
      <c r="A214" s="25">
        <v>38665.645833333336</v>
      </c>
      <c r="B214" s="25">
        <v>166.56</v>
      </c>
      <c r="C214" s="25">
        <v>167.44</v>
      </c>
      <c r="D214" s="25">
        <v>162.38</v>
      </c>
      <c r="E214" s="25">
        <v>163.07</v>
      </c>
      <c r="F214" s="25">
        <v>690513.0</v>
      </c>
    </row>
    <row r="215">
      <c r="A215" s="25">
        <v>38666.645833333336</v>
      </c>
      <c r="B215" s="25">
        <v>163.13</v>
      </c>
      <c r="C215" s="25">
        <v>166.63</v>
      </c>
      <c r="D215" s="25">
        <v>162.63</v>
      </c>
      <c r="E215" s="25">
        <v>165.87</v>
      </c>
      <c r="F215" s="25">
        <v>878462.0</v>
      </c>
    </row>
    <row r="216">
      <c r="A216" s="25">
        <v>38667.645833333336</v>
      </c>
      <c r="B216" s="25">
        <v>166.24</v>
      </c>
      <c r="C216" s="25">
        <v>168.63</v>
      </c>
      <c r="D216" s="25">
        <v>165.75</v>
      </c>
      <c r="E216" s="25">
        <v>167.57</v>
      </c>
      <c r="F216" s="25">
        <v>728198.0</v>
      </c>
    </row>
    <row r="217">
      <c r="A217" s="25">
        <v>38670.645833333336</v>
      </c>
      <c r="B217" s="25">
        <v>167.94</v>
      </c>
      <c r="C217" s="25">
        <v>169.31</v>
      </c>
      <c r="D217" s="25">
        <v>164.44</v>
      </c>
      <c r="E217" s="25">
        <v>165.79</v>
      </c>
      <c r="F217" s="25">
        <v>801473.0</v>
      </c>
    </row>
    <row r="218">
      <c r="A218" s="25">
        <v>38672.645833333336</v>
      </c>
      <c r="B218" s="25">
        <v>166.56</v>
      </c>
      <c r="C218" s="25">
        <v>171.8</v>
      </c>
      <c r="D218" s="25">
        <v>165.94</v>
      </c>
      <c r="E218" s="25">
        <v>171.29</v>
      </c>
      <c r="F218" s="25">
        <v>1420376.0</v>
      </c>
    </row>
    <row r="219">
      <c r="A219" s="25">
        <v>38673.645833333336</v>
      </c>
      <c r="B219" s="25">
        <v>171.25</v>
      </c>
      <c r="C219" s="25">
        <v>171.56</v>
      </c>
      <c r="D219" s="25">
        <v>168.19</v>
      </c>
      <c r="E219" s="25">
        <v>169.19</v>
      </c>
      <c r="F219" s="25">
        <v>852754.0</v>
      </c>
    </row>
    <row r="220">
      <c r="A220" s="25">
        <v>38674.645833333336</v>
      </c>
      <c r="B220" s="25">
        <v>170.0</v>
      </c>
      <c r="C220" s="25">
        <v>171.53</v>
      </c>
      <c r="D220" s="25">
        <v>168.76</v>
      </c>
      <c r="E220" s="25">
        <v>169.65</v>
      </c>
      <c r="F220" s="25">
        <v>874373.0</v>
      </c>
    </row>
    <row r="221">
      <c r="A221" s="25">
        <v>38677.645833333336</v>
      </c>
      <c r="B221" s="25">
        <v>169.94</v>
      </c>
      <c r="C221" s="25">
        <v>170.62</v>
      </c>
      <c r="D221" s="25">
        <v>166.13</v>
      </c>
      <c r="E221" s="25">
        <v>167.31</v>
      </c>
      <c r="F221" s="25">
        <v>896132.0</v>
      </c>
    </row>
    <row r="222">
      <c r="A222" s="25">
        <v>38678.645833333336</v>
      </c>
      <c r="B222" s="25">
        <v>168.13</v>
      </c>
      <c r="C222" s="25">
        <v>170.0</v>
      </c>
      <c r="D222" s="25">
        <v>166.69</v>
      </c>
      <c r="E222" s="25">
        <v>167.28</v>
      </c>
      <c r="F222" s="25">
        <v>793159.0</v>
      </c>
    </row>
    <row r="223">
      <c r="A223" s="25">
        <v>38679.645833333336</v>
      </c>
      <c r="B223" s="25">
        <v>167.25</v>
      </c>
      <c r="C223" s="25">
        <v>168.47</v>
      </c>
      <c r="D223" s="25">
        <v>166.5</v>
      </c>
      <c r="E223" s="25">
        <v>167.7</v>
      </c>
      <c r="F223" s="25">
        <v>639946.0</v>
      </c>
    </row>
    <row r="224">
      <c r="A224" s="25">
        <v>38680.645833333336</v>
      </c>
      <c r="B224" s="25">
        <v>167.69</v>
      </c>
      <c r="C224" s="25">
        <v>170.56</v>
      </c>
      <c r="D224" s="25">
        <v>167.69</v>
      </c>
      <c r="E224" s="25">
        <v>168.81</v>
      </c>
      <c r="F224" s="25">
        <v>1007562.0</v>
      </c>
    </row>
    <row r="225">
      <c r="A225" s="25">
        <v>38681.645833333336</v>
      </c>
      <c r="B225" s="25">
        <v>170.31</v>
      </c>
      <c r="C225" s="25">
        <v>172.5</v>
      </c>
      <c r="D225" s="25">
        <v>169.25</v>
      </c>
      <c r="E225" s="25">
        <v>171.28</v>
      </c>
      <c r="F225" s="25">
        <v>841172.0</v>
      </c>
    </row>
    <row r="226">
      <c r="A226" s="25">
        <v>38684.645833333336</v>
      </c>
      <c r="B226" s="25">
        <v>171.88</v>
      </c>
      <c r="C226" s="25">
        <v>172.94</v>
      </c>
      <c r="D226" s="25">
        <v>171.31</v>
      </c>
      <c r="E226" s="25">
        <v>172.4</v>
      </c>
      <c r="F226" s="25">
        <v>750155.0</v>
      </c>
    </row>
    <row r="227">
      <c r="A227" s="25">
        <v>38685.645833333336</v>
      </c>
      <c r="B227" s="25">
        <v>171.88</v>
      </c>
      <c r="C227" s="25">
        <v>171.88</v>
      </c>
      <c r="D227" s="25">
        <v>169.51</v>
      </c>
      <c r="E227" s="25">
        <v>171.0</v>
      </c>
      <c r="F227" s="25">
        <v>801885.0</v>
      </c>
    </row>
    <row r="228">
      <c r="A228" s="25">
        <v>38686.645833333336</v>
      </c>
      <c r="B228" s="25">
        <v>171.25</v>
      </c>
      <c r="C228" s="25">
        <v>172.31</v>
      </c>
      <c r="D228" s="25">
        <v>167.27</v>
      </c>
      <c r="E228" s="25">
        <v>167.78</v>
      </c>
      <c r="F228" s="25">
        <v>773478.0</v>
      </c>
    </row>
    <row r="229">
      <c r="A229" s="25">
        <v>38687.645833333336</v>
      </c>
      <c r="B229" s="25">
        <v>168.13</v>
      </c>
      <c r="C229" s="25">
        <v>174.06</v>
      </c>
      <c r="D229" s="25">
        <v>166.63</v>
      </c>
      <c r="E229" s="25">
        <v>172.99</v>
      </c>
      <c r="F229" s="25">
        <v>1203891.0</v>
      </c>
    </row>
    <row r="230">
      <c r="A230" s="25">
        <v>38688.645833333336</v>
      </c>
      <c r="B230" s="25">
        <v>174.06</v>
      </c>
      <c r="C230" s="25">
        <v>180.92</v>
      </c>
      <c r="D230" s="25">
        <v>174.06</v>
      </c>
      <c r="E230" s="25">
        <v>177.58</v>
      </c>
      <c r="F230" s="25">
        <v>2142224.0</v>
      </c>
    </row>
    <row r="231">
      <c r="A231" s="25">
        <v>38691.645833333336</v>
      </c>
      <c r="B231" s="25">
        <v>179.06</v>
      </c>
      <c r="C231" s="25">
        <v>179.65</v>
      </c>
      <c r="D231" s="25">
        <v>173.63</v>
      </c>
      <c r="E231" s="25">
        <v>174.21</v>
      </c>
      <c r="F231" s="25">
        <v>677919.0</v>
      </c>
    </row>
    <row r="232">
      <c r="A232" s="25">
        <v>38692.645833333336</v>
      </c>
      <c r="B232" s="25">
        <v>174.38</v>
      </c>
      <c r="C232" s="25">
        <v>177.0</v>
      </c>
      <c r="D232" s="25">
        <v>173.26</v>
      </c>
      <c r="E232" s="25">
        <v>174.62</v>
      </c>
      <c r="F232" s="25">
        <v>796996.0</v>
      </c>
    </row>
    <row r="233">
      <c r="A233" s="25">
        <v>38693.645833333336</v>
      </c>
      <c r="B233" s="25">
        <v>175.0</v>
      </c>
      <c r="C233" s="25">
        <v>176.63</v>
      </c>
      <c r="D233" s="25">
        <v>173.5</v>
      </c>
      <c r="E233" s="25">
        <v>175.12</v>
      </c>
      <c r="F233" s="25">
        <v>961466.0</v>
      </c>
    </row>
    <row r="234">
      <c r="A234" s="25">
        <v>38694.645833333336</v>
      </c>
      <c r="B234" s="25">
        <v>175.63</v>
      </c>
      <c r="C234" s="25">
        <v>177.61</v>
      </c>
      <c r="D234" s="25">
        <v>174.69</v>
      </c>
      <c r="E234" s="25">
        <v>176.33</v>
      </c>
      <c r="F234" s="25">
        <v>768115.0</v>
      </c>
    </row>
    <row r="235">
      <c r="A235" s="25">
        <v>38695.645833333336</v>
      </c>
      <c r="B235" s="25">
        <v>176.56</v>
      </c>
      <c r="C235" s="25">
        <v>180.56</v>
      </c>
      <c r="D235" s="25">
        <v>175.75</v>
      </c>
      <c r="E235" s="25">
        <v>179.6</v>
      </c>
      <c r="F235" s="25">
        <v>725824.0</v>
      </c>
    </row>
    <row r="236">
      <c r="A236" s="25">
        <v>38698.645833333336</v>
      </c>
      <c r="B236" s="25">
        <v>180.19</v>
      </c>
      <c r="C236" s="25">
        <v>183.5</v>
      </c>
      <c r="D236" s="25">
        <v>179.15</v>
      </c>
      <c r="E236" s="25">
        <v>182.88</v>
      </c>
      <c r="F236" s="25">
        <v>755476.0</v>
      </c>
    </row>
    <row r="237">
      <c r="A237" s="25">
        <v>38699.645833333336</v>
      </c>
      <c r="B237" s="25">
        <v>183.5</v>
      </c>
      <c r="C237" s="25">
        <v>184.69</v>
      </c>
      <c r="D237" s="25">
        <v>181.5</v>
      </c>
      <c r="E237" s="25">
        <v>184.18</v>
      </c>
      <c r="F237" s="25">
        <v>1103697.0</v>
      </c>
    </row>
    <row r="238">
      <c r="A238" s="25">
        <v>38700.645833333336</v>
      </c>
      <c r="B238" s="25">
        <v>183.75</v>
      </c>
      <c r="C238" s="25">
        <v>184.19</v>
      </c>
      <c r="D238" s="25">
        <v>178.94</v>
      </c>
      <c r="E238" s="25">
        <v>180.35</v>
      </c>
      <c r="F238" s="25">
        <v>1095644.0</v>
      </c>
    </row>
    <row r="239">
      <c r="A239" s="25">
        <v>38701.645833333336</v>
      </c>
      <c r="B239" s="25">
        <v>179.06</v>
      </c>
      <c r="C239" s="25">
        <v>183.36</v>
      </c>
      <c r="D239" s="25">
        <v>179.06</v>
      </c>
      <c r="E239" s="25">
        <v>182.35</v>
      </c>
      <c r="F239" s="25">
        <v>1506157.0</v>
      </c>
    </row>
    <row r="240">
      <c r="A240" s="25">
        <v>38702.645833333336</v>
      </c>
      <c r="B240" s="25">
        <v>184.38</v>
      </c>
      <c r="C240" s="25">
        <v>187.63</v>
      </c>
      <c r="D240" s="25">
        <v>181.56</v>
      </c>
      <c r="E240" s="25">
        <v>186.39</v>
      </c>
      <c r="F240" s="25">
        <v>1430749.0</v>
      </c>
    </row>
    <row r="241">
      <c r="A241" s="25">
        <v>38705.645833333336</v>
      </c>
      <c r="B241" s="25">
        <v>183.38</v>
      </c>
      <c r="C241" s="25">
        <v>189.69</v>
      </c>
      <c r="D241" s="25">
        <v>183.38</v>
      </c>
      <c r="E241" s="25">
        <v>188.98</v>
      </c>
      <c r="F241" s="25">
        <v>714063.0</v>
      </c>
    </row>
    <row r="242">
      <c r="A242" s="25">
        <v>38706.645833333336</v>
      </c>
      <c r="B242" s="25">
        <v>188.13</v>
      </c>
      <c r="C242" s="25">
        <v>188.13</v>
      </c>
      <c r="D242" s="25">
        <v>184.73</v>
      </c>
      <c r="E242" s="25">
        <v>185.64</v>
      </c>
      <c r="F242" s="25">
        <v>429798.0</v>
      </c>
    </row>
    <row r="243">
      <c r="A243" s="25">
        <v>38707.645833333336</v>
      </c>
      <c r="B243" s="25">
        <v>185.31</v>
      </c>
      <c r="C243" s="25">
        <v>187.94</v>
      </c>
      <c r="D243" s="25">
        <v>183.63</v>
      </c>
      <c r="E243" s="25">
        <v>185.88</v>
      </c>
      <c r="F243" s="25">
        <v>639187.0</v>
      </c>
    </row>
    <row r="244">
      <c r="A244" s="25">
        <v>38708.645833333336</v>
      </c>
      <c r="B244" s="25">
        <v>187.38</v>
      </c>
      <c r="C244" s="25">
        <v>187.63</v>
      </c>
      <c r="D244" s="25">
        <v>185.75</v>
      </c>
      <c r="E244" s="25">
        <v>186.43</v>
      </c>
      <c r="F244" s="25">
        <v>485075.0</v>
      </c>
    </row>
    <row r="245">
      <c r="A245" s="25">
        <v>38709.645833333336</v>
      </c>
      <c r="B245" s="25">
        <v>186.88</v>
      </c>
      <c r="C245" s="25">
        <v>188.43</v>
      </c>
      <c r="D245" s="25">
        <v>185.94</v>
      </c>
      <c r="E245" s="25">
        <v>186.32</v>
      </c>
      <c r="F245" s="25">
        <v>653634.0</v>
      </c>
    </row>
    <row r="246">
      <c r="A246" s="25">
        <v>38712.645833333336</v>
      </c>
      <c r="B246" s="25">
        <v>186.38</v>
      </c>
      <c r="C246" s="25">
        <v>186.88</v>
      </c>
      <c r="D246" s="25">
        <v>183.76</v>
      </c>
      <c r="E246" s="25">
        <v>184.43</v>
      </c>
      <c r="F246" s="25">
        <v>392339.0</v>
      </c>
    </row>
    <row r="247">
      <c r="A247" s="25">
        <v>38713.645833333336</v>
      </c>
      <c r="B247" s="25">
        <v>184.69</v>
      </c>
      <c r="C247" s="25">
        <v>187.5</v>
      </c>
      <c r="D247" s="25">
        <v>182.57</v>
      </c>
      <c r="E247" s="25">
        <v>187.15</v>
      </c>
      <c r="F247" s="25">
        <v>404278.0</v>
      </c>
    </row>
    <row r="248">
      <c r="A248" s="25">
        <v>38714.645833333336</v>
      </c>
      <c r="B248" s="25">
        <v>187.44</v>
      </c>
      <c r="C248" s="25">
        <v>187.5</v>
      </c>
      <c r="D248" s="25">
        <v>185.13</v>
      </c>
      <c r="E248" s="25">
        <v>186.79</v>
      </c>
      <c r="F248" s="25">
        <v>429033.0</v>
      </c>
    </row>
    <row r="249">
      <c r="A249" s="25">
        <v>38715.645833333336</v>
      </c>
      <c r="B249" s="25">
        <v>187.19</v>
      </c>
      <c r="C249" s="25">
        <v>189.38</v>
      </c>
      <c r="D249" s="25">
        <v>185.69</v>
      </c>
      <c r="E249" s="25">
        <v>186.72</v>
      </c>
      <c r="F249" s="25">
        <v>1101347.0</v>
      </c>
    </row>
    <row r="250">
      <c r="A250" s="25">
        <v>38716.645833333336</v>
      </c>
      <c r="B250" s="25">
        <v>188.13</v>
      </c>
      <c r="C250" s="25">
        <v>188.68</v>
      </c>
      <c r="D250" s="25">
        <v>185.89</v>
      </c>
      <c r="E250" s="25">
        <v>187.3</v>
      </c>
      <c r="F250" s="25">
        <v>850628.0</v>
      </c>
    </row>
    <row r="251">
      <c r="A251" s="25">
        <v>38719.645833333336</v>
      </c>
      <c r="B251" s="25">
        <v>187.94</v>
      </c>
      <c r="C251" s="25">
        <v>187.94</v>
      </c>
      <c r="D251" s="25">
        <v>185.81</v>
      </c>
      <c r="E251" s="25">
        <v>186.21</v>
      </c>
      <c r="F251" s="25">
        <v>415500.0</v>
      </c>
    </row>
    <row r="252">
      <c r="A252" s="25">
        <v>38720.645833333336</v>
      </c>
      <c r="B252" s="25">
        <v>186.88</v>
      </c>
      <c r="C252" s="25">
        <v>188.44</v>
      </c>
      <c r="D252" s="25">
        <v>186.19</v>
      </c>
      <c r="E252" s="25">
        <v>187.93</v>
      </c>
      <c r="F252" s="25">
        <v>497496.0</v>
      </c>
    </row>
    <row r="253">
      <c r="A253" s="25">
        <v>38721.645833333336</v>
      </c>
      <c r="B253" s="25">
        <v>188.19</v>
      </c>
      <c r="C253" s="25">
        <v>191.56</v>
      </c>
      <c r="D253" s="25">
        <v>187.2</v>
      </c>
      <c r="E253" s="25">
        <v>190.96</v>
      </c>
      <c r="F253" s="25">
        <v>784558.0</v>
      </c>
    </row>
    <row r="254">
      <c r="A254" s="25">
        <v>38722.645833333336</v>
      </c>
      <c r="B254" s="25">
        <v>191.5</v>
      </c>
      <c r="C254" s="25">
        <v>191.87</v>
      </c>
      <c r="D254" s="25">
        <v>190.08</v>
      </c>
      <c r="E254" s="25">
        <v>190.93</v>
      </c>
      <c r="F254" s="25">
        <v>472285.0</v>
      </c>
    </row>
    <row r="255">
      <c r="A255" s="25">
        <v>38723.645833333336</v>
      </c>
      <c r="B255" s="25">
        <v>190.63</v>
      </c>
      <c r="C255" s="25">
        <v>191.88</v>
      </c>
      <c r="D255" s="25">
        <v>188.64</v>
      </c>
      <c r="E255" s="25">
        <v>190.83</v>
      </c>
      <c r="F255" s="25">
        <v>1062988.0</v>
      </c>
    </row>
    <row r="256">
      <c r="A256" s="25">
        <v>38726.645833333336</v>
      </c>
      <c r="B256" s="25">
        <v>191.88</v>
      </c>
      <c r="C256" s="25">
        <v>192.49</v>
      </c>
      <c r="D256" s="25">
        <v>189.08</v>
      </c>
      <c r="E256" s="25">
        <v>189.74</v>
      </c>
      <c r="F256" s="25">
        <v>1004424.0</v>
      </c>
    </row>
    <row r="257">
      <c r="A257" s="25">
        <v>38727.645833333336</v>
      </c>
      <c r="B257" s="25">
        <v>190.95</v>
      </c>
      <c r="C257" s="25">
        <v>190.95</v>
      </c>
      <c r="D257" s="25">
        <v>185.06</v>
      </c>
      <c r="E257" s="25">
        <v>185.95</v>
      </c>
      <c r="F257" s="25">
        <v>1343815.0</v>
      </c>
    </row>
    <row r="258">
      <c r="A258" s="25">
        <v>38729.645833333336</v>
      </c>
      <c r="B258" s="25">
        <v>184.38</v>
      </c>
      <c r="C258" s="25">
        <v>184.38</v>
      </c>
      <c r="D258" s="25">
        <v>172.69</v>
      </c>
      <c r="E258" s="25">
        <v>177.36</v>
      </c>
      <c r="F258" s="25">
        <v>4912611.0</v>
      </c>
    </row>
    <row r="259">
      <c r="A259" s="25">
        <v>38730.645833333336</v>
      </c>
      <c r="B259" s="25">
        <v>178.13</v>
      </c>
      <c r="C259" s="25">
        <v>179.94</v>
      </c>
      <c r="D259" s="25">
        <v>176.94</v>
      </c>
      <c r="E259" s="25">
        <v>177.79</v>
      </c>
      <c r="F259" s="25">
        <v>959981.0</v>
      </c>
    </row>
    <row r="260">
      <c r="A260" s="25">
        <v>38733.645833333336</v>
      </c>
      <c r="B260" s="25">
        <v>176.89</v>
      </c>
      <c r="C260" s="25">
        <v>178.44</v>
      </c>
      <c r="D260" s="25">
        <v>173.27</v>
      </c>
      <c r="E260" s="25">
        <v>173.77</v>
      </c>
      <c r="F260" s="25">
        <v>1393033.0</v>
      </c>
    </row>
    <row r="261">
      <c r="A261" s="25">
        <v>38734.645833333336</v>
      </c>
      <c r="B261" s="25">
        <v>175.0</v>
      </c>
      <c r="C261" s="25">
        <v>175.81</v>
      </c>
      <c r="D261" s="25">
        <v>171.88</v>
      </c>
      <c r="E261" s="25">
        <v>172.64</v>
      </c>
      <c r="F261" s="25">
        <v>942586.0</v>
      </c>
    </row>
    <row r="262">
      <c r="A262" s="25">
        <v>38735.645833333336</v>
      </c>
      <c r="B262" s="25">
        <v>173.13</v>
      </c>
      <c r="C262" s="25">
        <v>173.13</v>
      </c>
      <c r="D262" s="25">
        <v>168.76</v>
      </c>
      <c r="E262" s="25">
        <v>171.24</v>
      </c>
      <c r="F262" s="25">
        <v>1300916.0</v>
      </c>
    </row>
    <row r="263">
      <c r="A263" s="25">
        <v>38736.645833333336</v>
      </c>
      <c r="B263" s="25">
        <v>171.88</v>
      </c>
      <c r="C263" s="25">
        <v>177.42</v>
      </c>
      <c r="D263" s="25">
        <v>171.88</v>
      </c>
      <c r="E263" s="25">
        <v>176.31</v>
      </c>
      <c r="F263" s="25">
        <v>1115512.0</v>
      </c>
    </row>
    <row r="264">
      <c r="A264" s="25">
        <v>38737.645833333336</v>
      </c>
      <c r="B264" s="25">
        <v>177.81</v>
      </c>
      <c r="C264" s="25">
        <v>179.06</v>
      </c>
      <c r="D264" s="25">
        <v>175.13</v>
      </c>
      <c r="E264" s="25">
        <v>175.85</v>
      </c>
      <c r="F264" s="25">
        <v>748813.0</v>
      </c>
    </row>
    <row r="265">
      <c r="A265" s="25">
        <v>38740.645833333336</v>
      </c>
      <c r="B265" s="25">
        <v>175.13</v>
      </c>
      <c r="C265" s="25">
        <v>175.13</v>
      </c>
      <c r="D265" s="25">
        <v>171.01</v>
      </c>
      <c r="E265" s="25">
        <v>171.54</v>
      </c>
      <c r="F265" s="25">
        <v>1123937.0</v>
      </c>
    </row>
    <row r="266">
      <c r="A266" s="25">
        <v>38741.645833333336</v>
      </c>
      <c r="B266" s="25">
        <v>172.75</v>
      </c>
      <c r="C266" s="25">
        <v>176.94</v>
      </c>
      <c r="D266" s="25">
        <v>172.5</v>
      </c>
      <c r="E266" s="25">
        <v>176.37</v>
      </c>
      <c r="F266" s="25">
        <v>794044.0</v>
      </c>
    </row>
    <row r="267">
      <c r="A267" s="25">
        <v>38742.645833333336</v>
      </c>
      <c r="B267" s="25">
        <v>176.94</v>
      </c>
      <c r="C267" s="25">
        <v>179.06</v>
      </c>
      <c r="D267" s="25">
        <v>175.69</v>
      </c>
      <c r="E267" s="25">
        <v>176.74</v>
      </c>
      <c r="F267" s="25">
        <v>1077986.0</v>
      </c>
    </row>
    <row r="268">
      <c r="A268" s="25">
        <v>38744.645833333336</v>
      </c>
      <c r="B268" s="25">
        <v>178.44</v>
      </c>
      <c r="C268" s="25">
        <v>181.93</v>
      </c>
      <c r="D268" s="25">
        <v>178.0</v>
      </c>
      <c r="E268" s="25">
        <v>181.43</v>
      </c>
      <c r="F268" s="25">
        <v>1047966.0</v>
      </c>
    </row>
    <row r="269">
      <c r="A269" s="25">
        <v>38747.645833333336</v>
      </c>
      <c r="B269" s="25">
        <v>181.25</v>
      </c>
      <c r="C269" s="25">
        <v>182.75</v>
      </c>
      <c r="D269" s="25">
        <v>178.26</v>
      </c>
      <c r="E269" s="25">
        <v>178.93</v>
      </c>
      <c r="F269" s="25">
        <v>531561.0</v>
      </c>
    </row>
    <row r="270">
      <c r="A270" s="25">
        <v>38748.645833333336</v>
      </c>
      <c r="B270" s="25">
        <v>173.85</v>
      </c>
      <c r="C270" s="25">
        <v>180.63</v>
      </c>
      <c r="D270" s="25">
        <v>173.85</v>
      </c>
      <c r="E270" s="25">
        <v>180.02</v>
      </c>
      <c r="F270" s="25">
        <v>304324.0</v>
      </c>
    </row>
    <row r="271">
      <c r="A271" s="25">
        <v>38749.645833333336</v>
      </c>
      <c r="B271" s="25">
        <v>180.38</v>
      </c>
      <c r="C271" s="25">
        <v>182.81</v>
      </c>
      <c r="D271" s="25">
        <v>178.57</v>
      </c>
      <c r="E271" s="25">
        <v>179.75</v>
      </c>
      <c r="F271" s="25">
        <v>759749.0</v>
      </c>
    </row>
    <row r="272">
      <c r="A272" s="25">
        <v>38750.645833333336</v>
      </c>
      <c r="B272" s="25">
        <v>178.75</v>
      </c>
      <c r="C272" s="25">
        <v>181.88</v>
      </c>
      <c r="D272" s="25">
        <v>176.08</v>
      </c>
      <c r="E272" s="25">
        <v>176.76</v>
      </c>
      <c r="F272" s="25">
        <v>743139.0</v>
      </c>
    </row>
    <row r="273">
      <c r="A273" s="25">
        <v>38751.645833333336</v>
      </c>
      <c r="B273" s="25">
        <v>176.75</v>
      </c>
      <c r="C273" s="25">
        <v>176.76</v>
      </c>
      <c r="D273" s="25">
        <v>173.83</v>
      </c>
      <c r="E273" s="25">
        <v>174.18</v>
      </c>
      <c r="F273" s="25">
        <v>838993.0</v>
      </c>
    </row>
    <row r="274">
      <c r="A274" s="25">
        <v>38754.645833333336</v>
      </c>
      <c r="B274" s="25">
        <v>174.38</v>
      </c>
      <c r="C274" s="25">
        <v>178.13</v>
      </c>
      <c r="D274" s="25">
        <v>174.08</v>
      </c>
      <c r="E274" s="25">
        <v>177.66</v>
      </c>
      <c r="F274" s="25">
        <v>528578.0</v>
      </c>
    </row>
    <row r="275">
      <c r="A275" s="25">
        <v>38755.645833333336</v>
      </c>
      <c r="B275" s="25">
        <v>177.5</v>
      </c>
      <c r="C275" s="25">
        <v>180.63</v>
      </c>
      <c r="D275" s="25">
        <v>176.9</v>
      </c>
      <c r="E275" s="25">
        <v>179.54</v>
      </c>
      <c r="F275" s="25">
        <v>795304.0</v>
      </c>
    </row>
    <row r="276">
      <c r="A276" s="25">
        <v>38756.645833333336</v>
      </c>
      <c r="B276" s="25">
        <v>177.5</v>
      </c>
      <c r="C276" s="25">
        <v>181.88</v>
      </c>
      <c r="D276" s="25">
        <v>176.33</v>
      </c>
      <c r="E276" s="25">
        <v>181.42</v>
      </c>
      <c r="F276" s="25">
        <v>1270419.0</v>
      </c>
    </row>
    <row r="277">
      <c r="A277" s="25">
        <v>38758.645833333336</v>
      </c>
      <c r="B277" s="25">
        <v>180.63</v>
      </c>
      <c r="C277" s="25">
        <v>182.5</v>
      </c>
      <c r="D277" s="25">
        <v>178.0</v>
      </c>
      <c r="E277" s="25">
        <v>179.02</v>
      </c>
      <c r="F277" s="25">
        <v>1478753.0</v>
      </c>
    </row>
    <row r="278">
      <c r="A278" s="25">
        <v>38761.645833333336</v>
      </c>
      <c r="B278" s="25">
        <v>178.88</v>
      </c>
      <c r="C278" s="25">
        <v>180.0</v>
      </c>
      <c r="D278" s="25">
        <v>178.13</v>
      </c>
      <c r="E278" s="25">
        <v>178.88</v>
      </c>
      <c r="F278" s="25">
        <v>863820.0</v>
      </c>
    </row>
    <row r="279">
      <c r="A279" s="25">
        <v>38762.645833333336</v>
      </c>
      <c r="B279" s="25">
        <v>179.05</v>
      </c>
      <c r="C279" s="25">
        <v>179.05</v>
      </c>
      <c r="D279" s="25">
        <v>176.04</v>
      </c>
      <c r="E279" s="25">
        <v>176.37</v>
      </c>
      <c r="F279" s="25">
        <v>820373.0</v>
      </c>
    </row>
    <row r="280">
      <c r="A280" s="25">
        <v>38763.645833333336</v>
      </c>
      <c r="B280" s="25">
        <v>176.25</v>
      </c>
      <c r="C280" s="25">
        <v>177.79</v>
      </c>
      <c r="D280" s="25">
        <v>172.29</v>
      </c>
      <c r="E280" s="25">
        <v>173.51</v>
      </c>
      <c r="F280" s="25">
        <v>1760846.0</v>
      </c>
    </row>
    <row r="281">
      <c r="A281" s="25">
        <v>38764.645833333336</v>
      </c>
      <c r="B281" s="25">
        <v>173.75</v>
      </c>
      <c r="C281" s="25">
        <v>176.69</v>
      </c>
      <c r="D281" s="25">
        <v>173.29</v>
      </c>
      <c r="E281" s="25">
        <v>173.82</v>
      </c>
      <c r="F281" s="25">
        <v>865536.0</v>
      </c>
    </row>
    <row r="282">
      <c r="A282" s="25">
        <v>38765.645833333336</v>
      </c>
      <c r="B282" s="25">
        <v>171.88</v>
      </c>
      <c r="C282" s="25">
        <v>174.88</v>
      </c>
      <c r="D282" s="25">
        <v>171.63</v>
      </c>
      <c r="E282" s="25">
        <v>174.09</v>
      </c>
      <c r="F282" s="25">
        <v>960899.0</v>
      </c>
    </row>
    <row r="283">
      <c r="A283" s="25">
        <v>38768.645833333336</v>
      </c>
      <c r="B283" s="25">
        <v>174.06</v>
      </c>
      <c r="C283" s="25">
        <v>177.35</v>
      </c>
      <c r="D283" s="25">
        <v>171.88</v>
      </c>
      <c r="E283" s="25">
        <v>176.78</v>
      </c>
      <c r="F283" s="25">
        <v>788270.0</v>
      </c>
    </row>
    <row r="284">
      <c r="A284" s="25">
        <v>38769.645833333336</v>
      </c>
      <c r="B284" s="25">
        <v>176.88</v>
      </c>
      <c r="C284" s="25">
        <v>177.73</v>
      </c>
      <c r="D284" s="25">
        <v>175.25</v>
      </c>
      <c r="E284" s="25">
        <v>176.1</v>
      </c>
      <c r="F284" s="25">
        <v>534657.0</v>
      </c>
    </row>
    <row r="285">
      <c r="A285" s="25">
        <v>38770.645833333336</v>
      </c>
      <c r="B285" s="25">
        <v>176.06</v>
      </c>
      <c r="C285" s="25">
        <v>176.25</v>
      </c>
      <c r="D285" s="25">
        <v>173.83</v>
      </c>
      <c r="E285" s="25">
        <v>175.03</v>
      </c>
      <c r="F285" s="25">
        <v>702403.0</v>
      </c>
    </row>
    <row r="286">
      <c r="A286" s="25">
        <v>38771.645833333336</v>
      </c>
      <c r="B286" s="25">
        <v>175.63</v>
      </c>
      <c r="C286" s="25">
        <v>177.56</v>
      </c>
      <c r="D286" s="25">
        <v>173.5</v>
      </c>
      <c r="E286" s="25">
        <v>174.66</v>
      </c>
      <c r="F286" s="25">
        <v>1166765.0</v>
      </c>
    </row>
    <row r="287">
      <c r="A287" s="25">
        <v>38772.645833333336</v>
      </c>
      <c r="B287" s="25">
        <v>174.66</v>
      </c>
      <c r="C287" s="25">
        <v>175.62</v>
      </c>
      <c r="D287" s="25">
        <v>171.89</v>
      </c>
      <c r="E287" s="25">
        <v>172.35</v>
      </c>
      <c r="F287" s="25">
        <v>625214.0</v>
      </c>
    </row>
    <row r="288">
      <c r="A288" s="25">
        <v>38775.645833333336</v>
      </c>
      <c r="B288" s="25">
        <v>173.13</v>
      </c>
      <c r="C288" s="25">
        <v>178.66</v>
      </c>
      <c r="D288" s="25">
        <v>172.96</v>
      </c>
      <c r="E288" s="25">
        <v>178.16</v>
      </c>
      <c r="F288" s="25">
        <v>1197602.0</v>
      </c>
    </row>
    <row r="289">
      <c r="A289" s="25">
        <v>38776.645833333336</v>
      </c>
      <c r="B289" s="25">
        <v>178.66</v>
      </c>
      <c r="C289" s="25">
        <v>180.5</v>
      </c>
      <c r="D289" s="25">
        <v>175.16</v>
      </c>
      <c r="E289" s="25">
        <v>176.81</v>
      </c>
      <c r="F289" s="25">
        <v>1378468.0</v>
      </c>
    </row>
    <row r="290">
      <c r="A290" s="25">
        <v>38777.645833333336</v>
      </c>
      <c r="B290" s="25">
        <v>176.19</v>
      </c>
      <c r="C290" s="25">
        <v>182.18</v>
      </c>
      <c r="D290" s="25">
        <v>174.69</v>
      </c>
      <c r="E290" s="25">
        <v>181.57</v>
      </c>
      <c r="F290" s="25">
        <v>1285990.0</v>
      </c>
    </row>
    <row r="291">
      <c r="A291" s="25">
        <v>38778.645833333336</v>
      </c>
      <c r="B291" s="25">
        <v>181.88</v>
      </c>
      <c r="C291" s="25">
        <v>182.38</v>
      </c>
      <c r="D291" s="25">
        <v>177.81</v>
      </c>
      <c r="E291" s="25">
        <v>178.39</v>
      </c>
      <c r="F291" s="25">
        <v>1091935.0</v>
      </c>
    </row>
    <row r="292">
      <c r="A292" s="25">
        <v>38779.645833333336</v>
      </c>
      <c r="B292" s="25">
        <v>178.75</v>
      </c>
      <c r="C292" s="25">
        <v>180.13</v>
      </c>
      <c r="D292" s="25">
        <v>175.07</v>
      </c>
      <c r="E292" s="25">
        <v>176.52</v>
      </c>
      <c r="F292" s="25">
        <v>854241.0</v>
      </c>
    </row>
    <row r="293">
      <c r="A293" s="25">
        <v>38782.645833333336</v>
      </c>
      <c r="B293" s="25">
        <v>176.5</v>
      </c>
      <c r="C293" s="25">
        <v>179.81</v>
      </c>
      <c r="D293" s="25">
        <v>176.25</v>
      </c>
      <c r="E293" s="25">
        <v>178.44</v>
      </c>
      <c r="F293" s="25">
        <v>664545.0</v>
      </c>
    </row>
    <row r="294">
      <c r="A294" s="25">
        <v>38783.645833333336</v>
      </c>
      <c r="B294" s="25">
        <v>178.75</v>
      </c>
      <c r="C294" s="25">
        <v>178.75</v>
      </c>
      <c r="D294" s="25">
        <v>175.19</v>
      </c>
      <c r="E294" s="25">
        <v>176.22</v>
      </c>
      <c r="F294" s="25">
        <v>1160967.0</v>
      </c>
    </row>
    <row r="295">
      <c r="A295" s="25">
        <v>38784.645833333336</v>
      </c>
      <c r="B295" s="25">
        <v>176.56</v>
      </c>
      <c r="C295" s="25">
        <v>177.96</v>
      </c>
      <c r="D295" s="25">
        <v>173.31</v>
      </c>
      <c r="E295" s="25">
        <v>175.07</v>
      </c>
      <c r="F295" s="25">
        <v>1695016.0</v>
      </c>
    </row>
    <row r="296">
      <c r="A296" s="25">
        <v>38785.645833333336</v>
      </c>
      <c r="B296" s="25">
        <v>174.19</v>
      </c>
      <c r="C296" s="25">
        <v>178.44</v>
      </c>
      <c r="D296" s="25">
        <v>173.75</v>
      </c>
      <c r="E296" s="25">
        <v>177.69</v>
      </c>
      <c r="F296" s="25">
        <v>908192.0</v>
      </c>
    </row>
    <row r="297">
      <c r="A297" s="25">
        <v>38786.645833333336</v>
      </c>
      <c r="B297" s="25">
        <v>178.75</v>
      </c>
      <c r="C297" s="25">
        <v>182.75</v>
      </c>
      <c r="D297" s="25">
        <v>177.63</v>
      </c>
      <c r="E297" s="25">
        <v>182.09</v>
      </c>
      <c r="F297" s="25">
        <v>1227648.0</v>
      </c>
    </row>
    <row r="298">
      <c r="A298" s="25">
        <v>38789.645833333336</v>
      </c>
      <c r="B298" s="25">
        <v>182.88</v>
      </c>
      <c r="C298" s="25">
        <v>185.9</v>
      </c>
      <c r="D298" s="25">
        <v>181.88</v>
      </c>
      <c r="E298" s="25">
        <v>183.45</v>
      </c>
      <c r="F298" s="25">
        <v>1115378.0</v>
      </c>
    </row>
    <row r="299">
      <c r="A299" s="25">
        <v>38790.645833333336</v>
      </c>
      <c r="B299" s="25">
        <v>187.34</v>
      </c>
      <c r="C299" s="25">
        <v>187.34</v>
      </c>
      <c r="D299" s="25">
        <v>181.63</v>
      </c>
      <c r="E299" s="25">
        <v>183.28</v>
      </c>
      <c r="F299" s="25">
        <v>930115.0</v>
      </c>
    </row>
    <row r="300">
      <c r="A300" s="25">
        <v>38792.645833333336</v>
      </c>
      <c r="B300" s="25">
        <v>183.5</v>
      </c>
      <c r="C300" s="25">
        <v>183.69</v>
      </c>
      <c r="D300" s="25">
        <v>181.54</v>
      </c>
      <c r="E300" s="25">
        <v>182.61</v>
      </c>
      <c r="F300" s="25">
        <v>1290000.0</v>
      </c>
    </row>
    <row r="301">
      <c r="A301" s="25">
        <v>38793.645833333336</v>
      </c>
      <c r="B301" s="25">
        <v>184.31</v>
      </c>
      <c r="C301" s="25">
        <v>184.31</v>
      </c>
      <c r="D301" s="25">
        <v>179.07</v>
      </c>
      <c r="E301" s="25">
        <v>179.87</v>
      </c>
      <c r="F301" s="25">
        <v>849448.0</v>
      </c>
    </row>
    <row r="302">
      <c r="A302" s="25">
        <v>38796.645833333336</v>
      </c>
      <c r="B302" s="25">
        <v>179.69</v>
      </c>
      <c r="C302" s="25">
        <v>186.31</v>
      </c>
      <c r="D302" s="25">
        <v>179.69</v>
      </c>
      <c r="E302" s="25">
        <v>185.43</v>
      </c>
      <c r="F302" s="25">
        <v>922595.0</v>
      </c>
    </row>
    <row r="303">
      <c r="A303" s="25">
        <v>38797.645833333336</v>
      </c>
      <c r="B303" s="25">
        <v>185.63</v>
      </c>
      <c r="C303" s="25">
        <v>187.38</v>
      </c>
      <c r="D303" s="25">
        <v>182.81</v>
      </c>
      <c r="E303" s="25">
        <v>184.98</v>
      </c>
      <c r="F303" s="25">
        <v>1000826.0</v>
      </c>
    </row>
    <row r="304">
      <c r="A304" s="25">
        <v>38798.645833333336</v>
      </c>
      <c r="B304" s="25">
        <v>185.0</v>
      </c>
      <c r="C304" s="25">
        <v>185.0</v>
      </c>
      <c r="D304" s="25">
        <v>181.31</v>
      </c>
      <c r="E304" s="25">
        <v>182.5</v>
      </c>
      <c r="F304" s="25">
        <v>465129.0</v>
      </c>
    </row>
    <row r="305">
      <c r="A305" s="25">
        <v>38799.645833333336</v>
      </c>
      <c r="B305" s="25">
        <v>182.5</v>
      </c>
      <c r="C305" s="25">
        <v>184.38</v>
      </c>
      <c r="D305" s="25">
        <v>180.0</v>
      </c>
      <c r="E305" s="25">
        <v>180.65</v>
      </c>
      <c r="F305" s="25">
        <v>940358.0</v>
      </c>
    </row>
    <row r="306">
      <c r="A306" s="25">
        <v>38800.645833333336</v>
      </c>
      <c r="B306" s="25">
        <v>180.65</v>
      </c>
      <c r="C306" s="25">
        <v>182.18</v>
      </c>
      <c r="D306" s="25">
        <v>180.0</v>
      </c>
      <c r="E306" s="25">
        <v>181.02</v>
      </c>
      <c r="F306" s="25">
        <v>671880.0</v>
      </c>
    </row>
    <row r="307">
      <c r="A307" s="25">
        <v>38803.645833333336</v>
      </c>
      <c r="B307" s="25">
        <v>181.88</v>
      </c>
      <c r="C307" s="25">
        <v>181.88</v>
      </c>
      <c r="D307" s="25">
        <v>179.38</v>
      </c>
      <c r="E307" s="25">
        <v>179.96</v>
      </c>
      <c r="F307" s="25">
        <v>581169.0</v>
      </c>
    </row>
    <row r="308">
      <c r="A308" s="25">
        <v>38804.645833333336</v>
      </c>
      <c r="B308" s="25">
        <v>181.23</v>
      </c>
      <c r="C308" s="25">
        <v>186.09</v>
      </c>
      <c r="D308" s="25">
        <v>180.31</v>
      </c>
      <c r="E308" s="25">
        <v>185.0</v>
      </c>
      <c r="F308" s="25">
        <v>1096341.0</v>
      </c>
    </row>
    <row r="309">
      <c r="A309" s="25">
        <v>38805.645833333336</v>
      </c>
      <c r="B309" s="25">
        <v>186.27</v>
      </c>
      <c r="C309" s="25">
        <v>190.25</v>
      </c>
      <c r="D309" s="25">
        <v>184.44</v>
      </c>
      <c r="E309" s="25">
        <v>189.78</v>
      </c>
      <c r="F309" s="25">
        <v>867109.0</v>
      </c>
    </row>
    <row r="310">
      <c r="A310" s="25">
        <v>38806.645833333336</v>
      </c>
      <c r="B310" s="25">
        <v>190.32</v>
      </c>
      <c r="C310" s="25">
        <v>192.13</v>
      </c>
      <c r="D310" s="25">
        <v>188.27</v>
      </c>
      <c r="E310" s="25">
        <v>190.19</v>
      </c>
      <c r="F310" s="25">
        <v>1105940.0</v>
      </c>
    </row>
    <row r="311">
      <c r="A311" s="25">
        <v>38807.645833333336</v>
      </c>
      <c r="B311" s="25">
        <v>190.56</v>
      </c>
      <c r="C311" s="25">
        <v>190.56</v>
      </c>
      <c r="D311" s="25">
        <v>185.63</v>
      </c>
      <c r="E311" s="25">
        <v>186.34</v>
      </c>
      <c r="F311" s="25">
        <v>964382.0</v>
      </c>
    </row>
    <row r="312">
      <c r="A312" s="25">
        <v>38810.645833333336</v>
      </c>
      <c r="B312" s="25">
        <v>187.5</v>
      </c>
      <c r="C312" s="25">
        <v>197.19</v>
      </c>
      <c r="D312" s="25">
        <v>187.5</v>
      </c>
      <c r="E312" s="25">
        <v>196.38</v>
      </c>
      <c r="F312" s="25">
        <v>1567790.0</v>
      </c>
    </row>
    <row r="313">
      <c r="A313" s="25">
        <v>38811.645833333336</v>
      </c>
      <c r="B313" s="25">
        <v>198.88</v>
      </c>
      <c r="C313" s="25">
        <v>199.12</v>
      </c>
      <c r="D313" s="25">
        <v>195.01</v>
      </c>
      <c r="E313" s="25">
        <v>197.04</v>
      </c>
      <c r="F313" s="25">
        <v>1133881.0</v>
      </c>
    </row>
    <row r="314">
      <c r="A314" s="25">
        <v>38812.645833333336</v>
      </c>
      <c r="B314" s="25">
        <v>197.19</v>
      </c>
      <c r="C314" s="25">
        <v>198.94</v>
      </c>
      <c r="D314" s="25">
        <v>193.81</v>
      </c>
      <c r="E314" s="25">
        <v>194.67</v>
      </c>
      <c r="F314" s="25">
        <v>952612.0</v>
      </c>
    </row>
    <row r="315">
      <c r="A315" s="25">
        <v>38814.645833333336</v>
      </c>
      <c r="B315" s="25">
        <v>210.32</v>
      </c>
      <c r="C315" s="25">
        <v>215.56</v>
      </c>
      <c r="D315" s="25">
        <v>197.17</v>
      </c>
      <c r="E315" s="25">
        <v>197.94</v>
      </c>
      <c r="F315" s="25">
        <v>3926770.0</v>
      </c>
    </row>
    <row r="316">
      <c r="A316" s="25">
        <v>38817.645833333336</v>
      </c>
      <c r="B316" s="25">
        <v>201.19</v>
      </c>
      <c r="C316" s="25">
        <v>204.38</v>
      </c>
      <c r="D316" s="25">
        <v>198.34</v>
      </c>
      <c r="E316" s="25">
        <v>199.33</v>
      </c>
      <c r="F316" s="25">
        <v>1080528.0</v>
      </c>
    </row>
    <row r="317">
      <c r="A317" s="25">
        <v>38819.645833333336</v>
      </c>
      <c r="B317" s="25">
        <v>201.56</v>
      </c>
      <c r="C317" s="25">
        <v>202.49</v>
      </c>
      <c r="D317" s="25">
        <v>191.6</v>
      </c>
      <c r="E317" s="25">
        <v>192.23</v>
      </c>
      <c r="F317" s="25">
        <v>1694989.0</v>
      </c>
    </row>
    <row r="318">
      <c r="A318" s="25">
        <v>38820.645833333336</v>
      </c>
      <c r="B318" s="25">
        <v>193.5</v>
      </c>
      <c r="C318" s="25">
        <v>196.54</v>
      </c>
      <c r="D318" s="25">
        <v>186.38</v>
      </c>
      <c r="E318" s="25">
        <v>188.68</v>
      </c>
      <c r="F318" s="25">
        <v>2569190.0</v>
      </c>
    </row>
    <row r="319">
      <c r="A319" s="25">
        <v>38824.645833333336</v>
      </c>
      <c r="B319" s="25">
        <v>195.31</v>
      </c>
      <c r="C319" s="25">
        <v>202.8</v>
      </c>
      <c r="D319" s="25">
        <v>193.76</v>
      </c>
      <c r="E319" s="25">
        <v>201.87</v>
      </c>
      <c r="F319" s="25">
        <v>2581949.0</v>
      </c>
    </row>
    <row r="320">
      <c r="A320" s="25">
        <v>38825.645833333336</v>
      </c>
      <c r="B320" s="25">
        <v>203.46</v>
      </c>
      <c r="C320" s="25">
        <v>209.19</v>
      </c>
      <c r="D320" s="25">
        <v>203.46</v>
      </c>
      <c r="E320" s="25">
        <v>208.5</v>
      </c>
      <c r="F320" s="25">
        <v>1575534.0</v>
      </c>
    </row>
    <row r="321">
      <c r="A321" s="25">
        <v>38826.645833333336</v>
      </c>
      <c r="B321" s="25">
        <v>209.38</v>
      </c>
      <c r="C321" s="25">
        <v>209.81</v>
      </c>
      <c r="D321" s="25">
        <v>203.13</v>
      </c>
      <c r="E321" s="25">
        <v>204.93</v>
      </c>
      <c r="F321" s="25">
        <v>923049.0</v>
      </c>
    </row>
    <row r="322">
      <c r="A322" s="25">
        <v>38827.645833333336</v>
      </c>
      <c r="B322" s="25">
        <v>205.0</v>
      </c>
      <c r="C322" s="25">
        <v>205.63</v>
      </c>
      <c r="D322" s="25">
        <v>202.26</v>
      </c>
      <c r="E322" s="25">
        <v>204.79</v>
      </c>
      <c r="F322" s="25">
        <v>792376.0</v>
      </c>
    </row>
    <row r="323">
      <c r="A323" s="25">
        <v>38828.645833333336</v>
      </c>
      <c r="B323" s="25">
        <v>205.63</v>
      </c>
      <c r="C323" s="25">
        <v>207.79</v>
      </c>
      <c r="D323" s="25">
        <v>203.25</v>
      </c>
      <c r="E323" s="25">
        <v>206.36</v>
      </c>
      <c r="F323" s="25">
        <v>986940.0</v>
      </c>
    </row>
    <row r="324">
      <c r="A324" s="25">
        <v>38831.645833333336</v>
      </c>
      <c r="B324" s="25">
        <v>206.88</v>
      </c>
      <c r="C324" s="25">
        <v>206.88</v>
      </c>
      <c r="D324" s="25">
        <v>199.06</v>
      </c>
      <c r="E324" s="25">
        <v>200.3</v>
      </c>
      <c r="F324" s="25">
        <v>1108937.0</v>
      </c>
    </row>
    <row r="325">
      <c r="A325" s="25">
        <v>38832.645833333336</v>
      </c>
      <c r="B325" s="25">
        <v>200.63</v>
      </c>
      <c r="C325" s="25">
        <v>200.63</v>
      </c>
      <c r="D325" s="25">
        <v>194.38</v>
      </c>
      <c r="E325" s="25">
        <v>196.37</v>
      </c>
      <c r="F325" s="25">
        <v>1260108.0</v>
      </c>
    </row>
    <row r="326">
      <c r="A326" s="25">
        <v>38833.645833333336</v>
      </c>
      <c r="B326" s="25">
        <v>197.5</v>
      </c>
      <c r="C326" s="25">
        <v>202.81</v>
      </c>
      <c r="D326" s="25">
        <v>196.88</v>
      </c>
      <c r="E326" s="25">
        <v>201.56</v>
      </c>
      <c r="F326" s="25">
        <v>839431.0</v>
      </c>
    </row>
    <row r="327">
      <c r="A327" s="25">
        <v>38834.645833333336</v>
      </c>
      <c r="B327" s="25">
        <v>202.0</v>
      </c>
      <c r="C327" s="25">
        <v>202.0</v>
      </c>
      <c r="D327" s="25">
        <v>194.5</v>
      </c>
      <c r="E327" s="25">
        <v>195.79</v>
      </c>
      <c r="F327" s="25">
        <v>1883371.0</v>
      </c>
    </row>
    <row r="328">
      <c r="A328" s="25">
        <v>38835.645833333336</v>
      </c>
      <c r="B328" s="25">
        <v>196.25</v>
      </c>
      <c r="C328" s="25">
        <v>197.0</v>
      </c>
      <c r="D328" s="25">
        <v>187.56</v>
      </c>
      <c r="E328" s="25">
        <v>196.23</v>
      </c>
      <c r="F328" s="25">
        <v>914814.0</v>
      </c>
    </row>
    <row r="329">
      <c r="A329" s="25">
        <v>38839.645833333336</v>
      </c>
      <c r="B329" s="25">
        <v>199.34</v>
      </c>
      <c r="C329" s="25">
        <v>202.19</v>
      </c>
      <c r="D329" s="25">
        <v>197.0</v>
      </c>
      <c r="E329" s="25">
        <v>197.77</v>
      </c>
      <c r="F329" s="25">
        <v>999136.0</v>
      </c>
    </row>
    <row r="330">
      <c r="A330" s="25">
        <v>38840.645833333336</v>
      </c>
      <c r="B330" s="25">
        <v>198.56</v>
      </c>
      <c r="C330" s="25">
        <v>199.5</v>
      </c>
      <c r="D330" s="25">
        <v>196.2</v>
      </c>
      <c r="E330" s="25">
        <v>198.21</v>
      </c>
      <c r="F330" s="25">
        <v>729933.0</v>
      </c>
    </row>
    <row r="331">
      <c r="A331" s="25">
        <v>38841.645833333336</v>
      </c>
      <c r="B331" s="25">
        <v>198.25</v>
      </c>
      <c r="C331" s="25">
        <v>201.53</v>
      </c>
      <c r="D331" s="25">
        <v>198.25</v>
      </c>
      <c r="E331" s="25">
        <v>200.71</v>
      </c>
      <c r="F331" s="25">
        <v>484327.0</v>
      </c>
    </row>
    <row r="332">
      <c r="A332" s="25">
        <v>38842.645833333336</v>
      </c>
      <c r="B332" s="25">
        <v>200.94</v>
      </c>
      <c r="C332" s="25">
        <v>203.06</v>
      </c>
      <c r="D332" s="25">
        <v>199.38</v>
      </c>
      <c r="E332" s="25">
        <v>200.76</v>
      </c>
      <c r="F332" s="25">
        <v>503115.0</v>
      </c>
    </row>
    <row r="333">
      <c r="A333" s="25">
        <v>38845.645833333336</v>
      </c>
      <c r="B333" s="25">
        <v>202.19</v>
      </c>
      <c r="C333" s="25">
        <v>202.47</v>
      </c>
      <c r="D333" s="25">
        <v>201.25</v>
      </c>
      <c r="E333" s="25">
        <v>201.77</v>
      </c>
      <c r="F333" s="25">
        <v>308525.0</v>
      </c>
    </row>
    <row r="334">
      <c r="A334" s="25">
        <v>38846.645833333336</v>
      </c>
      <c r="B334" s="25">
        <v>201.06</v>
      </c>
      <c r="C334" s="25">
        <v>203.94</v>
      </c>
      <c r="D334" s="25">
        <v>198.82</v>
      </c>
      <c r="E334" s="25">
        <v>202.32</v>
      </c>
      <c r="F334" s="25">
        <v>579767.0</v>
      </c>
    </row>
    <row r="335">
      <c r="A335" s="25">
        <v>38847.645833333336</v>
      </c>
      <c r="B335" s="25">
        <v>202.19</v>
      </c>
      <c r="C335" s="25">
        <v>204.5</v>
      </c>
      <c r="D335" s="25">
        <v>202.19</v>
      </c>
      <c r="E335" s="25">
        <v>203.52</v>
      </c>
      <c r="F335" s="25">
        <v>493230.0</v>
      </c>
    </row>
    <row r="336">
      <c r="A336" s="25">
        <v>38848.645833333336</v>
      </c>
      <c r="B336" s="25">
        <v>203.31</v>
      </c>
      <c r="C336" s="25">
        <v>204.55</v>
      </c>
      <c r="D336" s="25">
        <v>200.95</v>
      </c>
      <c r="E336" s="25">
        <v>203.5</v>
      </c>
      <c r="F336" s="25">
        <v>556985.0</v>
      </c>
    </row>
    <row r="337">
      <c r="A337" s="25">
        <v>38849.645833333336</v>
      </c>
      <c r="B337" s="25">
        <v>202.19</v>
      </c>
      <c r="C337" s="25">
        <v>205.31</v>
      </c>
      <c r="D337" s="25">
        <v>199.44</v>
      </c>
      <c r="E337" s="25">
        <v>202.64</v>
      </c>
      <c r="F337" s="25">
        <v>558157.0</v>
      </c>
    </row>
    <row r="338">
      <c r="A338" s="25">
        <v>38852.645833333336</v>
      </c>
      <c r="B338" s="25">
        <v>199.38</v>
      </c>
      <c r="C338" s="25">
        <v>203.06</v>
      </c>
      <c r="D338" s="25">
        <v>194.44</v>
      </c>
      <c r="E338" s="25">
        <v>196.94</v>
      </c>
      <c r="F338" s="25">
        <v>909991.0</v>
      </c>
    </row>
    <row r="339">
      <c r="A339" s="25">
        <v>38853.645833333336</v>
      </c>
      <c r="B339" s="25">
        <v>197.5</v>
      </c>
      <c r="C339" s="25">
        <v>206.25</v>
      </c>
      <c r="D339" s="25">
        <v>191.31</v>
      </c>
      <c r="E339" s="25">
        <v>196.88</v>
      </c>
      <c r="F339" s="25">
        <v>863942.0</v>
      </c>
    </row>
    <row r="340">
      <c r="A340" s="25">
        <v>38854.645833333336</v>
      </c>
      <c r="B340" s="25">
        <v>199.37</v>
      </c>
      <c r="C340" s="25">
        <v>203.06</v>
      </c>
      <c r="D340" s="25">
        <v>197.81</v>
      </c>
      <c r="E340" s="25">
        <v>200.51</v>
      </c>
      <c r="F340" s="25">
        <v>647645.0</v>
      </c>
    </row>
    <row r="341">
      <c r="A341" s="25">
        <v>38855.645833333336</v>
      </c>
      <c r="B341" s="25">
        <v>199.57</v>
      </c>
      <c r="C341" s="25">
        <v>199.57</v>
      </c>
      <c r="D341" s="25">
        <v>187.5</v>
      </c>
      <c r="E341" s="25">
        <v>189.62</v>
      </c>
      <c r="F341" s="25">
        <v>1034941.0</v>
      </c>
    </row>
    <row r="342">
      <c r="A342" s="25">
        <v>38856.645833333336</v>
      </c>
      <c r="B342" s="25">
        <v>195.0</v>
      </c>
      <c r="C342" s="25">
        <v>196.56</v>
      </c>
      <c r="D342" s="25">
        <v>183.25</v>
      </c>
      <c r="E342" s="25">
        <v>185.9</v>
      </c>
      <c r="F342" s="25">
        <v>1257204.0</v>
      </c>
    </row>
    <row r="343">
      <c r="A343" s="25">
        <v>38859.645833333336</v>
      </c>
      <c r="B343" s="25">
        <v>189.04</v>
      </c>
      <c r="C343" s="25">
        <v>193.61</v>
      </c>
      <c r="D343" s="25">
        <v>173.44</v>
      </c>
      <c r="E343" s="25">
        <v>176.48</v>
      </c>
      <c r="F343" s="25">
        <v>1339265.0</v>
      </c>
    </row>
    <row r="344">
      <c r="A344" s="25">
        <v>38860.645833333336</v>
      </c>
      <c r="B344" s="25">
        <v>176.88</v>
      </c>
      <c r="C344" s="25">
        <v>184.06</v>
      </c>
      <c r="D344" s="25">
        <v>173.21</v>
      </c>
      <c r="E344" s="25">
        <v>181.92</v>
      </c>
      <c r="F344" s="25">
        <v>1005754.0</v>
      </c>
    </row>
    <row r="345">
      <c r="A345" s="25">
        <v>38861.645833333336</v>
      </c>
      <c r="B345" s="25">
        <v>183.75</v>
      </c>
      <c r="C345" s="25">
        <v>183.81</v>
      </c>
      <c r="D345" s="25">
        <v>175.7</v>
      </c>
      <c r="E345" s="25">
        <v>178.81</v>
      </c>
      <c r="F345" s="25">
        <v>1131211.0</v>
      </c>
    </row>
    <row r="346">
      <c r="A346" s="25">
        <v>38862.645833333336</v>
      </c>
      <c r="B346" s="25">
        <v>176.88</v>
      </c>
      <c r="C346" s="25">
        <v>179.18</v>
      </c>
      <c r="D346" s="25">
        <v>174.94</v>
      </c>
      <c r="E346" s="25">
        <v>176.78</v>
      </c>
      <c r="F346" s="25">
        <v>1691344.0</v>
      </c>
    </row>
    <row r="347">
      <c r="A347" s="25">
        <v>38863.645833333336</v>
      </c>
      <c r="B347" s="25">
        <v>179.38</v>
      </c>
      <c r="C347" s="25">
        <v>185.92</v>
      </c>
      <c r="D347" s="25">
        <v>179.18</v>
      </c>
      <c r="E347" s="25">
        <v>183.39</v>
      </c>
      <c r="F347" s="25">
        <v>915922.0</v>
      </c>
    </row>
    <row r="348">
      <c r="A348" s="25">
        <v>38866.645833333336</v>
      </c>
      <c r="B348" s="25">
        <v>183.75</v>
      </c>
      <c r="C348" s="25">
        <v>186.5</v>
      </c>
      <c r="D348" s="25">
        <v>183.0</v>
      </c>
      <c r="E348" s="25">
        <v>185.48</v>
      </c>
      <c r="F348" s="25">
        <v>415954.0</v>
      </c>
    </row>
    <row r="349">
      <c r="A349" s="25">
        <v>38867.645833333336</v>
      </c>
      <c r="B349" s="25">
        <v>185.88</v>
      </c>
      <c r="C349" s="25">
        <v>192.81</v>
      </c>
      <c r="D349" s="25">
        <v>184.78</v>
      </c>
      <c r="E349" s="25">
        <v>189.16</v>
      </c>
      <c r="F349" s="25">
        <v>1056003.0</v>
      </c>
    </row>
    <row r="350">
      <c r="A350" s="25">
        <v>38868.645833333336</v>
      </c>
      <c r="B350" s="25">
        <v>185.63</v>
      </c>
      <c r="C350" s="25">
        <v>187.44</v>
      </c>
      <c r="D350" s="25">
        <v>178.13</v>
      </c>
      <c r="E350" s="25">
        <v>181.87</v>
      </c>
      <c r="F350" s="25">
        <v>1195873.0</v>
      </c>
    </row>
    <row r="351">
      <c r="A351" s="25">
        <v>38869.645833333336</v>
      </c>
      <c r="B351" s="25">
        <v>184.31</v>
      </c>
      <c r="C351" s="25">
        <v>185.31</v>
      </c>
      <c r="D351" s="25">
        <v>175.32</v>
      </c>
      <c r="E351" s="25">
        <v>176.87</v>
      </c>
      <c r="F351" s="25">
        <v>1481478.0</v>
      </c>
    </row>
    <row r="352">
      <c r="A352" s="25">
        <v>38870.645833333336</v>
      </c>
      <c r="B352" s="25">
        <v>178.13</v>
      </c>
      <c r="C352" s="25">
        <v>181.25</v>
      </c>
      <c r="D352" s="25">
        <v>175.63</v>
      </c>
      <c r="E352" s="25">
        <v>180.38</v>
      </c>
      <c r="F352" s="25">
        <v>1007672.0</v>
      </c>
    </row>
    <row r="353">
      <c r="A353" s="25">
        <v>38873.645833333336</v>
      </c>
      <c r="B353" s="25">
        <v>182.38</v>
      </c>
      <c r="C353" s="25">
        <v>182.75</v>
      </c>
      <c r="D353" s="25">
        <v>175.64</v>
      </c>
      <c r="E353" s="25">
        <v>176.52</v>
      </c>
      <c r="F353" s="25">
        <v>1047856.0</v>
      </c>
    </row>
    <row r="354">
      <c r="A354" s="25">
        <v>38874.645833333336</v>
      </c>
      <c r="B354" s="25">
        <v>175.0</v>
      </c>
      <c r="C354" s="25">
        <v>177.75</v>
      </c>
      <c r="D354" s="25">
        <v>171.6</v>
      </c>
      <c r="E354" s="25">
        <v>172.84</v>
      </c>
      <c r="F354" s="25">
        <v>697867.0</v>
      </c>
    </row>
    <row r="355">
      <c r="A355" s="25">
        <v>38875.645833333336</v>
      </c>
      <c r="B355" s="25">
        <v>172.13</v>
      </c>
      <c r="C355" s="25">
        <v>174.38</v>
      </c>
      <c r="D355" s="25">
        <v>168.75</v>
      </c>
      <c r="E355" s="25">
        <v>172.7</v>
      </c>
      <c r="F355" s="25">
        <v>997412.0</v>
      </c>
    </row>
    <row r="356">
      <c r="A356" s="25">
        <v>38876.645833333336</v>
      </c>
      <c r="B356" s="25">
        <v>174.09</v>
      </c>
      <c r="C356" s="25">
        <v>174.09</v>
      </c>
      <c r="D356" s="25">
        <v>162.83</v>
      </c>
      <c r="E356" s="25">
        <v>168.99</v>
      </c>
      <c r="F356" s="25">
        <v>1638458.0</v>
      </c>
    </row>
    <row r="357">
      <c r="A357" s="25">
        <v>38877.645833333336</v>
      </c>
      <c r="B357" s="25">
        <v>167.7</v>
      </c>
      <c r="C357" s="25">
        <v>176.56</v>
      </c>
      <c r="D357" s="25">
        <v>167.7</v>
      </c>
      <c r="E357" s="25">
        <v>174.67</v>
      </c>
      <c r="F357" s="25">
        <v>898460.0</v>
      </c>
    </row>
    <row r="358">
      <c r="A358" s="25">
        <v>38880.645833333336</v>
      </c>
      <c r="B358" s="25">
        <v>175.0</v>
      </c>
      <c r="C358" s="25">
        <v>178.0</v>
      </c>
      <c r="D358" s="25">
        <v>170.31</v>
      </c>
      <c r="E358" s="25">
        <v>172.7</v>
      </c>
      <c r="F358" s="25">
        <v>803644.0</v>
      </c>
    </row>
    <row r="359">
      <c r="A359" s="25">
        <v>38881.645833333336</v>
      </c>
      <c r="B359" s="25">
        <v>171.69</v>
      </c>
      <c r="C359" s="25">
        <v>171.88</v>
      </c>
      <c r="D359" s="25">
        <v>163.77</v>
      </c>
      <c r="E359" s="25">
        <v>164.94</v>
      </c>
      <c r="F359" s="25">
        <v>896844.0</v>
      </c>
    </row>
    <row r="360">
      <c r="A360" s="25">
        <v>38882.645833333336</v>
      </c>
      <c r="B360" s="25">
        <v>168.42</v>
      </c>
      <c r="C360" s="25">
        <v>169.94</v>
      </c>
      <c r="D360" s="25">
        <v>153.13</v>
      </c>
      <c r="E360" s="25">
        <v>155.32</v>
      </c>
      <c r="F360" s="25">
        <v>2176197.0</v>
      </c>
    </row>
    <row r="361">
      <c r="A361" s="25">
        <v>38883.645833333336</v>
      </c>
      <c r="B361" s="25">
        <v>160.0</v>
      </c>
      <c r="C361" s="25">
        <v>172.56</v>
      </c>
      <c r="D361" s="25">
        <v>158.75</v>
      </c>
      <c r="E361" s="25">
        <v>170.44</v>
      </c>
      <c r="F361" s="25">
        <v>1219271.0</v>
      </c>
    </row>
    <row r="362">
      <c r="A362" s="25">
        <v>38884.645833333336</v>
      </c>
      <c r="B362" s="25">
        <v>172.56</v>
      </c>
      <c r="C362" s="25">
        <v>182.11</v>
      </c>
      <c r="D362" s="25">
        <v>172.56</v>
      </c>
      <c r="E362" s="25">
        <v>175.07</v>
      </c>
      <c r="F362" s="25">
        <v>1552768.0</v>
      </c>
    </row>
    <row r="363">
      <c r="A363" s="25">
        <v>38887.645833333336</v>
      </c>
      <c r="B363" s="25">
        <v>175.0</v>
      </c>
      <c r="C363" s="25">
        <v>180.63</v>
      </c>
      <c r="D363" s="25">
        <v>173.44</v>
      </c>
      <c r="E363" s="25">
        <v>179.45</v>
      </c>
      <c r="F363" s="25">
        <v>1098990.0</v>
      </c>
    </row>
    <row r="364">
      <c r="A364" s="25">
        <v>38888.645833333336</v>
      </c>
      <c r="B364" s="25">
        <v>178.63</v>
      </c>
      <c r="C364" s="25">
        <v>179.38</v>
      </c>
      <c r="D364" s="25">
        <v>175.06</v>
      </c>
      <c r="E364" s="25">
        <v>177.75</v>
      </c>
      <c r="F364" s="25">
        <v>705032.0</v>
      </c>
    </row>
    <row r="365">
      <c r="A365" s="25">
        <v>38889.645833333336</v>
      </c>
      <c r="B365" s="25">
        <v>176.56</v>
      </c>
      <c r="C365" s="25">
        <v>183.44</v>
      </c>
      <c r="D365" s="25">
        <v>175.63</v>
      </c>
      <c r="E365" s="25">
        <v>182.7</v>
      </c>
      <c r="F365" s="25">
        <v>854794.0</v>
      </c>
    </row>
    <row r="366">
      <c r="A366" s="25">
        <v>38890.645833333336</v>
      </c>
      <c r="B366" s="25">
        <v>187.17</v>
      </c>
      <c r="C366" s="25">
        <v>187.17</v>
      </c>
      <c r="D366" s="25">
        <v>183.19</v>
      </c>
      <c r="E366" s="25">
        <v>184.49</v>
      </c>
      <c r="F366" s="25">
        <v>770996.0</v>
      </c>
    </row>
    <row r="367">
      <c r="A367" s="25">
        <v>38891.645833333336</v>
      </c>
      <c r="B367" s="25">
        <v>183.19</v>
      </c>
      <c r="C367" s="25">
        <v>188.13</v>
      </c>
      <c r="D367" s="25">
        <v>180.63</v>
      </c>
      <c r="E367" s="25">
        <v>186.97</v>
      </c>
      <c r="F367" s="25">
        <v>682321.0</v>
      </c>
    </row>
    <row r="368">
      <c r="A368" s="25">
        <v>38894.645833333336</v>
      </c>
      <c r="B368" s="25">
        <v>187.44</v>
      </c>
      <c r="C368" s="25">
        <v>187.44</v>
      </c>
      <c r="D368" s="25">
        <v>180.63</v>
      </c>
      <c r="E368" s="25">
        <v>181.26</v>
      </c>
      <c r="F368" s="25">
        <v>685124.0</v>
      </c>
    </row>
    <row r="369">
      <c r="A369" s="25">
        <v>38895.645833333336</v>
      </c>
      <c r="B369" s="25">
        <v>181.56</v>
      </c>
      <c r="C369" s="25">
        <v>186.25</v>
      </c>
      <c r="D369" s="25">
        <v>177.63</v>
      </c>
      <c r="E369" s="25">
        <v>185.47</v>
      </c>
      <c r="F369" s="25">
        <v>1012546.0</v>
      </c>
    </row>
    <row r="370">
      <c r="A370" s="25">
        <v>38896.645833333336</v>
      </c>
      <c r="B370" s="25">
        <v>183.2</v>
      </c>
      <c r="C370" s="25">
        <v>187.13</v>
      </c>
      <c r="D370" s="25">
        <v>180.0</v>
      </c>
      <c r="E370" s="25">
        <v>185.91</v>
      </c>
      <c r="F370" s="25">
        <v>549783.0</v>
      </c>
    </row>
    <row r="371">
      <c r="A371" s="25">
        <v>38897.645833333336</v>
      </c>
      <c r="B371" s="25">
        <v>187.13</v>
      </c>
      <c r="C371" s="25">
        <v>188.75</v>
      </c>
      <c r="D371" s="25">
        <v>186.58</v>
      </c>
      <c r="E371" s="25">
        <v>187.1</v>
      </c>
      <c r="F371" s="25">
        <v>764786.0</v>
      </c>
    </row>
    <row r="372">
      <c r="A372" s="25">
        <v>38898.645833333336</v>
      </c>
      <c r="B372" s="25">
        <v>192.75</v>
      </c>
      <c r="C372" s="25">
        <v>195.63</v>
      </c>
      <c r="D372" s="25">
        <v>189.06</v>
      </c>
      <c r="E372" s="25">
        <v>192.43</v>
      </c>
      <c r="F372" s="25">
        <v>876688.0</v>
      </c>
    </row>
    <row r="373">
      <c r="A373" s="25">
        <v>38901.645833333336</v>
      </c>
      <c r="B373" s="25">
        <v>192.81</v>
      </c>
      <c r="C373" s="25">
        <v>197.5</v>
      </c>
      <c r="D373" s="25">
        <v>191.4</v>
      </c>
      <c r="E373" s="25">
        <v>197.15</v>
      </c>
      <c r="F373" s="25">
        <v>615360.0</v>
      </c>
    </row>
    <row r="374">
      <c r="A374" s="25">
        <v>38902.645833333336</v>
      </c>
      <c r="B374" s="25">
        <v>197.5</v>
      </c>
      <c r="C374" s="25">
        <v>199.36</v>
      </c>
      <c r="D374" s="25">
        <v>195.94</v>
      </c>
      <c r="E374" s="25">
        <v>196.85</v>
      </c>
      <c r="F374" s="25">
        <v>606075.0</v>
      </c>
    </row>
    <row r="375">
      <c r="A375" s="25">
        <v>38903.645833333336</v>
      </c>
      <c r="B375" s="25">
        <v>198.75</v>
      </c>
      <c r="C375" s="25">
        <v>200.27</v>
      </c>
      <c r="D375" s="25">
        <v>194.44</v>
      </c>
      <c r="E375" s="25">
        <v>199.63</v>
      </c>
      <c r="F375" s="25">
        <v>1022133.0</v>
      </c>
    </row>
    <row r="376">
      <c r="A376" s="25">
        <v>38904.645833333336</v>
      </c>
      <c r="B376" s="25">
        <v>196.63</v>
      </c>
      <c r="C376" s="25">
        <v>199.38</v>
      </c>
      <c r="D376" s="25">
        <v>195.31</v>
      </c>
      <c r="E376" s="25">
        <v>197.74</v>
      </c>
      <c r="F376" s="25">
        <v>461271.0</v>
      </c>
    </row>
    <row r="377">
      <c r="A377" s="25">
        <v>38905.645833333336</v>
      </c>
      <c r="B377" s="25">
        <v>199.38</v>
      </c>
      <c r="C377" s="25">
        <v>202.5</v>
      </c>
      <c r="D377" s="25">
        <v>193.25</v>
      </c>
      <c r="E377" s="25">
        <v>194.06</v>
      </c>
      <c r="F377" s="25">
        <v>707861.0</v>
      </c>
    </row>
    <row r="378">
      <c r="A378" s="25">
        <v>38908.645833333336</v>
      </c>
      <c r="B378" s="25">
        <v>199.31</v>
      </c>
      <c r="C378" s="25">
        <v>199.69</v>
      </c>
      <c r="D378" s="25">
        <v>193.82</v>
      </c>
      <c r="E378" s="25">
        <v>199.25</v>
      </c>
      <c r="F378" s="25">
        <v>764033.0</v>
      </c>
    </row>
    <row r="379">
      <c r="A379" s="25">
        <v>38909.645833333336</v>
      </c>
      <c r="B379" s="25">
        <v>199.94</v>
      </c>
      <c r="C379" s="25">
        <v>201.56</v>
      </c>
      <c r="D379" s="25">
        <v>195.94</v>
      </c>
      <c r="E379" s="25">
        <v>196.76</v>
      </c>
      <c r="F379" s="25">
        <v>810381.0</v>
      </c>
    </row>
    <row r="380">
      <c r="A380" s="25">
        <v>38910.645833333336</v>
      </c>
      <c r="B380" s="25">
        <v>206.25</v>
      </c>
      <c r="C380" s="25">
        <v>212.5</v>
      </c>
      <c r="D380" s="25">
        <v>200.31</v>
      </c>
      <c r="E380" s="25">
        <v>211.6</v>
      </c>
      <c r="F380" s="25">
        <v>4251043.0</v>
      </c>
    </row>
    <row r="381">
      <c r="A381" s="25">
        <v>38911.645833333336</v>
      </c>
      <c r="B381" s="25">
        <v>218.5</v>
      </c>
      <c r="C381" s="25">
        <v>224.88</v>
      </c>
      <c r="D381" s="25">
        <v>208.25</v>
      </c>
      <c r="E381" s="25">
        <v>210.24</v>
      </c>
      <c r="F381" s="25">
        <v>1423289.0</v>
      </c>
    </row>
    <row r="382">
      <c r="A382" s="25">
        <v>38912.645833333336</v>
      </c>
      <c r="B382" s="25">
        <v>206.25</v>
      </c>
      <c r="C382" s="25">
        <v>207.63</v>
      </c>
      <c r="D382" s="25">
        <v>202.5</v>
      </c>
      <c r="E382" s="25">
        <v>206.09</v>
      </c>
      <c r="F382" s="25">
        <v>1737712.0</v>
      </c>
    </row>
    <row r="383">
      <c r="A383" s="25">
        <v>38915.645833333336</v>
      </c>
      <c r="B383" s="25">
        <v>205.13</v>
      </c>
      <c r="C383" s="25">
        <v>205.71</v>
      </c>
      <c r="D383" s="25">
        <v>200.0</v>
      </c>
      <c r="E383" s="25">
        <v>200.66</v>
      </c>
      <c r="F383" s="25">
        <v>1552356.0</v>
      </c>
    </row>
    <row r="384">
      <c r="A384" s="25">
        <v>38916.645833333336</v>
      </c>
      <c r="B384" s="25">
        <v>201.29</v>
      </c>
      <c r="C384" s="25">
        <v>205.63</v>
      </c>
      <c r="D384" s="25">
        <v>200.63</v>
      </c>
      <c r="E384" s="25">
        <v>203.69</v>
      </c>
      <c r="F384" s="25">
        <v>1323057.0</v>
      </c>
    </row>
    <row r="385">
      <c r="A385" s="25">
        <v>38917.645833333336</v>
      </c>
      <c r="B385" s="25">
        <v>207.63</v>
      </c>
      <c r="C385" s="25">
        <v>207.63</v>
      </c>
      <c r="D385" s="25">
        <v>199.64</v>
      </c>
      <c r="E385" s="25">
        <v>200.57</v>
      </c>
      <c r="F385" s="25">
        <v>1448682.0</v>
      </c>
    </row>
    <row r="386">
      <c r="A386" s="25">
        <v>38918.645833333336</v>
      </c>
      <c r="B386" s="25">
        <v>212.34</v>
      </c>
      <c r="C386" s="25">
        <v>212.34</v>
      </c>
      <c r="D386" s="25">
        <v>204.13</v>
      </c>
      <c r="E386" s="25">
        <v>205.98</v>
      </c>
      <c r="F386" s="25">
        <v>1503490.0</v>
      </c>
    </row>
    <row r="387">
      <c r="A387" s="25">
        <v>38919.645833333336</v>
      </c>
      <c r="B387" s="25">
        <v>204.35</v>
      </c>
      <c r="C387" s="25">
        <v>204.35</v>
      </c>
      <c r="D387" s="25">
        <v>197.56</v>
      </c>
      <c r="E387" s="25">
        <v>200.26</v>
      </c>
      <c r="F387" s="25">
        <v>1140542.0</v>
      </c>
    </row>
    <row r="388">
      <c r="A388" s="25">
        <v>38922.645833333336</v>
      </c>
      <c r="B388" s="25">
        <v>199.96</v>
      </c>
      <c r="C388" s="25">
        <v>202.45</v>
      </c>
      <c r="D388" s="25">
        <v>196.5</v>
      </c>
      <c r="E388" s="25">
        <v>201.41</v>
      </c>
      <c r="F388" s="25">
        <v>1289813.0</v>
      </c>
    </row>
    <row r="389">
      <c r="A389" s="25">
        <v>38923.645833333336</v>
      </c>
      <c r="B389" s="25">
        <v>203.63</v>
      </c>
      <c r="C389" s="25">
        <v>205.49</v>
      </c>
      <c r="D389" s="25">
        <v>200.0</v>
      </c>
      <c r="E389" s="25">
        <v>201.34</v>
      </c>
      <c r="F389" s="25">
        <v>1349768.0</v>
      </c>
    </row>
    <row r="390">
      <c r="A390" s="25">
        <v>38924.645833333336</v>
      </c>
      <c r="B390" s="25">
        <v>203.14</v>
      </c>
      <c r="C390" s="25">
        <v>206.85</v>
      </c>
      <c r="D390" s="25">
        <v>200.0</v>
      </c>
      <c r="E390" s="25">
        <v>205.8</v>
      </c>
      <c r="F390" s="25">
        <v>1531257.0</v>
      </c>
    </row>
    <row r="391">
      <c r="A391" s="25">
        <v>38925.645833333336</v>
      </c>
      <c r="B391" s="25">
        <v>205.63</v>
      </c>
      <c r="C391" s="25">
        <v>208.43</v>
      </c>
      <c r="D391" s="25">
        <v>203.19</v>
      </c>
      <c r="E391" s="25">
        <v>207.29</v>
      </c>
      <c r="F391" s="25">
        <v>1810411.0</v>
      </c>
    </row>
    <row r="392">
      <c r="A392" s="25">
        <v>38926.645833333336</v>
      </c>
      <c r="B392" s="25">
        <v>207.64</v>
      </c>
      <c r="C392" s="25">
        <v>207.76</v>
      </c>
      <c r="D392" s="25">
        <v>201.29</v>
      </c>
      <c r="E392" s="25">
        <v>203.78</v>
      </c>
      <c r="F392" s="25">
        <v>784890.0</v>
      </c>
    </row>
    <row r="393">
      <c r="A393" s="25">
        <v>38929.645833333336</v>
      </c>
      <c r="B393" s="25">
        <v>205.63</v>
      </c>
      <c r="C393" s="25">
        <v>208.75</v>
      </c>
      <c r="D393" s="25">
        <v>204.58</v>
      </c>
      <c r="E393" s="25">
        <v>206.94</v>
      </c>
      <c r="F393" s="25">
        <v>1855611.0</v>
      </c>
    </row>
    <row r="394">
      <c r="A394" s="25">
        <v>38930.645833333336</v>
      </c>
      <c r="B394" s="25">
        <v>206.25</v>
      </c>
      <c r="C394" s="25">
        <v>208.59</v>
      </c>
      <c r="D394" s="25">
        <v>205.13</v>
      </c>
      <c r="E394" s="25">
        <v>207.25</v>
      </c>
      <c r="F394" s="25">
        <v>1146606.0</v>
      </c>
    </row>
    <row r="395">
      <c r="A395" s="25">
        <v>38931.645833333336</v>
      </c>
      <c r="B395" s="25">
        <v>207.13</v>
      </c>
      <c r="C395" s="25">
        <v>209.88</v>
      </c>
      <c r="D395" s="25">
        <v>206.25</v>
      </c>
      <c r="E395" s="25">
        <v>208.33</v>
      </c>
      <c r="F395" s="25">
        <v>1179629.0</v>
      </c>
    </row>
    <row r="396">
      <c r="A396" s="25">
        <v>38932.645833333336</v>
      </c>
      <c r="B396" s="25">
        <v>208.82</v>
      </c>
      <c r="C396" s="25">
        <v>214.63</v>
      </c>
      <c r="D396" s="25">
        <v>207.26</v>
      </c>
      <c r="E396" s="25">
        <v>209.12</v>
      </c>
      <c r="F396" s="25">
        <v>2402362.0</v>
      </c>
    </row>
    <row r="397">
      <c r="A397" s="25">
        <v>38933.645833333336</v>
      </c>
      <c r="B397" s="25">
        <v>209.38</v>
      </c>
      <c r="C397" s="25">
        <v>211.99</v>
      </c>
      <c r="D397" s="25">
        <v>208.75</v>
      </c>
      <c r="E397" s="25">
        <v>210.08</v>
      </c>
      <c r="F397" s="25">
        <v>1172978.0</v>
      </c>
    </row>
    <row r="398">
      <c r="A398" s="25">
        <v>38936.645833333336</v>
      </c>
      <c r="B398" s="25">
        <v>210.0</v>
      </c>
      <c r="C398" s="25">
        <v>211.24</v>
      </c>
      <c r="D398" s="25">
        <v>208.74</v>
      </c>
      <c r="E398" s="25">
        <v>209.2</v>
      </c>
      <c r="F398" s="25">
        <v>710928.0</v>
      </c>
    </row>
    <row r="399">
      <c r="A399" s="25">
        <v>38937.645833333336</v>
      </c>
      <c r="B399" s="25">
        <v>209.38</v>
      </c>
      <c r="C399" s="25">
        <v>211.25</v>
      </c>
      <c r="D399" s="25">
        <v>209.26</v>
      </c>
      <c r="E399" s="25">
        <v>210.53</v>
      </c>
      <c r="F399" s="25">
        <v>438892.0</v>
      </c>
    </row>
    <row r="400">
      <c r="A400" s="25">
        <v>38938.645833333336</v>
      </c>
      <c r="B400" s="25">
        <v>210.25</v>
      </c>
      <c r="C400" s="25">
        <v>213.5</v>
      </c>
      <c r="D400" s="25">
        <v>208.75</v>
      </c>
      <c r="E400" s="25">
        <v>212.76</v>
      </c>
      <c r="F400" s="25">
        <v>1221288.0</v>
      </c>
    </row>
    <row r="401">
      <c r="A401" s="25">
        <v>38939.645833333336</v>
      </c>
      <c r="B401" s="25">
        <v>212.5</v>
      </c>
      <c r="C401" s="25">
        <v>214.75</v>
      </c>
      <c r="D401" s="25">
        <v>211.38</v>
      </c>
      <c r="E401" s="25">
        <v>213.58</v>
      </c>
      <c r="F401" s="25">
        <v>1119607.0</v>
      </c>
    </row>
    <row r="402">
      <c r="A402" s="25">
        <v>38940.645833333336</v>
      </c>
      <c r="B402" s="25">
        <v>213.75</v>
      </c>
      <c r="C402" s="25">
        <v>218.75</v>
      </c>
      <c r="D402" s="25">
        <v>213.13</v>
      </c>
      <c r="E402" s="25">
        <v>217.78</v>
      </c>
      <c r="F402" s="25">
        <v>1530582.0</v>
      </c>
    </row>
    <row r="403">
      <c r="A403" s="25">
        <v>38943.645833333336</v>
      </c>
      <c r="B403" s="25">
        <v>219.0</v>
      </c>
      <c r="C403" s="25">
        <v>220.58</v>
      </c>
      <c r="D403" s="25">
        <v>217.51</v>
      </c>
      <c r="E403" s="25">
        <v>219.44</v>
      </c>
      <c r="F403" s="25">
        <v>791349.0</v>
      </c>
    </row>
    <row r="404">
      <c r="A404" s="25">
        <v>38945.645833333336</v>
      </c>
      <c r="B404" s="25">
        <v>221.25</v>
      </c>
      <c r="C404" s="25">
        <v>223.13</v>
      </c>
      <c r="D404" s="25">
        <v>217.54</v>
      </c>
      <c r="E404" s="25">
        <v>219.04</v>
      </c>
      <c r="F404" s="25">
        <v>1176127.0</v>
      </c>
    </row>
    <row r="405">
      <c r="A405" s="25">
        <v>38946.645833333336</v>
      </c>
      <c r="B405" s="25">
        <v>220.01</v>
      </c>
      <c r="C405" s="25">
        <v>221.64</v>
      </c>
      <c r="D405" s="25">
        <v>218.07</v>
      </c>
      <c r="E405" s="25">
        <v>219.7</v>
      </c>
      <c r="F405" s="25">
        <v>1031039.0</v>
      </c>
    </row>
    <row r="406">
      <c r="A406" s="25">
        <v>38947.645833333336</v>
      </c>
      <c r="B406" s="25">
        <v>220.63</v>
      </c>
      <c r="C406" s="25">
        <v>221.09</v>
      </c>
      <c r="D406" s="25">
        <v>201.25</v>
      </c>
      <c r="E406" s="25">
        <v>220.25</v>
      </c>
      <c r="F406" s="25">
        <v>552395.0</v>
      </c>
    </row>
    <row r="407">
      <c r="A407" s="25">
        <v>38950.645833333336</v>
      </c>
      <c r="B407" s="25">
        <v>220.5</v>
      </c>
      <c r="C407" s="25">
        <v>225.0</v>
      </c>
      <c r="D407" s="25">
        <v>218.63</v>
      </c>
      <c r="E407" s="25">
        <v>224.76</v>
      </c>
      <c r="F407" s="25">
        <v>1427415.0</v>
      </c>
    </row>
    <row r="408">
      <c r="A408" s="25">
        <v>38951.645833333336</v>
      </c>
      <c r="B408" s="25">
        <v>225.13</v>
      </c>
      <c r="C408" s="25">
        <v>226.13</v>
      </c>
      <c r="D408" s="25">
        <v>221.9</v>
      </c>
      <c r="E408" s="25">
        <v>222.64</v>
      </c>
      <c r="F408" s="25">
        <v>576198.0</v>
      </c>
    </row>
    <row r="409">
      <c r="A409" s="25">
        <v>38952.645833333336</v>
      </c>
      <c r="B409" s="25">
        <v>223.61</v>
      </c>
      <c r="C409" s="25">
        <v>224.31</v>
      </c>
      <c r="D409" s="25">
        <v>219.75</v>
      </c>
      <c r="E409" s="25">
        <v>220.99</v>
      </c>
      <c r="F409" s="25">
        <v>787832.0</v>
      </c>
    </row>
    <row r="410">
      <c r="A410" s="25">
        <v>38953.645833333336</v>
      </c>
      <c r="B410" s="25">
        <v>220.0</v>
      </c>
      <c r="C410" s="25">
        <v>221.88</v>
      </c>
      <c r="D410" s="25">
        <v>218.13</v>
      </c>
      <c r="E410" s="25">
        <v>220.86</v>
      </c>
      <c r="F410" s="25">
        <v>1087864.0</v>
      </c>
    </row>
    <row r="411">
      <c r="A411" s="25">
        <v>38954.645833333336</v>
      </c>
      <c r="B411" s="25">
        <v>221.75</v>
      </c>
      <c r="C411" s="25">
        <v>222.49</v>
      </c>
      <c r="D411" s="25">
        <v>220.0</v>
      </c>
      <c r="E411" s="25">
        <v>220.84</v>
      </c>
      <c r="F411" s="25">
        <v>638426.0</v>
      </c>
    </row>
    <row r="412">
      <c r="A412" s="25">
        <v>38957.645833333336</v>
      </c>
      <c r="B412" s="25">
        <v>220.84</v>
      </c>
      <c r="C412" s="25">
        <v>222.14</v>
      </c>
      <c r="D412" s="25">
        <v>218.13</v>
      </c>
      <c r="E412" s="25">
        <v>221.59</v>
      </c>
      <c r="F412" s="25">
        <v>605362.0</v>
      </c>
    </row>
    <row r="413">
      <c r="A413" s="25">
        <v>38958.645833333336</v>
      </c>
      <c r="B413" s="25">
        <v>222.5</v>
      </c>
      <c r="C413" s="25">
        <v>226.38</v>
      </c>
      <c r="D413" s="25">
        <v>222.25</v>
      </c>
      <c r="E413" s="25">
        <v>225.73</v>
      </c>
      <c r="F413" s="25">
        <v>1114522.0</v>
      </c>
    </row>
    <row r="414">
      <c r="A414" s="25">
        <v>38959.645833333336</v>
      </c>
      <c r="B414" s="25">
        <v>226.25</v>
      </c>
      <c r="C414" s="25">
        <v>226.25</v>
      </c>
      <c r="D414" s="25">
        <v>223.88</v>
      </c>
      <c r="E414" s="25">
        <v>225.15</v>
      </c>
      <c r="F414" s="25">
        <v>665088.0</v>
      </c>
    </row>
    <row r="415">
      <c r="A415" s="25">
        <v>38960.645833333336</v>
      </c>
      <c r="B415" s="25">
        <v>226.0</v>
      </c>
      <c r="C415" s="25">
        <v>227.38</v>
      </c>
      <c r="D415" s="25">
        <v>225.01</v>
      </c>
      <c r="E415" s="25">
        <v>225.8</v>
      </c>
      <c r="F415" s="25">
        <v>1228539.0</v>
      </c>
    </row>
    <row r="416">
      <c r="A416" s="25">
        <v>38961.645833333336</v>
      </c>
      <c r="B416" s="25">
        <v>226.25</v>
      </c>
      <c r="C416" s="25">
        <v>226.88</v>
      </c>
      <c r="D416" s="25">
        <v>225.02</v>
      </c>
      <c r="E416" s="25">
        <v>226.31</v>
      </c>
      <c r="F416" s="25">
        <v>603907.0</v>
      </c>
    </row>
    <row r="417">
      <c r="A417" s="25">
        <v>38964.645833333336</v>
      </c>
      <c r="B417" s="25">
        <v>226.5</v>
      </c>
      <c r="C417" s="25">
        <v>231.88</v>
      </c>
      <c r="D417" s="25">
        <v>226.39</v>
      </c>
      <c r="E417" s="25">
        <v>230.96</v>
      </c>
      <c r="F417" s="25">
        <v>756301.0</v>
      </c>
    </row>
    <row r="418">
      <c r="A418" s="25">
        <v>38965.645833333336</v>
      </c>
      <c r="B418" s="25">
        <v>233.75</v>
      </c>
      <c r="C418" s="25">
        <v>233.75</v>
      </c>
      <c r="D418" s="25">
        <v>228.13</v>
      </c>
      <c r="E418" s="25">
        <v>229.37</v>
      </c>
      <c r="F418" s="25">
        <v>372511.0</v>
      </c>
    </row>
    <row r="419">
      <c r="A419" s="25">
        <v>38966.645833333336</v>
      </c>
      <c r="B419" s="25">
        <v>231.25</v>
      </c>
      <c r="C419" s="25">
        <v>231.25</v>
      </c>
      <c r="D419" s="25">
        <v>228.72</v>
      </c>
      <c r="E419" s="25">
        <v>229.36</v>
      </c>
      <c r="F419" s="25">
        <v>736267.0</v>
      </c>
    </row>
    <row r="420">
      <c r="A420" s="25">
        <v>38967.645833333336</v>
      </c>
      <c r="B420" s="25">
        <v>228.09</v>
      </c>
      <c r="C420" s="25">
        <v>228.7</v>
      </c>
      <c r="D420" s="25">
        <v>224.88</v>
      </c>
      <c r="E420" s="25">
        <v>225.86</v>
      </c>
      <c r="F420" s="25">
        <v>1254551.0</v>
      </c>
    </row>
    <row r="421">
      <c r="A421" s="25">
        <v>38968.645833333336</v>
      </c>
      <c r="B421" s="25">
        <v>225.88</v>
      </c>
      <c r="C421" s="25">
        <v>227.38</v>
      </c>
      <c r="D421" s="25">
        <v>222.25</v>
      </c>
      <c r="E421" s="25">
        <v>223.68</v>
      </c>
      <c r="F421" s="25">
        <v>1247960.0</v>
      </c>
    </row>
    <row r="422">
      <c r="A422" s="25">
        <v>38971.645833333336</v>
      </c>
      <c r="B422" s="25">
        <v>225.14</v>
      </c>
      <c r="C422" s="25">
        <v>225.14</v>
      </c>
      <c r="D422" s="25">
        <v>215.01</v>
      </c>
      <c r="E422" s="25">
        <v>216.69</v>
      </c>
      <c r="F422" s="25">
        <v>940192.0</v>
      </c>
    </row>
    <row r="423">
      <c r="A423" s="25">
        <v>38972.645833333336</v>
      </c>
      <c r="B423" s="25">
        <v>217.5</v>
      </c>
      <c r="C423" s="25">
        <v>222.5</v>
      </c>
      <c r="D423" s="25">
        <v>215.14</v>
      </c>
      <c r="E423" s="25">
        <v>221.44</v>
      </c>
      <c r="F423" s="25">
        <v>1016220.0</v>
      </c>
    </row>
    <row r="424">
      <c r="A424" s="25">
        <v>38973.645833333336</v>
      </c>
      <c r="B424" s="25">
        <v>223.75</v>
      </c>
      <c r="C424" s="25">
        <v>226.88</v>
      </c>
      <c r="D424" s="25">
        <v>223.75</v>
      </c>
      <c r="E424" s="25">
        <v>226.18</v>
      </c>
      <c r="F424" s="25">
        <v>1144267.0</v>
      </c>
    </row>
    <row r="425">
      <c r="A425" s="25">
        <v>38974.645833333336</v>
      </c>
      <c r="B425" s="25">
        <v>226.92</v>
      </c>
      <c r="C425" s="25">
        <v>230.13</v>
      </c>
      <c r="D425" s="25">
        <v>226.88</v>
      </c>
      <c r="E425" s="25">
        <v>228.91</v>
      </c>
      <c r="F425" s="25">
        <v>1328208.0</v>
      </c>
    </row>
    <row r="426">
      <c r="A426" s="25">
        <v>38975.645833333336</v>
      </c>
      <c r="B426" s="25">
        <v>229.38</v>
      </c>
      <c r="C426" s="25">
        <v>229.38</v>
      </c>
      <c r="D426" s="25">
        <v>223.63</v>
      </c>
      <c r="E426" s="25">
        <v>226.33</v>
      </c>
      <c r="F426" s="25">
        <v>985739.0</v>
      </c>
    </row>
    <row r="427">
      <c r="A427" s="25">
        <v>38978.645833333336</v>
      </c>
      <c r="B427" s="25">
        <v>228.13</v>
      </c>
      <c r="C427" s="25">
        <v>228.13</v>
      </c>
      <c r="D427" s="25">
        <v>226.31</v>
      </c>
      <c r="E427" s="25">
        <v>227.17</v>
      </c>
      <c r="F427" s="25">
        <v>718067.0</v>
      </c>
    </row>
    <row r="428">
      <c r="A428" s="25">
        <v>38979.645833333336</v>
      </c>
      <c r="B428" s="25">
        <v>227.25</v>
      </c>
      <c r="C428" s="25">
        <v>229.34</v>
      </c>
      <c r="D428" s="25">
        <v>225.25</v>
      </c>
      <c r="E428" s="25">
        <v>227.05</v>
      </c>
      <c r="F428" s="25">
        <v>1213027.0</v>
      </c>
    </row>
    <row r="429">
      <c r="A429" s="25">
        <v>38980.645833333336</v>
      </c>
      <c r="B429" s="25">
        <v>225.0</v>
      </c>
      <c r="C429" s="25">
        <v>229.88</v>
      </c>
      <c r="D429" s="25">
        <v>224.54</v>
      </c>
      <c r="E429" s="25">
        <v>228.81</v>
      </c>
      <c r="F429" s="25">
        <v>897445.0</v>
      </c>
    </row>
    <row r="430">
      <c r="A430" s="25">
        <v>38981.645833333336</v>
      </c>
      <c r="B430" s="25">
        <v>230.0</v>
      </c>
      <c r="C430" s="25">
        <v>231.25</v>
      </c>
      <c r="D430" s="25">
        <v>228.46</v>
      </c>
      <c r="E430" s="25">
        <v>229.76</v>
      </c>
      <c r="F430" s="25">
        <v>957949.0</v>
      </c>
    </row>
    <row r="431">
      <c r="A431" s="25">
        <v>38982.645833333336</v>
      </c>
      <c r="B431" s="25">
        <v>228.0</v>
      </c>
      <c r="C431" s="25">
        <v>229.75</v>
      </c>
      <c r="D431" s="25">
        <v>226.42</v>
      </c>
      <c r="E431" s="25">
        <v>228.75</v>
      </c>
      <c r="F431" s="25">
        <v>677083.0</v>
      </c>
    </row>
    <row r="432">
      <c r="A432" s="25">
        <v>38985.645833333336</v>
      </c>
      <c r="B432" s="25">
        <v>228.63</v>
      </c>
      <c r="C432" s="25">
        <v>228.63</v>
      </c>
      <c r="D432" s="25">
        <v>226.5</v>
      </c>
      <c r="E432" s="25">
        <v>227.07</v>
      </c>
      <c r="F432" s="25">
        <v>393039.0</v>
      </c>
    </row>
    <row r="433">
      <c r="A433" s="25">
        <v>38986.645833333336</v>
      </c>
      <c r="B433" s="25">
        <v>229.38</v>
      </c>
      <c r="C433" s="25">
        <v>230.83</v>
      </c>
      <c r="D433" s="25">
        <v>227.63</v>
      </c>
      <c r="E433" s="25">
        <v>229.98</v>
      </c>
      <c r="F433" s="25">
        <v>745865.0</v>
      </c>
    </row>
    <row r="434">
      <c r="A434" s="25">
        <v>38987.645833333336</v>
      </c>
      <c r="B434" s="25">
        <v>230.01</v>
      </c>
      <c r="C434" s="25">
        <v>231.49</v>
      </c>
      <c r="D434" s="25">
        <v>229.07</v>
      </c>
      <c r="E434" s="25">
        <v>229.71</v>
      </c>
      <c r="F434" s="25">
        <v>769730.0</v>
      </c>
    </row>
    <row r="435">
      <c r="A435" s="25">
        <v>38988.645833333336</v>
      </c>
      <c r="B435" s="25">
        <v>230.0</v>
      </c>
      <c r="C435" s="25">
        <v>234.4</v>
      </c>
      <c r="D435" s="25">
        <v>227.75</v>
      </c>
      <c r="E435" s="25">
        <v>232.27</v>
      </c>
      <c r="F435" s="25">
        <v>1103193.0</v>
      </c>
    </row>
    <row r="436">
      <c r="A436" s="25">
        <v>38989.645833333336</v>
      </c>
      <c r="B436" s="25">
        <v>234.75</v>
      </c>
      <c r="C436" s="25">
        <v>234.75</v>
      </c>
      <c r="D436" s="25">
        <v>230.64</v>
      </c>
      <c r="E436" s="25">
        <v>231.21</v>
      </c>
      <c r="F436" s="25">
        <v>497551.0</v>
      </c>
    </row>
    <row r="437">
      <c r="A437" s="25">
        <v>38993.645833333336</v>
      </c>
      <c r="B437" s="25">
        <v>234.38</v>
      </c>
      <c r="C437" s="25">
        <v>234.38</v>
      </c>
      <c r="D437" s="25">
        <v>226.5</v>
      </c>
      <c r="E437" s="25">
        <v>227.28</v>
      </c>
      <c r="F437" s="25">
        <v>1106239.0</v>
      </c>
    </row>
    <row r="438">
      <c r="A438" s="25">
        <v>38994.645833333336</v>
      </c>
      <c r="B438" s="25">
        <v>229.11</v>
      </c>
      <c r="C438" s="25">
        <v>230.0</v>
      </c>
      <c r="D438" s="25">
        <v>224.38</v>
      </c>
      <c r="E438" s="25">
        <v>224.99</v>
      </c>
      <c r="F438" s="25">
        <v>1649642.0</v>
      </c>
    </row>
    <row r="439">
      <c r="A439" s="25">
        <v>38995.645833333336</v>
      </c>
      <c r="B439" s="25">
        <v>228.0</v>
      </c>
      <c r="C439" s="25">
        <v>233.75</v>
      </c>
      <c r="D439" s="25">
        <v>226.88</v>
      </c>
      <c r="E439" s="25">
        <v>233.15</v>
      </c>
      <c r="F439" s="25">
        <v>1223635.0</v>
      </c>
    </row>
    <row r="440">
      <c r="A440" s="25">
        <v>38996.645833333336</v>
      </c>
      <c r="B440" s="25">
        <v>233.13</v>
      </c>
      <c r="C440" s="25">
        <v>234.96</v>
      </c>
      <c r="D440" s="25">
        <v>230.67</v>
      </c>
      <c r="E440" s="25">
        <v>234.19</v>
      </c>
      <c r="F440" s="25">
        <v>844377.0</v>
      </c>
    </row>
    <row r="441">
      <c r="A441" s="25">
        <v>38999.645833333336</v>
      </c>
      <c r="B441" s="25">
        <v>233.13</v>
      </c>
      <c r="C441" s="25">
        <v>239.99</v>
      </c>
      <c r="D441" s="25">
        <v>231.31</v>
      </c>
      <c r="E441" s="25">
        <v>237.02</v>
      </c>
      <c r="F441" s="25">
        <v>1344539.0</v>
      </c>
    </row>
    <row r="442">
      <c r="A442" s="25">
        <v>39000.645833333336</v>
      </c>
      <c r="B442" s="25">
        <v>239.1</v>
      </c>
      <c r="C442" s="25">
        <v>243.75</v>
      </c>
      <c r="D442" s="25">
        <v>237.51</v>
      </c>
      <c r="E442" s="25">
        <v>238.28</v>
      </c>
      <c r="F442" s="25">
        <v>2101050.0</v>
      </c>
    </row>
    <row r="443">
      <c r="A443" s="25">
        <v>39001.645833333336</v>
      </c>
      <c r="B443" s="25">
        <v>250.0</v>
      </c>
      <c r="C443" s="25">
        <v>255.55</v>
      </c>
      <c r="D443" s="25">
        <v>244.38</v>
      </c>
      <c r="E443" s="25">
        <v>247.5</v>
      </c>
      <c r="F443" s="25">
        <v>3577516.0</v>
      </c>
    </row>
    <row r="444">
      <c r="A444" s="25">
        <v>39002.645833333336</v>
      </c>
      <c r="B444" s="25">
        <v>251.94</v>
      </c>
      <c r="C444" s="25">
        <v>253.13</v>
      </c>
      <c r="D444" s="25">
        <v>246.38</v>
      </c>
      <c r="E444" s="25">
        <v>252.51</v>
      </c>
      <c r="F444" s="25">
        <v>2313775.0</v>
      </c>
    </row>
    <row r="445">
      <c r="A445" s="25">
        <v>39003.645833333336</v>
      </c>
      <c r="B445" s="25">
        <v>253.75</v>
      </c>
      <c r="C445" s="25">
        <v>262.49</v>
      </c>
      <c r="D445" s="25">
        <v>253.75</v>
      </c>
      <c r="E445" s="25">
        <v>261.13</v>
      </c>
      <c r="F445" s="25">
        <v>3028448.0</v>
      </c>
    </row>
    <row r="446">
      <c r="A446" s="25">
        <v>39006.645833333336</v>
      </c>
      <c r="B446" s="25">
        <v>262.38</v>
      </c>
      <c r="C446" s="25">
        <v>268.23</v>
      </c>
      <c r="D446" s="25">
        <v>261.31</v>
      </c>
      <c r="E446" s="25">
        <v>262.54</v>
      </c>
      <c r="F446" s="25">
        <v>2240813.0</v>
      </c>
    </row>
    <row r="447">
      <c r="A447" s="25">
        <v>39007.645833333336</v>
      </c>
      <c r="B447" s="25">
        <v>263.63</v>
      </c>
      <c r="C447" s="25">
        <v>265.61</v>
      </c>
      <c r="D447" s="25">
        <v>256.52</v>
      </c>
      <c r="E447" s="25">
        <v>258.84</v>
      </c>
      <c r="F447" s="25">
        <v>1647165.0</v>
      </c>
    </row>
    <row r="448">
      <c r="A448" s="25">
        <v>39008.645833333336</v>
      </c>
      <c r="B448" s="25">
        <v>257.52</v>
      </c>
      <c r="C448" s="25">
        <v>262.35</v>
      </c>
      <c r="D448" s="25">
        <v>257.5</v>
      </c>
      <c r="E448" s="25">
        <v>259.16</v>
      </c>
      <c r="F448" s="25">
        <v>1569261.0</v>
      </c>
    </row>
    <row r="449">
      <c r="A449" s="25">
        <v>39009.645833333336</v>
      </c>
      <c r="B449" s="25">
        <v>258.75</v>
      </c>
      <c r="C449" s="25">
        <v>260.46</v>
      </c>
      <c r="D449" s="25">
        <v>257.5</v>
      </c>
      <c r="E449" s="25">
        <v>258.56</v>
      </c>
      <c r="F449" s="25">
        <v>966427.0</v>
      </c>
    </row>
    <row r="450">
      <c r="A450" s="25">
        <v>39010.645833333336</v>
      </c>
      <c r="B450" s="25">
        <v>261.25</v>
      </c>
      <c r="C450" s="25">
        <v>261.25</v>
      </c>
      <c r="D450" s="25">
        <v>256.88</v>
      </c>
      <c r="E450" s="25">
        <v>258.01</v>
      </c>
      <c r="F450" s="25">
        <v>932700.0</v>
      </c>
    </row>
    <row r="451">
      <c r="A451" s="25">
        <v>39013.645833333336</v>
      </c>
      <c r="B451" s="25">
        <v>262.5</v>
      </c>
      <c r="C451" s="25">
        <v>262.5</v>
      </c>
      <c r="D451" s="25">
        <v>254.38</v>
      </c>
      <c r="E451" s="25">
        <v>255.19</v>
      </c>
      <c r="F451" s="25">
        <v>777012.0</v>
      </c>
    </row>
    <row r="452">
      <c r="A452" s="25">
        <v>39016.645833333336</v>
      </c>
      <c r="B452" s="25">
        <v>255.19</v>
      </c>
      <c r="C452" s="25">
        <v>260.0</v>
      </c>
      <c r="D452" s="25">
        <v>255.19</v>
      </c>
      <c r="E452" s="25">
        <v>259.17</v>
      </c>
      <c r="F452" s="25">
        <v>1590685.0</v>
      </c>
    </row>
    <row r="453">
      <c r="A453" s="25">
        <v>39017.645833333336</v>
      </c>
      <c r="B453" s="25">
        <v>256.94</v>
      </c>
      <c r="C453" s="25">
        <v>264.38</v>
      </c>
      <c r="D453" s="25">
        <v>256.94</v>
      </c>
      <c r="E453" s="25">
        <v>261.57</v>
      </c>
      <c r="F453" s="25">
        <v>855210.0</v>
      </c>
    </row>
    <row r="454">
      <c r="A454" s="25">
        <v>39020.645833333336</v>
      </c>
      <c r="B454" s="25">
        <v>261.88</v>
      </c>
      <c r="C454" s="25">
        <v>266.88</v>
      </c>
      <c r="D454" s="25">
        <v>258.75</v>
      </c>
      <c r="E454" s="25">
        <v>265.96</v>
      </c>
      <c r="F454" s="25">
        <v>712012.0</v>
      </c>
    </row>
    <row r="455">
      <c r="A455" s="25">
        <v>39021.645833333336</v>
      </c>
      <c r="B455" s="25">
        <v>266.88</v>
      </c>
      <c r="C455" s="25">
        <v>266.88</v>
      </c>
      <c r="D455" s="25">
        <v>260.89</v>
      </c>
      <c r="E455" s="25">
        <v>261.94</v>
      </c>
      <c r="F455" s="25">
        <v>1066839.0</v>
      </c>
    </row>
    <row r="456">
      <c r="A456" s="25">
        <v>39022.645833333336</v>
      </c>
      <c r="B456" s="25">
        <v>262.0</v>
      </c>
      <c r="C456" s="25">
        <v>264.73</v>
      </c>
      <c r="D456" s="25">
        <v>260.14</v>
      </c>
      <c r="E456" s="25">
        <v>262.93</v>
      </c>
      <c r="F456" s="25">
        <v>554623.0</v>
      </c>
    </row>
    <row r="457">
      <c r="A457" s="25">
        <v>39023.645833333336</v>
      </c>
      <c r="B457" s="25">
        <v>261.63</v>
      </c>
      <c r="C457" s="25">
        <v>262.5</v>
      </c>
      <c r="D457" s="25">
        <v>259.63</v>
      </c>
      <c r="E457" s="25">
        <v>260.59</v>
      </c>
      <c r="F457" s="25">
        <v>700286.0</v>
      </c>
    </row>
    <row r="458">
      <c r="A458" s="25">
        <v>39024.645833333336</v>
      </c>
      <c r="B458" s="25">
        <v>261.19</v>
      </c>
      <c r="C458" s="25">
        <v>261.85</v>
      </c>
      <c r="D458" s="25">
        <v>257.38</v>
      </c>
      <c r="E458" s="25">
        <v>259.36</v>
      </c>
      <c r="F458" s="25">
        <v>731210.0</v>
      </c>
    </row>
    <row r="459">
      <c r="A459" s="25">
        <v>39027.645833333336</v>
      </c>
      <c r="B459" s="25">
        <v>261.24</v>
      </c>
      <c r="C459" s="25">
        <v>261.24</v>
      </c>
      <c r="D459" s="25">
        <v>256.94</v>
      </c>
      <c r="E459" s="25">
        <v>258.75</v>
      </c>
      <c r="F459" s="25">
        <v>407595.0</v>
      </c>
    </row>
    <row r="460">
      <c r="A460" s="25">
        <v>39028.645833333336</v>
      </c>
      <c r="B460" s="25">
        <v>260.01</v>
      </c>
      <c r="C460" s="25">
        <v>266.71</v>
      </c>
      <c r="D460" s="25">
        <v>260.01</v>
      </c>
      <c r="E460" s="25">
        <v>262.79</v>
      </c>
      <c r="F460" s="25">
        <v>1165747.0</v>
      </c>
    </row>
    <row r="461">
      <c r="A461" s="25">
        <v>39029.645833333336</v>
      </c>
      <c r="B461" s="25">
        <v>265.0</v>
      </c>
      <c r="C461" s="25">
        <v>269.0</v>
      </c>
      <c r="D461" s="25">
        <v>263.44</v>
      </c>
      <c r="E461" s="25">
        <v>265.73</v>
      </c>
      <c r="F461" s="25">
        <v>1703685.0</v>
      </c>
    </row>
    <row r="462">
      <c r="A462" s="25">
        <v>39030.645833333336</v>
      </c>
      <c r="B462" s="25">
        <v>267.49</v>
      </c>
      <c r="C462" s="25">
        <v>269.75</v>
      </c>
      <c r="D462" s="25">
        <v>263.79</v>
      </c>
      <c r="E462" s="25">
        <v>267.14</v>
      </c>
      <c r="F462" s="25">
        <v>1184989.0</v>
      </c>
    </row>
    <row r="463">
      <c r="A463" s="25">
        <v>39031.645833333336</v>
      </c>
      <c r="B463" s="25">
        <v>268.13</v>
      </c>
      <c r="C463" s="25">
        <v>269.74</v>
      </c>
      <c r="D463" s="25">
        <v>266.75</v>
      </c>
      <c r="E463" s="25">
        <v>267.48</v>
      </c>
      <c r="F463" s="25">
        <v>1539162.0</v>
      </c>
    </row>
    <row r="464">
      <c r="A464" s="25">
        <v>39034.645833333336</v>
      </c>
      <c r="B464" s="25">
        <v>267.5</v>
      </c>
      <c r="C464" s="25">
        <v>270.75</v>
      </c>
      <c r="D464" s="25">
        <v>266.88</v>
      </c>
      <c r="E464" s="25">
        <v>270.02</v>
      </c>
      <c r="F464" s="25">
        <v>1041867.0</v>
      </c>
    </row>
    <row r="465">
      <c r="A465" s="25">
        <v>39035.645833333336</v>
      </c>
      <c r="B465" s="25">
        <v>271.86</v>
      </c>
      <c r="C465" s="25">
        <v>278.38</v>
      </c>
      <c r="D465" s="25">
        <v>271.86</v>
      </c>
      <c r="E465" s="25">
        <v>276.32</v>
      </c>
      <c r="F465" s="25">
        <v>2259904.0</v>
      </c>
    </row>
    <row r="466">
      <c r="A466" s="25">
        <v>39036.645833333336</v>
      </c>
      <c r="B466" s="25">
        <v>277.18</v>
      </c>
      <c r="C466" s="25">
        <v>280.02</v>
      </c>
      <c r="D466" s="25">
        <v>274.03</v>
      </c>
      <c r="E466" s="25">
        <v>277.83</v>
      </c>
      <c r="F466" s="25">
        <v>944190.0</v>
      </c>
    </row>
    <row r="467">
      <c r="A467" s="25">
        <v>39037.645833333336</v>
      </c>
      <c r="B467" s="25">
        <v>277.13</v>
      </c>
      <c r="C467" s="25">
        <v>278.09</v>
      </c>
      <c r="D467" s="25">
        <v>269.26</v>
      </c>
      <c r="E467" s="25">
        <v>274.99</v>
      </c>
      <c r="F467" s="25">
        <v>1505112.0</v>
      </c>
    </row>
    <row r="468">
      <c r="A468" s="25">
        <v>39038.645833333336</v>
      </c>
      <c r="B468" s="25">
        <v>275.25</v>
      </c>
      <c r="C468" s="25">
        <v>276.11</v>
      </c>
      <c r="D468" s="25">
        <v>270.03</v>
      </c>
      <c r="E468" s="25">
        <v>273.3</v>
      </c>
      <c r="F468" s="25">
        <v>539331.0</v>
      </c>
    </row>
    <row r="469">
      <c r="A469" s="25">
        <v>39041.645833333336</v>
      </c>
      <c r="B469" s="25">
        <v>271.25</v>
      </c>
      <c r="C469" s="25">
        <v>282.8</v>
      </c>
      <c r="D469" s="25">
        <v>269.03</v>
      </c>
      <c r="E469" s="25">
        <v>281.73</v>
      </c>
      <c r="F469" s="25">
        <v>2439179.0</v>
      </c>
    </row>
    <row r="470">
      <c r="A470" s="25">
        <v>39042.645833333336</v>
      </c>
      <c r="B470" s="25">
        <v>283.13</v>
      </c>
      <c r="C470" s="25">
        <v>283.13</v>
      </c>
      <c r="D470" s="25">
        <v>276.97</v>
      </c>
      <c r="E470" s="25">
        <v>282.06</v>
      </c>
      <c r="F470" s="25">
        <v>2837819.0</v>
      </c>
    </row>
    <row r="471">
      <c r="A471" s="25">
        <v>39043.645833333336</v>
      </c>
      <c r="B471" s="25">
        <v>275.0</v>
      </c>
      <c r="C471" s="25">
        <v>281.13</v>
      </c>
      <c r="D471" s="25">
        <v>272.49</v>
      </c>
      <c r="E471" s="25">
        <v>278.19</v>
      </c>
      <c r="F471" s="25">
        <v>1738256.0</v>
      </c>
    </row>
    <row r="472">
      <c r="A472" s="25">
        <v>39044.645833333336</v>
      </c>
      <c r="B472" s="25">
        <v>278.19</v>
      </c>
      <c r="C472" s="25">
        <v>280.63</v>
      </c>
      <c r="D472" s="25">
        <v>278.19</v>
      </c>
      <c r="E472" s="25">
        <v>279.63</v>
      </c>
      <c r="F472" s="25">
        <v>781813.0</v>
      </c>
    </row>
    <row r="473">
      <c r="A473" s="25">
        <v>39045.645833333336</v>
      </c>
      <c r="B473" s="25">
        <v>278.75</v>
      </c>
      <c r="C473" s="25">
        <v>280.84</v>
      </c>
      <c r="D473" s="25">
        <v>277.79</v>
      </c>
      <c r="E473" s="25">
        <v>279.44</v>
      </c>
      <c r="F473" s="25">
        <v>437974.0</v>
      </c>
    </row>
    <row r="474">
      <c r="A474" s="25">
        <v>39048.645833333336</v>
      </c>
      <c r="B474" s="25">
        <v>279.38</v>
      </c>
      <c r="C474" s="25">
        <v>279.93</v>
      </c>
      <c r="D474" s="25">
        <v>276.63</v>
      </c>
      <c r="E474" s="25">
        <v>277.23</v>
      </c>
      <c r="F474" s="25">
        <v>475012.0</v>
      </c>
    </row>
    <row r="475">
      <c r="A475" s="25">
        <v>39049.645833333336</v>
      </c>
      <c r="B475" s="25">
        <v>275.34</v>
      </c>
      <c r="C475" s="25">
        <v>275.34</v>
      </c>
      <c r="D475" s="25">
        <v>270.0</v>
      </c>
      <c r="E475" s="25">
        <v>270.61</v>
      </c>
      <c r="F475" s="25">
        <v>1332855.0</v>
      </c>
    </row>
    <row r="476">
      <c r="A476" s="25">
        <v>39050.645833333336</v>
      </c>
      <c r="B476" s="25">
        <v>273.74</v>
      </c>
      <c r="C476" s="25">
        <v>274.86</v>
      </c>
      <c r="D476" s="25">
        <v>266.5</v>
      </c>
      <c r="E476" s="25">
        <v>269.58</v>
      </c>
      <c r="F476" s="25">
        <v>1550915.0</v>
      </c>
    </row>
    <row r="477">
      <c r="A477" s="25">
        <v>39051.645833333336</v>
      </c>
      <c r="B477" s="25">
        <v>271.86</v>
      </c>
      <c r="C477" s="25">
        <v>274.38</v>
      </c>
      <c r="D477" s="25">
        <v>270.0</v>
      </c>
      <c r="E477" s="25">
        <v>272.46</v>
      </c>
      <c r="F477" s="25">
        <v>1268278.0</v>
      </c>
    </row>
    <row r="478">
      <c r="A478" s="25">
        <v>39052.645833333336</v>
      </c>
      <c r="B478" s="25">
        <v>273.63</v>
      </c>
      <c r="C478" s="25">
        <v>275.75</v>
      </c>
      <c r="D478" s="25">
        <v>273.13</v>
      </c>
      <c r="E478" s="25">
        <v>274.38</v>
      </c>
      <c r="F478" s="25">
        <v>531626.0</v>
      </c>
    </row>
    <row r="479">
      <c r="A479" s="25">
        <v>39055.645833333336</v>
      </c>
      <c r="B479" s="25">
        <v>274.75</v>
      </c>
      <c r="C479" s="25">
        <v>276.78</v>
      </c>
      <c r="D479" s="25">
        <v>272.64</v>
      </c>
      <c r="E479" s="25">
        <v>275.91</v>
      </c>
      <c r="F479" s="25">
        <v>725524.0</v>
      </c>
    </row>
    <row r="480">
      <c r="A480" s="25">
        <v>39056.645833333336</v>
      </c>
      <c r="B480" s="25">
        <v>277.5</v>
      </c>
      <c r="C480" s="25">
        <v>281.13</v>
      </c>
      <c r="D480" s="25">
        <v>277.5</v>
      </c>
      <c r="E480" s="25">
        <v>279.89</v>
      </c>
      <c r="F480" s="25">
        <v>1304409.0</v>
      </c>
    </row>
    <row r="481">
      <c r="A481" s="25">
        <v>39057.645833333336</v>
      </c>
      <c r="B481" s="25">
        <v>280.0</v>
      </c>
      <c r="C481" s="25">
        <v>285.0</v>
      </c>
      <c r="D481" s="25">
        <v>277.77</v>
      </c>
      <c r="E481" s="25">
        <v>281.11</v>
      </c>
      <c r="F481" s="25">
        <v>1768578.0</v>
      </c>
    </row>
    <row r="482">
      <c r="A482" s="25">
        <v>39058.645833333336</v>
      </c>
      <c r="B482" s="25">
        <v>281.11</v>
      </c>
      <c r="C482" s="25">
        <v>281.73</v>
      </c>
      <c r="D482" s="25">
        <v>275.5</v>
      </c>
      <c r="E482" s="25">
        <v>277.98</v>
      </c>
      <c r="F482" s="25">
        <v>1606721.0</v>
      </c>
    </row>
    <row r="483">
      <c r="A483" s="25">
        <v>39059.645833333336</v>
      </c>
      <c r="B483" s="25">
        <v>278.13</v>
      </c>
      <c r="C483" s="25">
        <v>278.48</v>
      </c>
      <c r="D483" s="25">
        <v>273.78</v>
      </c>
      <c r="E483" s="25">
        <v>274.44</v>
      </c>
      <c r="F483" s="25">
        <v>1110995.0</v>
      </c>
    </row>
    <row r="484">
      <c r="A484" s="25">
        <v>39062.645833333336</v>
      </c>
      <c r="B484" s="25">
        <v>276.25</v>
      </c>
      <c r="C484" s="25">
        <v>279.38</v>
      </c>
      <c r="D484" s="25">
        <v>270.94</v>
      </c>
      <c r="E484" s="25">
        <v>274.35</v>
      </c>
      <c r="F484" s="25">
        <v>1451817.0</v>
      </c>
    </row>
    <row r="485">
      <c r="A485" s="25">
        <v>39063.645833333336</v>
      </c>
      <c r="B485" s="25">
        <v>274.75</v>
      </c>
      <c r="C485" s="25">
        <v>278.25</v>
      </c>
      <c r="D485" s="25">
        <v>267.65</v>
      </c>
      <c r="E485" s="25">
        <v>270.53</v>
      </c>
      <c r="F485" s="25">
        <v>1941761.0</v>
      </c>
    </row>
    <row r="486">
      <c r="A486" s="25">
        <v>39064.645833333336</v>
      </c>
      <c r="B486" s="25">
        <v>270.75</v>
      </c>
      <c r="C486" s="25">
        <v>272.5</v>
      </c>
      <c r="D486" s="25">
        <v>265.66</v>
      </c>
      <c r="E486" s="25">
        <v>268.71</v>
      </c>
      <c r="F486" s="25">
        <v>1560477.0</v>
      </c>
    </row>
    <row r="487">
      <c r="A487" s="25">
        <v>39065.645833333336</v>
      </c>
      <c r="B487" s="25">
        <v>271.25</v>
      </c>
      <c r="C487" s="25">
        <v>275.96</v>
      </c>
      <c r="D487" s="25">
        <v>270.13</v>
      </c>
      <c r="E487" s="25">
        <v>274.51</v>
      </c>
      <c r="F487" s="25">
        <v>918497.0</v>
      </c>
    </row>
    <row r="488">
      <c r="A488" s="25">
        <v>39066.645833333336</v>
      </c>
      <c r="B488" s="25">
        <v>274.38</v>
      </c>
      <c r="C488" s="25">
        <v>280.0</v>
      </c>
      <c r="D488" s="25">
        <v>274.38</v>
      </c>
      <c r="E488" s="25">
        <v>279.19</v>
      </c>
      <c r="F488" s="25">
        <v>1078563.0</v>
      </c>
    </row>
    <row r="489">
      <c r="A489" s="25">
        <v>39069.645833333336</v>
      </c>
      <c r="B489" s="25">
        <v>279.75</v>
      </c>
      <c r="C489" s="25">
        <v>282.5</v>
      </c>
      <c r="D489" s="25">
        <v>272.76</v>
      </c>
      <c r="E489" s="25">
        <v>278.06</v>
      </c>
      <c r="F489" s="25">
        <v>1971674.0</v>
      </c>
    </row>
    <row r="490">
      <c r="A490" s="25">
        <v>39070.645833333336</v>
      </c>
      <c r="B490" s="25">
        <v>276.26</v>
      </c>
      <c r="C490" s="25">
        <v>276.52</v>
      </c>
      <c r="D490" s="25">
        <v>266.88</v>
      </c>
      <c r="E490" s="25">
        <v>269.7</v>
      </c>
      <c r="F490" s="25">
        <v>2241204.0</v>
      </c>
    </row>
    <row r="491">
      <c r="A491" s="25">
        <v>39071.645833333336</v>
      </c>
      <c r="B491" s="25">
        <v>270.63</v>
      </c>
      <c r="C491" s="25">
        <v>274.88</v>
      </c>
      <c r="D491" s="25">
        <v>268.88</v>
      </c>
      <c r="E491" s="25">
        <v>271.34</v>
      </c>
      <c r="F491" s="25">
        <v>1266426.0</v>
      </c>
    </row>
    <row r="492">
      <c r="A492" s="25">
        <v>39072.645833333336</v>
      </c>
      <c r="B492" s="25">
        <v>271.88</v>
      </c>
      <c r="C492" s="25">
        <v>271.88</v>
      </c>
      <c r="D492" s="25">
        <v>268.13</v>
      </c>
      <c r="E492" s="25">
        <v>270.46</v>
      </c>
      <c r="F492" s="25">
        <v>835754.0</v>
      </c>
    </row>
    <row r="493">
      <c r="A493" s="25">
        <v>39073.645833333336</v>
      </c>
      <c r="B493" s="25">
        <v>271.25</v>
      </c>
      <c r="C493" s="25">
        <v>272.63</v>
      </c>
      <c r="D493" s="25">
        <v>270.01</v>
      </c>
      <c r="E493" s="25">
        <v>271.73</v>
      </c>
      <c r="F493" s="25">
        <v>516939.0</v>
      </c>
    </row>
    <row r="494">
      <c r="A494" s="25">
        <v>39077.645833333336</v>
      </c>
      <c r="B494" s="25">
        <v>270.63</v>
      </c>
      <c r="C494" s="25">
        <v>278.09</v>
      </c>
      <c r="D494" s="25">
        <v>270.63</v>
      </c>
      <c r="E494" s="25">
        <v>277.43</v>
      </c>
      <c r="F494" s="25">
        <v>758509.0</v>
      </c>
    </row>
    <row r="495">
      <c r="A495" s="25">
        <v>39078.645833333336</v>
      </c>
      <c r="B495" s="25">
        <v>278.13</v>
      </c>
      <c r="C495" s="25">
        <v>282.4</v>
      </c>
      <c r="D495" s="25">
        <v>278.13</v>
      </c>
      <c r="E495" s="25">
        <v>281.58</v>
      </c>
      <c r="F495" s="25">
        <v>1079694.0</v>
      </c>
    </row>
    <row r="496">
      <c r="A496" s="25">
        <v>39079.645833333336</v>
      </c>
      <c r="B496" s="25">
        <v>284.38</v>
      </c>
      <c r="C496" s="25">
        <v>284.49</v>
      </c>
      <c r="D496" s="25">
        <v>280.06</v>
      </c>
      <c r="E496" s="25">
        <v>281.02</v>
      </c>
      <c r="F496" s="25">
        <v>1122702.0</v>
      </c>
    </row>
    <row r="497">
      <c r="A497" s="25">
        <v>39080.645833333336</v>
      </c>
      <c r="B497" s="25">
        <v>281.5</v>
      </c>
      <c r="C497" s="25">
        <v>283.23</v>
      </c>
      <c r="D497" s="25">
        <v>278.29</v>
      </c>
      <c r="E497" s="25">
        <v>280.23</v>
      </c>
      <c r="F497" s="25">
        <v>761696.0</v>
      </c>
    </row>
    <row r="498">
      <c r="A498" s="25">
        <v>39084.645833333336</v>
      </c>
      <c r="B498" s="25">
        <v>281.63</v>
      </c>
      <c r="C498" s="25">
        <v>287.13</v>
      </c>
      <c r="D498" s="25">
        <v>279.76</v>
      </c>
      <c r="E498" s="25">
        <v>284.08</v>
      </c>
      <c r="F498" s="25">
        <v>1078733.0</v>
      </c>
    </row>
    <row r="499">
      <c r="A499" s="25">
        <v>39085.645833333336</v>
      </c>
      <c r="B499" s="25">
        <v>284.08</v>
      </c>
      <c r="C499" s="25">
        <v>290.0</v>
      </c>
      <c r="D499" s="25">
        <v>284.08</v>
      </c>
      <c r="E499" s="25">
        <v>288.92</v>
      </c>
      <c r="F499" s="25">
        <v>1361157.0</v>
      </c>
    </row>
    <row r="500">
      <c r="A500" s="25">
        <v>39086.645833333336</v>
      </c>
      <c r="B500" s="25">
        <v>290.15</v>
      </c>
      <c r="C500" s="25">
        <v>290.63</v>
      </c>
      <c r="D500" s="25">
        <v>284.38</v>
      </c>
      <c r="E500" s="25">
        <v>285.66</v>
      </c>
      <c r="F500" s="25">
        <v>1097133.0</v>
      </c>
    </row>
    <row r="501">
      <c r="A501" s="25">
        <v>39087.645833333336</v>
      </c>
      <c r="B501" s="25">
        <v>285.75</v>
      </c>
      <c r="C501" s="25">
        <v>288.13</v>
      </c>
      <c r="D501" s="25">
        <v>281.94</v>
      </c>
      <c r="E501" s="25">
        <v>284.38</v>
      </c>
      <c r="F501" s="25">
        <v>877744.0</v>
      </c>
    </row>
    <row r="502">
      <c r="A502" s="25">
        <v>39090.645833333336</v>
      </c>
      <c r="B502" s="25">
        <v>284.38</v>
      </c>
      <c r="C502" s="25">
        <v>285.0</v>
      </c>
      <c r="D502" s="25">
        <v>274.06</v>
      </c>
      <c r="E502" s="25">
        <v>275.7</v>
      </c>
      <c r="F502" s="25">
        <v>2310171.0</v>
      </c>
    </row>
    <row r="503">
      <c r="A503" s="25">
        <v>39091.645833333336</v>
      </c>
      <c r="B503" s="25">
        <v>277.0</v>
      </c>
      <c r="C503" s="25">
        <v>279.43</v>
      </c>
      <c r="D503" s="25">
        <v>271.68</v>
      </c>
      <c r="E503" s="25">
        <v>273.76</v>
      </c>
      <c r="F503" s="25">
        <v>1677051.0</v>
      </c>
    </row>
    <row r="504">
      <c r="A504" s="25">
        <v>39092.645833333336</v>
      </c>
      <c r="B504" s="25">
        <v>275.0</v>
      </c>
      <c r="C504" s="25">
        <v>275.0</v>
      </c>
      <c r="D504" s="25">
        <v>269.18</v>
      </c>
      <c r="E504" s="25">
        <v>270.56</v>
      </c>
      <c r="F504" s="25">
        <v>1894898.0</v>
      </c>
    </row>
    <row r="505">
      <c r="A505" s="25">
        <v>39093.645833333336</v>
      </c>
      <c r="B505" s="25">
        <v>272.63</v>
      </c>
      <c r="C505" s="25">
        <v>276.86</v>
      </c>
      <c r="D505" s="25">
        <v>261.89</v>
      </c>
      <c r="E505" s="25">
        <v>272.88</v>
      </c>
      <c r="F505" s="25">
        <v>4261526.0</v>
      </c>
    </row>
    <row r="506">
      <c r="A506" s="25">
        <v>39094.645833333336</v>
      </c>
      <c r="B506" s="25">
        <v>275.0</v>
      </c>
      <c r="C506" s="25">
        <v>278.96</v>
      </c>
      <c r="D506" s="25">
        <v>275.0</v>
      </c>
      <c r="E506" s="25">
        <v>277.93</v>
      </c>
      <c r="F506" s="25">
        <v>1729086.0</v>
      </c>
    </row>
    <row r="507">
      <c r="A507" s="25">
        <v>39097.645833333336</v>
      </c>
      <c r="B507" s="25">
        <v>279.12</v>
      </c>
      <c r="C507" s="25">
        <v>280.94</v>
      </c>
      <c r="D507" s="25">
        <v>278.75</v>
      </c>
      <c r="E507" s="25">
        <v>280.37</v>
      </c>
      <c r="F507" s="25">
        <v>1266845.0</v>
      </c>
    </row>
    <row r="508">
      <c r="A508" s="25">
        <v>39098.645833333336</v>
      </c>
      <c r="B508" s="25">
        <v>280.65</v>
      </c>
      <c r="C508" s="25">
        <v>281.25</v>
      </c>
      <c r="D508" s="25">
        <v>277.01</v>
      </c>
      <c r="E508" s="25">
        <v>277.77</v>
      </c>
      <c r="F508" s="25">
        <v>639226.0</v>
      </c>
    </row>
    <row r="509">
      <c r="A509" s="25">
        <v>39099.645833333336</v>
      </c>
      <c r="B509" s="25">
        <v>280.63</v>
      </c>
      <c r="C509" s="25">
        <v>280.63</v>
      </c>
      <c r="D509" s="25">
        <v>274.64</v>
      </c>
      <c r="E509" s="25">
        <v>275.68</v>
      </c>
      <c r="F509" s="25">
        <v>1100425.0</v>
      </c>
    </row>
    <row r="510">
      <c r="A510" s="25">
        <v>39100.645833333336</v>
      </c>
      <c r="B510" s="25">
        <v>275.75</v>
      </c>
      <c r="C510" s="25">
        <v>279.13</v>
      </c>
      <c r="D510" s="25">
        <v>275.75</v>
      </c>
      <c r="E510" s="25">
        <v>278.02</v>
      </c>
      <c r="F510" s="25">
        <v>988269.0</v>
      </c>
    </row>
    <row r="511">
      <c r="A511" s="25">
        <v>39101.645833333336</v>
      </c>
      <c r="B511" s="25">
        <v>278.13</v>
      </c>
      <c r="C511" s="25">
        <v>279.75</v>
      </c>
      <c r="D511" s="25">
        <v>273.13</v>
      </c>
      <c r="E511" s="25">
        <v>275.29</v>
      </c>
      <c r="F511" s="25">
        <v>1443893.0</v>
      </c>
    </row>
    <row r="512">
      <c r="A512" s="25">
        <v>39104.645833333336</v>
      </c>
      <c r="B512" s="25">
        <v>276.88</v>
      </c>
      <c r="C512" s="25">
        <v>282.5</v>
      </c>
      <c r="D512" s="25">
        <v>275.55</v>
      </c>
      <c r="E512" s="25">
        <v>281.75</v>
      </c>
      <c r="F512" s="25">
        <v>1215174.0</v>
      </c>
    </row>
    <row r="513">
      <c r="A513" s="25">
        <v>39105.645833333336</v>
      </c>
      <c r="B513" s="25">
        <v>281.0</v>
      </c>
      <c r="C513" s="25">
        <v>281.0</v>
      </c>
      <c r="D513" s="25">
        <v>277.52</v>
      </c>
      <c r="E513" s="25">
        <v>279.39</v>
      </c>
      <c r="F513" s="25">
        <v>863396.0</v>
      </c>
    </row>
    <row r="514">
      <c r="A514" s="25">
        <v>39106.645833333336</v>
      </c>
      <c r="B514" s="25">
        <v>275.13</v>
      </c>
      <c r="C514" s="25">
        <v>282.13</v>
      </c>
      <c r="D514" s="25">
        <v>275.13</v>
      </c>
      <c r="E514" s="25">
        <v>279.26</v>
      </c>
      <c r="F514" s="25">
        <v>457610.0</v>
      </c>
    </row>
    <row r="515">
      <c r="A515" s="25">
        <v>39107.645833333336</v>
      </c>
      <c r="B515" s="25">
        <v>280.13</v>
      </c>
      <c r="C515" s="25">
        <v>281.84</v>
      </c>
      <c r="D515" s="25">
        <v>277.68</v>
      </c>
      <c r="E515" s="25">
        <v>280.13</v>
      </c>
      <c r="F515" s="25">
        <v>849794.0</v>
      </c>
    </row>
    <row r="516">
      <c r="A516" s="25">
        <v>39111.645833333336</v>
      </c>
      <c r="B516" s="25">
        <v>279.38</v>
      </c>
      <c r="C516" s="25">
        <v>281.88</v>
      </c>
      <c r="D516" s="25">
        <v>276.54</v>
      </c>
      <c r="E516" s="25">
        <v>280.55</v>
      </c>
      <c r="F516" s="25">
        <v>818864.0</v>
      </c>
    </row>
    <row r="517">
      <c r="A517" s="25">
        <v>39113.645833333336</v>
      </c>
      <c r="B517" s="25">
        <v>280.0</v>
      </c>
      <c r="C517" s="25">
        <v>281.88</v>
      </c>
      <c r="D517" s="25">
        <v>277.67</v>
      </c>
      <c r="E517" s="25">
        <v>280.91</v>
      </c>
      <c r="F517" s="25">
        <v>1146388.0</v>
      </c>
    </row>
    <row r="518">
      <c r="A518" s="25">
        <v>39114.645833333336</v>
      </c>
      <c r="B518" s="25">
        <v>281.25</v>
      </c>
      <c r="C518" s="25">
        <v>284.38</v>
      </c>
      <c r="D518" s="25">
        <v>279.79</v>
      </c>
      <c r="E518" s="25">
        <v>283.62</v>
      </c>
      <c r="F518" s="25">
        <v>420908.0</v>
      </c>
    </row>
    <row r="519">
      <c r="A519" s="25">
        <v>39115.645833333336</v>
      </c>
      <c r="B519" s="25">
        <v>284.38</v>
      </c>
      <c r="C519" s="25">
        <v>285.0</v>
      </c>
      <c r="D519" s="25">
        <v>280.26</v>
      </c>
      <c r="E519" s="25">
        <v>283.19</v>
      </c>
      <c r="F519" s="25">
        <v>1230365.0</v>
      </c>
    </row>
    <row r="520">
      <c r="A520" s="25">
        <v>39118.645833333336</v>
      </c>
      <c r="B520" s="25">
        <v>279.38</v>
      </c>
      <c r="C520" s="25">
        <v>284.55</v>
      </c>
      <c r="D520" s="25">
        <v>279.38</v>
      </c>
      <c r="E520" s="25">
        <v>283.66</v>
      </c>
      <c r="F520" s="25">
        <v>912384.0</v>
      </c>
    </row>
    <row r="521">
      <c r="A521" s="25">
        <v>39119.645833333336</v>
      </c>
      <c r="B521" s="25">
        <v>283.75</v>
      </c>
      <c r="C521" s="25">
        <v>285.87</v>
      </c>
      <c r="D521" s="25">
        <v>282.5</v>
      </c>
      <c r="E521" s="25">
        <v>284.12</v>
      </c>
      <c r="F521" s="25">
        <v>820118.0</v>
      </c>
    </row>
    <row r="522">
      <c r="A522" s="25">
        <v>39120.645833333336</v>
      </c>
      <c r="B522" s="25">
        <v>281.94</v>
      </c>
      <c r="C522" s="25">
        <v>296.25</v>
      </c>
      <c r="D522" s="25">
        <v>281.94</v>
      </c>
      <c r="E522" s="25">
        <v>294.63</v>
      </c>
      <c r="F522" s="25">
        <v>1812308.0</v>
      </c>
    </row>
    <row r="523">
      <c r="A523" s="25">
        <v>39121.645833333336</v>
      </c>
      <c r="B523" s="25">
        <v>295.63</v>
      </c>
      <c r="C523" s="25">
        <v>297.5</v>
      </c>
      <c r="D523" s="25">
        <v>291.7</v>
      </c>
      <c r="E523" s="25">
        <v>296.71</v>
      </c>
      <c r="F523" s="25">
        <v>821431.0</v>
      </c>
    </row>
    <row r="524">
      <c r="A524" s="25">
        <v>39122.645833333336</v>
      </c>
      <c r="B524" s="25">
        <v>296.8</v>
      </c>
      <c r="C524" s="25">
        <v>299.75</v>
      </c>
      <c r="D524" s="25">
        <v>292.25</v>
      </c>
      <c r="E524" s="25">
        <v>295.16</v>
      </c>
      <c r="F524" s="25">
        <v>788101.0</v>
      </c>
    </row>
    <row r="525">
      <c r="A525" s="25">
        <v>39125.645833333336</v>
      </c>
      <c r="B525" s="25">
        <v>291.88</v>
      </c>
      <c r="C525" s="25">
        <v>296.21</v>
      </c>
      <c r="D525" s="25">
        <v>288.89</v>
      </c>
      <c r="E525" s="25">
        <v>293.91</v>
      </c>
      <c r="F525" s="25">
        <v>608511.0</v>
      </c>
    </row>
    <row r="526">
      <c r="A526" s="25">
        <v>39126.645833333336</v>
      </c>
      <c r="B526" s="25">
        <v>293.88</v>
      </c>
      <c r="C526" s="25">
        <v>294.81</v>
      </c>
      <c r="D526" s="25">
        <v>284.58</v>
      </c>
      <c r="E526" s="25">
        <v>288.02</v>
      </c>
      <c r="F526" s="25">
        <v>945127.0</v>
      </c>
    </row>
    <row r="527">
      <c r="A527" s="25">
        <v>39127.645833333336</v>
      </c>
      <c r="B527" s="25">
        <v>285.27</v>
      </c>
      <c r="C527" s="25">
        <v>289.38</v>
      </c>
      <c r="D527" s="25">
        <v>282.71</v>
      </c>
      <c r="E527" s="25">
        <v>285.58</v>
      </c>
      <c r="F527" s="25">
        <v>1205275.0</v>
      </c>
    </row>
    <row r="528">
      <c r="A528" s="25">
        <v>39128.645833333336</v>
      </c>
      <c r="B528" s="25">
        <v>290.61</v>
      </c>
      <c r="C528" s="25">
        <v>301.88</v>
      </c>
      <c r="D528" s="25">
        <v>286.88</v>
      </c>
      <c r="E528" s="25">
        <v>297.87</v>
      </c>
      <c r="F528" s="25">
        <v>1247356.0</v>
      </c>
    </row>
    <row r="529">
      <c r="A529" s="25">
        <v>39132.645833333336</v>
      </c>
      <c r="B529" s="25">
        <v>297.75</v>
      </c>
      <c r="C529" s="25">
        <v>300.0</v>
      </c>
      <c r="D529" s="25">
        <v>295.37</v>
      </c>
      <c r="E529" s="25">
        <v>297.01</v>
      </c>
      <c r="F529" s="25">
        <v>385831.0</v>
      </c>
    </row>
    <row r="530">
      <c r="A530" s="25">
        <v>39133.645833333336</v>
      </c>
      <c r="B530" s="25">
        <v>296.88</v>
      </c>
      <c r="C530" s="25">
        <v>298.48</v>
      </c>
      <c r="D530" s="25">
        <v>293.88</v>
      </c>
      <c r="E530" s="25">
        <v>294.99</v>
      </c>
      <c r="F530" s="25">
        <v>308990.0</v>
      </c>
    </row>
    <row r="531">
      <c r="A531" s="25">
        <v>39134.645833333336</v>
      </c>
      <c r="B531" s="25">
        <v>295.0</v>
      </c>
      <c r="C531" s="25">
        <v>296.5</v>
      </c>
      <c r="D531" s="25">
        <v>287.76</v>
      </c>
      <c r="E531" s="25">
        <v>288.86</v>
      </c>
      <c r="F531" s="25">
        <v>1168590.0</v>
      </c>
    </row>
    <row r="532">
      <c r="A532" s="25">
        <v>39135.645833333336</v>
      </c>
      <c r="B532" s="25">
        <v>288.5</v>
      </c>
      <c r="C532" s="25">
        <v>291.88</v>
      </c>
      <c r="D532" s="25">
        <v>283.75</v>
      </c>
      <c r="E532" s="25">
        <v>285.94</v>
      </c>
      <c r="F532" s="25">
        <v>1298600.0</v>
      </c>
    </row>
    <row r="533">
      <c r="A533" s="25">
        <v>39136.645833333336</v>
      </c>
      <c r="B533" s="25">
        <v>284.75</v>
      </c>
      <c r="C533" s="25">
        <v>288.88</v>
      </c>
      <c r="D533" s="25">
        <v>276.52</v>
      </c>
      <c r="E533" s="25">
        <v>279.71</v>
      </c>
      <c r="F533" s="25">
        <v>1444897.0</v>
      </c>
    </row>
    <row r="534">
      <c r="A534" s="25">
        <v>39139.645833333336</v>
      </c>
      <c r="B534" s="25">
        <v>279.25</v>
      </c>
      <c r="C534" s="25">
        <v>280.88</v>
      </c>
      <c r="D534" s="25">
        <v>269.38</v>
      </c>
      <c r="E534" s="25">
        <v>277.27</v>
      </c>
      <c r="F534" s="25">
        <v>1458781.0</v>
      </c>
    </row>
    <row r="535">
      <c r="A535" s="25">
        <v>39140.645833333336</v>
      </c>
      <c r="B535" s="25">
        <v>278.75</v>
      </c>
      <c r="C535" s="25">
        <v>278.75</v>
      </c>
      <c r="D535" s="25">
        <v>270.66</v>
      </c>
      <c r="E535" s="25">
        <v>273.38</v>
      </c>
      <c r="F535" s="25">
        <v>1119612.0</v>
      </c>
    </row>
    <row r="536">
      <c r="A536" s="25">
        <v>39141.645833333336</v>
      </c>
      <c r="B536" s="25">
        <v>272.5</v>
      </c>
      <c r="C536" s="25">
        <v>272.5</v>
      </c>
      <c r="D536" s="25">
        <v>256.25</v>
      </c>
      <c r="E536" s="25">
        <v>259.69</v>
      </c>
      <c r="F536" s="25">
        <v>3125049.0</v>
      </c>
    </row>
    <row r="537">
      <c r="A537" s="25">
        <v>39142.645833333336</v>
      </c>
      <c r="B537" s="25">
        <v>260.0</v>
      </c>
      <c r="C537" s="25">
        <v>273.12</v>
      </c>
      <c r="D537" s="25">
        <v>259.5</v>
      </c>
      <c r="E537" s="25">
        <v>269.89</v>
      </c>
      <c r="F537" s="25">
        <v>1704332.0</v>
      </c>
    </row>
    <row r="538">
      <c r="A538" s="25">
        <v>39143.645833333336</v>
      </c>
      <c r="B538" s="25">
        <v>271.7</v>
      </c>
      <c r="C538" s="25">
        <v>272.38</v>
      </c>
      <c r="D538" s="25">
        <v>259.38</v>
      </c>
      <c r="E538" s="25">
        <v>261.69</v>
      </c>
      <c r="F538" s="25">
        <v>1521013.0</v>
      </c>
    </row>
    <row r="539">
      <c r="A539" s="25">
        <v>39146.645833333336</v>
      </c>
      <c r="B539" s="25">
        <v>259.74</v>
      </c>
      <c r="C539" s="25">
        <v>259.74</v>
      </c>
      <c r="D539" s="25">
        <v>250.0</v>
      </c>
      <c r="E539" s="25">
        <v>250.89</v>
      </c>
      <c r="F539" s="25">
        <v>1743846.0</v>
      </c>
    </row>
    <row r="540">
      <c r="A540" s="25">
        <v>39147.645833333336</v>
      </c>
      <c r="B540" s="25">
        <v>251.63</v>
      </c>
      <c r="C540" s="25">
        <v>269.21</v>
      </c>
      <c r="D540" s="25">
        <v>251.63</v>
      </c>
      <c r="E540" s="25">
        <v>264.31</v>
      </c>
      <c r="F540" s="25">
        <v>1819108.0</v>
      </c>
    </row>
    <row r="541">
      <c r="A541" s="25">
        <v>39148.645833333336</v>
      </c>
      <c r="B541" s="25">
        <v>270.93</v>
      </c>
      <c r="C541" s="25">
        <v>270.93</v>
      </c>
      <c r="D541" s="25">
        <v>256.29</v>
      </c>
      <c r="E541" s="25">
        <v>260.67</v>
      </c>
      <c r="F541" s="25">
        <v>1283784.0</v>
      </c>
    </row>
    <row r="542">
      <c r="A542" s="25">
        <v>39149.645833333336</v>
      </c>
      <c r="B542" s="25">
        <v>261.25</v>
      </c>
      <c r="C542" s="25">
        <v>268.25</v>
      </c>
      <c r="D542" s="25">
        <v>260.16</v>
      </c>
      <c r="E542" s="25">
        <v>266.97</v>
      </c>
      <c r="F542" s="25">
        <v>1532651.0</v>
      </c>
    </row>
    <row r="543">
      <c r="A543" s="25">
        <v>39150.645833333336</v>
      </c>
      <c r="B543" s="25">
        <v>266.29</v>
      </c>
      <c r="C543" s="25">
        <v>268.75</v>
      </c>
      <c r="D543" s="25">
        <v>262.04</v>
      </c>
      <c r="E543" s="25">
        <v>265.12</v>
      </c>
      <c r="F543" s="25">
        <v>1010651.0</v>
      </c>
    </row>
    <row r="544">
      <c r="A544" s="25">
        <v>39153.645833333336</v>
      </c>
      <c r="B544" s="25">
        <v>265.0</v>
      </c>
      <c r="C544" s="25">
        <v>267.99</v>
      </c>
      <c r="D544" s="25">
        <v>262.5</v>
      </c>
      <c r="E544" s="25">
        <v>264.41</v>
      </c>
      <c r="F544" s="25">
        <v>1133243.0</v>
      </c>
    </row>
    <row r="545">
      <c r="A545" s="25">
        <v>39154.645833333336</v>
      </c>
      <c r="B545" s="25">
        <v>264.63</v>
      </c>
      <c r="C545" s="25">
        <v>266.24</v>
      </c>
      <c r="D545" s="25">
        <v>258.73</v>
      </c>
      <c r="E545" s="25">
        <v>263.13</v>
      </c>
      <c r="F545" s="25">
        <v>1433228.0</v>
      </c>
    </row>
    <row r="546">
      <c r="A546" s="25">
        <v>39155.645833333336</v>
      </c>
      <c r="B546" s="25">
        <v>259.38</v>
      </c>
      <c r="C546" s="25">
        <v>261.21</v>
      </c>
      <c r="D546" s="25">
        <v>251.53</v>
      </c>
      <c r="E546" s="25">
        <v>252.5</v>
      </c>
      <c r="F546" s="25">
        <v>2001160.0</v>
      </c>
    </row>
    <row r="547">
      <c r="A547" s="25">
        <v>39156.645833333336</v>
      </c>
      <c r="B547" s="25">
        <v>256.38</v>
      </c>
      <c r="C547" s="25">
        <v>263.11</v>
      </c>
      <c r="D547" s="25">
        <v>254.5</v>
      </c>
      <c r="E547" s="25">
        <v>259.93</v>
      </c>
      <c r="F547" s="25">
        <v>2143630.0</v>
      </c>
    </row>
    <row r="548">
      <c r="A548" s="25">
        <v>39157.645833333336</v>
      </c>
      <c r="B548" s="25">
        <v>261.25</v>
      </c>
      <c r="C548" s="25">
        <v>263.13</v>
      </c>
      <c r="D548" s="25">
        <v>253.13</v>
      </c>
      <c r="E548" s="25">
        <v>255.93</v>
      </c>
      <c r="F548" s="25">
        <v>945972.0</v>
      </c>
    </row>
    <row r="549">
      <c r="A549" s="25">
        <v>39160.645833333336</v>
      </c>
      <c r="B549" s="25">
        <v>258.75</v>
      </c>
      <c r="C549" s="25">
        <v>261.47</v>
      </c>
      <c r="D549" s="25">
        <v>255.9</v>
      </c>
      <c r="E549" s="25">
        <v>260.91</v>
      </c>
      <c r="F549" s="25">
        <v>682727.0</v>
      </c>
    </row>
    <row r="550">
      <c r="A550" s="25">
        <v>39161.645833333336</v>
      </c>
      <c r="B550" s="25">
        <v>262.5</v>
      </c>
      <c r="C550" s="25">
        <v>263.59</v>
      </c>
      <c r="D550" s="25">
        <v>256.25</v>
      </c>
      <c r="E550" s="25">
        <v>256.99</v>
      </c>
      <c r="F550" s="25">
        <v>672323.0</v>
      </c>
    </row>
    <row r="551">
      <c r="A551" s="25">
        <v>39162.645833333336</v>
      </c>
      <c r="B551" s="25">
        <v>257.7</v>
      </c>
      <c r="C551" s="25">
        <v>262.5</v>
      </c>
      <c r="D551" s="25">
        <v>256.04</v>
      </c>
      <c r="E551" s="25">
        <v>261.74</v>
      </c>
      <c r="F551" s="25">
        <v>1157339.0</v>
      </c>
    </row>
    <row r="552">
      <c r="A552" s="25">
        <v>39163.645833333336</v>
      </c>
      <c r="B552" s="25">
        <v>263.75</v>
      </c>
      <c r="C552" s="25">
        <v>268.13</v>
      </c>
      <c r="D552" s="25">
        <v>262.5</v>
      </c>
      <c r="E552" s="25">
        <v>264.88</v>
      </c>
      <c r="F552" s="25">
        <v>996793.0</v>
      </c>
    </row>
    <row r="553">
      <c r="A553" s="25">
        <v>39164.645833333336</v>
      </c>
      <c r="B553" s="25">
        <v>265.0</v>
      </c>
      <c r="C553" s="25">
        <v>266.88</v>
      </c>
      <c r="D553" s="25">
        <v>260.13</v>
      </c>
      <c r="E553" s="25">
        <v>261.58</v>
      </c>
      <c r="F553" s="25">
        <v>1359660.0</v>
      </c>
    </row>
    <row r="554">
      <c r="A554" s="25">
        <v>39167.645833333336</v>
      </c>
      <c r="B554" s="25">
        <v>263.13</v>
      </c>
      <c r="C554" s="25">
        <v>263.13</v>
      </c>
      <c r="D554" s="25">
        <v>255.03</v>
      </c>
      <c r="E554" s="25">
        <v>257.27</v>
      </c>
      <c r="F554" s="25">
        <v>1993575.0</v>
      </c>
    </row>
    <row r="555">
      <c r="A555" s="25">
        <v>39169.645833333336</v>
      </c>
      <c r="B555" s="25">
        <v>253.75</v>
      </c>
      <c r="C555" s="25">
        <v>253.75</v>
      </c>
      <c r="D555" s="25">
        <v>248.5</v>
      </c>
      <c r="E555" s="25">
        <v>249.01</v>
      </c>
      <c r="F555" s="25">
        <v>2684238.0</v>
      </c>
    </row>
    <row r="556">
      <c r="A556" s="25">
        <v>39170.645833333336</v>
      </c>
      <c r="B556" s="25">
        <v>245.24</v>
      </c>
      <c r="C556" s="25">
        <v>253.63</v>
      </c>
      <c r="D556" s="25">
        <v>244.89</v>
      </c>
      <c r="E556" s="25">
        <v>248.84</v>
      </c>
      <c r="F556" s="25">
        <v>3240899.0</v>
      </c>
    </row>
    <row r="557">
      <c r="A557" s="25">
        <v>39171.645833333336</v>
      </c>
      <c r="B557" s="25">
        <v>249.38</v>
      </c>
      <c r="C557" s="25">
        <v>253.71</v>
      </c>
      <c r="D557" s="25">
        <v>249.38</v>
      </c>
      <c r="E557" s="25">
        <v>252.33</v>
      </c>
      <c r="F557" s="25">
        <v>1811694.0</v>
      </c>
    </row>
    <row r="558">
      <c r="A558" s="25">
        <v>39174.645833333336</v>
      </c>
      <c r="B558" s="25">
        <v>250.0</v>
      </c>
      <c r="C558" s="25">
        <v>250.0</v>
      </c>
      <c r="D558" s="25">
        <v>239.0</v>
      </c>
      <c r="E558" s="25">
        <v>240.37</v>
      </c>
      <c r="F558" s="25">
        <v>1842360.0</v>
      </c>
    </row>
    <row r="559">
      <c r="A559" s="25">
        <v>39175.645833333336</v>
      </c>
      <c r="B559" s="25">
        <v>240.63</v>
      </c>
      <c r="C559" s="25">
        <v>246.81</v>
      </c>
      <c r="D559" s="25">
        <v>238.75</v>
      </c>
      <c r="E559" s="25">
        <v>245.58</v>
      </c>
      <c r="F559" s="25">
        <v>2194220.0</v>
      </c>
    </row>
    <row r="560">
      <c r="A560" s="25">
        <v>39176.645833333336</v>
      </c>
      <c r="B560" s="25">
        <v>247.5</v>
      </c>
      <c r="C560" s="25">
        <v>249.98</v>
      </c>
      <c r="D560" s="25">
        <v>243.78</v>
      </c>
      <c r="E560" s="25">
        <v>249.29</v>
      </c>
      <c r="F560" s="25">
        <v>1511198.0</v>
      </c>
    </row>
    <row r="561">
      <c r="A561" s="25">
        <v>39177.645833333336</v>
      </c>
      <c r="B561" s="25">
        <v>248.75</v>
      </c>
      <c r="C561" s="25">
        <v>249.99</v>
      </c>
      <c r="D561" s="25">
        <v>243.21</v>
      </c>
      <c r="E561" s="25">
        <v>249.04</v>
      </c>
      <c r="F561" s="25">
        <v>766225.0</v>
      </c>
    </row>
    <row r="562">
      <c r="A562" s="25">
        <v>39181.645833333336</v>
      </c>
      <c r="B562" s="25">
        <v>245.0</v>
      </c>
      <c r="C562" s="25">
        <v>256.75</v>
      </c>
      <c r="D562" s="25">
        <v>245.0</v>
      </c>
      <c r="E562" s="25">
        <v>255.94</v>
      </c>
      <c r="F562" s="25">
        <v>764018.0</v>
      </c>
    </row>
    <row r="563">
      <c r="A563" s="25">
        <v>39182.645833333336</v>
      </c>
      <c r="B563" s="25">
        <v>256.25</v>
      </c>
      <c r="C563" s="25">
        <v>258.0</v>
      </c>
      <c r="D563" s="25">
        <v>247.64</v>
      </c>
      <c r="E563" s="25">
        <v>249.86</v>
      </c>
      <c r="F563" s="25">
        <v>1481454.0</v>
      </c>
    </row>
    <row r="564">
      <c r="A564" s="25">
        <v>39183.645833333336</v>
      </c>
      <c r="B564" s="25">
        <v>250.63</v>
      </c>
      <c r="C564" s="25">
        <v>254.88</v>
      </c>
      <c r="D564" s="25">
        <v>248.47</v>
      </c>
      <c r="E564" s="25">
        <v>249.53</v>
      </c>
      <c r="F564" s="25">
        <v>1540596.0</v>
      </c>
    </row>
    <row r="565">
      <c r="A565" s="25">
        <v>39184.645833333336</v>
      </c>
      <c r="B565" s="25">
        <v>248.63</v>
      </c>
      <c r="C565" s="25">
        <v>256.99</v>
      </c>
      <c r="D565" s="25">
        <v>245.0</v>
      </c>
      <c r="E565" s="25">
        <v>255.73</v>
      </c>
      <c r="F565" s="25">
        <v>2253235.0</v>
      </c>
    </row>
    <row r="566">
      <c r="A566" s="25">
        <v>39185.645833333336</v>
      </c>
      <c r="B566" s="25">
        <v>262.5</v>
      </c>
      <c r="C566" s="25">
        <v>266.5</v>
      </c>
      <c r="D566" s="25">
        <v>253.29</v>
      </c>
      <c r="E566" s="25">
        <v>260.86</v>
      </c>
      <c r="F566" s="25">
        <v>4637018.0</v>
      </c>
    </row>
    <row r="567">
      <c r="A567" s="25">
        <v>39188.645833333336</v>
      </c>
      <c r="B567" s="25">
        <v>268.75</v>
      </c>
      <c r="C567" s="25">
        <v>269.5</v>
      </c>
      <c r="D567" s="25">
        <v>260.88</v>
      </c>
      <c r="E567" s="25">
        <v>266.09</v>
      </c>
      <c r="F567" s="25">
        <v>1677910.0</v>
      </c>
    </row>
    <row r="568">
      <c r="A568" s="25">
        <v>39189.645833333336</v>
      </c>
      <c r="B568" s="25">
        <v>263.75</v>
      </c>
      <c r="C568" s="25">
        <v>266.0</v>
      </c>
      <c r="D568" s="25">
        <v>258.26</v>
      </c>
      <c r="E568" s="25">
        <v>260.34</v>
      </c>
      <c r="F568" s="25">
        <v>1722421.0</v>
      </c>
    </row>
    <row r="569">
      <c r="A569" s="25">
        <v>39190.645833333336</v>
      </c>
      <c r="B569" s="25">
        <v>260.81</v>
      </c>
      <c r="C569" s="25">
        <v>262.34</v>
      </c>
      <c r="D569" s="25">
        <v>257.9</v>
      </c>
      <c r="E569" s="25">
        <v>259.54</v>
      </c>
      <c r="F569" s="25">
        <v>1186452.0</v>
      </c>
    </row>
    <row r="570">
      <c r="A570" s="25">
        <v>39191.645833333336</v>
      </c>
      <c r="B570" s="25">
        <v>256.27</v>
      </c>
      <c r="C570" s="25">
        <v>257.18</v>
      </c>
      <c r="D570" s="25">
        <v>253.16</v>
      </c>
      <c r="E570" s="25">
        <v>254.99</v>
      </c>
      <c r="F570" s="25">
        <v>1586206.0</v>
      </c>
    </row>
    <row r="571">
      <c r="A571" s="25">
        <v>39192.645833333336</v>
      </c>
      <c r="B571" s="25">
        <v>261.85</v>
      </c>
      <c r="C571" s="25">
        <v>261.85</v>
      </c>
      <c r="D571" s="25">
        <v>256.14</v>
      </c>
      <c r="E571" s="25">
        <v>256.89</v>
      </c>
      <c r="F571" s="25">
        <v>987653.0</v>
      </c>
    </row>
    <row r="572">
      <c r="A572" s="25">
        <v>39195.645833333336</v>
      </c>
      <c r="B572" s="25">
        <v>259.97</v>
      </c>
      <c r="C572" s="25">
        <v>259.97</v>
      </c>
      <c r="D572" s="25">
        <v>257.52</v>
      </c>
      <c r="E572" s="25">
        <v>258.66</v>
      </c>
      <c r="F572" s="25">
        <v>775565.0</v>
      </c>
    </row>
    <row r="573">
      <c r="A573" s="25">
        <v>39196.645833333336</v>
      </c>
      <c r="B573" s="25">
        <v>253.19</v>
      </c>
      <c r="C573" s="25">
        <v>259.23</v>
      </c>
      <c r="D573" s="25">
        <v>253.13</v>
      </c>
      <c r="E573" s="25">
        <v>257.24</v>
      </c>
      <c r="F573" s="25">
        <v>1304488.0</v>
      </c>
    </row>
    <row r="574">
      <c r="A574" s="25">
        <v>39197.645833333336</v>
      </c>
      <c r="B574" s="25">
        <v>255.75</v>
      </c>
      <c r="C574" s="25">
        <v>256.25</v>
      </c>
      <c r="D574" s="25">
        <v>251.5</v>
      </c>
      <c r="E574" s="25">
        <v>252.31</v>
      </c>
      <c r="F574" s="25">
        <v>1471188.0</v>
      </c>
    </row>
    <row r="575">
      <c r="A575" s="25">
        <v>39198.645833333336</v>
      </c>
      <c r="B575" s="25">
        <v>254.38</v>
      </c>
      <c r="C575" s="25">
        <v>256.24</v>
      </c>
      <c r="D575" s="25">
        <v>251.0</v>
      </c>
      <c r="E575" s="25">
        <v>252.36</v>
      </c>
      <c r="F575" s="25">
        <v>1449003.0</v>
      </c>
    </row>
    <row r="576">
      <c r="A576" s="25">
        <v>39199.645833333336</v>
      </c>
      <c r="B576" s="25">
        <v>253.75</v>
      </c>
      <c r="C576" s="25">
        <v>254.34</v>
      </c>
      <c r="D576" s="25">
        <v>248.88</v>
      </c>
      <c r="E576" s="25">
        <v>250.64</v>
      </c>
      <c r="F576" s="25">
        <v>1647492.0</v>
      </c>
    </row>
    <row r="577">
      <c r="A577" s="25">
        <v>39202.645833333336</v>
      </c>
      <c r="B577" s="25">
        <v>250.63</v>
      </c>
      <c r="C577" s="25">
        <v>257.5</v>
      </c>
      <c r="D577" s="25">
        <v>250.63</v>
      </c>
      <c r="E577" s="25">
        <v>256.36</v>
      </c>
      <c r="F577" s="25">
        <v>987568.0</v>
      </c>
    </row>
    <row r="578">
      <c r="A578" s="25">
        <v>39205.645833333336</v>
      </c>
      <c r="B578" s="25">
        <v>257.13</v>
      </c>
      <c r="C578" s="25">
        <v>261.66</v>
      </c>
      <c r="D578" s="25">
        <v>257.13</v>
      </c>
      <c r="E578" s="25">
        <v>260.21</v>
      </c>
      <c r="F578" s="25">
        <v>1065828.0</v>
      </c>
    </row>
    <row r="579">
      <c r="A579" s="25">
        <v>39206.645833333336</v>
      </c>
      <c r="B579" s="25">
        <v>260.04</v>
      </c>
      <c r="C579" s="25">
        <v>261.25</v>
      </c>
      <c r="D579" s="25">
        <v>256.52</v>
      </c>
      <c r="E579" s="25">
        <v>258.99</v>
      </c>
      <c r="F579" s="25">
        <v>919290.0</v>
      </c>
    </row>
    <row r="580">
      <c r="A580" s="25">
        <v>39209.645833333336</v>
      </c>
      <c r="B580" s="25">
        <v>259.0</v>
      </c>
      <c r="C580" s="25">
        <v>259.38</v>
      </c>
      <c r="D580" s="25">
        <v>254.44</v>
      </c>
      <c r="E580" s="25">
        <v>255.23</v>
      </c>
      <c r="F580" s="25">
        <v>965642.0</v>
      </c>
    </row>
    <row r="581">
      <c r="A581" s="25">
        <v>39210.645833333336</v>
      </c>
      <c r="B581" s="25">
        <v>253.75</v>
      </c>
      <c r="C581" s="25">
        <v>254.38</v>
      </c>
      <c r="D581" s="25">
        <v>249.39</v>
      </c>
      <c r="E581" s="25">
        <v>250.28</v>
      </c>
      <c r="F581" s="25">
        <v>1472354.0</v>
      </c>
    </row>
    <row r="582">
      <c r="A582" s="25">
        <v>39211.645833333336</v>
      </c>
      <c r="B582" s="25">
        <v>250.25</v>
      </c>
      <c r="C582" s="25">
        <v>250.81</v>
      </c>
      <c r="D582" s="25">
        <v>246.88</v>
      </c>
      <c r="E582" s="25">
        <v>247.58</v>
      </c>
      <c r="F582" s="25">
        <v>1478866.0</v>
      </c>
    </row>
    <row r="583">
      <c r="A583" s="25">
        <v>39212.645833333336</v>
      </c>
      <c r="B583" s="25">
        <v>251.13</v>
      </c>
      <c r="C583" s="25">
        <v>251.84</v>
      </c>
      <c r="D583" s="25">
        <v>246.25</v>
      </c>
      <c r="E583" s="25">
        <v>246.78</v>
      </c>
      <c r="F583" s="25">
        <v>1561674.0</v>
      </c>
    </row>
    <row r="584">
      <c r="A584" s="25">
        <v>39213.645833333336</v>
      </c>
      <c r="B584" s="25">
        <v>246.25</v>
      </c>
      <c r="C584" s="25">
        <v>252.5</v>
      </c>
      <c r="D584" s="25">
        <v>243.88</v>
      </c>
      <c r="E584" s="25">
        <v>250.08</v>
      </c>
      <c r="F584" s="25">
        <v>1587793.0</v>
      </c>
    </row>
    <row r="585">
      <c r="A585" s="25">
        <v>39216.645833333336</v>
      </c>
      <c r="B585" s="25">
        <v>252.25</v>
      </c>
      <c r="C585" s="25">
        <v>252.96</v>
      </c>
      <c r="D585" s="25">
        <v>247.83</v>
      </c>
      <c r="E585" s="25">
        <v>250.24</v>
      </c>
      <c r="F585" s="25">
        <v>916963.0</v>
      </c>
    </row>
    <row r="586">
      <c r="A586" s="25">
        <v>39217.645833333336</v>
      </c>
      <c r="B586" s="25">
        <v>249.88</v>
      </c>
      <c r="C586" s="25">
        <v>250.0</v>
      </c>
      <c r="D586" s="25">
        <v>246.0</v>
      </c>
      <c r="E586" s="25">
        <v>246.68</v>
      </c>
      <c r="F586" s="25">
        <v>1088213.0</v>
      </c>
    </row>
    <row r="587">
      <c r="A587" s="25">
        <v>39218.645833333336</v>
      </c>
      <c r="B587" s="25">
        <v>246.63</v>
      </c>
      <c r="C587" s="25">
        <v>247.75</v>
      </c>
      <c r="D587" s="25">
        <v>242.0</v>
      </c>
      <c r="E587" s="25">
        <v>243.96</v>
      </c>
      <c r="F587" s="25">
        <v>1958530.0</v>
      </c>
    </row>
    <row r="588">
      <c r="A588" s="25">
        <v>39219.645833333336</v>
      </c>
      <c r="B588" s="25">
        <v>245.0</v>
      </c>
      <c r="C588" s="25">
        <v>248.63</v>
      </c>
      <c r="D588" s="25">
        <v>245.0</v>
      </c>
      <c r="E588" s="25">
        <v>247.94</v>
      </c>
      <c r="F588" s="25">
        <v>2142384.0</v>
      </c>
    </row>
    <row r="589">
      <c r="A589" s="25">
        <v>39220.645833333336</v>
      </c>
      <c r="B589" s="25">
        <v>247.38</v>
      </c>
      <c r="C589" s="25">
        <v>250.74</v>
      </c>
      <c r="D589" s="25">
        <v>246.0</v>
      </c>
      <c r="E589" s="25">
        <v>247.74</v>
      </c>
      <c r="F589" s="25">
        <v>1198609.0</v>
      </c>
    </row>
    <row r="590">
      <c r="A590" s="25">
        <v>39223.645833333336</v>
      </c>
      <c r="B590" s="25">
        <v>248.26</v>
      </c>
      <c r="C590" s="25">
        <v>249.0</v>
      </c>
      <c r="D590" s="25">
        <v>243.78</v>
      </c>
      <c r="E590" s="25">
        <v>245.05</v>
      </c>
      <c r="F590" s="25">
        <v>1657902.0</v>
      </c>
    </row>
    <row r="591">
      <c r="A591" s="25">
        <v>39224.645833333336</v>
      </c>
      <c r="B591" s="25">
        <v>243.76</v>
      </c>
      <c r="C591" s="25">
        <v>245.11</v>
      </c>
      <c r="D591" s="25">
        <v>241.38</v>
      </c>
      <c r="E591" s="25">
        <v>243.34</v>
      </c>
      <c r="F591" s="25">
        <v>2378502.0</v>
      </c>
    </row>
    <row r="592">
      <c r="A592" s="25">
        <v>39225.645833333336</v>
      </c>
      <c r="B592" s="25">
        <v>243.75</v>
      </c>
      <c r="C592" s="25">
        <v>244.25</v>
      </c>
      <c r="D592" s="25">
        <v>240.01</v>
      </c>
      <c r="E592" s="25">
        <v>240.72</v>
      </c>
      <c r="F592" s="25">
        <v>1316432.0</v>
      </c>
    </row>
    <row r="593">
      <c r="A593" s="25">
        <v>39226.645833333336</v>
      </c>
      <c r="B593" s="25">
        <v>240.63</v>
      </c>
      <c r="C593" s="25">
        <v>243.74</v>
      </c>
      <c r="D593" s="25">
        <v>239.75</v>
      </c>
      <c r="E593" s="25">
        <v>242.13</v>
      </c>
      <c r="F593" s="25">
        <v>2395866.0</v>
      </c>
    </row>
    <row r="594">
      <c r="A594" s="25">
        <v>39227.645833333336</v>
      </c>
      <c r="B594" s="25">
        <v>243.75</v>
      </c>
      <c r="C594" s="25">
        <v>249.0</v>
      </c>
      <c r="D594" s="25">
        <v>238.13</v>
      </c>
      <c r="E594" s="25">
        <v>248.19</v>
      </c>
      <c r="F594" s="25">
        <v>2238083.0</v>
      </c>
    </row>
    <row r="595">
      <c r="A595" s="25">
        <v>39230.645833333336</v>
      </c>
      <c r="B595" s="25">
        <v>244.46</v>
      </c>
      <c r="C595" s="25">
        <v>251.71</v>
      </c>
      <c r="D595" s="25">
        <v>244.46</v>
      </c>
      <c r="E595" s="25">
        <v>246.44</v>
      </c>
      <c r="F595" s="25">
        <v>1669527.0</v>
      </c>
    </row>
    <row r="596">
      <c r="A596" s="25">
        <v>39231.645833333336</v>
      </c>
      <c r="B596" s="25">
        <v>246.88</v>
      </c>
      <c r="C596" s="25">
        <v>246.88</v>
      </c>
      <c r="D596" s="25">
        <v>243.16</v>
      </c>
      <c r="E596" s="25">
        <v>244.21</v>
      </c>
      <c r="F596" s="25">
        <v>832935.0</v>
      </c>
    </row>
    <row r="597">
      <c r="A597" s="25">
        <v>39232.645833333336</v>
      </c>
      <c r="B597" s="25">
        <v>243.13</v>
      </c>
      <c r="C597" s="25">
        <v>244.97</v>
      </c>
      <c r="D597" s="25">
        <v>237.63</v>
      </c>
      <c r="E597" s="25">
        <v>238.27</v>
      </c>
      <c r="F597" s="25">
        <v>2559607.0</v>
      </c>
    </row>
    <row r="598">
      <c r="A598" s="25">
        <v>39233.645833333336</v>
      </c>
      <c r="B598" s="25">
        <v>240.0</v>
      </c>
      <c r="C598" s="25">
        <v>242.39</v>
      </c>
      <c r="D598" s="25">
        <v>238.75</v>
      </c>
      <c r="E598" s="25">
        <v>240.44</v>
      </c>
      <c r="F598" s="25">
        <v>1746065.0</v>
      </c>
    </row>
    <row r="599">
      <c r="A599" s="25">
        <v>39234.645833333336</v>
      </c>
      <c r="B599" s="25">
        <v>241.63</v>
      </c>
      <c r="C599" s="25">
        <v>243.74</v>
      </c>
      <c r="D599" s="25">
        <v>241.5</v>
      </c>
      <c r="E599" s="25">
        <v>242.32</v>
      </c>
      <c r="F599" s="25">
        <v>967775.0</v>
      </c>
    </row>
    <row r="600">
      <c r="A600" s="25">
        <v>39237.645833333336</v>
      </c>
      <c r="B600" s="25">
        <v>243.75</v>
      </c>
      <c r="C600" s="25">
        <v>246.09</v>
      </c>
      <c r="D600" s="25">
        <v>238.6</v>
      </c>
      <c r="E600" s="25">
        <v>239.54</v>
      </c>
      <c r="F600" s="25">
        <v>1175648.0</v>
      </c>
    </row>
    <row r="601">
      <c r="A601" s="25">
        <v>39238.645833333336</v>
      </c>
      <c r="B601" s="25">
        <v>240.0</v>
      </c>
      <c r="C601" s="25">
        <v>243.75</v>
      </c>
      <c r="D601" s="25">
        <v>238.5</v>
      </c>
      <c r="E601" s="25">
        <v>242.9</v>
      </c>
      <c r="F601" s="25">
        <v>1787841.0</v>
      </c>
    </row>
    <row r="602">
      <c r="A602" s="25">
        <v>39239.645833333336</v>
      </c>
      <c r="B602" s="25">
        <v>246.75</v>
      </c>
      <c r="C602" s="25">
        <v>246.75</v>
      </c>
      <c r="D602" s="25">
        <v>241.25</v>
      </c>
      <c r="E602" s="25">
        <v>242.29</v>
      </c>
      <c r="F602" s="25">
        <v>2061002.0</v>
      </c>
    </row>
    <row r="603">
      <c r="A603" s="25">
        <v>39240.645833333336</v>
      </c>
      <c r="B603" s="25">
        <v>230.86</v>
      </c>
      <c r="C603" s="25">
        <v>246.5</v>
      </c>
      <c r="D603" s="25">
        <v>230.86</v>
      </c>
      <c r="E603" s="25">
        <v>244.64</v>
      </c>
      <c r="F603" s="25">
        <v>1664381.0</v>
      </c>
    </row>
    <row r="604">
      <c r="A604" s="25">
        <v>39241.645833333336</v>
      </c>
      <c r="B604" s="25">
        <v>243.74</v>
      </c>
      <c r="C604" s="25">
        <v>246.88</v>
      </c>
      <c r="D604" s="25">
        <v>238.94</v>
      </c>
      <c r="E604" s="25">
        <v>243.86</v>
      </c>
      <c r="F604" s="25">
        <v>2618464.0</v>
      </c>
    </row>
    <row r="605">
      <c r="A605" s="25">
        <v>39244.645833333336</v>
      </c>
      <c r="B605" s="25">
        <v>246.75</v>
      </c>
      <c r="C605" s="25">
        <v>249.5</v>
      </c>
      <c r="D605" s="25">
        <v>246.25</v>
      </c>
      <c r="E605" s="25">
        <v>247.48</v>
      </c>
      <c r="F605" s="25">
        <v>2305776.0</v>
      </c>
    </row>
    <row r="606">
      <c r="A606" s="25">
        <v>39245.645833333336</v>
      </c>
      <c r="B606" s="25">
        <v>245.25</v>
      </c>
      <c r="C606" s="25">
        <v>249.86</v>
      </c>
      <c r="D606" s="25">
        <v>245.25</v>
      </c>
      <c r="E606" s="25">
        <v>248.69</v>
      </c>
      <c r="F606" s="25">
        <v>1186206.0</v>
      </c>
    </row>
    <row r="607">
      <c r="A607" s="25">
        <v>39246.645833333336</v>
      </c>
      <c r="B607" s="25">
        <v>214.38</v>
      </c>
      <c r="C607" s="25">
        <v>249.88</v>
      </c>
      <c r="D607" s="25">
        <v>214.38</v>
      </c>
      <c r="E607" s="25">
        <v>248.59</v>
      </c>
      <c r="F607" s="25">
        <v>767901.0</v>
      </c>
    </row>
    <row r="608">
      <c r="A608" s="25">
        <v>39247.645833333336</v>
      </c>
      <c r="B608" s="25">
        <v>249.38</v>
      </c>
      <c r="C608" s="25">
        <v>253.88</v>
      </c>
      <c r="D608" s="25">
        <v>249.38</v>
      </c>
      <c r="E608" s="25">
        <v>252.4</v>
      </c>
      <c r="F608" s="25">
        <v>1986856.0</v>
      </c>
    </row>
    <row r="609">
      <c r="A609" s="25">
        <v>39248.645833333336</v>
      </c>
      <c r="B609" s="25">
        <v>253.75</v>
      </c>
      <c r="C609" s="25">
        <v>254.75</v>
      </c>
      <c r="D609" s="25">
        <v>250.0</v>
      </c>
      <c r="E609" s="25">
        <v>251.18</v>
      </c>
      <c r="F609" s="25">
        <v>1064914.0</v>
      </c>
    </row>
    <row r="610">
      <c r="A610" s="25">
        <v>39251.645833333336</v>
      </c>
      <c r="B610" s="25">
        <v>253.13</v>
      </c>
      <c r="C610" s="25">
        <v>253.63</v>
      </c>
      <c r="D610" s="25">
        <v>248.19</v>
      </c>
      <c r="E610" s="25">
        <v>248.68</v>
      </c>
      <c r="F610" s="25">
        <v>1235097.0</v>
      </c>
    </row>
    <row r="611">
      <c r="A611" s="25">
        <v>39252.645833333336</v>
      </c>
      <c r="B611" s="25">
        <v>248.75</v>
      </c>
      <c r="C611" s="25">
        <v>248.86</v>
      </c>
      <c r="D611" s="25">
        <v>242.75</v>
      </c>
      <c r="E611" s="25">
        <v>244.58</v>
      </c>
      <c r="F611" s="25">
        <v>1750723.0</v>
      </c>
    </row>
    <row r="612">
      <c r="A612" s="25">
        <v>39253.645833333336</v>
      </c>
      <c r="B612" s="25">
        <v>245.75</v>
      </c>
      <c r="C612" s="25">
        <v>246.75</v>
      </c>
      <c r="D612" s="25">
        <v>243.77</v>
      </c>
      <c r="E612" s="25">
        <v>244.28</v>
      </c>
      <c r="F612" s="25">
        <v>854423.0</v>
      </c>
    </row>
    <row r="613">
      <c r="A613" s="25">
        <v>39254.645833333336</v>
      </c>
      <c r="B613" s="25">
        <v>244.25</v>
      </c>
      <c r="C613" s="25">
        <v>245.75</v>
      </c>
      <c r="D613" s="25">
        <v>241.9</v>
      </c>
      <c r="E613" s="25">
        <v>244.81</v>
      </c>
      <c r="F613" s="25">
        <v>844835.0</v>
      </c>
    </row>
    <row r="614">
      <c r="A614" s="25">
        <v>39255.645833333336</v>
      </c>
      <c r="B614" s="25">
        <v>245.59</v>
      </c>
      <c r="C614" s="25">
        <v>245.59</v>
      </c>
      <c r="D614" s="25">
        <v>241.88</v>
      </c>
      <c r="E614" s="25">
        <v>243.85</v>
      </c>
      <c r="F614" s="25">
        <v>834245.0</v>
      </c>
    </row>
    <row r="615">
      <c r="A615" s="25">
        <v>39258.645833333336</v>
      </c>
      <c r="B615" s="25">
        <v>243.85</v>
      </c>
      <c r="C615" s="25">
        <v>245.36</v>
      </c>
      <c r="D615" s="25">
        <v>239.88</v>
      </c>
      <c r="E615" s="25">
        <v>242.08</v>
      </c>
      <c r="F615" s="25">
        <v>694669.0</v>
      </c>
    </row>
    <row r="616">
      <c r="A616" s="25">
        <v>39259.645833333336</v>
      </c>
      <c r="B616" s="25">
        <v>241.25</v>
      </c>
      <c r="C616" s="25">
        <v>243.5</v>
      </c>
      <c r="D616" s="25">
        <v>240.0</v>
      </c>
      <c r="E616" s="25">
        <v>240.27</v>
      </c>
      <c r="F616" s="25">
        <v>760742.0</v>
      </c>
    </row>
    <row r="617">
      <c r="A617" s="25">
        <v>39260.645833333336</v>
      </c>
      <c r="B617" s="25">
        <v>241.38</v>
      </c>
      <c r="C617" s="25">
        <v>243.28</v>
      </c>
      <c r="D617" s="25">
        <v>241.0</v>
      </c>
      <c r="E617" s="25">
        <v>241.92</v>
      </c>
      <c r="F617" s="25">
        <v>686031.0</v>
      </c>
    </row>
    <row r="618">
      <c r="A618" s="25">
        <v>39261.645833333336</v>
      </c>
      <c r="B618" s="25">
        <v>242.5</v>
      </c>
      <c r="C618" s="25">
        <v>243.45</v>
      </c>
      <c r="D618" s="25">
        <v>239.14</v>
      </c>
      <c r="E618" s="25">
        <v>240.63</v>
      </c>
      <c r="F618" s="25">
        <v>1049904.0</v>
      </c>
    </row>
    <row r="619">
      <c r="A619" s="25">
        <v>39262.645833333336</v>
      </c>
      <c r="B619" s="25">
        <v>243.75</v>
      </c>
      <c r="C619" s="25">
        <v>246.25</v>
      </c>
      <c r="D619" s="25">
        <v>240.0</v>
      </c>
      <c r="E619" s="25">
        <v>241.13</v>
      </c>
      <c r="F619" s="25">
        <v>1722066.0</v>
      </c>
    </row>
    <row r="620">
      <c r="A620" s="25">
        <v>39265.645833333336</v>
      </c>
      <c r="B620" s="25">
        <v>243.0</v>
      </c>
      <c r="C620" s="25">
        <v>244.36</v>
      </c>
      <c r="D620" s="25">
        <v>241.13</v>
      </c>
      <c r="E620" s="25">
        <v>242.98</v>
      </c>
      <c r="F620" s="25">
        <v>1148721.0</v>
      </c>
    </row>
    <row r="621">
      <c r="A621" s="25">
        <v>39266.645833333336</v>
      </c>
      <c r="B621" s="25">
        <v>243.75</v>
      </c>
      <c r="C621" s="25">
        <v>244.13</v>
      </c>
      <c r="D621" s="25">
        <v>241.91</v>
      </c>
      <c r="E621" s="25">
        <v>243.43</v>
      </c>
      <c r="F621" s="25">
        <v>704245.0</v>
      </c>
    </row>
    <row r="622">
      <c r="A622" s="25">
        <v>39267.645833333336</v>
      </c>
      <c r="B622" s="25">
        <v>245.13</v>
      </c>
      <c r="C622" s="25">
        <v>245.13</v>
      </c>
      <c r="D622" s="25">
        <v>240.25</v>
      </c>
      <c r="E622" s="25">
        <v>241.38</v>
      </c>
      <c r="F622" s="25">
        <v>729810.0</v>
      </c>
    </row>
    <row r="623">
      <c r="A623" s="25">
        <v>39268.645833333336</v>
      </c>
      <c r="B623" s="25">
        <v>241.39</v>
      </c>
      <c r="C623" s="25">
        <v>242.5</v>
      </c>
      <c r="D623" s="25">
        <v>238.75</v>
      </c>
      <c r="E623" s="25">
        <v>239.6</v>
      </c>
      <c r="F623" s="25">
        <v>959238.0</v>
      </c>
    </row>
    <row r="624">
      <c r="A624" s="25">
        <v>39269.645833333336</v>
      </c>
      <c r="B624" s="25">
        <v>230.84</v>
      </c>
      <c r="C624" s="25">
        <v>247.09</v>
      </c>
      <c r="D624" s="25">
        <v>230.84</v>
      </c>
      <c r="E624" s="25">
        <v>246.48</v>
      </c>
      <c r="F624" s="25">
        <v>2191955.0</v>
      </c>
    </row>
    <row r="625">
      <c r="A625" s="25">
        <v>39272.645833333336</v>
      </c>
      <c r="B625" s="25">
        <v>248.63</v>
      </c>
      <c r="C625" s="25">
        <v>251.18</v>
      </c>
      <c r="D625" s="25">
        <v>248.29</v>
      </c>
      <c r="E625" s="25">
        <v>249.22</v>
      </c>
      <c r="F625" s="25">
        <v>1805543.0</v>
      </c>
    </row>
    <row r="626">
      <c r="A626" s="25">
        <v>39273.645833333336</v>
      </c>
      <c r="B626" s="25">
        <v>249.38</v>
      </c>
      <c r="C626" s="25">
        <v>255.24</v>
      </c>
      <c r="D626" s="25">
        <v>249.38</v>
      </c>
      <c r="E626" s="25">
        <v>252.56</v>
      </c>
      <c r="F626" s="25">
        <v>2184938.0</v>
      </c>
    </row>
    <row r="627">
      <c r="A627" s="25">
        <v>39274.645833333336</v>
      </c>
      <c r="B627" s="25">
        <v>250.0</v>
      </c>
      <c r="C627" s="25">
        <v>250.0</v>
      </c>
      <c r="D627" s="25">
        <v>240.63</v>
      </c>
      <c r="E627" s="25">
        <v>241.21</v>
      </c>
      <c r="F627" s="25">
        <v>4702736.0</v>
      </c>
    </row>
    <row r="628">
      <c r="A628" s="25">
        <v>39275.645833333336</v>
      </c>
      <c r="B628" s="25">
        <v>243.75</v>
      </c>
      <c r="C628" s="25">
        <v>244.96</v>
      </c>
      <c r="D628" s="25">
        <v>239.38</v>
      </c>
      <c r="E628" s="25">
        <v>240.28</v>
      </c>
      <c r="F628" s="25">
        <v>3903578.0</v>
      </c>
    </row>
    <row r="629">
      <c r="A629" s="25">
        <v>39276.645833333336</v>
      </c>
      <c r="B629" s="25">
        <v>241.52</v>
      </c>
      <c r="C629" s="25">
        <v>244.8</v>
      </c>
      <c r="D629" s="25">
        <v>240.26</v>
      </c>
      <c r="E629" s="25">
        <v>242.48</v>
      </c>
      <c r="F629" s="25">
        <v>3367793.0</v>
      </c>
    </row>
    <row r="630">
      <c r="A630" s="25">
        <v>39279.645833333336</v>
      </c>
      <c r="B630" s="25">
        <v>243.13</v>
      </c>
      <c r="C630" s="25">
        <v>244.38</v>
      </c>
      <c r="D630" s="25">
        <v>241.0</v>
      </c>
      <c r="E630" s="25">
        <v>241.98</v>
      </c>
      <c r="F630" s="25">
        <v>1709987.0</v>
      </c>
    </row>
    <row r="631">
      <c r="A631" s="25">
        <v>39280.645833333336</v>
      </c>
      <c r="B631" s="25">
        <v>242.5</v>
      </c>
      <c r="C631" s="25">
        <v>244.84</v>
      </c>
      <c r="D631" s="25">
        <v>241.75</v>
      </c>
      <c r="E631" s="25">
        <v>242.32</v>
      </c>
      <c r="F631" s="25">
        <v>1106782.0</v>
      </c>
    </row>
    <row r="632">
      <c r="A632" s="25">
        <v>39281.645833333336</v>
      </c>
      <c r="B632" s="25">
        <v>242.64</v>
      </c>
      <c r="C632" s="25">
        <v>244.31</v>
      </c>
      <c r="D632" s="25">
        <v>241.9</v>
      </c>
      <c r="E632" s="25">
        <v>243.07</v>
      </c>
      <c r="F632" s="25">
        <v>846528.0</v>
      </c>
    </row>
    <row r="633">
      <c r="A633" s="25">
        <v>39282.645833333336</v>
      </c>
      <c r="B633" s="25">
        <v>243.5</v>
      </c>
      <c r="C633" s="25">
        <v>250.0</v>
      </c>
      <c r="D633" s="25">
        <v>243.25</v>
      </c>
      <c r="E633" s="25">
        <v>249.56</v>
      </c>
      <c r="F633" s="25">
        <v>2084644.0</v>
      </c>
    </row>
    <row r="634">
      <c r="A634" s="25">
        <v>39283.645833333336</v>
      </c>
      <c r="B634" s="25">
        <v>250.0</v>
      </c>
      <c r="C634" s="25">
        <v>252.38</v>
      </c>
      <c r="D634" s="25">
        <v>246.32</v>
      </c>
      <c r="E634" s="25">
        <v>248.28</v>
      </c>
      <c r="F634" s="25">
        <v>1631286.0</v>
      </c>
    </row>
    <row r="635">
      <c r="A635" s="25">
        <v>39286.645833333336</v>
      </c>
      <c r="B635" s="25">
        <v>246.76</v>
      </c>
      <c r="C635" s="25">
        <v>247.99</v>
      </c>
      <c r="D635" s="25">
        <v>241.4</v>
      </c>
      <c r="E635" s="25">
        <v>243.48</v>
      </c>
      <c r="F635" s="25">
        <v>1879252.0</v>
      </c>
    </row>
    <row r="636">
      <c r="A636" s="25">
        <v>39287.645833333336</v>
      </c>
      <c r="B636" s="25">
        <v>243.48</v>
      </c>
      <c r="C636" s="25">
        <v>247.49</v>
      </c>
      <c r="D636" s="25">
        <v>242.57</v>
      </c>
      <c r="E636" s="25">
        <v>246.89</v>
      </c>
      <c r="F636" s="25">
        <v>1111548.0</v>
      </c>
    </row>
    <row r="637">
      <c r="A637" s="25">
        <v>39288.645833333336</v>
      </c>
      <c r="B637" s="25">
        <v>247.0</v>
      </c>
      <c r="C637" s="25">
        <v>251.25</v>
      </c>
      <c r="D637" s="25">
        <v>243.13</v>
      </c>
      <c r="E637" s="25">
        <v>248.61</v>
      </c>
      <c r="F637" s="25">
        <v>1455899.0</v>
      </c>
    </row>
    <row r="638">
      <c r="A638" s="25">
        <v>39289.645833333336</v>
      </c>
      <c r="B638" s="25">
        <v>249.75</v>
      </c>
      <c r="C638" s="25">
        <v>256.25</v>
      </c>
      <c r="D638" s="25">
        <v>249.38</v>
      </c>
      <c r="E638" s="25">
        <v>254.29</v>
      </c>
      <c r="F638" s="25">
        <v>2836423.0</v>
      </c>
    </row>
    <row r="639">
      <c r="A639" s="25">
        <v>39290.645833333336</v>
      </c>
      <c r="B639" s="25">
        <v>250.13</v>
      </c>
      <c r="C639" s="25">
        <v>251.88</v>
      </c>
      <c r="D639" s="25">
        <v>245.21</v>
      </c>
      <c r="E639" s="25">
        <v>250.98</v>
      </c>
      <c r="F639" s="25">
        <v>1733311.0</v>
      </c>
    </row>
    <row r="640">
      <c r="A640" s="25">
        <v>39293.645833333336</v>
      </c>
      <c r="B640" s="25">
        <v>250.98</v>
      </c>
      <c r="C640" s="25">
        <v>251.25</v>
      </c>
      <c r="D640" s="25">
        <v>245.79</v>
      </c>
      <c r="E640" s="25">
        <v>248.3</v>
      </c>
      <c r="F640" s="25">
        <v>699777.0</v>
      </c>
    </row>
    <row r="641">
      <c r="A641" s="25">
        <v>39294.645833333336</v>
      </c>
      <c r="B641" s="25">
        <v>248.75</v>
      </c>
      <c r="C641" s="25">
        <v>254.38</v>
      </c>
      <c r="D641" s="25">
        <v>244.41</v>
      </c>
      <c r="E641" s="25">
        <v>246.98</v>
      </c>
      <c r="F641" s="25">
        <v>904263.0</v>
      </c>
    </row>
    <row r="642">
      <c r="A642" s="25">
        <v>39295.645833333336</v>
      </c>
      <c r="B642" s="25">
        <v>248.5</v>
      </c>
      <c r="C642" s="25">
        <v>248.5</v>
      </c>
      <c r="D642" s="25">
        <v>240.38</v>
      </c>
      <c r="E642" s="25">
        <v>241.19</v>
      </c>
      <c r="F642" s="25">
        <v>1479865.0</v>
      </c>
    </row>
    <row r="643">
      <c r="A643" s="25">
        <v>39296.645833333336</v>
      </c>
      <c r="B643" s="25">
        <v>243.75</v>
      </c>
      <c r="C643" s="25">
        <v>243.75</v>
      </c>
      <c r="D643" s="25">
        <v>236.56</v>
      </c>
      <c r="E643" s="25">
        <v>237.4</v>
      </c>
      <c r="F643" s="25">
        <v>1478333.0</v>
      </c>
    </row>
    <row r="644">
      <c r="A644" s="25">
        <v>39297.645833333336</v>
      </c>
      <c r="B644" s="25">
        <v>237.63</v>
      </c>
      <c r="C644" s="25">
        <v>240.43</v>
      </c>
      <c r="D644" s="25">
        <v>237.25</v>
      </c>
      <c r="E644" s="25">
        <v>239.58</v>
      </c>
      <c r="F644" s="25">
        <v>837398.0</v>
      </c>
    </row>
    <row r="645">
      <c r="A645" s="25">
        <v>39300.645833333336</v>
      </c>
      <c r="B645" s="25">
        <v>242.48</v>
      </c>
      <c r="C645" s="25">
        <v>242.48</v>
      </c>
      <c r="D645" s="25">
        <v>232.54</v>
      </c>
      <c r="E645" s="25">
        <v>233.16</v>
      </c>
      <c r="F645" s="25">
        <v>1127300.0</v>
      </c>
    </row>
    <row r="646">
      <c r="A646" s="25">
        <v>39301.645833333336</v>
      </c>
      <c r="B646" s="25">
        <v>234.38</v>
      </c>
      <c r="C646" s="25">
        <v>237.5</v>
      </c>
      <c r="D646" s="25">
        <v>232.89</v>
      </c>
      <c r="E646" s="25">
        <v>234.81</v>
      </c>
      <c r="F646" s="25">
        <v>1377863.0</v>
      </c>
    </row>
    <row r="647">
      <c r="A647" s="25">
        <v>39302.645833333336</v>
      </c>
      <c r="B647" s="25">
        <v>236.25</v>
      </c>
      <c r="C647" s="25">
        <v>249.75</v>
      </c>
      <c r="D647" s="25">
        <v>236.25</v>
      </c>
      <c r="E647" s="25">
        <v>245.91</v>
      </c>
      <c r="F647" s="25">
        <v>3064476.0</v>
      </c>
    </row>
    <row r="648">
      <c r="A648" s="25">
        <v>39303.645833333336</v>
      </c>
      <c r="B648" s="25">
        <v>248.75</v>
      </c>
      <c r="C648" s="25">
        <v>250.63</v>
      </c>
      <c r="D648" s="25">
        <v>240.63</v>
      </c>
      <c r="E648" s="25">
        <v>241.78</v>
      </c>
      <c r="F648" s="25">
        <v>1280598.0</v>
      </c>
    </row>
    <row r="649">
      <c r="A649" s="25">
        <v>39304.645833333336</v>
      </c>
      <c r="B649" s="25">
        <v>231.89</v>
      </c>
      <c r="C649" s="25">
        <v>245.88</v>
      </c>
      <c r="D649" s="25">
        <v>231.89</v>
      </c>
      <c r="E649" s="25">
        <v>244.99</v>
      </c>
      <c r="F649" s="25">
        <v>1856530.0</v>
      </c>
    </row>
    <row r="650">
      <c r="A650" s="25">
        <v>39307.645833333336</v>
      </c>
      <c r="B650" s="25">
        <v>246.25</v>
      </c>
      <c r="C650" s="25">
        <v>246.25</v>
      </c>
      <c r="D650" s="25">
        <v>240.15</v>
      </c>
      <c r="E650" s="25">
        <v>243.74</v>
      </c>
      <c r="F650" s="25">
        <v>784684.0</v>
      </c>
    </row>
    <row r="651">
      <c r="A651" s="25">
        <v>39308.645833333336</v>
      </c>
      <c r="B651" s="25">
        <v>243.75</v>
      </c>
      <c r="C651" s="25">
        <v>245.13</v>
      </c>
      <c r="D651" s="25">
        <v>241.83</v>
      </c>
      <c r="E651" s="25">
        <v>244.43</v>
      </c>
      <c r="F651" s="25">
        <v>561334.0</v>
      </c>
    </row>
    <row r="652">
      <c r="A652" s="25">
        <v>39310.645833333336</v>
      </c>
      <c r="B652" s="25">
        <v>233.75</v>
      </c>
      <c r="C652" s="25">
        <v>240.88</v>
      </c>
      <c r="D652" s="25">
        <v>232.78</v>
      </c>
      <c r="E652" s="25">
        <v>239.14</v>
      </c>
      <c r="F652" s="25">
        <v>1766986.0</v>
      </c>
    </row>
    <row r="653">
      <c r="A653" s="25">
        <v>39311.645833333336</v>
      </c>
      <c r="B653" s="25">
        <v>239.87</v>
      </c>
      <c r="C653" s="25">
        <v>239.87</v>
      </c>
      <c r="D653" s="25">
        <v>217.89</v>
      </c>
      <c r="E653" s="25">
        <v>231.82</v>
      </c>
      <c r="F653" s="25">
        <v>3440529.0</v>
      </c>
    </row>
    <row r="654">
      <c r="A654" s="25">
        <v>39314.645833333336</v>
      </c>
      <c r="B654" s="25">
        <v>239.38</v>
      </c>
      <c r="C654" s="25">
        <v>239.38</v>
      </c>
      <c r="D654" s="25">
        <v>227.56</v>
      </c>
      <c r="E654" s="25">
        <v>228.65</v>
      </c>
      <c r="F654" s="25">
        <v>1719108.0</v>
      </c>
    </row>
    <row r="655">
      <c r="A655" s="25">
        <v>39315.645833333336</v>
      </c>
      <c r="B655" s="25">
        <v>228.88</v>
      </c>
      <c r="C655" s="25">
        <v>231.26</v>
      </c>
      <c r="D655" s="25">
        <v>219.03</v>
      </c>
      <c r="E655" s="25">
        <v>220.17</v>
      </c>
      <c r="F655" s="25">
        <v>2510504.0</v>
      </c>
    </row>
    <row r="656">
      <c r="A656" s="25">
        <v>39316.645833333336</v>
      </c>
      <c r="B656" s="25">
        <v>220.63</v>
      </c>
      <c r="C656" s="25">
        <v>226.05</v>
      </c>
      <c r="D656" s="25">
        <v>218.75</v>
      </c>
      <c r="E656" s="25">
        <v>223.59</v>
      </c>
      <c r="F656" s="25">
        <v>1183042.0</v>
      </c>
    </row>
    <row r="657">
      <c r="A657" s="25">
        <v>39317.645833333336</v>
      </c>
      <c r="B657" s="25">
        <v>231.13</v>
      </c>
      <c r="C657" s="25">
        <v>231.24</v>
      </c>
      <c r="D657" s="25">
        <v>224.03</v>
      </c>
      <c r="E657" s="25">
        <v>226.44</v>
      </c>
      <c r="F657" s="25">
        <v>1723906.0</v>
      </c>
    </row>
    <row r="658">
      <c r="A658" s="25">
        <v>39318.645833333336</v>
      </c>
      <c r="B658" s="25">
        <v>222.64</v>
      </c>
      <c r="C658" s="25">
        <v>229.19</v>
      </c>
      <c r="D658" s="25">
        <v>222.64</v>
      </c>
      <c r="E658" s="25">
        <v>228.2</v>
      </c>
      <c r="F658" s="25">
        <v>925678.0</v>
      </c>
    </row>
    <row r="659">
      <c r="A659" s="25">
        <v>39321.645833333336</v>
      </c>
      <c r="B659" s="25">
        <v>229.88</v>
      </c>
      <c r="C659" s="25">
        <v>231.38</v>
      </c>
      <c r="D659" s="25">
        <v>227.04</v>
      </c>
      <c r="E659" s="25">
        <v>230.96</v>
      </c>
      <c r="F659" s="25">
        <v>670614.0</v>
      </c>
    </row>
    <row r="660">
      <c r="A660" s="25">
        <v>39322.645833333336</v>
      </c>
      <c r="B660" s="25">
        <v>228.75</v>
      </c>
      <c r="C660" s="25">
        <v>236.75</v>
      </c>
      <c r="D660" s="25">
        <v>228.25</v>
      </c>
      <c r="E660" s="25">
        <v>235.03</v>
      </c>
      <c r="F660" s="25">
        <v>1267184.0</v>
      </c>
    </row>
    <row r="661">
      <c r="A661" s="25">
        <v>39323.645833333336</v>
      </c>
      <c r="B661" s="25">
        <v>230.13</v>
      </c>
      <c r="C661" s="25">
        <v>233.75</v>
      </c>
      <c r="D661" s="25">
        <v>227.56</v>
      </c>
      <c r="E661" s="25">
        <v>229.66</v>
      </c>
      <c r="F661" s="25">
        <v>1451962.0</v>
      </c>
    </row>
    <row r="662">
      <c r="A662" s="25">
        <v>39324.645833333336</v>
      </c>
      <c r="B662" s="25">
        <v>231.25</v>
      </c>
      <c r="C662" s="25">
        <v>233.8</v>
      </c>
      <c r="D662" s="25">
        <v>230.13</v>
      </c>
      <c r="E662" s="25">
        <v>233.15</v>
      </c>
      <c r="F662" s="25">
        <v>1121626.0</v>
      </c>
    </row>
    <row r="663">
      <c r="A663" s="25">
        <v>39325.645833333336</v>
      </c>
      <c r="B663" s="25">
        <v>235.63</v>
      </c>
      <c r="C663" s="25">
        <v>235.63</v>
      </c>
      <c r="D663" s="25">
        <v>231.0</v>
      </c>
      <c r="E663" s="25">
        <v>231.82</v>
      </c>
      <c r="F663" s="25">
        <v>985667.0</v>
      </c>
    </row>
    <row r="664">
      <c r="A664" s="25">
        <v>39328.645833333336</v>
      </c>
      <c r="B664" s="25">
        <v>233.13</v>
      </c>
      <c r="C664" s="25">
        <v>233.75</v>
      </c>
      <c r="D664" s="25">
        <v>231.88</v>
      </c>
      <c r="E664" s="25">
        <v>232.58</v>
      </c>
      <c r="F664" s="25">
        <v>596234.0</v>
      </c>
    </row>
    <row r="665">
      <c r="A665" s="25">
        <v>39329.645833333336</v>
      </c>
      <c r="B665" s="25">
        <v>240.34</v>
      </c>
      <c r="C665" s="25">
        <v>240.34</v>
      </c>
      <c r="D665" s="25">
        <v>221.88</v>
      </c>
      <c r="E665" s="25">
        <v>236.21</v>
      </c>
      <c r="F665" s="25">
        <v>699221.0</v>
      </c>
    </row>
    <row r="666">
      <c r="A666" s="25">
        <v>39330.645833333336</v>
      </c>
      <c r="B666" s="25">
        <v>235.5</v>
      </c>
      <c r="C666" s="25">
        <v>240.62</v>
      </c>
      <c r="D666" s="25">
        <v>235.41</v>
      </c>
      <c r="E666" s="25">
        <v>236.88</v>
      </c>
      <c r="F666" s="25">
        <v>1087659.0</v>
      </c>
    </row>
    <row r="667">
      <c r="A667" s="25">
        <v>39331.645833333336</v>
      </c>
      <c r="B667" s="25">
        <v>234.5</v>
      </c>
      <c r="C667" s="25">
        <v>238.63</v>
      </c>
      <c r="D667" s="25">
        <v>234.5</v>
      </c>
      <c r="E667" s="25">
        <v>237.98</v>
      </c>
      <c r="F667" s="25">
        <v>485152.0</v>
      </c>
    </row>
    <row r="668">
      <c r="A668" s="25">
        <v>39332.645833333336</v>
      </c>
      <c r="B668" s="25">
        <v>238.88</v>
      </c>
      <c r="C668" s="25">
        <v>240.63</v>
      </c>
      <c r="D668" s="25">
        <v>237.63</v>
      </c>
      <c r="E668" s="25">
        <v>238.56</v>
      </c>
      <c r="F668" s="25">
        <v>669722.0</v>
      </c>
    </row>
    <row r="669">
      <c r="A669" s="25">
        <v>39335.645833333336</v>
      </c>
      <c r="B669" s="25">
        <v>236.56</v>
      </c>
      <c r="C669" s="25">
        <v>238.09</v>
      </c>
      <c r="D669" s="25">
        <v>233.21</v>
      </c>
      <c r="E669" s="25">
        <v>233.94</v>
      </c>
      <c r="F669" s="25">
        <v>741055.0</v>
      </c>
    </row>
    <row r="670">
      <c r="A670" s="25">
        <v>39336.645833333336</v>
      </c>
      <c r="B670" s="25">
        <v>235.75</v>
      </c>
      <c r="C670" s="25">
        <v>235.75</v>
      </c>
      <c r="D670" s="25">
        <v>226.88</v>
      </c>
      <c r="E670" s="25">
        <v>227.85</v>
      </c>
      <c r="F670" s="25">
        <v>975866.0</v>
      </c>
    </row>
    <row r="671">
      <c r="A671" s="25">
        <v>39337.645833333336</v>
      </c>
      <c r="B671" s="25">
        <v>228.13</v>
      </c>
      <c r="C671" s="25">
        <v>233.25</v>
      </c>
      <c r="D671" s="25">
        <v>226.64</v>
      </c>
      <c r="E671" s="25">
        <v>227.73</v>
      </c>
      <c r="F671" s="25">
        <v>997235.0</v>
      </c>
    </row>
    <row r="672">
      <c r="A672" s="25">
        <v>39338.645833333336</v>
      </c>
      <c r="B672" s="25">
        <v>228.13</v>
      </c>
      <c r="C672" s="25">
        <v>232.75</v>
      </c>
      <c r="D672" s="25">
        <v>227.94</v>
      </c>
      <c r="E672" s="25">
        <v>229.28</v>
      </c>
      <c r="F672" s="25">
        <v>1203850.0</v>
      </c>
    </row>
    <row r="673">
      <c r="A673" s="25">
        <v>39339.645833333336</v>
      </c>
      <c r="B673" s="25">
        <v>230.0</v>
      </c>
      <c r="C673" s="25">
        <v>232.25</v>
      </c>
      <c r="D673" s="25">
        <v>228.79</v>
      </c>
      <c r="E673" s="25">
        <v>229.64</v>
      </c>
      <c r="F673" s="25">
        <v>1193786.0</v>
      </c>
    </row>
    <row r="674">
      <c r="A674" s="25">
        <v>39342.645833333336</v>
      </c>
      <c r="B674" s="25">
        <v>231.75</v>
      </c>
      <c r="C674" s="25">
        <v>231.86</v>
      </c>
      <c r="D674" s="25">
        <v>224.06</v>
      </c>
      <c r="E674" s="25">
        <v>225.6</v>
      </c>
      <c r="F674" s="25">
        <v>1378864.0</v>
      </c>
    </row>
    <row r="675">
      <c r="A675" s="25">
        <v>39343.645833333336</v>
      </c>
      <c r="B675" s="25">
        <v>225.0</v>
      </c>
      <c r="C675" s="25">
        <v>226.84</v>
      </c>
      <c r="D675" s="25">
        <v>223.31</v>
      </c>
      <c r="E675" s="25">
        <v>225.57</v>
      </c>
      <c r="F675" s="25">
        <v>1676002.0</v>
      </c>
    </row>
    <row r="676">
      <c r="A676" s="25">
        <v>39344.645833333336</v>
      </c>
      <c r="B676" s="25">
        <v>230.0</v>
      </c>
      <c r="C676" s="25">
        <v>233.5</v>
      </c>
      <c r="D676" s="25">
        <v>230.0</v>
      </c>
      <c r="E676" s="25">
        <v>231.45</v>
      </c>
      <c r="F676" s="25">
        <v>2151113.0</v>
      </c>
    </row>
    <row r="677">
      <c r="A677" s="25">
        <v>39345.645833333336</v>
      </c>
      <c r="B677" s="25">
        <v>230.0</v>
      </c>
      <c r="C677" s="25">
        <v>230.63</v>
      </c>
      <c r="D677" s="25">
        <v>224.39</v>
      </c>
      <c r="E677" s="25">
        <v>225.05</v>
      </c>
      <c r="F677" s="25">
        <v>1292508.0</v>
      </c>
    </row>
    <row r="678">
      <c r="A678" s="25">
        <v>39346.645833333336</v>
      </c>
      <c r="B678" s="25">
        <v>223.75</v>
      </c>
      <c r="C678" s="25">
        <v>231.25</v>
      </c>
      <c r="D678" s="25">
        <v>219.13</v>
      </c>
      <c r="E678" s="25">
        <v>228.24</v>
      </c>
      <c r="F678" s="25">
        <v>1916075.0</v>
      </c>
    </row>
    <row r="679">
      <c r="A679" s="25">
        <v>39349.645833333336</v>
      </c>
      <c r="B679" s="25">
        <v>228.5</v>
      </c>
      <c r="C679" s="25">
        <v>228.74</v>
      </c>
      <c r="D679" s="25">
        <v>220.0</v>
      </c>
      <c r="E679" s="25">
        <v>220.38</v>
      </c>
      <c r="F679" s="25">
        <v>2173348.0</v>
      </c>
    </row>
    <row r="680">
      <c r="A680" s="25">
        <v>39350.645833333336</v>
      </c>
      <c r="B680" s="25">
        <v>223.13</v>
      </c>
      <c r="C680" s="25">
        <v>224.38</v>
      </c>
      <c r="D680" s="25">
        <v>218.56</v>
      </c>
      <c r="E680" s="25">
        <v>221.42</v>
      </c>
      <c r="F680" s="25">
        <v>2173126.0</v>
      </c>
    </row>
    <row r="681">
      <c r="A681" s="25">
        <v>39351.645833333336</v>
      </c>
      <c r="B681" s="25">
        <v>222.5</v>
      </c>
      <c r="C681" s="25">
        <v>229.34</v>
      </c>
      <c r="D681" s="25">
        <v>221.25</v>
      </c>
      <c r="E681" s="25">
        <v>228.14</v>
      </c>
      <c r="F681" s="25">
        <v>1640783.0</v>
      </c>
    </row>
    <row r="682">
      <c r="A682" s="25">
        <v>39352.645833333336</v>
      </c>
      <c r="B682" s="25">
        <v>234.01</v>
      </c>
      <c r="C682" s="25">
        <v>241.59</v>
      </c>
      <c r="D682" s="25">
        <v>229.38</v>
      </c>
      <c r="E682" s="25">
        <v>239.48</v>
      </c>
      <c r="F682" s="25">
        <v>3869012.0</v>
      </c>
    </row>
    <row r="683">
      <c r="A683" s="25">
        <v>39353.645833333336</v>
      </c>
      <c r="B683" s="25">
        <v>240.63</v>
      </c>
      <c r="C683" s="25">
        <v>243.75</v>
      </c>
      <c r="D683" s="25">
        <v>233.38</v>
      </c>
      <c r="E683" s="25">
        <v>236.59</v>
      </c>
      <c r="F683" s="25">
        <v>2016986.0</v>
      </c>
    </row>
    <row r="684">
      <c r="A684" s="25">
        <v>39356.645833333336</v>
      </c>
      <c r="B684" s="25">
        <v>236.88</v>
      </c>
      <c r="C684" s="25">
        <v>239.38</v>
      </c>
      <c r="D684" s="25">
        <v>231.59</v>
      </c>
      <c r="E684" s="25">
        <v>238.17</v>
      </c>
      <c r="F684" s="25">
        <v>1514862.0</v>
      </c>
    </row>
    <row r="685">
      <c r="A685" s="25">
        <v>39358.645833333336</v>
      </c>
      <c r="B685" s="25">
        <v>240.0</v>
      </c>
      <c r="C685" s="25">
        <v>251.86</v>
      </c>
      <c r="D685" s="25">
        <v>238.75</v>
      </c>
      <c r="E685" s="25">
        <v>250.19</v>
      </c>
      <c r="F685" s="25">
        <v>3321528.0</v>
      </c>
    </row>
    <row r="686">
      <c r="A686" s="25">
        <v>39359.645833333336</v>
      </c>
      <c r="B686" s="25">
        <v>251.25</v>
      </c>
      <c r="C686" s="25">
        <v>251.25</v>
      </c>
      <c r="D686" s="25">
        <v>245.25</v>
      </c>
      <c r="E686" s="25">
        <v>249.86</v>
      </c>
      <c r="F686" s="25">
        <v>1794366.0</v>
      </c>
    </row>
    <row r="687">
      <c r="A687" s="25">
        <v>39360.645833333336</v>
      </c>
      <c r="B687" s="25">
        <v>250.0</v>
      </c>
      <c r="C687" s="25">
        <v>250.0</v>
      </c>
      <c r="D687" s="25">
        <v>246.95</v>
      </c>
      <c r="E687" s="25">
        <v>247.86</v>
      </c>
      <c r="F687" s="25">
        <v>1054183.0</v>
      </c>
    </row>
    <row r="688">
      <c r="A688" s="25">
        <v>39363.645833333336</v>
      </c>
      <c r="B688" s="25">
        <v>250.0</v>
      </c>
      <c r="C688" s="25">
        <v>253.13</v>
      </c>
      <c r="D688" s="25">
        <v>248.0</v>
      </c>
      <c r="E688" s="25">
        <v>250.46</v>
      </c>
      <c r="F688" s="25">
        <v>1086969.0</v>
      </c>
    </row>
    <row r="689">
      <c r="A689" s="25">
        <v>39364.645833333336</v>
      </c>
      <c r="B689" s="25">
        <v>248.13</v>
      </c>
      <c r="C689" s="25">
        <v>256.5</v>
      </c>
      <c r="D689" s="25">
        <v>248.13</v>
      </c>
      <c r="E689" s="25">
        <v>255.93</v>
      </c>
      <c r="F689" s="25">
        <v>1631749.0</v>
      </c>
    </row>
    <row r="690">
      <c r="A690" s="25">
        <v>39365.645833333336</v>
      </c>
      <c r="B690" s="25">
        <v>261.83</v>
      </c>
      <c r="C690" s="25">
        <v>267.74</v>
      </c>
      <c r="D690" s="25">
        <v>257.5</v>
      </c>
      <c r="E690" s="25">
        <v>265.63</v>
      </c>
      <c r="F690" s="25">
        <v>2788226.0</v>
      </c>
    </row>
    <row r="691">
      <c r="A691" s="25">
        <v>39366.645833333336</v>
      </c>
      <c r="B691" s="25">
        <v>262.5</v>
      </c>
      <c r="C691" s="25">
        <v>262.5</v>
      </c>
      <c r="D691" s="25">
        <v>245.38</v>
      </c>
      <c r="E691" s="25">
        <v>247.11</v>
      </c>
      <c r="F691" s="25">
        <v>4435431.0</v>
      </c>
    </row>
    <row r="692">
      <c r="A692" s="25">
        <v>39367.645833333336</v>
      </c>
      <c r="B692" s="25">
        <v>245.63</v>
      </c>
      <c r="C692" s="25">
        <v>246.86</v>
      </c>
      <c r="D692" s="25">
        <v>237.98</v>
      </c>
      <c r="E692" s="25">
        <v>241.21</v>
      </c>
      <c r="F692" s="25">
        <v>2568275.0</v>
      </c>
    </row>
    <row r="693">
      <c r="A693" s="25">
        <v>39370.645833333336</v>
      </c>
      <c r="B693" s="25">
        <v>245.98</v>
      </c>
      <c r="C693" s="25">
        <v>245.98</v>
      </c>
      <c r="D693" s="25">
        <v>239.25</v>
      </c>
      <c r="E693" s="25">
        <v>240.98</v>
      </c>
      <c r="F693" s="25">
        <v>1850719.0</v>
      </c>
    </row>
    <row r="694">
      <c r="A694" s="25">
        <v>39371.645833333336</v>
      </c>
      <c r="B694" s="25">
        <v>232.66</v>
      </c>
      <c r="C694" s="25">
        <v>241.25</v>
      </c>
      <c r="D694" s="25">
        <v>230.01</v>
      </c>
      <c r="E694" s="25">
        <v>233.29</v>
      </c>
      <c r="F694" s="25">
        <v>2584534.0</v>
      </c>
    </row>
    <row r="695">
      <c r="A695" s="25">
        <v>39372.645833333336</v>
      </c>
      <c r="B695" s="25">
        <v>225.0</v>
      </c>
      <c r="C695" s="25">
        <v>238.5</v>
      </c>
      <c r="D695" s="25">
        <v>223.13</v>
      </c>
      <c r="E695" s="25">
        <v>236.29</v>
      </c>
      <c r="F695" s="25">
        <v>2013136.0</v>
      </c>
    </row>
    <row r="696">
      <c r="A696" s="25">
        <v>39373.645833333336</v>
      </c>
      <c r="B696" s="25">
        <v>237.5</v>
      </c>
      <c r="C696" s="25">
        <v>243.75</v>
      </c>
      <c r="D696" s="25">
        <v>232.1</v>
      </c>
      <c r="E696" s="25">
        <v>236.25</v>
      </c>
      <c r="F696" s="25">
        <v>2358882.0</v>
      </c>
    </row>
    <row r="697">
      <c r="A697" s="25">
        <v>39374.645833333336</v>
      </c>
      <c r="B697" s="25">
        <v>237.5</v>
      </c>
      <c r="C697" s="25">
        <v>241.25</v>
      </c>
      <c r="D697" s="25">
        <v>234.52</v>
      </c>
      <c r="E697" s="25">
        <v>238.71</v>
      </c>
      <c r="F697" s="25">
        <v>1389848.0</v>
      </c>
    </row>
    <row r="698">
      <c r="A698" s="25">
        <v>39377.645833333336</v>
      </c>
      <c r="B698" s="25">
        <v>232.25</v>
      </c>
      <c r="C698" s="25">
        <v>238.78</v>
      </c>
      <c r="D698" s="25">
        <v>232.25</v>
      </c>
      <c r="E698" s="25">
        <v>235.84</v>
      </c>
      <c r="F698" s="25">
        <v>1335429.0</v>
      </c>
    </row>
    <row r="699">
      <c r="A699" s="25">
        <v>39378.645833333336</v>
      </c>
      <c r="B699" s="25">
        <v>237.5</v>
      </c>
      <c r="C699" s="25">
        <v>239.7</v>
      </c>
      <c r="D699" s="25">
        <v>233.75</v>
      </c>
      <c r="E699" s="25">
        <v>235.43</v>
      </c>
      <c r="F699" s="25">
        <v>1543293.0</v>
      </c>
    </row>
    <row r="700">
      <c r="A700" s="25">
        <v>39379.645833333336</v>
      </c>
      <c r="B700" s="25">
        <v>237.63</v>
      </c>
      <c r="C700" s="25">
        <v>239.75</v>
      </c>
      <c r="D700" s="25">
        <v>229.14</v>
      </c>
      <c r="E700" s="25">
        <v>230.56</v>
      </c>
      <c r="F700" s="25">
        <v>1430781.0</v>
      </c>
    </row>
    <row r="701">
      <c r="A701" s="25">
        <v>39380.645833333336</v>
      </c>
      <c r="B701" s="25">
        <v>231.38</v>
      </c>
      <c r="C701" s="25">
        <v>234.48</v>
      </c>
      <c r="D701" s="25">
        <v>228.13</v>
      </c>
      <c r="E701" s="25">
        <v>229.63</v>
      </c>
      <c r="F701" s="25">
        <v>1619480.0</v>
      </c>
    </row>
    <row r="702">
      <c r="A702" s="25">
        <v>39381.645833333336</v>
      </c>
      <c r="B702" s="25">
        <v>229.38</v>
      </c>
      <c r="C702" s="25">
        <v>231.88</v>
      </c>
      <c r="D702" s="25">
        <v>228.0</v>
      </c>
      <c r="E702" s="25">
        <v>231.03</v>
      </c>
      <c r="F702" s="25">
        <v>1034888.0</v>
      </c>
    </row>
    <row r="703">
      <c r="A703" s="25">
        <v>39384.645833333336</v>
      </c>
      <c r="B703" s="25">
        <v>237.5</v>
      </c>
      <c r="C703" s="25">
        <v>237.5</v>
      </c>
      <c r="D703" s="25">
        <v>231.9</v>
      </c>
      <c r="E703" s="25">
        <v>232.58</v>
      </c>
      <c r="F703" s="25">
        <v>666060.0</v>
      </c>
    </row>
    <row r="704">
      <c r="A704" s="25">
        <v>39385.645833333336</v>
      </c>
      <c r="B704" s="25">
        <v>233.75</v>
      </c>
      <c r="C704" s="25">
        <v>235.5</v>
      </c>
      <c r="D704" s="25">
        <v>229.95</v>
      </c>
      <c r="E704" s="25">
        <v>231.78</v>
      </c>
      <c r="F704" s="25">
        <v>749555.0</v>
      </c>
    </row>
    <row r="705">
      <c r="A705" s="25">
        <v>39386.645833333336</v>
      </c>
      <c r="B705" s="25">
        <v>233.69</v>
      </c>
      <c r="C705" s="25">
        <v>235.64</v>
      </c>
      <c r="D705" s="25">
        <v>227.26</v>
      </c>
      <c r="E705" s="25">
        <v>229.68</v>
      </c>
      <c r="F705" s="25">
        <v>1253191.0</v>
      </c>
    </row>
    <row r="706">
      <c r="A706" s="25">
        <v>39387.645833333336</v>
      </c>
      <c r="B706" s="25">
        <v>233.96</v>
      </c>
      <c r="C706" s="25">
        <v>235.0</v>
      </c>
      <c r="D706" s="25">
        <v>229.5</v>
      </c>
      <c r="E706" s="25">
        <v>234.24</v>
      </c>
      <c r="F706" s="25">
        <v>1190316.0</v>
      </c>
    </row>
    <row r="707">
      <c r="A707" s="25">
        <v>39388.645833333336</v>
      </c>
      <c r="B707" s="25">
        <v>231.25</v>
      </c>
      <c r="C707" s="25">
        <v>241.25</v>
      </c>
      <c r="D707" s="25">
        <v>227.63</v>
      </c>
      <c r="E707" s="25">
        <v>239.64</v>
      </c>
      <c r="F707" s="25">
        <v>1276101.0</v>
      </c>
    </row>
    <row r="708">
      <c r="A708" s="25">
        <v>39391.645833333336</v>
      </c>
      <c r="B708" s="25">
        <v>237.5</v>
      </c>
      <c r="C708" s="25">
        <v>241.09</v>
      </c>
      <c r="D708" s="25">
        <v>230.04</v>
      </c>
      <c r="E708" s="25">
        <v>231.75</v>
      </c>
      <c r="F708" s="25">
        <v>776435.0</v>
      </c>
    </row>
    <row r="709">
      <c r="A709" s="25">
        <v>39392.645833333336</v>
      </c>
      <c r="B709" s="25">
        <v>231.25</v>
      </c>
      <c r="C709" s="25">
        <v>234.38</v>
      </c>
      <c r="D709" s="25">
        <v>231.25</v>
      </c>
      <c r="E709" s="25">
        <v>231.47</v>
      </c>
      <c r="F709" s="25">
        <v>564729.0</v>
      </c>
    </row>
    <row r="710">
      <c r="A710" s="25">
        <v>39393.645833333336</v>
      </c>
      <c r="B710" s="25">
        <v>231.42</v>
      </c>
      <c r="C710" s="25">
        <v>231.42</v>
      </c>
      <c r="D710" s="25">
        <v>216.88</v>
      </c>
      <c r="E710" s="25">
        <v>218.24</v>
      </c>
      <c r="F710" s="25">
        <v>2893925.0</v>
      </c>
    </row>
    <row r="711">
      <c r="A711" s="25">
        <v>39394.645833333336</v>
      </c>
      <c r="B711" s="25">
        <v>214.84</v>
      </c>
      <c r="C711" s="25">
        <v>218.13</v>
      </c>
      <c r="D711" s="25">
        <v>212.88</v>
      </c>
      <c r="E711" s="25">
        <v>214.54</v>
      </c>
      <c r="F711" s="25">
        <v>1963155.0</v>
      </c>
    </row>
    <row r="712">
      <c r="A712" s="25">
        <v>39395.645833333336</v>
      </c>
      <c r="B712" s="25">
        <v>218.63</v>
      </c>
      <c r="C712" s="25">
        <v>218.63</v>
      </c>
      <c r="D712" s="25">
        <v>211.26</v>
      </c>
      <c r="E712" s="25">
        <v>212.64</v>
      </c>
      <c r="F712" s="25">
        <v>177058.0</v>
      </c>
    </row>
    <row r="713">
      <c r="A713" s="25">
        <v>39398.645833333336</v>
      </c>
      <c r="B713" s="25">
        <v>209.38</v>
      </c>
      <c r="C713" s="25">
        <v>209.38</v>
      </c>
      <c r="D713" s="25">
        <v>201.27</v>
      </c>
      <c r="E713" s="25">
        <v>205.23</v>
      </c>
      <c r="F713" s="25">
        <v>3165604.0</v>
      </c>
    </row>
    <row r="714">
      <c r="A714" s="25">
        <v>39399.645833333336</v>
      </c>
      <c r="B714" s="25">
        <v>203.13</v>
      </c>
      <c r="C714" s="25">
        <v>211.64</v>
      </c>
      <c r="D714" s="25">
        <v>200.88</v>
      </c>
      <c r="E714" s="25">
        <v>203.39</v>
      </c>
      <c r="F714" s="25">
        <v>2939639.0</v>
      </c>
    </row>
    <row r="715">
      <c r="A715" s="25">
        <v>39400.645833333336</v>
      </c>
      <c r="B715" s="25">
        <v>210.0</v>
      </c>
      <c r="C715" s="25">
        <v>216.25</v>
      </c>
      <c r="D715" s="25">
        <v>207.0</v>
      </c>
      <c r="E715" s="25">
        <v>213.49</v>
      </c>
      <c r="F715" s="25">
        <v>2032751.0</v>
      </c>
    </row>
    <row r="716">
      <c r="A716" s="25">
        <v>39401.645833333336</v>
      </c>
      <c r="B716" s="25">
        <v>212.5</v>
      </c>
      <c r="C716" s="25">
        <v>212.5</v>
      </c>
      <c r="D716" s="25">
        <v>204.75</v>
      </c>
      <c r="E716" s="25">
        <v>205.91</v>
      </c>
      <c r="F716" s="25">
        <v>1631725.0</v>
      </c>
    </row>
    <row r="717">
      <c r="A717" s="25">
        <v>39402.645833333336</v>
      </c>
      <c r="B717" s="25">
        <v>205.91</v>
      </c>
      <c r="C717" s="25">
        <v>208.0</v>
      </c>
      <c r="D717" s="25">
        <v>202.25</v>
      </c>
      <c r="E717" s="25">
        <v>203.13</v>
      </c>
      <c r="F717" s="25">
        <v>1213941.0</v>
      </c>
    </row>
    <row r="718">
      <c r="A718" s="25">
        <v>39405.645833333336</v>
      </c>
      <c r="B718" s="25">
        <v>206.25</v>
      </c>
      <c r="C718" s="25">
        <v>206.25</v>
      </c>
      <c r="D718" s="25">
        <v>202.0</v>
      </c>
      <c r="E718" s="25">
        <v>202.49</v>
      </c>
      <c r="F718" s="25">
        <v>1805145.0</v>
      </c>
    </row>
    <row r="719">
      <c r="A719" s="25">
        <v>39406.645833333336</v>
      </c>
      <c r="B719" s="25">
        <v>200.88</v>
      </c>
      <c r="C719" s="25">
        <v>202.5</v>
      </c>
      <c r="D719" s="25">
        <v>194.17</v>
      </c>
      <c r="E719" s="25">
        <v>195.71</v>
      </c>
      <c r="F719" s="25">
        <v>2842109.0</v>
      </c>
    </row>
    <row r="720">
      <c r="A720" s="25">
        <v>39407.645833333336</v>
      </c>
      <c r="B720" s="25">
        <v>193.13</v>
      </c>
      <c r="C720" s="25">
        <v>198.38</v>
      </c>
      <c r="D720" s="25">
        <v>192.5</v>
      </c>
      <c r="E720" s="25">
        <v>193.39</v>
      </c>
      <c r="F720" s="25">
        <v>2065484.0</v>
      </c>
    </row>
    <row r="721">
      <c r="A721" s="25">
        <v>39408.645833333336</v>
      </c>
      <c r="B721" s="25">
        <v>193.74</v>
      </c>
      <c r="C721" s="25">
        <v>195.01</v>
      </c>
      <c r="D721" s="25">
        <v>189.88</v>
      </c>
      <c r="E721" s="25">
        <v>191.45</v>
      </c>
      <c r="F721" s="25">
        <v>1572093.0</v>
      </c>
    </row>
    <row r="722">
      <c r="A722" s="25">
        <v>39409.645833333336</v>
      </c>
      <c r="B722" s="25">
        <v>193.75</v>
      </c>
      <c r="C722" s="25">
        <v>200.59</v>
      </c>
      <c r="D722" s="25">
        <v>191.71</v>
      </c>
      <c r="E722" s="25">
        <v>194.69</v>
      </c>
      <c r="F722" s="25">
        <v>2085087.0</v>
      </c>
    </row>
    <row r="723">
      <c r="A723" s="25">
        <v>39412.645833333336</v>
      </c>
      <c r="B723" s="25">
        <v>195.63</v>
      </c>
      <c r="C723" s="25">
        <v>199.68</v>
      </c>
      <c r="D723" s="25">
        <v>195.63</v>
      </c>
      <c r="E723" s="25">
        <v>196.99</v>
      </c>
      <c r="F723" s="25">
        <v>1189440.0</v>
      </c>
    </row>
    <row r="724">
      <c r="A724" s="25">
        <v>39413.645833333336</v>
      </c>
      <c r="B724" s="25">
        <v>196.99</v>
      </c>
      <c r="C724" s="25">
        <v>198.25</v>
      </c>
      <c r="D724" s="25">
        <v>195.34</v>
      </c>
      <c r="E724" s="25">
        <v>196.71</v>
      </c>
      <c r="F724" s="25">
        <v>1468733.0</v>
      </c>
    </row>
    <row r="725">
      <c r="A725" s="25">
        <v>39414.645833333336</v>
      </c>
      <c r="B725" s="25">
        <v>198.63</v>
      </c>
      <c r="C725" s="25">
        <v>199.38</v>
      </c>
      <c r="D725" s="25">
        <v>194.88</v>
      </c>
      <c r="E725" s="25">
        <v>196.16</v>
      </c>
      <c r="F725" s="25">
        <v>1182368.0</v>
      </c>
    </row>
    <row r="726">
      <c r="A726" s="25">
        <v>39415.645833333336</v>
      </c>
      <c r="B726" s="25">
        <v>200.63</v>
      </c>
      <c r="C726" s="25">
        <v>201.75</v>
      </c>
      <c r="D726" s="25">
        <v>193.75</v>
      </c>
      <c r="E726" s="25">
        <v>195.91</v>
      </c>
      <c r="F726" s="25">
        <v>3007634.0</v>
      </c>
    </row>
    <row r="727">
      <c r="A727" s="25">
        <v>39416.645833333336</v>
      </c>
      <c r="B727" s="25">
        <v>196.75</v>
      </c>
      <c r="C727" s="25">
        <v>203.11</v>
      </c>
      <c r="D727" s="25">
        <v>196.75</v>
      </c>
      <c r="E727" s="25">
        <v>200.31</v>
      </c>
      <c r="F727" s="25">
        <v>3421174.0</v>
      </c>
    </row>
    <row r="728">
      <c r="A728" s="25">
        <v>39419.645833333336</v>
      </c>
      <c r="B728" s="25">
        <v>200.31</v>
      </c>
      <c r="C728" s="25">
        <v>204.0</v>
      </c>
      <c r="D728" s="25">
        <v>198.58</v>
      </c>
      <c r="E728" s="25">
        <v>200.04</v>
      </c>
      <c r="F728" s="25">
        <v>2512630.0</v>
      </c>
    </row>
    <row r="729">
      <c r="A729" s="25">
        <v>39420.645833333336</v>
      </c>
      <c r="B729" s="25">
        <v>199.81</v>
      </c>
      <c r="C729" s="25">
        <v>203.46</v>
      </c>
      <c r="D729" s="25">
        <v>198.85</v>
      </c>
      <c r="E729" s="25">
        <v>201.91</v>
      </c>
      <c r="F729" s="25">
        <v>1420957.0</v>
      </c>
    </row>
    <row r="730">
      <c r="A730" s="25">
        <v>39421.645833333336</v>
      </c>
      <c r="B730" s="25">
        <v>202.46</v>
      </c>
      <c r="C730" s="25">
        <v>202.46</v>
      </c>
      <c r="D730" s="25">
        <v>198.81</v>
      </c>
      <c r="E730" s="25">
        <v>200.44</v>
      </c>
      <c r="F730" s="25">
        <v>1249594.0</v>
      </c>
    </row>
    <row r="731">
      <c r="A731" s="25">
        <v>39422.645833333336</v>
      </c>
      <c r="B731" s="25">
        <v>201.41</v>
      </c>
      <c r="C731" s="25">
        <v>206.13</v>
      </c>
      <c r="D731" s="25">
        <v>201.41</v>
      </c>
      <c r="E731" s="25">
        <v>204.42</v>
      </c>
      <c r="F731" s="25">
        <v>1768050.0</v>
      </c>
    </row>
    <row r="732">
      <c r="A732" s="25">
        <v>39423.645833333336</v>
      </c>
      <c r="B732" s="25">
        <v>206.25</v>
      </c>
      <c r="C732" s="25">
        <v>218.66</v>
      </c>
      <c r="D732" s="25">
        <v>203.78</v>
      </c>
      <c r="E732" s="25">
        <v>215.29</v>
      </c>
      <c r="F732" s="25">
        <v>2717145.0</v>
      </c>
    </row>
    <row r="733">
      <c r="A733" s="25">
        <v>39426.645833333336</v>
      </c>
      <c r="B733" s="25">
        <v>217.44</v>
      </c>
      <c r="C733" s="25">
        <v>220.96</v>
      </c>
      <c r="D733" s="25">
        <v>212.5</v>
      </c>
      <c r="E733" s="25">
        <v>218.59</v>
      </c>
      <c r="F733" s="25">
        <v>1553271.0</v>
      </c>
    </row>
    <row r="734">
      <c r="A734" s="25">
        <v>39427.645833333336</v>
      </c>
      <c r="B734" s="25">
        <v>218.59</v>
      </c>
      <c r="C734" s="25">
        <v>219.88</v>
      </c>
      <c r="D734" s="25">
        <v>213.38</v>
      </c>
      <c r="E734" s="25">
        <v>218.04</v>
      </c>
      <c r="F734" s="25">
        <v>1055549.0</v>
      </c>
    </row>
    <row r="735">
      <c r="A735" s="25">
        <v>39428.645833333336</v>
      </c>
      <c r="B735" s="25">
        <v>213.75</v>
      </c>
      <c r="C735" s="25">
        <v>215.0</v>
      </c>
      <c r="D735" s="25">
        <v>207.13</v>
      </c>
      <c r="E735" s="25">
        <v>210.72</v>
      </c>
      <c r="F735" s="25">
        <v>1543875.0</v>
      </c>
    </row>
    <row r="736">
      <c r="A736" s="25">
        <v>39429.645833333336</v>
      </c>
      <c r="B736" s="25">
        <v>211.75</v>
      </c>
      <c r="C736" s="25">
        <v>212.36</v>
      </c>
      <c r="D736" s="25">
        <v>206.53</v>
      </c>
      <c r="E736" s="25">
        <v>207.49</v>
      </c>
      <c r="F736" s="25">
        <v>831607.0</v>
      </c>
    </row>
    <row r="737">
      <c r="A737" s="25">
        <v>39430.645833333336</v>
      </c>
      <c r="B737" s="25">
        <v>206.5</v>
      </c>
      <c r="C737" s="25">
        <v>209.34</v>
      </c>
      <c r="D737" s="25">
        <v>204.76</v>
      </c>
      <c r="E737" s="25">
        <v>205.79</v>
      </c>
      <c r="F737" s="25">
        <v>535147.0</v>
      </c>
    </row>
    <row r="738">
      <c r="A738" s="25">
        <v>39433.645833333336</v>
      </c>
      <c r="B738" s="25">
        <v>206.25</v>
      </c>
      <c r="C738" s="25">
        <v>207.38</v>
      </c>
      <c r="D738" s="25">
        <v>201.5</v>
      </c>
      <c r="E738" s="25">
        <v>203.04</v>
      </c>
      <c r="F738" s="25">
        <v>918375.0</v>
      </c>
    </row>
    <row r="739">
      <c r="A739" s="25">
        <v>39435.645833333336</v>
      </c>
      <c r="B739" s="25">
        <v>204.33</v>
      </c>
      <c r="C739" s="25">
        <v>206.25</v>
      </c>
      <c r="D739" s="25">
        <v>204.02</v>
      </c>
      <c r="E739" s="25">
        <v>204.93</v>
      </c>
      <c r="F739" s="25">
        <v>662235.0</v>
      </c>
    </row>
    <row r="740">
      <c r="A740" s="25">
        <v>39436.645833333336</v>
      </c>
      <c r="B740" s="25">
        <v>205.88</v>
      </c>
      <c r="C740" s="25">
        <v>215.0</v>
      </c>
      <c r="D740" s="25">
        <v>205.59</v>
      </c>
      <c r="E740" s="25">
        <v>211.94</v>
      </c>
      <c r="F740" s="25">
        <v>1900506.0</v>
      </c>
    </row>
    <row r="741">
      <c r="A741" s="25">
        <v>39440.645833333336</v>
      </c>
      <c r="B741" s="25">
        <v>214.8</v>
      </c>
      <c r="C741" s="25">
        <v>227.38</v>
      </c>
      <c r="D741" s="25">
        <v>213.75</v>
      </c>
      <c r="E741" s="25">
        <v>226.27</v>
      </c>
      <c r="F741" s="25">
        <v>2045667.0</v>
      </c>
    </row>
    <row r="742">
      <c r="A742" s="25">
        <v>39442.645833333336</v>
      </c>
      <c r="B742" s="25">
        <v>227.5</v>
      </c>
      <c r="C742" s="25">
        <v>228.19</v>
      </c>
      <c r="D742" s="25">
        <v>221.25</v>
      </c>
      <c r="E742" s="25">
        <v>227.23</v>
      </c>
      <c r="F742" s="25">
        <v>575547.0</v>
      </c>
    </row>
    <row r="743">
      <c r="A743" s="25">
        <v>39443.645833333336</v>
      </c>
      <c r="B743" s="25">
        <v>228.0</v>
      </c>
      <c r="C743" s="25">
        <v>229.85</v>
      </c>
      <c r="D743" s="25">
        <v>224.02</v>
      </c>
      <c r="E743" s="25">
        <v>225.3</v>
      </c>
      <c r="F743" s="25">
        <v>1044813.0</v>
      </c>
    </row>
    <row r="744">
      <c r="A744" s="25">
        <v>39444.645833333336</v>
      </c>
      <c r="B744" s="25">
        <v>221.25</v>
      </c>
      <c r="C744" s="25">
        <v>226.25</v>
      </c>
      <c r="D744" s="25">
        <v>213.76</v>
      </c>
      <c r="E744" s="25">
        <v>224.53</v>
      </c>
      <c r="F744" s="25">
        <v>598020.0</v>
      </c>
    </row>
    <row r="745">
      <c r="A745" s="25">
        <v>39447.645833333336</v>
      </c>
      <c r="B745" s="25">
        <v>225.13</v>
      </c>
      <c r="C745" s="25">
        <v>225.63</v>
      </c>
      <c r="D745" s="25">
        <v>219.89</v>
      </c>
      <c r="E745" s="25">
        <v>221.24</v>
      </c>
      <c r="F745" s="25">
        <v>659118.0</v>
      </c>
    </row>
    <row r="746">
      <c r="A746" s="25">
        <v>39448.645833333336</v>
      </c>
      <c r="B746" s="25">
        <v>220.83</v>
      </c>
      <c r="C746" s="25">
        <v>222.33</v>
      </c>
      <c r="D746" s="25">
        <v>217.78</v>
      </c>
      <c r="E746" s="25">
        <v>218.36</v>
      </c>
      <c r="F746" s="25">
        <v>250203.0</v>
      </c>
    </row>
    <row r="747">
      <c r="A747" s="25">
        <v>39449.645833333336</v>
      </c>
      <c r="B747" s="25">
        <v>218.75</v>
      </c>
      <c r="C747" s="25">
        <v>219.92</v>
      </c>
      <c r="D747" s="25">
        <v>214.05</v>
      </c>
      <c r="E747" s="25">
        <v>218.54</v>
      </c>
      <c r="F747" s="25">
        <v>769382.0</v>
      </c>
    </row>
    <row r="748">
      <c r="A748" s="25">
        <v>39450.645833333336</v>
      </c>
      <c r="B748" s="25">
        <v>224.63</v>
      </c>
      <c r="C748" s="25">
        <v>224.63</v>
      </c>
      <c r="D748" s="25">
        <v>211.25</v>
      </c>
      <c r="E748" s="25">
        <v>213.63</v>
      </c>
      <c r="F748" s="25">
        <v>1553245.0</v>
      </c>
    </row>
    <row r="749">
      <c r="A749" s="25">
        <v>39451.645833333336</v>
      </c>
      <c r="B749" s="25">
        <v>218.43</v>
      </c>
      <c r="C749" s="25">
        <v>218.43</v>
      </c>
      <c r="D749" s="25">
        <v>210.0</v>
      </c>
      <c r="E749" s="25">
        <v>211.86</v>
      </c>
      <c r="F749" s="25">
        <v>770790.0</v>
      </c>
    </row>
    <row r="750">
      <c r="A750" s="25">
        <v>39454.645833333336</v>
      </c>
      <c r="B750" s="25">
        <v>208.75</v>
      </c>
      <c r="C750" s="25">
        <v>211.25</v>
      </c>
      <c r="D750" s="25">
        <v>202.88</v>
      </c>
      <c r="E750" s="25">
        <v>204.61</v>
      </c>
      <c r="F750" s="25">
        <v>1656775.0</v>
      </c>
    </row>
    <row r="751">
      <c r="A751" s="25">
        <v>39455.645833333336</v>
      </c>
      <c r="B751" s="25">
        <v>206.88</v>
      </c>
      <c r="C751" s="25">
        <v>209.99</v>
      </c>
      <c r="D751" s="25">
        <v>202.77</v>
      </c>
      <c r="E751" s="25">
        <v>207.78</v>
      </c>
      <c r="F751" s="25">
        <v>1941408.0</v>
      </c>
    </row>
    <row r="752">
      <c r="A752" s="25">
        <v>39456.645833333336</v>
      </c>
      <c r="B752" s="25">
        <v>206.88</v>
      </c>
      <c r="C752" s="25">
        <v>212.38</v>
      </c>
      <c r="D752" s="25">
        <v>205.79</v>
      </c>
      <c r="E752" s="25">
        <v>206.62</v>
      </c>
      <c r="F752" s="25">
        <v>1839335.0</v>
      </c>
    </row>
    <row r="753">
      <c r="A753" s="25">
        <v>39457.645833333336</v>
      </c>
      <c r="B753" s="25">
        <v>210.93</v>
      </c>
      <c r="C753" s="25">
        <v>211.25</v>
      </c>
      <c r="D753" s="25">
        <v>198.5</v>
      </c>
      <c r="E753" s="25">
        <v>200.32</v>
      </c>
      <c r="F753" s="25">
        <v>1937285.0</v>
      </c>
    </row>
    <row r="754">
      <c r="A754" s="25">
        <v>39458.645833333336</v>
      </c>
      <c r="B754" s="25">
        <v>212.5</v>
      </c>
      <c r="C754" s="25">
        <v>217.41</v>
      </c>
      <c r="D754" s="25">
        <v>195.63</v>
      </c>
      <c r="E754" s="25">
        <v>197.72</v>
      </c>
      <c r="F754" s="25">
        <v>2829143.0</v>
      </c>
    </row>
    <row r="755">
      <c r="A755" s="25">
        <v>39461.645833333336</v>
      </c>
      <c r="B755" s="25">
        <v>199.88</v>
      </c>
      <c r="C755" s="25">
        <v>201.25</v>
      </c>
      <c r="D755" s="25">
        <v>190.63</v>
      </c>
      <c r="E755" s="25">
        <v>191.19</v>
      </c>
      <c r="F755" s="25">
        <v>2006353.0</v>
      </c>
    </row>
    <row r="756">
      <c r="A756" s="25">
        <v>39462.645833333336</v>
      </c>
      <c r="B756" s="25">
        <v>193.0</v>
      </c>
      <c r="C756" s="25">
        <v>194.36</v>
      </c>
      <c r="D756" s="25">
        <v>187.5</v>
      </c>
      <c r="E756" s="25">
        <v>187.76</v>
      </c>
      <c r="F756" s="25">
        <v>1598278.0</v>
      </c>
    </row>
    <row r="757">
      <c r="A757" s="25">
        <v>39463.645833333336</v>
      </c>
      <c r="B757" s="25">
        <v>187.5</v>
      </c>
      <c r="C757" s="25">
        <v>189.88</v>
      </c>
      <c r="D757" s="25">
        <v>183.76</v>
      </c>
      <c r="E757" s="25">
        <v>186.91</v>
      </c>
      <c r="F757" s="25">
        <v>1390887.0</v>
      </c>
    </row>
    <row r="758">
      <c r="A758" s="25">
        <v>39464.645833333336</v>
      </c>
      <c r="B758" s="25">
        <v>187.5</v>
      </c>
      <c r="C758" s="25">
        <v>190.66</v>
      </c>
      <c r="D758" s="25">
        <v>185.63</v>
      </c>
      <c r="E758" s="25">
        <v>186.3</v>
      </c>
      <c r="F758" s="25">
        <v>1212450.0</v>
      </c>
    </row>
    <row r="759">
      <c r="A759" s="25">
        <v>39468.645833333336</v>
      </c>
      <c r="B759" s="25">
        <v>182.49</v>
      </c>
      <c r="C759" s="25">
        <v>186.25</v>
      </c>
      <c r="D759" s="25">
        <v>163.03</v>
      </c>
      <c r="E759" s="25">
        <v>173.89</v>
      </c>
      <c r="F759" s="25">
        <v>2771192.0</v>
      </c>
    </row>
    <row r="760">
      <c r="A760" s="25">
        <v>39469.645833333336</v>
      </c>
      <c r="B760" s="25">
        <v>167.5</v>
      </c>
      <c r="C760" s="25">
        <v>180.5</v>
      </c>
      <c r="D760" s="25">
        <v>156.88</v>
      </c>
      <c r="E760" s="25">
        <v>172.61</v>
      </c>
      <c r="F760" s="25">
        <v>3460069.0</v>
      </c>
    </row>
    <row r="761">
      <c r="A761" s="25">
        <v>39470.645833333336</v>
      </c>
      <c r="B761" s="25">
        <v>181.13</v>
      </c>
      <c r="C761" s="25">
        <v>182.33</v>
      </c>
      <c r="D761" s="25">
        <v>171.53</v>
      </c>
      <c r="E761" s="25">
        <v>177.75</v>
      </c>
      <c r="F761" s="25">
        <v>2228398.0</v>
      </c>
    </row>
    <row r="762">
      <c r="A762" s="25">
        <v>39471.645833333336</v>
      </c>
      <c r="B762" s="25">
        <v>181.13</v>
      </c>
      <c r="C762" s="25">
        <v>187.88</v>
      </c>
      <c r="D762" s="25">
        <v>174.38</v>
      </c>
      <c r="E762" s="25">
        <v>177.82</v>
      </c>
      <c r="F762" s="25">
        <v>1742858.0</v>
      </c>
    </row>
    <row r="763">
      <c r="A763" s="25">
        <v>39472.645833333336</v>
      </c>
      <c r="B763" s="25">
        <v>178.75</v>
      </c>
      <c r="C763" s="25">
        <v>192.35</v>
      </c>
      <c r="D763" s="25">
        <v>178.75</v>
      </c>
      <c r="E763" s="25">
        <v>189.98</v>
      </c>
      <c r="F763" s="25">
        <v>831274.0</v>
      </c>
    </row>
    <row r="764">
      <c r="A764" s="25">
        <v>39475.645833333336</v>
      </c>
      <c r="B764" s="25">
        <v>184.25</v>
      </c>
      <c r="C764" s="25">
        <v>187.5</v>
      </c>
      <c r="D764" s="25">
        <v>175.91</v>
      </c>
      <c r="E764" s="25">
        <v>180.79</v>
      </c>
      <c r="F764" s="25">
        <v>973586.0</v>
      </c>
    </row>
    <row r="765">
      <c r="A765" s="25">
        <v>39476.645833333336</v>
      </c>
      <c r="B765" s="25">
        <v>181.25</v>
      </c>
      <c r="C765" s="25">
        <v>188.72</v>
      </c>
      <c r="D765" s="25">
        <v>181.25</v>
      </c>
      <c r="E765" s="25">
        <v>186.58</v>
      </c>
      <c r="F765" s="25">
        <v>1130083.0</v>
      </c>
    </row>
    <row r="766">
      <c r="A766" s="25">
        <v>39477.645833333336</v>
      </c>
      <c r="B766" s="25">
        <v>188.88</v>
      </c>
      <c r="C766" s="25">
        <v>188.88</v>
      </c>
      <c r="D766" s="25">
        <v>184.03</v>
      </c>
      <c r="E766" s="25">
        <v>186.66</v>
      </c>
      <c r="F766" s="25">
        <v>892477.0</v>
      </c>
    </row>
    <row r="767">
      <c r="A767" s="25">
        <v>39478.645833333336</v>
      </c>
      <c r="B767" s="25">
        <v>187.0</v>
      </c>
      <c r="C767" s="25">
        <v>191.86</v>
      </c>
      <c r="D767" s="25">
        <v>183.78</v>
      </c>
      <c r="E767" s="25">
        <v>187.38</v>
      </c>
      <c r="F767" s="25">
        <v>2235662.0</v>
      </c>
    </row>
    <row r="768">
      <c r="A768" s="25">
        <v>39479.645833333336</v>
      </c>
      <c r="B768" s="25">
        <v>188.25</v>
      </c>
      <c r="C768" s="25">
        <v>201.0</v>
      </c>
      <c r="D768" s="25">
        <v>188.25</v>
      </c>
      <c r="E768" s="25">
        <v>199.33</v>
      </c>
      <c r="F768" s="25">
        <v>1392995.0</v>
      </c>
    </row>
    <row r="769">
      <c r="A769" s="25">
        <v>39482.645833333336</v>
      </c>
      <c r="B769" s="25">
        <v>204.31</v>
      </c>
      <c r="C769" s="25">
        <v>208.12</v>
      </c>
      <c r="D769" s="25">
        <v>200.63</v>
      </c>
      <c r="E769" s="25">
        <v>205.01</v>
      </c>
      <c r="F769" s="25">
        <v>1420146.0</v>
      </c>
    </row>
    <row r="770">
      <c r="A770" s="25">
        <v>39483.645833333336</v>
      </c>
      <c r="B770" s="25">
        <v>204.63</v>
      </c>
      <c r="C770" s="25">
        <v>204.63</v>
      </c>
      <c r="D770" s="25">
        <v>198.13</v>
      </c>
      <c r="E770" s="25">
        <v>201.16</v>
      </c>
      <c r="F770" s="25">
        <v>1002589.0</v>
      </c>
    </row>
    <row r="771">
      <c r="A771" s="25">
        <v>39484.645833333336</v>
      </c>
      <c r="B771" s="25">
        <v>188.13</v>
      </c>
      <c r="C771" s="25">
        <v>196.86</v>
      </c>
      <c r="D771" s="25">
        <v>187.5</v>
      </c>
      <c r="E771" s="25">
        <v>188.74</v>
      </c>
      <c r="F771" s="25">
        <v>1243002.0</v>
      </c>
    </row>
    <row r="772">
      <c r="A772" s="25">
        <v>39485.645833333336</v>
      </c>
      <c r="B772" s="25">
        <v>193.21</v>
      </c>
      <c r="C772" s="25">
        <v>193.21</v>
      </c>
      <c r="D772" s="25">
        <v>184.03</v>
      </c>
      <c r="E772" s="25">
        <v>185.29</v>
      </c>
      <c r="F772" s="25">
        <v>522450.0</v>
      </c>
    </row>
    <row r="773">
      <c r="A773" s="25">
        <v>39486.645833333336</v>
      </c>
      <c r="B773" s="25">
        <v>185.0</v>
      </c>
      <c r="C773" s="25">
        <v>197.13</v>
      </c>
      <c r="D773" s="25">
        <v>184.88</v>
      </c>
      <c r="E773" s="25">
        <v>194.04</v>
      </c>
      <c r="F773" s="25">
        <v>1647574.0</v>
      </c>
    </row>
    <row r="774">
      <c r="A774" s="25">
        <v>39489.645833333336</v>
      </c>
      <c r="B774" s="25">
        <v>193.75</v>
      </c>
      <c r="C774" s="25">
        <v>200.0</v>
      </c>
      <c r="D774" s="25">
        <v>190.03</v>
      </c>
      <c r="E774" s="25">
        <v>194.74</v>
      </c>
      <c r="F774" s="25">
        <v>1747350.0</v>
      </c>
    </row>
    <row r="775">
      <c r="A775" s="25">
        <v>39490.645833333336</v>
      </c>
      <c r="B775" s="25">
        <v>195.0</v>
      </c>
      <c r="C775" s="25">
        <v>200.0</v>
      </c>
      <c r="D775" s="25">
        <v>191.92</v>
      </c>
      <c r="E775" s="25">
        <v>193.16</v>
      </c>
      <c r="F775" s="25">
        <v>1057804.0</v>
      </c>
    </row>
    <row r="776">
      <c r="A776" s="25">
        <v>39491.645833333336</v>
      </c>
      <c r="B776" s="25">
        <v>196.25</v>
      </c>
      <c r="C776" s="25">
        <v>206.26</v>
      </c>
      <c r="D776" s="25">
        <v>187.67</v>
      </c>
      <c r="E776" s="25">
        <v>193.18</v>
      </c>
      <c r="F776" s="25">
        <v>1236746.0</v>
      </c>
    </row>
    <row r="777">
      <c r="A777" s="25">
        <v>39492.645833333336</v>
      </c>
      <c r="B777" s="25">
        <v>190.69</v>
      </c>
      <c r="C777" s="25">
        <v>199.93</v>
      </c>
      <c r="D777" s="25">
        <v>190.69</v>
      </c>
      <c r="E777" s="25">
        <v>193.34</v>
      </c>
      <c r="F777" s="25">
        <v>1468743.0</v>
      </c>
    </row>
    <row r="778">
      <c r="A778" s="25">
        <v>39493.645833333336</v>
      </c>
      <c r="B778" s="25">
        <v>192.5</v>
      </c>
      <c r="C778" s="25">
        <v>197.5</v>
      </c>
      <c r="D778" s="25">
        <v>187.63</v>
      </c>
      <c r="E778" s="25">
        <v>195.68</v>
      </c>
      <c r="F778" s="25">
        <v>1119032.0</v>
      </c>
    </row>
    <row r="779">
      <c r="A779" s="25">
        <v>39496.645833333336</v>
      </c>
      <c r="B779" s="25">
        <v>196.25</v>
      </c>
      <c r="C779" s="25">
        <v>197.38</v>
      </c>
      <c r="D779" s="25">
        <v>192.53</v>
      </c>
      <c r="E779" s="25">
        <v>194.39</v>
      </c>
      <c r="F779" s="25">
        <v>408272.0</v>
      </c>
    </row>
    <row r="780">
      <c r="A780" s="25">
        <v>39497.645833333336</v>
      </c>
      <c r="B780" s="25">
        <v>195.0</v>
      </c>
      <c r="C780" s="25">
        <v>196.91</v>
      </c>
      <c r="D780" s="25">
        <v>190.81</v>
      </c>
      <c r="E780" s="25">
        <v>194.56</v>
      </c>
      <c r="F780" s="25">
        <v>669549.0</v>
      </c>
    </row>
    <row r="781">
      <c r="A781" s="25">
        <v>39498.645833333336</v>
      </c>
      <c r="B781" s="25">
        <v>196.38</v>
      </c>
      <c r="C781" s="25">
        <v>198.73</v>
      </c>
      <c r="D781" s="25">
        <v>194.56</v>
      </c>
      <c r="E781" s="25">
        <v>196.11</v>
      </c>
      <c r="F781" s="25">
        <v>875363.0</v>
      </c>
    </row>
    <row r="782">
      <c r="A782" s="25">
        <v>39499.645833333336</v>
      </c>
      <c r="B782" s="25">
        <v>199.99</v>
      </c>
      <c r="C782" s="25">
        <v>206.25</v>
      </c>
      <c r="D782" s="25">
        <v>196.54</v>
      </c>
      <c r="E782" s="25">
        <v>203.44</v>
      </c>
      <c r="F782" s="25">
        <v>1295846.0</v>
      </c>
    </row>
    <row r="783">
      <c r="A783" s="25">
        <v>39500.645833333336</v>
      </c>
      <c r="B783" s="25">
        <v>201.5</v>
      </c>
      <c r="C783" s="25">
        <v>202.85</v>
      </c>
      <c r="D783" s="25">
        <v>196.44</v>
      </c>
      <c r="E783" s="25">
        <v>197.58</v>
      </c>
      <c r="F783" s="25">
        <v>621313.0</v>
      </c>
    </row>
    <row r="784">
      <c r="A784" s="25">
        <v>39503.645833333336</v>
      </c>
      <c r="B784" s="25">
        <v>199.85</v>
      </c>
      <c r="C784" s="25">
        <v>202.98</v>
      </c>
      <c r="D784" s="25">
        <v>197.88</v>
      </c>
      <c r="E784" s="25">
        <v>201.89</v>
      </c>
      <c r="F784" s="25">
        <v>949056.0</v>
      </c>
    </row>
    <row r="785">
      <c r="A785" s="25">
        <v>39504.645833333336</v>
      </c>
      <c r="B785" s="25">
        <v>202.38</v>
      </c>
      <c r="C785" s="25">
        <v>209.0</v>
      </c>
      <c r="D785" s="25">
        <v>201.25</v>
      </c>
      <c r="E785" s="25">
        <v>207.86</v>
      </c>
      <c r="F785" s="25">
        <v>1050338.0</v>
      </c>
    </row>
    <row r="786">
      <c r="A786" s="25">
        <v>39505.645833333336</v>
      </c>
      <c r="B786" s="25">
        <v>208.13</v>
      </c>
      <c r="C786" s="25">
        <v>210.93</v>
      </c>
      <c r="D786" s="25">
        <v>201.89</v>
      </c>
      <c r="E786" s="25">
        <v>202.36</v>
      </c>
      <c r="F786" s="25">
        <v>1054095.0</v>
      </c>
    </row>
    <row r="787">
      <c r="A787" s="25">
        <v>39506.645833333336</v>
      </c>
      <c r="B787" s="25">
        <v>201.13</v>
      </c>
      <c r="C787" s="25">
        <v>202.5</v>
      </c>
      <c r="D787" s="25">
        <v>199.02</v>
      </c>
      <c r="E787" s="25">
        <v>199.92</v>
      </c>
      <c r="F787" s="25">
        <v>1463254.0</v>
      </c>
    </row>
    <row r="788">
      <c r="A788" s="25">
        <v>39507.645833333336</v>
      </c>
      <c r="B788" s="25">
        <v>196.25</v>
      </c>
      <c r="C788" s="25">
        <v>200.24</v>
      </c>
      <c r="D788" s="25">
        <v>190.13</v>
      </c>
      <c r="E788" s="25">
        <v>193.53</v>
      </c>
      <c r="F788" s="25">
        <v>993136.0</v>
      </c>
    </row>
    <row r="789">
      <c r="A789" s="25">
        <v>39510.645833333336</v>
      </c>
      <c r="B789" s="25">
        <v>192.63</v>
      </c>
      <c r="C789" s="25">
        <v>192.63</v>
      </c>
      <c r="D789" s="25">
        <v>181.25</v>
      </c>
      <c r="E789" s="25">
        <v>183.49</v>
      </c>
      <c r="F789" s="25">
        <v>1545592.0</v>
      </c>
    </row>
    <row r="790">
      <c r="A790" s="25">
        <v>39511.645833333336</v>
      </c>
      <c r="B790" s="25">
        <v>190.51</v>
      </c>
      <c r="C790" s="25">
        <v>190.51</v>
      </c>
      <c r="D790" s="25">
        <v>176.25</v>
      </c>
      <c r="E790" s="25">
        <v>177.38</v>
      </c>
      <c r="F790" s="25">
        <v>1349870.0</v>
      </c>
    </row>
    <row r="791">
      <c r="A791" s="25">
        <v>39512.645833333336</v>
      </c>
      <c r="B791" s="25">
        <v>178.13</v>
      </c>
      <c r="C791" s="25">
        <v>187.5</v>
      </c>
      <c r="D791" s="25">
        <v>175.63</v>
      </c>
      <c r="E791" s="25">
        <v>184.85</v>
      </c>
      <c r="F791" s="25">
        <v>1424587.0</v>
      </c>
    </row>
    <row r="792">
      <c r="A792" s="25">
        <v>39514.645833333336</v>
      </c>
      <c r="B792" s="25">
        <v>181.25</v>
      </c>
      <c r="C792" s="25">
        <v>181.25</v>
      </c>
      <c r="D792" s="25">
        <v>175.04</v>
      </c>
      <c r="E792" s="25">
        <v>178.82</v>
      </c>
      <c r="F792" s="25">
        <v>1145585.0</v>
      </c>
    </row>
    <row r="793">
      <c r="A793" s="25">
        <v>39517.645833333336</v>
      </c>
      <c r="B793" s="25">
        <v>176.75</v>
      </c>
      <c r="C793" s="25">
        <v>184.83</v>
      </c>
      <c r="D793" s="25">
        <v>175.0</v>
      </c>
      <c r="E793" s="25">
        <v>178.89</v>
      </c>
      <c r="F793" s="25">
        <v>707142.0</v>
      </c>
    </row>
    <row r="794">
      <c r="A794" s="25">
        <v>39518.645833333336</v>
      </c>
      <c r="B794" s="25">
        <v>179.88</v>
      </c>
      <c r="C794" s="25">
        <v>179.88</v>
      </c>
      <c r="D794" s="25">
        <v>175.63</v>
      </c>
      <c r="E794" s="25">
        <v>178.29</v>
      </c>
      <c r="F794" s="25">
        <v>2005428.0</v>
      </c>
    </row>
    <row r="795">
      <c r="A795" s="25">
        <v>39519.645833333336</v>
      </c>
      <c r="B795" s="25">
        <v>184.25</v>
      </c>
      <c r="C795" s="25">
        <v>184.38</v>
      </c>
      <c r="D795" s="25">
        <v>172.0</v>
      </c>
      <c r="E795" s="25">
        <v>173.14</v>
      </c>
      <c r="F795" s="25">
        <v>1703273.0</v>
      </c>
    </row>
    <row r="796">
      <c r="A796" s="25">
        <v>39520.645833333336</v>
      </c>
      <c r="B796" s="25">
        <v>172.5</v>
      </c>
      <c r="C796" s="25">
        <v>173.1</v>
      </c>
      <c r="D796" s="25">
        <v>163.88</v>
      </c>
      <c r="E796" s="25">
        <v>167.21</v>
      </c>
      <c r="F796" s="25">
        <v>985186.0</v>
      </c>
    </row>
    <row r="797">
      <c r="A797" s="25">
        <v>39521.645833333336</v>
      </c>
      <c r="B797" s="25">
        <v>166.88</v>
      </c>
      <c r="C797" s="25">
        <v>173.63</v>
      </c>
      <c r="D797" s="25">
        <v>166.25</v>
      </c>
      <c r="E797" s="25">
        <v>171.28</v>
      </c>
      <c r="F797" s="25">
        <v>1202846.0</v>
      </c>
    </row>
    <row r="798">
      <c r="A798" s="25">
        <v>39524.645833333336</v>
      </c>
      <c r="B798" s="25">
        <v>168.5</v>
      </c>
      <c r="C798" s="25">
        <v>169.29</v>
      </c>
      <c r="D798" s="25">
        <v>163.88</v>
      </c>
      <c r="E798" s="25">
        <v>167.23</v>
      </c>
      <c r="F798" s="25">
        <v>729010.0</v>
      </c>
    </row>
    <row r="799">
      <c r="A799" s="25">
        <v>39525.645833333336</v>
      </c>
      <c r="B799" s="25">
        <v>167.5</v>
      </c>
      <c r="C799" s="25">
        <v>170.13</v>
      </c>
      <c r="D799" s="25">
        <v>162.5</v>
      </c>
      <c r="E799" s="25">
        <v>164.33</v>
      </c>
      <c r="F799" s="25">
        <v>1841428.0</v>
      </c>
    </row>
    <row r="800">
      <c r="A800" s="25">
        <v>39526.645833333336</v>
      </c>
      <c r="B800" s="25">
        <v>168.74</v>
      </c>
      <c r="C800" s="25">
        <v>171.63</v>
      </c>
      <c r="D800" s="25">
        <v>164.5</v>
      </c>
      <c r="E800" s="25">
        <v>167.96</v>
      </c>
      <c r="F800" s="25">
        <v>1954652.0</v>
      </c>
    </row>
    <row r="801">
      <c r="A801" s="25">
        <v>39531.645833333336</v>
      </c>
      <c r="B801" s="25">
        <v>169.66</v>
      </c>
      <c r="C801" s="25">
        <v>173.5</v>
      </c>
      <c r="D801" s="25">
        <v>167.9</v>
      </c>
      <c r="E801" s="25">
        <v>170.06</v>
      </c>
      <c r="F801" s="25">
        <v>1699501.0</v>
      </c>
    </row>
    <row r="802">
      <c r="A802" s="25">
        <v>39532.645833333336</v>
      </c>
      <c r="B802" s="25">
        <v>175.21</v>
      </c>
      <c r="C802" s="25">
        <v>193.36</v>
      </c>
      <c r="D802" s="25">
        <v>173.75</v>
      </c>
      <c r="E802" s="25">
        <v>186.54</v>
      </c>
      <c r="F802" s="25">
        <v>2842385.0</v>
      </c>
    </row>
    <row r="803">
      <c r="A803" s="25">
        <v>39533.645833333336</v>
      </c>
      <c r="B803" s="25">
        <v>188.13</v>
      </c>
      <c r="C803" s="25">
        <v>189.73</v>
      </c>
      <c r="D803" s="25">
        <v>181.39</v>
      </c>
      <c r="E803" s="25">
        <v>187.44</v>
      </c>
      <c r="F803" s="25">
        <v>1477398.0</v>
      </c>
    </row>
    <row r="804">
      <c r="A804" s="25">
        <v>39534.645833333336</v>
      </c>
      <c r="B804" s="25">
        <v>186.26</v>
      </c>
      <c r="C804" s="25">
        <v>186.26</v>
      </c>
      <c r="D804" s="25">
        <v>178.26</v>
      </c>
      <c r="E804" s="25">
        <v>180.22</v>
      </c>
      <c r="F804" s="25">
        <v>2086563.0</v>
      </c>
    </row>
    <row r="805">
      <c r="A805" s="25">
        <v>39535.645833333336</v>
      </c>
      <c r="B805" s="25">
        <v>179.0</v>
      </c>
      <c r="C805" s="25">
        <v>192.34</v>
      </c>
      <c r="D805" s="25">
        <v>177.5</v>
      </c>
      <c r="E805" s="25">
        <v>190.15</v>
      </c>
      <c r="F805" s="25">
        <v>1478736.0</v>
      </c>
    </row>
    <row r="806">
      <c r="A806" s="25">
        <v>39538.645833333336</v>
      </c>
      <c r="B806" s="25">
        <v>185.25</v>
      </c>
      <c r="C806" s="25">
        <v>187.5</v>
      </c>
      <c r="D806" s="25">
        <v>175.51</v>
      </c>
      <c r="E806" s="25">
        <v>179.99</v>
      </c>
      <c r="F806" s="25">
        <v>2524790.0</v>
      </c>
    </row>
    <row r="807">
      <c r="A807" s="25">
        <v>39539.645833333336</v>
      </c>
      <c r="B807" s="25">
        <v>180.64</v>
      </c>
      <c r="C807" s="25">
        <v>183.0</v>
      </c>
      <c r="D807" s="25">
        <v>176.28</v>
      </c>
      <c r="E807" s="25">
        <v>177.88</v>
      </c>
      <c r="F807" s="25">
        <v>786151.0</v>
      </c>
    </row>
    <row r="808">
      <c r="A808" s="25">
        <v>39540.645833333336</v>
      </c>
      <c r="B808" s="25">
        <v>184.38</v>
      </c>
      <c r="C808" s="25">
        <v>187.38</v>
      </c>
      <c r="D808" s="25">
        <v>183.13</v>
      </c>
      <c r="E808" s="25">
        <v>185.35</v>
      </c>
      <c r="F808" s="25">
        <v>1394010.0</v>
      </c>
    </row>
    <row r="809">
      <c r="A809" s="25">
        <v>39541.645833333336</v>
      </c>
      <c r="B809" s="25">
        <v>183.76</v>
      </c>
      <c r="C809" s="25">
        <v>191.25</v>
      </c>
      <c r="D809" s="25">
        <v>183.76</v>
      </c>
      <c r="E809" s="25">
        <v>190.31</v>
      </c>
      <c r="F809" s="25">
        <v>1222270.0</v>
      </c>
    </row>
    <row r="810">
      <c r="A810" s="25">
        <v>39542.645833333336</v>
      </c>
      <c r="B810" s="25">
        <v>183.88</v>
      </c>
      <c r="C810" s="25">
        <v>190.88</v>
      </c>
      <c r="D810" s="25">
        <v>179.0</v>
      </c>
      <c r="E810" s="25">
        <v>185.68</v>
      </c>
      <c r="F810" s="25">
        <v>1003504.0</v>
      </c>
    </row>
    <row r="811">
      <c r="A811" s="25">
        <v>39545.645833333336</v>
      </c>
      <c r="B811" s="25">
        <v>187.38</v>
      </c>
      <c r="C811" s="25">
        <v>191.05</v>
      </c>
      <c r="D811" s="25">
        <v>184.53</v>
      </c>
      <c r="E811" s="25">
        <v>186.51</v>
      </c>
      <c r="F811" s="25">
        <v>2012148.0</v>
      </c>
    </row>
    <row r="812">
      <c r="A812" s="25">
        <v>39546.645833333336</v>
      </c>
      <c r="B812" s="25">
        <v>186.5</v>
      </c>
      <c r="C812" s="25">
        <v>186.88</v>
      </c>
      <c r="D812" s="25">
        <v>181.53</v>
      </c>
      <c r="E812" s="25">
        <v>183.37</v>
      </c>
      <c r="F812" s="25">
        <v>1548206.0</v>
      </c>
    </row>
    <row r="813">
      <c r="A813" s="25">
        <v>39547.645833333336</v>
      </c>
      <c r="B813" s="25">
        <v>183.37</v>
      </c>
      <c r="C813" s="25">
        <v>186.0</v>
      </c>
      <c r="D813" s="25">
        <v>181.38</v>
      </c>
      <c r="E813" s="25">
        <v>184.99</v>
      </c>
      <c r="F813" s="25">
        <v>1128569.0</v>
      </c>
    </row>
    <row r="814">
      <c r="A814" s="25">
        <v>39548.645833333336</v>
      </c>
      <c r="B814" s="25">
        <v>183.13</v>
      </c>
      <c r="C814" s="25">
        <v>188.74</v>
      </c>
      <c r="D814" s="25">
        <v>180.38</v>
      </c>
      <c r="E814" s="25">
        <v>181.58</v>
      </c>
      <c r="F814" s="25">
        <v>2141258.0</v>
      </c>
    </row>
    <row r="815">
      <c r="A815" s="25">
        <v>39549.645833333336</v>
      </c>
      <c r="B815" s="25">
        <v>183.75</v>
      </c>
      <c r="C815" s="25">
        <v>185.0</v>
      </c>
      <c r="D815" s="25">
        <v>176.63</v>
      </c>
      <c r="E815" s="25">
        <v>177.74</v>
      </c>
      <c r="F815" s="25">
        <v>3016789.0</v>
      </c>
    </row>
    <row r="816">
      <c r="A816" s="25">
        <v>39553.645833333336</v>
      </c>
      <c r="B816" s="25">
        <v>180.0</v>
      </c>
      <c r="C816" s="25">
        <v>190.63</v>
      </c>
      <c r="D816" s="25">
        <v>177.5</v>
      </c>
      <c r="E816" s="25">
        <v>188.8</v>
      </c>
      <c r="F816" s="25">
        <v>4550317.0</v>
      </c>
    </row>
    <row r="817">
      <c r="A817" s="25">
        <v>39554.645833333336</v>
      </c>
      <c r="B817" s="25">
        <v>190.63</v>
      </c>
      <c r="C817" s="25">
        <v>201.88</v>
      </c>
      <c r="D817" s="25">
        <v>190.0</v>
      </c>
      <c r="E817" s="25">
        <v>200.03</v>
      </c>
      <c r="F817" s="25">
        <v>3826451.0</v>
      </c>
    </row>
    <row r="818">
      <c r="A818" s="25">
        <v>39555.645833333336</v>
      </c>
      <c r="B818" s="25">
        <v>203.74</v>
      </c>
      <c r="C818" s="25">
        <v>211.25</v>
      </c>
      <c r="D818" s="25">
        <v>202.5</v>
      </c>
      <c r="E818" s="25">
        <v>207.39</v>
      </c>
      <c r="F818" s="25">
        <v>4614910.0</v>
      </c>
    </row>
    <row r="819">
      <c r="A819" s="25">
        <v>39559.645833333336</v>
      </c>
      <c r="B819" s="25">
        <v>209.88</v>
      </c>
      <c r="C819" s="25">
        <v>214.63</v>
      </c>
      <c r="D819" s="25">
        <v>203.5</v>
      </c>
      <c r="E819" s="25">
        <v>205.73</v>
      </c>
      <c r="F819" s="25">
        <v>1852749.0</v>
      </c>
    </row>
    <row r="820">
      <c r="A820" s="25">
        <v>39560.645833333336</v>
      </c>
      <c r="B820" s="25">
        <v>203.75</v>
      </c>
      <c r="C820" s="25">
        <v>205.64</v>
      </c>
      <c r="D820" s="25">
        <v>197.5</v>
      </c>
      <c r="E820" s="25">
        <v>199.83</v>
      </c>
      <c r="F820" s="25">
        <v>2099681.0</v>
      </c>
    </row>
    <row r="821">
      <c r="A821" s="25">
        <v>39561.645833333336</v>
      </c>
      <c r="B821" s="25">
        <v>200.0</v>
      </c>
      <c r="C821" s="25">
        <v>206.64</v>
      </c>
      <c r="D821" s="25">
        <v>199.64</v>
      </c>
      <c r="E821" s="25">
        <v>205.99</v>
      </c>
      <c r="F821" s="25">
        <v>2079013.0</v>
      </c>
    </row>
    <row r="822">
      <c r="A822" s="25">
        <v>39562.645833333336</v>
      </c>
      <c r="B822" s="25">
        <v>206.25</v>
      </c>
      <c r="C822" s="25">
        <v>213.49</v>
      </c>
      <c r="D822" s="25">
        <v>204.13</v>
      </c>
      <c r="E822" s="25">
        <v>212.01</v>
      </c>
      <c r="F822" s="25">
        <v>2293319.0</v>
      </c>
    </row>
    <row r="823">
      <c r="A823" s="25">
        <v>39563.645833333336</v>
      </c>
      <c r="B823" s="25">
        <v>212.49</v>
      </c>
      <c r="C823" s="25">
        <v>214.45</v>
      </c>
      <c r="D823" s="25">
        <v>206.38</v>
      </c>
      <c r="E823" s="25">
        <v>210.54</v>
      </c>
      <c r="F823" s="25">
        <v>1986998.0</v>
      </c>
    </row>
    <row r="824">
      <c r="A824" s="25">
        <v>39566.645833333336</v>
      </c>
      <c r="B824" s="25">
        <v>211.25</v>
      </c>
      <c r="C824" s="25">
        <v>212.5</v>
      </c>
      <c r="D824" s="25">
        <v>206.39</v>
      </c>
      <c r="E824" s="25">
        <v>207.96</v>
      </c>
      <c r="F824" s="25">
        <v>1078732.0</v>
      </c>
    </row>
    <row r="825">
      <c r="A825" s="25">
        <v>39567.645833333336</v>
      </c>
      <c r="B825" s="25">
        <v>206.25</v>
      </c>
      <c r="C825" s="25">
        <v>220.24</v>
      </c>
      <c r="D825" s="25">
        <v>205.14</v>
      </c>
      <c r="E825" s="25">
        <v>218.69</v>
      </c>
      <c r="F825" s="25">
        <v>4245846.0</v>
      </c>
    </row>
    <row r="826">
      <c r="A826" s="25">
        <v>39568.645833333336</v>
      </c>
      <c r="B826" s="25">
        <v>220.0</v>
      </c>
      <c r="C826" s="25">
        <v>226.25</v>
      </c>
      <c r="D826" s="25">
        <v>216.26</v>
      </c>
      <c r="E826" s="25">
        <v>219.14</v>
      </c>
      <c r="F826" s="25">
        <v>2624917.0</v>
      </c>
    </row>
    <row r="827">
      <c r="A827" s="25">
        <v>39570.645833333336</v>
      </c>
      <c r="B827" s="25">
        <v>221.88</v>
      </c>
      <c r="C827" s="25">
        <v>224.63</v>
      </c>
      <c r="D827" s="25">
        <v>221.04</v>
      </c>
      <c r="E827" s="25">
        <v>223.43</v>
      </c>
      <c r="F827" s="25">
        <v>2168626.0</v>
      </c>
    </row>
    <row r="828">
      <c r="A828" s="25">
        <v>39573.645833333336</v>
      </c>
      <c r="B828" s="25">
        <v>223.38</v>
      </c>
      <c r="C828" s="25">
        <v>226.25</v>
      </c>
      <c r="D828" s="25">
        <v>220.52</v>
      </c>
      <c r="E828" s="25">
        <v>223.24</v>
      </c>
      <c r="F828" s="25">
        <v>1224035.0</v>
      </c>
    </row>
    <row r="829">
      <c r="A829" s="25">
        <v>39574.645833333336</v>
      </c>
      <c r="B829" s="25">
        <v>220.7</v>
      </c>
      <c r="C829" s="25">
        <v>231.25</v>
      </c>
      <c r="D829" s="25">
        <v>217.0</v>
      </c>
      <c r="E829" s="25">
        <v>225.93</v>
      </c>
      <c r="F829" s="25">
        <v>2222832.0</v>
      </c>
    </row>
    <row r="830">
      <c r="A830" s="25">
        <v>39575.645833333336</v>
      </c>
      <c r="B830" s="25">
        <v>229.61</v>
      </c>
      <c r="C830" s="25">
        <v>232.38</v>
      </c>
      <c r="D830" s="25">
        <v>227.33</v>
      </c>
      <c r="E830" s="25">
        <v>230.52</v>
      </c>
      <c r="F830" s="25">
        <v>2760656.0</v>
      </c>
    </row>
    <row r="831">
      <c r="A831" s="25">
        <v>39576.645833333336</v>
      </c>
      <c r="B831" s="25">
        <v>225.63</v>
      </c>
      <c r="C831" s="25">
        <v>229.38</v>
      </c>
      <c r="D831" s="25">
        <v>218.18</v>
      </c>
      <c r="E831" s="25">
        <v>223.08</v>
      </c>
      <c r="F831" s="25">
        <v>1942209.0</v>
      </c>
    </row>
    <row r="832">
      <c r="A832" s="25">
        <v>39577.645833333336</v>
      </c>
      <c r="B832" s="25">
        <v>222.63</v>
      </c>
      <c r="C832" s="25">
        <v>223.93</v>
      </c>
      <c r="D832" s="25">
        <v>217.13</v>
      </c>
      <c r="E832" s="25">
        <v>218.67</v>
      </c>
      <c r="F832" s="25">
        <v>1801600.0</v>
      </c>
    </row>
    <row r="833">
      <c r="A833" s="25">
        <v>39580.645833333336</v>
      </c>
      <c r="B833" s="25">
        <v>221.18</v>
      </c>
      <c r="C833" s="25">
        <v>224.88</v>
      </c>
      <c r="D833" s="25">
        <v>211.92</v>
      </c>
      <c r="E833" s="25">
        <v>221.68</v>
      </c>
      <c r="F833" s="25">
        <v>2037730.0</v>
      </c>
    </row>
    <row r="834">
      <c r="A834" s="25">
        <v>39581.645833333336</v>
      </c>
      <c r="B834" s="25">
        <v>223.13</v>
      </c>
      <c r="C834" s="25">
        <v>226.86</v>
      </c>
      <c r="D834" s="25">
        <v>214.38</v>
      </c>
      <c r="E834" s="25">
        <v>218.59</v>
      </c>
      <c r="F834" s="25">
        <v>2256197.0</v>
      </c>
    </row>
    <row r="835">
      <c r="A835" s="25">
        <v>39582.645833333336</v>
      </c>
      <c r="B835" s="25">
        <v>217.5</v>
      </c>
      <c r="C835" s="25">
        <v>229.38</v>
      </c>
      <c r="D835" s="25">
        <v>217.5</v>
      </c>
      <c r="E835" s="25">
        <v>228.11</v>
      </c>
      <c r="F835" s="25">
        <v>2027864.0</v>
      </c>
    </row>
    <row r="836">
      <c r="A836" s="25">
        <v>39583.645833333336</v>
      </c>
      <c r="B836" s="25">
        <v>228.0</v>
      </c>
      <c r="C836" s="25">
        <v>238.56</v>
      </c>
      <c r="D836" s="25">
        <v>228.0</v>
      </c>
      <c r="E836" s="25">
        <v>236.64</v>
      </c>
      <c r="F836" s="25">
        <v>3622804.0</v>
      </c>
    </row>
    <row r="837">
      <c r="A837" s="25">
        <v>39584.645833333336</v>
      </c>
      <c r="B837" s="25">
        <v>237.13</v>
      </c>
      <c r="C837" s="25">
        <v>239.41</v>
      </c>
      <c r="D837" s="25">
        <v>232.51</v>
      </c>
      <c r="E837" s="25">
        <v>233.93</v>
      </c>
      <c r="F837" s="25">
        <v>2108093.0</v>
      </c>
    </row>
    <row r="838">
      <c r="A838" s="25">
        <v>39588.645833333336</v>
      </c>
      <c r="B838" s="25">
        <v>233.13</v>
      </c>
      <c r="C838" s="25">
        <v>239.13</v>
      </c>
      <c r="D838" s="25">
        <v>226.88</v>
      </c>
      <c r="E838" s="25">
        <v>235.96</v>
      </c>
      <c r="F838" s="25">
        <v>1746160.0</v>
      </c>
    </row>
    <row r="839">
      <c r="A839" s="25">
        <v>39589.645833333336</v>
      </c>
      <c r="B839" s="25">
        <v>234.25</v>
      </c>
      <c r="C839" s="25">
        <v>235.5</v>
      </c>
      <c r="D839" s="25">
        <v>231.75</v>
      </c>
      <c r="E839" s="25">
        <v>233.83</v>
      </c>
      <c r="F839" s="25">
        <v>1069923.0</v>
      </c>
    </row>
    <row r="840">
      <c r="A840" s="25">
        <v>39590.645833333336</v>
      </c>
      <c r="B840" s="25">
        <v>232.5</v>
      </c>
      <c r="C840" s="25">
        <v>237.38</v>
      </c>
      <c r="D840" s="25">
        <v>230.88</v>
      </c>
      <c r="E840" s="25">
        <v>232.96</v>
      </c>
      <c r="F840" s="25">
        <v>1534739.0</v>
      </c>
    </row>
    <row r="841">
      <c r="A841" s="25">
        <v>39591.645833333336</v>
      </c>
      <c r="B841" s="25">
        <v>232.96</v>
      </c>
      <c r="C841" s="25">
        <v>235.5</v>
      </c>
      <c r="D841" s="25">
        <v>227.04</v>
      </c>
      <c r="E841" s="25">
        <v>228.59</v>
      </c>
      <c r="F841" s="25">
        <v>1462271.0</v>
      </c>
    </row>
    <row r="842">
      <c r="A842" s="25">
        <v>39594.645833333336</v>
      </c>
      <c r="B842" s="25">
        <v>226.25</v>
      </c>
      <c r="C842" s="25">
        <v>236.88</v>
      </c>
      <c r="D842" s="25">
        <v>223.88</v>
      </c>
      <c r="E842" s="25">
        <v>235.63</v>
      </c>
      <c r="F842" s="25">
        <v>2674644.0</v>
      </c>
    </row>
    <row r="843">
      <c r="A843" s="25">
        <v>39595.645833333336</v>
      </c>
      <c r="B843" s="25">
        <v>236.25</v>
      </c>
      <c r="C843" s="25">
        <v>237.38</v>
      </c>
      <c r="D843" s="25">
        <v>233.25</v>
      </c>
      <c r="E843" s="25">
        <v>235.39</v>
      </c>
      <c r="F843" s="25">
        <v>1290445.0</v>
      </c>
    </row>
    <row r="844">
      <c r="A844" s="25">
        <v>39596.645833333336</v>
      </c>
      <c r="B844" s="25">
        <v>235.38</v>
      </c>
      <c r="C844" s="25">
        <v>240.0</v>
      </c>
      <c r="D844" s="25">
        <v>234.56</v>
      </c>
      <c r="E844" s="25">
        <v>238.95</v>
      </c>
      <c r="F844" s="25">
        <v>1928601.0</v>
      </c>
    </row>
    <row r="845">
      <c r="A845" s="25">
        <v>39597.645833333336</v>
      </c>
      <c r="B845" s="25">
        <v>238.13</v>
      </c>
      <c r="C845" s="25">
        <v>238.56</v>
      </c>
      <c r="D845" s="25">
        <v>232.07</v>
      </c>
      <c r="E845" s="25">
        <v>235.68</v>
      </c>
      <c r="F845" s="25">
        <v>1987314.0</v>
      </c>
    </row>
    <row r="846">
      <c r="A846" s="25">
        <v>39598.645833333336</v>
      </c>
      <c r="B846" s="25">
        <v>236.25</v>
      </c>
      <c r="C846" s="25">
        <v>247.25</v>
      </c>
      <c r="D846" s="25">
        <v>233.13</v>
      </c>
      <c r="E846" s="25">
        <v>245.35</v>
      </c>
      <c r="F846" s="25">
        <v>3451866.0</v>
      </c>
    </row>
    <row r="847">
      <c r="A847" s="25">
        <v>39601.645833333336</v>
      </c>
      <c r="B847" s="25">
        <v>247.5</v>
      </c>
      <c r="C847" s="25">
        <v>253.75</v>
      </c>
      <c r="D847" s="25">
        <v>242.56</v>
      </c>
      <c r="E847" s="25">
        <v>243.85</v>
      </c>
      <c r="F847" s="25">
        <v>2081428.0</v>
      </c>
    </row>
    <row r="848">
      <c r="A848" s="25">
        <v>39602.645833333336</v>
      </c>
      <c r="B848" s="25">
        <v>240.63</v>
      </c>
      <c r="C848" s="25">
        <v>243.78</v>
      </c>
      <c r="D848" s="25">
        <v>235.13</v>
      </c>
      <c r="E848" s="25">
        <v>240.28</v>
      </c>
      <c r="F848" s="25">
        <v>1948540.0</v>
      </c>
    </row>
    <row r="849">
      <c r="A849" s="25">
        <v>39603.645833333336</v>
      </c>
      <c r="B849" s="25">
        <v>240.0</v>
      </c>
      <c r="C849" s="25">
        <v>240.0</v>
      </c>
      <c r="D849" s="25">
        <v>231.64</v>
      </c>
      <c r="E849" s="25">
        <v>233.84</v>
      </c>
      <c r="F849" s="25">
        <v>1602354.0</v>
      </c>
    </row>
    <row r="850">
      <c r="A850" s="25">
        <v>39604.645833333336</v>
      </c>
      <c r="B850" s="25">
        <v>235.96</v>
      </c>
      <c r="C850" s="25">
        <v>248.38</v>
      </c>
      <c r="D850" s="25">
        <v>233.75</v>
      </c>
      <c r="E850" s="25">
        <v>247.44</v>
      </c>
      <c r="F850" s="25">
        <v>2393102.0</v>
      </c>
    </row>
    <row r="851">
      <c r="A851" s="25">
        <v>39605.645833333336</v>
      </c>
      <c r="B851" s="25">
        <v>250.0</v>
      </c>
      <c r="C851" s="25">
        <v>255.81</v>
      </c>
      <c r="D851" s="25">
        <v>247.58</v>
      </c>
      <c r="E851" s="25">
        <v>249.19</v>
      </c>
      <c r="F851" s="25">
        <v>1852033.0</v>
      </c>
    </row>
    <row r="852">
      <c r="A852" s="25">
        <v>39608.645833333336</v>
      </c>
      <c r="B852" s="25">
        <v>242.63</v>
      </c>
      <c r="C852" s="25">
        <v>246.25</v>
      </c>
      <c r="D852" s="25">
        <v>235.83</v>
      </c>
      <c r="E852" s="25">
        <v>237.69</v>
      </c>
      <c r="F852" s="25">
        <v>1753294.0</v>
      </c>
    </row>
    <row r="853">
      <c r="A853" s="25">
        <v>39609.645833333336</v>
      </c>
      <c r="B853" s="25">
        <v>236.25</v>
      </c>
      <c r="C853" s="25">
        <v>240.0</v>
      </c>
      <c r="D853" s="25">
        <v>224.56</v>
      </c>
      <c r="E853" s="25">
        <v>231.76</v>
      </c>
      <c r="F853" s="25">
        <v>2923784.0</v>
      </c>
    </row>
    <row r="854">
      <c r="A854" s="25">
        <v>39610.645833333336</v>
      </c>
      <c r="B854" s="25">
        <v>235.63</v>
      </c>
      <c r="C854" s="25">
        <v>238.0</v>
      </c>
      <c r="D854" s="25">
        <v>232.78</v>
      </c>
      <c r="E854" s="25">
        <v>236.61</v>
      </c>
      <c r="F854" s="25">
        <v>1202466.0</v>
      </c>
    </row>
    <row r="855">
      <c r="A855" s="25">
        <v>39611.645833333336</v>
      </c>
      <c r="B855" s="25">
        <v>229.51</v>
      </c>
      <c r="C855" s="25">
        <v>235.75</v>
      </c>
      <c r="D855" s="25">
        <v>228.89</v>
      </c>
      <c r="E855" s="25">
        <v>234.36</v>
      </c>
      <c r="F855" s="25">
        <v>1550053.0</v>
      </c>
    </row>
    <row r="856">
      <c r="A856" s="25">
        <v>39612.645833333336</v>
      </c>
      <c r="B856" s="25">
        <v>236.38</v>
      </c>
      <c r="C856" s="25">
        <v>239.36</v>
      </c>
      <c r="D856" s="25">
        <v>231.89</v>
      </c>
      <c r="E856" s="25">
        <v>233.33</v>
      </c>
      <c r="F856" s="25">
        <v>1284986.0</v>
      </c>
    </row>
    <row r="857">
      <c r="A857" s="25">
        <v>39615.645833333336</v>
      </c>
      <c r="B857" s="25">
        <v>236.99</v>
      </c>
      <c r="C857" s="25">
        <v>242.5</v>
      </c>
      <c r="D857" s="25">
        <v>235.0</v>
      </c>
      <c r="E857" s="25">
        <v>238.48</v>
      </c>
      <c r="F857" s="25">
        <v>1579574.0</v>
      </c>
    </row>
    <row r="858">
      <c r="A858" s="25">
        <v>39616.645833333336</v>
      </c>
      <c r="B858" s="25">
        <v>243.75</v>
      </c>
      <c r="C858" s="25">
        <v>243.75</v>
      </c>
      <c r="D858" s="25">
        <v>235.49</v>
      </c>
      <c r="E858" s="25">
        <v>238.94</v>
      </c>
      <c r="F858" s="25">
        <v>1344338.0</v>
      </c>
    </row>
    <row r="859">
      <c r="A859" s="25">
        <v>39617.645833333336</v>
      </c>
      <c r="B859" s="25">
        <v>239.75</v>
      </c>
      <c r="C859" s="25">
        <v>240.59</v>
      </c>
      <c r="D859" s="25">
        <v>231.75</v>
      </c>
      <c r="E859" s="25">
        <v>232.81</v>
      </c>
      <c r="F859" s="25">
        <v>1300225.0</v>
      </c>
    </row>
    <row r="860">
      <c r="A860" s="25">
        <v>39618.645833333336</v>
      </c>
      <c r="B860" s="25">
        <v>231.75</v>
      </c>
      <c r="C860" s="25">
        <v>235.21</v>
      </c>
      <c r="D860" s="25">
        <v>229.57</v>
      </c>
      <c r="E860" s="25">
        <v>232.8</v>
      </c>
      <c r="F860" s="25">
        <v>836908.0</v>
      </c>
    </row>
    <row r="861">
      <c r="A861" s="25">
        <v>39619.645833333336</v>
      </c>
      <c r="B861" s="25">
        <v>233.13</v>
      </c>
      <c r="C861" s="25">
        <v>235.69</v>
      </c>
      <c r="D861" s="25">
        <v>227.0</v>
      </c>
      <c r="E861" s="25">
        <v>228.38</v>
      </c>
      <c r="F861" s="25">
        <v>1461858.0</v>
      </c>
    </row>
    <row r="862">
      <c r="A862" s="25">
        <v>39622.645833333336</v>
      </c>
      <c r="B862" s="25">
        <v>226.95</v>
      </c>
      <c r="C862" s="25">
        <v>233.35</v>
      </c>
      <c r="D862" s="25">
        <v>225.14</v>
      </c>
      <c r="E862" s="25">
        <v>230.73</v>
      </c>
      <c r="F862" s="25">
        <v>1204105.0</v>
      </c>
    </row>
    <row r="863">
      <c r="A863" s="25">
        <v>39623.645833333336</v>
      </c>
      <c r="B863" s="25">
        <v>230.73</v>
      </c>
      <c r="C863" s="25">
        <v>232.5</v>
      </c>
      <c r="D863" s="25">
        <v>220.63</v>
      </c>
      <c r="E863" s="25">
        <v>224.31</v>
      </c>
      <c r="F863" s="25">
        <v>1359007.0</v>
      </c>
    </row>
    <row r="864">
      <c r="A864" s="25">
        <v>39624.645833333336</v>
      </c>
      <c r="B864" s="25">
        <v>223.75</v>
      </c>
      <c r="C864" s="25">
        <v>223.75</v>
      </c>
      <c r="D864" s="25">
        <v>212.65</v>
      </c>
      <c r="E864" s="25">
        <v>218.34</v>
      </c>
      <c r="F864" s="25">
        <v>2786768.0</v>
      </c>
    </row>
    <row r="865">
      <c r="A865" s="25">
        <v>39625.645833333336</v>
      </c>
      <c r="B865" s="25">
        <v>217.51</v>
      </c>
      <c r="C865" s="25">
        <v>225.0</v>
      </c>
      <c r="D865" s="25">
        <v>217.51</v>
      </c>
      <c r="E865" s="25">
        <v>223.14</v>
      </c>
      <c r="F865" s="25">
        <v>2145229.0</v>
      </c>
    </row>
    <row r="866">
      <c r="A866" s="25">
        <v>39626.645833333336</v>
      </c>
      <c r="B866" s="25">
        <v>217.52</v>
      </c>
      <c r="C866" s="25">
        <v>220.63</v>
      </c>
      <c r="D866" s="25">
        <v>211.88</v>
      </c>
      <c r="E866" s="25">
        <v>213.18</v>
      </c>
      <c r="F866" s="25">
        <v>1426310.0</v>
      </c>
    </row>
    <row r="867">
      <c r="A867" s="25">
        <v>39629.645833333336</v>
      </c>
      <c r="B867" s="25">
        <v>214.38</v>
      </c>
      <c r="C867" s="25">
        <v>218.6</v>
      </c>
      <c r="D867" s="25">
        <v>213.75</v>
      </c>
      <c r="E867" s="25">
        <v>217.1</v>
      </c>
      <c r="F867" s="25">
        <v>1460712.0</v>
      </c>
    </row>
    <row r="868">
      <c r="A868" s="25">
        <v>39630.645833333336</v>
      </c>
      <c r="B868" s="25">
        <v>218.0</v>
      </c>
      <c r="C868" s="25">
        <v>221.13</v>
      </c>
      <c r="D868" s="25">
        <v>213.13</v>
      </c>
      <c r="E868" s="25">
        <v>214.63</v>
      </c>
      <c r="F868" s="25">
        <v>1544980.0</v>
      </c>
    </row>
    <row r="869">
      <c r="A869" s="25">
        <v>39631.645833333336</v>
      </c>
      <c r="B869" s="25">
        <v>215.63</v>
      </c>
      <c r="C869" s="25">
        <v>230.5</v>
      </c>
      <c r="D869" s="25">
        <v>215.25</v>
      </c>
      <c r="E869" s="25">
        <v>227.58</v>
      </c>
      <c r="F869" s="25">
        <v>1797365.0</v>
      </c>
    </row>
    <row r="870">
      <c r="A870" s="25">
        <v>39632.645833333336</v>
      </c>
      <c r="B870" s="25">
        <v>225.16</v>
      </c>
      <c r="C870" s="25">
        <v>225.16</v>
      </c>
      <c r="D870" s="25">
        <v>216.5</v>
      </c>
      <c r="E870" s="25">
        <v>217.88</v>
      </c>
      <c r="F870" s="25">
        <v>1521145.0</v>
      </c>
    </row>
    <row r="871">
      <c r="A871" s="25">
        <v>39633.645833333336</v>
      </c>
      <c r="B871" s="25">
        <v>218.5</v>
      </c>
      <c r="C871" s="25">
        <v>223.63</v>
      </c>
      <c r="D871" s="25">
        <v>216.42</v>
      </c>
      <c r="E871" s="25">
        <v>219.48</v>
      </c>
      <c r="F871" s="25">
        <v>1204238.0</v>
      </c>
    </row>
    <row r="872">
      <c r="A872" s="25">
        <v>39636.645833333336</v>
      </c>
      <c r="B872" s="25">
        <v>222.5</v>
      </c>
      <c r="C872" s="25">
        <v>228.13</v>
      </c>
      <c r="D872" s="25">
        <v>221.88</v>
      </c>
      <c r="E872" s="25">
        <v>224.98</v>
      </c>
      <c r="F872" s="25">
        <v>1040351.0</v>
      </c>
    </row>
    <row r="873">
      <c r="A873" s="25">
        <v>39637.645833333336</v>
      </c>
      <c r="B873" s="25">
        <v>222.13</v>
      </c>
      <c r="C873" s="25">
        <v>222.13</v>
      </c>
      <c r="D873" s="25">
        <v>213.96</v>
      </c>
      <c r="E873" s="25">
        <v>217.08</v>
      </c>
      <c r="F873" s="25">
        <v>1624617.0</v>
      </c>
    </row>
    <row r="874">
      <c r="A874" s="25">
        <v>39638.645833333336</v>
      </c>
      <c r="B874" s="25">
        <v>219.5</v>
      </c>
      <c r="C874" s="25">
        <v>229.0</v>
      </c>
      <c r="D874" s="25">
        <v>219.0</v>
      </c>
      <c r="E874" s="25">
        <v>227.74</v>
      </c>
      <c r="F874" s="25">
        <v>1875628.0</v>
      </c>
    </row>
    <row r="875">
      <c r="A875" s="25">
        <v>39639.645833333336</v>
      </c>
      <c r="B875" s="25">
        <v>235.63</v>
      </c>
      <c r="C875" s="25">
        <v>235.63</v>
      </c>
      <c r="D875" s="25">
        <v>222.5</v>
      </c>
      <c r="E875" s="25">
        <v>225.66</v>
      </c>
      <c r="F875" s="25">
        <v>1883984.0</v>
      </c>
    </row>
    <row r="876">
      <c r="A876" s="25">
        <v>39640.645833333336</v>
      </c>
      <c r="B876" s="25">
        <v>230.63</v>
      </c>
      <c r="C876" s="25">
        <v>234.33</v>
      </c>
      <c r="D876" s="25">
        <v>205.19</v>
      </c>
      <c r="E876" s="25">
        <v>209.61</v>
      </c>
      <c r="F876" s="25">
        <v>6596234.0</v>
      </c>
    </row>
    <row r="877">
      <c r="A877" s="25">
        <v>39643.645833333336</v>
      </c>
      <c r="B877" s="25">
        <v>207.53</v>
      </c>
      <c r="C877" s="25">
        <v>208.75</v>
      </c>
      <c r="D877" s="25">
        <v>192.79</v>
      </c>
      <c r="E877" s="25">
        <v>194.44</v>
      </c>
      <c r="F877" s="25">
        <v>3688791.0</v>
      </c>
    </row>
    <row r="878">
      <c r="A878" s="25">
        <v>39644.645833333336</v>
      </c>
      <c r="B878" s="25">
        <v>191.88</v>
      </c>
      <c r="C878" s="25">
        <v>197.38</v>
      </c>
      <c r="D878" s="25">
        <v>187.88</v>
      </c>
      <c r="E878" s="25">
        <v>193.08</v>
      </c>
      <c r="F878" s="25">
        <v>3231972.0</v>
      </c>
    </row>
    <row r="879">
      <c r="A879" s="25">
        <v>39645.645833333336</v>
      </c>
      <c r="B879" s="25">
        <v>195.15</v>
      </c>
      <c r="C879" s="25">
        <v>197.13</v>
      </c>
      <c r="D879" s="25">
        <v>191.0</v>
      </c>
      <c r="E879" s="25">
        <v>193.45</v>
      </c>
      <c r="F879" s="25">
        <v>1565876.0</v>
      </c>
    </row>
    <row r="880">
      <c r="A880" s="25">
        <v>39646.645833333336</v>
      </c>
      <c r="B880" s="25">
        <v>197.5</v>
      </c>
      <c r="C880" s="25">
        <v>200.98</v>
      </c>
      <c r="D880" s="25">
        <v>195.64</v>
      </c>
      <c r="E880" s="25">
        <v>197.79</v>
      </c>
      <c r="F880" s="25">
        <v>1628085.0</v>
      </c>
    </row>
    <row r="881">
      <c r="A881" s="25">
        <v>39647.645833333336</v>
      </c>
      <c r="B881" s="25">
        <v>198.13</v>
      </c>
      <c r="C881" s="25">
        <v>199.88</v>
      </c>
      <c r="D881" s="25">
        <v>187.88</v>
      </c>
      <c r="E881" s="25">
        <v>193.43</v>
      </c>
      <c r="F881" s="25">
        <v>2167356.0</v>
      </c>
    </row>
    <row r="882">
      <c r="A882" s="25">
        <v>39650.645833333336</v>
      </c>
      <c r="B882" s="25">
        <v>191.75</v>
      </c>
      <c r="C882" s="25">
        <v>197.96</v>
      </c>
      <c r="D882" s="25">
        <v>190.64</v>
      </c>
      <c r="E882" s="25">
        <v>195.16</v>
      </c>
      <c r="F882" s="25">
        <v>1288006.0</v>
      </c>
    </row>
    <row r="883">
      <c r="A883" s="25">
        <v>39651.645833333336</v>
      </c>
      <c r="B883" s="25">
        <v>194.86</v>
      </c>
      <c r="C883" s="25">
        <v>199.78</v>
      </c>
      <c r="D883" s="25">
        <v>193.28</v>
      </c>
      <c r="E883" s="25">
        <v>197.29</v>
      </c>
      <c r="F883" s="25">
        <v>1162831.0</v>
      </c>
    </row>
    <row r="884">
      <c r="A884" s="25">
        <v>39652.645833333336</v>
      </c>
      <c r="B884" s="25">
        <v>200.0</v>
      </c>
      <c r="C884" s="25">
        <v>206.26</v>
      </c>
      <c r="D884" s="25">
        <v>194.42</v>
      </c>
      <c r="E884" s="25">
        <v>200.28</v>
      </c>
      <c r="F884" s="25">
        <v>2002057.0</v>
      </c>
    </row>
    <row r="885">
      <c r="A885" s="25">
        <v>39653.645833333336</v>
      </c>
      <c r="B885" s="25">
        <v>202.63</v>
      </c>
      <c r="C885" s="25">
        <v>202.63</v>
      </c>
      <c r="D885" s="25">
        <v>185.63</v>
      </c>
      <c r="E885" s="25">
        <v>195.91</v>
      </c>
      <c r="F885" s="25">
        <v>2863760.0</v>
      </c>
    </row>
    <row r="886">
      <c r="A886" s="25">
        <v>39654.645833333336</v>
      </c>
      <c r="B886" s="25">
        <v>190.63</v>
      </c>
      <c r="C886" s="25">
        <v>197.75</v>
      </c>
      <c r="D886" s="25">
        <v>184.39</v>
      </c>
      <c r="E886" s="25">
        <v>193.83</v>
      </c>
      <c r="F886" s="25">
        <v>1326823.0</v>
      </c>
    </row>
    <row r="887">
      <c r="A887" s="25">
        <v>39657.645833333336</v>
      </c>
      <c r="B887" s="25">
        <v>194.16</v>
      </c>
      <c r="C887" s="25">
        <v>199.5</v>
      </c>
      <c r="D887" s="25">
        <v>190.75</v>
      </c>
      <c r="E887" s="25">
        <v>192.43</v>
      </c>
      <c r="F887" s="25">
        <v>1308560.0</v>
      </c>
    </row>
    <row r="888">
      <c r="A888" s="25">
        <v>39658.645833333336</v>
      </c>
      <c r="B888" s="25">
        <v>191.23</v>
      </c>
      <c r="C888" s="25">
        <v>193.24</v>
      </c>
      <c r="D888" s="25">
        <v>188.49</v>
      </c>
      <c r="E888" s="25">
        <v>192.59</v>
      </c>
      <c r="F888" s="25">
        <v>1051765.0</v>
      </c>
    </row>
    <row r="889">
      <c r="A889" s="25">
        <v>39659.645833333336</v>
      </c>
      <c r="B889" s="25">
        <v>195.01</v>
      </c>
      <c r="C889" s="25">
        <v>201.22</v>
      </c>
      <c r="D889" s="25">
        <v>194.25</v>
      </c>
      <c r="E889" s="25">
        <v>200.26</v>
      </c>
      <c r="F889" s="25">
        <v>1873291.0</v>
      </c>
    </row>
    <row r="890">
      <c r="A890" s="25">
        <v>39660.645833333336</v>
      </c>
      <c r="B890" s="25">
        <v>201.0</v>
      </c>
      <c r="C890" s="25">
        <v>201.5</v>
      </c>
      <c r="D890" s="25">
        <v>195.04</v>
      </c>
      <c r="E890" s="25">
        <v>197.93</v>
      </c>
      <c r="F890" s="25">
        <v>2494591.0</v>
      </c>
    </row>
    <row r="891">
      <c r="A891" s="25">
        <v>39661.645833333336</v>
      </c>
      <c r="B891" s="25">
        <v>195.0</v>
      </c>
      <c r="C891" s="25">
        <v>205.81</v>
      </c>
      <c r="D891" s="25">
        <v>193.13</v>
      </c>
      <c r="E891" s="25">
        <v>204.93</v>
      </c>
      <c r="F891" s="25">
        <v>1268708.0</v>
      </c>
    </row>
    <row r="892">
      <c r="A892" s="25">
        <v>39664.645833333336</v>
      </c>
      <c r="B892" s="25">
        <v>204.75</v>
      </c>
      <c r="C892" s="25">
        <v>210.49</v>
      </c>
      <c r="D892" s="25">
        <v>203.0</v>
      </c>
      <c r="E892" s="25">
        <v>207.36</v>
      </c>
      <c r="F892" s="25">
        <v>1215788.0</v>
      </c>
    </row>
    <row r="893">
      <c r="A893" s="25">
        <v>39665.645833333336</v>
      </c>
      <c r="B893" s="25">
        <v>207.36</v>
      </c>
      <c r="C893" s="25">
        <v>211.94</v>
      </c>
      <c r="D893" s="25">
        <v>202.26</v>
      </c>
      <c r="E893" s="25">
        <v>209.82</v>
      </c>
      <c r="F893" s="25">
        <v>1764530.0</v>
      </c>
    </row>
    <row r="894">
      <c r="A894" s="25">
        <v>39666.645833333336</v>
      </c>
      <c r="B894" s="25">
        <v>212.88</v>
      </c>
      <c r="C894" s="25">
        <v>215.63</v>
      </c>
      <c r="D894" s="25">
        <v>205.96</v>
      </c>
      <c r="E894" s="25">
        <v>212.42</v>
      </c>
      <c r="F894" s="25">
        <v>3340041.0</v>
      </c>
    </row>
    <row r="895">
      <c r="A895" s="25">
        <v>39667.645833333336</v>
      </c>
      <c r="B895" s="25">
        <v>212.88</v>
      </c>
      <c r="C895" s="25">
        <v>216.75</v>
      </c>
      <c r="D895" s="25">
        <v>210.25</v>
      </c>
      <c r="E895" s="25">
        <v>215.77</v>
      </c>
      <c r="F895" s="25">
        <v>967179.0</v>
      </c>
    </row>
    <row r="896">
      <c r="A896" s="25">
        <v>39668.645833333336</v>
      </c>
      <c r="B896" s="25">
        <v>208.17</v>
      </c>
      <c r="C896" s="25">
        <v>214.97</v>
      </c>
      <c r="D896" s="25">
        <v>208.17</v>
      </c>
      <c r="E896" s="25">
        <v>209.95</v>
      </c>
      <c r="F896" s="25">
        <v>1190426.0</v>
      </c>
    </row>
    <row r="897">
      <c r="A897" s="25">
        <v>39671.645833333336</v>
      </c>
      <c r="B897" s="25">
        <v>211.88</v>
      </c>
      <c r="C897" s="25">
        <v>214.63</v>
      </c>
      <c r="D897" s="25">
        <v>207.08</v>
      </c>
      <c r="E897" s="25">
        <v>208.8</v>
      </c>
      <c r="F897" s="25">
        <v>1682016.0</v>
      </c>
    </row>
    <row r="898">
      <c r="A898" s="25">
        <v>39672.645833333336</v>
      </c>
      <c r="B898" s="25">
        <v>206.88</v>
      </c>
      <c r="C898" s="25">
        <v>212.1</v>
      </c>
      <c r="D898" s="25">
        <v>198.2</v>
      </c>
      <c r="E898" s="25">
        <v>200.49</v>
      </c>
      <c r="F898" s="25">
        <v>3314599.0</v>
      </c>
    </row>
    <row r="899">
      <c r="A899" s="25">
        <v>39673.645833333336</v>
      </c>
      <c r="B899" s="25">
        <v>199.93</v>
      </c>
      <c r="C899" s="25">
        <v>204.25</v>
      </c>
      <c r="D899" s="25">
        <v>198.4</v>
      </c>
      <c r="E899" s="25">
        <v>203.24</v>
      </c>
      <c r="F899" s="25">
        <v>1701767.0</v>
      </c>
    </row>
    <row r="900">
      <c r="A900" s="25">
        <v>39674.645833333336</v>
      </c>
      <c r="B900" s="25">
        <v>205.0</v>
      </c>
      <c r="C900" s="25">
        <v>213.05</v>
      </c>
      <c r="D900" s="25">
        <v>202.38</v>
      </c>
      <c r="E900" s="25">
        <v>211.69</v>
      </c>
      <c r="F900" s="25">
        <v>2047007.0</v>
      </c>
    </row>
    <row r="901">
      <c r="A901" s="25">
        <v>39678.645833333336</v>
      </c>
      <c r="B901" s="25">
        <v>212.63</v>
      </c>
      <c r="C901" s="25">
        <v>217.13</v>
      </c>
      <c r="D901" s="25">
        <v>211.89</v>
      </c>
      <c r="E901" s="25">
        <v>213.04</v>
      </c>
      <c r="F901" s="25">
        <v>1208855.0</v>
      </c>
    </row>
    <row r="902">
      <c r="A902" s="25">
        <v>39679.645833333336</v>
      </c>
      <c r="B902" s="25">
        <v>213.88</v>
      </c>
      <c r="C902" s="25">
        <v>214.34</v>
      </c>
      <c r="D902" s="25">
        <v>210.42</v>
      </c>
      <c r="E902" s="25">
        <v>211.59</v>
      </c>
      <c r="F902" s="25">
        <v>838666.0</v>
      </c>
    </row>
    <row r="903">
      <c r="A903" s="25">
        <v>39680.645833333336</v>
      </c>
      <c r="B903" s="25">
        <v>210.03</v>
      </c>
      <c r="C903" s="25">
        <v>213.71</v>
      </c>
      <c r="D903" s="25">
        <v>210.03</v>
      </c>
      <c r="E903" s="25">
        <v>212.41</v>
      </c>
      <c r="F903" s="25">
        <v>564858.0</v>
      </c>
    </row>
    <row r="904">
      <c r="A904" s="25">
        <v>39681.645833333336</v>
      </c>
      <c r="B904" s="25">
        <v>212.5</v>
      </c>
      <c r="C904" s="25">
        <v>212.88</v>
      </c>
      <c r="D904" s="25">
        <v>206.59</v>
      </c>
      <c r="E904" s="25">
        <v>207.68</v>
      </c>
      <c r="F904" s="25">
        <v>585681.0</v>
      </c>
    </row>
    <row r="905">
      <c r="A905" s="25">
        <v>39682.645833333336</v>
      </c>
      <c r="B905" s="25">
        <v>207.49</v>
      </c>
      <c r="C905" s="25">
        <v>212.84</v>
      </c>
      <c r="D905" s="25">
        <v>205.78</v>
      </c>
      <c r="E905" s="25">
        <v>212.06</v>
      </c>
      <c r="F905" s="25">
        <v>1093749.0</v>
      </c>
    </row>
    <row r="906">
      <c r="A906" s="25">
        <v>39685.645833333336</v>
      </c>
      <c r="B906" s="25">
        <v>217.5</v>
      </c>
      <c r="C906" s="25">
        <v>218.13</v>
      </c>
      <c r="D906" s="25">
        <v>212.63</v>
      </c>
      <c r="E906" s="25">
        <v>213.31</v>
      </c>
      <c r="F906" s="25">
        <v>307641.0</v>
      </c>
    </row>
    <row r="907">
      <c r="A907" s="25">
        <v>39686.645833333336</v>
      </c>
      <c r="B907" s="25">
        <v>215.01</v>
      </c>
      <c r="C907" s="25">
        <v>217.48</v>
      </c>
      <c r="D907" s="25">
        <v>211.25</v>
      </c>
      <c r="E907" s="25">
        <v>212.25</v>
      </c>
      <c r="F907" s="25">
        <v>2322344.0</v>
      </c>
    </row>
    <row r="908">
      <c r="A908" s="25">
        <v>39687.645833333336</v>
      </c>
      <c r="B908" s="25">
        <v>212.75</v>
      </c>
      <c r="C908" s="25">
        <v>214.88</v>
      </c>
      <c r="D908" s="25">
        <v>212.06</v>
      </c>
      <c r="E908" s="25">
        <v>213.53</v>
      </c>
      <c r="F908" s="25">
        <v>1372306.0</v>
      </c>
    </row>
    <row r="909">
      <c r="A909" s="25">
        <v>39688.645833333336</v>
      </c>
      <c r="B909" s="25">
        <v>214.13</v>
      </c>
      <c r="C909" s="25">
        <v>214.63</v>
      </c>
      <c r="D909" s="25">
        <v>212.0</v>
      </c>
      <c r="E909" s="25">
        <v>212.43</v>
      </c>
      <c r="F909" s="25">
        <v>1435100.0</v>
      </c>
    </row>
    <row r="910">
      <c r="A910" s="25">
        <v>39689.645833333336</v>
      </c>
      <c r="B910" s="25">
        <v>213.63</v>
      </c>
      <c r="C910" s="25">
        <v>218.75</v>
      </c>
      <c r="D910" s="25">
        <v>213.63</v>
      </c>
      <c r="E910" s="25">
        <v>218.64</v>
      </c>
      <c r="F910" s="25">
        <v>1148336.0</v>
      </c>
    </row>
    <row r="911">
      <c r="A911" s="25">
        <v>39692.645833333336</v>
      </c>
      <c r="B911" s="25">
        <v>218.75</v>
      </c>
      <c r="C911" s="25">
        <v>220.84</v>
      </c>
      <c r="D911" s="25">
        <v>212.74</v>
      </c>
      <c r="E911" s="25">
        <v>215.41</v>
      </c>
      <c r="F911" s="25">
        <v>1394238.0</v>
      </c>
    </row>
    <row r="912">
      <c r="A912" s="25">
        <v>39693.645833333336</v>
      </c>
      <c r="B912" s="25">
        <v>218.63</v>
      </c>
      <c r="C912" s="25">
        <v>222.75</v>
      </c>
      <c r="D912" s="25">
        <v>215.17</v>
      </c>
      <c r="E912" s="25">
        <v>221.91</v>
      </c>
      <c r="F912" s="25">
        <v>1050466.0</v>
      </c>
    </row>
    <row r="913">
      <c r="A913" s="25">
        <v>39695.645833333336</v>
      </c>
      <c r="B913" s="25">
        <v>220.14</v>
      </c>
      <c r="C913" s="25">
        <v>225.63</v>
      </c>
      <c r="D913" s="25">
        <v>218.95</v>
      </c>
      <c r="E913" s="25">
        <v>223.63</v>
      </c>
      <c r="F913" s="25">
        <v>2698673.0</v>
      </c>
    </row>
    <row r="914">
      <c r="A914" s="25">
        <v>39696.645833333336</v>
      </c>
      <c r="B914" s="25">
        <v>222.49</v>
      </c>
      <c r="C914" s="25">
        <v>222.49</v>
      </c>
      <c r="D914" s="25">
        <v>213.31</v>
      </c>
      <c r="E914" s="25">
        <v>214.04</v>
      </c>
      <c r="F914" s="25">
        <v>1377615.0</v>
      </c>
    </row>
    <row r="915">
      <c r="A915" s="25">
        <v>39699.645833333336</v>
      </c>
      <c r="B915" s="25">
        <v>219.13</v>
      </c>
      <c r="C915" s="25">
        <v>220.25</v>
      </c>
      <c r="D915" s="25">
        <v>216.92</v>
      </c>
      <c r="E915" s="25">
        <v>218.76</v>
      </c>
      <c r="F915" s="25">
        <v>1189800.0</v>
      </c>
    </row>
    <row r="916">
      <c r="A916" s="25">
        <v>39700.645833333336</v>
      </c>
      <c r="B916" s="25">
        <v>218.48</v>
      </c>
      <c r="C916" s="25">
        <v>219.75</v>
      </c>
      <c r="D916" s="25">
        <v>214.65</v>
      </c>
      <c r="E916" s="25">
        <v>218.68</v>
      </c>
      <c r="F916" s="25">
        <v>1166227.0</v>
      </c>
    </row>
    <row r="917">
      <c r="A917" s="25">
        <v>39701.645833333336</v>
      </c>
      <c r="B917" s="25">
        <v>217.41</v>
      </c>
      <c r="C917" s="25">
        <v>221.53</v>
      </c>
      <c r="D917" s="25">
        <v>215.15</v>
      </c>
      <c r="E917" s="25">
        <v>219.97</v>
      </c>
      <c r="F917" s="25">
        <v>1365934.0</v>
      </c>
    </row>
    <row r="918">
      <c r="A918" s="25">
        <v>39702.645833333336</v>
      </c>
      <c r="B918" s="25">
        <v>218.53</v>
      </c>
      <c r="C918" s="25">
        <v>220.0</v>
      </c>
      <c r="D918" s="25">
        <v>216.54</v>
      </c>
      <c r="E918" s="25">
        <v>218.83</v>
      </c>
      <c r="F918" s="25">
        <v>1658233.0</v>
      </c>
    </row>
    <row r="919">
      <c r="A919" s="25">
        <v>39703.645833333336</v>
      </c>
      <c r="B919" s="25">
        <v>219.13</v>
      </c>
      <c r="C919" s="25">
        <v>219.13</v>
      </c>
      <c r="D919" s="25">
        <v>204.66</v>
      </c>
      <c r="E919" s="25">
        <v>205.5</v>
      </c>
      <c r="F919" s="25">
        <v>3039391.0</v>
      </c>
    </row>
    <row r="920">
      <c r="A920" s="25">
        <v>39706.645833333336</v>
      </c>
      <c r="B920" s="25">
        <v>205.0</v>
      </c>
      <c r="C920" s="25">
        <v>205.0</v>
      </c>
      <c r="D920" s="25">
        <v>190.25</v>
      </c>
      <c r="E920" s="25">
        <v>197.27</v>
      </c>
      <c r="F920" s="25">
        <v>2151470.0</v>
      </c>
    </row>
    <row r="921">
      <c r="A921" s="25">
        <v>39707.645833333336</v>
      </c>
      <c r="B921" s="25">
        <v>191.26</v>
      </c>
      <c r="C921" s="25">
        <v>198.25</v>
      </c>
      <c r="D921" s="25">
        <v>188.75</v>
      </c>
      <c r="E921" s="25">
        <v>195.8</v>
      </c>
      <c r="F921" s="25">
        <v>1962599.0</v>
      </c>
    </row>
    <row r="922">
      <c r="A922" s="25">
        <v>39708.645833333336</v>
      </c>
      <c r="B922" s="25">
        <v>197.5</v>
      </c>
      <c r="C922" s="25">
        <v>205.87</v>
      </c>
      <c r="D922" s="25">
        <v>196.25</v>
      </c>
      <c r="E922" s="25">
        <v>197.38</v>
      </c>
      <c r="F922" s="25">
        <v>2291582.0</v>
      </c>
    </row>
    <row r="923">
      <c r="A923" s="25">
        <v>39709.645833333336</v>
      </c>
      <c r="B923" s="25">
        <v>188.76</v>
      </c>
      <c r="C923" s="25">
        <v>195.0</v>
      </c>
      <c r="D923" s="25">
        <v>177.66</v>
      </c>
      <c r="E923" s="25">
        <v>190.68</v>
      </c>
      <c r="F923" s="25">
        <v>3347524.0</v>
      </c>
    </row>
    <row r="924">
      <c r="A924" s="25">
        <v>39710.645833333336</v>
      </c>
      <c r="B924" s="25">
        <v>196.88</v>
      </c>
      <c r="C924" s="25">
        <v>205.74</v>
      </c>
      <c r="D924" s="25">
        <v>194.5</v>
      </c>
      <c r="E924" s="25">
        <v>203.12</v>
      </c>
      <c r="F924" s="25">
        <v>3899993.0</v>
      </c>
    </row>
    <row r="925">
      <c r="A925" s="25">
        <v>39713.645833333336</v>
      </c>
      <c r="B925" s="25">
        <v>205.63</v>
      </c>
      <c r="C925" s="25">
        <v>207.54</v>
      </c>
      <c r="D925" s="25">
        <v>201.0</v>
      </c>
      <c r="E925" s="25">
        <v>203.74</v>
      </c>
      <c r="F925" s="25">
        <v>1602974.0</v>
      </c>
    </row>
    <row r="926">
      <c r="A926" s="25">
        <v>39714.645833333336</v>
      </c>
      <c r="B926" s="25">
        <v>200.0</v>
      </c>
      <c r="C926" s="25">
        <v>203.0</v>
      </c>
      <c r="D926" s="25">
        <v>192.01</v>
      </c>
      <c r="E926" s="25">
        <v>192.99</v>
      </c>
      <c r="F926" s="25">
        <v>1672282.0</v>
      </c>
    </row>
    <row r="927">
      <c r="A927" s="25">
        <v>39715.645833333336</v>
      </c>
      <c r="B927" s="25">
        <v>193.75</v>
      </c>
      <c r="C927" s="25">
        <v>195.98</v>
      </c>
      <c r="D927" s="25">
        <v>186.25</v>
      </c>
      <c r="E927" s="25">
        <v>190.54</v>
      </c>
      <c r="F927" s="25">
        <v>2423213.0</v>
      </c>
    </row>
    <row r="928">
      <c r="A928" s="25">
        <v>39716.645833333336</v>
      </c>
      <c r="B928" s="25">
        <v>191.26</v>
      </c>
      <c r="C928" s="25">
        <v>191.26</v>
      </c>
      <c r="D928" s="25">
        <v>186.38</v>
      </c>
      <c r="E928" s="25">
        <v>188.36</v>
      </c>
      <c r="F928" s="25">
        <v>2301783.0</v>
      </c>
    </row>
    <row r="929">
      <c r="A929" s="25">
        <v>39717.645833333336</v>
      </c>
      <c r="B929" s="25">
        <v>187.75</v>
      </c>
      <c r="C929" s="25">
        <v>188.36</v>
      </c>
      <c r="D929" s="25">
        <v>179.51</v>
      </c>
      <c r="E929" s="25">
        <v>180.86</v>
      </c>
      <c r="F929" s="25">
        <v>1219495.0</v>
      </c>
    </row>
    <row r="930">
      <c r="A930" s="25">
        <v>39720.645833333336</v>
      </c>
      <c r="B930" s="25">
        <v>180.64</v>
      </c>
      <c r="C930" s="25">
        <v>181.5</v>
      </c>
      <c r="D930" s="25">
        <v>170.75</v>
      </c>
      <c r="E930" s="25">
        <v>174.16</v>
      </c>
      <c r="F930" s="25">
        <v>2151224.0</v>
      </c>
    </row>
    <row r="931">
      <c r="A931" s="25">
        <v>39721.645833333336</v>
      </c>
      <c r="B931" s="25">
        <v>171.25</v>
      </c>
      <c r="C931" s="25">
        <v>181.71</v>
      </c>
      <c r="D931" s="25">
        <v>165.0</v>
      </c>
      <c r="E931" s="25">
        <v>174.76</v>
      </c>
      <c r="F931" s="25">
        <v>2935383.0</v>
      </c>
    </row>
    <row r="932">
      <c r="A932" s="25">
        <v>39722.645833333336</v>
      </c>
      <c r="B932" s="25">
        <v>178.13</v>
      </c>
      <c r="C932" s="25">
        <v>183.38</v>
      </c>
      <c r="D932" s="25">
        <v>176.88</v>
      </c>
      <c r="E932" s="25">
        <v>181.16</v>
      </c>
      <c r="F932" s="25">
        <v>3296002.0</v>
      </c>
    </row>
    <row r="933">
      <c r="A933" s="25">
        <v>39724.645833333336</v>
      </c>
      <c r="B933" s="25">
        <v>179.13</v>
      </c>
      <c r="C933" s="25">
        <v>180.0</v>
      </c>
      <c r="D933" s="25">
        <v>172.5</v>
      </c>
      <c r="E933" s="25">
        <v>173.99</v>
      </c>
      <c r="F933" s="25">
        <v>1721033.0</v>
      </c>
    </row>
    <row r="934">
      <c r="A934" s="25">
        <v>39727.645833333336</v>
      </c>
      <c r="B934" s="25">
        <v>170.0</v>
      </c>
      <c r="C934" s="25">
        <v>173.75</v>
      </c>
      <c r="D934" s="25">
        <v>159.38</v>
      </c>
      <c r="E934" s="25">
        <v>164.83</v>
      </c>
      <c r="F934" s="25">
        <v>1614777.0</v>
      </c>
    </row>
    <row r="935">
      <c r="A935" s="25">
        <v>39728.645833333336</v>
      </c>
      <c r="B935" s="25">
        <v>167.02</v>
      </c>
      <c r="C935" s="25">
        <v>171.63</v>
      </c>
      <c r="D935" s="25">
        <v>158.27</v>
      </c>
      <c r="E935" s="25">
        <v>162.73</v>
      </c>
      <c r="F935" s="25">
        <v>2316967.0</v>
      </c>
    </row>
    <row r="936">
      <c r="A936" s="25">
        <v>39729.645833333336</v>
      </c>
      <c r="B936" s="25">
        <v>162.5</v>
      </c>
      <c r="C936" s="25">
        <v>162.5</v>
      </c>
      <c r="D936" s="25">
        <v>149.03</v>
      </c>
      <c r="E936" s="25">
        <v>156.78</v>
      </c>
      <c r="F936" s="25">
        <v>2856899.0</v>
      </c>
    </row>
    <row r="937">
      <c r="A937" s="25">
        <v>39731.645833333336</v>
      </c>
      <c r="B937" s="25">
        <v>150.0</v>
      </c>
      <c r="C937" s="25">
        <v>160.0</v>
      </c>
      <c r="D937" s="25">
        <v>130.0</v>
      </c>
      <c r="E937" s="25">
        <v>153.15</v>
      </c>
      <c r="F937" s="25">
        <v>4656963.0</v>
      </c>
    </row>
    <row r="938">
      <c r="A938" s="25">
        <v>39734.645833333336</v>
      </c>
      <c r="B938" s="25">
        <v>156.25</v>
      </c>
      <c r="C938" s="25">
        <v>170.0</v>
      </c>
      <c r="D938" s="25">
        <v>152.5</v>
      </c>
      <c r="E938" s="25">
        <v>164.82</v>
      </c>
      <c r="F938" s="25">
        <v>2484636.0</v>
      </c>
    </row>
    <row r="939">
      <c r="A939" s="25">
        <v>39735.645833333336</v>
      </c>
      <c r="B939" s="25">
        <v>173.13</v>
      </c>
      <c r="C939" s="25">
        <v>176.44</v>
      </c>
      <c r="D939" s="25">
        <v>168.75</v>
      </c>
      <c r="E939" s="25">
        <v>174.74</v>
      </c>
      <c r="F939" s="25">
        <v>1926817.0</v>
      </c>
    </row>
    <row r="940">
      <c r="A940" s="25">
        <v>39736.645833333336</v>
      </c>
      <c r="B940" s="25">
        <v>172.5</v>
      </c>
      <c r="C940" s="25">
        <v>172.5</v>
      </c>
      <c r="D940" s="25">
        <v>163.63</v>
      </c>
      <c r="E940" s="25">
        <v>166.93</v>
      </c>
      <c r="F940" s="25">
        <v>1570565.0</v>
      </c>
    </row>
    <row r="941">
      <c r="A941" s="25">
        <v>39737.645833333336</v>
      </c>
      <c r="B941" s="25">
        <v>162.5</v>
      </c>
      <c r="C941" s="25">
        <v>162.5</v>
      </c>
      <c r="D941" s="25">
        <v>150.4</v>
      </c>
      <c r="E941" s="25">
        <v>157.88</v>
      </c>
      <c r="F941" s="25">
        <v>1675009.0</v>
      </c>
    </row>
    <row r="942">
      <c r="A942" s="25">
        <v>39738.645833333336</v>
      </c>
      <c r="B942" s="25">
        <v>159.38</v>
      </c>
      <c r="C942" s="25">
        <v>163.63</v>
      </c>
      <c r="D942" s="25">
        <v>148.78</v>
      </c>
      <c r="E942" s="25">
        <v>150.34</v>
      </c>
      <c r="F942" s="25">
        <v>1520078.0</v>
      </c>
    </row>
    <row r="943">
      <c r="A943" s="25">
        <v>39741.645833333336</v>
      </c>
      <c r="B943" s="25">
        <v>155.0</v>
      </c>
      <c r="C943" s="25">
        <v>163.87</v>
      </c>
      <c r="D943" s="25">
        <v>152.63</v>
      </c>
      <c r="E943" s="25">
        <v>161.82</v>
      </c>
      <c r="F943" s="25">
        <v>1462423.0</v>
      </c>
    </row>
    <row r="944">
      <c r="A944" s="25">
        <v>39742.645833333336</v>
      </c>
      <c r="B944" s="25">
        <v>165.0</v>
      </c>
      <c r="C944" s="25">
        <v>174.25</v>
      </c>
      <c r="D944" s="25">
        <v>162.88</v>
      </c>
      <c r="E944" s="25">
        <v>168.45</v>
      </c>
      <c r="F944" s="25">
        <v>2280066.0</v>
      </c>
    </row>
    <row r="945">
      <c r="A945" s="25">
        <v>39743.645833333336</v>
      </c>
      <c r="B945" s="25">
        <v>165.25</v>
      </c>
      <c r="C945" s="25">
        <v>166.16</v>
      </c>
      <c r="D945" s="25">
        <v>160.32</v>
      </c>
      <c r="E945" s="25">
        <v>162.44</v>
      </c>
      <c r="F945" s="25">
        <v>1877619.0</v>
      </c>
    </row>
    <row r="946">
      <c r="A946" s="25">
        <v>39744.645833333336</v>
      </c>
      <c r="B946" s="25">
        <v>159.88</v>
      </c>
      <c r="C946" s="25">
        <v>169.8</v>
      </c>
      <c r="D946" s="25">
        <v>154.46</v>
      </c>
      <c r="E946" s="25">
        <v>160.41</v>
      </c>
      <c r="F946" s="25">
        <v>2544895.0</v>
      </c>
    </row>
    <row r="947">
      <c r="A947" s="25">
        <v>39745.645833333336</v>
      </c>
      <c r="B947" s="25">
        <v>156.16</v>
      </c>
      <c r="C947" s="25">
        <v>162.5</v>
      </c>
      <c r="D947" s="25">
        <v>150.0</v>
      </c>
      <c r="E947" s="25">
        <v>155.76</v>
      </c>
      <c r="F947" s="25">
        <v>2335466.0</v>
      </c>
    </row>
    <row r="948">
      <c r="A948" s="25">
        <v>39748.645833333336</v>
      </c>
      <c r="B948" s="25">
        <v>153.75</v>
      </c>
      <c r="C948" s="25">
        <v>161.25</v>
      </c>
      <c r="D948" s="25">
        <v>145.0</v>
      </c>
      <c r="E948" s="25">
        <v>156.48</v>
      </c>
      <c r="F948" s="25">
        <v>2501139.0</v>
      </c>
    </row>
    <row r="949">
      <c r="A949" s="25">
        <v>39750.645833333336</v>
      </c>
      <c r="B949" s="25">
        <v>165.67</v>
      </c>
      <c r="C949" s="25">
        <v>168.75</v>
      </c>
      <c r="D949" s="25">
        <v>160.0</v>
      </c>
      <c r="E949" s="25">
        <v>163.04</v>
      </c>
      <c r="F949" s="25">
        <v>3112257.0</v>
      </c>
    </row>
    <row r="950">
      <c r="A950" s="25">
        <v>39752.645833333336</v>
      </c>
      <c r="B950" s="25">
        <v>166.87</v>
      </c>
      <c r="C950" s="25">
        <v>179.99</v>
      </c>
      <c r="D950" s="25">
        <v>166.87</v>
      </c>
      <c r="E950" s="25">
        <v>173.62</v>
      </c>
      <c r="F950" s="25">
        <v>3885618.0</v>
      </c>
    </row>
    <row r="951">
      <c r="A951" s="25">
        <v>39755.645833333336</v>
      </c>
      <c r="B951" s="25">
        <v>175.14</v>
      </c>
      <c r="C951" s="25">
        <v>180.88</v>
      </c>
      <c r="D951" s="25">
        <v>168.81</v>
      </c>
      <c r="E951" s="25">
        <v>172.33</v>
      </c>
      <c r="F951" s="25">
        <v>2282784.0</v>
      </c>
    </row>
    <row r="952">
      <c r="A952" s="25">
        <v>39756.645833333336</v>
      </c>
      <c r="B952" s="25">
        <v>168.75</v>
      </c>
      <c r="C952" s="25">
        <v>172.24</v>
      </c>
      <c r="D952" s="25">
        <v>160.63</v>
      </c>
      <c r="E952" s="25">
        <v>166.49</v>
      </c>
      <c r="F952" s="25">
        <v>2780463.0</v>
      </c>
    </row>
    <row r="953">
      <c r="A953" s="25">
        <v>39757.645833333336</v>
      </c>
      <c r="B953" s="25">
        <v>168.63</v>
      </c>
      <c r="C953" s="25">
        <v>174.38</v>
      </c>
      <c r="D953" s="25">
        <v>162.89</v>
      </c>
      <c r="E953" s="25">
        <v>165.25</v>
      </c>
      <c r="F953" s="25">
        <v>2162760.0</v>
      </c>
    </row>
    <row r="954">
      <c r="A954" s="25">
        <v>39758.645833333336</v>
      </c>
      <c r="B954" s="25">
        <v>161.88</v>
      </c>
      <c r="C954" s="25">
        <v>164.75</v>
      </c>
      <c r="D954" s="25">
        <v>153.76</v>
      </c>
      <c r="E954" s="25">
        <v>155.71</v>
      </c>
      <c r="F954" s="25">
        <v>1681657.0</v>
      </c>
    </row>
    <row r="955">
      <c r="A955" s="25">
        <v>39759.645833333336</v>
      </c>
      <c r="B955" s="25">
        <v>154.38</v>
      </c>
      <c r="C955" s="25">
        <v>161.25</v>
      </c>
      <c r="D955" s="25">
        <v>150.27</v>
      </c>
      <c r="E955" s="25">
        <v>157.85</v>
      </c>
      <c r="F955" s="25">
        <v>1263657.0</v>
      </c>
    </row>
    <row r="956">
      <c r="A956" s="25">
        <v>39762.645833333336</v>
      </c>
      <c r="B956" s="25">
        <v>160.63</v>
      </c>
      <c r="C956" s="25">
        <v>169.36</v>
      </c>
      <c r="D956" s="25">
        <v>154.63</v>
      </c>
      <c r="E956" s="25">
        <v>167.31</v>
      </c>
      <c r="F956" s="25">
        <v>1290263.0</v>
      </c>
    </row>
    <row r="957">
      <c r="A957" s="25">
        <v>39763.645833333336</v>
      </c>
      <c r="B957" s="25">
        <v>167.31</v>
      </c>
      <c r="C957" s="25">
        <v>168.55</v>
      </c>
      <c r="D957" s="25">
        <v>155.79</v>
      </c>
      <c r="E957" s="25">
        <v>157.09</v>
      </c>
      <c r="F957" s="25">
        <v>1154402.0</v>
      </c>
    </row>
    <row r="958">
      <c r="A958" s="25">
        <v>39764.645833333336</v>
      </c>
      <c r="B958" s="25">
        <v>151.88</v>
      </c>
      <c r="C958" s="25">
        <v>163.36</v>
      </c>
      <c r="D958" s="25">
        <v>151.88</v>
      </c>
      <c r="E958" s="25">
        <v>157.43</v>
      </c>
      <c r="F958" s="25">
        <v>1674295.0</v>
      </c>
    </row>
    <row r="959">
      <c r="A959" s="25">
        <v>39766.645833333336</v>
      </c>
      <c r="B959" s="25">
        <v>160.13</v>
      </c>
      <c r="C959" s="25">
        <v>161.84</v>
      </c>
      <c r="D959" s="25">
        <v>148.5</v>
      </c>
      <c r="E959" s="25">
        <v>151.65</v>
      </c>
      <c r="F959" s="25">
        <v>2002145.0</v>
      </c>
    </row>
    <row r="960">
      <c r="A960" s="25">
        <v>39769.645833333336</v>
      </c>
      <c r="B960" s="25">
        <v>151.88</v>
      </c>
      <c r="C960" s="25">
        <v>155.5</v>
      </c>
      <c r="D960" s="25">
        <v>146.41</v>
      </c>
      <c r="E960" s="25">
        <v>154.05</v>
      </c>
      <c r="F960" s="25">
        <v>2255382.0</v>
      </c>
    </row>
    <row r="961">
      <c r="A961" s="25">
        <v>39770.645833333336</v>
      </c>
      <c r="B961" s="25">
        <v>152.5</v>
      </c>
      <c r="C961" s="25">
        <v>152.5</v>
      </c>
      <c r="D961" s="25">
        <v>146.25</v>
      </c>
      <c r="E961" s="25">
        <v>147.56</v>
      </c>
      <c r="F961" s="25">
        <v>1913580.0</v>
      </c>
    </row>
    <row r="962">
      <c r="A962" s="25">
        <v>39771.645833333336</v>
      </c>
      <c r="B962" s="25">
        <v>147.75</v>
      </c>
      <c r="C962" s="25">
        <v>150.0</v>
      </c>
      <c r="D962" s="25">
        <v>140.79</v>
      </c>
      <c r="E962" s="25">
        <v>146.59</v>
      </c>
      <c r="F962" s="25">
        <v>2817633.0</v>
      </c>
    </row>
    <row r="963">
      <c r="A963" s="25">
        <v>39773.645833333336</v>
      </c>
      <c r="B963" s="25">
        <v>140.0</v>
      </c>
      <c r="C963" s="25">
        <v>150.0</v>
      </c>
      <c r="D963" s="25">
        <v>136.25</v>
      </c>
      <c r="E963" s="25">
        <v>148.08</v>
      </c>
      <c r="F963" s="25">
        <v>1524713.0</v>
      </c>
    </row>
    <row r="964">
      <c r="A964" s="25">
        <v>39776.645833333336</v>
      </c>
      <c r="B964" s="25">
        <v>141.88</v>
      </c>
      <c r="C964" s="25">
        <v>152.48</v>
      </c>
      <c r="D964" s="25">
        <v>141.88</v>
      </c>
      <c r="E964" s="25">
        <v>149.53</v>
      </c>
      <c r="F964" s="25">
        <v>1754908.0</v>
      </c>
    </row>
    <row r="965">
      <c r="A965" s="25">
        <v>39777.645833333336</v>
      </c>
      <c r="B965" s="25">
        <v>148.13</v>
      </c>
      <c r="C965" s="25">
        <v>154.61</v>
      </c>
      <c r="D965" s="25">
        <v>146.95</v>
      </c>
      <c r="E965" s="25">
        <v>147.74</v>
      </c>
      <c r="F965" s="25">
        <v>1238741.0</v>
      </c>
    </row>
    <row r="966">
      <c r="A966" s="25">
        <v>39778.645833333336</v>
      </c>
      <c r="B966" s="25">
        <v>147.38</v>
      </c>
      <c r="C966" s="25">
        <v>149.38</v>
      </c>
      <c r="D966" s="25">
        <v>142.77</v>
      </c>
      <c r="E966" s="25">
        <v>148.39</v>
      </c>
      <c r="F966" s="25">
        <v>1796180.0</v>
      </c>
    </row>
    <row r="967">
      <c r="A967" s="25">
        <v>39780.645833333336</v>
      </c>
      <c r="B967" s="25">
        <v>146.27</v>
      </c>
      <c r="C967" s="25">
        <v>156.88</v>
      </c>
      <c r="D967" s="25">
        <v>140.01</v>
      </c>
      <c r="E967" s="25">
        <v>155.48</v>
      </c>
      <c r="F967" s="25">
        <v>3003928.0</v>
      </c>
    </row>
    <row r="968">
      <c r="A968" s="25">
        <v>39783.645833333336</v>
      </c>
      <c r="B968" s="25">
        <v>156.25</v>
      </c>
      <c r="C968" s="25">
        <v>162.34</v>
      </c>
      <c r="D968" s="25">
        <v>152.25</v>
      </c>
      <c r="E968" s="25">
        <v>153.9</v>
      </c>
      <c r="F968" s="25">
        <v>2342337.0</v>
      </c>
    </row>
    <row r="969">
      <c r="A969" s="25">
        <v>39784.645833333336</v>
      </c>
      <c r="B969" s="25">
        <v>153.0</v>
      </c>
      <c r="C969" s="25">
        <v>153.0</v>
      </c>
      <c r="D969" s="25">
        <v>147.13</v>
      </c>
      <c r="E969" s="25">
        <v>151.04</v>
      </c>
      <c r="F969" s="25">
        <v>1601791.0</v>
      </c>
    </row>
    <row r="970">
      <c r="A970" s="25">
        <v>39785.645833333336</v>
      </c>
      <c r="B970" s="25">
        <v>150.5</v>
      </c>
      <c r="C970" s="25">
        <v>152.75</v>
      </c>
      <c r="D970" s="25">
        <v>142.5</v>
      </c>
      <c r="E970" s="25">
        <v>144.57</v>
      </c>
      <c r="F970" s="25">
        <v>2233667.0</v>
      </c>
    </row>
    <row r="971">
      <c r="A971" s="25">
        <v>39786.645833333336</v>
      </c>
      <c r="B971" s="25">
        <v>145.0</v>
      </c>
      <c r="C971" s="25">
        <v>149.74</v>
      </c>
      <c r="D971" s="25">
        <v>143.54</v>
      </c>
      <c r="E971" s="25">
        <v>149.05</v>
      </c>
      <c r="F971" s="25">
        <v>1415505.0</v>
      </c>
    </row>
    <row r="972">
      <c r="A972" s="25">
        <v>39787.645833333336</v>
      </c>
      <c r="B972" s="25">
        <v>149.0</v>
      </c>
      <c r="C972" s="25">
        <v>149.0</v>
      </c>
      <c r="D972" s="25">
        <v>140.32</v>
      </c>
      <c r="E972" s="25">
        <v>141.81</v>
      </c>
      <c r="F972" s="25">
        <v>1526266.0</v>
      </c>
    </row>
    <row r="973">
      <c r="A973" s="25">
        <v>39790.645833333336</v>
      </c>
      <c r="B973" s="25">
        <v>144.4</v>
      </c>
      <c r="C973" s="25">
        <v>148.75</v>
      </c>
      <c r="D973" s="25">
        <v>142.26</v>
      </c>
      <c r="E973" s="25">
        <v>144.72</v>
      </c>
      <c r="F973" s="25">
        <v>2957643.0</v>
      </c>
    </row>
    <row r="974">
      <c r="A974" s="25">
        <v>39792.645833333336</v>
      </c>
      <c r="B974" s="25">
        <v>148.11</v>
      </c>
      <c r="C974" s="25">
        <v>150.84</v>
      </c>
      <c r="D974" s="25">
        <v>144.89</v>
      </c>
      <c r="E974" s="25">
        <v>146.72</v>
      </c>
      <c r="F974" s="25">
        <v>2804550.0</v>
      </c>
    </row>
    <row r="975">
      <c r="A975" s="25">
        <v>39793.645833333336</v>
      </c>
      <c r="B975" s="25">
        <v>147.11</v>
      </c>
      <c r="C975" s="25">
        <v>147.21</v>
      </c>
      <c r="D975" s="25">
        <v>140.29</v>
      </c>
      <c r="E975" s="25">
        <v>141.86</v>
      </c>
      <c r="F975" s="25">
        <v>2062642.0</v>
      </c>
    </row>
    <row r="976">
      <c r="A976" s="25">
        <v>39794.645833333336</v>
      </c>
      <c r="B976" s="25">
        <v>140.0</v>
      </c>
      <c r="C976" s="25">
        <v>140.0</v>
      </c>
      <c r="D976" s="25">
        <v>134.65</v>
      </c>
      <c r="E976" s="25">
        <v>138.11</v>
      </c>
      <c r="F976" s="25">
        <v>1634794.0</v>
      </c>
    </row>
    <row r="977">
      <c r="A977" s="25">
        <v>39797.645833333336</v>
      </c>
      <c r="B977" s="25">
        <v>140.0</v>
      </c>
      <c r="C977" s="25">
        <v>142.25</v>
      </c>
      <c r="D977" s="25">
        <v>136.26</v>
      </c>
      <c r="E977" s="25">
        <v>137.79</v>
      </c>
      <c r="F977" s="25">
        <v>1717269.0</v>
      </c>
    </row>
    <row r="978">
      <c r="A978" s="25">
        <v>39798.645833333336</v>
      </c>
      <c r="B978" s="25">
        <v>137.88</v>
      </c>
      <c r="C978" s="25">
        <v>141.63</v>
      </c>
      <c r="D978" s="25">
        <v>135.63</v>
      </c>
      <c r="E978" s="25">
        <v>140.6</v>
      </c>
      <c r="F978" s="25">
        <v>1112590.0</v>
      </c>
    </row>
    <row r="979">
      <c r="A979" s="25">
        <v>39799.645833333336</v>
      </c>
      <c r="B979" s="25">
        <v>142.46</v>
      </c>
      <c r="C979" s="25">
        <v>147.0</v>
      </c>
      <c r="D979" s="25">
        <v>140.38</v>
      </c>
      <c r="E979" s="25">
        <v>142.69</v>
      </c>
      <c r="F979" s="25">
        <v>3054630.0</v>
      </c>
    </row>
    <row r="980">
      <c r="A980" s="25">
        <v>39800.645833333336</v>
      </c>
      <c r="B980" s="25">
        <v>143.13</v>
      </c>
      <c r="C980" s="25">
        <v>148.05</v>
      </c>
      <c r="D980" s="25">
        <v>143.13</v>
      </c>
      <c r="E980" s="25">
        <v>147.13</v>
      </c>
      <c r="F980" s="25">
        <v>1583678.0</v>
      </c>
    </row>
    <row r="981">
      <c r="A981" s="25">
        <v>39801.645833333336</v>
      </c>
      <c r="B981" s="25">
        <v>147.64</v>
      </c>
      <c r="C981" s="25">
        <v>150.0</v>
      </c>
      <c r="D981" s="25">
        <v>143.66</v>
      </c>
      <c r="E981" s="25">
        <v>148.91</v>
      </c>
      <c r="F981" s="25">
        <v>1565092.0</v>
      </c>
    </row>
    <row r="982">
      <c r="A982" s="25">
        <v>39804.645833333336</v>
      </c>
      <c r="B982" s="25">
        <v>150.0</v>
      </c>
      <c r="C982" s="25">
        <v>150.63</v>
      </c>
      <c r="D982" s="25">
        <v>145.76</v>
      </c>
      <c r="E982" s="25">
        <v>148.35</v>
      </c>
      <c r="F982" s="25">
        <v>1093648.0</v>
      </c>
    </row>
    <row r="983">
      <c r="A983" s="25">
        <v>39805.645833333336</v>
      </c>
      <c r="B983" s="25">
        <v>146.98</v>
      </c>
      <c r="C983" s="25">
        <v>148.75</v>
      </c>
      <c r="D983" s="25">
        <v>145.45</v>
      </c>
      <c r="E983" s="25">
        <v>147.01</v>
      </c>
      <c r="F983" s="25">
        <v>887526.0</v>
      </c>
    </row>
    <row r="984">
      <c r="A984" s="25">
        <v>39806.645833333336</v>
      </c>
      <c r="B984" s="25">
        <v>147.5</v>
      </c>
      <c r="C984" s="25">
        <v>152.78</v>
      </c>
      <c r="D984" s="25">
        <v>145.96</v>
      </c>
      <c r="E984" s="25">
        <v>146.75</v>
      </c>
      <c r="F984" s="25">
        <v>1068882.0</v>
      </c>
    </row>
    <row r="985">
      <c r="A985" s="25">
        <v>39808.645833333336</v>
      </c>
      <c r="B985" s="25">
        <v>144.63</v>
      </c>
      <c r="C985" s="25">
        <v>148.6</v>
      </c>
      <c r="D985" s="25">
        <v>138.13</v>
      </c>
      <c r="E985" s="25">
        <v>138.66</v>
      </c>
      <c r="F985" s="25">
        <v>1486165.0</v>
      </c>
    </row>
    <row r="986">
      <c r="A986" s="25">
        <v>39811.645833333336</v>
      </c>
      <c r="B986" s="25">
        <v>138.76</v>
      </c>
      <c r="C986" s="25">
        <v>139.95</v>
      </c>
      <c r="D986" s="25">
        <v>133.13</v>
      </c>
      <c r="E986" s="25">
        <v>139.22</v>
      </c>
      <c r="F986" s="25">
        <v>1783086.0</v>
      </c>
    </row>
    <row r="987">
      <c r="A987" s="25">
        <v>39812.645833333336</v>
      </c>
      <c r="B987" s="25">
        <v>140.25</v>
      </c>
      <c r="C987" s="25">
        <v>141.73</v>
      </c>
      <c r="D987" s="25">
        <v>136.39</v>
      </c>
      <c r="E987" s="25">
        <v>140.99</v>
      </c>
      <c r="F987" s="25">
        <v>1057188.0</v>
      </c>
    </row>
    <row r="988">
      <c r="A988" s="25">
        <v>39813.645833333336</v>
      </c>
      <c r="B988" s="25">
        <v>141.88</v>
      </c>
      <c r="C988" s="25">
        <v>142.38</v>
      </c>
      <c r="D988" s="25">
        <v>137.89</v>
      </c>
      <c r="E988" s="25">
        <v>139.43</v>
      </c>
      <c r="F988" s="25">
        <v>902665.0</v>
      </c>
    </row>
    <row r="989">
      <c r="A989" s="25">
        <v>39814.645833333336</v>
      </c>
      <c r="B989" s="25">
        <v>139.5</v>
      </c>
      <c r="C989" s="25">
        <v>144.11</v>
      </c>
      <c r="D989" s="25">
        <v>138.97</v>
      </c>
      <c r="E989" s="25">
        <v>143.52</v>
      </c>
      <c r="F989" s="25">
        <v>932024.0</v>
      </c>
    </row>
    <row r="990">
      <c r="A990" s="25">
        <v>39815.645833333336</v>
      </c>
      <c r="B990" s="25">
        <v>145.63</v>
      </c>
      <c r="C990" s="25">
        <v>145.63</v>
      </c>
      <c r="D990" s="25">
        <v>140.48</v>
      </c>
      <c r="E990" s="25">
        <v>141.51</v>
      </c>
      <c r="F990" s="25">
        <v>1126510.0</v>
      </c>
    </row>
    <row r="991">
      <c r="A991" s="25">
        <v>39818.645833333336</v>
      </c>
      <c r="B991" s="25">
        <v>142.5</v>
      </c>
      <c r="C991" s="25">
        <v>148.09</v>
      </c>
      <c r="D991" s="25">
        <v>142.46</v>
      </c>
      <c r="E991" s="25">
        <v>146.6</v>
      </c>
      <c r="F991" s="25">
        <v>1405154.0</v>
      </c>
    </row>
    <row r="992">
      <c r="A992" s="25">
        <v>39819.645833333336</v>
      </c>
      <c r="B992" s="25">
        <v>147.5</v>
      </c>
      <c r="C992" s="25">
        <v>148.75</v>
      </c>
      <c r="D992" s="25">
        <v>143.17</v>
      </c>
      <c r="E992" s="25">
        <v>146.07</v>
      </c>
      <c r="F992" s="25">
        <v>1445483.0</v>
      </c>
    </row>
    <row r="993">
      <c r="A993" s="25">
        <v>39820.645833333336</v>
      </c>
      <c r="B993" s="25">
        <v>146.39</v>
      </c>
      <c r="C993" s="25">
        <v>149.69</v>
      </c>
      <c r="D993" s="25">
        <v>143.2</v>
      </c>
      <c r="E993" s="25">
        <v>148.44</v>
      </c>
      <c r="F993" s="25">
        <v>2817294.0</v>
      </c>
    </row>
    <row r="994">
      <c r="A994" s="25">
        <v>39822.645833333336</v>
      </c>
      <c r="B994" s="25">
        <v>148.26</v>
      </c>
      <c r="C994" s="25">
        <v>158.32</v>
      </c>
      <c r="D994" s="25">
        <v>146.25</v>
      </c>
      <c r="E994" s="25">
        <v>150.43</v>
      </c>
      <c r="F994" s="25">
        <v>5022770.0</v>
      </c>
    </row>
    <row r="995">
      <c r="A995" s="25">
        <v>39825.645833333336</v>
      </c>
      <c r="B995" s="25">
        <v>143.96</v>
      </c>
      <c r="C995" s="25">
        <v>151.24</v>
      </c>
      <c r="D995" s="25">
        <v>142.28</v>
      </c>
      <c r="E995" s="25">
        <v>144.96</v>
      </c>
      <c r="F995" s="25">
        <v>3908647.0</v>
      </c>
    </row>
    <row r="996">
      <c r="A996" s="25">
        <v>39826.645833333336</v>
      </c>
      <c r="B996" s="25">
        <v>147.49</v>
      </c>
      <c r="C996" s="25">
        <v>155.3</v>
      </c>
      <c r="D996" s="25">
        <v>139.88</v>
      </c>
      <c r="E996" s="25">
        <v>153.52</v>
      </c>
      <c r="F996" s="25">
        <v>5494582.0</v>
      </c>
    </row>
    <row r="997">
      <c r="A997" s="25">
        <v>39827.645833333336</v>
      </c>
      <c r="B997" s="25">
        <v>153.19</v>
      </c>
      <c r="C997" s="25">
        <v>164.25</v>
      </c>
      <c r="D997" s="25">
        <v>153.19</v>
      </c>
      <c r="E997" s="25">
        <v>162.95</v>
      </c>
      <c r="F997" s="25">
        <v>5193908.0</v>
      </c>
    </row>
    <row r="998">
      <c r="A998" s="25">
        <v>39828.645833333336</v>
      </c>
      <c r="B998" s="25">
        <v>157.5</v>
      </c>
      <c r="C998" s="25">
        <v>157.99</v>
      </c>
      <c r="D998" s="25">
        <v>151.88</v>
      </c>
      <c r="E998" s="25">
        <v>156.46</v>
      </c>
      <c r="F998" s="25">
        <v>3169897.0</v>
      </c>
    </row>
    <row r="999">
      <c r="A999" s="25">
        <v>39829.645833333336</v>
      </c>
      <c r="B999" s="25">
        <v>157.25</v>
      </c>
      <c r="C999" s="25">
        <v>159.24</v>
      </c>
      <c r="D999" s="25">
        <v>155.0</v>
      </c>
      <c r="E999" s="25">
        <v>158.43</v>
      </c>
      <c r="F999" s="25">
        <v>1589659.0</v>
      </c>
    </row>
    <row r="1000">
      <c r="A1000" s="25">
        <v>39832.645833333336</v>
      </c>
      <c r="B1000" s="25">
        <v>158.38</v>
      </c>
      <c r="C1000" s="25">
        <v>159.09</v>
      </c>
      <c r="D1000" s="25">
        <v>155.07</v>
      </c>
      <c r="E1000" s="25">
        <v>157.76</v>
      </c>
      <c r="F1000" s="25">
        <v>1192961.0</v>
      </c>
    </row>
    <row r="1001">
      <c r="A1001" s="25">
        <v>39833.645833333336</v>
      </c>
      <c r="B1001" s="25">
        <v>155.0</v>
      </c>
      <c r="C1001" s="25">
        <v>157.13</v>
      </c>
      <c r="D1001" s="25">
        <v>153.75</v>
      </c>
      <c r="E1001" s="25">
        <v>156.47</v>
      </c>
      <c r="F1001" s="25">
        <v>621836.0</v>
      </c>
    </row>
    <row r="1002">
      <c r="A1002" s="25">
        <v>39834.645833333336</v>
      </c>
      <c r="B1002" s="25">
        <v>153.88</v>
      </c>
      <c r="C1002" s="25">
        <v>156.44</v>
      </c>
      <c r="D1002" s="25">
        <v>151.75</v>
      </c>
      <c r="E1002" s="25">
        <v>152.98</v>
      </c>
      <c r="F1002" s="25">
        <v>971342.0</v>
      </c>
    </row>
    <row r="1003">
      <c r="A1003" s="25">
        <v>39835.645833333336</v>
      </c>
      <c r="B1003" s="25">
        <v>154.38</v>
      </c>
      <c r="C1003" s="25">
        <v>154.88</v>
      </c>
      <c r="D1003" s="25">
        <v>150.38</v>
      </c>
      <c r="E1003" s="25">
        <v>153.86</v>
      </c>
      <c r="F1003" s="25">
        <v>1097010.0</v>
      </c>
    </row>
    <row r="1004">
      <c r="A1004" s="25">
        <v>39836.645833333336</v>
      </c>
      <c r="B1004" s="25">
        <v>151.25</v>
      </c>
      <c r="C1004" s="25">
        <v>153.35</v>
      </c>
      <c r="D1004" s="25">
        <v>148.82</v>
      </c>
      <c r="E1004" s="25">
        <v>150.58</v>
      </c>
      <c r="F1004" s="25">
        <v>1453128.0</v>
      </c>
    </row>
    <row r="1005">
      <c r="A1005" s="25">
        <v>39840.645833333336</v>
      </c>
      <c r="B1005" s="25">
        <v>152.38</v>
      </c>
      <c r="C1005" s="25">
        <v>157.5</v>
      </c>
      <c r="D1005" s="25">
        <v>151.88</v>
      </c>
      <c r="E1005" s="25">
        <v>156.51</v>
      </c>
      <c r="F1005" s="25">
        <v>1313398.0</v>
      </c>
    </row>
    <row r="1006">
      <c r="A1006" s="25">
        <v>39841.645833333336</v>
      </c>
      <c r="B1006" s="25">
        <v>157.88</v>
      </c>
      <c r="C1006" s="25">
        <v>162.0</v>
      </c>
      <c r="D1006" s="25">
        <v>156.25</v>
      </c>
      <c r="E1006" s="25">
        <v>160.84</v>
      </c>
      <c r="F1006" s="25">
        <v>898481.0</v>
      </c>
    </row>
    <row r="1007">
      <c r="A1007" s="25">
        <v>39842.645833333336</v>
      </c>
      <c r="B1007" s="25">
        <v>161.25</v>
      </c>
      <c r="C1007" s="25">
        <v>164.88</v>
      </c>
      <c r="D1007" s="25">
        <v>160.88</v>
      </c>
      <c r="E1007" s="25">
        <v>163.77</v>
      </c>
      <c r="F1007" s="25">
        <v>3250219.0</v>
      </c>
    </row>
    <row r="1008">
      <c r="A1008" s="25">
        <v>39843.645833333336</v>
      </c>
      <c r="B1008" s="25">
        <v>162.63</v>
      </c>
      <c r="C1008" s="25">
        <v>164.25</v>
      </c>
      <c r="D1008" s="25">
        <v>160.88</v>
      </c>
      <c r="E1008" s="25">
        <v>163.33</v>
      </c>
      <c r="F1008" s="25">
        <v>1453959.0</v>
      </c>
    </row>
    <row r="1009">
      <c r="A1009" s="25">
        <v>39846.645833333336</v>
      </c>
      <c r="B1009" s="25">
        <v>161.5</v>
      </c>
      <c r="C1009" s="25">
        <v>162.13</v>
      </c>
      <c r="D1009" s="25">
        <v>158.49</v>
      </c>
      <c r="E1009" s="25">
        <v>159.96</v>
      </c>
      <c r="F1009" s="25">
        <v>2108751.0</v>
      </c>
    </row>
    <row r="1010">
      <c r="A1010" s="25">
        <v>39847.645833333336</v>
      </c>
      <c r="B1010" s="25">
        <v>160.75</v>
      </c>
      <c r="C1010" s="25">
        <v>162.75</v>
      </c>
      <c r="D1010" s="25">
        <v>157.57</v>
      </c>
      <c r="E1010" s="25">
        <v>160.31</v>
      </c>
      <c r="F1010" s="25">
        <v>2015634.0</v>
      </c>
    </row>
    <row r="1011">
      <c r="A1011" s="25">
        <v>39848.645833333336</v>
      </c>
      <c r="B1011" s="25">
        <v>160.63</v>
      </c>
      <c r="C1011" s="25">
        <v>163.28</v>
      </c>
      <c r="D1011" s="25">
        <v>159.54</v>
      </c>
      <c r="E1011" s="25">
        <v>160.21</v>
      </c>
      <c r="F1011" s="25">
        <v>946788.0</v>
      </c>
    </row>
    <row r="1012">
      <c r="A1012" s="25">
        <v>39849.645833333336</v>
      </c>
      <c r="B1012" s="25">
        <v>160.75</v>
      </c>
      <c r="C1012" s="25">
        <v>161.88</v>
      </c>
      <c r="D1012" s="25">
        <v>154.69</v>
      </c>
      <c r="E1012" s="25">
        <v>156.98</v>
      </c>
      <c r="F1012" s="25">
        <v>2192203.0</v>
      </c>
    </row>
    <row r="1013">
      <c r="A1013" s="25">
        <v>39850.645833333336</v>
      </c>
      <c r="B1013" s="25">
        <v>157.36</v>
      </c>
      <c r="C1013" s="25">
        <v>162.18</v>
      </c>
      <c r="D1013" s="25">
        <v>156.0</v>
      </c>
      <c r="E1013" s="25">
        <v>161.11</v>
      </c>
      <c r="F1013" s="25">
        <v>1752502.0</v>
      </c>
    </row>
    <row r="1014">
      <c r="A1014" s="25">
        <v>39853.645833333336</v>
      </c>
      <c r="B1014" s="25">
        <v>158.5</v>
      </c>
      <c r="C1014" s="25">
        <v>165.0</v>
      </c>
      <c r="D1014" s="25">
        <v>158.5</v>
      </c>
      <c r="E1014" s="25">
        <v>164.01</v>
      </c>
      <c r="F1014" s="25">
        <v>1439205.0</v>
      </c>
    </row>
    <row r="1015">
      <c r="A1015" s="25">
        <v>39854.645833333336</v>
      </c>
      <c r="B1015" s="25">
        <v>164.31</v>
      </c>
      <c r="C1015" s="25">
        <v>165.63</v>
      </c>
      <c r="D1015" s="25">
        <v>161.88</v>
      </c>
      <c r="E1015" s="25">
        <v>163.55</v>
      </c>
      <c r="F1015" s="25">
        <v>1670970.0</v>
      </c>
    </row>
    <row r="1016">
      <c r="A1016" s="25">
        <v>39855.645833333336</v>
      </c>
      <c r="B1016" s="25">
        <v>161.25</v>
      </c>
      <c r="C1016" s="25">
        <v>163.11</v>
      </c>
      <c r="D1016" s="25">
        <v>160.0</v>
      </c>
      <c r="E1016" s="25">
        <v>162.74</v>
      </c>
      <c r="F1016" s="25">
        <v>882128.0</v>
      </c>
    </row>
    <row r="1017">
      <c r="A1017" s="25">
        <v>39856.645833333336</v>
      </c>
      <c r="B1017" s="25">
        <v>161.88</v>
      </c>
      <c r="C1017" s="25">
        <v>161.88</v>
      </c>
      <c r="D1017" s="25">
        <v>156.26</v>
      </c>
      <c r="E1017" s="25">
        <v>156.82</v>
      </c>
      <c r="F1017" s="25">
        <v>1405332.0</v>
      </c>
    </row>
    <row r="1018">
      <c r="A1018" s="25">
        <v>39857.645833333336</v>
      </c>
      <c r="B1018" s="25">
        <v>158.74</v>
      </c>
      <c r="C1018" s="25">
        <v>159.99</v>
      </c>
      <c r="D1018" s="25">
        <v>155.51</v>
      </c>
      <c r="E1018" s="25">
        <v>156.46</v>
      </c>
      <c r="F1018" s="25">
        <v>1598917.0</v>
      </c>
    </row>
    <row r="1019">
      <c r="A1019" s="25">
        <v>39860.645833333336</v>
      </c>
      <c r="B1019" s="25">
        <v>157.49</v>
      </c>
      <c r="C1019" s="25">
        <v>157.5</v>
      </c>
      <c r="D1019" s="25">
        <v>151.89</v>
      </c>
      <c r="E1019" s="25">
        <v>152.68</v>
      </c>
      <c r="F1019" s="25">
        <v>1485717.0</v>
      </c>
    </row>
    <row r="1020">
      <c r="A1020" s="25">
        <v>39861.645833333336</v>
      </c>
      <c r="B1020" s="25">
        <v>151.0</v>
      </c>
      <c r="C1020" s="25">
        <v>152.35</v>
      </c>
      <c r="D1020" s="25">
        <v>145.63</v>
      </c>
      <c r="E1020" s="25">
        <v>146.74</v>
      </c>
      <c r="F1020" s="25">
        <v>1878148.0</v>
      </c>
    </row>
    <row r="1021">
      <c r="A1021" s="25">
        <v>39862.645833333336</v>
      </c>
      <c r="B1021" s="25">
        <v>147.31</v>
      </c>
      <c r="C1021" s="25">
        <v>148.5</v>
      </c>
      <c r="D1021" s="25">
        <v>139.42</v>
      </c>
      <c r="E1021" s="25">
        <v>147.35</v>
      </c>
      <c r="F1021" s="25">
        <v>1387082.0</v>
      </c>
    </row>
    <row r="1022">
      <c r="A1022" s="25">
        <v>39863.645833333336</v>
      </c>
      <c r="B1022" s="25">
        <v>146.88</v>
      </c>
      <c r="C1022" s="25">
        <v>151.71</v>
      </c>
      <c r="D1022" s="25">
        <v>146.5</v>
      </c>
      <c r="E1022" s="25">
        <v>151.11</v>
      </c>
      <c r="F1022" s="25">
        <v>1235350.0</v>
      </c>
    </row>
    <row r="1023">
      <c r="A1023" s="25">
        <v>39864.645833333336</v>
      </c>
      <c r="B1023" s="25">
        <v>148.75</v>
      </c>
      <c r="C1023" s="25">
        <v>149.54</v>
      </c>
      <c r="D1023" s="25">
        <v>145.63</v>
      </c>
      <c r="E1023" s="25">
        <v>147.14</v>
      </c>
      <c r="F1023" s="25">
        <v>954482.0</v>
      </c>
    </row>
    <row r="1024">
      <c r="A1024" s="25">
        <v>39868.645833333336</v>
      </c>
      <c r="B1024" s="25">
        <v>144.38</v>
      </c>
      <c r="C1024" s="25">
        <v>149.0</v>
      </c>
      <c r="D1024" s="25">
        <v>143.19</v>
      </c>
      <c r="E1024" s="25">
        <v>148.19</v>
      </c>
      <c r="F1024" s="25">
        <v>963601.0</v>
      </c>
    </row>
    <row r="1025">
      <c r="A1025" s="25">
        <v>39869.645833333336</v>
      </c>
      <c r="B1025" s="25">
        <v>149.0</v>
      </c>
      <c r="C1025" s="25">
        <v>153.06</v>
      </c>
      <c r="D1025" s="25">
        <v>148.75</v>
      </c>
      <c r="E1025" s="25">
        <v>152.18</v>
      </c>
      <c r="F1025" s="25">
        <v>1328126.0</v>
      </c>
    </row>
    <row r="1026">
      <c r="A1026" s="25">
        <v>39870.645833333336</v>
      </c>
      <c r="B1026" s="25">
        <v>150.5</v>
      </c>
      <c r="C1026" s="25">
        <v>155.0</v>
      </c>
      <c r="D1026" s="25">
        <v>150.0</v>
      </c>
      <c r="E1026" s="25">
        <v>154.5</v>
      </c>
      <c r="F1026" s="25">
        <v>2071481.0</v>
      </c>
    </row>
    <row r="1027">
      <c r="A1027" s="25">
        <v>39871.645833333336</v>
      </c>
      <c r="B1027" s="25">
        <v>153.46</v>
      </c>
      <c r="C1027" s="25">
        <v>154.73</v>
      </c>
      <c r="D1027" s="25">
        <v>150.47</v>
      </c>
      <c r="E1027" s="25">
        <v>153.91</v>
      </c>
      <c r="F1027" s="25">
        <v>1665847.0</v>
      </c>
    </row>
    <row r="1028">
      <c r="A1028" s="25">
        <v>39874.645833333336</v>
      </c>
      <c r="B1028" s="25">
        <v>152.25</v>
      </c>
      <c r="C1028" s="25">
        <v>153.48</v>
      </c>
      <c r="D1028" s="25">
        <v>148.75</v>
      </c>
      <c r="E1028" s="25">
        <v>152.38</v>
      </c>
      <c r="F1028" s="25">
        <v>1477574.0</v>
      </c>
    </row>
    <row r="1029">
      <c r="A1029" s="25">
        <v>39875.645833333336</v>
      </c>
      <c r="B1029" s="25">
        <v>150.75</v>
      </c>
      <c r="C1029" s="25">
        <v>152.48</v>
      </c>
      <c r="D1029" s="25">
        <v>148.93</v>
      </c>
      <c r="E1029" s="25">
        <v>149.7</v>
      </c>
      <c r="F1029" s="25">
        <v>1102306.0</v>
      </c>
    </row>
    <row r="1030">
      <c r="A1030" s="25">
        <v>39876.645833333336</v>
      </c>
      <c r="B1030" s="25">
        <v>150.13</v>
      </c>
      <c r="C1030" s="25">
        <v>152.13</v>
      </c>
      <c r="D1030" s="25">
        <v>147.5</v>
      </c>
      <c r="E1030" s="25">
        <v>149.9</v>
      </c>
      <c r="F1030" s="25">
        <v>1080201.0</v>
      </c>
    </row>
    <row r="1031">
      <c r="A1031" s="25">
        <v>39877.645833333336</v>
      </c>
      <c r="B1031" s="25">
        <v>150.63</v>
      </c>
      <c r="C1031" s="25">
        <v>153.1</v>
      </c>
      <c r="D1031" s="25">
        <v>146.95</v>
      </c>
      <c r="E1031" s="25">
        <v>147.74</v>
      </c>
      <c r="F1031" s="25">
        <v>867470.0</v>
      </c>
    </row>
    <row r="1032">
      <c r="A1032" s="25">
        <v>39878.645833333336</v>
      </c>
      <c r="B1032" s="25">
        <v>147.75</v>
      </c>
      <c r="C1032" s="25">
        <v>154.75</v>
      </c>
      <c r="D1032" s="25">
        <v>143.94</v>
      </c>
      <c r="E1032" s="25">
        <v>152.42</v>
      </c>
      <c r="F1032" s="25">
        <v>1284869.0</v>
      </c>
    </row>
    <row r="1033">
      <c r="A1033" s="25">
        <v>39881.645833333336</v>
      </c>
      <c r="B1033" s="25">
        <v>150.64</v>
      </c>
      <c r="C1033" s="25">
        <v>152.0</v>
      </c>
      <c r="D1033" s="25">
        <v>148.76</v>
      </c>
      <c r="E1033" s="25">
        <v>150.26</v>
      </c>
      <c r="F1033" s="25">
        <v>1232930.0</v>
      </c>
    </row>
    <row r="1034">
      <c r="A1034" s="25">
        <v>39884.645833333336</v>
      </c>
      <c r="B1034" s="25">
        <v>151.51</v>
      </c>
      <c r="C1034" s="25">
        <v>156.98</v>
      </c>
      <c r="D1034" s="25">
        <v>151.38</v>
      </c>
      <c r="E1034" s="25">
        <v>153.48</v>
      </c>
      <c r="F1034" s="25">
        <v>2062794.0</v>
      </c>
    </row>
    <row r="1035">
      <c r="A1035" s="25">
        <v>39885.645833333336</v>
      </c>
      <c r="B1035" s="25">
        <v>156.18</v>
      </c>
      <c r="C1035" s="25">
        <v>162.49</v>
      </c>
      <c r="D1035" s="25">
        <v>155.0</v>
      </c>
      <c r="E1035" s="25">
        <v>162.13</v>
      </c>
      <c r="F1035" s="25">
        <v>1832622.0</v>
      </c>
    </row>
    <row r="1036">
      <c r="A1036" s="25">
        <v>39888.645833333336</v>
      </c>
      <c r="B1036" s="25">
        <v>162.88</v>
      </c>
      <c r="C1036" s="25">
        <v>162.88</v>
      </c>
      <c r="D1036" s="25">
        <v>158.64</v>
      </c>
      <c r="E1036" s="25">
        <v>160.98</v>
      </c>
      <c r="F1036" s="25">
        <v>1687408.0</v>
      </c>
    </row>
    <row r="1037">
      <c r="A1037" s="25">
        <v>39889.645833333336</v>
      </c>
      <c r="B1037" s="25">
        <v>160.5</v>
      </c>
      <c r="C1037" s="25">
        <v>160.5</v>
      </c>
      <c r="D1037" s="25">
        <v>157.13</v>
      </c>
      <c r="E1037" s="25">
        <v>158.19</v>
      </c>
      <c r="F1037" s="25">
        <v>1237249.0</v>
      </c>
    </row>
    <row r="1038">
      <c r="A1038" s="25">
        <v>39890.645833333336</v>
      </c>
      <c r="B1038" s="25">
        <v>158.13</v>
      </c>
      <c r="C1038" s="25">
        <v>162.75</v>
      </c>
      <c r="D1038" s="25">
        <v>158.13</v>
      </c>
      <c r="E1038" s="25">
        <v>159.76</v>
      </c>
      <c r="F1038" s="25">
        <v>1833538.0</v>
      </c>
    </row>
    <row r="1039">
      <c r="A1039" s="25">
        <v>39891.645833333336</v>
      </c>
      <c r="B1039" s="25">
        <v>160.63</v>
      </c>
      <c r="C1039" s="25">
        <v>163.82</v>
      </c>
      <c r="D1039" s="25">
        <v>158.75</v>
      </c>
      <c r="E1039" s="25">
        <v>162.15</v>
      </c>
      <c r="F1039" s="25">
        <v>1678133.0</v>
      </c>
    </row>
    <row r="1040">
      <c r="A1040" s="25">
        <v>39892.645833333336</v>
      </c>
      <c r="B1040" s="25">
        <v>165.43</v>
      </c>
      <c r="C1040" s="25">
        <v>165.43</v>
      </c>
      <c r="D1040" s="25">
        <v>160.63</v>
      </c>
      <c r="E1040" s="25">
        <v>162.03</v>
      </c>
      <c r="F1040" s="25">
        <v>1187893.0</v>
      </c>
    </row>
    <row r="1041">
      <c r="A1041" s="25">
        <v>39895.645833333336</v>
      </c>
      <c r="B1041" s="25">
        <v>162.53</v>
      </c>
      <c r="C1041" s="25">
        <v>167.49</v>
      </c>
      <c r="D1041" s="25">
        <v>161.9</v>
      </c>
      <c r="E1041" s="25">
        <v>166.41</v>
      </c>
      <c r="F1041" s="25">
        <v>1530355.0</v>
      </c>
    </row>
    <row r="1042">
      <c r="A1042" s="25">
        <v>39896.645833333336</v>
      </c>
      <c r="B1042" s="25">
        <v>168.13</v>
      </c>
      <c r="C1042" s="25">
        <v>170.03</v>
      </c>
      <c r="D1042" s="25">
        <v>163.89</v>
      </c>
      <c r="E1042" s="25">
        <v>165.09</v>
      </c>
      <c r="F1042" s="25">
        <v>1343332.0</v>
      </c>
    </row>
    <row r="1043">
      <c r="A1043" s="25">
        <v>39897.645833333336</v>
      </c>
      <c r="B1043" s="25">
        <v>164.03</v>
      </c>
      <c r="C1043" s="25">
        <v>168.75</v>
      </c>
      <c r="D1043" s="25">
        <v>164.03</v>
      </c>
      <c r="E1043" s="25">
        <v>167.37</v>
      </c>
      <c r="F1043" s="25">
        <v>1637410.0</v>
      </c>
    </row>
    <row r="1044">
      <c r="A1044" s="25">
        <v>39898.645833333336</v>
      </c>
      <c r="B1044" s="25">
        <v>168.13</v>
      </c>
      <c r="C1044" s="25">
        <v>174.64</v>
      </c>
      <c r="D1044" s="25">
        <v>167.78</v>
      </c>
      <c r="E1044" s="25">
        <v>172.39</v>
      </c>
      <c r="F1044" s="25">
        <v>2993265.0</v>
      </c>
    </row>
    <row r="1045">
      <c r="A1045" s="25">
        <v>39899.645833333336</v>
      </c>
      <c r="B1045" s="25">
        <v>171.88</v>
      </c>
      <c r="C1045" s="25">
        <v>173.25</v>
      </c>
      <c r="D1045" s="25">
        <v>166.26</v>
      </c>
      <c r="E1045" s="25">
        <v>168.11</v>
      </c>
      <c r="F1045" s="25">
        <v>2087452.0</v>
      </c>
    </row>
    <row r="1046">
      <c r="A1046" s="25">
        <v>39902.645833333336</v>
      </c>
      <c r="B1046" s="25">
        <v>165.0</v>
      </c>
      <c r="C1046" s="25">
        <v>166.13</v>
      </c>
      <c r="D1046" s="25">
        <v>158.21</v>
      </c>
      <c r="E1046" s="25">
        <v>162.66</v>
      </c>
      <c r="F1046" s="25">
        <v>1549176.0</v>
      </c>
    </row>
    <row r="1047">
      <c r="A1047" s="25">
        <v>39903.645833333336</v>
      </c>
      <c r="B1047" s="25">
        <v>163.75</v>
      </c>
      <c r="C1047" s="25">
        <v>167.49</v>
      </c>
      <c r="D1047" s="25">
        <v>162.63</v>
      </c>
      <c r="E1047" s="25">
        <v>165.49</v>
      </c>
      <c r="F1047" s="25">
        <v>1596903.0</v>
      </c>
    </row>
    <row r="1048">
      <c r="A1048" s="25">
        <v>39904.645833333336</v>
      </c>
      <c r="B1048" s="25">
        <v>166.39</v>
      </c>
      <c r="C1048" s="25">
        <v>172.49</v>
      </c>
      <c r="D1048" s="25">
        <v>163.17</v>
      </c>
      <c r="E1048" s="25">
        <v>171.72</v>
      </c>
      <c r="F1048" s="25">
        <v>1554861.0</v>
      </c>
    </row>
    <row r="1049">
      <c r="A1049" s="25">
        <v>39905.645833333336</v>
      </c>
      <c r="B1049" s="25">
        <v>174.5</v>
      </c>
      <c r="C1049" s="25">
        <v>179.38</v>
      </c>
      <c r="D1049" s="25">
        <v>172.82</v>
      </c>
      <c r="E1049" s="25">
        <v>177.43</v>
      </c>
      <c r="F1049" s="25">
        <v>1964717.0</v>
      </c>
    </row>
    <row r="1050">
      <c r="A1050" s="25">
        <v>39909.645833333336</v>
      </c>
      <c r="B1050" s="25">
        <v>180.41</v>
      </c>
      <c r="C1050" s="25">
        <v>183.63</v>
      </c>
      <c r="D1050" s="25">
        <v>173.01</v>
      </c>
      <c r="E1050" s="25">
        <v>176.76</v>
      </c>
      <c r="F1050" s="25">
        <v>1732122.0</v>
      </c>
    </row>
    <row r="1051">
      <c r="A1051" s="25">
        <v>39911.645833333336</v>
      </c>
      <c r="B1051" s="25">
        <v>173.76</v>
      </c>
      <c r="C1051" s="25">
        <v>179.33</v>
      </c>
      <c r="D1051" s="25">
        <v>169.56</v>
      </c>
      <c r="E1051" s="25">
        <v>178.14</v>
      </c>
      <c r="F1051" s="25">
        <v>2475722.0</v>
      </c>
    </row>
    <row r="1052">
      <c r="A1052" s="25">
        <v>39912.645833333336</v>
      </c>
      <c r="B1052" s="25">
        <v>179.38</v>
      </c>
      <c r="C1052" s="25">
        <v>179.61</v>
      </c>
      <c r="D1052" s="25">
        <v>174.5</v>
      </c>
      <c r="E1052" s="25">
        <v>178.38</v>
      </c>
      <c r="F1052" s="25">
        <v>1882711.0</v>
      </c>
    </row>
    <row r="1053">
      <c r="A1053" s="25">
        <v>39916.645833333336</v>
      </c>
      <c r="B1053" s="25">
        <v>179.38</v>
      </c>
      <c r="C1053" s="25">
        <v>183.37</v>
      </c>
      <c r="D1053" s="25">
        <v>172.15</v>
      </c>
      <c r="E1053" s="25">
        <v>176.16</v>
      </c>
      <c r="F1053" s="25">
        <v>2354564.0</v>
      </c>
    </row>
    <row r="1054">
      <c r="A1054" s="25">
        <v>39918.645833333336</v>
      </c>
      <c r="B1054" s="25">
        <v>168.5</v>
      </c>
      <c r="C1054" s="25">
        <v>172.75</v>
      </c>
      <c r="D1054" s="25">
        <v>162.52</v>
      </c>
      <c r="E1054" s="25">
        <v>171.33</v>
      </c>
      <c r="F1054" s="25">
        <v>5579534.0</v>
      </c>
    </row>
    <row r="1055">
      <c r="A1055" s="25">
        <v>39919.645833333336</v>
      </c>
      <c r="B1055" s="25">
        <v>171.5</v>
      </c>
      <c r="C1055" s="25">
        <v>175.0</v>
      </c>
      <c r="D1055" s="25">
        <v>165.0</v>
      </c>
      <c r="E1055" s="25">
        <v>168.15</v>
      </c>
      <c r="F1055" s="25">
        <v>3413414.0</v>
      </c>
    </row>
    <row r="1056">
      <c r="A1056" s="25">
        <v>39920.645833333336</v>
      </c>
      <c r="B1056" s="25">
        <v>168.75</v>
      </c>
      <c r="C1056" s="25">
        <v>177.6</v>
      </c>
      <c r="D1056" s="25">
        <v>168.75</v>
      </c>
      <c r="E1056" s="25">
        <v>174.66</v>
      </c>
      <c r="F1056" s="25">
        <v>2937426.0</v>
      </c>
    </row>
    <row r="1057">
      <c r="A1057" s="25">
        <v>39923.645833333336</v>
      </c>
      <c r="B1057" s="25">
        <v>173.13</v>
      </c>
      <c r="C1057" s="25">
        <v>176.25</v>
      </c>
      <c r="D1057" s="25">
        <v>171.63</v>
      </c>
      <c r="E1057" s="25">
        <v>174.18</v>
      </c>
      <c r="F1057" s="25">
        <v>1866587.0</v>
      </c>
    </row>
    <row r="1058">
      <c r="A1058" s="25">
        <v>39924.645833333336</v>
      </c>
      <c r="B1058" s="25">
        <v>172.38</v>
      </c>
      <c r="C1058" s="25">
        <v>173.74</v>
      </c>
      <c r="D1058" s="25">
        <v>169.38</v>
      </c>
      <c r="E1058" s="25">
        <v>170.31</v>
      </c>
      <c r="F1058" s="25">
        <v>1001733.0</v>
      </c>
    </row>
    <row r="1059">
      <c r="A1059" s="25">
        <v>39925.645833333336</v>
      </c>
      <c r="B1059" s="25">
        <v>170.25</v>
      </c>
      <c r="C1059" s="25">
        <v>173.5</v>
      </c>
      <c r="D1059" s="25">
        <v>169.44</v>
      </c>
      <c r="E1059" s="25">
        <v>172.64</v>
      </c>
      <c r="F1059" s="25">
        <v>1327780.0</v>
      </c>
    </row>
    <row r="1060">
      <c r="A1060" s="25">
        <v>39926.645833333336</v>
      </c>
      <c r="B1060" s="25">
        <v>171.39</v>
      </c>
      <c r="C1060" s="25">
        <v>182.46</v>
      </c>
      <c r="D1060" s="25">
        <v>169.55</v>
      </c>
      <c r="E1060" s="25">
        <v>181.31</v>
      </c>
      <c r="F1060" s="25">
        <v>1524324.0</v>
      </c>
    </row>
    <row r="1061">
      <c r="A1061" s="25">
        <v>39927.645833333336</v>
      </c>
      <c r="B1061" s="25">
        <v>180.14</v>
      </c>
      <c r="C1061" s="25">
        <v>182.25</v>
      </c>
      <c r="D1061" s="25">
        <v>175.57</v>
      </c>
      <c r="E1061" s="25">
        <v>181.08</v>
      </c>
      <c r="F1061" s="25">
        <v>1426411.0</v>
      </c>
    </row>
    <row r="1062">
      <c r="A1062" s="25">
        <v>39930.645833333336</v>
      </c>
      <c r="B1062" s="25">
        <v>180.99</v>
      </c>
      <c r="C1062" s="25">
        <v>181.24</v>
      </c>
      <c r="D1062" s="25">
        <v>176.88</v>
      </c>
      <c r="E1062" s="25">
        <v>179.49</v>
      </c>
      <c r="F1062" s="25">
        <v>1204763.0</v>
      </c>
    </row>
    <row r="1063">
      <c r="A1063" s="25">
        <v>39931.645833333336</v>
      </c>
      <c r="B1063" s="25">
        <v>178.75</v>
      </c>
      <c r="C1063" s="25">
        <v>183.64</v>
      </c>
      <c r="D1063" s="25">
        <v>177.25</v>
      </c>
      <c r="E1063" s="25">
        <v>178.84</v>
      </c>
      <c r="F1063" s="25">
        <v>1179462.0</v>
      </c>
    </row>
    <row r="1064">
      <c r="A1064" s="25">
        <v>39932.645833333336</v>
      </c>
      <c r="B1064" s="25">
        <v>180.0</v>
      </c>
      <c r="C1064" s="25">
        <v>189.71</v>
      </c>
      <c r="D1064" s="25">
        <v>178.79</v>
      </c>
      <c r="E1064" s="25">
        <v>188.66</v>
      </c>
      <c r="F1064" s="25">
        <v>1926779.0</v>
      </c>
    </row>
    <row r="1065">
      <c r="A1065" s="25">
        <v>39937.645833333336</v>
      </c>
      <c r="B1065" s="25">
        <v>190.01</v>
      </c>
      <c r="C1065" s="25">
        <v>204.49</v>
      </c>
      <c r="D1065" s="25">
        <v>190.01</v>
      </c>
      <c r="E1065" s="25">
        <v>203.53</v>
      </c>
      <c r="F1065" s="25">
        <v>2501760.0</v>
      </c>
    </row>
    <row r="1066">
      <c r="A1066" s="25">
        <v>39938.645833333336</v>
      </c>
      <c r="B1066" s="25">
        <v>201.94</v>
      </c>
      <c r="C1066" s="25">
        <v>203.13</v>
      </c>
      <c r="D1066" s="25">
        <v>193.79</v>
      </c>
      <c r="E1066" s="25">
        <v>197.76</v>
      </c>
      <c r="F1066" s="25">
        <v>2303825.0</v>
      </c>
    </row>
    <row r="1067">
      <c r="A1067" s="25">
        <v>39939.645833333336</v>
      </c>
      <c r="B1067" s="25">
        <v>196.94</v>
      </c>
      <c r="C1067" s="25">
        <v>201.13</v>
      </c>
      <c r="D1067" s="25">
        <v>193.49</v>
      </c>
      <c r="E1067" s="25">
        <v>196.66</v>
      </c>
      <c r="F1067" s="25">
        <v>1808524.0</v>
      </c>
    </row>
    <row r="1068">
      <c r="A1068" s="25">
        <v>39940.645833333336</v>
      </c>
      <c r="B1068" s="25">
        <v>196.25</v>
      </c>
      <c r="C1068" s="25">
        <v>196.74</v>
      </c>
      <c r="D1068" s="25">
        <v>191.16</v>
      </c>
      <c r="E1068" s="25">
        <v>194.09</v>
      </c>
      <c r="F1068" s="25">
        <v>1817268.0</v>
      </c>
    </row>
    <row r="1069">
      <c r="A1069" s="25">
        <v>39941.645833333336</v>
      </c>
      <c r="B1069" s="25">
        <v>193.63</v>
      </c>
      <c r="C1069" s="25">
        <v>196.38</v>
      </c>
      <c r="D1069" s="25">
        <v>187.65</v>
      </c>
      <c r="E1069" s="25">
        <v>190.09</v>
      </c>
      <c r="F1069" s="25">
        <v>1618896.0</v>
      </c>
    </row>
    <row r="1070">
      <c r="A1070" s="25">
        <v>39944.645833333336</v>
      </c>
      <c r="B1070" s="25">
        <v>190.0</v>
      </c>
      <c r="C1070" s="25">
        <v>192.34</v>
      </c>
      <c r="D1070" s="25">
        <v>186.53</v>
      </c>
      <c r="E1070" s="25">
        <v>189.71</v>
      </c>
      <c r="F1070" s="25">
        <v>817225.0</v>
      </c>
    </row>
    <row r="1071">
      <c r="A1071" s="25">
        <v>39945.645833333336</v>
      </c>
      <c r="B1071" s="25">
        <v>188.13</v>
      </c>
      <c r="C1071" s="25">
        <v>200.63</v>
      </c>
      <c r="D1071" s="25">
        <v>187.95</v>
      </c>
      <c r="E1071" s="25">
        <v>199.81</v>
      </c>
      <c r="F1071" s="25">
        <v>1766472.0</v>
      </c>
    </row>
    <row r="1072">
      <c r="A1072" s="25">
        <v>39946.645833333336</v>
      </c>
      <c r="B1072" s="25">
        <v>200.03</v>
      </c>
      <c r="C1072" s="25">
        <v>200.03</v>
      </c>
      <c r="D1072" s="25">
        <v>195.0</v>
      </c>
      <c r="E1072" s="25">
        <v>196.74</v>
      </c>
      <c r="F1072" s="25">
        <v>938561.0</v>
      </c>
    </row>
    <row r="1073">
      <c r="A1073" s="25">
        <v>39947.645833333336</v>
      </c>
      <c r="B1073" s="25">
        <v>192.5</v>
      </c>
      <c r="C1073" s="25">
        <v>198.5</v>
      </c>
      <c r="D1073" s="25">
        <v>191.61</v>
      </c>
      <c r="E1073" s="25">
        <v>195.9</v>
      </c>
      <c r="F1073" s="25">
        <v>1068409.0</v>
      </c>
    </row>
    <row r="1074">
      <c r="A1074" s="25">
        <v>39948.645833333336</v>
      </c>
      <c r="B1074" s="25">
        <v>196.38</v>
      </c>
      <c r="C1074" s="25">
        <v>200.88</v>
      </c>
      <c r="D1074" s="25">
        <v>195.07</v>
      </c>
      <c r="E1074" s="25">
        <v>199.1</v>
      </c>
      <c r="F1074" s="25">
        <v>1047206.0</v>
      </c>
    </row>
    <row r="1075">
      <c r="A1075" s="25">
        <v>39951.645833333336</v>
      </c>
      <c r="B1075" s="25">
        <v>213.13</v>
      </c>
      <c r="C1075" s="25">
        <v>238.86</v>
      </c>
      <c r="D1075" s="25">
        <v>210.13</v>
      </c>
      <c r="E1075" s="25">
        <v>225.01</v>
      </c>
      <c r="F1075" s="25">
        <v>17453.0</v>
      </c>
    </row>
    <row r="1076">
      <c r="A1076" s="25">
        <v>39952.645833333336</v>
      </c>
      <c r="B1076" s="25">
        <v>213.91</v>
      </c>
      <c r="C1076" s="25">
        <v>224.38</v>
      </c>
      <c r="D1076" s="25">
        <v>193.5</v>
      </c>
      <c r="E1076" s="25">
        <v>194.87</v>
      </c>
      <c r="F1076" s="25">
        <v>5552238.0</v>
      </c>
    </row>
    <row r="1077">
      <c r="A1077" s="25">
        <v>39953.645833333336</v>
      </c>
      <c r="B1077" s="25">
        <v>194.75</v>
      </c>
      <c r="C1077" s="25">
        <v>201.0</v>
      </c>
      <c r="D1077" s="25">
        <v>189.42</v>
      </c>
      <c r="E1077" s="25">
        <v>191.36</v>
      </c>
      <c r="F1077" s="25">
        <v>4176075.0</v>
      </c>
    </row>
    <row r="1078">
      <c r="A1078" s="25">
        <v>39954.645833333336</v>
      </c>
      <c r="B1078" s="25">
        <v>190.13</v>
      </c>
      <c r="C1078" s="25">
        <v>194.38</v>
      </c>
      <c r="D1078" s="25">
        <v>186.5</v>
      </c>
      <c r="E1078" s="25">
        <v>187.8</v>
      </c>
      <c r="F1078" s="25">
        <v>2427936.0</v>
      </c>
    </row>
    <row r="1079">
      <c r="A1079" s="25">
        <v>39955.645833333336</v>
      </c>
      <c r="B1079" s="25">
        <v>186.25</v>
      </c>
      <c r="C1079" s="25">
        <v>191.13</v>
      </c>
      <c r="D1079" s="25">
        <v>185.63</v>
      </c>
      <c r="E1079" s="25">
        <v>190.29</v>
      </c>
      <c r="F1079" s="25">
        <v>1139895.0</v>
      </c>
    </row>
    <row r="1080">
      <c r="A1080" s="25">
        <v>39958.645833333336</v>
      </c>
      <c r="B1080" s="25">
        <v>191.25</v>
      </c>
      <c r="C1080" s="25">
        <v>191.25</v>
      </c>
      <c r="D1080" s="25">
        <v>186.32</v>
      </c>
      <c r="E1080" s="25">
        <v>188.88</v>
      </c>
      <c r="F1080" s="25">
        <v>1307070.0</v>
      </c>
    </row>
    <row r="1081">
      <c r="A1081" s="25">
        <v>39959.645833333336</v>
      </c>
      <c r="B1081" s="25">
        <v>190.51</v>
      </c>
      <c r="C1081" s="25">
        <v>195.08</v>
      </c>
      <c r="D1081" s="25">
        <v>188.89</v>
      </c>
      <c r="E1081" s="25">
        <v>193.46</v>
      </c>
      <c r="F1081" s="25">
        <v>1456708.0</v>
      </c>
    </row>
    <row r="1082">
      <c r="A1082" s="25">
        <v>39960.645833333336</v>
      </c>
      <c r="B1082" s="25">
        <v>195.25</v>
      </c>
      <c r="C1082" s="25">
        <v>199.63</v>
      </c>
      <c r="D1082" s="25">
        <v>194.52</v>
      </c>
      <c r="E1082" s="25">
        <v>198.52</v>
      </c>
      <c r="F1082" s="25">
        <v>1237356.0</v>
      </c>
    </row>
    <row r="1083">
      <c r="A1083" s="25">
        <v>39961.645833333336</v>
      </c>
      <c r="B1083" s="25">
        <v>189.69</v>
      </c>
      <c r="C1083" s="25">
        <v>203.63</v>
      </c>
      <c r="D1083" s="25">
        <v>189.69</v>
      </c>
      <c r="E1083" s="25">
        <v>197.38</v>
      </c>
      <c r="F1083" s="25">
        <v>2608362.0</v>
      </c>
    </row>
    <row r="1084">
      <c r="A1084" s="25">
        <v>39962.645833333336</v>
      </c>
      <c r="B1084" s="25">
        <v>198.59</v>
      </c>
      <c r="C1084" s="25">
        <v>201.88</v>
      </c>
      <c r="D1084" s="25">
        <v>196.88</v>
      </c>
      <c r="E1084" s="25">
        <v>200.64</v>
      </c>
      <c r="F1084" s="25">
        <v>1739799.0</v>
      </c>
    </row>
    <row r="1085">
      <c r="A1085" s="25">
        <v>39965.645833333336</v>
      </c>
      <c r="B1085" s="25">
        <v>201.92</v>
      </c>
      <c r="C1085" s="25">
        <v>210.71</v>
      </c>
      <c r="D1085" s="25">
        <v>200.67</v>
      </c>
      <c r="E1085" s="25">
        <v>209.56</v>
      </c>
      <c r="F1085" s="25">
        <v>1648466.0</v>
      </c>
    </row>
    <row r="1086">
      <c r="A1086" s="25">
        <v>39966.645833333336</v>
      </c>
      <c r="B1086" s="25">
        <v>212.48</v>
      </c>
      <c r="C1086" s="25">
        <v>213.5</v>
      </c>
      <c r="D1086" s="25">
        <v>207.88</v>
      </c>
      <c r="E1086" s="25">
        <v>211.08</v>
      </c>
      <c r="F1086" s="25">
        <v>1303270.0</v>
      </c>
    </row>
    <row r="1087">
      <c r="A1087" s="25">
        <v>39967.645833333336</v>
      </c>
      <c r="B1087" s="25">
        <v>211.03</v>
      </c>
      <c r="C1087" s="25">
        <v>213.5</v>
      </c>
      <c r="D1087" s="25">
        <v>201.65</v>
      </c>
      <c r="E1087" s="25">
        <v>205.19</v>
      </c>
      <c r="F1087" s="25">
        <v>1714253.0</v>
      </c>
    </row>
    <row r="1088">
      <c r="A1088" s="25">
        <v>39968.645833333336</v>
      </c>
      <c r="B1088" s="25">
        <v>204.35</v>
      </c>
      <c r="C1088" s="25">
        <v>206.18</v>
      </c>
      <c r="D1088" s="25">
        <v>200.13</v>
      </c>
      <c r="E1088" s="25">
        <v>203.74</v>
      </c>
      <c r="F1088" s="25">
        <v>1368127.0</v>
      </c>
    </row>
    <row r="1089">
      <c r="A1089" s="25">
        <v>39969.645833333336</v>
      </c>
      <c r="B1089" s="25">
        <v>206.5</v>
      </c>
      <c r="C1089" s="25">
        <v>214.38</v>
      </c>
      <c r="D1089" s="25">
        <v>204.38</v>
      </c>
      <c r="E1089" s="25">
        <v>212.36</v>
      </c>
      <c r="F1089" s="25">
        <v>2074335.0</v>
      </c>
    </row>
    <row r="1090">
      <c r="A1090" s="25">
        <v>39972.645833333336</v>
      </c>
      <c r="B1090" s="25">
        <v>212.25</v>
      </c>
      <c r="C1090" s="25">
        <v>219.0</v>
      </c>
      <c r="D1090" s="25">
        <v>211.5</v>
      </c>
      <c r="E1090" s="25">
        <v>217.76</v>
      </c>
      <c r="F1090" s="25">
        <v>1409798.0</v>
      </c>
    </row>
    <row r="1091">
      <c r="A1091" s="25">
        <v>39973.645833333336</v>
      </c>
      <c r="B1091" s="25">
        <v>216.25</v>
      </c>
      <c r="C1091" s="25">
        <v>225.0</v>
      </c>
      <c r="D1091" s="25">
        <v>215.03</v>
      </c>
      <c r="E1091" s="25">
        <v>224.35</v>
      </c>
      <c r="F1091" s="25">
        <v>2109443.0</v>
      </c>
    </row>
    <row r="1092">
      <c r="A1092" s="25">
        <v>39974.645833333336</v>
      </c>
      <c r="B1092" s="25">
        <v>223.75</v>
      </c>
      <c r="C1092" s="25">
        <v>229.75</v>
      </c>
      <c r="D1092" s="25">
        <v>220.38</v>
      </c>
      <c r="E1092" s="25">
        <v>226.1</v>
      </c>
      <c r="F1092" s="25">
        <v>2216671.0</v>
      </c>
    </row>
    <row r="1093">
      <c r="A1093" s="25">
        <v>39975.645833333336</v>
      </c>
      <c r="B1093" s="25">
        <v>230.55</v>
      </c>
      <c r="C1093" s="25">
        <v>230.55</v>
      </c>
      <c r="D1093" s="25">
        <v>215.08</v>
      </c>
      <c r="E1093" s="25">
        <v>218.87</v>
      </c>
      <c r="F1093" s="25">
        <v>2032225.0</v>
      </c>
    </row>
    <row r="1094">
      <c r="A1094" s="25">
        <v>39976.645833333336</v>
      </c>
      <c r="B1094" s="25">
        <v>220.13</v>
      </c>
      <c r="C1094" s="25">
        <v>221.88</v>
      </c>
      <c r="D1094" s="25">
        <v>214.13</v>
      </c>
      <c r="E1094" s="25">
        <v>216.06</v>
      </c>
      <c r="F1094" s="25">
        <v>1183384.0</v>
      </c>
    </row>
    <row r="1095">
      <c r="A1095" s="25">
        <v>39979.645833333336</v>
      </c>
      <c r="B1095" s="25">
        <v>215.61</v>
      </c>
      <c r="C1095" s="25">
        <v>221.99</v>
      </c>
      <c r="D1095" s="25">
        <v>210.52</v>
      </c>
      <c r="E1095" s="25">
        <v>214.39</v>
      </c>
      <c r="F1095" s="25">
        <v>2076594.0</v>
      </c>
    </row>
    <row r="1096">
      <c r="A1096" s="25">
        <v>39980.645833333336</v>
      </c>
      <c r="B1096" s="25">
        <v>213.5</v>
      </c>
      <c r="C1096" s="25">
        <v>216.87</v>
      </c>
      <c r="D1096" s="25">
        <v>210.63</v>
      </c>
      <c r="E1096" s="25">
        <v>215.58</v>
      </c>
      <c r="F1096" s="25">
        <v>1189962.0</v>
      </c>
    </row>
    <row r="1097">
      <c r="A1097" s="25">
        <v>39981.645833333336</v>
      </c>
      <c r="B1097" s="25">
        <v>212.25</v>
      </c>
      <c r="C1097" s="25">
        <v>217.76</v>
      </c>
      <c r="D1097" s="25">
        <v>209.54</v>
      </c>
      <c r="E1097" s="25">
        <v>213.93</v>
      </c>
      <c r="F1097" s="25">
        <v>1683838.0</v>
      </c>
    </row>
    <row r="1098">
      <c r="A1098" s="25">
        <v>39982.645833333336</v>
      </c>
      <c r="B1098" s="25">
        <v>211.5</v>
      </c>
      <c r="C1098" s="25">
        <v>220.25</v>
      </c>
      <c r="D1098" s="25">
        <v>210.71</v>
      </c>
      <c r="E1098" s="25">
        <v>215.72</v>
      </c>
      <c r="F1098" s="25">
        <v>1589301.0</v>
      </c>
    </row>
    <row r="1099">
      <c r="A1099" s="25">
        <v>39983.645833333336</v>
      </c>
      <c r="B1099" s="25">
        <v>216.0</v>
      </c>
      <c r="C1099" s="25">
        <v>223.14</v>
      </c>
      <c r="D1099" s="25">
        <v>214.64</v>
      </c>
      <c r="E1099" s="25">
        <v>221.3</v>
      </c>
      <c r="F1099" s="25">
        <v>1871865.0</v>
      </c>
    </row>
    <row r="1100">
      <c r="A1100" s="25">
        <v>39986.645833333336</v>
      </c>
      <c r="B1100" s="25">
        <v>222.53</v>
      </c>
      <c r="C1100" s="25">
        <v>223.65</v>
      </c>
      <c r="D1100" s="25">
        <v>218.5</v>
      </c>
      <c r="E1100" s="25">
        <v>220.8</v>
      </c>
      <c r="F1100" s="25">
        <v>1177326.0</v>
      </c>
    </row>
    <row r="1101">
      <c r="A1101" s="25">
        <v>39987.645833333336</v>
      </c>
      <c r="B1101" s="25">
        <v>217.66</v>
      </c>
      <c r="C1101" s="25">
        <v>221.24</v>
      </c>
      <c r="D1101" s="25">
        <v>212.63</v>
      </c>
      <c r="E1101" s="25">
        <v>218.42</v>
      </c>
      <c r="F1101" s="25">
        <v>1579004.0</v>
      </c>
    </row>
    <row r="1102">
      <c r="A1102" s="25">
        <v>39988.645833333336</v>
      </c>
      <c r="B1102" s="25">
        <v>218.79</v>
      </c>
      <c r="C1102" s="25">
        <v>221.86</v>
      </c>
      <c r="D1102" s="25">
        <v>215.28</v>
      </c>
      <c r="E1102" s="25">
        <v>219.69</v>
      </c>
      <c r="F1102" s="25">
        <v>1273803.0</v>
      </c>
    </row>
    <row r="1103">
      <c r="A1103" s="25">
        <v>39989.645833333336</v>
      </c>
      <c r="B1103" s="25">
        <v>220.56</v>
      </c>
      <c r="C1103" s="25">
        <v>224.73</v>
      </c>
      <c r="D1103" s="25">
        <v>218.53</v>
      </c>
      <c r="E1103" s="25">
        <v>219.89</v>
      </c>
      <c r="F1103" s="25">
        <v>1653860.0</v>
      </c>
    </row>
    <row r="1104">
      <c r="A1104" s="25">
        <v>39990.645833333336</v>
      </c>
      <c r="B1104" s="25">
        <v>223.13</v>
      </c>
      <c r="C1104" s="25">
        <v>230.0</v>
      </c>
      <c r="D1104" s="25">
        <v>219.38</v>
      </c>
      <c r="E1104" s="25">
        <v>228.39</v>
      </c>
      <c r="F1104" s="25">
        <v>1618272.0</v>
      </c>
    </row>
    <row r="1105">
      <c r="A1105" s="25">
        <v>39993.645833333336</v>
      </c>
      <c r="B1105" s="25">
        <v>232.49</v>
      </c>
      <c r="C1105" s="25">
        <v>258.75</v>
      </c>
      <c r="D1105" s="25">
        <v>221.38</v>
      </c>
      <c r="E1105" s="25">
        <v>222.87</v>
      </c>
      <c r="F1105" s="25">
        <v>1224429.0</v>
      </c>
    </row>
    <row r="1106">
      <c r="A1106" s="25">
        <v>39994.645833333336</v>
      </c>
      <c r="B1106" s="25">
        <v>224.38</v>
      </c>
      <c r="C1106" s="25">
        <v>224.88</v>
      </c>
      <c r="D1106" s="25">
        <v>219.78</v>
      </c>
      <c r="E1106" s="25">
        <v>222.06</v>
      </c>
      <c r="F1106" s="25">
        <v>1119606.0</v>
      </c>
    </row>
    <row r="1107">
      <c r="A1107" s="25">
        <v>39995.645833333336</v>
      </c>
      <c r="B1107" s="25">
        <v>221.32</v>
      </c>
      <c r="C1107" s="25">
        <v>226.47</v>
      </c>
      <c r="D1107" s="25">
        <v>220.58</v>
      </c>
      <c r="E1107" s="25">
        <v>224.4</v>
      </c>
      <c r="F1107" s="25">
        <v>999018.0</v>
      </c>
    </row>
    <row r="1108">
      <c r="A1108" s="25">
        <v>39996.645833333336</v>
      </c>
      <c r="B1108" s="25">
        <v>223.89</v>
      </c>
      <c r="C1108" s="25">
        <v>225.5</v>
      </c>
      <c r="D1108" s="25">
        <v>220.64</v>
      </c>
      <c r="E1108" s="25">
        <v>224.58</v>
      </c>
      <c r="F1108" s="25">
        <v>1052380.0</v>
      </c>
    </row>
    <row r="1109">
      <c r="A1109" s="25">
        <v>39997.645833333336</v>
      </c>
      <c r="B1109" s="25">
        <v>223.15</v>
      </c>
      <c r="C1109" s="25">
        <v>227.0</v>
      </c>
      <c r="D1109" s="25">
        <v>218.46</v>
      </c>
      <c r="E1109" s="25">
        <v>225.64</v>
      </c>
      <c r="F1109" s="25">
        <v>1111481.0</v>
      </c>
    </row>
    <row r="1110">
      <c r="A1110" s="25">
        <v>40000.645833333336</v>
      </c>
      <c r="B1110" s="25">
        <v>226.25</v>
      </c>
      <c r="C1110" s="25">
        <v>227.43</v>
      </c>
      <c r="D1110" s="25">
        <v>218.79</v>
      </c>
      <c r="E1110" s="25">
        <v>220.15</v>
      </c>
      <c r="F1110" s="25">
        <v>1693586.0</v>
      </c>
    </row>
    <row r="1111">
      <c r="A1111" s="25">
        <v>40001.645833333336</v>
      </c>
      <c r="B1111" s="25">
        <v>224.63</v>
      </c>
      <c r="C1111" s="25">
        <v>224.63</v>
      </c>
      <c r="D1111" s="25">
        <v>215.63</v>
      </c>
      <c r="E1111" s="25">
        <v>217.24</v>
      </c>
      <c r="F1111" s="25">
        <v>1585745.0</v>
      </c>
    </row>
    <row r="1112">
      <c r="A1112" s="25">
        <v>40002.645833333336</v>
      </c>
      <c r="B1112" s="25">
        <v>216.13</v>
      </c>
      <c r="C1112" s="25">
        <v>217.25</v>
      </c>
      <c r="D1112" s="25">
        <v>211.25</v>
      </c>
      <c r="E1112" s="25">
        <v>213.3</v>
      </c>
      <c r="F1112" s="25">
        <v>1128074.0</v>
      </c>
    </row>
    <row r="1113">
      <c r="A1113" s="25">
        <v>40003.645833333336</v>
      </c>
      <c r="B1113" s="25">
        <v>213.75</v>
      </c>
      <c r="C1113" s="25">
        <v>213.75</v>
      </c>
      <c r="D1113" s="25">
        <v>208.75</v>
      </c>
      <c r="E1113" s="25">
        <v>209.69</v>
      </c>
      <c r="F1113" s="25">
        <v>1365224.0</v>
      </c>
    </row>
    <row r="1114">
      <c r="A1114" s="25">
        <v>40004.645833333336</v>
      </c>
      <c r="B1114" s="25">
        <v>212.5</v>
      </c>
      <c r="C1114" s="25">
        <v>221.23</v>
      </c>
      <c r="D1114" s="25">
        <v>208.13</v>
      </c>
      <c r="E1114" s="25">
        <v>215.14</v>
      </c>
      <c r="F1114" s="25">
        <v>3025675.0</v>
      </c>
    </row>
    <row r="1115">
      <c r="A1115" s="25">
        <v>40007.645833333336</v>
      </c>
      <c r="B1115" s="25">
        <v>214.1</v>
      </c>
      <c r="C1115" s="25">
        <v>221.86</v>
      </c>
      <c r="D1115" s="25">
        <v>212.64</v>
      </c>
      <c r="E1115" s="25">
        <v>221.26</v>
      </c>
      <c r="F1115" s="25">
        <v>1031125.0</v>
      </c>
    </row>
    <row r="1116">
      <c r="A1116" s="25">
        <v>40008.645833333336</v>
      </c>
      <c r="B1116" s="25">
        <v>221.24</v>
      </c>
      <c r="C1116" s="25">
        <v>227.49</v>
      </c>
      <c r="D1116" s="25">
        <v>218.89</v>
      </c>
      <c r="E1116" s="25">
        <v>226.48</v>
      </c>
      <c r="F1116" s="25">
        <v>1455859.0</v>
      </c>
    </row>
    <row r="1117">
      <c r="A1117" s="25">
        <v>40009.645833333336</v>
      </c>
      <c r="B1117" s="25">
        <v>225.21</v>
      </c>
      <c r="C1117" s="25">
        <v>227.93</v>
      </c>
      <c r="D1117" s="25">
        <v>219.38</v>
      </c>
      <c r="E1117" s="25">
        <v>223.96</v>
      </c>
      <c r="F1117" s="25">
        <v>1946854.0</v>
      </c>
    </row>
    <row r="1118">
      <c r="A1118" s="25">
        <v>40010.645833333336</v>
      </c>
      <c r="B1118" s="25">
        <v>225.0</v>
      </c>
      <c r="C1118" s="25">
        <v>227.2</v>
      </c>
      <c r="D1118" s="25">
        <v>220.86</v>
      </c>
      <c r="E1118" s="25">
        <v>224.39</v>
      </c>
      <c r="F1118" s="25">
        <v>1174159.0</v>
      </c>
    </row>
    <row r="1119">
      <c r="A1119" s="25">
        <v>40011.645833333336</v>
      </c>
      <c r="B1119" s="25">
        <v>225.28</v>
      </c>
      <c r="C1119" s="25">
        <v>234.25</v>
      </c>
      <c r="D1119" s="25">
        <v>225.25</v>
      </c>
      <c r="E1119" s="25">
        <v>233.29</v>
      </c>
      <c r="F1119" s="25">
        <v>1571441.0</v>
      </c>
    </row>
    <row r="1120">
      <c r="A1120" s="25">
        <v>40014.645833333336</v>
      </c>
      <c r="B1120" s="25">
        <v>233.76</v>
      </c>
      <c r="C1120" s="25">
        <v>249.25</v>
      </c>
      <c r="D1120" s="25">
        <v>233.76</v>
      </c>
      <c r="E1120" s="25">
        <v>246.43</v>
      </c>
      <c r="F1120" s="25">
        <v>2509467.0</v>
      </c>
    </row>
    <row r="1121">
      <c r="A1121" s="25">
        <v>40015.645833333336</v>
      </c>
      <c r="B1121" s="25">
        <v>245.61</v>
      </c>
      <c r="C1121" s="25">
        <v>246.25</v>
      </c>
      <c r="D1121" s="25">
        <v>240.69</v>
      </c>
      <c r="E1121" s="25">
        <v>242.89</v>
      </c>
      <c r="F1121" s="25">
        <v>1815567.0</v>
      </c>
    </row>
    <row r="1122">
      <c r="A1122" s="25">
        <v>40016.645833333336</v>
      </c>
      <c r="B1122" s="25">
        <v>242.89</v>
      </c>
      <c r="C1122" s="25">
        <v>246.85</v>
      </c>
      <c r="D1122" s="25">
        <v>236.58</v>
      </c>
      <c r="E1122" s="25">
        <v>239.98</v>
      </c>
      <c r="F1122" s="25">
        <v>1914283.0</v>
      </c>
    </row>
    <row r="1123">
      <c r="A1123" s="25">
        <v>40017.645833333336</v>
      </c>
      <c r="B1123" s="25">
        <v>240.0</v>
      </c>
      <c r="C1123" s="25">
        <v>247.32</v>
      </c>
      <c r="D1123" s="25">
        <v>240.0</v>
      </c>
      <c r="E1123" s="25">
        <v>244.84</v>
      </c>
      <c r="F1123" s="25">
        <v>2161061.0</v>
      </c>
    </row>
    <row r="1124">
      <c r="A1124" s="25">
        <v>40018.645833333336</v>
      </c>
      <c r="B1124" s="25">
        <v>245.01</v>
      </c>
      <c r="C1124" s="25">
        <v>252.13</v>
      </c>
      <c r="D1124" s="25">
        <v>245.01</v>
      </c>
      <c r="E1124" s="25">
        <v>250.46</v>
      </c>
      <c r="F1124" s="25">
        <v>1755151.0</v>
      </c>
    </row>
    <row r="1125">
      <c r="A1125" s="25">
        <v>40021.645833333336</v>
      </c>
      <c r="B1125" s="25">
        <v>250.0</v>
      </c>
      <c r="C1125" s="25">
        <v>255.61</v>
      </c>
      <c r="D1125" s="25">
        <v>249.41</v>
      </c>
      <c r="E1125" s="25">
        <v>253.49</v>
      </c>
      <c r="F1125" s="25">
        <v>1305415.0</v>
      </c>
    </row>
    <row r="1126">
      <c r="A1126" s="25">
        <v>40022.645833333336</v>
      </c>
      <c r="B1126" s="25">
        <v>251.88</v>
      </c>
      <c r="C1126" s="25">
        <v>254.82</v>
      </c>
      <c r="D1126" s="25">
        <v>245.88</v>
      </c>
      <c r="E1126" s="25">
        <v>249.63</v>
      </c>
      <c r="F1126" s="25">
        <v>1762641.0</v>
      </c>
    </row>
    <row r="1127">
      <c r="A1127" s="25">
        <v>40023.645833333336</v>
      </c>
      <c r="B1127" s="25">
        <v>245.04</v>
      </c>
      <c r="C1127" s="25">
        <v>249.74</v>
      </c>
      <c r="D1127" s="25">
        <v>243.03</v>
      </c>
      <c r="E1127" s="25">
        <v>248.09</v>
      </c>
      <c r="F1127" s="25">
        <v>1740951.0</v>
      </c>
    </row>
    <row r="1128">
      <c r="A1128" s="25">
        <v>40024.645833333336</v>
      </c>
      <c r="B1128" s="25">
        <v>248.28</v>
      </c>
      <c r="C1128" s="25">
        <v>252.75</v>
      </c>
      <c r="D1128" s="25">
        <v>248.28</v>
      </c>
      <c r="E1128" s="25">
        <v>251.74</v>
      </c>
      <c r="F1128" s="25">
        <v>2785187.0</v>
      </c>
    </row>
    <row r="1129">
      <c r="A1129" s="25">
        <v>40025.645833333336</v>
      </c>
      <c r="B1129" s="25">
        <v>253.99</v>
      </c>
      <c r="C1129" s="25">
        <v>259.88</v>
      </c>
      <c r="D1129" s="25">
        <v>253.34</v>
      </c>
      <c r="E1129" s="25">
        <v>258.04</v>
      </c>
      <c r="F1129" s="25">
        <v>2072870.0</v>
      </c>
    </row>
    <row r="1130">
      <c r="A1130" s="25">
        <v>40028.645833333336</v>
      </c>
      <c r="B1130" s="25">
        <v>258.0</v>
      </c>
      <c r="C1130" s="25">
        <v>261.68</v>
      </c>
      <c r="D1130" s="25">
        <v>256.02</v>
      </c>
      <c r="E1130" s="25">
        <v>259.56</v>
      </c>
      <c r="F1130" s="25">
        <v>1830103.0</v>
      </c>
    </row>
    <row r="1131">
      <c r="A1131" s="25">
        <v>40029.645833333336</v>
      </c>
      <c r="B1131" s="25">
        <v>260.0</v>
      </c>
      <c r="C1131" s="25">
        <v>260.93</v>
      </c>
      <c r="D1131" s="25">
        <v>252.63</v>
      </c>
      <c r="E1131" s="25">
        <v>255.47</v>
      </c>
      <c r="F1131" s="25">
        <v>1198107.0</v>
      </c>
    </row>
    <row r="1132">
      <c r="A1132" s="25">
        <v>40030.645833333336</v>
      </c>
      <c r="B1132" s="25">
        <v>257.46</v>
      </c>
      <c r="C1132" s="25">
        <v>263.38</v>
      </c>
      <c r="D1132" s="25">
        <v>257.46</v>
      </c>
      <c r="E1132" s="25">
        <v>262.33</v>
      </c>
      <c r="F1132" s="25">
        <v>1293391.0</v>
      </c>
    </row>
    <row r="1133">
      <c r="A1133" s="25">
        <v>40031.645833333336</v>
      </c>
      <c r="B1133" s="25">
        <v>262.5</v>
      </c>
      <c r="C1133" s="25">
        <v>262.5</v>
      </c>
      <c r="D1133" s="25">
        <v>255.01</v>
      </c>
      <c r="E1133" s="25">
        <v>257.3</v>
      </c>
      <c r="F1133" s="25">
        <v>854106.0</v>
      </c>
    </row>
    <row r="1134">
      <c r="A1134" s="25">
        <v>40032.645833333336</v>
      </c>
      <c r="B1134" s="25">
        <v>257.25</v>
      </c>
      <c r="C1134" s="25">
        <v>257.25</v>
      </c>
      <c r="D1134" s="25">
        <v>253.13</v>
      </c>
      <c r="E1134" s="25">
        <v>254.96</v>
      </c>
      <c r="F1134" s="25">
        <v>1231325.0</v>
      </c>
    </row>
    <row r="1135">
      <c r="A1135" s="25">
        <v>40035.645833333336</v>
      </c>
      <c r="B1135" s="25">
        <v>256.25</v>
      </c>
      <c r="C1135" s="25">
        <v>264.38</v>
      </c>
      <c r="D1135" s="25">
        <v>256.25</v>
      </c>
      <c r="E1135" s="25">
        <v>260.96</v>
      </c>
      <c r="F1135" s="25">
        <v>1551510.0</v>
      </c>
    </row>
    <row r="1136">
      <c r="A1136" s="25">
        <v>40036.645833333336</v>
      </c>
      <c r="B1136" s="25">
        <v>259.88</v>
      </c>
      <c r="C1136" s="25">
        <v>263.75</v>
      </c>
      <c r="D1136" s="25">
        <v>257.43</v>
      </c>
      <c r="E1136" s="25">
        <v>260.59</v>
      </c>
      <c r="F1136" s="25">
        <v>1150907.0</v>
      </c>
    </row>
    <row r="1137">
      <c r="A1137" s="25">
        <v>40037.645833333336</v>
      </c>
      <c r="B1137" s="25">
        <v>258.5</v>
      </c>
      <c r="C1137" s="25">
        <v>258.75</v>
      </c>
      <c r="D1137" s="25">
        <v>249.5</v>
      </c>
      <c r="E1137" s="25">
        <v>255.35</v>
      </c>
      <c r="F1137" s="25">
        <v>914275.0</v>
      </c>
    </row>
    <row r="1138">
      <c r="A1138" s="25">
        <v>40038.645833333336</v>
      </c>
      <c r="B1138" s="25">
        <v>256.39</v>
      </c>
      <c r="C1138" s="25">
        <v>260.46</v>
      </c>
      <c r="D1138" s="25">
        <v>254.58</v>
      </c>
      <c r="E1138" s="25">
        <v>257.98</v>
      </c>
      <c r="F1138" s="25">
        <v>1432465.0</v>
      </c>
    </row>
    <row r="1139">
      <c r="A1139" s="25">
        <v>40039.645833333336</v>
      </c>
      <c r="B1139" s="25">
        <v>258.13</v>
      </c>
      <c r="C1139" s="25">
        <v>258.13</v>
      </c>
      <c r="D1139" s="25">
        <v>253.25</v>
      </c>
      <c r="E1139" s="25">
        <v>255.29</v>
      </c>
      <c r="F1139" s="25">
        <v>613261.0</v>
      </c>
    </row>
    <row r="1140">
      <c r="A1140" s="25">
        <v>40042.645833333336</v>
      </c>
      <c r="B1140" s="25">
        <v>253.13</v>
      </c>
      <c r="C1140" s="25">
        <v>253.13</v>
      </c>
      <c r="D1140" s="25">
        <v>246.41</v>
      </c>
      <c r="E1140" s="25">
        <v>247.81</v>
      </c>
      <c r="F1140" s="25">
        <v>1349613.0</v>
      </c>
    </row>
    <row r="1141">
      <c r="A1141" s="25">
        <v>40043.645833333336</v>
      </c>
      <c r="B1141" s="25">
        <v>246.25</v>
      </c>
      <c r="C1141" s="25">
        <v>249.63</v>
      </c>
      <c r="D1141" s="25">
        <v>244.38</v>
      </c>
      <c r="E1141" s="25">
        <v>246.67</v>
      </c>
      <c r="F1141" s="25">
        <v>1359883.0</v>
      </c>
    </row>
    <row r="1142">
      <c r="A1142" s="25">
        <v>40044.645833333336</v>
      </c>
      <c r="B1142" s="25">
        <v>248.13</v>
      </c>
      <c r="C1142" s="25">
        <v>248.13</v>
      </c>
      <c r="D1142" s="25">
        <v>241.88</v>
      </c>
      <c r="E1142" s="25">
        <v>243.94</v>
      </c>
      <c r="F1142" s="25">
        <v>951149.0</v>
      </c>
    </row>
    <row r="1143">
      <c r="A1143" s="25">
        <v>40045.645833333336</v>
      </c>
      <c r="B1143" s="25">
        <v>246.38</v>
      </c>
      <c r="C1143" s="25">
        <v>249.58</v>
      </c>
      <c r="D1143" s="25">
        <v>245.0</v>
      </c>
      <c r="E1143" s="25">
        <v>248.81</v>
      </c>
      <c r="F1143" s="25">
        <v>587072.0</v>
      </c>
    </row>
    <row r="1144">
      <c r="A1144" s="25">
        <v>40046.645833333336</v>
      </c>
      <c r="B1144" s="25">
        <v>249.38</v>
      </c>
      <c r="C1144" s="25">
        <v>255.63</v>
      </c>
      <c r="D1144" s="25">
        <v>246.25</v>
      </c>
      <c r="E1144" s="25">
        <v>254.14</v>
      </c>
      <c r="F1144" s="25">
        <v>1229653.0</v>
      </c>
    </row>
    <row r="1145">
      <c r="A1145" s="25">
        <v>40049.645833333336</v>
      </c>
      <c r="B1145" s="25">
        <v>257.49</v>
      </c>
      <c r="C1145" s="25">
        <v>260.55</v>
      </c>
      <c r="D1145" s="25">
        <v>256.33</v>
      </c>
      <c r="E1145" s="25">
        <v>259.49</v>
      </c>
      <c r="F1145" s="25">
        <v>739876.0</v>
      </c>
    </row>
    <row r="1146">
      <c r="A1146" s="25">
        <v>40050.645833333336</v>
      </c>
      <c r="B1146" s="25">
        <v>256.41</v>
      </c>
      <c r="C1146" s="25">
        <v>263.12</v>
      </c>
      <c r="D1146" s="25">
        <v>254.38</v>
      </c>
      <c r="E1146" s="25">
        <v>261.88</v>
      </c>
      <c r="F1146" s="25">
        <v>1018529.0</v>
      </c>
    </row>
    <row r="1147">
      <c r="A1147" s="25">
        <v>40051.645833333336</v>
      </c>
      <c r="B1147" s="25">
        <v>263.13</v>
      </c>
      <c r="C1147" s="25">
        <v>273.5</v>
      </c>
      <c r="D1147" s="25">
        <v>263.13</v>
      </c>
      <c r="E1147" s="25">
        <v>272.46</v>
      </c>
      <c r="F1147" s="25">
        <v>1787897.0</v>
      </c>
    </row>
    <row r="1148">
      <c r="A1148" s="25">
        <v>40052.645833333336</v>
      </c>
      <c r="B1148" s="25">
        <v>272.46</v>
      </c>
      <c r="C1148" s="25">
        <v>275.5</v>
      </c>
      <c r="D1148" s="25">
        <v>270.08</v>
      </c>
      <c r="E1148" s="25">
        <v>273.98</v>
      </c>
      <c r="F1148" s="25">
        <v>1640473.0</v>
      </c>
    </row>
    <row r="1149">
      <c r="A1149" s="25">
        <v>40053.645833333336</v>
      </c>
      <c r="B1149" s="25">
        <v>272.63</v>
      </c>
      <c r="C1149" s="25">
        <v>274.88</v>
      </c>
      <c r="D1149" s="25">
        <v>267.65</v>
      </c>
      <c r="E1149" s="25">
        <v>273.83</v>
      </c>
      <c r="F1149" s="25">
        <v>911586.0</v>
      </c>
    </row>
    <row r="1150">
      <c r="A1150" s="25">
        <v>40056.645833333336</v>
      </c>
      <c r="B1150" s="25">
        <v>270.7</v>
      </c>
      <c r="C1150" s="25">
        <v>270.7</v>
      </c>
      <c r="D1150" s="25">
        <v>265.28</v>
      </c>
      <c r="E1150" s="25">
        <v>266.39</v>
      </c>
      <c r="F1150" s="25">
        <v>1348579.0</v>
      </c>
    </row>
    <row r="1151">
      <c r="A1151" s="25">
        <v>40057.645833333336</v>
      </c>
      <c r="B1151" s="25">
        <v>267.49</v>
      </c>
      <c r="C1151" s="25">
        <v>273.75</v>
      </c>
      <c r="D1151" s="25">
        <v>265.33</v>
      </c>
      <c r="E1151" s="25">
        <v>268.11</v>
      </c>
      <c r="F1151" s="25">
        <v>1430765.0</v>
      </c>
    </row>
    <row r="1152">
      <c r="A1152" s="25">
        <v>40058.645833333336</v>
      </c>
      <c r="B1152" s="25">
        <v>267.5</v>
      </c>
      <c r="C1152" s="25">
        <v>272.5</v>
      </c>
      <c r="D1152" s="25">
        <v>265.0</v>
      </c>
      <c r="E1152" s="25">
        <v>270.61</v>
      </c>
      <c r="F1152" s="25">
        <v>980991.0</v>
      </c>
    </row>
    <row r="1153">
      <c r="A1153" s="25">
        <v>40059.645833333336</v>
      </c>
      <c r="B1153" s="25">
        <v>271.38</v>
      </c>
      <c r="C1153" s="25">
        <v>275.5</v>
      </c>
      <c r="D1153" s="25">
        <v>266.99</v>
      </c>
      <c r="E1153" s="25">
        <v>273.4</v>
      </c>
      <c r="F1153" s="25">
        <v>1705466.0</v>
      </c>
    </row>
    <row r="1154">
      <c r="A1154" s="25">
        <v>40060.645833333336</v>
      </c>
      <c r="B1154" s="25">
        <v>272.49</v>
      </c>
      <c r="C1154" s="25">
        <v>277.0</v>
      </c>
      <c r="D1154" s="25">
        <v>270.14</v>
      </c>
      <c r="E1154" s="25">
        <v>275.13</v>
      </c>
      <c r="F1154" s="25">
        <v>1126865.0</v>
      </c>
    </row>
    <row r="1155">
      <c r="A1155" s="25">
        <v>40063.645833333336</v>
      </c>
      <c r="B1155" s="25">
        <v>276.88</v>
      </c>
      <c r="C1155" s="25">
        <v>278.75</v>
      </c>
      <c r="D1155" s="25">
        <v>274.52</v>
      </c>
      <c r="E1155" s="25">
        <v>278.02</v>
      </c>
      <c r="F1155" s="25">
        <v>1016675.0</v>
      </c>
    </row>
    <row r="1156">
      <c r="A1156" s="25">
        <v>40064.645833333336</v>
      </c>
      <c r="B1156" s="25">
        <v>278.51</v>
      </c>
      <c r="C1156" s="25">
        <v>279.88</v>
      </c>
      <c r="D1156" s="25">
        <v>274.67</v>
      </c>
      <c r="E1156" s="25">
        <v>275.48</v>
      </c>
      <c r="F1156" s="25">
        <v>988641.0</v>
      </c>
    </row>
    <row r="1157">
      <c r="A1157" s="25">
        <v>40065.645833333336</v>
      </c>
      <c r="B1157" s="25">
        <v>275.64</v>
      </c>
      <c r="C1157" s="25">
        <v>277.31</v>
      </c>
      <c r="D1157" s="25">
        <v>272.13</v>
      </c>
      <c r="E1157" s="25">
        <v>273.71</v>
      </c>
      <c r="F1157" s="25">
        <v>944575.0</v>
      </c>
    </row>
    <row r="1158">
      <c r="A1158" s="25">
        <v>40066.645833333336</v>
      </c>
      <c r="B1158" s="25">
        <v>276.75</v>
      </c>
      <c r="C1158" s="25">
        <v>281.24</v>
      </c>
      <c r="D1158" s="25">
        <v>276.75</v>
      </c>
      <c r="E1158" s="25">
        <v>280.04</v>
      </c>
      <c r="F1158" s="25">
        <v>1103118.0</v>
      </c>
    </row>
    <row r="1159">
      <c r="A1159" s="25">
        <v>40067.645833333336</v>
      </c>
      <c r="B1159" s="25">
        <v>275.98</v>
      </c>
      <c r="C1159" s="25">
        <v>284.36</v>
      </c>
      <c r="D1159" s="25">
        <v>275.98</v>
      </c>
      <c r="E1159" s="25">
        <v>283.43</v>
      </c>
      <c r="F1159" s="25">
        <v>1199265.0</v>
      </c>
    </row>
    <row r="1160">
      <c r="A1160" s="25">
        <v>40070.645833333336</v>
      </c>
      <c r="B1160" s="25">
        <v>278.48</v>
      </c>
      <c r="C1160" s="25">
        <v>282.97</v>
      </c>
      <c r="D1160" s="25">
        <v>278.48</v>
      </c>
      <c r="E1160" s="25">
        <v>281.27</v>
      </c>
      <c r="F1160" s="25">
        <v>788059.0</v>
      </c>
    </row>
    <row r="1161">
      <c r="A1161" s="25">
        <v>40071.645833333336</v>
      </c>
      <c r="B1161" s="25">
        <v>280.74</v>
      </c>
      <c r="C1161" s="25">
        <v>284.38</v>
      </c>
      <c r="D1161" s="25">
        <v>280.0</v>
      </c>
      <c r="E1161" s="25">
        <v>283.82</v>
      </c>
      <c r="F1161" s="25">
        <v>803527.0</v>
      </c>
    </row>
    <row r="1162">
      <c r="A1162" s="25">
        <v>40072.645833333336</v>
      </c>
      <c r="B1162" s="25">
        <v>284.98</v>
      </c>
      <c r="C1162" s="25">
        <v>290.63</v>
      </c>
      <c r="D1162" s="25">
        <v>284.02</v>
      </c>
      <c r="E1162" s="25">
        <v>290.01</v>
      </c>
      <c r="F1162" s="25">
        <v>1260744.0</v>
      </c>
    </row>
    <row r="1163">
      <c r="A1163" s="25">
        <v>40073.645833333336</v>
      </c>
      <c r="B1163" s="25">
        <v>291.25</v>
      </c>
      <c r="C1163" s="25">
        <v>296.23</v>
      </c>
      <c r="D1163" s="25">
        <v>290.0</v>
      </c>
      <c r="E1163" s="25">
        <v>295.24</v>
      </c>
      <c r="F1163" s="25">
        <v>1282666.0</v>
      </c>
    </row>
    <row r="1164">
      <c r="A1164" s="25">
        <v>40074.645833333336</v>
      </c>
      <c r="B1164" s="25">
        <v>293.95</v>
      </c>
      <c r="C1164" s="25">
        <v>298.5</v>
      </c>
      <c r="D1164" s="25">
        <v>292.69</v>
      </c>
      <c r="E1164" s="25">
        <v>295.53</v>
      </c>
      <c r="F1164" s="25">
        <v>746889.0</v>
      </c>
    </row>
    <row r="1165">
      <c r="A1165" s="25">
        <v>40078.645833333336</v>
      </c>
      <c r="B1165" s="25">
        <v>294.91</v>
      </c>
      <c r="C1165" s="25">
        <v>302.63</v>
      </c>
      <c r="D1165" s="25">
        <v>293.76</v>
      </c>
      <c r="E1165" s="25">
        <v>301.27</v>
      </c>
      <c r="F1165" s="25">
        <v>1659109.0</v>
      </c>
    </row>
    <row r="1166">
      <c r="A1166" s="25">
        <v>40079.645833333336</v>
      </c>
      <c r="B1166" s="25">
        <v>300.0</v>
      </c>
      <c r="C1166" s="25">
        <v>300.48</v>
      </c>
      <c r="D1166" s="25">
        <v>294.76</v>
      </c>
      <c r="E1166" s="25">
        <v>295.87</v>
      </c>
      <c r="F1166" s="25">
        <v>1366667.0</v>
      </c>
    </row>
    <row r="1167">
      <c r="A1167" s="25">
        <v>40080.645833333336</v>
      </c>
      <c r="B1167" s="25">
        <v>292.5</v>
      </c>
      <c r="C1167" s="25">
        <v>292.5</v>
      </c>
      <c r="D1167" s="25">
        <v>282.49</v>
      </c>
      <c r="E1167" s="25">
        <v>285.56</v>
      </c>
      <c r="F1167" s="25">
        <v>5521211.0</v>
      </c>
    </row>
    <row r="1168">
      <c r="A1168" s="25">
        <v>40081.645833333336</v>
      </c>
      <c r="B1168" s="25">
        <v>286.24</v>
      </c>
      <c r="C1168" s="25">
        <v>286.54</v>
      </c>
      <c r="D1168" s="25">
        <v>279.14</v>
      </c>
      <c r="E1168" s="25">
        <v>280.06</v>
      </c>
      <c r="F1168" s="25">
        <v>2650032.0</v>
      </c>
    </row>
    <row r="1169">
      <c r="A1169" s="25">
        <v>40085.645833333336</v>
      </c>
      <c r="B1169" s="25">
        <v>284.89</v>
      </c>
      <c r="C1169" s="25">
        <v>287.5</v>
      </c>
      <c r="D1169" s="25">
        <v>284.15</v>
      </c>
      <c r="E1169" s="25">
        <v>286.92</v>
      </c>
      <c r="F1169" s="25">
        <v>847853.0</v>
      </c>
    </row>
    <row r="1170">
      <c r="A1170" s="25">
        <v>40086.645833333336</v>
      </c>
      <c r="B1170" s="25">
        <v>283.0</v>
      </c>
      <c r="C1170" s="25">
        <v>290.63</v>
      </c>
      <c r="D1170" s="25">
        <v>283.0</v>
      </c>
      <c r="E1170" s="25">
        <v>288.3</v>
      </c>
      <c r="F1170" s="25">
        <v>1005372.0</v>
      </c>
    </row>
    <row r="1171">
      <c r="A1171" s="25">
        <v>40087.645833333336</v>
      </c>
      <c r="B1171" s="25">
        <v>291.25</v>
      </c>
      <c r="C1171" s="25">
        <v>293.75</v>
      </c>
      <c r="D1171" s="25">
        <v>286.04</v>
      </c>
      <c r="E1171" s="25">
        <v>292.09</v>
      </c>
      <c r="F1171" s="25">
        <v>1880814.0</v>
      </c>
    </row>
    <row r="1172">
      <c r="A1172" s="25">
        <v>40091.645833333336</v>
      </c>
      <c r="B1172" s="25">
        <v>289.38</v>
      </c>
      <c r="C1172" s="25">
        <v>291.88</v>
      </c>
      <c r="D1172" s="25">
        <v>286.39</v>
      </c>
      <c r="E1172" s="25">
        <v>290.39</v>
      </c>
      <c r="F1172" s="25">
        <v>877926.0</v>
      </c>
    </row>
    <row r="1173">
      <c r="A1173" s="25">
        <v>40092.645833333336</v>
      </c>
      <c r="B1173" s="25">
        <v>292.49</v>
      </c>
      <c r="C1173" s="25">
        <v>294.08</v>
      </c>
      <c r="D1173" s="25">
        <v>285.16</v>
      </c>
      <c r="E1173" s="25">
        <v>289.04</v>
      </c>
      <c r="F1173" s="25">
        <v>1305673.0</v>
      </c>
    </row>
    <row r="1174">
      <c r="A1174" s="25">
        <v>40093.645833333336</v>
      </c>
      <c r="B1174" s="25">
        <v>289.38</v>
      </c>
      <c r="C1174" s="25">
        <v>291.01</v>
      </c>
      <c r="D1174" s="25">
        <v>278.38</v>
      </c>
      <c r="E1174" s="25">
        <v>281.59</v>
      </c>
      <c r="F1174" s="25">
        <v>1979646.0</v>
      </c>
    </row>
    <row r="1175">
      <c r="A1175" s="25">
        <v>40094.645833333336</v>
      </c>
      <c r="B1175" s="25">
        <v>282.75</v>
      </c>
      <c r="C1175" s="25">
        <v>283.12</v>
      </c>
      <c r="D1175" s="25">
        <v>273.66</v>
      </c>
      <c r="E1175" s="25">
        <v>276.35</v>
      </c>
      <c r="F1175" s="25">
        <v>2259258.0</v>
      </c>
    </row>
    <row r="1176">
      <c r="A1176" s="25">
        <v>40095.645833333336</v>
      </c>
      <c r="B1176" s="25">
        <v>278.75</v>
      </c>
      <c r="C1176" s="25">
        <v>284.6</v>
      </c>
      <c r="D1176" s="25">
        <v>270.83</v>
      </c>
      <c r="E1176" s="25">
        <v>272.2</v>
      </c>
      <c r="F1176" s="25">
        <v>3237951.0</v>
      </c>
    </row>
    <row r="1177">
      <c r="A1177" s="25">
        <v>40098.645833333336</v>
      </c>
      <c r="B1177" s="25">
        <v>273.75</v>
      </c>
      <c r="C1177" s="25">
        <v>280.63</v>
      </c>
      <c r="D1177" s="25">
        <v>273.5</v>
      </c>
      <c r="E1177" s="25">
        <v>279.93</v>
      </c>
      <c r="F1177" s="25">
        <v>1143337.0</v>
      </c>
    </row>
    <row r="1178">
      <c r="A1178" s="25">
        <v>40100.645833333336</v>
      </c>
      <c r="B1178" s="25">
        <v>286.0</v>
      </c>
      <c r="C1178" s="25">
        <v>286.0</v>
      </c>
      <c r="D1178" s="25">
        <v>276.38</v>
      </c>
      <c r="E1178" s="25">
        <v>281.98</v>
      </c>
      <c r="F1178" s="25">
        <v>1020475.0</v>
      </c>
    </row>
    <row r="1179">
      <c r="A1179" s="25">
        <v>40101.645833333336</v>
      </c>
      <c r="B1179" s="25">
        <v>283.13</v>
      </c>
      <c r="C1179" s="25">
        <v>283.96</v>
      </c>
      <c r="D1179" s="25">
        <v>273.25</v>
      </c>
      <c r="E1179" s="25">
        <v>277.18</v>
      </c>
      <c r="F1179" s="25">
        <v>900591.0</v>
      </c>
    </row>
    <row r="1180">
      <c r="A1180" s="25">
        <v>40102.645833333336</v>
      </c>
      <c r="B1180" s="25">
        <v>277.25</v>
      </c>
      <c r="C1180" s="25">
        <v>279.95</v>
      </c>
      <c r="D1180" s="25">
        <v>273.13</v>
      </c>
      <c r="E1180" s="25">
        <v>273.74</v>
      </c>
      <c r="F1180" s="25">
        <v>1039249.0</v>
      </c>
    </row>
    <row r="1181">
      <c r="A1181" s="25">
        <v>40106.645833333336</v>
      </c>
      <c r="B1181" s="25">
        <v>274.88</v>
      </c>
      <c r="C1181" s="25">
        <v>277.88</v>
      </c>
      <c r="D1181" s="25">
        <v>271.27</v>
      </c>
      <c r="E1181" s="25">
        <v>273.54</v>
      </c>
      <c r="F1181" s="25">
        <v>1573984.0</v>
      </c>
    </row>
    <row r="1182">
      <c r="A1182" s="25">
        <v>40107.645833333336</v>
      </c>
      <c r="B1182" s="25">
        <v>275.6</v>
      </c>
      <c r="C1182" s="25">
        <v>279.88</v>
      </c>
      <c r="D1182" s="25">
        <v>272.5</v>
      </c>
      <c r="E1182" s="25">
        <v>277.08</v>
      </c>
      <c r="F1182" s="25">
        <v>1612418.0</v>
      </c>
    </row>
    <row r="1183">
      <c r="A1183" s="25">
        <v>40108.645833333336</v>
      </c>
      <c r="B1183" s="25">
        <v>275.0</v>
      </c>
      <c r="C1183" s="25">
        <v>281.25</v>
      </c>
      <c r="D1183" s="25">
        <v>273.9</v>
      </c>
      <c r="E1183" s="25">
        <v>276.64</v>
      </c>
      <c r="F1183" s="25">
        <v>1889645.0</v>
      </c>
    </row>
    <row r="1184">
      <c r="A1184" s="25">
        <v>40109.645833333336</v>
      </c>
      <c r="B1184" s="25">
        <v>278.75</v>
      </c>
      <c r="C1184" s="25">
        <v>284.38</v>
      </c>
      <c r="D1184" s="25">
        <v>276.52</v>
      </c>
      <c r="E1184" s="25">
        <v>282.5</v>
      </c>
      <c r="F1184" s="25">
        <v>1566527.0</v>
      </c>
    </row>
    <row r="1185">
      <c r="A1185" s="25">
        <v>40112.645833333336</v>
      </c>
      <c r="B1185" s="25">
        <v>283.18</v>
      </c>
      <c r="C1185" s="25">
        <v>287.43</v>
      </c>
      <c r="D1185" s="25">
        <v>278.75</v>
      </c>
      <c r="E1185" s="25">
        <v>284.24</v>
      </c>
      <c r="F1185" s="25">
        <v>1253722.0</v>
      </c>
    </row>
    <row r="1186">
      <c r="A1186" s="25">
        <v>40113.645833333336</v>
      </c>
      <c r="B1186" s="25">
        <v>283.13</v>
      </c>
      <c r="C1186" s="25">
        <v>287.49</v>
      </c>
      <c r="D1186" s="25">
        <v>276.96</v>
      </c>
      <c r="E1186" s="25">
        <v>280.33</v>
      </c>
      <c r="F1186" s="25">
        <v>1792157.0</v>
      </c>
    </row>
    <row r="1187">
      <c r="A1187" s="25">
        <v>40114.645833333336</v>
      </c>
      <c r="B1187" s="25">
        <v>280.08</v>
      </c>
      <c r="C1187" s="25">
        <v>283.5</v>
      </c>
      <c r="D1187" s="25">
        <v>277.54</v>
      </c>
      <c r="E1187" s="25">
        <v>282.09</v>
      </c>
      <c r="F1187" s="25">
        <v>1532847.0</v>
      </c>
    </row>
    <row r="1188">
      <c r="A1188" s="25">
        <v>40115.645833333336</v>
      </c>
      <c r="B1188" s="25">
        <v>281.13</v>
      </c>
      <c r="C1188" s="25">
        <v>281.13</v>
      </c>
      <c r="D1188" s="25">
        <v>274.4</v>
      </c>
      <c r="E1188" s="25">
        <v>276.04</v>
      </c>
      <c r="F1188" s="25">
        <v>1907586.0</v>
      </c>
    </row>
    <row r="1189">
      <c r="A1189" s="25">
        <v>40116.645833333336</v>
      </c>
      <c r="B1189" s="25">
        <v>278.5</v>
      </c>
      <c r="C1189" s="25">
        <v>281.13</v>
      </c>
      <c r="D1189" s="25">
        <v>267.77</v>
      </c>
      <c r="E1189" s="25">
        <v>275.77</v>
      </c>
      <c r="F1189" s="25">
        <v>1785341.0</v>
      </c>
    </row>
    <row r="1190">
      <c r="A1190" s="25">
        <v>40120.645833333336</v>
      </c>
      <c r="B1190" s="25">
        <v>275.38</v>
      </c>
      <c r="C1190" s="25">
        <v>280.91</v>
      </c>
      <c r="D1190" s="25">
        <v>266.26</v>
      </c>
      <c r="E1190" s="25">
        <v>267.88</v>
      </c>
      <c r="F1190" s="25">
        <v>1505283.0</v>
      </c>
    </row>
    <row r="1191">
      <c r="A1191" s="25">
        <v>40121.645833333336</v>
      </c>
      <c r="B1191" s="25">
        <v>269.88</v>
      </c>
      <c r="C1191" s="25">
        <v>282.5</v>
      </c>
      <c r="D1191" s="25">
        <v>269.88</v>
      </c>
      <c r="E1191" s="25">
        <v>279.64</v>
      </c>
      <c r="F1191" s="25">
        <v>1596411.0</v>
      </c>
    </row>
    <row r="1192">
      <c r="A1192" s="25">
        <v>40122.645833333336</v>
      </c>
      <c r="B1192" s="25">
        <v>278.27</v>
      </c>
      <c r="C1192" s="25">
        <v>280.28</v>
      </c>
      <c r="D1192" s="25">
        <v>270.61</v>
      </c>
      <c r="E1192" s="25">
        <v>277.71</v>
      </c>
      <c r="F1192" s="25">
        <v>1127050.0</v>
      </c>
    </row>
    <row r="1193">
      <c r="A1193" s="25">
        <v>40123.645833333336</v>
      </c>
      <c r="B1193" s="25">
        <v>280.05</v>
      </c>
      <c r="C1193" s="25">
        <v>281.25</v>
      </c>
      <c r="D1193" s="25">
        <v>274.07</v>
      </c>
      <c r="E1193" s="25">
        <v>277.33</v>
      </c>
      <c r="F1193" s="25">
        <v>825166.0</v>
      </c>
    </row>
    <row r="1194">
      <c r="A1194" s="25">
        <v>40126.645833333336</v>
      </c>
      <c r="B1194" s="25">
        <v>278.75</v>
      </c>
      <c r="C1194" s="25">
        <v>280.0</v>
      </c>
      <c r="D1194" s="25">
        <v>275.0</v>
      </c>
      <c r="E1194" s="25">
        <v>279.01</v>
      </c>
      <c r="F1194" s="25">
        <v>635839.0</v>
      </c>
    </row>
    <row r="1195">
      <c r="A1195" s="25">
        <v>40127.645833333336</v>
      </c>
      <c r="B1195" s="25">
        <v>283.25</v>
      </c>
      <c r="C1195" s="25">
        <v>283.73</v>
      </c>
      <c r="D1195" s="25">
        <v>275.08</v>
      </c>
      <c r="E1195" s="25">
        <v>277.24</v>
      </c>
      <c r="F1195" s="25">
        <v>765985.0</v>
      </c>
    </row>
    <row r="1196">
      <c r="A1196" s="25">
        <v>40128.645833333336</v>
      </c>
      <c r="B1196" s="25">
        <v>276.5</v>
      </c>
      <c r="C1196" s="25">
        <v>289.38</v>
      </c>
      <c r="D1196" s="25">
        <v>276.25</v>
      </c>
      <c r="E1196" s="25">
        <v>288.34</v>
      </c>
      <c r="F1196" s="25">
        <v>1184337.0</v>
      </c>
    </row>
    <row r="1197">
      <c r="A1197" s="25">
        <v>40129.645833333336</v>
      </c>
      <c r="B1197" s="25">
        <v>285.84</v>
      </c>
      <c r="C1197" s="25">
        <v>293.63</v>
      </c>
      <c r="D1197" s="25">
        <v>285.84</v>
      </c>
      <c r="E1197" s="25">
        <v>290.8</v>
      </c>
      <c r="F1197" s="25">
        <v>1000152.0</v>
      </c>
    </row>
    <row r="1198">
      <c r="A1198" s="25">
        <v>40130.645833333336</v>
      </c>
      <c r="B1198" s="25">
        <v>291.61</v>
      </c>
      <c r="C1198" s="25">
        <v>296.81</v>
      </c>
      <c r="D1198" s="25">
        <v>289.08</v>
      </c>
      <c r="E1198" s="25">
        <v>294.96</v>
      </c>
      <c r="F1198" s="25">
        <v>906402.0</v>
      </c>
    </row>
    <row r="1199">
      <c r="A1199" s="25">
        <v>40133.645833333336</v>
      </c>
      <c r="B1199" s="25">
        <v>295.93</v>
      </c>
      <c r="C1199" s="25">
        <v>296.84</v>
      </c>
      <c r="D1199" s="25">
        <v>291.91</v>
      </c>
      <c r="E1199" s="25">
        <v>293.99</v>
      </c>
      <c r="F1199" s="25">
        <v>637386.0</v>
      </c>
    </row>
    <row r="1200">
      <c r="A1200" s="25">
        <v>40134.645833333336</v>
      </c>
      <c r="B1200" s="25">
        <v>294.51</v>
      </c>
      <c r="C1200" s="25">
        <v>300.6</v>
      </c>
      <c r="D1200" s="25">
        <v>294.51</v>
      </c>
      <c r="E1200" s="25">
        <v>299.79</v>
      </c>
      <c r="F1200" s="25">
        <v>1018493.0</v>
      </c>
    </row>
    <row r="1201">
      <c r="A1201" s="25">
        <v>40135.645833333336</v>
      </c>
      <c r="B1201" s="25">
        <v>299.96</v>
      </c>
      <c r="C1201" s="25">
        <v>305.43</v>
      </c>
      <c r="D1201" s="25">
        <v>299.91</v>
      </c>
      <c r="E1201" s="25">
        <v>304.16</v>
      </c>
      <c r="F1201" s="25">
        <v>1102088.0</v>
      </c>
    </row>
    <row r="1202">
      <c r="A1202" s="25">
        <v>40136.645833333336</v>
      </c>
      <c r="B1202" s="25">
        <v>295.98</v>
      </c>
      <c r="C1202" s="25">
        <v>302.5</v>
      </c>
      <c r="D1202" s="25">
        <v>295.98</v>
      </c>
      <c r="E1202" s="25">
        <v>301.24</v>
      </c>
      <c r="F1202" s="25">
        <v>812327.0</v>
      </c>
    </row>
    <row r="1203">
      <c r="A1203" s="25">
        <v>40137.645833333336</v>
      </c>
      <c r="B1203" s="25">
        <v>300.14</v>
      </c>
      <c r="C1203" s="25">
        <v>306.13</v>
      </c>
      <c r="D1203" s="25">
        <v>297.5</v>
      </c>
      <c r="E1203" s="25">
        <v>303.34</v>
      </c>
      <c r="F1203" s="25">
        <v>769552.0</v>
      </c>
    </row>
    <row r="1204">
      <c r="A1204" s="25">
        <v>40140.645833333336</v>
      </c>
      <c r="B1204" s="25">
        <v>302.61</v>
      </c>
      <c r="C1204" s="25">
        <v>302.61</v>
      </c>
      <c r="D1204" s="25">
        <v>298.88</v>
      </c>
      <c r="E1204" s="25">
        <v>300.87</v>
      </c>
      <c r="F1204" s="25">
        <v>581876.0</v>
      </c>
    </row>
    <row r="1205">
      <c r="A1205" s="25">
        <v>40141.645833333336</v>
      </c>
      <c r="B1205" s="25">
        <v>301.59</v>
      </c>
      <c r="C1205" s="25">
        <v>305.86</v>
      </c>
      <c r="D1205" s="25">
        <v>298.78</v>
      </c>
      <c r="E1205" s="25">
        <v>304.34</v>
      </c>
      <c r="F1205" s="25">
        <v>915738.0</v>
      </c>
    </row>
    <row r="1206">
      <c r="A1206" s="25">
        <v>40142.645833333336</v>
      </c>
      <c r="B1206" s="25">
        <v>304.5</v>
      </c>
      <c r="C1206" s="25">
        <v>307.13</v>
      </c>
      <c r="D1206" s="25">
        <v>302.02</v>
      </c>
      <c r="E1206" s="25">
        <v>304.82</v>
      </c>
      <c r="F1206" s="25">
        <v>628247.0</v>
      </c>
    </row>
    <row r="1207">
      <c r="A1207" s="25">
        <v>40143.645833333336</v>
      </c>
      <c r="B1207" s="25">
        <v>305.63</v>
      </c>
      <c r="C1207" s="25">
        <v>305.68</v>
      </c>
      <c r="D1207" s="25">
        <v>295.88</v>
      </c>
      <c r="E1207" s="25">
        <v>299.18</v>
      </c>
      <c r="F1207" s="25">
        <v>955480.0</v>
      </c>
    </row>
    <row r="1208">
      <c r="A1208" s="25">
        <v>40144.645833333336</v>
      </c>
      <c r="B1208" s="25">
        <v>294.5</v>
      </c>
      <c r="C1208" s="25">
        <v>299.38</v>
      </c>
      <c r="D1208" s="25">
        <v>288.39</v>
      </c>
      <c r="E1208" s="25">
        <v>290.98</v>
      </c>
      <c r="F1208" s="25">
        <v>1021161.0</v>
      </c>
    </row>
    <row r="1209">
      <c r="A1209" s="25">
        <v>40147.645833333336</v>
      </c>
      <c r="B1209" s="25">
        <v>294.08</v>
      </c>
      <c r="C1209" s="25">
        <v>299.11</v>
      </c>
      <c r="D1209" s="25">
        <v>293.78</v>
      </c>
      <c r="E1209" s="25">
        <v>297.42</v>
      </c>
      <c r="F1209" s="25">
        <v>876127.0</v>
      </c>
    </row>
    <row r="1210">
      <c r="A1210" s="25">
        <v>40148.645833333336</v>
      </c>
      <c r="B1210" s="25">
        <v>303.38</v>
      </c>
      <c r="C1210" s="25">
        <v>303.38</v>
      </c>
      <c r="D1210" s="25">
        <v>294.38</v>
      </c>
      <c r="E1210" s="25">
        <v>299.47</v>
      </c>
      <c r="F1210" s="25">
        <v>813885.0</v>
      </c>
    </row>
    <row r="1211">
      <c r="A1211" s="25">
        <v>40149.645833333336</v>
      </c>
      <c r="B1211" s="25">
        <v>300.61</v>
      </c>
      <c r="C1211" s="25">
        <v>301.0</v>
      </c>
      <c r="D1211" s="25">
        <v>294.75</v>
      </c>
      <c r="E1211" s="25">
        <v>299.43</v>
      </c>
      <c r="F1211" s="25">
        <v>926253.0</v>
      </c>
    </row>
    <row r="1212">
      <c r="A1212" s="25">
        <v>40150.645833333336</v>
      </c>
      <c r="B1212" s="25">
        <v>300.25</v>
      </c>
      <c r="C1212" s="25">
        <v>302.38</v>
      </c>
      <c r="D1212" s="25">
        <v>295.51</v>
      </c>
      <c r="E1212" s="25">
        <v>297.12</v>
      </c>
      <c r="F1212" s="25">
        <v>918060.0</v>
      </c>
    </row>
    <row r="1213">
      <c r="A1213" s="25">
        <v>40151.645833333336</v>
      </c>
      <c r="B1213" s="25">
        <v>297.75</v>
      </c>
      <c r="C1213" s="25">
        <v>302.94</v>
      </c>
      <c r="D1213" s="25">
        <v>296.28</v>
      </c>
      <c r="E1213" s="25">
        <v>297.95</v>
      </c>
      <c r="F1213" s="25">
        <v>964840.0</v>
      </c>
    </row>
    <row r="1214">
      <c r="A1214" s="25">
        <v>40154.645833333336</v>
      </c>
      <c r="B1214" s="25">
        <v>299.36</v>
      </c>
      <c r="C1214" s="25">
        <v>303.31</v>
      </c>
      <c r="D1214" s="25">
        <v>296.88</v>
      </c>
      <c r="E1214" s="25">
        <v>298.83</v>
      </c>
      <c r="F1214" s="25">
        <v>861237.0</v>
      </c>
    </row>
    <row r="1215">
      <c r="A1215" s="25">
        <v>40155.645833333336</v>
      </c>
      <c r="B1215" s="25">
        <v>299.96</v>
      </c>
      <c r="C1215" s="25">
        <v>306.38</v>
      </c>
      <c r="D1215" s="25">
        <v>297.52</v>
      </c>
      <c r="E1215" s="25">
        <v>305.81</v>
      </c>
      <c r="F1215" s="25">
        <v>1076474.0</v>
      </c>
    </row>
    <row r="1216">
      <c r="A1216" s="25">
        <v>40156.645833333336</v>
      </c>
      <c r="B1216" s="25">
        <v>303.75</v>
      </c>
      <c r="C1216" s="25">
        <v>307.75</v>
      </c>
      <c r="D1216" s="25">
        <v>302.77</v>
      </c>
      <c r="E1216" s="25">
        <v>307.07</v>
      </c>
      <c r="F1216" s="25">
        <v>958758.0</v>
      </c>
    </row>
    <row r="1217">
      <c r="A1217" s="25">
        <v>40157.645833333336</v>
      </c>
      <c r="B1217" s="25">
        <v>308.06</v>
      </c>
      <c r="C1217" s="25">
        <v>308.06</v>
      </c>
      <c r="D1217" s="25">
        <v>303.76</v>
      </c>
      <c r="E1217" s="25">
        <v>306.62</v>
      </c>
      <c r="F1217" s="25">
        <v>564681.0</v>
      </c>
    </row>
    <row r="1218">
      <c r="A1218" s="25">
        <v>40158.645833333336</v>
      </c>
      <c r="B1218" s="25">
        <v>308.13</v>
      </c>
      <c r="C1218" s="25">
        <v>311.08</v>
      </c>
      <c r="D1218" s="25">
        <v>306.44</v>
      </c>
      <c r="E1218" s="25">
        <v>307.59</v>
      </c>
      <c r="F1218" s="25">
        <v>855054.0</v>
      </c>
    </row>
    <row r="1219">
      <c r="A1219" s="25">
        <v>40161.645833333336</v>
      </c>
      <c r="B1219" s="25">
        <v>306.88</v>
      </c>
      <c r="C1219" s="25">
        <v>314.75</v>
      </c>
      <c r="D1219" s="25">
        <v>306.26</v>
      </c>
      <c r="E1219" s="25">
        <v>312.34</v>
      </c>
      <c r="F1219" s="25">
        <v>1148722.0</v>
      </c>
    </row>
    <row r="1220">
      <c r="A1220" s="25">
        <v>40162.645833333336</v>
      </c>
      <c r="B1220" s="25">
        <v>311.25</v>
      </c>
      <c r="C1220" s="25">
        <v>314.38</v>
      </c>
      <c r="D1220" s="25">
        <v>310.65</v>
      </c>
      <c r="E1220" s="25">
        <v>313.26</v>
      </c>
      <c r="F1220" s="25">
        <v>1093356.0</v>
      </c>
    </row>
    <row r="1221">
      <c r="A1221" s="25">
        <v>40163.645833333336</v>
      </c>
      <c r="B1221" s="25">
        <v>313.25</v>
      </c>
      <c r="C1221" s="25">
        <v>319.5</v>
      </c>
      <c r="D1221" s="25">
        <v>310.83</v>
      </c>
      <c r="E1221" s="25">
        <v>318.11</v>
      </c>
      <c r="F1221" s="25">
        <v>1145384.0</v>
      </c>
    </row>
    <row r="1222">
      <c r="A1222" s="25">
        <v>40164.645833333336</v>
      </c>
      <c r="B1222" s="25">
        <v>318.13</v>
      </c>
      <c r="C1222" s="25">
        <v>321.49</v>
      </c>
      <c r="D1222" s="25">
        <v>316.9</v>
      </c>
      <c r="E1222" s="25">
        <v>319.88</v>
      </c>
      <c r="F1222" s="25">
        <v>1075386.0</v>
      </c>
    </row>
    <row r="1223">
      <c r="A1223" s="25">
        <v>40165.645833333336</v>
      </c>
      <c r="B1223" s="25">
        <v>320.5</v>
      </c>
      <c r="C1223" s="25">
        <v>320.5</v>
      </c>
      <c r="D1223" s="25">
        <v>313.63</v>
      </c>
      <c r="E1223" s="25">
        <v>315.74</v>
      </c>
      <c r="F1223" s="25">
        <v>1397597.0</v>
      </c>
    </row>
    <row r="1224">
      <c r="A1224" s="25">
        <v>40168.645833333336</v>
      </c>
      <c r="B1224" s="25">
        <v>310.36</v>
      </c>
      <c r="C1224" s="25">
        <v>318.1</v>
      </c>
      <c r="D1224" s="25">
        <v>309.59</v>
      </c>
      <c r="E1224" s="25">
        <v>313.76</v>
      </c>
      <c r="F1224" s="25">
        <v>1095751.0</v>
      </c>
    </row>
    <row r="1225">
      <c r="A1225" s="25">
        <v>40169.645833333336</v>
      </c>
      <c r="B1225" s="25">
        <v>314.99</v>
      </c>
      <c r="C1225" s="25">
        <v>316.26</v>
      </c>
      <c r="D1225" s="25">
        <v>312.1</v>
      </c>
      <c r="E1225" s="25">
        <v>312.8</v>
      </c>
      <c r="F1225" s="25">
        <v>720271.0</v>
      </c>
    </row>
    <row r="1226">
      <c r="A1226" s="25">
        <v>40170.645833333336</v>
      </c>
      <c r="B1226" s="25">
        <v>313.88</v>
      </c>
      <c r="C1226" s="25">
        <v>324.38</v>
      </c>
      <c r="D1226" s="25">
        <v>313.88</v>
      </c>
      <c r="E1226" s="25">
        <v>322.97</v>
      </c>
      <c r="F1226" s="25">
        <v>1338582.0</v>
      </c>
    </row>
    <row r="1227">
      <c r="A1227" s="25">
        <v>40171.645833333336</v>
      </c>
      <c r="B1227" s="25">
        <v>324.24</v>
      </c>
      <c r="C1227" s="25">
        <v>325.0</v>
      </c>
      <c r="D1227" s="25">
        <v>320.02</v>
      </c>
      <c r="E1227" s="25">
        <v>323.98</v>
      </c>
      <c r="F1227" s="25">
        <v>697893.0</v>
      </c>
    </row>
    <row r="1228">
      <c r="A1228" s="25">
        <v>40176.645833333336</v>
      </c>
      <c r="B1228" s="25">
        <v>324.39</v>
      </c>
      <c r="C1228" s="25">
        <v>325.24</v>
      </c>
      <c r="D1228" s="25">
        <v>320.41</v>
      </c>
      <c r="E1228" s="25">
        <v>322.14</v>
      </c>
      <c r="F1228" s="25">
        <v>785243.0</v>
      </c>
    </row>
    <row r="1229">
      <c r="A1229" s="25">
        <v>40177.645833333336</v>
      </c>
      <c r="B1229" s="25">
        <v>320.89</v>
      </c>
      <c r="C1229" s="25">
        <v>326.25</v>
      </c>
      <c r="D1229" s="25">
        <v>320.46</v>
      </c>
      <c r="E1229" s="25">
        <v>322.5</v>
      </c>
      <c r="F1229" s="25">
        <v>621300.0</v>
      </c>
    </row>
    <row r="1230">
      <c r="A1230" s="25">
        <v>40178.645833333336</v>
      </c>
      <c r="B1230" s="25">
        <v>323.13</v>
      </c>
      <c r="C1230" s="25">
        <v>326.75</v>
      </c>
      <c r="D1230" s="25">
        <v>323.13</v>
      </c>
      <c r="E1230" s="25">
        <v>325.14</v>
      </c>
      <c r="F1230" s="25">
        <v>1156906.0</v>
      </c>
    </row>
    <row r="1231">
      <c r="A1231" s="25">
        <v>40182.645833333336</v>
      </c>
      <c r="B1231" s="25">
        <v>326.25</v>
      </c>
      <c r="C1231" s="25">
        <v>328.75</v>
      </c>
      <c r="D1231" s="25">
        <v>324.41</v>
      </c>
      <c r="E1231" s="25">
        <v>326.58</v>
      </c>
      <c r="F1231" s="25">
        <v>508658.0</v>
      </c>
    </row>
    <row r="1232">
      <c r="A1232" s="25">
        <v>40183.645833333336</v>
      </c>
      <c r="B1232" s="25">
        <v>327.5</v>
      </c>
      <c r="C1232" s="25">
        <v>328.84</v>
      </c>
      <c r="D1232" s="25">
        <v>325.01</v>
      </c>
      <c r="E1232" s="25">
        <v>327.67</v>
      </c>
      <c r="F1232" s="25">
        <v>861941.0</v>
      </c>
    </row>
    <row r="1233">
      <c r="A1233" s="25">
        <v>40184.645833333336</v>
      </c>
      <c r="B1233" s="25">
        <v>335.38</v>
      </c>
      <c r="C1233" s="25">
        <v>335.38</v>
      </c>
      <c r="D1233" s="25">
        <v>321.89</v>
      </c>
      <c r="E1233" s="25">
        <v>322.89</v>
      </c>
      <c r="F1233" s="25">
        <v>852161.0</v>
      </c>
    </row>
    <row r="1234">
      <c r="A1234" s="25">
        <v>40185.645833333336</v>
      </c>
      <c r="B1234" s="25">
        <v>323.33</v>
      </c>
      <c r="C1234" s="25">
        <v>323.33</v>
      </c>
      <c r="D1234" s="25">
        <v>314.77</v>
      </c>
      <c r="E1234" s="25">
        <v>315.63</v>
      </c>
      <c r="F1234" s="25">
        <v>1361575.0</v>
      </c>
    </row>
    <row r="1235">
      <c r="A1235" s="25">
        <v>40186.645833333336</v>
      </c>
      <c r="B1235" s="25">
        <v>314.88</v>
      </c>
      <c r="C1235" s="25">
        <v>315.41</v>
      </c>
      <c r="D1235" s="25">
        <v>307.25</v>
      </c>
      <c r="E1235" s="25">
        <v>308.02</v>
      </c>
      <c r="F1235" s="25">
        <v>1581164.0</v>
      </c>
    </row>
    <row r="1236">
      <c r="A1236" s="25">
        <v>40189.645833333336</v>
      </c>
      <c r="B1236" s="25">
        <v>309.39</v>
      </c>
      <c r="C1236" s="25">
        <v>313.09</v>
      </c>
      <c r="D1236" s="25">
        <v>309.25</v>
      </c>
      <c r="E1236" s="25">
        <v>311.21</v>
      </c>
      <c r="F1236" s="25">
        <v>981207.0</v>
      </c>
    </row>
    <row r="1237">
      <c r="A1237" s="25">
        <v>40190.645833333336</v>
      </c>
      <c r="B1237" s="25">
        <v>312.5</v>
      </c>
      <c r="C1237" s="25">
        <v>324.25</v>
      </c>
      <c r="D1237" s="25">
        <v>312.5</v>
      </c>
      <c r="E1237" s="25">
        <v>323.37</v>
      </c>
      <c r="F1237" s="25">
        <v>3107460.0</v>
      </c>
    </row>
    <row r="1238">
      <c r="A1238" s="25">
        <v>40191.645833333336</v>
      </c>
      <c r="B1238" s="25">
        <v>309.61</v>
      </c>
      <c r="C1238" s="25">
        <v>336.88</v>
      </c>
      <c r="D1238" s="25">
        <v>309.61</v>
      </c>
      <c r="E1238" s="25">
        <v>335.44</v>
      </c>
      <c r="F1238" s="25">
        <v>2463005.0</v>
      </c>
    </row>
    <row r="1239">
      <c r="A1239" s="25">
        <v>40192.645833333336</v>
      </c>
      <c r="B1239" s="25">
        <v>334.88</v>
      </c>
      <c r="C1239" s="25">
        <v>337.86</v>
      </c>
      <c r="D1239" s="25">
        <v>331.28</v>
      </c>
      <c r="E1239" s="25">
        <v>336.22</v>
      </c>
      <c r="F1239" s="25">
        <v>1051738.0</v>
      </c>
    </row>
    <row r="1240">
      <c r="A1240" s="25">
        <v>40193.645833333336</v>
      </c>
      <c r="B1240" s="25">
        <v>336.22</v>
      </c>
      <c r="C1240" s="25">
        <v>336.56</v>
      </c>
      <c r="D1240" s="25">
        <v>331.77</v>
      </c>
      <c r="E1240" s="25">
        <v>334.48</v>
      </c>
      <c r="F1240" s="25">
        <v>631188.0</v>
      </c>
    </row>
    <row r="1241">
      <c r="A1241" s="25">
        <v>40196.645833333336</v>
      </c>
      <c r="B1241" s="25">
        <v>332.88</v>
      </c>
      <c r="C1241" s="25">
        <v>336.25</v>
      </c>
      <c r="D1241" s="25">
        <v>332.0</v>
      </c>
      <c r="E1241" s="25">
        <v>335.83</v>
      </c>
      <c r="F1241" s="25">
        <v>767511.0</v>
      </c>
    </row>
    <row r="1242">
      <c r="A1242" s="25">
        <v>40197.645833333336</v>
      </c>
      <c r="B1242" s="25">
        <v>335.0</v>
      </c>
      <c r="C1242" s="25">
        <v>336.0</v>
      </c>
      <c r="D1242" s="25">
        <v>328.51</v>
      </c>
      <c r="E1242" s="25">
        <v>329.49</v>
      </c>
      <c r="F1242" s="25">
        <v>729689.0</v>
      </c>
    </row>
    <row r="1243">
      <c r="A1243" s="25">
        <v>40198.645833333336</v>
      </c>
      <c r="B1243" s="25">
        <v>331.08</v>
      </c>
      <c r="C1243" s="25">
        <v>334.15</v>
      </c>
      <c r="D1243" s="25">
        <v>329.75</v>
      </c>
      <c r="E1243" s="25">
        <v>332.21</v>
      </c>
      <c r="F1243" s="25">
        <v>761499.0</v>
      </c>
    </row>
    <row r="1244">
      <c r="A1244" s="25">
        <v>40199.645833333336</v>
      </c>
      <c r="B1244" s="25">
        <v>330.38</v>
      </c>
      <c r="C1244" s="25">
        <v>333.09</v>
      </c>
      <c r="D1244" s="25">
        <v>325.0</v>
      </c>
      <c r="E1244" s="25">
        <v>328.15</v>
      </c>
      <c r="F1244" s="25">
        <v>835349.0</v>
      </c>
    </row>
    <row r="1245">
      <c r="A1245" s="25">
        <v>40200.645833333336</v>
      </c>
      <c r="B1245" s="25">
        <v>325.0</v>
      </c>
      <c r="C1245" s="25">
        <v>326.25</v>
      </c>
      <c r="D1245" s="25">
        <v>319.0</v>
      </c>
      <c r="E1245" s="25">
        <v>321.95</v>
      </c>
      <c r="F1245" s="25">
        <v>1685812.0</v>
      </c>
    </row>
    <row r="1246">
      <c r="A1246" s="25">
        <v>40203.645833333336</v>
      </c>
      <c r="B1246" s="25">
        <v>318.75</v>
      </c>
      <c r="C1246" s="25">
        <v>321.24</v>
      </c>
      <c r="D1246" s="25">
        <v>314.75</v>
      </c>
      <c r="E1246" s="25">
        <v>317.79</v>
      </c>
      <c r="F1246" s="25">
        <v>812339.0</v>
      </c>
    </row>
    <row r="1247">
      <c r="A1247" s="25">
        <v>40205.645833333336</v>
      </c>
      <c r="B1247" s="25">
        <v>316.5</v>
      </c>
      <c r="C1247" s="25">
        <v>316.73</v>
      </c>
      <c r="D1247" s="25">
        <v>310.64</v>
      </c>
      <c r="E1247" s="25">
        <v>312.78</v>
      </c>
      <c r="F1247" s="25">
        <v>1230107.0</v>
      </c>
    </row>
    <row r="1248">
      <c r="A1248" s="25">
        <v>40206.645833333336</v>
      </c>
      <c r="B1248" s="25">
        <v>314.13</v>
      </c>
      <c r="C1248" s="25">
        <v>319.36</v>
      </c>
      <c r="D1248" s="25">
        <v>309.94</v>
      </c>
      <c r="E1248" s="25">
        <v>311.47</v>
      </c>
      <c r="F1248" s="25">
        <v>1591609.0</v>
      </c>
    </row>
    <row r="1249">
      <c r="A1249" s="25">
        <v>40207.645833333336</v>
      </c>
      <c r="B1249" s="25">
        <v>306.55</v>
      </c>
      <c r="C1249" s="25">
        <v>312.5</v>
      </c>
      <c r="D1249" s="25">
        <v>300.6</v>
      </c>
      <c r="E1249" s="25">
        <v>309.44</v>
      </c>
      <c r="F1249" s="25">
        <v>1876535.0</v>
      </c>
    </row>
    <row r="1250">
      <c r="A1250" s="25">
        <v>40210.645833333336</v>
      </c>
      <c r="B1250" s="25">
        <v>305.88</v>
      </c>
      <c r="C1250" s="25">
        <v>316.25</v>
      </c>
      <c r="D1250" s="25">
        <v>298.76</v>
      </c>
      <c r="E1250" s="25">
        <v>306.41</v>
      </c>
      <c r="F1250" s="25">
        <v>1538598.0</v>
      </c>
    </row>
    <row r="1251">
      <c r="A1251" s="25">
        <v>40211.645833333336</v>
      </c>
      <c r="B1251" s="25">
        <v>312.63</v>
      </c>
      <c r="C1251" s="25">
        <v>312.63</v>
      </c>
      <c r="D1251" s="25">
        <v>302.71</v>
      </c>
      <c r="E1251" s="25">
        <v>304.99</v>
      </c>
      <c r="F1251" s="25">
        <v>1236173.0</v>
      </c>
    </row>
    <row r="1252">
      <c r="A1252" s="25">
        <v>40212.645833333336</v>
      </c>
      <c r="B1252" s="25">
        <v>306.25</v>
      </c>
      <c r="C1252" s="25">
        <v>312.5</v>
      </c>
      <c r="D1252" s="25">
        <v>306.25</v>
      </c>
      <c r="E1252" s="25">
        <v>309.15</v>
      </c>
      <c r="F1252" s="25">
        <v>800701.0</v>
      </c>
    </row>
    <row r="1253">
      <c r="A1253" s="25">
        <v>40213.645833333336</v>
      </c>
      <c r="B1253" s="25">
        <v>308.13</v>
      </c>
      <c r="C1253" s="25">
        <v>308.75</v>
      </c>
      <c r="D1253" s="25">
        <v>301.56</v>
      </c>
      <c r="E1253" s="25">
        <v>303.63</v>
      </c>
      <c r="F1253" s="25">
        <v>772051.0</v>
      </c>
    </row>
    <row r="1254">
      <c r="A1254" s="25">
        <v>40214.645833333336</v>
      </c>
      <c r="B1254" s="25">
        <v>298.8</v>
      </c>
      <c r="C1254" s="25">
        <v>299.81</v>
      </c>
      <c r="D1254" s="25">
        <v>291.13</v>
      </c>
      <c r="E1254" s="25">
        <v>294.09</v>
      </c>
      <c r="F1254" s="25">
        <v>1693109.0</v>
      </c>
    </row>
    <row r="1255">
      <c r="A1255" s="25">
        <v>40217.645833333336</v>
      </c>
      <c r="B1255" s="25">
        <v>296.86</v>
      </c>
      <c r="C1255" s="25">
        <v>305.25</v>
      </c>
      <c r="D1255" s="25">
        <v>293.06</v>
      </c>
      <c r="E1255" s="25">
        <v>300.45</v>
      </c>
      <c r="F1255" s="25">
        <v>1156560.0</v>
      </c>
    </row>
    <row r="1256">
      <c r="A1256" s="25">
        <v>40218.645833333336</v>
      </c>
      <c r="B1256" s="25">
        <v>300.5</v>
      </c>
      <c r="C1256" s="25">
        <v>310.25</v>
      </c>
      <c r="D1256" s="25">
        <v>299.28</v>
      </c>
      <c r="E1256" s="25">
        <v>309.23</v>
      </c>
      <c r="F1256" s="25">
        <v>1298424.0</v>
      </c>
    </row>
    <row r="1257">
      <c r="A1257" s="25">
        <v>40219.645833333336</v>
      </c>
      <c r="B1257" s="25">
        <v>311.38</v>
      </c>
      <c r="C1257" s="25">
        <v>312.02</v>
      </c>
      <c r="D1257" s="25">
        <v>306.0</v>
      </c>
      <c r="E1257" s="25">
        <v>308.37</v>
      </c>
      <c r="F1257" s="25">
        <v>898498.0</v>
      </c>
    </row>
    <row r="1258">
      <c r="A1258" s="25">
        <v>40220.645833333336</v>
      </c>
      <c r="B1258" s="25">
        <v>309.13</v>
      </c>
      <c r="C1258" s="25">
        <v>314.77</v>
      </c>
      <c r="D1258" s="25">
        <v>308.75</v>
      </c>
      <c r="E1258" s="25">
        <v>312.31</v>
      </c>
      <c r="F1258" s="25">
        <v>806736.0</v>
      </c>
    </row>
    <row r="1259">
      <c r="A1259" s="25">
        <v>40224.645833333336</v>
      </c>
      <c r="B1259" s="25">
        <v>313.38</v>
      </c>
      <c r="C1259" s="25">
        <v>317.8</v>
      </c>
      <c r="D1259" s="25">
        <v>309.36</v>
      </c>
      <c r="E1259" s="25">
        <v>312.33</v>
      </c>
      <c r="F1259" s="25">
        <v>1118766.0</v>
      </c>
    </row>
    <row r="1260">
      <c r="A1260" s="25">
        <v>40225.645833333336</v>
      </c>
      <c r="B1260" s="25">
        <v>312.5</v>
      </c>
      <c r="C1260" s="25">
        <v>318.88</v>
      </c>
      <c r="D1260" s="25">
        <v>311.03</v>
      </c>
      <c r="E1260" s="25">
        <v>317.68</v>
      </c>
      <c r="F1260" s="25">
        <v>552262.0</v>
      </c>
    </row>
    <row r="1261">
      <c r="A1261" s="25">
        <v>40226.645833333336</v>
      </c>
      <c r="B1261" s="25">
        <v>318.77</v>
      </c>
      <c r="C1261" s="25">
        <v>320.8</v>
      </c>
      <c r="D1261" s="25">
        <v>314.2</v>
      </c>
      <c r="E1261" s="25">
        <v>314.83</v>
      </c>
      <c r="F1261" s="25">
        <v>998898.0</v>
      </c>
    </row>
    <row r="1262">
      <c r="A1262" s="25">
        <v>40227.645833333336</v>
      </c>
      <c r="B1262" s="25">
        <v>315.38</v>
      </c>
      <c r="C1262" s="25">
        <v>318.38</v>
      </c>
      <c r="D1262" s="25">
        <v>314.0</v>
      </c>
      <c r="E1262" s="25">
        <v>316.71</v>
      </c>
      <c r="F1262" s="25">
        <v>465212.0</v>
      </c>
    </row>
    <row r="1263">
      <c r="A1263" s="25">
        <v>40228.645833333336</v>
      </c>
      <c r="B1263" s="25">
        <v>315.61</v>
      </c>
      <c r="C1263" s="25">
        <v>318.06</v>
      </c>
      <c r="D1263" s="25">
        <v>313.14</v>
      </c>
      <c r="E1263" s="25">
        <v>316.55</v>
      </c>
      <c r="F1263" s="25">
        <v>749874.0</v>
      </c>
    </row>
    <row r="1264">
      <c r="A1264" s="25">
        <v>40231.645833333336</v>
      </c>
      <c r="B1264" s="25">
        <v>319.39</v>
      </c>
      <c r="C1264" s="25">
        <v>323.96</v>
      </c>
      <c r="D1264" s="25">
        <v>319.39</v>
      </c>
      <c r="E1264" s="25">
        <v>321.04</v>
      </c>
      <c r="F1264" s="25">
        <v>731925.0</v>
      </c>
    </row>
    <row r="1265">
      <c r="A1265" s="25">
        <v>40232.645833333336</v>
      </c>
      <c r="B1265" s="25">
        <v>319.76</v>
      </c>
      <c r="C1265" s="25">
        <v>323.63</v>
      </c>
      <c r="D1265" s="25">
        <v>319.38</v>
      </c>
      <c r="E1265" s="25">
        <v>322.66</v>
      </c>
      <c r="F1265" s="25">
        <v>473254.0</v>
      </c>
    </row>
    <row r="1266">
      <c r="A1266" s="25">
        <v>40233.645833333336</v>
      </c>
      <c r="B1266" s="25">
        <v>321.0</v>
      </c>
      <c r="C1266" s="25">
        <v>324.79</v>
      </c>
      <c r="D1266" s="25">
        <v>318.88</v>
      </c>
      <c r="E1266" s="25">
        <v>322.04</v>
      </c>
      <c r="F1266" s="25">
        <v>678377.0</v>
      </c>
    </row>
    <row r="1267">
      <c r="A1267" s="25">
        <v>40234.645833333336</v>
      </c>
      <c r="B1267" s="25">
        <v>321.33</v>
      </c>
      <c r="C1267" s="25">
        <v>328.71</v>
      </c>
      <c r="D1267" s="25">
        <v>321.33</v>
      </c>
      <c r="E1267" s="25">
        <v>327.17</v>
      </c>
      <c r="F1267" s="25">
        <v>1091196.0</v>
      </c>
    </row>
    <row r="1268">
      <c r="A1268" s="25">
        <v>40235.645833333336</v>
      </c>
      <c r="B1268" s="25">
        <v>327.38</v>
      </c>
      <c r="C1268" s="25">
        <v>328.75</v>
      </c>
      <c r="D1268" s="25">
        <v>322.76</v>
      </c>
      <c r="E1268" s="25">
        <v>325.24</v>
      </c>
      <c r="F1268" s="25">
        <v>1318296.0</v>
      </c>
    </row>
    <row r="1269">
      <c r="A1269" s="25">
        <v>40239.645833333336</v>
      </c>
      <c r="B1269" s="25">
        <v>328.94</v>
      </c>
      <c r="C1269" s="25">
        <v>331.34</v>
      </c>
      <c r="D1269" s="25">
        <v>327.83</v>
      </c>
      <c r="E1269" s="25">
        <v>330.13</v>
      </c>
      <c r="F1269" s="25">
        <v>1066832.0</v>
      </c>
    </row>
    <row r="1270">
      <c r="A1270" s="25">
        <v>40240.645833333336</v>
      </c>
      <c r="B1270" s="25">
        <v>331.39</v>
      </c>
      <c r="C1270" s="25">
        <v>334.56</v>
      </c>
      <c r="D1270" s="25">
        <v>329.08</v>
      </c>
      <c r="E1270" s="25">
        <v>333.28</v>
      </c>
      <c r="F1270" s="25">
        <v>738122.0</v>
      </c>
    </row>
    <row r="1271">
      <c r="A1271" s="25">
        <v>40241.645833333336</v>
      </c>
      <c r="B1271" s="25">
        <v>332.75</v>
      </c>
      <c r="C1271" s="25">
        <v>333.0</v>
      </c>
      <c r="D1271" s="25">
        <v>325.5</v>
      </c>
      <c r="E1271" s="25">
        <v>327.98</v>
      </c>
      <c r="F1271" s="25">
        <v>844405.0</v>
      </c>
    </row>
    <row r="1272">
      <c r="A1272" s="25">
        <v>40242.645833333336</v>
      </c>
      <c r="B1272" s="25">
        <v>329.24</v>
      </c>
      <c r="C1272" s="25">
        <v>330.0</v>
      </c>
      <c r="D1272" s="25">
        <v>326.63</v>
      </c>
      <c r="E1272" s="25">
        <v>329.46</v>
      </c>
      <c r="F1272" s="25">
        <v>623101.0</v>
      </c>
    </row>
    <row r="1273">
      <c r="A1273" s="25">
        <v>40245.645833333336</v>
      </c>
      <c r="B1273" s="25">
        <v>331.63</v>
      </c>
      <c r="C1273" s="25">
        <v>334.92</v>
      </c>
      <c r="D1273" s="25">
        <v>329.76</v>
      </c>
      <c r="E1273" s="25">
        <v>332.44</v>
      </c>
      <c r="F1273" s="25">
        <v>1083124.0</v>
      </c>
    </row>
    <row r="1274">
      <c r="A1274" s="25">
        <v>40246.645833333336</v>
      </c>
      <c r="B1274" s="25">
        <v>331.26</v>
      </c>
      <c r="C1274" s="25">
        <v>337.69</v>
      </c>
      <c r="D1274" s="25">
        <v>327.23</v>
      </c>
      <c r="E1274" s="25">
        <v>335.49</v>
      </c>
      <c r="F1274" s="25">
        <v>994844.0</v>
      </c>
    </row>
    <row r="1275">
      <c r="A1275" s="25">
        <v>40247.645833333336</v>
      </c>
      <c r="B1275" s="25">
        <v>334.36</v>
      </c>
      <c r="C1275" s="25">
        <v>336.43</v>
      </c>
      <c r="D1275" s="25">
        <v>331.25</v>
      </c>
      <c r="E1275" s="25">
        <v>332.41</v>
      </c>
      <c r="F1275" s="25">
        <v>916369.0</v>
      </c>
    </row>
    <row r="1276">
      <c r="A1276" s="25">
        <v>40248.645833333336</v>
      </c>
      <c r="B1276" s="25">
        <v>333.13</v>
      </c>
      <c r="C1276" s="25">
        <v>336.88</v>
      </c>
      <c r="D1276" s="25">
        <v>331.25</v>
      </c>
      <c r="E1276" s="25">
        <v>335.37</v>
      </c>
      <c r="F1276" s="25">
        <v>537303.0</v>
      </c>
    </row>
    <row r="1277">
      <c r="A1277" s="25">
        <v>40249.645833333336</v>
      </c>
      <c r="B1277" s="25">
        <v>337.49</v>
      </c>
      <c r="C1277" s="25">
        <v>338.0</v>
      </c>
      <c r="D1277" s="25">
        <v>332.04</v>
      </c>
      <c r="E1277" s="25">
        <v>334.16</v>
      </c>
      <c r="F1277" s="25">
        <v>397115.0</v>
      </c>
    </row>
    <row r="1278">
      <c r="A1278" s="25">
        <v>40252.645833333336</v>
      </c>
      <c r="B1278" s="25">
        <v>331.8</v>
      </c>
      <c r="C1278" s="25">
        <v>339.06</v>
      </c>
      <c r="D1278" s="25">
        <v>329.5</v>
      </c>
      <c r="E1278" s="25">
        <v>337.66</v>
      </c>
      <c r="F1278" s="25">
        <v>1322857.0</v>
      </c>
    </row>
    <row r="1279">
      <c r="A1279" s="25">
        <v>40253.645833333336</v>
      </c>
      <c r="B1279" s="25">
        <v>337.5</v>
      </c>
      <c r="C1279" s="25">
        <v>343.12</v>
      </c>
      <c r="D1279" s="25">
        <v>335.29</v>
      </c>
      <c r="E1279" s="25">
        <v>341.54</v>
      </c>
      <c r="F1279" s="25">
        <v>735168.0</v>
      </c>
    </row>
    <row r="1280">
      <c r="A1280" s="25">
        <v>40254.645833333336</v>
      </c>
      <c r="B1280" s="25">
        <v>341.88</v>
      </c>
      <c r="C1280" s="25">
        <v>344.21</v>
      </c>
      <c r="D1280" s="25">
        <v>339.13</v>
      </c>
      <c r="E1280" s="25">
        <v>342.29</v>
      </c>
      <c r="F1280" s="25">
        <v>794000.0</v>
      </c>
    </row>
    <row r="1281">
      <c r="A1281" s="25">
        <v>40255.645833333336</v>
      </c>
      <c r="B1281" s="25">
        <v>342.5</v>
      </c>
      <c r="C1281" s="25">
        <v>349.24</v>
      </c>
      <c r="D1281" s="25">
        <v>342.5</v>
      </c>
      <c r="E1281" s="25">
        <v>348.45</v>
      </c>
      <c r="F1281" s="25">
        <v>1115381.0</v>
      </c>
    </row>
    <row r="1282">
      <c r="A1282" s="25">
        <v>40256.645833333336</v>
      </c>
      <c r="B1282" s="25">
        <v>347.51</v>
      </c>
      <c r="C1282" s="25">
        <v>349.38</v>
      </c>
      <c r="D1282" s="25">
        <v>345.01</v>
      </c>
      <c r="E1282" s="25">
        <v>346.54</v>
      </c>
      <c r="F1282" s="25">
        <v>1572818.0</v>
      </c>
    </row>
    <row r="1283">
      <c r="A1283" s="25">
        <v>40259.645833333336</v>
      </c>
      <c r="B1283" s="25">
        <v>344.01</v>
      </c>
      <c r="C1283" s="25">
        <v>347.13</v>
      </c>
      <c r="D1283" s="25">
        <v>342.86</v>
      </c>
      <c r="E1283" s="25">
        <v>344.68</v>
      </c>
      <c r="F1283" s="25">
        <v>513566.0</v>
      </c>
    </row>
    <row r="1284">
      <c r="A1284" s="25">
        <v>40260.645833333336</v>
      </c>
      <c r="B1284" s="25">
        <v>346.26</v>
      </c>
      <c r="C1284" s="25">
        <v>349.88</v>
      </c>
      <c r="D1284" s="25">
        <v>345.52</v>
      </c>
      <c r="E1284" s="25">
        <v>346.94</v>
      </c>
      <c r="F1284" s="25">
        <v>599070.0</v>
      </c>
    </row>
    <row r="1285">
      <c r="A1285" s="25">
        <v>40262.645833333336</v>
      </c>
      <c r="B1285" s="25">
        <v>346.38</v>
      </c>
      <c r="C1285" s="25">
        <v>358.75</v>
      </c>
      <c r="D1285" s="25">
        <v>343.86</v>
      </c>
      <c r="E1285" s="25">
        <v>351.74</v>
      </c>
      <c r="F1285" s="25">
        <v>1900941.0</v>
      </c>
    </row>
    <row r="1286">
      <c r="A1286" s="25">
        <v>40263.645833333336</v>
      </c>
      <c r="B1286" s="25">
        <v>352.0</v>
      </c>
      <c r="C1286" s="25">
        <v>353.13</v>
      </c>
      <c r="D1286" s="25">
        <v>345.38</v>
      </c>
      <c r="E1286" s="25">
        <v>346.86</v>
      </c>
      <c r="F1286" s="25">
        <v>1138210.0</v>
      </c>
    </row>
    <row r="1287">
      <c r="A1287" s="25">
        <v>40266.645833333336</v>
      </c>
      <c r="B1287" s="25">
        <v>344.75</v>
      </c>
      <c r="C1287" s="25">
        <v>346.25</v>
      </c>
      <c r="D1287" s="25">
        <v>337.53</v>
      </c>
      <c r="E1287" s="25">
        <v>339.58</v>
      </c>
      <c r="F1287" s="25">
        <v>1747713.0</v>
      </c>
    </row>
    <row r="1288">
      <c r="A1288" s="25">
        <v>40267.645833333336</v>
      </c>
      <c r="B1288" s="25">
        <v>339.38</v>
      </c>
      <c r="C1288" s="25">
        <v>339.38</v>
      </c>
      <c r="D1288" s="25">
        <v>328.83</v>
      </c>
      <c r="E1288" s="25">
        <v>330.51</v>
      </c>
      <c r="F1288" s="25">
        <v>1331242.0</v>
      </c>
    </row>
    <row r="1289">
      <c r="A1289" s="25">
        <v>40268.645833333336</v>
      </c>
      <c r="B1289" s="25">
        <v>331.74</v>
      </c>
      <c r="C1289" s="25">
        <v>334.59</v>
      </c>
      <c r="D1289" s="25">
        <v>325.83</v>
      </c>
      <c r="E1289" s="25">
        <v>326.99</v>
      </c>
      <c r="F1289" s="25">
        <v>1633763.0</v>
      </c>
    </row>
    <row r="1290">
      <c r="A1290" s="25">
        <v>40269.645833333336</v>
      </c>
      <c r="B1290" s="25">
        <v>327.52</v>
      </c>
      <c r="C1290" s="25">
        <v>334.75</v>
      </c>
      <c r="D1290" s="25">
        <v>327.5</v>
      </c>
      <c r="E1290" s="25">
        <v>333.81</v>
      </c>
      <c r="F1290" s="25">
        <v>1023375.0</v>
      </c>
    </row>
    <row r="1291">
      <c r="A1291" s="25">
        <v>40273.645833333336</v>
      </c>
      <c r="B1291" s="25">
        <v>334.88</v>
      </c>
      <c r="C1291" s="25">
        <v>336.25</v>
      </c>
      <c r="D1291" s="25">
        <v>329.75</v>
      </c>
      <c r="E1291" s="25">
        <v>334.74</v>
      </c>
      <c r="F1291" s="25">
        <v>914827.0</v>
      </c>
    </row>
    <row r="1292">
      <c r="A1292" s="25">
        <v>40274.645833333336</v>
      </c>
      <c r="B1292" s="25">
        <v>335.25</v>
      </c>
      <c r="C1292" s="25">
        <v>335.63</v>
      </c>
      <c r="D1292" s="25">
        <v>330.66</v>
      </c>
      <c r="E1292" s="25">
        <v>331.41</v>
      </c>
      <c r="F1292" s="25">
        <v>668601.0</v>
      </c>
    </row>
    <row r="1293">
      <c r="A1293" s="25">
        <v>40275.645833333336</v>
      </c>
      <c r="B1293" s="25">
        <v>331.94</v>
      </c>
      <c r="C1293" s="25">
        <v>334.35</v>
      </c>
      <c r="D1293" s="25">
        <v>327.18</v>
      </c>
      <c r="E1293" s="25">
        <v>330.47</v>
      </c>
      <c r="F1293" s="25">
        <v>1047610.0</v>
      </c>
    </row>
    <row r="1294">
      <c r="A1294" s="25">
        <v>40276.645833333336</v>
      </c>
      <c r="B1294" s="25">
        <v>330.0</v>
      </c>
      <c r="C1294" s="25">
        <v>334.74</v>
      </c>
      <c r="D1294" s="25">
        <v>328.75</v>
      </c>
      <c r="E1294" s="25">
        <v>332.97</v>
      </c>
      <c r="F1294" s="25">
        <v>903498.0</v>
      </c>
    </row>
    <row r="1295">
      <c r="A1295" s="25">
        <v>40277.645833333336</v>
      </c>
      <c r="B1295" s="25">
        <v>333.75</v>
      </c>
      <c r="C1295" s="25">
        <v>337.21</v>
      </c>
      <c r="D1295" s="25">
        <v>333.13</v>
      </c>
      <c r="E1295" s="25">
        <v>334.53</v>
      </c>
      <c r="F1295" s="25">
        <v>1032539.0</v>
      </c>
    </row>
    <row r="1296">
      <c r="A1296" s="25">
        <v>40280.645833333336</v>
      </c>
      <c r="B1296" s="25">
        <v>335.74</v>
      </c>
      <c r="C1296" s="25">
        <v>337.25</v>
      </c>
      <c r="D1296" s="25">
        <v>331.51</v>
      </c>
      <c r="E1296" s="25">
        <v>335.39</v>
      </c>
      <c r="F1296" s="25">
        <v>1040706.0</v>
      </c>
    </row>
    <row r="1297">
      <c r="A1297" s="25">
        <v>40281.645833333336</v>
      </c>
      <c r="B1297" s="25">
        <v>336.25</v>
      </c>
      <c r="C1297" s="25">
        <v>349.23</v>
      </c>
      <c r="D1297" s="25">
        <v>329.38</v>
      </c>
      <c r="E1297" s="25">
        <v>347.74</v>
      </c>
      <c r="F1297" s="25">
        <v>7204425.0</v>
      </c>
    </row>
    <row r="1298">
      <c r="A1298" s="25">
        <v>40283.645833333336</v>
      </c>
      <c r="B1298" s="25">
        <v>348.5</v>
      </c>
      <c r="C1298" s="25">
        <v>353.09</v>
      </c>
      <c r="D1298" s="25">
        <v>344.91</v>
      </c>
      <c r="E1298" s="25">
        <v>350.2</v>
      </c>
      <c r="F1298" s="25">
        <v>2799391.0</v>
      </c>
    </row>
    <row r="1299">
      <c r="A1299" s="25">
        <v>40284.645833333336</v>
      </c>
      <c r="B1299" s="25">
        <v>349.01</v>
      </c>
      <c r="C1299" s="25">
        <v>351.13</v>
      </c>
      <c r="D1299" s="25">
        <v>346.38</v>
      </c>
      <c r="E1299" s="25">
        <v>348.58</v>
      </c>
      <c r="F1299" s="25">
        <v>780543.0</v>
      </c>
    </row>
    <row r="1300">
      <c r="A1300" s="25">
        <v>40287.645833333336</v>
      </c>
      <c r="B1300" s="25">
        <v>346.83</v>
      </c>
      <c r="C1300" s="25">
        <v>346.83</v>
      </c>
      <c r="D1300" s="25">
        <v>342.0</v>
      </c>
      <c r="E1300" s="25">
        <v>343.99</v>
      </c>
      <c r="F1300" s="25">
        <v>1094362.0</v>
      </c>
    </row>
    <row r="1301">
      <c r="A1301" s="25">
        <v>40288.645833333336</v>
      </c>
      <c r="B1301" s="25">
        <v>345.69</v>
      </c>
      <c r="C1301" s="25">
        <v>348.74</v>
      </c>
      <c r="D1301" s="25">
        <v>340.0</v>
      </c>
      <c r="E1301" s="25">
        <v>340.91</v>
      </c>
      <c r="F1301" s="25">
        <v>1192766.0</v>
      </c>
    </row>
    <row r="1302">
      <c r="A1302" s="25">
        <v>40289.645833333336</v>
      </c>
      <c r="B1302" s="25">
        <v>342.88</v>
      </c>
      <c r="C1302" s="25">
        <v>343.72</v>
      </c>
      <c r="D1302" s="25">
        <v>337.54</v>
      </c>
      <c r="E1302" s="25">
        <v>339.06</v>
      </c>
      <c r="F1302" s="25">
        <v>812036.0</v>
      </c>
    </row>
    <row r="1303">
      <c r="A1303" s="25">
        <v>40290.645833333336</v>
      </c>
      <c r="B1303" s="25">
        <v>338.5</v>
      </c>
      <c r="C1303" s="25">
        <v>345.36</v>
      </c>
      <c r="D1303" s="25">
        <v>336.63</v>
      </c>
      <c r="E1303" s="25">
        <v>339.8</v>
      </c>
      <c r="F1303" s="25">
        <v>872268.0</v>
      </c>
    </row>
    <row r="1304">
      <c r="A1304" s="25">
        <v>40291.645833333336</v>
      </c>
      <c r="B1304" s="25">
        <v>341.88</v>
      </c>
      <c r="C1304" s="25">
        <v>344.21</v>
      </c>
      <c r="D1304" s="25">
        <v>339.61</v>
      </c>
      <c r="E1304" s="25">
        <v>340.87</v>
      </c>
      <c r="F1304" s="25">
        <v>736042.0</v>
      </c>
    </row>
    <row r="1305">
      <c r="A1305" s="25">
        <v>40294.645833333336</v>
      </c>
      <c r="B1305" s="25">
        <v>341.26</v>
      </c>
      <c r="C1305" s="25">
        <v>344.25</v>
      </c>
      <c r="D1305" s="25">
        <v>340.63</v>
      </c>
      <c r="E1305" s="25">
        <v>342.37</v>
      </c>
      <c r="F1305" s="25">
        <v>556786.0</v>
      </c>
    </row>
    <row r="1306">
      <c r="A1306" s="25">
        <v>40295.645833333336</v>
      </c>
      <c r="B1306" s="25">
        <v>341.14</v>
      </c>
      <c r="C1306" s="25">
        <v>342.8</v>
      </c>
      <c r="D1306" s="25">
        <v>340.8</v>
      </c>
      <c r="E1306" s="25">
        <v>342.18</v>
      </c>
      <c r="F1306" s="25">
        <v>410032.0</v>
      </c>
    </row>
    <row r="1307">
      <c r="A1307" s="25">
        <v>40296.645833333336</v>
      </c>
      <c r="B1307" s="25">
        <v>338.76</v>
      </c>
      <c r="C1307" s="25">
        <v>341.49</v>
      </c>
      <c r="D1307" s="25">
        <v>336.39</v>
      </c>
      <c r="E1307" s="25">
        <v>337.44</v>
      </c>
      <c r="F1307" s="25">
        <v>693062.0</v>
      </c>
    </row>
    <row r="1308">
      <c r="A1308" s="25">
        <v>40297.645833333336</v>
      </c>
      <c r="B1308" s="25">
        <v>337.38</v>
      </c>
      <c r="C1308" s="25">
        <v>341.61</v>
      </c>
      <c r="D1308" s="25">
        <v>334.38</v>
      </c>
      <c r="E1308" s="25">
        <v>338.64</v>
      </c>
      <c r="F1308" s="25">
        <v>1414995.0</v>
      </c>
    </row>
    <row r="1309">
      <c r="A1309" s="25">
        <v>40298.645833333336</v>
      </c>
      <c r="B1309" s="25">
        <v>339.0</v>
      </c>
      <c r="C1309" s="25">
        <v>344.85</v>
      </c>
      <c r="D1309" s="25">
        <v>334.64</v>
      </c>
      <c r="E1309" s="25">
        <v>342.27</v>
      </c>
      <c r="F1309" s="25">
        <v>1008378.0</v>
      </c>
    </row>
    <row r="1310">
      <c r="A1310" s="25">
        <v>40301.645833333336</v>
      </c>
      <c r="B1310" s="25">
        <v>338.5</v>
      </c>
      <c r="C1310" s="25">
        <v>339.37</v>
      </c>
      <c r="D1310" s="25">
        <v>335.25</v>
      </c>
      <c r="E1310" s="25">
        <v>336.86</v>
      </c>
      <c r="F1310" s="25">
        <v>676119.0</v>
      </c>
    </row>
    <row r="1311">
      <c r="A1311" s="25">
        <v>40302.645833333336</v>
      </c>
      <c r="B1311" s="25">
        <v>338.13</v>
      </c>
      <c r="C1311" s="25">
        <v>338.25</v>
      </c>
      <c r="D1311" s="25">
        <v>331.94</v>
      </c>
      <c r="E1311" s="25">
        <v>333.27</v>
      </c>
      <c r="F1311" s="25">
        <v>822026.0</v>
      </c>
    </row>
    <row r="1312">
      <c r="A1312" s="25">
        <v>40303.645833333336</v>
      </c>
      <c r="B1312" s="25">
        <v>331.18</v>
      </c>
      <c r="C1312" s="25">
        <v>338.5</v>
      </c>
      <c r="D1312" s="25">
        <v>326.25</v>
      </c>
      <c r="E1312" s="25">
        <v>336.63</v>
      </c>
      <c r="F1312" s="25">
        <v>1515260.0</v>
      </c>
    </row>
    <row r="1313">
      <c r="A1313" s="25">
        <v>40304.645833333336</v>
      </c>
      <c r="B1313" s="25">
        <v>336.29</v>
      </c>
      <c r="C1313" s="25">
        <v>336.29</v>
      </c>
      <c r="D1313" s="25">
        <v>330.69</v>
      </c>
      <c r="E1313" s="25">
        <v>332.27</v>
      </c>
      <c r="F1313" s="25">
        <v>976045.0</v>
      </c>
    </row>
    <row r="1314">
      <c r="A1314" s="25">
        <v>40305.645833333336</v>
      </c>
      <c r="B1314" s="25">
        <v>329.76</v>
      </c>
      <c r="C1314" s="25">
        <v>330.67</v>
      </c>
      <c r="D1314" s="25">
        <v>325.88</v>
      </c>
      <c r="E1314" s="25">
        <v>327.11</v>
      </c>
      <c r="F1314" s="25">
        <v>1123049.0</v>
      </c>
    </row>
    <row r="1315">
      <c r="A1315" s="25">
        <v>40308.645833333336</v>
      </c>
      <c r="B1315" s="25">
        <v>327.5</v>
      </c>
      <c r="C1315" s="25">
        <v>335.48</v>
      </c>
      <c r="D1315" s="25">
        <v>327.5</v>
      </c>
      <c r="E1315" s="25">
        <v>334.46</v>
      </c>
      <c r="F1315" s="25">
        <v>704426.0</v>
      </c>
    </row>
    <row r="1316">
      <c r="A1316" s="25">
        <v>40309.645833333336</v>
      </c>
      <c r="B1316" s="25">
        <v>333.73</v>
      </c>
      <c r="C1316" s="25">
        <v>334.31</v>
      </c>
      <c r="D1316" s="25">
        <v>329.5</v>
      </c>
      <c r="E1316" s="25">
        <v>332.59</v>
      </c>
      <c r="F1316" s="25">
        <v>725353.0</v>
      </c>
    </row>
    <row r="1317">
      <c r="A1317" s="25">
        <v>40310.645833333336</v>
      </c>
      <c r="B1317" s="25">
        <v>332.0</v>
      </c>
      <c r="C1317" s="25">
        <v>337.36</v>
      </c>
      <c r="D1317" s="25">
        <v>331.53</v>
      </c>
      <c r="E1317" s="25">
        <v>335.21</v>
      </c>
      <c r="F1317" s="25">
        <v>1148147.0</v>
      </c>
    </row>
    <row r="1318">
      <c r="A1318" s="25">
        <v>40311.645833333336</v>
      </c>
      <c r="B1318" s="25">
        <v>335.5</v>
      </c>
      <c r="C1318" s="25">
        <v>340.38</v>
      </c>
      <c r="D1318" s="25">
        <v>332.66</v>
      </c>
      <c r="E1318" s="25">
        <v>338.27</v>
      </c>
      <c r="F1318" s="25">
        <v>615485.0</v>
      </c>
    </row>
    <row r="1319">
      <c r="A1319" s="25">
        <v>40312.645833333336</v>
      </c>
      <c r="B1319" s="25">
        <v>338.75</v>
      </c>
      <c r="C1319" s="25">
        <v>340.88</v>
      </c>
      <c r="D1319" s="25">
        <v>328.75</v>
      </c>
      <c r="E1319" s="25">
        <v>331.49</v>
      </c>
      <c r="F1319" s="25">
        <v>853062.0</v>
      </c>
    </row>
    <row r="1320">
      <c r="A1320" s="25">
        <v>40315.645833333336</v>
      </c>
      <c r="B1320" s="25">
        <v>329.38</v>
      </c>
      <c r="C1320" s="25">
        <v>331.01</v>
      </c>
      <c r="D1320" s="25">
        <v>322.01</v>
      </c>
      <c r="E1320" s="25">
        <v>327.04</v>
      </c>
      <c r="F1320" s="25">
        <v>1021353.0</v>
      </c>
    </row>
    <row r="1321">
      <c r="A1321" s="25">
        <v>40316.645833333336</v>
      </c>
      <c r="B1321" s="25">
        <v>332.5</v>
      </c>
      <c r="C1321" s="25">
        <v>332.5</v>
      </c>
      <c r="D1321" s="25">
        <v>322.76</v>
      </c>
      <c r="E1321" s="25">
        <v>328.65</v>
      </c>
      <c r="F1321" s="25">
        <v>893075.0</v>
      </c>
    </row>
    <row r="1322">
      <c r="A1322" s="25">
        <v>40317.645833333336</v>
      </c>
      <c r="B1322" s="25">
        <v>328.25</v>
      </c>
      <c r="C1322" s="25">
        <v>331.54</v>
      </c>
      <c r="D1322" s="25">
        <v>324.18</v>
      </c>
      <c r="E1322" s="25">
        <v>325.36</v>
      </c>
      <c r="F1322" s="25">
        <v>1492405.0</v>
      </c>
    </row>
    <row r="1323">
      <c r="A1323" s="25">
        <v>40318.645833333336</v>
      </c>
      <c r="B1323" s="25">
        <v>326.5</v>
      </c>
      <c r="C1323" s="25">
        <v>329.32</v>
      </c>
      <c r="D1323" s="25">
        <v>323.31</v>
      </c>
      <c r="E1323" s="25">
        <v>325.09</v>
      </c>
      <c r="F1323" s="25">
        <v>813609.0</v>
      </c>
    </row>
    <row r="1324">
      <c r="A1324" s="25">
        <v>40319.645833333336</v>
      </c>
      <c r="B1324" s="25">
        <v>321.0</v>
      </c>
      <c r="C1324" s="25">
        <v>326.0</v>
      </c>
      <c r="D1324" s="25">
        <v>319.79</v>
      </c>
      <c r="E1324" s="25">
        <v>322.72</v>
      </c>
      <c r="F1324" s="25">
        <v>890900.0</v>
      </c>
    </row>
    <row r="1325">
      <c r="A1325" s="25">
        <v>40322.645833333336</v>
      </c>
      <c r="B1325" s="25">
        <v>326.38</v>
      </c>
      <c r="C1325" s="25">
        <v>328.75</v>
      </c>
      <c r="D1325" s="25">
        <v>322.41</v>
      </c>
      <c r="E1325" s="25">
        <v>325.05</v>
      </c>
      <c r="F1325" s="25">
        <v>898263.0</v>
      </c>
    </row>
    <row r="1326">
      <c r="A1326" s="25">
        <v>40323.645833333336</v>
      </c>
      <c r="B1326" s="25">
        <v>323.36</v>
      </c>
      <c r="C1326" s="25">
        <v>323.36</v>
      </c>
      <c r="D1326" s="25">
        <v>313.76</v>
      </c>
      <c r="E1326" s="25">
        <v>316.68</v>
      </c>
      <c r="F1326" s="25">
        <v>1104766.0</v>
      </c>
    </row>
    <row r="1327">
      <c r="A1327" s="25">
        <v>40324.645833333336</v>
      </c>
      <c r="B1327" s="25">
        <v>320.63</v>
      </c>
      <c r="C1327" s="25">
        <v>329.99</v>
      </c>
      <c r="D1327" s="25">
        <v>319.53</v>
      </c>
      <c r="E1327" s="25">
        <v>327.63</v>
      </c>
      <c r="F1327" s="25">
        <v>983607.0</v>
      </c>
    </row>
    <row r="1328">
      <c r="A1328" s="25">
        <v>40325.645833333336</v>
      </c>
      <c r="B1328" s="25">
        <v>328.48</v>
      </c>
      <c r="C1328" s="25">
        <v>333.0</v>
      </c>
      <c r="D1328" s="25">
        <v>324.39</v>
      </c>
      <c r="E1328" s="25">
        <v>330.42</v>
      </c>
      <c r="F1328" s="25">
        <v>1414087.0</v>
      </c>
    </row>
    <row r="1329">
      <c r="A1329" s="25">
        <v>40326.645833333336</v>
      </c>
      <c r="B1329" s="25">
        <v>333.76</v>
      </c>
      <c r="C1329" s="25">
        <v>335.55</v>
      </c>
      <c r="D1329" s="25">
        <v>329.66</v>
      </c>
      <c r="E1329" s="25">
        <v>334.68</v>
      </c>
      <c r="F1329" s="25">
        <v>849249.0</v>
      </c>
    </row>
    <row r="1330">
      <c r="A1330" s="25">
        <v>40329.645833333336</v>
      </c>
      <c r="B1330" s="25">
        <v>341.88</v>
      </c>
      <c r="C1330" s="25">
        <v>341.88</v>
      </c>
      <c r="D1330" s="25">
        <v>328.07</v>
      </c>
      <c r="E1330" s="25">
        <v>332.25</v>
      </c>
      <c r="F1330" s="25">
        <v>877594.0</v>
      </c>
    </row>
    <row r="1331">
      <c r="A1331" s="25">
        <v>40330.645833333336</v>
      </c>
      <c r="B1331" s="25">
        <v>331.88</v>
      </c>
      <c r="C1331" s="25">
        <v>332.19</v>
      </c>
      <c r="D1331" s="25">
        <v>327.2</v>
      </c>
      <c r="E1331" s="25">
        <v>328.04</v>
      </c>
      <c r="F1331" s="25">
        <v>722861.0</v>
      </c>
    </row>
    <row r="1332">
      <c r="A1332" s="25">
        <v>40331.645833333336</v>
      </c>
      <c r="B1332" s="25">
        <v>329.38</v>
      </c>
      <c r="C1332" s="25">
        <v>331.49</v>
      </c>
      <c r="D1332" s="25">
        <v>328.01</v>
      </c>
      <c r="E1332" s="25">
        <v>330.03</v>
      </c>
      <c r="F1332" s="25">
        <v>819643.0</v>
      </c>
    </row>
    <row r="1333">
      <c r="A1333" s="25">
        <v>40332.645833333336</v>
      </c>
      <c r="B1333" s="25">
        <v>332.5</v>
      </c>
      <c r="C1333" s="25">
        <v>338.23</v>
      </c>
      <c r="D1333" s="25">
        <v>332.5</v>
      </c>
      <c r="E1333" s="25">
        <v>337.25</v>
      </c>
      <c r="F1333" s="25">
        <v>689637.0</v>
      </c>
    </row>
    <row r="1334">
      <c r="A1334" s="25">
        <v>40333.645833333336</v>
      </c>
      <c r="B1334" s="25">
        <v>337.25</v>
      </c>
      <c r="C1334" s="25">
        <v>342.25</v>
      </c>
      <c r="D1334" s="25">
        <v>335.31</v>
      </c>
      <c r="E1334" s="25">
        <v>341.12</v>
      </c>
      <c r="F1334" s="25">
        <v>618800.0</v>
      </c>
    </row>
    <row r="1335">
      <c r="A1335" s="25">
        <v>40336.645833333336</v>
      </c>
      <c r="B1335" s="25">
        <v>338.75</v>
      </c>
      <c r="C1335" s="25">
        <v>338.75</v>
      </c>
      <c r="D1335" s="25">
        <v>331.25</v>
      </c>
      <c r="E1335" s="25">
        <v>333.96</v>
      </c>
      <c r="F1335" s="25">
        <v>972744.0</v>
      </c>
    </row>
    <row r="1336">
      <c r="A1336" s="25">
        <v>40337.645833333336</v>
      </c>
      <c r="B1336" s="25">
        <v>333.96</v>
      </c>
      <c r="C1336" s="25">
        <v>336.13</v>
      </c>
      <c r="D1336" s="25">
        <v>330.98</v>
      </c>
      <c r="E1336" s="25">
        <v>331.81</v>
      </c>
      <c r="F1336" s="25">
        <v>831393.0</v>
      </c>
    </row>
    <row r="1337">
      <c r="A1337" s="25">
        <v>40338.645833333336</v>
      </c>
      <c r="B1337" s="25">
        <v>333.5</v>
      </c>
      <c r="C1337" s="25">
        <v>333.5</v>
      </c>
      <c r="D1337" s="25">
        <v>327.06</v>
      </c>
      <c r="E1337" s="25">
        <v>328.12</v>
      </c>
      <c r="F1337" s="25">
        <v>678390.0</v>
      </c>
    </row>
    <row r="1338">
      <c r="A1338" s="25">
        <v>40339.645833333336</v>
      </c>
      <c r="B1338" s="25">
        <v>328.15</v>
      </c>
      <c r="C1338" s="25">
        <v>331.75</v>
      </c>
      <c r="D1338" s="25">
        <v>327.57</v>
      </c>
      <c r="E1338" s="25">
        <v>330.69</v>
      </c>
      <c r="F1338" s="25">
        <v>648431.0</v>
      </c>
    </row>
    <row r="1339">
      <c r="A1339" s="25">
        <v>40340.645833333336</v>
      </c>
      <c r="B1339" s="25">
        <v>333.11</v>
      </c>
      <c r="C1339" s="25">
        <v>336.36</v>
      </c>
      <c r="D1339" s="25">
        <v>327.63</v>
      </c>
      <c r="E1339" s="25">
        <v>328.84</v>
      </c>
      <c r="F1339" s="25">
        <v>1239108.0</v>
      </c>
    </row>
    <row r="1340">
      <c r="A1340" s="25">
        <v>40343.645833333336</v>
      </c>
      <c r="B1340" s="25">
        <v>331.26</v>
      </c>
      <c r="C1340" s="25">
        <v>344.86</v>
      </c>
      <c r="D1340" s="25">
        <v>331.26</v>
      </c>
      <c r="E1340" s="25">
        <v>343.3</v>
      </c>
      <c r="F1340" s="25">
        <v>1216106.0</v>
      </c>
    </row>
    <row r="1341">
      <c r="A1341" s="25">
        <v>40344.645833333336</v>
      </c>
      <c r="B1341" s="25">
        <v>343.31</v>
      </c>
      <c r="C1341" s="25">
        <v>347.5</v>
      </c>
      <c r="D1341" s="25">
        <v>340.26</v>
      </c>
      <c r="E1341" s="25">
        <v>341.84</v>
      </c>
      <c r="F1341" s="25">
        <v>993289.0</v>
      </c>
    </row>
    <row r="1342">
      <c r="A1342" s="25">
        <v>40345.645833333336</v>
      </c>
      <c r="B1342" s="25">
        <v>344.36</v>
      </c>
      <c r="C1342" s="25">
        <v>347.44</v>
      </c>
      <c r="D1342" s="25">
        <v>342.75</v>
      </c>
      <c r="E1342" s="25">
        <v>346.18</v>
      </c>
      <c r="F1342" s="25">
        <v>715008.0</v>
      </c>
    </row>
    <row r="1343">
      <c r="A1343" s="25">
        <v>40346.645833333336</v>
      </c>
      <c r="B1343" s="25">
        <v>347.0</v>
      </c>
      <c r="C1343" s="25">
        <v>347.98</v>
      </c>
      <c r="D1343" s="25">
        <v>342.0</v>
      </c>
      <c r="E1343" s="25">
        <v>345.61</v>
      </c>
      <c r="F1343" s="25">
        <v>704905.0</v>
      </c>
    </row>
    <row r="1344">
      <c r="A1344" s="25">
        <v>40347.645833333336</v>
      </c>
      <c r="B1344" s="25">
        <v>338.48</v>
      </c>
      <c r="C1344" s="25">
        <v>351.88</v>
      </c>
      <c r="D1344" s="25">
        <v>338.48</v>
      </c>
      <c r="E1344" s="25">
        <v>348.28</v>
      </c>
      <c r="F1344" s="25">
        <v>1044529.0</v>
      </c>
    </row>
    <row r="1345">
      <c r="A1345" s="25">
        <v>40350.645833333336</v>
      </c>
      <c r="B1345" s="25">
        <v>349.93</v>
      </c>
      <c r="C1345" s="25">
        <v>352.35</v>
      </c>
      <c r="D1345" s="25">
        <v>348.91</v>
      </c>
      <c r="E1345" s="25">
        <v>350.1</v>
      </c>
      <c r="F1345" s="25">
        <v>895594.0</v>
      </c>
    </row>
    <row r="1346">
      <c r="A1346" s="25">
        <v>40351.645833333336</v>
      </c>
      <c r="B1346" s="25">
        <v>348.75</v>
      </c>
      <c r="C1346" s="25">
        <v>349.92</v>
      </c>
      <c r="D1346" s="25">
        <v>345.0</v>
      </c>
      <c r="E1346" s="25">
        <v>345.89</v>
      </c>
      <c r="F1346" s="25">
        <v>595461.0</v>
      </c>
    </row>
    <row r="1347">
      <c r="A1347" s="25">
        <v>40352.645833333336</v>
      </c>
      <c r="B1347" s="25">
        <v>343.39</v>
      </c>
      <c r="C1347" s="25">
        <v>350.62</v>
      </c>
      <c r="D1347" s="25">
        <v>339.73</v>
      </c>
      <c r="E1347" s="25">
        <v>349.72</v>
      </c>
      <c r="F1347" s="25">
        <v>618511.0</v>
      </c>
    </row>
    <row r="1348">
      <c r="A1348" s="25">
        <v>40353.645833333336</v>
      </c>
      <c r="B1348" s="25">
        <v>351.8</v>
      </c>
      <c r="C1348" s="25">
        <v>354.21</v>
      </c>
      <c r="D1348" s="25">
        <v>347.88</v>
      </c>
      <c r="E1348" s="25">
        <v>352.84</v>
      </c>
      <c r="F1348" s="25">
        <v>1539513.0</v>
      </c>
    </row>
    <row r="1349">
      <c r="A1349" s="25">
        <v>40354.645833333336</v>
      </c>
      <c r="B1349" s="25">
        <v>351.25</v>
      </c>
      <c r="C1349" s="25">
        <v>351.49</v>
      </c>
      <c r="D1349" s="25">
        <v>346.38</v>
      </c>
      <c r="E1349" s="25">
        <v>347.21</v>
      </c>
      <c r="F1349" s="25">
        <v>418208.0</v>
      </c>
    </row>
    <row r="1350">
      <c r="A1350" s="25">
        <v>40357.645833333336</v>
      </c>
      <c r="B1350" s="25">
        <v>346.25</v>
      </c>
      <c r="C1350" s="25">
        <v>352.13</v>
      </c>
      <c r="D1350" s="25">
        <v>346.25</v>
      </c>
      <c r="E1350" s="25">
        <v>351.13</v>
      </c>
      <c r="F1350" s="25">
        <v>479271.0</v>
      </c>
    </row>
    <row r="1351">
      <c r="A1351" s="25">
        <v>40358.645833333336</v>
      </c>
      <c r="B1351" s="25">
        <v>349.13</v>
      </c>
      <c r="C1351" s="25">
        <v>351.7</v>
      </c>
      <c r="D1351" s="25">
        <v>345.89</v>
      </c>
      <c r="E1351" s="25">
        <v>349.19</v>
      </c>
      <c r="F1351" s="25">
        <v>471634.0</v>
      </c>
    </row>
    <row r="1352">
      <c r="A1352" s="25">
        <v>40359.645833333336</v>
      </c>
      <c r="B1352" s="25">
        <v>347.25</v>
      </c>
      <c r="C1352" s="25">
        <v>351.08</v>
      </c>
      <c r="D1352" s="25">
        <v>341.5</v>
      </c>
      <c r="E1352" s="25">
        <v>348.88</v>
      </c>
      <c r="F1352" s="25">
        <v>1181247.0</v>
      </c>
    </row>
    <row r="1353">
      <c r="A1353" s="25">
        <v>40360.645833333336</v>
      </c>
      <c r="B1353" s="25">
        <v>348.88</v>
      </c>
      <c r="C1353" s="25">
        <v>348.88</v>
      </c>
      <c r="D1353" s="25">
        <v>343.88</v>
      </c>
      <c r="E1353" s="25">
        <v>345.88</v>
      </c>
      <c r="F1353" s="25">
        <v>730906.0</v>
      </c>
    </row>
    <row r="1354">
      <c r="A1354" s="25">
        <v>40361.645833333336</v>
      </c>
      <c r="B1354" s="25">
        <v>346.87</v>
      </c>
      <c r="C1354" s="25">
        <v>346.87</v>
      </c>
      <c r="D1354" s="25">
        <v>339.5</v>
      </c>
      <c r="E1354" s="25">
        <v>340.94</v>
      </c>
      <c r="F1354" s="25">
        <v>1396180.0</v>
      </c>
    </row>
    <row r="1355">
      <c r="A1355" s="25">
        <v>40364.645833333336</v>
      </c>
      <c r="B1355" s="25">
        <v>341.25</v>
      </c>
      <c r="C1355" s="25">
        <v>344.0</v>
      </c>
      <c r="D1355" s="25">
        <v>340.0</v>
      </c>
      <c r="E1355" s="25">
        <v>342.93</v>
      </c>
      <c r="F1355" s="25">
        <v>452090.0</v>
      </c>
    </row>
    <row r="1356">
      <c r="A1356" s="25">
        <v>40365.645833333336</v>
      </c>
      <c r="B1356" s="25">
        <v>342.88</v>
      </c>
      <c r="C1356" s="25">
        <v>349.88</v>
      </c>
      <c r="D1356" s="25">
        <v>342.88</v>
      </c>
      <c r="E1356" s="25">
        <v>348.14</v>
      </c>
      <c r="F1356" s="25">
        <v>734075.0</v>
      </c>
    </row>
    <row r="1357">
      <c r="A1357" s="25">
        <v>40366.645833333336</v>
      </c>
      <c r="B1357" s="25">
        <v>349.95</v>
      </c>
      <c r="C1357" s="25">
        <v>349.95</v>
      </c>
      <c r="D1357" s="25">
        <v>345.65</v>
      </c>
      <c r="E1357" s="25">
        <v>347.72</v>
      </c>
      <c r="F1357" s="25">
        <v>740424.0</v>
      </c>
    </row>
    <row r="1358">
      <c r="A1358" s="25">
        <v>40367.645833333336</v>
      </c>
      <c r="B1358" s="25">
        <v>350.75</v>
      </c>
      <c r="C1358" s="25">
        <v>355.8</v>
      </c>
      <c r="D1358" s="25">
        <v>350.01</v>
      </c>
      <c r="E1358" s="25">
        <v>353.56</v>
      </c>
      <c r="F1358" s="25">
        <v>784774.0</v>
      </c>
    </row>
    <row r="1359">
      <c r="A1359" s="25">
        <v>40368.645833333336</v>
      </c>
      <c r="B1359" s="25">
        <v>354.76</v>
      </c>
      <c r="C1359" s="25">
        <v>360.06</v>
      </c>
      <c r="D1359" s="25">
        <v>354.76</v>
      </c>
      <c r="E1359" s="25">
        <v>359.23</v>
      </c>
      <c r="F1359" s="25">
        <v>982389.0</v>
      </c>
    </row>
    <row r="1360">
      <c r="A1360" s="25">
        <v>40371.645833333336</v>
      </c>
      <c r="B1360" s="25">
        <v>356.26</v>
      </c>
      <c r="C1360" s="25">
        <v>363.75</v>
      </c>
      <c r="D1360" s="25">
        <v>356.25</v>
      </c>
      <c r="E1360" s="25">
        <v>361.99</v>
      </c>
      <c r="F1360" s="25">
        <v>1074655.0</v>
      </c>
    </row>
    <row r="1361">
      <c r="A1361" s="25">
        <v>40372.645833333336</v>
      </c>
      <c r="B1361" s="25">
        <v>358.75</v>
      </c>
      <c r="C1361" s="25">
        <v>359.38</v>
      </c>
      <c r="D1361" s="25">
        <v>347.63</v>
      </c>
      <c r="E1361" s="25">
        <v>349.59</v>
      </c>
      <c r="F1361" s="25">
        <v>3187798.0</v>
      </c>
    </row>
    <row r="1362">
      <c r="A1362" s="25">
        <v>40373.645833333336</v>
      </c>
      <c r="B1362" s="25">
        <v>348.74</v>
      </c>
      <c r="C1362" s="25">
        <v>351.13</v>
      </c>
      <c r="D1362" s="25">
        <v>342.13</v>
      </c>
      <c r="E1362" s="25">
        <v>342.86</v>
      </c>
      <c r="F1362" s="25">
        <v>1774241.0</v>
      </c>
    </row>
    <row r="1363">
      <c r="A1363" s="25">
        <v>40374.645833333336</v>
      </c>
      <c r="B1363" s="25">
        <v>343.62</v>
      </c>
      <c r="C1363" s="25">
        <v>347.0</v>
      </c>
      <c r="D1363" s="25">
        <v>342.5</v>
      </c>
      <c r="E1363" s="25">
        <v>344.95</v>
      </c>
      <c r="F1363" s="25">
        <v>1041017.0</v>
      </c>
    </row>
    <row r="1364">
      <c r="A1364" s="25">
        <v>40375.645833333336</v>
      </c>
      <c r="B1364" s="25">
        <v>344.38</v>
      </c>
      <c r="C1364" s="25">
        <v>348.88</v>
      </c>
      <c r="D1364" s="25">
        <v>343.88</v>
      </c>
      <c r="E1364" s="25">
        <v>347.13</v>
      </c>
      <c r="F1364" s="25">
        <v>1025695.0</v>
      </c>
    </row>
    <row r="1365">
      <c r="A1365" s="25">
        <v>40378.645833333336</v>
      </c>
      <c r="B1365" s="25">
        <v>343.63</v>
      </c>
      <c r="C1365" s="25">
        <v>349.1</v>
      </c>
      <c r="D1365" s="25">
        <v>341.97</v>
      </c>
      <c r="E1365" s="25">
        <v>346.31</v>
      </c>
      <c r="F1365" s="25">
        <v>880890.0</v>
      </c>
    </row>
    <row r="1366">
      <c r="A1366" s="25">
        <v>40379.645833333336</v>
      </c>
      <c r="B1366" s="25">
        <v>346.31</v>
      </c>
      <c r="C1366" s="25">
        <v>347.81</v>
      </c>
      <c r="D1366" s="25">
        <v>344.19</v>
      </c>
      <c r="E1366" s="25">
        <v>344.96</v>
      </c>
      <c r="F1366" s="25">
        <v>631842.0</v>
      </c>
    </row>
    <row r="1367">
      <c r="A1367" s="25">
        <v>40380.645833333336</v>
      </c>
      <c r="B1367" s="25">
        <v>345.91</v>
      </c>
      <c r="C1367" s="25">
        <v>347.38</v>
      </c>
      <c r="D1367" s="25">
        <v>345.0</v>
      </c>
      <c r="E1367" s="25">
        <v>346.46</v>
      </c>
      <c r="F1367" s="25">
        <v>329310.0</v>
      </c>
    </row>
    <row r="1368">
      <c r="A1368" s="25">
        <v>40381.645833333336</v>
      </c>
      <c r="B1368" s="25">
        <v>345.59</v>
      </c>
      <c r="C1368" s="25">
        <v>345.59</v>
      </c>
      <c r="D1368" s="25">
        <v>340.88</v>
      </c>
      <c r="E1368" s="25">
        <v>344.31</v>
      </c>
      <c r="F1368" s="25">
        <v>1028369.0</v>
      </c>
    </row>
    <row r="1369">
      <c r="A1369" s="25">
        <v>40382.645833333336</v>
      </c>
      <c r="B1369" s="25">
        <v>348.38</v>
      </c>
      <c r="C1369" s="25">
        <v>358.76</v>
      </c>
      <c r="D1369" s="25">
        <v>345.63</v>
      </c>
      <c r="E1369" s="25">
        <v>348.31</v>
      </c>
      <c r="F1369" s="25">
        <v>665387.0</v>
      </c>
    </row>
    <row r="1370">
      <c r="A1370" s="25">
        <v>40385.645833333336</v>
      </c>
      <c r="B1370" s="25">
        <v>348.75</v>
      </c>
      <c r="C1370" s="25">
        <v>351.25</v>
      </c>
      <c r="D1370" s="25">
        <v>348.75</v>
      </c>
      <c r="E1370" s="25">
        <v>350.56</v>
      </c>
      <c r="F1370" s="25">
        <v>558852.0</v>
      </c>
    </row>
    <row r="1371">
      <c r="A1371" s="25">
        <v>40386.645833333336</v>
      </c>
      <c r="B1371" s="25">
        <v>350.38</v>
      </c>
      <c r="C1371" s="25">
        <v>354.25</v>
      </c>
      <c r="D1371" s="25">
        <v>350.38</v>
      </c>
      <c r="E1371" s="25">
        <v>353.6</v>
      </c>
      <c r="F1371" s="25">
        <v>636745.0</v>
      </c>
    </row>
    <row r="1372">
      <c r="A1372" s="25">
        <v>40387.645833333336</v>
      </c>
      <c r="B1372" s="25">
        <v>353.63</v>
      </c>
      <c r="C1372" s="25">
        <v>354.81</v>
      </c>
      <c r="D1372" s="25">
        <v>351.5</v>
      </c>
      <c r="E1372" s="25">
        <v>354.01</v>
      </c>
      <c r="F1372" s="25">
        <v>465646.0</v>
      </c>
    </row>
    <row r="1373">
      <c r="A1373" s="25">
        <v>40388.645833333336</v>
      </c>
      <c r="B1373" s="25">
        <v>353.1</v>
      </c>
      <c r="C1373" s="25">
        <v>355.0</v>
      </c>
      <c r="D1373" s="25">
        <v>351.36</v>
      </c>
      <c r="E1373" s="25">
        <v>354.14</v>
      </c>
      <c r="F1373" s="25">
        <v>451626.0</v>
      </c>
    </row>
    <row r="1374">
      <c r="A1374" s="25">
        <v>40389.645833333336</v>
      </c>
      <c r="B1374" s="25">
        <v>351.88</v>
      </c>
      <c r="C1374" s="25">
        <v>353.91</v>
      </c>
      <c r="D1374" s="25">
        <v>345.0</v>
      </c>
      <c r="E1374" s="25">
        <v>348.55</v>
      </c>
      <c r="F1374" s="25">
        <v>559084.0</v>
      </c>
    </row>
    <row r="1375">
      <c r="A1375" s="25">
        <v>40392.645833333336</v>
      </c>
      <c r="B1375" s="25">
        <v>350.0</v>
      </c>
      <c r="C1375" s="25">
        <v>351.6</v>
      </c>
      <c r="D1375" s="25">
        <v>347.64</v>
      </c>
      <c r="E1375" s="25">
        <v>349.62</v>
      </c>
      <c r="F1375" s="25">
        <v>476904.0</v>
      </c>
    </row>
    <row r="1376">
      <c r="A1376" s="25">
        <v>40393.645833333336</v>
      </c>
      <c r="B1376" s="25">
        <v>350.63</v>
      </c>
      <c r="C1376" s="25">
        <v>352.38</v>
      </c>
      <c r="D1376" s="25">
        <v>346.19</v>
      </c>
      <c r="E1376" s="25">
        <v>348.04</v>
      </c>
      <c r="F1376" s="25">
        <v>304323.0</v>
      </c>
    </row>
    <row r="1377">
      <c r="A1377" s="25">
        <v>40394.645833333336</v>
      </c>
      <c r="B1377" s="25">
        <v>348.75</v>
      </c>
      <c r="C1377" s="25">
        <v>361.5</v>
      </c>
      <c r="D1377" s="25">
        <v>348.75</v>
      </c>
      <c r="E1377" s="25">
        <v>359.31</v>
      </c>
      <c r="F1377" s="25">
        <v>1192003.0</v>
      </c>
    </row>
    <row r="1378">
      <c r="A1378" s="25">
        <v>40395.645833333336</v>
      </c>
      <c r="B1378" s="25">
        <v>360.0</v>
      </c>
      <c r="C1378" s="25">
        <v>363.35</v>
      </c>
      <c r="D1378" s="25">
        <v>357.69</v>
      </c>
      <c r="E1378" s="25">
        <v>358.66</v>
      </c>
      <c r="F1378" s="25">
        <v>824287.0</v>
      </c>
    </row>
    <row r="1379">
      <c r="A1379" s="25">
        <v>40396.645833333336</v>
      </c>
      <c r="B1379" s="25">
        <v>357.63</v>
      </c>
      <c r="C1379" s="25">
        <v>361.5</v>
      </c>
      <c r="D1379" s="25">
        <v>356.5</v>
      </c>
      <c r="E1379" s="25">
        <v>357.98</v>
      </c>
      <c r="F1379" s="25">
        <v>459560.0</v>
      </c>
    </row>
    <row r="1380">
      <c r="A1380" s="25">
        <v>40399.645833333336</v>
      </c>
      <c r="B1380" s="25">
        <v>356.06</v>
      </c>
      <c r="C1380" s="25">
        <v>360.36</v>
      </c>
      <c r="D1380" s="25">
        <v>352.03</v>
      </c>
      <c r="E1380" s="25">
        <v>359.33</v>
      </c>
      <c r="F1380" s="25">
        <v>525193.0</v>
      </c>
    </row>
    <row r="1381">
      <c r="A1381" s="25">
        <v>40400.645833333336</v>
      </c>
      <c r="B1381" s="25">
        <v>358.75</v>
      </c>
      <c r="C1381" s="25">
        <v>358.75</v>
      </c>
      <c r="D1381" s="25">
        <v>351.88</v>
      </c>
      <c r="E1381" s="25">
        <v>353.63</v>
      </c>
      <c r="F1381" s="25">
        <v>601498.0</v>
      </c>
    </row>
    <row r="1382">
      <c r="A1382" s="25">
        <v>40401.645833333336</v>
      </c>
      <c r="B1382" s="25">
        <v>354.25</v>
      </c>
      <c r="C1382" s="25">
        <v>357.24</v>
      </c>
      <c r="D1382" s="25">
        <v>350.0</v>
      </c>
      <c r="E1382" s="25">
        <v>351.36</v>
      </c>
      <c r="F1382" s="25">
        <v>668100.0</v>
      </c>
    </row>
    <row r="1383">
      <c r="A1383" s="25">
        <v>40402.645833333336</v>
      </c>
      <c r="B1383" s="25">
        <v>349.5</v>
      </c>
      <c r="C1383" s="25">
        <v>349.5</v>
      </c>
      <c r="D1383" s="25">
        <v>344.25</v>
      </c>
      <c r="E1383" s="25">
        <v>346.59</v>
      </c>
      <c r="F1383" s="25">
        <v>871675.0</v>
      </c>
    </row>
    <row r="1384">
      <c r="A1384" s="25">
        <v>40403.645833333336</v>
      </c>
      <c r="B1384" s="25">
        <v>346.88</v>
      </c>
      <c r="C1384" s="25">
        <v>349.75</v>
      </c>
      <c r="D1384" s="25">
        <v>344.38</v>
      </c>
      <c r="E1384" s="25">
        <v>347.16</v>
      </c>
      <c r="F1384" s="25">
        <v>695226.0</v>
      </c>
    </row>
    <row r="1385">
      <c r="A1385" s="25">
        <v>40406.645833333336</v>
      </c>
      <c r="B1385" s="25">
        <v>345.0</v>
      </c>
      <c r="C1385" s="25">
        <v>347.25</v>
      </c>
      <c r="D1385" s="25">
        <v>343.75</v>
      </c>
      <c r="E1385" s="25">
        <v>345.24</v>
      </c>
      <c r="F1385" s="25">
        <v>649201.0</v>
      </c>
    </row>
    <row r="1386">
      <c r="A1386" s="25">
        <v>40407.645833333336</v>
      </c>
      <c r="B1386" s="25">
        <v>344.38</v>
      </c>
      <c r="C1386" s="25">
        <v>347.06</v>
      </c>
      <c r="D1386" s="25">
        <v>341.25</v>
      </c>
      <c r="E1386" s="25">
        <v>343.81</v>
      </c>
      <c r="F1386" s="25">
        <v>642580.0</v>
      </c>
    </row>
    <row r="1387">
      <c r="A1387" s="25">
        <v>40408.645833333336</v>
      </c>
      <c r="B1387" s="25">
        <v>345.64</v>
      </c>
      <c r="C1387" s="25">
        <v>352.44</v>
      </c>
      <c r="D1387" s="25">
        <v>344.77</v>
      </c>
      <c r="E1387" s="25">
        <v>350.91</v>
      </c>
      <c r="F1387" s="25">
        <v>766018.0</v>
      </c>
    </row>
    <row r="1388">
      <c r="A1388" s="25">
        <v>40409.645833333336</v>
      </c>
      <c r="B1388" s="25">
        <v>351.88</v>
      </c>
      <c r="C1388" s="25">
        <v>353.13</v>
      </c>
      <c r="D1388" s="25">
        <v>348.49</v>
      </c>
      <c r="E1388" s="25">
        <v>350.58</v>
      </c>
      <c r="F1388" s="25">
        <v>603343.0</v>
      </c>
    </row>
    <row r="1389">
      <c r="A1389" s="25">
        <v>40410.645833333336</v>
      </c>
      <c r="B1389" s="25">
        <v>350.38</v>
      </c>
      <c r="C1389" s="25">
        <v>350.38</v>
      </c>
      <c r="D1389" s="25">
        <v>344.25</v>
      </c>
      <c r="E1389" s="25">
        <v>346.2</v>
      </c>
      <c r="F1389" s="25">
        <v>578103.0</v>
      </c>
    </row>
    <row r="1390">
      <c r="A1390" s="25">
        <v>40413.645833333336</v>
      </c>
      <c r="B1390" s="25">
        <v>346.5</v>
      </c>
      <c r="C1390" s="25">
        <v>351.25</v>
      </c>
      <c r="D1390" s="25">
        <v>345.16</v>
      </c>
      <c r="E1390" s="25">
        <v>350.39</v>
      </c>
      <c r="F1390" s="25">
        <v>563979.0</v>
      </c>
    </row>
    <row r="1391">
      <c r="A1391" s="25">
        <v>40414.645833333336</v>
      </c>
      <c r="B1391" s="25">
        <v>348.63</v>
      </c>
      <c r="C1391" s="25">
        <v>348.63</v>
      </c>
      <c r="D1391" s="25">
        <v>344.4</v>
      </c>
      <c r="E1391" s="25">
        <v>345.66</v>
      </c>
      <c r="F1391" s="25">
        <v>655944.0</v>
      </c>
    </row>
    <row r="1392">
      <c r="A1392" s="25">
        <v>40415.645833333336</v>
      </c>
      <c r="B1392" s="25">
        <v>345.25</v>
      </c>
      <c r="C1392" s="25">
        <v>349.24</v>
      </c>
      <c r="D1392" s="25">
        <v>344.49</v>
      </c>
      <c r="E1392" s="25">
        <v>346.36</v>
      </c>
      <c r="F1392" s="25">
        <v>437751.0</v>
      </c>
    </row>
    <row r="1393">
      <c r="A1393" s="25">
        <v>40416.645833333336</v>
      </c>
      <c r="B1393" s="25">
        <v>346.88</v>
      </c>
      <c r="C1393" s="25">
        <v>347.87</v>
      </c>
      <c r="D1393" s="25">
        <v>343.42</v>
      </c>
      <c r="E1393" s="25">
        <v>345.71</v>
      </c>
      <c r="F1393" s="25">
        <v>979373.0</v>
      </c>
    </row>
    <row r="1394">
      <c r="A1394" s="25">
        <v>40417.645833333336</v>
      </c>
      <c r="B1394" s="25">
        <v>344.75</v>
      </c>
      <c r="C1394" s="25">
        <v>344.75</v>
      </c>
      <c r="D1394" s="25">
        <v>335.18</v>
      </c>
      <c r="E1394" s="25">
        <v>338.74</v>
      </c>
      <c r="F1394" s="25">
        <v>871725.0</v>
      </c>
    </row>
    <row r="1395">
      <c r="A1395" s="25">
        <v>40420.645833333336</v>
      </c>
      <c r="B1395" s="25">
        <v>339.92</v>
      </c>
      <c r="C1395" s="25">
        <v>342.0</v>
      </c>
      <c r="D1395" s="25">
        <v>333.29</v>
      </c>
      <c r="E1395" s="25">
        <v>337.56</v>
      </c>
      <c r="F1395" s="25">
        <v>597646.0</v>
      </c>
    </row>
    <row r="1396">
      <c r="A1396" s="25">
        <v>40421.645833333336</v>
      </c>
      <c r="B1396" s="25">
        <v>335.63</v>
      </c>
      <c r="C1396" s="25">
        <v>340.5</v>
      </c>
      <c r="D1396" s="25">
        <v>334.52</v>
      </c>
      <c r="E1396" s="25">
        <v>339.23</v>
      </c>
      <c r="F1396" s="25">
        <v>965285.0</v>
      </c>
    </row>
    <row r="1397">
      <c r="A1397" s="25">
        <v>40422.645833333336</v>
      </c>
      <c r="B1397" s="25">
        <v>339.23</v>
      </c>
      <c r="C1397" s="25">
        <v>348.06</v>
      </c>
      <c r="D1397" s="25">
        <v>338.53</v>
      </c>
      <c r="E1397" s="25">
        <v>347.02</v>
      </c>
      <c r="F1397" s="25">
        <v>1266475.0</v>
      </c>
    </row>
    <row r="1398">
      <c r="A1398" s="25">
        <v>40423.645833333336</v>
      </c>
      <c r="B1398" s="25">
        <v>349.88</v>
      </c>
      <c r="C1398" s="25">
        <v>351.75</v>
      </c>
      <c r="D1398" s="25">
        <v>343.24</v>
      </c>
      <c r="E1398" s="25">
        <v>344.13</v>
      </c>
      <c r="F1398" s="25">
        <v>425314.0</v>
      </c>
    </row>
    <row r="1399">
      <c r="A1399" s="25">
        <v>40424.645833333336</v>
      </c>
      <c r="B1399" s="25">
        <v>345.14</v>
      </c>
      <c r="C1399" s="25">
        <v>350.5</v>
      </c>
      <c r="D1399" s="25">
        <v>345.14</v>
      </c>
      <c r="E1399" s="25">
        <v>347.18</v>
      </c>
      <c r="F1399" s="25">
        <v>950836.0</v>
      </c>
    </row>
    <row r="1400">
      <c r="A1400" s="25">
        <v>40427.645833333336</v>
      </c>
      <c r="B1400" s="25">
        <v>348.28</v>
      </c>
      <c r="C1400" s="25">
        <v>355.0</v>
      </c>
      <c r="D1400" s="25">
        <v>348.2</v>
      </c>
      <c r="E1400" s="25">
        <v>353.96</v>
      </c>
      <c r="F1400" s="25">
        <v>798899.0</v>
      </c>
    </row>
    <row r="1401">
      <c r="A1401" s="25">
        <v>40428.645833333336</v>
      </c>
      <c r="B1401" s="25">
        <v>355.0</v>
      </c>
      <c r="C1401" s="25">
        <v>359.11</v>
      </c>
      <c r="D1401" s="25">
        <v>351.28</v>
      </c>
      <c r="E1401" s="25">
        <v>358.12</v>
      </c>
      <c r="F1401" s="25">
        <v>1040159.0</v>
      </c>
    </row>
    <row r="1402">
      <c r="A1402" s="25">
        <v>40429.645833333336</v>
      </c>
      <c r="B1402" s="25">
        <v>357.13</v>
      </c>
      <c r="C1402" s="25">
        <v>360.83</v>
      </c>
      <c r="D1402" s="25">
        <v>353.13</v>
      </c>
      <c r="E1402" s="25">
        <v>359.93</v>
      </c>
      <c r="F1402" s="25">
        <v>1173312.0</v>
      </c>
    </row>
    <row r="1403">
      <c r="A1403" s="25">
        <v>40430.645833333336</v>
      </c>
      <c r="B1403" s="25">
        <v>358.76</v>
      </c>
      <c r="C1403" s="25">
        <v>362.5</v>
      </c>
      <c r="D1403" s="25">
        <v>357.25</v>
      </c>
      <c r="E1403" s="25">
        <v>361.88</v>
      </c>
      <c r="F1403" s="25">
        <v>948924.0</v>
      </c>
    </row>
    <row r="1404">
      <c r="A1404" s="25">
        <v>40434.645833333336</v>
      </c>
      <c r="B1404" s="25">
        <v>361.25</v>
      </c>
      <c r="C1404" s="25">
        <v>368.13</v>
      </c>
      <c r="D1404" s="25">
        <v>360.25</v>
      </c>
      <c r="E1404" s="25">
        <v>367.11</v>
      </c>
      <c r="F1404" s="25">
        <v>831311.0</v>
      </c>
    </row>
    <row r="1405">
      <c r="A1405" s="25">
        <v>40435.645833333336</v>
      </c>
      <c r="B1405" s="25">
        <v>368.83</v>
      </c>
      <c r="C1405" s="25">
        <v>375.0</v>
      </c>
      <c r="D1405" s="25">
        <v>368.75</v>
      </c>
      <c r="E1405" s="25">
        <v>371.95</v>
      </c>
      <c r="F1405" s="25">
        <v>1220893.0</v>
      </c>
    </row>
    <row r="1406">
      <c r="A1406" s="25">
        <v>40436.645833333336</v>
      </c>
      <c r="B1406" s="25">
        <v>371.88</v>
      </c>
      <c r="C1406" s="25">
        <v>382.5</v>
      </c>
      <c r="D1406" s="25">
        <v>371.13</v>
      </c>
      <c r="E1406" s="25">
        <v>381.61</v>
      </c>
      <c r="F1406" s="25">
        <v>1793081.0</v>
      </c>
    </row>
    <row r="1407">
      <c r="A1407" s="25">
        <v>40437.645833333336</v>
      </c>
      <c r="B1407" s="25">
        <v>379.01</v>
      </c>
      <c r="C1407" s="25">
        <v>379.01</v>
      </c>
      <c r="D1407" s="25">
        <v>369.78</v>
      </c>
      <c r="E1407" s="25">
        <v>370.74</v>
      </c>
      <c r="F1407" s="25">
        <v>886123.0</v>
      </c>
    </row>
    <row r="1408">
      <c r="A1408" s="25">
        <v>40438.645833333336</v>
      </c>
      <c r="B1408" s="25">
        <v>370.74</v>
      </c>
      <c r="C1408" s="25">
        <v>376.56</v>
      </c>
      <c r="D1408" s="25">
        <v>369.93</v>
      </c>
      <c r="E1408" s="25">
        <v>371.27</v>
      </c>
      <c r="F1408" s="25">
        <v>1077061.0</v>
      </c>
    </row>
    <row r="1409">
      <c r="A1409" s="25">
        <v>40441.645833333336</v>
      </c>
      <c r="B1409" s="25">
        <v>371.88</v>
      </c>
      <c r="C1409" s="25">
        <v>377.25</v>
      </c>
      <c r="D1409" s="25">
        <v>371.88</v>
      </c>
      <c r="E1409" s="25">
        <v>376.08</v>
      </c>
      <c r="F1409" s="25">
        <v>628247.0</v>
      </c>
    </row>
    <row r="1410">
      <c r="A1410" s="25">
        <v>40442.645833333336</v>
      </c>
      <c r="B1410" s="25">
        <v>376.88</v>
      </c>
      <c r="C1410" s="25">
        <v>383.13</v>
      </c>
      <c r="D1410" s="25">
        <v>374.58</v>
      </c>
      <c r="E1410" s="25">
        <v>382.39</v>
      </c>
      <c r="F1410" s="25">
        <v>1152989.0</v>
      </c>
    </row>
    <row r="1411">
      <c r="A1411" s="25">
        <v>40443.645833333336</v>
      </c>
      <c r="B1411" s="25">
        <v>382.56</v>
      </c>
      <c r="C1411" s="25">
        <v>382.86</v>
      </c>
      <c r="D1411" s="25">
        <v>374.31</v>
      </c>
      <c r="E1411" s="25">
        <v>376.79</v>
      </c>
      <c r="F1411" s="25">
        <v>1350805.0</v>
      </c>
    </row>
    <row r="1412">
      <c r="A1412" s="25">
        <v>40444.645833333336</v>
      </c>
      <c r="B1412" s="25">
        <v>375.63</v>
      </c>
      <c r="C1412" s="25">
        <v>379.34</v>
      </c>
      <c r="D1412" s="25">
        <v>371.63</v>
      </c>
      <c r="E1412" s="25">
        <v>377.86</v>
      </c>
      <c r="F1412" s="25">
        <v>1397672.0</v>
      </c>
    </row>
    <row r="1413">
      <c r="A1413" s="25">
        <v>40445.645833333336</v>
      </c>
      <c r="B1413" s="25">
        <v>377.86</v>
      </c>
      <c r="C1413" s="25">
        <v>382.34</v>
      </c>
      <c r="D1413" s="25">
        <v>374.21</v>
      </c>
      <c r="E1413" s="25">
        <v>381.14</v>
      </c>
      <c r="F1413" s="25">
        <v>1098940.0</v>
      </c>
    </row>
    <row r="1414">
      <c r="A1414" s="25">
        <v>40448.645833333336</v>
      </c>
      <c r="B1414" s="25">
        <v>381.88</v>
      </c>
      <c r="C1414" s="25">
        <v>382.5</v>
      </c>
      <c r="D1414" s="25">
        <v>377.92</v>
      </c>
      <c r="E1414" s="25">
        <v>379.08</v>
      </c>
      <c r="F1414" s="25">
        <v>901290.0</v>
      </c>
    </row>
    <row r="1415">
      <c r="A1415" s="25">
        <v>40449.645833333336</v>
      </c>
      <c r="B1415" s="25">
        <v>378.13</v>
      </c>
      <c r="C1415" s="25">
        <v>378.51</v>
      </c>
      <c r="D1415" s="25">
        <v>375.13</v>
      </c>
      <c r="E1415" s="25">
        <v>377.08</v>
      </c>
      <c r="F1415" s="25">
        <v>776143.0</v>
      </c>
    </row>
    <row r="1416">
      <c r="A1416" s="25">
        <v>40450.645833333336</v>
      </c>
      <c r="B1416" s="25">
        <v>378.25</v>
      </c>
      <c r="C1416" s="25">
        <v>384.88</v>
      </c>
      <c r="D1416" s="25">
        <v>375.33</v>
      </c>
      <c r="E1416" s="25">
        <v>378.88</v>
      </c>
      <c r="F1416" s="25">
        <v>1121615.0</v>
      </c>
    </row>
    <row r="1417">
      <c r="A1417" s="25">
        <v>40451.645833333336</v>
      </c>
      <c r="B1417" s="25">
        <v>380.87</v>
      </c>
      <c r="C1417" s="25">
        <v>384.38</v>
      </c>
      <c r="D1417" s="25">
        <v>375.93</v>
      </c>
      <c r="E1417" s="25">
        <v>381.31</v>
      </c>
      <c r="F1417" s="25">
        <v>1708227.0</v>
      </c>
    </row>
    <row r="1418">
      <c r="A1418" s="25">
        <v>40452.645833333336</v>
      </c>
      <c r="B1418" s="25">
        <v>381.38</v>
      </c>
      <c r="C1418" s="25">
        <v>388.76</v>
      </c>
      <c r="D1418" s="25">
        <v>378.29</v>
      </c>
      <c r="E1418" s="25">
        <v>387.77</v>
      </c>
      <c r="F1418" s="25">
        <v>1010814.0</v>
      </c>
    </row>
    <row r="1419">
      <c r="A1419" s="25">
        <v>40455.645833333336</v>
      </c>
      <c r="B1419" s="25">
        <v>389.0</v>
      </c>
      <c r="C1419" s="25">
        <v>395.25</v>
      </c>
      <c r="D1419" s="25">
        <v>382.82</v>
      </c>
      <c r="E1419" s="25">
        <v>384.81</v>
      </c>
      <c r="F1419" s="25">
        <v>954580.0</v>
      </c>
    </row>
    <row r="1420">
      <c r="A1420" s="25">
        <v>40456.645833333336</v>
      </c>
      <c r="B1420" s="25">
        <v>384.38</v>
      </c>
      <c r="C1420" s="25">
        <v>388.88</v>
      </c>
      <c r="D1420" s="25">
        <v>383.75</v>
      </c>
      <c r="E1420" s="25">
        <v>385.59</v>
      </c>
      <c r="F1420" s="25">
        <v>648644.0</v>
      </c>
    </row>
    <row r="1421">
      <c r="A1421" s="25">
        <v>40457.645833333336</v>
      </c>
      <c r="B1421" s="25">
        <v>388.25</v>
      </c>
      <c r="C1421" s="25">
        <v>390.36</v>
      </c>
      <c r="D1421" s="25">
        <v>384.58</v>
      </c>
      <c r="E1421" s="25">
        <v>387.98</v>
      </c>
      <c r="F1421" s="25">
        <v>723566.0</v>
      </c>
    </row>
    <row r="1422">
      <c r="A1422" s="25">
        <v>40458.645833333336</v>
      </c>
      <c r="B1422" s="25">
        <v>386.13</v>
      </c>
      <c r="C1422" s="25">
        <v>387.19</v>
      </c>
      <c r="D1422" s="25">
        <v>380.25</v>
      </c>
      <c r="E1422" s="25">
        <v>381.68</v>
      </c>
      <c r="F1422" s="25">
        <v>854209.0</v>
      </c>
    </row>
    <row r="1423">
      <c r="A1423" s="25">
        <v>40459.645833333336</v>
      </c>
      <c r="B1423" s="25">
        <v>382.5</v>
      </c>
      <c r="C1423" s="25">
        <v>385.71</v>
      </c>
      <c r="D1423" s="25">
        <v>379.63</v>
      </c>
      <c r="E1423" s="25">
        <v>384.54</v>
      </c>
      <c r="F1423" s="25">
        <v>818520.0</v>
      </c>
    </row>
    <row r="1424">
      <c r="A1424" s="25">
        <v>40462.645833333336</v>
      </c>
      <c r="B1424" s="25">
        <v>385.04</v>
      </c>
      <c r="C1424" s="25">
        <v>387.13</v>
      </c>
      <c r="D1424" s="25">
        <v>382.33</v>
      </c>
      <c r="E1424" s="25">
        <v>384.31</v>
      </c>
      <c r="F1424" s="25">
        <v>561729.0</v>
      </c>
    </row>
    <row r="1425">
      <c r="A1425" s="25">
        <v>40463.645833333336</v>
      </c>
      <c r="B1425" s="25">
        <v>384.0</v>
      </c>
      <c r="C1425" s="25">
        <v>385.62</v>
      </c>
      <c r="D1425" s="25">
        <v>381.29</v>
      </c>
      <c r="E1425" s="25">
        <v>384.4</v>
      </c>
      <c r="F1425" s="25">
        <v>578203.0</v>
      </c>
    </row>
    <row r="1426">
      <c r="A1426" s="25">
        <v>40464.645833333336</v>
      </c>
      <c r="B1426" s="25">
        <v>385.13</v>
      </c>
      <c r="C1426" s="25">
        <v>395.6</v>
      </c>
      <c r="D1426" s="25">
        <v>384.4</v>
      </c>
      <c r="E1426" s="25">
        <v>394.11</v>
      </c>
      <c r="F1426" s="25">
        <v>1628063.0</v>
      </c>
    </row>
    <row r="1427">
      <c r="A1427" s="25">
        <v>40465.645833333336</v>
      </c>
      <c r="B1427" s="25">
        <v>395.64</v>
      </c>
      <c r="C1427" s="25">
        <v>403.62</v>
      </c>
      <c r="D1427" s="25">
        <v>394.53</v>
      </c>
      <c r="E1427" s="25">
        <v>398.16</v>
      </c>
      <c r="F1427" s="25">
        <v>1149172.0</v>
      </c>
    </row>
    <row r="1428">
      <c r="A1428" s="25">
        <v>40466.645833333336</v>
      </c>
      <c r="B1428" s="25">
        <v>400.0</v>
      </c>
      <c r="C1428" s="25">
        <v>404.75</v>
      </c>
      <c r="D1428" s="25">
        <v>382.64</v>
      </c>
      <c r="E1428" s="25">
        <v>384.54</v>
      </c>
      <c r="F1428" s="25">
        <v>3233795.0</v>
      </c>
    </row>
    <row r="1429">
      <c r="A1429" s="25">
        <v>40469.645833333336</v>
      </c>
      <c r="B1429" s="25">
        <v>385.06</v>
      </c>
      <c r="C1429" s="25">
        <v>389.86</v>
      </c>
      <c r="D1429" s="25">
        <v>379.91</v>
      </c>
      <c r="E1429" s="25">
        <v>388.38</v>
      </c>
      <c r="F1429" s="25">
        <v>1573887.0</v>
      </c>
    </row>
    <row r="1430">
      <c r="A1430" s="25">
        <v>40470.645833333336</v>
      </c>
      <c r="B1430" s="25">
        <v>386.84</v>
      </c>
      <c r="C1430" s="25">
        <v>388.13</v>
      </c>
      <c r="D1430" s="25">
        <v>375.13</v>
      </c>
      <c r="E1430" s="25">
        <v>376.28</v>
      </c>
      <c r="F1430" s="25">
        <v>1759714.0</v>
      </c>
    </row>
    <row r="1431">
      <c r="A1431" s="25">
        <v>40471.645833333336</v>
      </c>
      <c r="B1431" s="25">
        <v>376.23</v>
      </c>
      <c r="C1431" s="25">
        <v>380.58</v>
      </c>
      <c r="D1431" s="25">
        <v>373.75</v>
      </c>
      <c r="E1431" s="25">
        <v>377.33</v>
      </c>
      <c r="F1431" s="25">
        <v>886732.0</v>
      </c>
    </row>
    <row r="1432">
      <c r="A1432" s="25">
        <v>40472.645833333336</v>
      </c>
      <c r="B1432" s="25">
        <v>374.73</v>
      </c>
      <c r="C1432" s="25">
        <v>379.8</v>
      </c>
      <c r="D1432" s="25">
        <v>372.51</v>
      </c>
      <c r="E1432" s="25">
        <v>379.31</v>
      </c>
      <c r="F1432" s="25">
        <v>1153990.0</v>
      </c>
    </row>
    <row r="1433">
      <c r="A1433" s="25">
        <v>40473.645833333336</v>
      </c>
      <c r="B1433" s="25">
        <v>375.66</v>
      </c>
      <c r="C1433" s="25">
        <v>385.61</v>
      </c>
      <c r="D1433" s="25">
        <v>375.38</v>
      </c>
      <c r="E1433" s="25">
        <v>381.64</v>
      </c>
      <c r="F1433" s="25">
        <v>1418218.0</v>
      </c>
    </row>
    <row r="1434">
      <c r="A1434" s="25">
        <v>40476.645833333336</v>
      </c>
      <c r="B1434" s="25">
        <v>382.35</v>
      </c>
      <c r="C1434" s="25">
        <v>384.36</v>
      </c>
      <c r="D1434" s="25">
        <v>376.26</v>
      </c>
      <c r="E1434" s="25">
        <v>377.39</v>
      </c>
      <c r="F1434" s="25">
        <v>653054.0</v>
      </c>
    </row>
    <row r="1435">
      <c r="A1435" s="25">
        <v>40477.645833333336</v>
      </c>
      <c r="B1435" s="25">
        <v>377.5</v>
      </c>
      <c r="C1435" s="25">
        <v>380.41</v>
      </c>
      <c r="D1435" s="25">
        <v>375.34</v>
      </c>
      <c r="E1435" s="25">
        <v>376.73</v>
      </c>
      <c r="F1435" s="25">
        <v>865734.0</v>
      </c>
    </row>
    <row r="1436">
      <c r="A1436" s="25">
        <v>40478.645833333336</v>
      </c>
      <c r="B1436" s="25">
        <v>375.25</v>
      </c>
      <c r="C1436" s="25">
        <v>376.25</v>
      </c>
      <c r="D1436" s="25">
        <v>370.9</v>
      </c>
      <c r="E1436" s="25">
        <v>372.53</v>
      </c>
      <c r="F1436" s="25">
        <v>1134087.0</v>
      </c>
    </row>
    <row r="1437">
      <c r="A1437" s="25">
        <v>40479.645833333336</v>
      </c>
      <c r="B1437" s="25">
        <v>373.0</v>
      </c>
      <c r="C1437" s="25">
        <v>379.11</v>
      </c>
      <c r="D1437" s="25">
        <v>368.51</v>
      </c>
      <c r="E1437" s="25">
        <v>371.36</v>
      </c>
      <c r="F1437" s="25">
        <v>2279019.0</v>
      </c>
    </row>
    <row r="1438">
      <c r="A1438" s="25">
        <v>40480.645833333336</v>
      </c>
      <c r="B1438" s="25">
        <v>373.63</v>
      </c>
      <c r="C1438" s="25">
        <v>374.75</v>
      </c>
      <c r="D1438" s="25">
        <v>368.0</v>
      </c>
      <c r="E1438" s="25">
        <v>371.46</v>
      </c>
      <c r="F1438" s="25">
        <v>860753.0</v>
      </c>
    </row>
    <row r="1439">
      <c r="A1439" s="25">
        <v>40483.645833333336</v>
      </c>
      <c r="B1439" s="25">
        <v>372.88</v>
      </c>
      <c r="C1439" s="25">
        <v>378.99</v>
      </c>
      <c r="D1439" s="25">
        <v>372.88</v>
      </c>
      <c r="E1439" s="25">
        <v>375.21</v>
      </c>
      <c r="F1439" s="25">
        <v>569118.0</v>
      </c>
    </row>
    <row r="1440">
      <c r="A1440" s="25">
        <v>40484.645833333336</v>
      </c>
      <c r="B1440" s="25">
        <v>375.25</v>
      </c>
      <c r="C1440" s="25">
        <v>379.08</v>
      </c>
      <c r="D1440" s="25">
        <v>373.1</v>
      </c>
      <c r="E1440" s="25">
        <v>378.38</v>
      </c>
      <c r="F1440" s="25">
        <v>624813.0</v>
      </c>
    </row>
    <row r="1441">
      <c r="A1441" s="25">
        <v>40485.645833333336</v>
      </c>
      <c r="B1441" s="25">
        <v>378.99</v>
      </c>
      <c r="C1441" s="25">
        <v>380.59</v>
      </c>
      <c r="D1441" s="25">
        <v>376.88</v>
      </c>
      <c r="E1441" s="25">
        <v>378.04</v>
      </c>
      <c r="F1441" s="25">
        <v>380942.0</v>
      </c>
    </row>
    <row r="1442">
      <c r="A1442" s="25">
        <v>40486.645833333336</v>
      </c>
      <c r="B1442" s="25">
        <v>380.5</v>
      </c>
      <c r="C1442" s="25">
        <v>385.63</v>
      </c>
      <c r="D1442" s="25">
        <v>379.12</v>
      </c>
      <c r="E1442" s="25">
        <v>384.64</v>
      </c>
      <c r="F1442" s="25">
        <v>689349.0</v>
      </c>
    </row>
    <row r="1443">
      <c r="A1443" s="25">
        <v>40487.645833333336</v>
      </c>
      <c r="B1443" s="25">
        <v>385.49</v>
      </c>
      <c r="C1443" s="25">
        <v>386.5</v>
      </c>
      <c r="D1443" s="25">
        <v>383.86</v>
      </c>
      <c r="E1443" s="25">
        <v>384.86</v>
      </c>
      <c r="F1443" s="25">
        <v>78837.0</v>
      </c>
    </row>
    <row r="1444">
      <c r="A1444" s="25">
        <v>40490.645833333336</v>
      </c>
      <c r="B1444" s="25">
        <v>385.5</v>
      </c>
      <c r="C1444" s="25">
        <v>385.5</v>
      </c>
      <c r="D1444" s="25">
        <v>375.84</v>
      </c>
      <c r="E1444" s="25">
        <v>376.99</v>
      </c>
      <c r="F1444" s="25">
        <v>672690.0</v>
      </c>
    </row>
    <row r="1445">
      <c r="A1445" s="25">
        <v>40491.645833333336</v>
      </c>
      <c r="B1445" s="25">
        <v>379.6</v>
      </c>
      <c r="C1445" s="25">
        <v>384.38</v>
      </c>
      <c r="D1445" s="25">
        <v>378.75</v>
      </c>
      <c r="E1445" s="25">
        <v>382.48</v>
      </c>
      <c r="F1445" s="25">
        <v>658370.0</v>
      </c>
    </row>
    <row r="1446">
      <c r="A1446" s="25">
        <v>40492.645833333336</v>
      </c>
      <c r="B1446" s="25">
        <v>381.0</v>
      </c>
      <c r="C1446" s="25">
        <v>388.13</v>
      </c>
      <c r="D1446" s="25">
        <v>378.76</v>
      </c>
      <c r="E1446" s="25">
        <v>385.33</v>
      </c>
      <c r="F1446" s="25">
        <v>1216054.0</v>
      </c>
    </row>
    <row r="1447">
      <c r="A1447" s="25">
        <v>40493.645833333336</v>
      </c>
      <c r="B1447" s="25">
        <v>385.5</v>
      </c>
      <c r="C1447" s="25">
        <v>385.5</v>
      </c>
      <c r="D1447" s="25">
        <v>381.38</v>
      </c>
      <c r="E1447" s="25">
        <v>381.83</v>
      </c>
      <c r="F1447" s="25">
        <v>698299.0</v>
      </c>
    </row>
    <row r="1448">
      <c r="A1448" s="25">
        <v>40494.645833333336</v>
      </c>
      <c r="B1448" s="25">
        <v>379.75</v>
      </c>
      <c r="C1448" s="25">
        <v>379.84</v>
      </c>
      <c r="D1448" s="25">
        <v>373.63</v>
      </c>
      <c r="E1448" s="25">
        <v>374.73</v>
      </c>
      <c r="F1448" s="25">
        <v>937432.0</v>
      </c>
    </row>
    <row r="1449">
      <c r="A1449" s="25">
        <v>40497.645833333336</v>
      </c>
      <c r="B1449" s="25">
        <v>375.38</v>
      </c>
      <c r="C1449" s="25">
        <v>380.62</v>
      </c>
      <c r="D1449" s="25">
        <v>372.2</v>
      </c>
      <c r="E1449" s="25">
        <v>378.76</v>
      </c>
      <c r="F1449" s="25">
        <v>731311.0</v>
      </c>
    </row>
    <row r="1450">
      <c r="A1450" s="25">
        <v>40498.645833333336</v>
      </c>
      <c r="B1450" s="25">
        <v>376.5</v>
      </c>
      <c r="C1450" s="25">
        <v>377.38</v>
      </c>
      <c r="D1450" s="25">
        <v>367.53</v>
      </c>
      <c r="E1450" s="25">
        <v>371.37</v>
      </c>
      <c r="F1450" s="25">
        <v>1046892.0</v>
      </c>
    </row>
    <row r="1451">
      <c r="A1451" s="25">
        <v>40500.645833333336</v>
      </c>
      <c r="B1451" s="25">
        <v>373.63</v>
      </c>
      <c r="C1451" s="25">
        <v>378.98</v>
      </c>
      <c r="D1451" s="25">
        <v>369.83</v>
      </c>
      <c r="E1451" s="25">
        <v>375.49</v>
      </c>
      <c r="F1451" s="25">
        <v>891028.0</v>
      </c>
    </row>
    <row r="1452">
      <c r="A1452" s="25">
        <v>40501.645833333336</v>
      </c>
      <c r="B1452" s="25">
        <v>373.44</v>
      </c>
      <c r="C1452" s="25">
        <v>376.09</v>
      </c>
      <c r="D1452" s="25">
        <v>368.13</v>
      </c>
      <c r="E1452" s="25">
        <v>370.48</v>
      </c>
      <c r="F1452" s="25">
        <v>708099.0</v>
      </c>
    </row>
    <row r="1453">
      <c r="A1453" s="25">
        <v>40504.645833333336</v>
      </c>
      <c r="B1453" s="25">
        <v>371.42</v>
      </c>
      <c r="C1453" s="25">
        <v>383.5</v>
      </c>
      <c r="D1453" s="25">
        <v>371.42</v>
      </c>
      <c r="E1453" s="25">
        <v>380.46</v>
      </c>
      <c r="F1453" s="25">
        <v>1097518.0</v>
      </c>
    </row>
    <row r="1454">
      <c r="A1454" s="25">
        <v>40505.645833333336</v>
      </c>
      <c r="B1454" s="25">
        <v>378.49</v>
      </c>
      <c r="C1454" s="25">
        <v>382.35</v>
      </c>
      <c r="D1454" s="25">
        <v>372.49</v>
      </c>
      <c r="E1454" s="25">
        <v>376.51</v>
      </c>
      <c r="F1454" s="25">
        <v>572484.0</v>
      </c>
    </row>
    <row r="1455">
      <c r="A1455" s="25">
        <v>40506.645833333336</v>
      </c>
      <c r="B1455" s="25">
        <v>377.99</v>
      </c>
      <c r="C1455" s="25">
        <v>379.36</v>
      </c>
      <c r="D1455" s="25">
        <v>368.78</v>
      </c>
      <c r="E1455" s="25">
        <v>374.49</v>
      </c>
      <c r="F1455" s="25">
        <v>504861.0</v>
      </c>
    </row>
    <row r="1456">
      <c r="A1456" s="25">
        <v>40507.645833333336</v>
      </c>
      <c r="B1456" s="25">
        <v>375.69</v>
      </c>
      <c r="C1456" s="25">
        <v>388.88</v>
      </c>
      <c r="D1456" s="25">
        <v>375.69</v>
      </c>
      <c r="E1456" s="25">
        <v>383.04</v>
      </c>
      <c r="F1456" s="25">
        <v>2291497.0</v>
      </c>
    </row>
    <row r="1457">
      <c r="A1457" s="25">
        <v>40508.645833333336</v>
      </c>
      <c r="B1457" s="25">
        <v>383.75</v>
      </c>
      <c r="C1457" s="25">
        <v>388.0</v>
      </c>
      <c r="D1457" s="25">
        <v>378.37</v>
      </c>
      <c r="E1457" s="25">
        <v>380.26</v>
      </c>
      <c r="F1457" s="25">
        <v>1189474.0</v>
      </c>
    </row>
    <row r="1458">
      <c r="A1458" s="25">
        <v>40511.645833333336</v>
      </c>
      <c r="B1458" s="25">
        <v>383.13</v>
      </c>
      <c r="C1458" s="25">
        <v>386.96</v>
      </c>
      <c r="D1458" s="25">
        <v>381.39</v>
      </c>
      <c r="E1458" s="25">
        <v>382.99</v>
      </c>
      <c r="F1458" s="25">
        <v>620541.0</v>
      </c>
    </row>
    <row r="1459">
      <c r="A1459" s="25">
        <v>40512.645833333336</v>
      </c>
      <c r="B1459" s="25">
        <v>380.44</v>
      </c>
      <c r="C1459" s="25">
        <v>385.34</v>
      </c>
      <c r="D1459" s="25">
        <v>376.53</v>
      </c>
      <c r="E1459" s="25">
        <v>381.38</v>
      </c>
      <c r="F1459" s="25">
        <v>1134068.0</v>
      </c>
    </row>
    <row r="1460">
      <c r="A1460" s="25">
        <v>40513.645833333336</v>
      </c>
      <c r="B1460" s="25">
        <v>381.23</v>
      </c>
      <c r="C1460" s="25">
        <v>383.31</v>
      </c>
      <c r="D1460" s="25">
        <v>379.38</v>
      </c>
      <c r="E1460" s="25">
        <v>381.55</v>
      </c>
      <c r="F1460" s="25">
        <v>578012.0</v>
      </c>
    </row>
    <row r="1461">
      <c r="A1461" s="25">
        <v>40514.645833333336</v>
      </c>
      <c r="B1461" s="25">
        <v>382.0</v>
      </c>
      <c r="C1461" s="25">
        <v>388.68</v>
      </c>
      <c r="D1461" s="25">
        <v>379.0</v>
      </c>
      <c r="E1461" s="25">
        <v>387.31</v>
      </c>
      <c r="F1461" s="25">
        <v>899670.0</v>
      </c>
    </row>
    <row r="1462">
      <c r="A1462" s="25">
        <v>40515.645833333336</v>
      </c>
      <c r="B1462" s="25">
        <v>388.38</v>
      </c>
      <c r="C1462" s="25">
        <v>393.49</v>
      </c>
      <c r="D1462" s="25">
        <v>387.88</v>
      </c>
      <c r="E1462" s="25">
        <v>390.63</v>
      </c>
      <c r="F1462" s="25">
        <v>830977.0</v>
      </c>
    </row>
    <row r="1463">
      <c r="A1463" s="25">
        <v>40518.645833333336</v>
      </c>
      <c r="B1463" s="25">
        <v>391.25</v>
      </c>
      <c r="C1463" s="25">
        <v>397.05</v>
      </c>
      <c r="D1463" s="25">
        <v>390.75</v>
      </c>
      <c r="E1463" s="25">
        <v>392.93</v>
      </c>
      <c r="F1463" s="25">
        <v>752956.0</v>
      </c>
    </row>
    <row r="1464">
      <c r="A1464" s="25">
        <v>40519.645833333336</v>
      </c>
      <c r="B1464" s="25">
        <v>393.23</v>
      </c>
      <c r="C1464" s="25">
        <v>399.38</v>
      </c>
      <c r="D1464" s="25">
        <v>392.53</v>
      </c>
      <c r="E1464" s="25">
        <v>397.33</v>
      </c>
      <c r="F1464" s="25">
        <v>760687.0</v>
      </c>
    </row>
    <row r="1465">
      <c r="A1465" s="25">
        <v>40520.645833333336</v>
      </c>
      <c r="B1465" s="25">
        <v>394.88</v>
      </c>
      <c r="C1465" s="25">
        <v>395.51</v>
      </c>
      <c r="D1465" s="25">
        <v>389.25</v>
      </c>
      <c r="E1465" s="25">
        <v>391.39</v>
      </c>
      <c r="F1465" s="25">
        <v>868889.0</v>
      </c>
    </row>
    <row r="1466">
      <c r="A1466" s="25">
        <v>40521.645833333336</v>
      </c>
      <c r="B1466" s="25">
        <v>393.13</v>
      </c>
      <c r="C1466" s="25">
        <v>397.76</v>
      </c>
      <c r="D1466" s="25">
        <v>392.64</v>
      </c>
      <c r="E1466" s="25">
        <v>393.93</v>
      </c>
      <c r="F1466" s="25">
        <v>991391.0</v>
      </c>
    </row>
    <row r="1467">
      <c r="A1467" s="25">
        <v>40522.645833333336</v>
      </c>
      <c r="B1467" s="25">
        <v>393.13</v>
      </c>
      <c r="C1467" s="25">
        <v>395.25</v>
      </c>
      <c r="D1467" s="25">
        <v>389.73</v>
      </c>
      <c r="E1467" s="25">
        <v>393.03</v>
      </c>
      <c r="F1467" s="25">
        <v>765640.0</v>
      </c>
    </row>
    <row r="1468">
      <c r="A1468" s="25">
        <v>40525.645833333336</v>
      </c>
      <c r="B1468" s="25">
        <v>393.63</v>
      </c>
      <c r="C1468" s="25">
        <v>394.55</v>
      </c>
      <c r="D1468" s="25">
        <v>384.38</v>
      </c>
      <c r="E1468" s="25">
        <v>393.16</v>
      </c>
      <c r="F1468" s="25">
        <v>856135.0</v>
      </c>
    </row>
    <row r="1469">
      <c r="A1469" s="25">
        <v>40526.645833333336</v>
      </c>
      <c r="B1469" s="25">
        <v>395.46</v>
      </c>
      <c r="C1469" s="25">
        <v>396.75</v>
      </c>
      <c r="D1469" s="25">
        <v>390.85</v>
      </c>
      <c r="E1469" s="25">
        <v>394.83</v>
      </c>
      <c r="F1469" s="25">
        <v>491698.0</v>
      </c>
    </row>
    <row r="1470">
      <c r="A1470" s="25">
        <v>40527.645833333336</v>
      </c>
      <c r="B1470" s="25">
        <v>393.34</v>
      </c>
      <c r="C1470" s="25">
        <v>401.13</v>
      </c>
      <c r="D1470" s="25">
        <v>393.34</v>
      </c>
      <c r="E1470" s="25">
        <v>400.43</v>
      </c>
      <c r="F1470" s="25">
        <v>1031799.0</v>
      </c>
    </row>
    <row r="1471">
      <c r="A1471" s="25">
        <v>40528.645833333336</v>
      </c>
      <c r="B1471" s="25">
        <v>402.43</v>
      </c>
      <c r="C1471" s="25">
        <v>412.5</v>
      </c>
      <c r="D1471" s="25">
        <v>401.25</v>
      </c>
      <c r="E1471" s="25">
        <v>411.66</v>
      </c>
      <c r="F1471" s="25">
        <v>1063643.0</v>
      </c>
    </row>
    <row r="1472">
      <c r="A1472" s="25">
        <v>40532.645833333336</v>
      </c>
      <c r="B1472" s="25">
        <v>406.51</v>
      </c>
      <c r="C1472" s="25">
        <v>420.48</v>
      </c>
      <c r="D1472" s="25">
        <v>406.5</v>
      </c>
      <c r="E1472" s="25">
        <v>418.74</v>
      </c>
      <c r="F1472" s="25">
        <v>1418290.0</v>
      </c>
    </row>
    <row r="1473">
      <c r="A1473" s="25">
        <v>40533.645833333336</v>
      </c>
      <c r="B1473" s="25">
        <v>418.82</v>
      </c>
      <c r="C1473" s="25">
        <v>421.2</v>
      </c>
      <c r="D1473" s="25">
        <v>413.88</v>
      </c>
      <c r="E1473" s="25">
        <v>416.16</v>
      </c>
      <c r="F1473" s="25">
        <v>1007480.0</v>
      </c>
    </row>
    <row r="1474">
      <c r="A1474" s="25">
        <v>40534.645833333336</v>
      </c>
      <c r="B1474" s="25">
        <v>415.63</v>
      </c>
      <c r="C1474" s="25">
        <v>419.96</v>
      </c>
      <c r="D1474" s="25">
        <v>414.22</v>
      </c>
      <c r="E1474" s="25">
        <v>416.56</v>
      </c>
      <c r="F1474" s="25">
        <v>740910.0</v>
      </c>
    </row>
    <row r="1475">
      <c r="A1475" s="25">
        <v>40535.645833333336</v>
      </c>
      <c r="B1475" s="25">
        <v>418.0</v>
      </c>
      <c r="C1475" s="25">
        <v>421.5</v>
      </c>
      <c r="D1475" s="25">
        <v>416.16</v>
      </c>
      <c r="E1475" s="25">
        <v>420.99</v>
      </c>
      <c r="F1475" s="25">
        <v>778938.0</v>
      </c>
    </row>
    <row r="1476">
      <c r="A1476" s="25">
        <v>40536.645833333336</v>
      </c>
      <c r="B1476" s="25">
        <v>418.38</v>
      </c>
      <c r="C1476" s="25">
        <v>422.73</v>
      </c>
      <c r="D1476" s="25">
        <v>417.76</v>
      </c>
      <c r="E1476" s="25">
        <v>421.27</v>
      </c>
      <c r="F1476" s="25">
        <v>452508.0</v>
      </c>
    </row>
    <row r="1477">
      <c r="A1477" s="25">
        <v>40539.645833333336</v>
      </c>
      <c r="B1477" s="25">
        <v>419.63</v>
      </c>
      <c r="C1477" s="25">
        <v>423.98</v>
      </c>
      <c r="D1477" s="25">
        <v>419.63</v>
      </c>
      <c r="E1477" s="25">
        <v>422.11</v>
      </c>
      <c r="F1477" s="25">
        <v>461470.0</v>
      </c>
    </row>
    <row r="1478">
      <c r="A1478" s="25">
        <v>40540.645833333336</v>
      </c>
      <c r="B1478" s="25">
        <v>421.38</v>
      </c>
      <c r="C1478" s="25">
        <v>423.74</v>
      </c>
      <c r="D1478" s="25">
        <v>420.44</v>
      </c>
      <c r="E1478" s="25">
        <v>422.83</v>
      </c>
      <c r="F1478" s="25">
        <v>319305.0</v>
      </c>
    </row>
    <row r="1479">
      <c r="A1479" s="25">
        <v>40541.645833333336</v>
      </c>
      <c r="B1479" s="25">
        <v>422.63</v>
      </c>
      <c r="C1479" s="25">
        <v>426.88</v>
      </c>
      <c r="D1479" s="25">
        <v>421.39</v>
      </c>
      <c r="E1479" s="25">
        <v>425.61</v>
      </c>
      <c r="F1479" s="25">
        <v>475365.0</v>
      </c>
    </row>
    <row r="1480">
      <c r="A1480" s="25">
        <v>40542.645833333336</v>
      </c>
      <c r="B1480" s="25">
        <v>426.25</v>
      </c>
      <c r="C1480" s="25">
        <v>431.75</v>
      </c>
      <c r="D1480" s="25">
        <v>425.25</v>
      </c>
      <c r="E1480" s="25">
        <v>430.87</v>
      </c>
      <c r="F1480" s="25">
        <v>1123961.0</v>
      </c>
    </row>
    <row r="1481">
      <c r="A1481" s="25">
        <v>40543.645833333336</v>
      </c>
      <c r="B1481" s="25">
        <v>429.13</v>
      </c>
      <c r="C1481" s="25">
        <v>431.38</v>
      </c>
      <c r="D1481" s="25">
        <v>425.64</v>
      </c>
      <c r="E1481" s="25">
        <v>430.34</v>
      </c>
      <c r="F1481" s="25">
        <v>732466.0</v>
      </c>
    </row>
    <row r="1482">
      <c r="A1482" s="25">
        <v>40546.645833333336</v>
      </c>
      <c r="B1482" s="25">
        <v>430.5</v>
      </c>
      <c r="C1482" s="25">
        <v>433.71</v>
      </c>
      <c r="D1482" s="25">
        <v>428.46</v>
      </c>
      <c r="E1482" s="25">
        <v>432.29</v>
      </c>
      <c r="F1482" s="25">
        <v>631068.0</v>
      </c>
    </row>
    <row r="1483">
      <c r="A1483" s="25">
        <v>40547.645833333336</v>
      </c>
      <c r="B1483" s="25">
        <v>432.13</v>
      </c>
      <c r="C1483" s="25">
        <v>437.38</v>
      </c>
      <c r="D1483" s="25">
        <v>432.13</v>
      </c>
      <c r="E1483" s="25">
        <v>435.18</v>
      </c>
      <c r="F1483" s="25">
        <v>1014911.0</v>
      </c>
    </row>
    <row r="1484">
      <c r="A1484" s="25">
        <v>40548.645833333336</v>
      </c>
      <c r="B1484" s="25">
        <v>433.13</v>
      </c>
      <c r="C1484" s="25">
        <v>434.63</v>
      </c>
      <c r="D1484" s="25">
        <v>430.64</v>
      </c>
      <c r="E1484" s="25">
        <v>432.45</v>
      </c>
      <c r="F1484" s="25">
        <v>440395.0</v>
      </c>
    </row>
    <row r="1485">
      <c r="A1485" s="25">
        <v>40549.645833333336</v>
      </c>
      <c r="B1485" s="25">
        <v>435.0</v>
      </c>
      <c r="C1485" s="25">
        <v>436.63</v>
      </c>
      <c r="D1485" s="25">
        <v>430.51</v>
      </c>
      <c r="E1485" s="25">
        <v>434.77</v>
      </c>
      <c r="F1485" s="25">
        <v>586480.0</v>
      </c>
    </row>
    <row r="1486">
      <c r="A1486" s="25">
        <v>40550.645833333336</v>
      </c>
      <c r="B1486" s="25">
        <v>432.92</v>
      </c>
      <c r="C1486" s="25">
        <v>436.88</v>
      </c>
      <c r="D1486" s="25">
        <v>419.54</v>
      </c>
      <c r="E1486" s="25">
        <v>421.34</v>
      </c>
      <c r="F1486" s="25">
        <v>1068866.0</v>
      </c>
    </row>
    <row r="1487">
      <c r="A1487" s="25">
        <v>40553.645833333336</v>
      </c>
      <c r="B1487" s="25">
        <v>421.88</v>
      </c>
      <c r="C1487" s="25">
        <v>430.39</v>
      </c>
      <c r="D1487" s="25">
        <v>419.0</v>
      </c>
      <c r="E1487" s="25">
        <v>424.47</v>
      </c>
      <c r="F1487" s="25">
        <v>1298801.0</v>
      </c>
    </row>
    <row r="1488">
      <c r="A1488" s="25">
        <v>40554.645833333336</v>
      </c>
      <c r="B1488" s="25">
        <v>417.5</v>
      </c>
      <c r="C1488" s="25">
        <v>427.93</v>
      </c>
      <c r="D1488" s="25">
        <v>411.01</v>
      </c>
      <c r="E1488" s="25">
        <v>415.71</v>
      </c>
      <c r="F1488" s="25">
        <v>1539927.0</v>
      </c>
    </row>
    <row r="1489">
      <c r="A1489" s="25">
        <v>40555.645833333336</v>
      </c>
      <c r="B1489" s="25">
        <v>418.75</v>
      </c>
      <c r="C1489" s="25">
        <v>423.75</v>
      </c>
      <c r="D1489" s="25">
        <v>414.78</v>
      </c>
      <c r="E1489" s="25">
        <v>422.16</v>
      </c>
      <c r="F1489" s="25">
        <v>1254425.0</v>
      </c>
    </row>
    <row r="1490">
      <c r="A1490" s="25">
        <v>40556.645833333336</v>
      </c>
      <c r="B1490" s="25">
        <v>411.63</v>
      </c>
      <c r="C1490" s="25">
        <v>412.38</v>
      </c>
      <c r="D1490" s="25">
        <v>399.38</v>
      </c>
      <c r="E1490" s="25">
        <v>400.65</v>
      </c>
      <c r="F1490" s="25">
        <v>2794109.0</v>
      </c>
    </row>
    <row r="1491">
      <c r="A1491" s="25">
        <v>40557.645833333336</v>
      </c>
      <c r="B1491" s="25">
        <v>398.27</v>
      </c>
      <c r="C1491" s="25">
        <v>409.74</v>
      </c>
      <c r="D1491" s="25">
        <v>398.13</v>
      </c>
      <c r="E1491" s="25">
        <v>400.54</v>
      </c>
      <c r="F1491" s="25">
        <v>1290205.0</v>
      </c>
    </row>
    <row r="1492">
      <c r="A1492" s="25">
        <v>40560.645833333336</v>
      </c>
      <c r="B1492" s="25">
        <v>400.0</v>
      </c>
      <c r="C1492" s="25">
        <v>410.21</v>
      </c>
      <c r="D1492" s="25">
        <v>398.91</v>
      </c>
      <c r="E1492" s="25">
        <v>408.6</v>
      </c>
      <c r="F1492" s="25">
        <v>1027327.0</v>
      </c>
    </row>
    <row r="1493">
      <c r="A1493" s="25">
        <v>40561.645833333336</v>
      </c>
      <c r="B1493" s="25">
        <v>406.25</v>
      </c>
      <c r="C1493" s="25">
        <v>416.96</v>
      </c>
      <c r="D1493" s="25">
        <v>406.25</v>
      </c>
      <c r="E1493" s="25">
        <v>415.38</v>
      </c>
      <c r="F1493" s="25">
        <v>1224646.0</v>
      </c>
    </row>
    <row r="1494">
      <c r="A1494" s="25">
        <v>40562.645833333336</v>
      </c>
      <c r="B1494" s="25">
        <v>413.39</v>
      </c>
      <c r="C1494" s="25">
        <v>414.25</v>
      </c>
      <c r="D1494" s="25">
        <v>404.48</v>
      </c>
      <c r="E1494" s="25">
        <v>406.2</v>
      </c>
      <c r="F1494" s="25">
        <v>866886.0</v>
      </c>
    </row>
    <row r="1495">
      <c r="A1495" s="25">
        <v>40563.645833333336</v>
      </c>
      <c r="B1495" s="25">
        <v>404.0</v>
      </c>
      <c r="C1495" s="25">
        <v>413.43</v>
      </c>
      <c r="D1495" s="25">
        <v>402.26</v>
      </c>
      <c r="E1495" s="25">
        <v>411.99</v>
      </c>
      <c r="F1495" s="25">
        <v>903981.0</v>
      </c>
    </row>
    <row r="1496">
      <c r="A1496" s="25">
        <v>40564.645833333336</v>
      </c>
      <c r="B1496" s="25">
        <v>408.88</v>
      </c>
      <c r="C1496" s="25">
        <v>409.75</v>
      </c>
      <c r="D1496" s="25">
        <v>403.88</v>
      </c>
      <c r="E1496" s="25">
        <v>405.48</v>
      </c>
      <c r="F1496" s="25">
        <v>578353.0</v>
      </c>
    </row>
    <row r="1497">
      <c r="A1497" s="25">
        <v>40567.645833333336</v>
      </c>
      <c r="B1497" s="25">
        <v>405.0</v>
      </c>
      <c r="C1497" s="25">
        <v>411.25</v>
      </c>
      <c r="D1497" s="25">
        <v>403.41</v>
      </c>
      <c r="E1497" s="25">
        <v>410.58</v>
      </c>
      <c r="F1497" s="25">
        <v>937670.0</v>
      </c>
    </row>
    <row r="1498">
      <c r="A1498" s="25">
        <v>40568.645833333336</v>
      </c>
      <c r="B1498" s="25">
        <v>408.13</v>
      </c>
      <c r="C1498" s="25">
        <v>413.11</v>
      </c>
      <c r="D1498" s="25">
        <v>404.51</v>
      </c>
      <c r="E1498" s="25">
        <v>407.46</v>
      </c>
      <c r="F1498" s="25">
        <v>1240739.0</v>
      </c>
    </row>
    <row r="1499">
      <c r="A1499" s="25">
        <v>40570.645833333336</v>
      </c>
      <c r="B1499" s="25">
        <v>408.63</v>
      </c>
      <c r="C1499" s="25">
        <v>408.63</v>
      </c>
      <c r="D1499" s="25">
        <v>398.19</v>
      </c>
      <c r="E1499" s="25">
        <v>399.61</v>
      </c>
      <c r="F1499" s="25">
        <v>1588831.0</v>
      </c>
    </row>
    <row r="1500">
      <c r="A1500" s="25">
        <v>40571.645833333336</v>
      </c>
      <c r="B1500" s="25">
        <v>400.73</v>
      </c>
      <c r="C1500" s="25">
        <v>408.57</v>
      </c>
      <c r="D1500" s="25">
        <v>392.58</v>
      </c>
      <c r="E1500" s="25">
        <v>396.02</v>
      </c>
      <c r="F1500" s="25">
        <v>1585537.0</v>
      </c>
    </row>
    <row r="1501">
      <c r="A1501" s="25">
        <v>40574.645833333336</v>
      </c>
      <c r="B1501" s="25">
        <v>392.31</v>
      </c>
      <c r="C1501" s="25">
        <v>392.31</v>
      </c>
      <c r="D1501" s="25">
        <v>385.78</v>
      </c>
      <c r="E1501" s="25">
        <v>389.71</v>
      </c>
      <c r="F1501" s="25">
        <v>968671.0</v>
      </c>
    </row>
    <row r="1502">
      <c r="A1502" s="25">
        <v>40575.645833333336</v>
      </c>
      <c r="B1502" s="25">
        <v>390.79</v>
      </c>
      <c r="C1502" s="25">
        <v>391.05</v>
      </c>
      <c r="D1502" s="25">
        <v>380.39</v>
      </c>
      <c r="E1502" s="25">
        <v>386.15</v>
      </c>
      <c r="F1502" s="25">
        <v>1287711.0</v>
      </c>
    </row>
    <row r="1503">
      <c r="A1503" s="25">
        <v>40576.645833333336</v>
      </c>
      <c r="B1503" s="25">
        <v>389.13</v>
      </c>
      <c r="C1503" s="25">
        <v>395.5</v>
      </c>
      <c r="D1503" s="25">
        <v>383.13</v>
      </c>
      <c r="E1503" s="25">
        <v>386.16</v>
      </c>
      <c r="F1503" s="25">
        <v>1146841.0</v>
      </c>
    </row>
    <row r="1504">
      <c r="A1504" s="25">
        <v>40577.645833333336</v>
      </c>
      <c r="B1504" s="25">
        <v>387.68</v>
      </c>
      <c r="C1504" s="25">
        <v>394.13</v>
      </c>
      <c r="D1504" s="25">
        <v>385.78</v>
      </c>
      <c r="E1504" s="25">
        <v>389.7</v>
      </c>
      <c r="F1504" s="25">
        <v>756176.0</v>
      </c>
    </row>
    <row r="1505">
      <c r="A1505" s="25">
        <v>40578.645833333336</v>
      </c>
      <c r="B1505" s="25">
        <v>387.38</v>
      </c>
      <c r="C1505" s="25">
        <v>390.46</v>
      </c>
      <c r="D1505" s="25">
        <v>378.3</v>
      </c>
      <c r="E1505" s="25">
        <v>380.99</v>
      </c>
      <c r="F1505" s="25">
        <v>869985.0</v>
      </c>
    </row>
    <row r="1506">
      <c r="A1506" s="25">
        <v>40581.645833333336</v>
      </c>
      <c r="B1506" s="25">
        <v>384.36</v>
      </c>
      <c r="C1506" s="25">
        <v>389.24</v>
      </c>
      <c r="D1506" s="25">
        <v>382.63</v>
      </c>
      <c r="E1506" s="25">
        <v>385.93</v>
      </c>
      <c r="F1506" s="25">
        <v>917641.0</v>
      </c>
    </row>
    <row r="1507">
      <c r="A1507" s="25">
        <v>40582.645833333336</v>
      </c>
      <c r="B1507" s="25">
        <v>387.5</v>
      </c>
      <c r="C1507" s="25">
        <v>390.0</v>
      </c>
      <c r="D1507" s="25">
        <v>384.0</v>
      </c>
      <c r="E1507" s="25">
        <v>387.08</v>
      </c>
      <c r="F1507" s="25">
        <v>752999.0</v>
      </c>
    </row>
    <row r="1508">
      <c r="A1508" s="25">
        <v>40583.645833333336</v>
      </c>
      <c r="B1508" s="25">
        <v>385.63</v>
      </c>
      <c r="C1508" s="25">
        <v>394.96</v>
      </c>
      <c r="D1508" s="25">
        <v>383.49</v>
      </c>
      <c r="E1508" s="25">
        <v>391.34</v>
      </c>
      <c r="F1508" s="25">
        <v>938018.0</v>
      </c>
    </row>
    <row r="1509">
      <c r="A1509" s="25">
        <v>40584.645833333336</v>
      </c>
      <c r="B1509" s="25">
        <v>388.21</v>
      </c>
      <c r="C1509" s="25">
        <v>389.25</v>
      </c>
      <c r="D1509" s="25">
        <v>380.13</v>
      </c>
      <c r="E1509" s="25">
        <v>381.65</v>
      </c>
      <c r="F1509" s="25">
        <v>1031519.0</v>
      </c>
    </row>
    <row r="1510">
      <c r="A1510" s="25">
        <v>40585.645833333336</v>
      </c>
      <c r="B1510" s="25">
        <v>378.78</v>
      </c>
      <c r="C1510" s="25">
        <v>383.59</v>
      </c>
      <c r="D1510" s="25">
        <v>377.54</v>
      </c>
      <c r="E1510" s="25">
        <v>380.11</v>
      </c>
      <c r="F1510" s="25">
        <v>1401769.0</v>
      </c>
    </row>
    <row r="1511">
      <c r="A1511" s="25">
        <v>40588.645833333336</v>
      </c>
      <c r="B1511" s="25">
        <v>380.5</v>
      </c>
      <c r="C1511" s="25">
        <v>389.79</v>
      </c>
      <c r="D1511" s="25">
        <v>380.06</v>
      </c>
      <c r="E1511" s="25">
        <v>388.07</v>
      </c>
      <c r="F1511" s="25">
        <v>872381.0</v>
      </c>
    </row>
    <row r="1512">
      <c r="A1512" s="25">
        <v>40589.645833333336</v>
      </c>
      <c r="B1512" s="25">
        <v>387.5</v>
      </c>
      <c r="C1512" s="25">
        <v>391.13</v>
      </c>
      <c r="D1512" s="25">
        <v>384.27</v>
      </c>
      <c r="E1512" s="25">
        <v>388.32</v>
      </c>
      <c r="F1512" s="25">
        <v>574994.0</v>
      </c>
    </row>
    <row r="1513">
      <c r="A1513" s="25">
        <v>40590.645833333336</v>
      </c>
      <c r="B1513" s="25">
        <v>385.28</v>
      </c>
      <c r="C1513" s="25">
        <v>390.46</v>
      </c>
      <c r="D1513" s="25">
        <v>385.14</v>
      </c>
      <c r="E1513" s="25">
        <v>387.88</v>
      </c>
      <c r="F1513" s="25">
        <v>365048.0</v>
      </c>
    </row>
    <row r="1514">
      <c r="A1514" s="25">
        <v>40591.645833333336</v>
      </c>
      <c r="B1514" s="25">
        <v>389.81</v>
      </c>
      <c r="C1514" s="25">
        <v>391.0</v>
      </c>
      <c r="D1514" s="25">
        <v>387.78</v>
      </c>
      <c r="E1514" s="25">
        <v>389.17</v>
      </c>
      <c r="F1514" s="25">
        <v>424123.0</v>
      </c>
    </row>
    <row r="1515">
      <c r="A1515" s="25">
        <v>40592.645833333336</v>
      </c>
      <c r="B1515" s="25">
        <v>390.63</v>
      </c>
      <c r="C1515" s="25">
        <v>393.13</v>
      </c>
      <c r="D1515" s="25">
        <v>386.14</v>
      </c>
      <c r="E1515" s="25">
        <v>387.54</v>
      </c>
      <c r="F1515" s="25">
        <v>887788.0</v>
      </c>
    </row>
    <row r="1516">
      <c r="A1516" s="25">
        <v>40595.645833333336</v>
      </c>
      <c r="B1516" s="25">
        <v>387.5</v>
      </c>
      <c r="C1516" s="25">
        <v>397.23</v>
      </c>
      <c r="D1516" s="25">
        <v>384.5</v>
      </c>
      <c r="E1516" s="25">
        <v>395.66</v>
      </c>
      <c r="F1516" s="25">
        <v>1174869.0</v>
      </c>
    </row>
    <row r="1517">
      <c r="A1517" s="25">
        <v>40596.645833333336</v>
      </c>
      <c r="B1517" s="25">
        <v>392.53</v>
      </c>
      <c r="C1517" s="25">
        <v>395.88</v>
      </c>
      <c r="D1517" s="25">
        <v>389.25</v>
      </c>
      <c r="E1517" s="25">
        <v>392.73</v>
      </c>
      <c r="F1517" s="25">
        <v>760706.0</v>
      </c>
    </row>
    <row r="1518">
      <c r="A1518" s="25">
        <v>40597.645833333336</v>
      </c>
      <c r="B1518" s="25">
        <v>388.24</v>
      </c>
      <c r="C1518" s="25">
        <v>388.24</v>
      </c>
      <c r="D1518" s="25">
        <v>383.76</v>
      </c>
      <c r="E1518" s="25">
        <v>384.85</v>
      </c>
      <c r="F1518" s="25">
        <v>884548.0</v>
      </c>
    </row>
    <row r="1519">
      <c r="A1519" s="25">
        <v>40598.645833333336</v>
      </c>
      <c r="B1519" s="25">
        <v>381.25</v>
      </c>
      <c r="C1519" s="25">
        <v>385.0</v>
      </c>
      <c r="D1519" s="25">
        <v>374.38</v>
      </c>
      <c r="E1519" s="25">
        <v>376.1</v>
      </c>
      <c r="F1519" s="25">
        <v>2060815.0</v>
      </c>
    </row>
    <row r="1520">
      <c r="A1520" s="25">
        <v>40599.645833333336</v>
      </c>
      <c r="B1520" s="25">
        <v>377.9</v>
      </c>
      <c r="C1520" s="25">
        <v>380.33</v>
      </c>
      <c r="D1520" s="25">
        <v>370.75</v>
      </c>
      <c r="E1520" s="25">
        <v>375.91</v>
      </c>
      <c r="F1520" s="25">
        <v>1295840.0</v>
      </c>
    </row>
    <row r="1521">
      <c r="A1521" s="25">
        <v>40602.645833333336</v>
      </c>
      <c r="B1521" s="25">
        <v>377.75</v>
      </c>
      <c r="C1521" s="25">
        <v>391.85</v>
      </c>
      <c r="D1521" s="25">
        <v>370.93</v>
      </c>
      <c r="E1521" s="25">
        <v>374.64</v>
      </c>
      <c r="F1521" s="25">
        <v>1814309.0</v>
      </c>
    </row>
    <row r="1522">
      <c r="A1522" s="25">
        <v>40603.645833333336</v>
      </c>
      <c r="B1522" s="25">
        <v>378.75</v>
      </c>
      <c r="C1522" s="25">
        <v>388.5</v>
      </c>
      <c r="D1522" s="25">
        <v>376.0</v>
      </c>
      <c r="E1522" s="25">
        <v>385.3</v>
      </c>
      <c r="F1522" s="25">
        <v>1047204.0</v>
      </c>
    </row>
    <row r="1523">
      <c r="A1523" s="25">
        <v>40605.645833333336</v>
      </c>
      <c r="B1523" s="25">
        <v>382.26</v>
      </c>
      <c r="C1523" s="25">
        <v>382.38</v>
      </c>
      <c r="D1523" s="25">
        <v>375.13</v>
      </c>
      <c r="E1523" s="25">
        <v>378.26</v>
      </c>
      <c r="F1523" s="25">
        <v>1571482.0</v>
      </c>
    </row>
    <row r="1524">
      <c r="A1524" s="25">
        <v>40606.645833333336</v>
      </c>
      <c r="B1524" s="25">
        <v>383.38</v>
      </c>
      <c r="C1524" s="25">
        <v>386.25</v>
      </c>
      <c r="D1524" s="25">
        <v>381.0</v>
      </c>
      <c r="E1524" s="25">
        <v>382.78</v>
      </c>
      <c r="F1524" s="25">
        <v>1221364.0</v>
      </c>
    </row>
    <row r="1525">
      <c r="A1525" s="25">
        <v>40609.645833333336</v>
      </c>
      <c r="B1525" s="25">
        <v>379.5</v>
      </c>
      <c r="C1525" s="25">
        <v>384.38</v>
      </c>
      <c r="D1525" s="25">
        <v>378.19</v>
      </c>
      <c r="E1525" s="25">
        <v>380.34</v>
      </c>
      <c r="F1525" s="25">
        <v>919716.0</v>
      </c>
    </row>
    <row r="1526">
      <c r="A1526" s="25">
        <v>40610.645833333336</v>
      </c>
      <c r="B1526" s="25">
        <v>378.78</v>
      </c>
      <c r="C1526" s="25">
        <v>391.5</v>
      </c>
      <c r="D1526" s="25">
        <v>377.53</v>
      </c>
      <c r="E1526" s="25">
        <v>389.54</v>
      </c>
      <c r="F1526" s="25">
        <v>1064314.0</v>
      </c>
    </row>
    <row r="1527">
      <c r="A1527" s="25">
        <v>40611.645833333336</v>
      </c>
      <c r="B1527" s="25">
        <v>390.0</v>
      </c>
      <c r="C1527" s="25">
        <v>391.6</v>
      </c>
      <c r="D1527" s="25">
        <v>383.88</v>
      </c>
      <c r="E1527" s="25">
        <v>386.94</v>
      </c>
      <c r="F1527" s="25">
        <v>834555.0</v>
      </c>
    </row>
    <row r="1528">
      <c r="A1528" s="25">
        <v>40612.645833333336</v>
      </c>
      <c r="B1528" s="25">
        <v>386.88</v>
      </c>
      <c r="C1528" s="25">
        <v>387.5</v>
      </c>
      <c r="D1528" s="25">
        <v>382.81</v>
      </c>
      <c r="E1528" s="25">
        <v>386.28</v>
      </c>
      <c r="F1528" s="25">
        <v>429775.0</v>
      </c>
    </row>
    <row r="1529">
      <c r="A1529" s="25">
        <v>40613.645833333336</v>
      </c>
      <c r="B1529" s="25">
        <v>383.5</v>
      </c>
      <c r="C1529" s="25">
        <v>384.88</v>
      </c>
      <c r="D1529" s="25">
        <v>380.63</v>
      </c>
      <c r="E1529" s="25">
        <v>381.74</v>
      </c>
      <c r="F1529" s="25">
        <v>909784.0</v>
      </c>
    </row>
    <row r="1530">
      <c r="A1530" s="25">
        <v>40616.645833333336</v>
      </c>
      <c r="B1530" s="25">
        <v>379.38</v>
      </c>
      <c r="C1530" s="25">
        <v>388.5</v>
      </c>
      <c r="D1530" s="25">
        <v>378.83</v>
      </c>
      <c r="E1530" s="25">
        <v>387.6</v>
      </c>
      <c r="F1530" s="25">
        <v>444744.0</v>
      </c>
    </row>
    <row r="1531">
      <c r="A1531" s="25">
        <v>40617.645833333336</v>
      </c>
      <c r="B1531" s="25">
        <v>379.0</v>
      </c>
      <c r="C1531" s="25">
        <v>382.36</v>
      </c>
      <c r="D1531" s="25">
        <v>375.75</v>
      </c>
      <c r="E1531" s="25">
        <v>378.77</v>
      </c>
      <c r="F1531" s="25">
        <v>1129728.0</v>
      </c>
    </row>
    <row r="1532">
      <c r="A1532" s="25">
        <v>40618.645833333336</v>
      </c>
      <c r="B1532" s="25">
        <v>378.13</v>
      </c>
      <c r="C1532" s="25">
        <v>382.68</v>
      </c>
      <c r="D1532" s="25">
        <v>377.51</v>
      </c>
      <c r="E1532" s="25">
        <v>378.86</v>
      </c>
      <c r="F1532" s="25">
        <v>699340.0</v>
      </c>
    </row>
    <row r="1533">
      <c r="A1533" s="25">
        <v>40619.645833333336</v>
      </c>
      <c r="B1533" s="25">
        <v>373.01</v>
      </c>
      <c r="C1533" s="25">
        <v>374.88</v>
      </c>
      <c r="D1533" s="25">
        <v>371.38</v>
      </c>
      <c r="E1533" s="25">
        <v>372.34</v>
      </c>
      <c r="F1533" s="25">
        <v>1040172.0</v>
      </c>
    </row>
    <row r="1534">
      <c r="A1534" s="25">
        <v>40620.645833333336</v>
      </c>
      <c r="B1534" s="25">
        <v>372.52</v>
      </c>
      <c r="C1534" s="25">
        <v>374.35</v>
      </c>
      <c r="D1534" s="25">
        <v>366.58</v>
      </c>
      <c r="E1534" s="25">
        <v>367.64</v>
      </c>
      <c r="F1534" s="25">
        <v>933500.0</v>
      </c>
    </row>
    <row r="1535">
      <c r="A1535" s="25">
        <v>40623.645833333336</v>
      </c>
      <c r="B1535" s="25">
        <v>368.93</v>
      </c>
      <c r="C1535" s="25">
        <v>369.63</v>
      </c>
      <c r="D1535" s="25">
        <v>363.04</v>
      </c>
      <c r="E1535" s="25">
        <v>365.29</v>
      </c>
      <c r="F1535" s="25">
        <v>825887.0</v>
      </c>
    </row>
    <row r="1536">
      <c r="A1536" s="25">
        <v>40624.645833333336</v>
      </c>
      <c r="B1536" s="25">
        <v>366.89</v>
      </c>
      <c r="C1536" s="25">
        <v>369.59</v>
      </c>
      <c r="D1536" s="25">
        <v>365.5</v>
      </c>
      <c r="E1536" s="25">
        <v>367.88</v>
      </c>
      <c r="F1536" s="25">
        <v>639968.0</v>
      </c>
    </row>
    <row r="1537">
      <c r="A1537" s="25">
        <v>40625.645833333336</v>
      </c>
      <c r="B1537" s="25">
        <v>366.84</v>
      </c>
      <c r="C1537" s="25">
        <v>374.85</v>
      </c>
      <c r="D1537" s="25">
        <v>365.88</v>
      </c>
      <c r="E1537" s="25">
        <v>374.17</v>
      </c>
      <c r="F1537" s="25">
        <v>908340.0</v>
      </c>
    </row>
    <row r="1538">
      <c r="A1538" s="25">
        <v>40626.645833333336</v>
      </c>
      <c r="B1538" s="25">
        <v>374.12</v>
      </c>
      <c r="C1538" s="25">
        <v>376.53</v>
      </c>
      <c r="D1538" s="25">
        <v>372.34</v>
      </c>
      <c r="E1538" s="25">
        <v>375.35</v>
      </c>
      <c r="F1538" s="25">
        <v>1023654.0</v>
      </c>
    </row>
    <row r="1539">
      <c r="A1539" s="25">
        <v>40627.645833333336</v>
      </c>
      <c r="B1539" s="25">
        <v>380.5</v>
      </c>
      <c r="C1539" s="25">
        <v>398.13</v>
      </c>
      <c r="D1539" s="25">
        <v>380.01</v>
      </c>
      <c r="E1539" s="25">
        <v>395.38</v>
      </c>
      <c r="F1539" s="25">
        <v>1582849.0</v>
      </c>
    </row>
    <row r="1540">
      <c r="A1540" s="25">
        <v>40630.645833333336</v>
      </c>
      <c r="B1540" s="25">
        <v>392.38</v>
      </c>
      <c r="C1540" s="25">
        <v>394.69</v>
      </c>
      <c r="D1540" s="25">
        <v>388.72</v>
      </c>
      <c r="E1540" s="25">
        <v>392.44</v>
      </c>
      <c r="F1540" s="25">
        <v>1507079.0</v>
      </c>
    </row>
    <row r="1541">
      <c r="A1541" s="25">
        <v>40631.645833333336</v>
      </c>
      <c r="B1541" s="25">
        <v>391.5</v>
      </c>
      <c r="C1541" s="25">
        <v>398.59</v>
      </c>
      <c r="D1541" s="25">
        <v>391.12</v>
      </c>
      <c r="E1541" s="25">
        <v>396.67</v>
      </c>
      <c r="F1541" s="25">
        <v>1232574.0</v>
      </c>
    </row>
    <row r="1542">
      <c r="A1542" s="25">
        <v>40632.645833333336</v>
      </c>
      <c r="B1542" s="25">
        <v>396.5</v>
      </c>
      <c r="C1542" s="25">
        <v>400.44</v>
      </c>
      <c r="D1542" s="25">
        <v>394.58</v>
      </c>
      <c r="E1542" s="25">
        <v>396.36</v>
      </c>
      <c r="F1542" s="25">
        <v>701016.0</v>
      </c>
    </row>
    <row r="1543">
      <c r="A1543" s="25">
        <v>40633.645833333336</v>
      </c>
      <c r="B1543" s="25">
        <v>397.75</v>
      </c>
      <c r="C1543" s="25">
        <v>408.13</v>
      </c>
      <c r="D1543" s="25">
        <v>395.49</v>
      </c>
      <c r="E1543" s="25">
        <v>405.16</v>
      </c>
      <c r="F1543" s="25">
        <v>2354991.0</v>
      </c>
    </row>
    <row r="1544">
      <c r="A1544" s="25">
        <v>40634.645833333336</v>
      </c>
      <c r="B1544" s="25">
        <v>404.39</v>
      </c>
      <c r="C1544" s="25">
        <v>407.03</v>
      </c>
      <c r="D1544" s="25">
        <v>401.0</v>
      </c>
      <c r="E1544" s="25">
        <v>402.27</v>
      </c>
      <c r="F1544" s="25">
        <v>698536.0</v>
      </c>
    </row>
    <row r="1545">
      <c r="A1545" s="25">
        <v>40637.645833333336</v>
      </c>
      <c r="B1545" s="25">
        <v>403.13</v>
      </c>
      <c r="C1545" s="25">
        <v>412.0</v>
      </c>
      <c r="D1545" s="25">
        <v>402.63</v>
      </c>
      <c r="E1545" s="25">
        <v>410.39</v>
      </c>
      <c r="F1545" s="25">
        <v>921999.0</v>
      </c>
    </row>
    <row r="1546">
      <c r="A1546" s="25">
        <v>40638.645833333336</v>
      </c>
      <c r="B1546" s="25">
        <v>409.62</v>
      </c>
      <c r="C1546" s="25">
        <v>411.63</v>
      </c>
      <c r="D1546" s="25">
        <v>403.89</v>
      </c>
      <c r="E1546" s="25">
        <v>410.41</v>
      </c>
      <c r="F1546" s="25">
        <v>537817.0</v>
      </c>
    </row>
    <row r="1547">
      <c r="A1547" s="25">
        <v>40639.645833333336</v>
      </c>
      <c r="B1547" s="25">
        <v>409.88</v>
      </c>
      <c r="C1547" s="25">
        <v>412.38</v>
      </c>
      <c r="D1547" s="25">
        <v>406.51</v>
      </c>
      <c r="E1547" s="25">
        <v>409.39</v>
      </c>
      <c r="F1547" s="25">
        <v>845865.0</v>
      </c>
    </row>
    <row r="1548">
      <c r="A1548" s="25">
        <v>40640.645833333336</v>
      </c>
      <c r="B1548" s="25">
        <v>407.74</v>
      </c>
      <c r="C1548" s="25">
        <v>407.74</v>
      </c>
      <c r="D1548" s="25">
        <v>404.71</v>
      </c>
      <c r="E1548" s="25">
        <v>405.74</v>
      </c>
      <c r="F1548" s="25">
        <v>475036.0</v>
      </c>
    </row>
    <row r="1549">
      <c r="A1549" s="25">
        <v>40641.645833333336</v>
      </c>
      <c r="B1549" s="25">
        <v>405.25</v>
      </c>
      <c r="C1549" s="25">
        <v>408.08</v>
      </c>
      <c r="D1549" s="25">
        <v>400.93</v>
      </c>
      <c r="E1549" s="25">
        <v>403.41</v>
      </c>
      <c r="F1549" s="25">
        <v>604116.0</v>
      </c>
    </row>
    <row r="1550">
      <c r="A1550" s="25">
        <v>40644.645833333336</v>
      </c>
      <c r="B1550" s="25">
        <v>399.41</v>
      </c>
      <c r="C1550" s="25">
        <v>407.73</v>
      </c>
      <c r="D1550" s="25">
        <v>397.63</v>
      </c>
      <c r="E1550" s="25">
        <v>405.2</v>
      </c>
      <c r="F1550" s="25">
        <v>1000008.0</v>
      </c>
    </row>
    <row r="1551">
      <c r="A1551" s="25">
        <v>40646.645833333336</v>
      </c>
      <c r="B1551" s="25">
        <v>401.38</v>
      </c>
      <c r="C1551" s="25">
        <v>414.64</v>
      </c>
      <c r="D1551" s="25">
        <v>399.5</v>
      </c>
      <c r="E1551" s="25">
        <v>413.28</v>
      </c>
      <c r="F1551" s="25">
        <v>1383613.0</v>
      </c>
    </row>
    <row r="1552">
      <c r="A1552" s="25">
        <v>40648.645833333336</v>
      </c>
      <c r="B1552" s="25">
        <v>412.02</v>
      </c>
      <c r="C1552" s="25">
        <v>412.33</v>
      </c>
      <c r="D1552" s="25">
        <v>372.19</v>
      </c>
      <c r="E1552" s="25">
        <v>373.69</v>
      </c>
      <c r="F1552" s="25">
        <v>1.0127467E7</v>
      </c>
    </row>
    <row r="1553">
      <c r="A1553" s="25">
        <v>40651.645833333336</v>
      </c>
      <c r="B1553" s="25">
        <v>364.88</v>
      </c>
      <c r="C1553" s="25">
        <v>370.88</v>
      </c>
      <c r="D1553" s="25">
        <v>360.0</v>
      </c>
      <c r="E1553" s="25">
        <v>363.26</v>
      </c>
      <c r="F1553" s="25">
        <v>5135839.0</v>
      </c>
    </row>
    <row r="1554">
      <c r="A1554" s="25">
        <v>40652.645833333336</v>
      </c>
      <c r="B1554" s="25">
        <v>363.25</v>
      </c>
      <c r="C1554" s="25">
        <v>365.88</v>
      </c>
      <c r="D1554" s="25">
        <v>360.13</v>
      </c>
      <c r="E1554" s="25">
        <v>360.92</v>
      </c>
      <c r="F1554" s="25">
        <v>2401329.0</v>
      </c>
    </row>
    <row r="1555">
      <c r="A1555" s="25">
        <v>40653.645833333336</v>
      </c>
      <c r="B1555" s="25">
        <v>364.88</v>
      </c>
      <c r="C1555" s="25">
        <v>365.99</v>
      </c>
      <c r="D1555" s="25">
        <v>361.38</v>
      </c>
      <c r="E1555" s="25">
        <v>363.41</v>
      </c>
      <c r="F1555" s="25">
        <v>2243732.0</v>
      </c>
    </row>
    <row r="1556">
      <c r="A1556" s="25">
        <v>40654.645833333336</v>
      </c>
      <c r="B1556" s="25">
        <v>364.84</v>
      </c>
      <c r="C1556" s="25">
        <v>367.56</v>
      </c>
      <c r="D1556" s="25">
        <v>362.64</v>
      </c>
      <c r="E1556" s="25">
        <v>363.75</v>
      </c>
      <c r="F1556" s="25">
        <v>2994212.0</v>
      </c>
    </row>
    <row r="1557">
      <c r="A1557" s="25">
        <v>40658.645833333336</v>
      </c>
      <c r="B1557" s="25">
        <v>364.38</v>
      </c>
      <c r="C1557" s="25">
        <v>370.49</v>
      </c>
      <c r="D1557" s="25">
        <v>363.43</v>
      </c>
      <c r="E1557" s="25">
        <v>367.66</v>
      </c>
      <c r="F1557" s="25">
        <v>1940905.0</v>
      </c>
    </row>
    <row r="1558">
      <c r="A1558" s="25">
        <v>40659.645833333336</v>
      </c>
      <c r="B1558" s="25">
        <v>366.88</v>
      </c>
      <c r="C1558" s="25">
        <v>369.37</v>
      </c>
      <c r="D1558" s="25">
        <v>365.0</v>
      </c>
      <c r="E1558" s="25">
        <v>367.79</v>
      </c>
      <c r="F1558" s="25">
        <v>2278860.0</v>
      </c>
    </row>
    <row r="1559">
      <c r="A1559" s="25">
        <v>40660.645833333336</v>
      </c>
      <c r="B1559" s="25">
        <v>368.13</v>
      </c>
      <c r="C1559" s="25">
        <v>370.58</v>
      </c>
      <c r="D1559" s="25">
        <v>367.81</v>
      </c>
      <c r="E1559" s="25">
        <v>369.14</v>
      </c>
      <c r="F1559" s="25">
        <v>1247666.0</v>
      </c>
    </row>
    <row r="1560">
      <c r="A1560" s="25">
        <v>40661.645833333336</v>
      </c>
      <c r="B1560" s="25">
        <v>368.63</v>
      </c>
      <c r="C1560" s="25">
        <v>369.75</v>
      </c>
      <c r="D1560" s="25">
        <v>365.13</v>
      </c>
      <c r="E1560" s="25">
        <v>366.14</v>
      </c>
      <c r="F1560" s="25">
        <v>2927413.0</v>
      </c>
    </row>
    <row r="1561">
      <c r="A1561" s="25">
        <v>40662.645833333336</v>
      </c>
      <c r="B1561" s="25">
        <v>363.75</v>
      </c>
      <c r="C1561" s="25">
        <v>366.13</v>
      </c>
      <c r="D1561" s="25">
        <v>360.99</v>
      </c>
      <c r="E1561" s="25">
        <v>363.28</v>
      </c>
      <c r="F1561" s="25">
        <v>2031792.0</v>
      </c>
    </row>
    <row r="1562">
      <c r="A1562" s="25">
        <v>40665.645833333336</v>
      </c>
      <c r="B1562" s="25">
        <v>364.88</v>
      </c>
      <c r="C1562" s="25">
        <v>368.0</v>
      </c>
      <c r="D1562" s="25">
        <v>363.75</v>
      </c>
      <c r="E1562" s="25">
        <v>365.32</v>
      </c>
      <c r="F1562" s="25">
        <v>1683523.0</v>
      </c>
    </row>
    <row r="1563">
      <c r="A1563" s="25">
        <v>40666.645833333336</v>
      </c>
      <c r="B1563" s="25">
        <v>365.0</v>
      </c>
      <c r="C1563" s="25">
        <v>369.64</v>
      </c>
      <c r="D1563" s="25">
        <v>362.49</v>
      </c>
      <c r="E1563" s="25">
        <v>363.88</v>
      </c>
      <c r="F1563" s="25">
        <v>1654255.0</v>
      </c>
    </row>
    <row r="1564">
      <c r="A1564" s="25">
        <v>40667.645833333336</v>
      </c>
      <c r="B1564" s="25">
        <v>362.63</v>
      </c>
      <c r="C1564" s="25">
        <v>363.13</v>
      </c>
      <c r="D1564" s="25">
        <v>355.34</v>
      </c>
      <c r="E1564" s="25">
        <v>358.72</v>
      </c>
      <c r="F1564" s="25">
        <v>2115550.0</v>
      </c>
    </row>
    <row r="1565">
      <c r="A1565" s="25">
        <v>40668.645833333336</v>
      </c>
      <c r="B1565" s="25">
        <v>358.41</v>
      </c>
      <c r="C1565" s="25">
        <v>359.86</v>
      </c>
      <c r="D1565" s="25">
        <v>354.63</v>
      </c>
      <c r="E1565" s="25">
        <v>356.06</v>
      </c>
      <c r="F1565" s="25">
        <v>1582654.0</v>
      </c>
    </row>
    <row r="1566">
      <c r="A1566" s="25">
        <v>40669.645833333336</v>
      </c>
      <c r="B1566" s="25">
        <v>357.24</v>
      </c>
      <c r="C1566" s="25">
        <v>363.75</v>
      </c>
      <c r="D1566" s="25">
        <v>356.0</v>
      </c>
      <c r="E1566" s="25">
        <v>361.63</v>
      </c>
      <c r="F1566" s="25">
        <v>1491333.0</v>
      </c>
    </row>
    <row r="1567">
      <c r="A1567" s="25">
        <v>40672.645833333336</v>
      </c>
      <c r="B1567" s="25">
        <v>363.75</v>
      </c>
      <c r="C1567" s="25">
        <v>364.63</v>
      </c>
      <c r="D1567" s="25">
        <v>358.44</v>
      </c>
      <c r="E1567" s="25">
        <v>363.57</v>
      </c>
      <c r="F1567" s="25">
        <v>617275.0</v>
      </c>
    </row>
    <row r="1568">
      <c r="A1568" s="25">
        <v>40673.645833333336</v>
      </c>
      <c r="B1568" s="25">
        <v>363.46</v>
      </c>
      <c r="C1568" s="25">
        <v>365.61</v>
      </c>
      <c r="D1568" s="25">
        <v>359.0</v>
      </c>
      <c r="E1568" s="25">
        <v>360.01</v>
      </c>
      <c r="F1568" s="25">
        <v>609171.0</v>
      </c>
    </row>
    <row r="1569">
      <c r="A1569" s="25">
        <v>40674.645833333336</v>
      </c>
      <c r="B1569" s="25">
        <v>360.25</v>
      </c>
      <c r="C1569" s="25">
        <v>365.5</v>
      </c>
      <c r="D1569" s="25">
        <v>359.99</v>
      </c>
      <c r="E1569" s="25">
        <v>363.26</v>
      </c>
      <c r="F1569" s="25">
        <v>801259.0</v>
      </c>
    </row>
    <row r="1570">
      <c r="A1570" s="25">
        <v>40675.645833333336</v>
      </c>
      <c r="B1570" s="25">
        <v>362.24</v>
      </c>
      <c r="C1570" s="25">
        <v>363.63</v>
      </c>
      <c r="D1570" s="25">
        <v>359.0</v>
      </c>
      <c r="E1570" s="25">
        <v>360.16</v>
      </c>
      <c r="F1570" s="25">
        <v>624560.0</v>
      </c>
    </row>
    <row r="1571">
      <c r="A1571" s="25">
        <v>40676.645833333336</v>
      </c>
      <c r="B1571" s="25">
        <v>360.4</v>
      </c>
      <c r="C1571" s="25">
        <v>364.0</v>
      </c>
      <c r="D1571" s="25">
        <v>358.91</v>
      </c>
      <c r="E1571" s="25">
        <v>359.79</v>
      </c>
      <c r="F1571" s="25">
        <v>1035292.0</v>
      </c>
    </row>
    <row r="1572">
      <c r="A1572" s="25">
        <v>40679.645833333336</v>
      </c>
      <c r="B1572" s="25">
        <v>359.5</v>
      </c>
      <c r="C1572" s="25">
        <v>359.5</v>
      </c>
      <c r="D1572" s="25">
        <v>355.29</v>
      </c>
      <c r="E1572" s="25">
        <v>356.3</v>
      </c>
      <c r="F1572" s="25">
        <v>808671.0</v>
      </c>
    </row>
    <row r="1573">
      <c r="A1573" s="25">
        <v>40680.645833333336</v>
      </c>
      <c r="B1573" s="25">
        <v>356.05</v>
      </c>
      <c r="C1573" s="25">
        <v>359.66</v>
      </c>
      <c r="D1573" s="25">
        <v>352.99</v>
      </c>
      <c r="E1573" s="25">
        <v>355.52</v>
      </c>
      <c r="F1573" s="25">
        <v>946309.0</v>
      </c>
    </row>
    <row r="1574">
      <c r="A1574" s="25">
        <v>40681.645833333336</v>
      </c>
      <c r="B1574" s="25">
        <v>356.25</v>
      </c>
      <c r="C1574" s="25">
        <v>360.29</v>
      </c>
      <c r="D1574" s="25">
        <v>350.38</v>
      </c>
      <c r="E1574" s="25">
        <v>355.31</v>
      </c>
      <c r="F1574" s="25">
        <v>1272062.0</v>
      </c>
    </row>
    <row r="1575">
      <c r="A1575" s="25">
        <v>40682.645833333336</v>
      </c>
      <c r="B1575" s="25">
        <v>357.46</v>
      </c>
      <c r="C1575" s="25">
        <v>357.46</v>
      </c>
      <c r="D1575" s="25">
        <v>354.45</v>
      </c>
      <c r="E1575" s="25">
        <v>355.81</v>
      </c>
      <c r="F1575" s="25">
        <v>931995.0</v>
      </c>
    </row>
    <row r="1576">
      <c r="A1576" s="25">
        <v>40683.645833333336</v>
      </c>
      <c r="B1576" s="25">
        <v>355.63</v>
      </c>
      <c r="C1576" s="25">
        <v>357.96</v>
      </c>
      <c r="D1576" s="25">
        <v>354.02</v>
      </c>
      <c r="E1576" s="25">
        <v>356.23</v>
      </c>
      <c r="F1576" s="25">
        <v>1002959.0</v>
      </c>
    </row>
    <row r="1577">
      <c r="A1577" s="25">
        <v>40686.645833333336</v>
      </c>
      <c r="B1577" s="25">
        <v>355.98</v>
      </c>
      <c r="C1577" s="25">
        <v>356.6</v>
      </c>
      <c r="D1577" s="25">
        <v>353.48</v>
      </c>
      <c r="E1577" s="25">
        <v>354.63</v>
      </c>
      <c r="F1577" s="25">
        <v>847360.0</v>
      </c>
    </row>
    <row r="1578">
      <c r="A1578" s="25">
        <v>40687.645833333336</v>
      </c>
      <c r="B1578" s="25">
        <v>354.13</v>
      </c>
      <c r="C1578" s="25">
        <v>357.98</v>
      </c>
      <c r="D1578" s="25">
        <v>354.13</v>
      </c>
      <c r="E1578" s="25">
        <v>355.56</v>
      </c>
      <c r="F1578" s="25">
        <v>953183.0</v>
      </c>
    </row>
    <row r="1579">
      <c r="A1579" s="25">
        <v>40688.645833333336</v>
      </c>
      <c r="B1579" s="25">
        <v>353.46</v>
      </c>
      <c r="C1579" s="25">
        <v>353.46</v>
      </c>
      <c r="D1579" s="25">
        <v>344.58</v>
      </c>
      <c r="E1579" s="25">
        <v>348.58</v>
      </c>
      <c r="F1579" s="25">
        <v>1384427.0</v>
      </c>
    </row>
    <row r="1580">
      <c r="A1580" s="25">
        <v>40689.645833333336</v>
      </c>
      <c r="B1580" s="25">
        <v>349.25</v>
      </c>
      <c r="C1580" s="25">
        <v>349.72</v>
      </c>
      <c r="D1580" s="25">
        <v>344.75</v>
      </c>
      <c r="E1580" s="25">
        <v>347.07</v>
      </c>
      <c r="F1580" s="25">
        <v>1059522.0</v>
      </c>
    </row>
    <row r="1581">
      <c r="A1581" s="25">
        <v>40690.645833333336</v>
      </c>
      <c r="B1581" s="25">
        <v>345.0</v>
      </c>
      <c r="C1581" s="25">
        <v>350.88</v>
      </c>
      <c r="D1581" s="25">
        <v>345.0</v>
      </c>
      <c r="E1581" s="25">
        <v>348.44</v>
      </c>
      <c r="F1581" s="25">
        <v>783118.0</v>
      </c>
    </row>
    <row r="1582">
      <c r="A1582" s="25">
        <v>40693.645833333336</v>
      </c>
      <c r="B1582" s="25">
        <v>350.76</v>
      </c>
      <c r="C1582" s="25">
        <v>350.76</v>
      </c>
      <c r="D1582" s="25">
        <v>345.13</v>
      </c>
      <c r="E1582" s="25">
        <v>347.58</v>
      </c>
      <c r="F1582" s="25">
        <v>858419.0</v>
      </c>
    </row>
    <row r="1583">
      <c r="A1583" s="25">
        <v>40694.645833333336</v>
      </c>
      <c r="B1583" s="25">
        <v>349.13</v>
      </c>
      <c r="C1583" s="25">
        <v>352.25</v>
      </c>
      <c r="D1583" s="25">
        <v>347.07</v>
      </c>
      <c r="E1583" s="25">
        <v>348.21</v>
      </c>
      <c r="F1583" s="25">
        <v>2551326.0</v>
      </c>
    </row>
    <row r="1584">
      <c r="A1584" s="25">
        <v>40695.645833333336</v>
      </c>
      <c r="B1584" s="25">
        <v>349.25</v>
      </c>
      <c r="C1584" s="25">
        <v>353.0</v>
      </c>
      <c r="D1584" s="25">
        <v>348.0</v>
      </c>
      <c r="E1584" s="25">
        <v>351.44</v>
      </c>
      <c r="F1584" s="25">
        <v>1013233.0</v>
      </c>
    </row>
    <row r="1585">
      <c r="A1585" s="25">
        <v>40696.645833333336</v>
      </c>
      <c r="B1585" s="25">
        <v>347.5</v>
      </c>
      <c r="C1585" s="25">
        <v>352.5</v>
      </c>
      <c r="D1585" s="25">
        <v>347.13</v>
      </c>
      <c r="E1585" s="25">
        <v>350.38</v>
      </c>
      <c r="F1585" s="25">
        <v>889661.0</v>
      </c>
    </row>
    <row r="1586">
      <c r="A1586" s="25">
        <v>40697.645833333336</v>
      </c>
      <c r="B1586" s="25">
        <v>351.38</v>
      </c>
      <c r="C1586" s="25">
        <v>355.35</v>
      </c>
      <c r="D1586" s="25">
        <v>351.36</v>
      </c>
      <c r="E1586" s="25">
        <v>352.03</v>
      </c>
      <c r="F1586" s="25">
        <v>786673.0</v>
      </c>
    </row>
    <row r="1587">
      <c r="A1587" s="25">
        <v>40700.645833333336</v>
      </c>
      <c r="B1587" s="25">
        <v>352.75</v>
      </c>
      <c r="C1587" s="25">
        <v>355.74</v>
      </c>
      <c r="D1587" s="25">
        <v>349.39</v>
      </c>
      <c r="E1587" s="25">
        <v>354.74</v>
      </c>
      <c r="F1587" s="25">
        <v>471158.0</v>
      </c>
    </row>
    <row r="1588">
      <c r="A1588" s="25">
        <v>40701.645833333336</v>
      </c>
      <c r="B1588" s="25">
        <v>353.76</v>
      </c>
      <c r="C1588" s="25">
        <v>363.0</v>
      </c>
      <c r="D1588" s="25">
        <v>353.76</v>
      </c>
      <c r="E1588" s="25">
        <v>361.57</v>
      </c>
      <c r="F1588" s="25">
        <v>997333.0</v>
      </c>
    </row>
    <row r="1589">
      <c r="A1589" s="25">
        <v>40702.645833333336</v>
      </c>
      <c r="B1589" s="25">
        <v>361.13</v>
      </c>
      <c r="C1589" s="25">
        <v>361.53</v>
      </c>
      <c r="D1589" s="25">
        <v>358.41</v>
      </c>
      <c r="E1589" s="25">
        <v>358.96</v>
      </c>
      <c r="F1589" s="25">
        <v>743246.0</v>
      </c>
    </row>
    <row r="1590">
      <c r="A1590" s="25">
        <v>40703.645833333336</v>
      </c>
      <c r="B1590" s="25">
        <v>360.19</v>
      </c>
      <c r="C1590" s="25">
        <v>360.19</v>
      </c>
      <c r="D1590" s="25">
        <v>356.82</v>
      </c>
      <c r="E1590" s="25">
        <v>357.69</v>
      </c>
      <c r="F1590" s="25">
        <v>527702.0</v>
      </c>
    </row>
    <row r="1591">
      <c r="A1591" s="25">
        <v>40704.645833333336</v>
      </c>
      <c r="B1591" s="25">
        <v>358.56</v>
      </c>
      <c r="C1591" s="25">
        <v>360.1</v>
      </c>
      <c r="D1591" s="25">
        <v>356.4</v>
      </c>
      <c r="E1591" s="25">
        <v>357.79</v>
      </c>
      <c r="F1591" s="25">
        <v>898408.0</v>
      </c>
    </row>
    <row r="1592">
      <c r="A1592" s="25">
        <v>40707.645833333336</v>
      </c>
      <c r="B1592" s="25">
        <v>356.06</v>
      </c>
      <c r="C1592" s="25">
        <v>360.28</v>
      </c>
      <c r="D1592" s="25">
        <v>352.46</v>
      </c>
      <c r="E1592" s="25">
        <v>359.7</v>
      </c>
      <c r="F1592" s="25">
        <v>966648.0</v>
      </c>
    </row>
    <row r="1593">
      <c r="A1593" s="25">
        <v>40708.645833333336</v>
      </c>
      <c r="B1593" s="25">
        <v>359.73</v>
      </c>
      <c r="C1593" s="25">
        <v>360.44</v>
      </c>
      <c r="D1593" s="25">
        <v>358.09</v>
      </c>
      <c r="E1593" s="25">
        <v>359.04</v>
      </c>
      <c r="F1593" s="25">
        <v>983763.0</v>
      </c>
    </row>
    <row r="1594">
      <c r="A1594" s="25">
        <v>40709.645833333336</v>
      </c>
      <c r="B1594" s="25">
        <v>357.72</v>
      </c>
      <c r="C1594" s="25">
        <v>357.72</v>
      </c>
      <c r="D1594" s="25">
        <v>353.36</v>
      </c>
      <c r="E1594" s="25">
        <v>354.45</v>
      </c>
      <c r="F1594" s="25">
        <v>916985.0</v>
      </c>
    </row>
    <row r="1595">
      <c r="A1595" s="25">
        <v>40710.645833333336</v>
      </c>
      <c r="B1595" s="25">
        <v>353.63</v>
      </c>
      <c r="C1595" s="25">
        <v>353.63</v>
      </c>
      <c r="D1595" s="25">
        <v>349.38</v>
      </c>
      <c r="E1595" s="25">
        <v>350.04</v>
      </c>
      <c r="F1595" s="25">
        <v>953620.0</v>
      </c>
    </row>
    <row r="1596">
      <c r="A1596" s="25">
        <v>40711.645833333336</v>
      </c>
      <c r="B1596" s="25">
        <v>350.01</v>
      </c>
      <c r="C1596" s="25">
        <v>350.42</v>
      </c>
      <c r="D1596" s="25">
        <v>341.41</v>
      </c>
      <c r="E1596" s="25">
        <v>346.21</v>
      </c>
      <c r="F1596" s="25">
        <v>1065646.0</v>
      </c>
    </row>
    <row r="1597">
      <c r="A1597" s="25">
        <v>40714.645833333336</v>
      </c>
      <c r="B1597" s="25">
        <v>346.04</v>
      </c>
      <c r="C1597" s="25">
        <v>347.47</v>
      </c>
      <c r="D1597" s="25">
        <v>331.56</v>
      </c>
      <c r="E1597" s="25">
        <v>338.69</v>
      </c>
      <c r="F1597" s="25">
        <v>1557269.0</v>
      </c>
    </row>
    <row r="1598">
      <c r="A1598" s="25">
        <v>40715.645833333336</v>
      </c>
      <c r="B1598" s="25">
        <v>340.38</v>
      </c>
      <c r="C1598" s="25">
        <v>344.38</v>
      </c>
      <c r="D1598" s="25">
        <v>336.66</v>
      </c>
      <c r="E1598" s="25">
        <v>340.89</v>
      </c>
      <c r="F1598" s="25">
        <v>942852.0</v>
      </c>
    </row>
    <row r="1599">
      <c r="A1599" s="25">
        <v>40716.645833333336</v>
      </c>
      <c r="B1599" s="25">
        <v>344.13</v>
      </c>
      <c r="C1599" s="25">
        <v>347.71</v>
      </c>
      <c r="D1599" s="25">
        <v>342.76</v>
      </c>
      <c r="E1599" s="25">
        <v>344.38</v>
      </c>
      <c r="F1599" s="25">
        <v>703125.0</v>
      </c>
    </row>
    <row r="1600">
      <c r="A1600" s="25">
        <v>40717.645833333336</v>
      </c>
      <c r="B1600" s="25">
        <v>343.75</v>
      </c>
      <c r="C1600" s="25">
        <v>348.64</v>
      </c>
      <c r="D1600" s="25">
        <v>341.94</v>
      </c>
      <c r="E1600" s="25">
        <v>347.39</v>
      </c>
      <c r="F1600" s="25">
        <v>519846.0</v>
      </c>
    </row>
    <row r="1601">
      <c r="A1601" s="25">
        <v>40718.645833333336</v>
      </c>
      <c r="B1601" s="25">
        <v>348.88</v>
      </c>
      <c r="C1601" s="25">
        <v>359.71</v>
      </c>
      <c r="D1601" s="25">
        <v>348.88</v>
      </c>
      <c r="E1601" s="25">
        <v>357.49</v>
      </c>
      <c r="F1601" s="25">
        <v>1402411.0</v>
      </c>
    </row>
    <row r="1602">
      <c r="A1602" s="25">
        <v>40721.645833333336</v>
      </c>
      <c r="B1602" s="25">
        <v>353.96</v>
      </c>
      <c r="C1602" s="25">
        <v>365.38</v>
      </c>
      <c r="D1602" s="25">
        <v>352.53</v>
      </c>
      <c r="E1602" s="25">
        <v>358.88</v>
      </c>
      <c r="F1602" s="25">
        <v>1340537.0</v>
      </c>
    </row>
    <row r="1603">
      <c r="A1603" s="25">
        <v>40722.645833333336</v>
      </c>
      <c r="B1603" s="25">
        <v>358.76</v>
      </c>
      <c r="C1603" s="25">
        <v>359.61</v>
      </c>
      <c r="D1603" s="25">
        <v>355.48</v>
      </c>
      <c r="E1603" s="25">
        <v>358.16</v>
      </c>
      <c r="F1603" s="25">
        <v>560849.0</v>
      </c>
    </row>
    <row r="1604">
      <c r="A1604" s="25">
        <v>40723.645833333336</v>
      </c>
      <c r="B1604" s="25">
        <v>358.5</v>
      </c>
      <c r="C1604" s="25">
        <v>363.38</v>
      </c>
      <c r="D1604" s="25">
        <v>358.5</v>
      </c>
      <c r="E1604" s="25">
        <v>360.22</v>
      </c>
      <c r="F1604" s="25">
        <v>600094.0</v>
      </c>
    </row>
    <row r="1605">
      <c r="A1605" s="25">
        <v>40724.645833333336</v>
      </c>
      <c r="B1605" s="25">
        <v>360.76</v>
      </c>
      <c r="C1605" s="25">
        <v>364.88</v>
      </c>
      <c r="D1605" s="25">
        <v>360.19</v>
      </c>
      <c r="E1605" s="25">
        <v>363.81</v>
      </c>
      <c r="F1605" s="25">
        <v>1417730.0</v>
      </c>
    </row>
    <row r="1606">
      <c r="A1606" s="25">
        <v>40725.645833333336</v>
      </c>
      <c r="B1606" s="25">
        <v>366.88</v>
      </c>
      <c r="C1606" s="25">
        <v>371.24</v>
      </c>
      <c r="D1606" s="25">
        <v>365.51</v>
      </c>
      <c r="E1606" s="25">
        <v>366.77</v>
      </c>
      <c r="F1606" s="25">
        <v>800308.0</v>
      </c>
    </row>
    <row r="1607">
      <c r="A1607" s="25">
        <v>40728.645833333336</v>
      </c>
      <c r="B1607" s="25">
        <v>370.83</v>
      </c>
      <c r="C1607" s="25">
        <v>372.13</v>
      </c>
      <c r="D1607" s="25">
        <v>366.88</v>
      </c>
      <c r="E1607" s="25">
        <v>367.37</v>
      </c>
      <c r="F1607" s="25">
        <v>514324.0</v>
      </c>
    </row>
    <row r="1608">
      <c r="A1608" s="25">
        <v>40729.645833333336</v>
      </c>
      <c r="B1608" s="25">
        <v>369.63</v>
      </c>
      <c r="C1608" s="25">
        <v>371.24</v>
      </c>
      <c r="D1608" s="25">
        <v>365.75</v>
      </c>
      <c r="E1608" s="25">
        <v>369.56</v>
      </c>
      <c r="F1608" s="25">
        <v>802966.0</v>
      </c>
    </row>
    <row r="1609">
      <c r="A1609" s="25">
        <v>40730.645833333336</v>
      </c>
      <c r="B1609" s="25">
        <v>368.38</v>
      </c>
      <c r="C1609" s="25">
        <v>371.56</v>
      </c>
      <c r="D1609" s="25">
        <v>367.14</v>
      </c>
      <c r="E1609" s="25">
        <v>369.21</v>
      </c>
      <c r="F1609" s="25">
        <v>430028.0</v>
      </c>
    </row>
    <row r="1610">
      <c r="A1610" s="25">
        <v>40731.645833333336</v>
      </c>
      <c r="B1610" s="25">
        <v>369.4</v>
      </c>
      <c r="C1610" s="25">
        <v>375.0</v>
      </c>
      <c r="D1610" s="25">
        <v>367.88</v>
      </c>
      <c r="E1610" s="25">
        <v>374.46</v>
      </c>
      <c r="F1610" s="25">
        <v>718934.0</v>
      </c>
    </row>
    <row r="1611">
      <c r="A1611" s="25">
        <v>40732.645833333336</v>
      </c>
      <c r="B1611" s="25">
        <v>375.0</v>
      </c>
      <c r="C1611" s="25">
        <v>377.99</v>
      </c>
      <c r="D1611" s="25">
        <v>370.91</v>
      </c>
      <c r="E1611" s="25">
        <v>372.07</v>
      </c>
      <c r="F1611" s="25">
        <v>708724.0</v>
      </c>
    </row>
    <row r="1612">
      <c r="A1612" s="25">
        <v>40735.645833333336</v>
      </c>
      <c r="B1612" s="25">
        <v>369.24</v>
      </c>
      <c r="C1612" s="25">
        <v>372.01</v>
      </c>
      <c r="D1612" s="25">
        <v>361.07</v>
      </c>
      <c r="E1612" s="25">
        <v>365.14</v>
      </c>
      <c r="F1612" s="25">
        <v>1150815.0</v>
      </c>
    </row>
    <row r="1613">
      <c r="A1613" s="25">
        <v>40736.645833333336</v>
      </c>
      <c r="B1613" s="25">
        <v>356.25</v>
      </c>
      <c r="C1613" s="25">
        <v>356.25</v>
      </c>
      <c r="D1613" s="25">
        <v>343.35</v>
      </c>
      <c r="E1613" s="25">
        <v>348.94</v>
      </c>
      <c r="F1613" s="25">
        <v>3706582.0</v>
      </c>
    </row>
    <row r="1614">
      <c r="A1614" s="25">
        <v>40737.645833333336</v>
      </c>
      <c r="B1614" s="25">
        <v>345.75</v>
      </c>
      <c r="C1614" s="25">
        <v>350.92</v>
      </c>
      <c r="D1614" s="25">
        <v>345.13</v>
      </c>
      <c r="E1614" s="25">
        <v>347.16</v>
      </c>
      <c r="F1614" s="25">
        <v>1667271.0</v>
      </c>
    </row>
    <row r="1615">
      <c r="A1615" s="25">
        <v>40738.645833333336</v>
      </c>
      <c r="B1615" s="25">
        <v>345.03</v>
      </c>
      <c r="C1615" s="25">
        <v>345.5</v>
      </c>
      <c r="D1615" s="25">
        <v>341.38</v>
      </c>
      <c r="E1615" s="25">
        <v>342.54</v>
      </c>
      <c r="F1615" s="25">
        <v>1361403.0</v>
      </c>
    </row>
    <row r="1616">
      <c r="A1616" s="25">
        <v>40739.645833333336</v>
      </c>
      <c r="B1616" s="25">
        <v>343.0</v>
      </c>
      <c r="C1616" s="25">
        <v>345.37</v>
      </c>
      <c r="D1616" s="25">
        <v>340.0</v>
      </c>
      <c r="E1616" s="25">
        <v>341.42</v>
      </c>
      <c r="F1616" s="25">
        <v>799078.0</v>
      </c>
    </row>
    <row r="1617">
      <c r="A1617" s="25">
        <v>40742.645833333336</v>
      </c>
      <c r="B1617" s="25">
        <v>341.88</v>
      </c>
      <c r="C1617" s="25">
        <v>342.91</v>
      </c>
      <c r="D1617" s="25">
        <v>338.42</v>
      </c>
      <c r="E1617" s="25">
        <v>339.18</v>
      </c>
      <c r="F1617" s="25">
        <v>1176082.0</v>
      </c>
    </row>
    <row r="1618">
      <c r="A1618" s="25">
        <v>40743.645833333336</v>
      </c>
      <c r="B1618" s="25">
        <v>340.13</v>
      </c>
      <c r="C1618" s="25">
        <v>345.25</v>
      </c>
      <c r="D1618" s="25">
        <v>339.58</v>
      </c>
      <c r="E1618" s="25">
        <v>343.81</v>
      </c>
      <c r="F1618" s="25">
        <v>1040553.0</v>
      </c>
    </row>
    <row r="1619">
      <c r="A1619" s="25">
        <v>40744.645833333336</v>
      </c>
      <c r="B1619" s="25">
        <v>346.6</v>
      </c>
      <c r="C1619" s="25">
        <v>346.6</v>
      </c>
      <c r="D1619" s="25">
        <v>343.13</v>
      </c>
      <c r="E1619" s="25">
        <v>344.06</v>
      </c>
      <c r="F1619" s="25">
        <v>777839.0</v>
      </c>
    </row>
    <row r="1620">
      <c r="A1620" s="25">
        <v>40745.645833333336</v>
      </c>
      <c r="B1620" s="25">
        <v>343.15</v>
      </c>
      <c r="C1620" s="25">
        <v>348.06</v>
      </c>
      <c r="D1620" s="25">
        <v>342.1</v>
      </c>
      <c r="E1620" s="25">
        <v>346.01</v>
      </c>
      <c r="F1620" s="25">
        <v>737136.0</v>
      </c>
    </row>
    <row r="1621">
      <c r="A1621" s="25">
        <v>40746.645833333336</v>
      </c>
      <c r="B1621" s="25">
        <v>348.04</v>
      </c>
      <c r="C1621" s="25">
        <v>355.5</v>
      </c>
      <c r="D1621" s="25">
        <v>346.25</v>
      </c>
      <c r="E1621" s="25">
        <v>353.53</v>
      </c>
      <c r="F1621" s="25">
        <v>968703.0</v>
      </c>
    </row>
    <row r="1622">
      <c r="A1622" s="25">
        <v>40749.645833333336</v>
      </c>
      <c r="B1622" s="25">
        <v>352.25</v>
      </c>
      <c r="C1622" s="25">
        <v>353.13</v>
      </c>
      <c r="D1622" s="25">
        <v>348.89</v>
      </c>
      <c r="E1622" s="25">
        <v>350.97</v>
      </c>
      <c r="F1622" s="25">
        <v>925532.0</v>
      </c>
    </row>
    <row r="1623">
      <c r="A1623" s="25">
        <v>40750.645833333336</v>
      </c>
      <c r="B1623" s="25">
        <v>351.13</v>
      </c>
      <c r="C1623" s="25">
        <v>353.0</v>
      </c>
      <c r="D1623" s="25">
        <v>348.44</v>
      </c>
      <c r="E1623" s="25">
        <v>350.23</v>
      </c>
      <c r="F1623" s="25">
        <v>856092.0</v>
      </c>
    </row>
    <row r="1624">
      <c r="A1624" s="25">
        <v>40751.645833333336</v>
      </c>
      <c r="B1624" s="25">
        <v>350.13</v>
      </c>
      <c r="C1624" s="25">
        <v>354.49</v>
      </c>
      <c r="D1624" s="25">
        <v>348.9</v>
      </c>
      <c r="E1624" s="25">
        <v>349.58</v>
      </c>
      <c r="F1624" s="25">
        <v>1063305.0</v>
      </c>
    </row>
    <row r="1625">
      <c r="A1625" s="25">
        <v>40752.645833333336</v>
      </c>
      <c r="B1625" s="25">
        <v>345.63</v>
      </c>
      <c r="C1625" s="25">
        <v>346.74</v>
      </c>
      <c r="D1625" s="25">
        <v>341.81</v>
      </c>
      <c r="E1625" s="25">
        <v>343.89</v>
      </c>
      <c r="F1625" s="25">
        <v>1185172.0</v>
      </c>
    </row>
    <row r="1626">
      <c r="A1626" s="25">
        <v>40753.645833333336</v>
      </c>
      <c r="B1626" s="25">
        <v>342.63</v>
      </c>
      <c r="C1626" s="25">
        <v>347.81</v>
      </c>
      <c r="D1626" s="25">
        <v>340.68</v>
      </c>
      <c r="E1626" s="25">
        <v>346.99</v>
      </c>
      <c r="F1626" s="25">
        <v>1219699.0</v>
      </c>
    </row>
    <row r="1627">
      <c r="A1627" s="25">
        <v>40756.645833333336</v>
      </c>
      <c r="B1627" s="25">
        <v>347.51</v>
      </c>
      <c r="C1627" s="25">
        <v>352.98</v>
      </c>
      <c r="D1627" s="25">
        <v>347.51</v>
      </c>
      <c r="E1627" s="25">
        <v>351.89</v>
      </c>
      <c r="F1627" s="25">
        <v>761869.0</v>
      </c>
    </row>
    <row r="1628">
      <c r="A1628" s="25">
        <v>40757.645833333336</v>
      </c>
      <c r="B1628" s="25">
        <v>349.82</v>
      </c>
      <c r="C1628" s="25">
        <v>349.82</v>
      </c>
      <c r="D1628" s="25">
        <v>343.13</v>
      </c>
      <c r="E1628" s="25">
        <v>343.87</v>
      </c>
      <c r="F1628" s="25">
        <v>616566.0</v>
      </c>
    </row>
    <row r="1629">
      <c r="A1629" s="25">
        <v>40758.645833333336</v>
      </c>
      <c r="B1629" s="25">
        <v>341.88</v>
      </c>
      <c r="C1629" s="25">
        <v>342.46</v>
      </c>
      <c r="D1629" s="25">
        <v>338.56</v>
      </c>
      <c r="E1629" s="25">
        <v>341.58</v>
      </c>
      <c r="F1629" s="25">
        <v>705761.0</v>
      </c>
    </row>
    <row r="1630">
      <c r="A1630" s="25">
        <v>40759.645833333336</v>
      </c>
      <c r="B1630" s="25">
        <v>342.5</v>
      </c>
      <c r="C1630" s="25">
        <v>344.99</v>
      </c>
      <c r="D1630" s="25">
        <v>338.0</v>
      </c>
      <c r="E1630" s="25">
        <v>338.64</v>
      </c>
      <c r="F1630" s="25">
        <v>816236.0</v>
      </c>
    </row>
    <row r="1631">
      <c r="A1631" s="25">
        <v>40760.645833333336</v>
      </c>
      <c r="B1631" s="25">
        <v>330.45</v>
      </c>
      <c r="C1631" s="25">
        <v>330.45</v>
      </c>
      <c r="D1631" s="25">
        <v>315.63</v>
      </c>
      <c r="E1631" s="25">
        <v>323.9</v>
      </c>
      <c r="F1631" s="25">
        <v>1969759.0</v>
      </c>
    </row>
    <row r="1632">
      <c r="A1632" s="25">
        <v>40763.645833333336</v>
      </c>
      <c r="B1632" s="25">
        <v>312.5</v>
      </c>
      <c r="C1632" s="25">
        <v>312.5</v>
      </c>
      <c r="D1632" s="25">
        <v>303.88</v>
      </c>
      <c r="E1632" s="25">
        <v>308.81</v>
      </c>
      <c r="F1632" s="25">
        <v>2021280.0</v>
      </c>
    </row>
    <row r="1633">
      <c r="A1633" s="25">
        <v>40764.645833333336</v>
      </c>
      <c r="B1633" s="25">
        <v>293.88</v>
      </c>
      <c r="C1633" s="25">
        <v>304.99</v>
      </c>
      <c r="D1633" s="25">
        <v>293.77</v>
      </c>
      <c r="E1633" s="25">
        <v>296.82</v>
      </c>
      <c r="F1633" s="25">
        <v>2106218.0</v>
      </c>
    </row>
    <row r="1634">
      <c r="A1634" s="25">
        <v>40765.645833333336</v>
      </c>
      <c r="B1634" s="25">
        <v>306.0</v>
      </c>
      <c r="C1634" s="25">
        <v>309.55</v>
      </c>
      <c r="D1634" s="25">
        <v>301.39</v>
      </c>
      <c r="E1634" s="25">
        <v>305.89</v>
      </c>
      <c r="F1634" s="25">
        <v>1744495.0</v>
      </c>
    </row>
    <row r="1635">
      <c r="A1635" s="25">
        <v>40766.645833333336</v>
      </c>
      <c r="B1635" s="25">
        <v>304.0</v>
      </c>
      <c r="C1635" s="25">
        <v>308.63</v>
      </c>
      <c r="D1635" s="25">
        <v>301.87</v>
      </c>
      <c r="E1635" s="25">
        <v>305.08</v>
      </c>
      <c r="F1635" s="25">
        <v>1025779.0</v>
      </c>
    </row>
    <row r="1636">
      <c r="A1636" s="25">
        <v>40767.645833333336</v>
      </c>
      <c r="B1636" s="25">
        <v>311.0</v>
      </c>
      <c r="C1636" s="25">
        <v>311.0</v>
      </c>
      <c r="D1636" s="25">
        <v>292.79</v>
      </c>
      <c r="E1636" s="25">
        <v>296.9</v>
      </c>
      <c r="F1636" s="25">
        <v>1762260.0</v>
      </c>
    </row>
    <row r="1637">
      <c r="A1637" s="25">
        <v>40771.645833333336</v>
      </c>
      <c r="B1637" s="25">
        <v>303.75</v>
      </c>
      <c r="C1637" s="25">
        <v>304.78</v>
      </c>
      <c r="D1637" s="25">
        <v>296.54</v>
      </c>
      <c r="E1637" s="25">
        <v>299.91</v>
      </c>
      <c r="F1637" s="25">
        <v>1268338.0</v>
      </c>
    </row>
    <row r="1638">
      <c r="A1638" s="25">
        <v>40772.645833333336</v>
      </c>
      <c r="B1638" s="25">
        <v>299.5</v>
      </c>
      <c r="C1638" s="25">
        <v>308.19</v>
      </c>
      <c r="D1638" s="25">
        <v>299.5</v>
      </c>
      <c r="E1638" s="25">
        <v>306.12</v>
      </c>
      <c r="F1638" s="25">
        <v>1066416.0</v>
      </c>
    </row>
    <row r="1639">
      <c r="A1639" s="25">
        <v>40774.645833333336</v>
      </c>
      <c r="B1639" s="25">
        <v>284.25</v>
      </c>
      <c r="C1639" s="25">
        <v>284.25</v>
      </c>
      <c r="D1639" s="25">
        <v>271.45</v>
      </c>
      <c r="E1639" s="25">
        <v>278.09</v>
      </c>
      <c r="F1639" s="25">
        <v>3612400.0</v>
      </c>
    </row>
    <row r="1640">
      <c r="A1640" s="25">
        <v>40777.645833333336</v>
      </c>
      <c r="B1640" s="25">
        <v>276.74</v>
      </c>
      <c r="C1640" s="25">
        <v>280.64</v>
      </c>
      <c r="D1640" s="25">
        <v>271.88</v>
      </c>
      <c r="E1640" s="25">
        <v>274.33</v>
      </c>
      <c r="F1640" s="25">
        <v>1963509.0</v>
      </c>
    </row>
    <row r="1641">
      <c r="A1641" s="25">
        <v>40778.645833333336</v>
      </c>
      <c r="B1641" s="25">
        <v>275.16</v>
      </c>
      <c r="C1641" s="25">
        <v>287.83</v>
      </c>
      <c r="D1641" s="25">
        <v>274.25</v>
      </c>
      <c r="E1641" s="25">
        <v>284.62</v>
      </c>
      <c r="F1641" s="25">
        <v>2142930.0</v>
      </c>
    </row>
    <row r="1642">
      <c r="A1642" s="25">
        <v>40779.645833333336</v>
      </c>
      <c r="B1642" s="25">
        <v>285.0</v>
      </c>
      <c r="C1642" s="25">
        <v>285.62</v>
      </c>
      <c r="D1642" s="25">
        <v>278.75</v>
      </c>
      <c r="E1642" s="25">
        <v>281.36</v>
      </c>
      <c r="F1642" s="25">
        <v>1075768.0</v>
      </c>
    </row>
    <row r="1643">
      <c r="A1643" s="25">
        <v>40780.645833333336</v>
      </c>
      <c r="B1643" s="25">
        <v>281.27</v>
      </c>
      <c r="C1643" s="25">
        <v>283.14</v>
      </c>
      <c r="D1643" s="25">
        <v>270.19</v>
      </c>
      <c r="E1643" s="25">
        <v>272.93</v>
      </c>
      <c r="F1643" s="25">
        <v>3356719.0</v>
      </c>
    </row>
    <row r="1644">
      <c r="A1644" s="25">
        <v>40781.645833333336</v>
      </c>
      <c r="B1644" s="25">
        <v>273.31</v>
      </c>
      <c r="C1644" s="25">
        <v>281.61</v>
      </c>
      <c r="D1644" s="25">
        <v>272.83</v>
      </c>
      <c r="E1644" s="25">
        <v>275.32</v>
      </c>
      <c r="F1644" s="25">
        <v>2627745.0</v>
      </c>
    </row>
    <row r="1645">
      <c r="A1645" s="25">
        <v>40784.645833333336</v>
      </c>
      <c r="B1645" s="25">
        <v>279.88</v>
      </c>
      <c r="C1645" s="25">
        <v>289.03</v>
      </c>
      <c r="D1645" s="25">
        <v>279.0</v>
      </c>
      <c r="E1645" s="25">
        <v>287.03</v>
      </c>
      <c r="F1645" s="25">
        <v>1402816.0</v>
      </c>
    </row>
    <row r="1646">
      <c r="A1646" s="25">
        <v>40785.645833333336</v>
      </c>
      <c r="B1646" s="25">
        <v>291.38</v>
      </c>
      <c r="C1646" s="25">
        <v>295.0</v>
      </c>
      <c r="D1646" s="25">
        <v>285.0</v>
      </c>
      <c r="E1646" s="25">
        <v>292.87</v>
      </c>
      <c r="F1646" s="25">
        <v>1517865.0</v>
      </c>
    </row>
    <row r="1647">
      <c r="A1647" s="25">
        <v>40788.645833333336</v>
      </c>
      <c r="B1647" s="25">
        <v>298.13</v>
      </c>
      <c r="C1647" s="25">
        <v>298.13</v>
      </c>
      <c r="D1647" s="25">
        <v>284.41</v>
      </c>
      <c r="E1647" s="25">
        <v>289.9</v>
      </c>
      <c r="F1647" s="25">
        <v>1870113.0</v>
      </c>
    </row>
    <row r="1648">
      <c r="A1648" s="25">
        <v>40791.645833333336</v>
      </c>
      <c r="B1648" s="25">
        <v>286.71</v>
      </c>
      <c r="C1648" s="25">
        <v>286.71</v>
      </c>
      <c r="D1648" s="25">
        <v>280.02</v>
      </c>
      <c r="E1648" s="25">
        <v>283.14</v>
      </c>
      <c r="F1648" s="25">
        <v>1362818.0</v>
      </c>
    </row>
    <row r="1649">
      <c r="A1649" s="25">
        <v>40792.645833333336</v>
      </c>
      <c r="B1649" s="25">
        <v>281.74</v>
      </c>
      <c r="C1649" s="25">
        <v>290.0</v>
      </c>
      <c r="D1649" s="25">
        <v>277.78</v>
      </c>
      <c r="E1649" s="25">
        <v>287.82</v>
      </c>
      <c r="F1649" s="25">
        <v>1352087.0</v>
      </c>
    </row>
    <row r="1650">
      <c r="A1650" s="25">
        <v>40793.645833333336</v>
      </c>
      <c r="B1650" s="25">
        <v>287.24</v>
      </c>
      <c r="C1650" s="25">
        <v>289.29</v>
      </c>
      <c r="D1650" s="25">
        <v>283.46</v>
      </c>
      <c r="E1650" s="25">
        <v>286.43</v>
      </c>
      <c r="F1650" s="25">
        <v>1644679.0</v>
      </c>
    </row>
    <row r="1651">
      <c r="A1651" s="25">
        <v>40794.645833333336</v>
      </c>
      <c r="B1651" s="25">
        <v>287.5</v>
      </c>
      <c r="C1651" s="25">
        <v>294.25</v>
      </c>
      <c r="D1651" s="25">
        <v>287.38</v>
      </c>
      <c r="E1651" s="25">
        <v>292.31</v>
      </c>
      <c r="F1651" s="25">
        <v>1378484.0</v>
      </c>
    </row>
    <row r="1652">
      <c r="A1652" s="25">
        <v>40795.645833333336</v>
      </c>
      <c r="B1652" s="25">
        <v>291.01</v>
      </c>
      <c r="C1652" s="25">
        <v>291.01</v>
      </c>
      <c r="D1652" s="25">
        <v>282.63</v>
      </c>
      <c r="E1652" s="25">
        <v>284.29</v>
      </c>
      <c r="F1652" s="25">
        <v>1549013.0</v>
      </c>
    </row>
    <row r="1653">
      <c r="A1653" s="25">
        <v>40798.645833333336</v>
      </c>
      <c r="B1653" s="25">
        <v>276.0</v>
      </c>
      <c r="C1653" s="25">
        <v>277.17</v>
      </c>
      <c r="D1653" s="25">
        <v>272.58</v>
      </c>
      <c r="E1653" s="25">
        <v>274.81</v>
      </c>
      <c r="F1653" s="25">
        <v>1024783.0</v>
      </c>
    </row>
    <row r="1654">
      <c r="A1654" s="25">
        <v>40799.645833333336</v>
      </c>
      <c r="B1654" s="25">
        <v>277.89</v>
      </c>
      <c r="C1654" s="25">
        <v>282.46</v>
      </c>
      <c r="D1654" s="25">
        <v>274.47</v>
      </c>
      <c r="E1654" s="25">
        <v>277.76</v>
      </c>
      <c r="F1654" s="25">
        <v>1295652.0</v>
      </c>
    </row>
    <row r="1655">
      <c r="A1655" s="25">
        <v>40800.645833333336</v>
      </c>
      <c r="B1655" s="25">
        <v>281.38</v>
      </c>
      <c r="C1655" s="25">
        <v>295.86</v>
      </c>
      <c r="D1655" s="25">
        <v>281.13</v>
      </c>
      <c r="E1655" s="25">
        <v>293.96</v>
      </c>
      <c r="F1655" s="25">
        <v>2154610.0</v>
      </c>
    </row>
    <row r="1656">
      <c r="A1656" s="25">
        <v>40801.645833333336</v>
      </c>
      <c r="B1656" s="25">
        <v>297.25</v>
      </c>
      <c r="C1656" s="25">
        <v>303.56</v>
      </c>
      <c r="D1656" s="25">
        <v>291.25</v>
      </c>
      <c r="E1656" s="25">
        <v>301.24</v>
      </c>
      <c r="F1656" s="25">
        <v>1712932.0</v>
      </c>
    </row>
    <row r="1657">
      <c r="A1657" s="25">
        <v>40802.645833333336</v>
      </c>
      <c r="B1657" s="25">
        <v>307.24</v>
      </c>
      <c r="C1657" s="25">
        <v>307.24</v>
      </c>
      <c r="D1657" s="25">
        <v>296.7</v>
      </c>
      <c r="E1657" s="25">
        <v>299.39</v>
      </c>
      <c r="F1657" s="25">
        <v>1413013.0</v>
      </c>
    </row>
    <row r="1658">
      <c r="A1658" s="25">
        <v>40805.645833333336</v>
      </c>
      <c r="B1658" s="25">
        <v>299.88</v>
      </c>
      <c r="C1658" s="25">
        <v>301.45</v>
      </c>
      <c r="D1658" s="25">
        <v>294.51</v>
      </c>
      <c r="E1658" s="25">
        <v>295.33</v>
      </c>
      <c r="F1658" s="25">
        <v>819804.0</v>
      </c>
    </row>
    <row r="1659">
      <c r="A1659" s="25">
        <v>40806.645833333336</v>
      </c>
      <c r="B1659" s="25">
        <v>297.13</v>
      </c>
      <c r="C1659" s="25">
        <v>305.0</v>
      </c>
      <c r="D1659" s="25">
        <v>296.89</v>
      </c>
      <c r="E1659" s="25">
        <v>304.57</v>
      </c>
      <c r="F1659" s="25">
        <v>1126113.0</v>
      </c>
    </row>
    <row r="1660">
      <c r="A1660" s="25">
        <v>40807.645833333336</v>
      </c>
      <c r="B1660" s="25">
        <v>305.0</v>
      </c>
      <c r="C1660" s="25">
        <v>306.86</v>
      </c>
      <c r="D1660" s="25">
        <v>302.5</v>
      </c>
      <c r="E1660" s="25">
        <v>304.46</v>
      </c>
      <c r="F1660" s="25">
        <v>925310.0</v>
      </c>
    </row>
    <row r="1661">
      <c r="A1661" s="25">
        <v>40808.645833333336</v>
      </c>
      <c r="B1661" s="25">
        <v>298.0</v>
      </c>
      <c r="C1661" s="25">
        <v>301.48</v>
      </c>
      <c r="D1661" s="25">
        <v>292.08</v>
      </c>
      <c r="E1661" s="25">
        <v>294.08</v>
      </c>
      <c r="F1661" s="25">
        <v>1129732.0</v>
      </c>
    </row>
    <row r="1662">
      <c r="A1662" s="25">
        <v>40809.645833333336</v>
      </c>
      <c r="B1662" s="25">
        <v>291.0</v>
      </c>
      <c r="C1662" s="25">
        <v>298.73</v>
      </c>
      <c r="D1662" s="25">
        <v>290.13</v>
      </c>
      <c r="E1662" s="25">
        <v>292.35</v>
      </c>
      <c r="F1662" s="25">
        <v>1306054.0</v>
      </c>
    </row>
    <row r="1663">
      <c r="A1663" s="25">
        <v>40812.645833333336</v>
      </c>
      <c r="B1663" s="25">
        <v>293.13</v>
      </c>
      <c r="C1663" s="25">
        <v>295.63</v>
      </c>
      <c r="D1663" s="25">
        <v>287.64</v>
      </c>
      <c r="E1663" s="25">
        <v>294.38</v>
      </c>
      <c r="F1663" s="25">
        <v>818036.0</v>
      </c>
    </row>
    <row r="1664">
      <c r="A1664" s="25">
        <v>40813.645833333336</v>
      </c>
      <c r="B1664" s="25">
        <v>297.15</v>
      </c>
      <c r="C1664" s="25">
        <v>308.58</v>
      </c>
      <c r="D1664" s="25">
        <v>297.15</v>
      </c>
      <c r="E1664" s="25">
        <v>305.52</v>
      </c>
      <c r="F1664" s="25">
        <v>1292628.0</v>
      </c>
    </row>
    <row r="1665">
      <c r="A1665" s="25">
        <v>40814.645833333336</v>
      </c>
      <c r="B1665" s="25">
        <v>310.0</v>
      </c>
      <c r="C1665" s="25">
        <v>317.5</v>
      </c>
      <c r="D1665" s="25">
        <v>306.56</v>
      </c>
      <c r="E1665" s="25">
        <v>308.78</v>
      </c>
      <c r="F1665" s="25">
        <v>2507720.0</v>
      </c>
    </row>
    <row r="1666">
      <c r="A1666" s="25">
        <v>40815.645833333336</v>
      </c>
      <c r="B1666" s="25">
        <v>310.25</v>
      </c>
      <c r="C1666" s="25">
        <v>321.24</v>
      </c>
      <c r="D1666" s="25">
        <v>308.91</v>
      </c>
      <c r="E1666" s="25">
        <v>318.89</v>
      </c>
      <c r="F1666" s="25">
        <v>2907043.0</v>
      </c>
    </row>
    <row r="1667">
      <c r="A1667" s="25">
        <v>40816.645833333336</v>
      </c>
      <c r="B1667" s="25">
        <v>316.49</v>
      </c>
      <c r="C1667" s="25">
        <v>320.5</v>
      </c>
      <c r="D1667" s="25">
        <v>313.52</v>
      </c>
      <c r="E1667" s="25">
        <v>316.63</v>
      </c>
      <c r="F1667" s="25">
        <v>1341332.0</v>
      </c>
    </row>
    <row r="1668">
      <c r="A1668" s="25">
        <v>40819.645833333336</v>
      </c>
      <c r="B1668" s="25">
        <v>311.25</v>
      </c>
      <c r="C1668" s="25">
        <v>314.75</v>
      </c>
      <c r="D1668" s="25">
        <v>308.46</v>
      </c>
      <c r="E1668" s="25">
        <v>309.49</v>
      </c>
      <c r="F1668" s="25">
        <v>1235641.0</v>
      </c>
    </row>
    <row r="1669">
      <c r="A1669" s="25">
        <v>40820.645833333336</v>
      </c>
      <c r="B1669" s="25">
        <v>306.52</v>
      </c>
      <c r="C1669" s="25">
        <v>310.22</v>
      </c>
      <c r="D1669" s="25">
        <v>301.7</v>
      </c>
      <c r="E1669" s="25">
        <v>304.81</v>
      </c>
      <c r="F1669" s="25">
        <v>979810.0</v>
      </c>
    </row>
    <row r="1670">
      <c r="A1670" s="25">
        <v>40821.645833333336</v>
      </c>
      <c r="B1670" s="25">
        <v>307.24</v>
      </c>
      <c r="C1670" s="25">
        <v>312.38</v>
      </c>
      <c r="D1670" s="25">
        <v>303.51</v>
      </c>
      <c r="E1670" s="25">
        <v>305.87</v>
      </c>
      <c r="F1670" s="25">
        <v>1346482.0</v>
      </c>
    </row>
    <row r="1671">
      <c r="A1671" s="25">
        <v>40823.645833333336</v>
      </c>
      <c r="B1671" s="25">
        <v>320.0</v>
      </c>
      <c r="C1671" s="25">
        <v>321.86</v>
      </c>
      <c r="D1671" s="25">
        <v>310.96</v>
      </c>
      <c r="E1671" s="25">
        <v>313.59</v>
      </c>
      <c r="F1671" s="25">
        <v>2307216.0</v>
      </c>
    </row>
    <row r="1672">
      <c r="A1672" s="25">
        <v>40826.645833333336</v>
      </c>
      <c r="B1672" s="25">
        <v>318.13</v>
      </c>
      <c r="C1672" s="25">
        <v>325.11</v>
      </c>
      <c r="D1672" s="25">
        <v>316.05</v>
      </c>
      <c r="E1672" s="25">
        <v>323.74</v>
      </c>
      <c r="F1672" s="25">
        <v>2118304.0</v>
      </c>
    </row>
    <row r="1673">
      <c r="A1673" s="25">
        <v>40827.645833333336</v>
      </c>
      <c r="B1673" s="25">
        <v>324.18</v>
      </c>
      <c r="C1673" s="25">
        <v>324.38</v>
      </c>
      <c r="D1673" s="25">
        <v>311.25</v>
      </c>
      <c r="E1673" s="25">
        <v>313.07</v>
      </c>
      <c r="F1673" s="25">
        <v>2792406.0</v>
      </c>
    </row>
    <row r="1674">
      <c r="A1674" s="25">
        <v>40828.645833333336</v>
      </c>
      <c r="B1674" s="25">
        <v>324.38</v>
      </c>
      <c r="C1674" s="25">
        <v>336.0</v>
      </c>
      <c r="D1674" s="25">
        <v>324.38</v>
      </c>
      <c r="E1674" s="25">
        <v>334.92</v>
      </c>
      <c r="F1674" s="25">
        <v>4329213.0</v>
      </c>
    </row>
    <row r="1675">
      <c r="A1675" s="25">
        <v>40829.645833333336</v>
      </c>
      <c r="B1675" s="25">
        <v>339.88</v>
      </c>
      <c r="C1675" s="25">
        <v>341.13</v>
      </c>
      <c r="D1675" s="25">
        <v>335.63</v>
      </c>
      <c r="E1675" s="25">
        <v>337.09</v>
      </c>
      <c r="F1675" s="25">
        <v>2255192.0</v>
      </c>
    </row>
    <row r="1676">
      <c r="A1676" s="25">
        <v>40830.645833333336</v>
      </c>
      <c r="B1676" s="25">
        <v>338.89</v>
      </c>
      <c r="C1676" s="25">
        <v>344.59</v>
      </c>
      <c r="D1676" s="25">
        <v>335.79</v>
      </c>
      <c r="E1676" s="25">
        <v>342.97</v>
      </c>
      <c r="F1676" s="25">
        <v>2450124.0</v>
      </c>
    </row>
    <row r="1677">
      <c r="A1677" s="25">
        <v>40833.645833333336</v>
      </c>
      <c r="B1677" s="25">
        <v>345.14</v>
      </c>
      <c r="C1677" s="25">
        <v>345.61</v>
      </c>
      <c r="D1677" s="25">
        <v>340.03</v>
      </c>
      <c r="E1677" s="25">
        <v>343.32</v>
      </c>
      <c r="F1677" s="25">
        <v>1768187.0</v>
      </c>
    </row>
    <row r="1678">
      <c r="A1678" s="25">
        <v>40834.645833333336</v>
      </c>
      <c r="B1678" s="25">
        <v>337.49</v>
      </c>
      <c r="C1678" s="25">
        <v>340.63</v>
      </c>
      <c r="D1678" s="25">
        <v>335.96</v>
      </c>
      <c r="E1678" s="25">
        <v>337.69</v>
      </c>
      <c r="F1678" s="25">
        <v>1314767.0</v>
      </c>
    </row>
    <row r="1679">
      <c r="A1679" s="25">
        <v>40835.645833333336</v>
      </c>
      <c r="B1679" s="25">
        <v>340.25</v>
      </c>
      <c r="C1679" s="25">
        <v>341.88</v>
      </c>
      <c r="D1679" s="25">
        <v>337.64</v>
      </c>
      <c r="E1679" s="25">
        <v>340.97</v>
      </c>
      <c r="F1679" s="25">
        <v>1266915.0</v>
      </c>
    </row>
    <row r="1680">
      <c r="A1680" s="25">
        <v>40836.645833333336</v>
      </c>
      <c r="B1680" s="25">
        <v>336.5</v>
      </c>
      <c r="C1680" s="25">
        <v>344.63</v>
      </c>
      <c r="D1680" s="25">
        <v>335.94</v>
      </c>
      <c r="E1680" s="25">
        <v>343.44</v>
      </c>
      <c r="F1680" s="25">
        <v>696710.0</v>
      </c>
    </row>
    <row r="1681">
      <c r="A1681" s="25">
        <v>40837.645833333336</v>
      </c>
      <c r="B1681" s="25">
        <v>343.44</v>
      </c>
      <c r="C1681" s="25">
        <v>343.63</v>
      </c>
      <c r="D1681" s="25">
        <v>338.38</v>
      </c>
      <c r="E1681" s="25">
        <v>340.33</v>
      </c>
      <c r="F1681" s="25">
        <v>857289.0</v>
      </c>
    </row>
    <row r="1682">
      <c r="A1682" s="25">
        <v>40840.645833333336</v>
      </c>
      <c r="B1682" s="25">
        <v>343.75</v>
      </c>
      <c r="C1682" s="25">
        <v>346.85</v>
      </c>
      <c r="D1682" s="25">
        <v>342.65</v>
      </c>
      <c r="E1682" s="25">
        <v>345.91</v>
      </c>
      <c r="F1682" s="25">
        <v>759449.0</v>
      </c>
    </row>
    <row r="1683">
      <c r="A1683" s="25">
        <v>40841.645833333336</v>
      </c>
      <c r="B1683" s="25">
        <v>351.38</v>
      </c>
      <c r="C1683" s="25">
        <v>362.38</v>
      </c>
      <c r="D1683" s="25">
        <v>351.38</v>
      </c>
      <c r="E1683" s="25">
        <v>357.34</v>
      </c>
      <c r="F1683" s="25">
        <v>1959698.0</v>
      </c>
    </row>
    <row r="1684">
      <c r="A1684" s="25">
        <v>40842.645833333336</v>
      </c>
      <c r="B1684" s="25">
        <v>357.74</v>
      </c>
      <c r="C1684" s="25">
        <v>358.74</v>
      </c>
      <c r="D1684" s="25">
        <v>353.93</v>
      </c>
      <c r="E1684" s="25">
        <v>354.83</v>
      </c>
      <c r="F1684" s="25">
        <v>228612.0</v>
      </c>
    </row>
    <row r="1685">
      <c r="A1685" s="25">
        <v>40844.645833333336</v>
      </c>
      <c r="B1685" s="25">
        <v>365.13</v>
      </c>
      <c r="C1685" s="25">
        <v>371.42</v>
      </c>
      <c r="D1685" s="25">
        <v>355.63</v>
      </c>
      <c r="E1685" s="25">
        <v>357.33</v>
      </c>
      <c r="F1685" s="25">
        <v>3108598.0</v>
      </c>
    </row>
    <row r="1686">
      <c r="A1686" s="25">
        <v>40847.645833333336</v>
      </c>
      <c r="B1686" s="25">
        <v>357.0</v>
      </c>
      <c r="C1686" s="25">
        <v>362.22</v>
      </c>
      <c r="D1686" s="25">
        <v>357.0</v>
      </c>
      <c r="E1686" s="25">
        <v>359.69</v>
      </c>
      <c r="F1686" s="25">
        <v>1286453.0</v>
      </c>
    </row>
    <row r="1687">
      <c r="A1687" s="25">
        <v>40848.645833333336</v>
      </c>
      <c r="B1687" s="25">
        <v>355.0</v>
      </c>
      <c r="C1687" s="25">
        <v>359.26</v>
      </c>
      <c r="D1687" s="25">
        <v>352.25</v>
      </c>
      <c r="E1687" s="25">
        <v>354.58</v>
      </c>
      <c r="F1687" s="25">
        <v>988274.0</v>
      </c>
    </row>
    <row r="1688">
      <c r="A1688" s="25">
        <v>40849.645833333336</v>
      </c>
      <c r="B1688" s="25">
        <v>352.5</v>
      </c>
      <c r="C1688" s="25">
        <v>356.74</v>
      </c>
      <c r="D1688" s="25">
        <v>352.18</v>
      </c>
      <c r="E1688" s="25">
        <v>354.3</v>
      </c>
      <c r="F1688" s="25">
        <v>664732.0</v>
      </c>
    </row>
    <row r="1689">
      <c r="A1689" s="25">
        <v>40850.645833333336</v>
      </c>
      <c r="B1689" s="25">
        <v>354.25</v>
      </c>
      <c r="C1689" s="25">
        <v>355.25</v>
      </c>
      <c r="D1689" s="25">
        <v>345.9</v>
      </c>
      <c r="E1689" s="25">
        <v>350.26</v>
      </c>
      <c r="F1689" s="25">
        <v>1347453.0</v>
      </c>
    </row>
    <row r="1690">
      <c r="A1690" s="25">
        <v>40851.645833333336</v>
      </c>
      <c r="B1690" s="25">
        <v>355.63</v>
      </c>
      <c r="C1690" s="25">
        <v>356.36</v>
      </c>
      <c r="D1690" s="25">
        <v>348.94</v>
      </c>
      <c r="E1690" s="25">
        <v>353.24</v>
      </c>
      <c r="F1690" s="25">
        <v>955461.0</v>
      </c>
    </row>
    <row r="1691">
      <c r="A1691" s="25">
        <v>40855.645833333336</v>
      </c>
      <c r="B1691" s="25">
        <v>351.88</v>
      </c>
      <c r="C1691" s="25">
        <v>356.0</v>
      </c>
      <c r="D1691" s="25">
        <v>348.86</v>
      </c>
      <c r="E1691" s="25">
        <v>355.26</v>
      </c>
      <c r="F1691" s="25">
        <v>763417.0</v>
      </c>
    </row>
    <row r="1692">
      <c r="A1692" s="25">
        <v>40856.645833333336</v>
      </c>
      <c r="B1692" s="25">
        <v>355.63</v>
      </c>
      <c r="C1692" s="25">
        <v>358.41</v>
      </c>
      <c r="D1692" s="25">
        <v>353.13</v>
      </c>
      <c r="E1692" s="25">
        <v>354.41</v>
      </c>
      <c r="F1692" s="25">
        <v>834956.0</v>
      </c>
    </row>
    <row r="1693">
      <c r="A1693" s="25">
        <v>40858.645833333336</v>
      </c>
      <c r="B1693" s="25">
        <v>326.34</v>
      </c>
      <c r="C1693" s="25">
        <v>350.96</v>
      </c>
      <c r="D1693" s="25">
        <v>326.34</v>
      </c>
      <c r="E1693" s="25">
        <v>346.96</v>
      </c>
      <c r="F1693" s="25">
        <v>1180153.0</v>
      </c>
    </row>
    <row r="1694">
      <c r="A1694" s="25">
        <v>40861.645833333336</v>
      </c>
      <c r="B1694" s="25">
        <v>351.27</v>
      </c>
      <c r="C1694" s="25">
        <v>354.05</v>
      </c>
      <c r="D1694" s="25">
        <v>349.75</v>
      </c>
      <c r="E1694" s="25">
        <v>351.1</v>
      </c>
      <c r="F1694" s="25">
        <v>579130.0</v>
      </c>
    </row>
    <row r="1695">
      <c r="A1695" s="25">
        <v>40862.645833333336</v>
      </c>
      <c r="B1695" s="25">
        <v>350.01</v>
      </c>
      <c r="C1695" s="25">
        <v>352.5</v>
      </c>
      <c r="D1695" s="25">
        <v>347.69</v>
      </c>
      <c r="E1695" s="25">
        <v>349.79</v>
      </c>
      <c r="F1695" s="25">
        <v>637253.0</v>
      </c>
    </row>
    <row r="1696">
      <c r="A1696" s="25">
        <v>40863.645833333336</v>
      </c>
      <c r="B1696" s="25">
        <v>349.38</v>
      </c>
      <c r="C1696" s="25">
        <v>350.5</v>
      </c>
      <c r="D1696" s="25">
        <v>344.79</v>
      </c>
      <c r="E1696" s="25">
        <v>347.29</v>
      </c>
      <c r="F1696" s="25">
        <v>819081.0</v>
      </c>
    </row>
    <row r="1697">
      <c r="A1697" s="25">
        <v>40864.645833333336</v>
      </c>
      <c r="B1697" s="25">
        <v>346.04</v>
      </c>
      <c r="C1697" s="25">
        <v>348.63</v>
      </c>
      <c r="D1697" s="25">
        <v>341.61</v>
      </c>
      <c r="E1697" s="25">
        <v>344.19</v>
      </c>
      <c r="F1697" s="25">
        <v>795873.0</v>
      </c>
    </row>
    <row r="1698">
      <c r="A1698" s="25">
        <v>40865.645833333336</v>
      </c>
      <c r="B1698" s="25">
        <v>341.38</v>
      </c>
      <c r="C1698" s="25">
        <v>345.56</v>
      </c>
      <c r="D1698" s="25">
        <v>340.0</v>
      </c>
      <c r="E1698" s="25">
        <v>342.6</v>
      </c>
      <c r="F1698" s="25">
        <v>592237.0</v>
      </c>
    </row>
    <row r="1699">
      <c r="A1699" s="25">
        <v>40868.645833333336</v>
      </c>
      <c r="B1699" s="25">
        <v>340.0</v>
      </c>
      <c r="C1699" s="25">
        <v>341.86</v>
      </c>
      <c r="D1699" s="25">
        <v>328.29</v>
      </c>
      <c r="E1699" s="25">
        <v>333.76</v>
      </c>
      <c r="F1699" s="25">
        <v>1170724.0</v>
      </c>
    </row>
    <row r="1700">
      <c r="A1700" s="25">
        <v>40869.645833333336</v>
      </c>
      <c r="B1700" s="25">
        <v>325.0</v>
      </c>
      <c r="C1700" s="25">
        <v>345.61</v>
      </c>
      <c r="D1700" s="25">
        <v>325.0</v>
      </c>
      <c r="E1700" s="25">
        <v>340.5</v>
      </c>
      <c r="F1700" s="25">
        <v>1857439.0</v>
      </c>
    </row>
    <row r="1701">
      <c r="A1701" s="25">
        <v>40870.645833333336</v>
      </c>
      <c r="B1701" s="25">
        <v>334.38</v>
      </c>
      <c r="C1701" s="25">
        <v>336.19</v>
      </c>
      <c r="D1701" s="25">
        <v>327.17</v>
      </c>
      <c r="E1701" s="25">
        <v>331.58</v>
      </c>
      <c r="F1701" s="25">
        <v>1599102.0</v>
      </c>
    </row>
    <row r="1702">
      <c r="A1702" s="25">
        <v>40871.645833333336</v>
      </c>
      <c r="B1702" s="25">
        <v>330.13</v>
      </c>
      <c r="C1702" s="25">
        <v>335.5</v>
      </c>
      <c r="D1702" s="25">
        <v>323.33</v>
      </c>
      <c r="E1702" s="25">
        <v>333.28</v>
      </c>
      <c r="F1702" s="25">
        <v>1653972.0</v>
      </c>
    </row>
    <row r="1703">
      <c r="A1703" s="25">
        <v>40872.645833333336</v>
      </c>
      <c r="B1703" s="25">
        <v>331.88</v>
      </c>
      <c r="C1703" s="25">
        <v>331.88</v>
      </c>
      <c r="D1703" s="25">
        <v>323.88</v>
      </c>
      <c r="E1703" s="25">
        <v>324.96</v>
      </c>
      <c r="F1703" s="25">
        <v>1002816.0</v>
      </c>
    </row>
    <row r="1704">
      <c r="A1704" s="25">
        <v>40875.645833333336</v>
      </c>
      <c r="B1704" s="25">
        <v>327.51</v>
      </c>
      <c r="C1704" s="25">
        <v>331.24</v>
      </c>
      <c r="D1704" s="25">
        <v>326.56</v>
      </c>
      <c r="E1704" s="25">
        <v>329.52</v>
      </c>
      <c r="F1704" s="25">
        <v>911276.0</v>
      </c>
    </row>
    <row r="1705">
      <c r="A1705" s="25">
        <v>40876.645833333336</v>
      </c>
      <c r="B1705" s="25">
        <v>327.78</v>
      </c>
      <c r="C1705" s="25">
        <v>328.51</v>
      </c>
      <c r="D1705" s="25">
        <v>322.66</v>
      </c>
      <c r="E1705" s="25">
        <v>324.74</v>
      </c>
      <c r="F1705" s="25">
        <v>1332421.0</v>
      </c>
    </row>
    <row r="1706">
      <c r="A1706" s="25">
        <v>40877.645833333336</v>
      </c>
      <c r="B1706" s="25">
        <v>322.63</v>
      </c>
      <c r="C1706" s="25">
        <v>328.13</v>
      </c>
      <c r="D1706" s="25">
        <v>320.13</v>
      </c>
      <c r="E1706" s="25">
        <v>325.86</v>
      </c>
      <c r="F1706" s="25">
        <v>1455029.0</v>
      </c>
    </row>
    <row r="1707">
      <c r="A1707" s="25">
        <v>40878.645833333336</v>
      </c>
      <c r="B1707" s="25">
        <v>334.25</v>
      </c>
      <c r="C1707" s="25">
        <v>336.36</v>
      </c>
      <c r="D1707" s="25">
        <v>328.83</v>
      </c>
      <c r="E1707" s="25">
        <v>331.92</v>
      </c>
      <c r="F1707" s="25">
        <v>1015651.0</v>
      </c>
    </row>
    <row r="1708">
      <c r="A1708" s="25">
        <v>40879.645833333336</v>
      </c>
      <c r="B1708" s="25">
        <v>331.38</v>
      </c>
      <c r="C1708" s="25">
        <v>339.43</v>
      </c>
      <c r="D1708" s="25">
        <v>330.99</v>
      </c>
      <c r="E1708" s="25">
        <v>336.77</v>
      </c>
      <c r="F1708" s="25">
        <v>1181426.0</v>
      </c>
    </row>
    <row r="1709">
      <c r="A1709" s="25">
        <v>40882.645833333336</v>
      </c>
      <c r="B1709" s="25">
        <v>336.25</v>
      </c>
      <c r="C1709" s="25">
        <v>339.72</v>
      </c>
      <c r="D1709" s="25">
        <v>334.4</v>
      </c>
      <c r="E1709" s="25">
        <v>337.64</v>
      </c>
      <c r="F1709" s="25">
        <v>933523.0</v>
      </c>
    </row>
    <row r="1710">
      <c r="A1710" s="25">
        <v>40884.645833333336</v>
      </c>
      <c r="B1710" s="25">
        <v>338.13</v>
      </c>
      <c r="C1710" s="25">
        <v>346.55</v>
      </c>
      <c r="D1710" s="25">
        <v>335.51</v>
      </c>
      <c r="E1710" s="25">
        <v>344.87</v>
      </c>
      <c r="F1710" s="25">
        <v>1008799.0</v>
      </c>
    </row>
    <row r="1711">
      <c r="A1711" s="25">
        <v>40885.645833333336</v>
      </c>
      <c r="B1711" s="25">
        <v>343.38</v>
      </c>
      <c r="C1711" s="25">
        <v>344.75</v>
      </c>
      <c r="D1711" s="25">
        <v>337.01</v>
      </c>
      <c r="E1711" s="25">
        <v>340.43</v>
      </c>
      <c r="F1711" s="25">
        <v>911948.0</v>
      </c>
    </row>
    <row r="1712">
      <c r="A1712" s="25">
        <v>40886.645833333336</v>
      </c>
      <c r="B1712" s="25">
        <v>333.52</v>
      </c>
      <c r="C1712" s="25">
        <v>342.48</v>
      </c>
      <c r="D1712" s="25">
        <v>332.53</v>
      </c>
      <c r="E1712" s="25">
        <v>338.79</v>
      </c>
      <c r="F1712" s="25">
        <v>1321344.0</v>
      </c>
    </row>
    <row r="1713">
      <c r="A1713" s="25">
        <v>40889.645833333336</v>
      </c>
      <c r="B1713" s="25">
        <v>339.99</v>
      </c>
      <c r="C1713" s="25">
        <v>344.5</v>
      </c>
      <c r="D1713" s="25">
        <v>337.23</v>
      </c>
      <c r="E1713" s="25">
        <v>342.53</v>
      </c>
      <c r="F1713" s="25">
        <v>1378225.0</v>
      </c>
    </row>
    <row r="1714">
      <c r="A1714" s="25">
        <v>40890.645833333336</v>
      </c>
      <c r="B1714" s="25">
        <v>341.41</v>
      </c>
      <c r="C1714" s="25">
        <v>345.61</v>
      </c>
      <c r="D1714" s="25">
        <v>338.59</v>
      </c>
      <c r="E1714" s="25">
        <v>344.03</v>
      </c>
      <c r="F1714" s="25">
        <v>1206042.0</v>
      </c>
    </row>
    <row r="1715">
      <c r="A1715" s="25">
        <v>40891.645833333336</v>
      </c>
      <c r="B1715" s="25">
        <v>343.75</v>
      </c>
      <c r="C1715" s="25">
        <v>345.91</v>
      </c>
      <c r="D1715" s="25">
        <v>340.63</v>
      </c>
      <c r="E1715" s="25">
        <v>342.53</v>
      </c>
      <c r="F1715" s="25">
        <v>1232204.0</v>
      </c>
    </row>
    <row r="1716">
      <c r="A1716" s="25">
        <v>40892.645833333336</v>
      </c>
      <c r="B1716" s="25">
        <v>340.79</v>
      </c>
      <c r="C1716" s="25">
        <v>341.79</v>
      </c>
      <c r="D1716" s="25">
        <v>333.13</v>
      </c>
      <c r="E1716" s="25">
        <v>339.54</v>
      </c>
      <c r="F1716" s="25">
        <v>1256646.0</v>
      </c>
    </row>
    <row r="1717">
      <c r="A1717" s="25">
        <v>40893.645833333336</v>
      </c>
      <c r="B1717" s="25">
        <v>336.88</v>
      </c>
      <c r="C1717" s="25">
        <v>348.6</v>
      </c>
      <c r="D1717" s="25">
        <v>336.49</v>
      </c>
      <c r="E1717" s="25">
        <v>340.56</v>
      </c>
      <c r="F1717" s="25">
        <v>1708661.0</v>
      </c>
    </row>
    <row r="1718">
      <c r="A1718" s="25">
        <v>40896.645833333336</v>
      </c>
      <c r="B1718" s="25">
        <v>336.25</v>
      </c>
      <c r="C1718" s="25">
        <v>337.94</v>
      </c>
      <c r="D1718" s="25">
        <v>331.98</v>
      </c>
      <c r="E1718" s="25">
        <v>334.55</v>
      </c>
      <c r="F1718" s="25">
        <v>1508054.0</v>
      </c>
    </row>
    <row r="1719">
      <c r="A1719" s="25">
        <v>40897.645833333336</v>
      </c>
      <c r="B1719" s="25">
        <v>336.25</v>
      </c>
      <c r="C1719" s="25">
        <v>337.27</v>
      </c>
      <c r="D1719" s="25">
        <v>331.39</v>
      </c>
      <c r="E1719" s="25">
        <v>333.59</v>
      </c>
      <c r="F1719" s="25">
        <v>1310576.0</v>
      </c>
    </row>
    <row r="1720">
      <c r="A1720" s="25">
        <v>40898.645833333336</v>
      </c>
      <c r="B1720" s="25">
        <v>339.88</v>
      </c>
      <c r="C1720" s="25">
        <v>344.35</v>
      </c>
      <c r="D1720" s="25">
        <v>335.0</v>
      </c>
      <c r="E1720" s="25">
        <v>342.88</v>
      </c>
      <c r="F1720" s="25">
        <v>1052865.0</v>
      </c>
    </row>
    <row r="1721">
      <c r="A1721" s="25">
        <v>40899.645833333336</v>
      </c>
      <c r="B1721" s="25">
        <v>331.25</v>
      </c>
      <c r="C1721" s="25">
        <v>343.5</v>
      </c>
      <c r="D1721" s="25">
        <v>331.25</v>
      </c>
      <c r="E1721" s="25">
        <v>340.11</v>
      </c>
      <c r="F1721" s="25">
        <v>1588392.0</v>
      </c>
    </row>
    <row r="1722">
      <c r="A1722" s="25">
        <v>40900.645833333336</v>
      </c>
      <c r="B1722" s="25">
        <v>342.5</v>
      </c>
      <c r="C1722" s="25">
        <v>342.5</v>
      </c>
      <c r="D1722" s="25">
        <v>335.41</v>
      </c>
      <c r="E1722" s="25">
        <v>336.84</v>
      </c>
      <c r="F1722" s="25">
        <v>880662.0</v>
      </c>
    </row>
    <row r="1723">
      <c r="A1723" s="25">
        <v>40903.645833333336</v>
      </c>
      <c r="B1723" s="25">
        <v>336.38</v>
      </c>
      <c r="C1723" s="25">
        <v>348.38</v>
      </c>
      <c r="D1723" s="25">
        <v>336.38</v>
      </c>
      <c r="E1723" s="25">
        <v>346.98</v>
      </c>
      <c r="F1723" s="25">
        <v>529571.0</v>
      </c>
    </row>
    <row r="1724">
      <c r="A1724" s="25">
        <v>40904.645833333336</v>
      </c>
      <c r="B1724" s="25">
        <v>345.63</v>
      </c>
      <c r="C1724" s="25">
        <v>349.88</v>
      </c>
      <c r="D1724" s="25">
        <v>342.03</v>
      </c>
      <c r="E1724" s="25">
        <v>344.93</v>
      </c>
      <c r="F1724" s="25">
        <v>772275.0</v>
      </c>
    </row>
    <row r="1725">
      <c r="A1725" s="25">
        <v>40905.645833333336</v>
      </c>
      <c r="B1725" s="25">
        <v>346.13</v>
      </c>
      <c r="C1725" s="25">
        <v>350.5</v>
      </c>
      <c r="D1725" s="25">
        <v>343.94</v>
      </c>
      <c r="E1725" s="25">
        <v>347.75</v>
      </c>
      <c r="F1725" s="25">
        <v>856406.0</v>
      </c>
    </row>
    <row r="1726">
      <c r="A1726" s="25">
        <v>40906.645833333336</v>
      </c>
      <c r="B1726" s="25">
        <v>344.75</v>
      </c>
      <c r="C1726" s="25">
        <v>346.86</v>
      </c>
      <c r="D1726" s="25">
        <v>341.38</v>
      </c>
      <c r="E1726" s="25">
        <v>342.76</v>
      </c>
      <c r="F1726" s="25">
        <v>1104646.0</v>
      </c>
    </row>
    <row r="1727">
      <c r="A1727" s="25">
        <v>40907.645833333336</v>
      </c>
      <c r="B1727" s="25">
        <v>343.0</v>
      </c>
      <c r="C1727" s="25">
        <v>346.88</v>
      </c>
      <c r="D1727" s="25">
        <v>342.69</v>
      </c>
      <c r="E1727" s="25">
        <v>345.96</v>
      </c>
      <c r="F1727" s="25">
        <v>663602.0</v>
      </c>
    </row>
    <row r="1728">
      <c r="A1728" s="25">
        <v>40910.645833333336</v>
      </c>
      <c r="B1728" s="25">
        <v>344.9</v>
      </c>
      <c r="C1728" s="25">
        <v>352.08</v>
      </c>
      <c r="D1728" s="25">
        <v>342.75</v>
      </c>
      <c r="E1728" s="25">
        <v>351.12</v>
      </c>
      <c r="F1728" s="25">
        <v>728272.0</v>
      </c>
    </row>
    <row r="1729">
      <c r="A1729" s="25">
        <v>40911.645833333336</v>
      </c>
      <c r="B1729" s="25">
        <v>353.01</v>
      </c>
      <c r="C1729" s="25">
        <v>360.87</v>
      </c>
      <c r="D1729" s="25">
        <v>352.5</v>
      </c>
      <c r="E1729" s="25">
        <v>358.04</v>
      </c>
      <c r="F1729" s="25">
        <v>1112876.0</v>
      </c>
    </row>
    <row r="1730">
      <c r="A1730" s="25">
        <v>40912.645833333336</v>
      </c>
      <c r="B1730" s="25">
        <v>355.63</v>
      </c>
      <c r="C1730" s="25">
        <v>359.38</v>
      </c>
      <c r="D1730" s="25">
        <v>355.13</v>
      </c>
      <c r="E1730" s="25">
        <v>356.8</v>
      </c>
      <c r="F1730" s="25">
        <v>917678.0</v>
      </c>
    </row>
    <row r="1731">
      <c r="A1731" s="25">
        <v>40913.645833333336</v>
      </c>
      <c r="B1731" s="25">
        <v>354.9</v>
      </c>
      <c r="C1731" s="25">
        <v>359.5</v>
      </c>
      <c r="D1731" s="25">
        <v>353.93</v>
      </c>
      <c r="E1731" s="25">
        <v>355.02</v>
      </c>
      <c r="F1731" s="25">
        <v>890659.0</v>
      </c>
    </row>
    <row r="1732">
      <c r="A1732" s="25">
        <v>40914.645833333336</v>
      </c>
      <c r="B1732" s="25">
        <v>354.75</v>
      </c>
      <c r="C1732" s="25">
        <v>358.45</v>
      </c>
      <c r="D1732" s="25">
        <v>351.39</v>
      </c>
      <c r="E1732" s="25">
        <v>354.02</v>
      </c>
      <c r="F1732" s="25">
        <v>885954.0</v>
      </c>
    </row>
    <row r="1733">
      <c r="A1733" s="25">
        <v>40917.645833333336</v>
      </c>
      <c r="B1733" s="25">
        <v>355.94</v>
      </c>
      <c r="C1733" s="25">
        <v>358.29</v>
      </c>
      <c r="D1733" s="25">
        <v>352.15</v>
      </c>
      <c r="E1733" s="25">
        <v>354.57</v>
      </c>
      <c r="F1733" s="25">
        <v>1033223.0</v>
      </c>
    </row>
    <row r="1734">
      <c r="A1734" s="25">
        <v>40918.645833333336</v>
      </c>
      <c r="B1734" s="25">
        <v>358.75</v>
      </c>
      <c r="C1734" s="25">
        <v>359.43</v>
      </c>
      <c r="D1734" s="25">
        <v>356.28</v>
      </c>
      <c r="E1734" s="25">
        <v>357.95</v>
      </c>
      <c r="F1734" s="25">
        <v>1397397.0</v>
      </c>
    </row>
    <row r="1735">
      <c r="A1735" s="25">
        <v>40919.645833333336</v>
      </c>
      <c r="B1735" s="25">
        <v>358.5</v>
      </c>
      <c r="C1735" s="25">
        <v>361.86</v>
      </c>
      <c r="D1735" s="25">
        <v>351.63</v>
      </c>
      <c r="E1735" s="25">
        <v>353.33</v>
      </c>
      <c r="F1735" s="25">
        <v>1724475.0</v>
      </c>
    </row>
    <row r="1736">
      <c r="A1736" s="25">
        <v>40920.645833333336</v>
      </c>
      <c r="B1736" s="25">
        <v>343.75</v>
      </c>
      <c r="C1736" s="25">
        <v>343.75</v>
      </c>
      <c r="D1736" s="25">
        <v>322.26</v>
      </c>
      <c r="E1736" s="25">
        <v>323.53</v>
      </c>
      <c r="F1736" s="25">
        <v>6121325.0</v>
      </c>
    </row>
    <row r="1737">
      <c r="A1737" s="25">
        <v>40921.645833333336</v>
      </c>
      <c r="B1737" s="25">
        <v>327.25</v>
      </c>
      <c r="C1737" s="25">
        <v>327.38</v>
      </c>
      <c r="D1737" s="25">
        <v>319.03</v>
      </c>
      <c r="E1737" s="25">
        <v>323.02</v>
      </c>
      <c r="F1737" s="25">
        <v>2612368.0</v>
      </c>
    </row>
    <row r="1738">
      <c r="A1738" s="25">
        <v>40924.645833333336</v>
      </c>
      <c r="B1738" s="25">
        <v>322.66</v>
      </c>
      <c r="C1738" s="25">
        <v>330.5</v>
      </c>
      <c r="D1738" s="25">
        <v>322.39</v>
      </c>
      <c r="E1738" s="25">
        <v>330.02</v>
      </c>
      <c r="F1738" s="25">
        <v>1648592.0</v>
      </c>
    </row>
    <row r="1739">
      <c r="A1739" s="25">
        <v>40925.645833333336</v>
      </c>
      <c r="B1739" s="25">
        <v>331.25</v>
      </c>
      <c r="C1739" s="25">
        <v>334.1</v>
      </c>
      <c r="D1739" s="25">
        <v>329.23</v>
      </c>
      <c r="E1739" s="25">
        <v>332.76</v>
      </c>
      <c r="F1739" s="25">
        <v>1092553.0</v>
      </c>
    </row>
    <row r="1740">
      <c r="A1740" s="25">
        <v>40926.645833333336</v>
      </c>
      <c r="B1740" s="25">
        <v>330.5</v>
      </c>
      <c r="C1740" s="25">
        <v>330.5</v>
      </c>
      <c r="D1740" s="25">
        <v>323.13</v>
      </c>
      <c r="E1740" s="25">
        <v>326.51</v>
      </c>
      <c r="F1740" s="25">
        <v>1212553.0</v>
      </c>
    </row>
    <row r="1741">
      <c r="A1741" s="25">
        <v>40927.645833333336</v>
      </c>
      <c r="B1741" s="25">
        <v>327.0</v>
      </c>
      <c r="C1741" s="25">
        <v>327.85</v>
      </c>
      <c r="D1741" s="25">
        <v>322.08</v>
      </c>
      <c r="E1741" s="25">
        <v>324.34</v>
      </c>
      <c r="F1741" s="25">
        <v>1206542.0</v>
      </c>
    </row>
    <row r="1742">
      <c r="A1742" s="25">
        <v>40928.645833333336</v>
      </c>
      <c r="B1742" s="25">
        <v>324.5</v>
      </c>
      <c r="C1742" s="25">
        <v>326.21</v>
      </c>
      <c r="D1742" s="25">
        <v>322.04</v>
      </c>
      <c r="E1742" s="25">
        <v>323.6</v>
      </c>
      <c r="F1742" s="25">
        <v>1454464.0</v>
      </c>
    </row>
    <row r="1743">
      <c r="A1743" s="25">
        <v>40931.645833333336</v>
      </c>
      <c r="B1743" s="25">
        <v>323.75</v>
      </c>
      <c r="C1743" s="25">
        <v>326.94</v>
      </c>
      <c r="D1743" s="25">
        <v>323.63</v>
      </c>
      <c r="E1743" s="25">
        <v>325.04</v>
      </c>
      <c r="F1743" s="25">
        <v>645108.0</v>
      </c>
    </row>
    <row r="1744">
      <c r="A1744" s="25">
        <v>40932.645833333336</v>
      </c>
      <c r="B1744" s="25">
        <v>327.25</v>
      </c>
      <c r="C1744" s="25">
        <v>329.95</v>
      </c>
      <c r="D1744" s="25">
        <v>324.38</v>
      </c>
      <c r="E1744" s="25">
        <v>327.6</v>
      </c>
      <c r="F1744" s="25">
        <v>706651.0</v>
      </c>
    </row>
    <row r="1745">
      <c r="A1745" s="25">
        <v>40933.645833333336</v>
      </c>
      <c r="B1745" s="25">
        <v>329.38</v>
      </c>
      <c r="C1745" s="25">
        <v>334.38</v>
      </c>
      <c r="D1745" s="25">
        <v>328.13</v>
      </c>
      <c r="E1745" s="25">
        <v>333.23</v>
      </c>
      <c r="F1745" s="25">
        <v>1318170.0</v>
      </c>
    </row>
    <row r="1746">
      <c r="A1746" s="25">
        <v>40935.645833333336</v>
      </c>
      <c r="B1746" s="25">
        <v>337.75</v>
      </c>
      <c r="C1746" s="25">
        <v>341.88</v>
      </c>
      <c r="D1746" s="25">
        <v>335.78</v>
      </c>
      <c r="E1746" s="25">
        <v>340.63</v>
      </c>
      <c r="F1746" s="25">
        <v>1527359.0</v>
      </c>
    </row>
    <row r="1747">
      <c r="A1747" s="25">
        <v>40938.645833333336</v>
      </c>
      <c r="B1747" s="25">
        <v>337.36</v>
      </c>
      <c r="C1747" s="25">
        <v>340.65</v>
      </c>
      <c r="D1747" s="25">
        <v>336.25</v>
      </c>
      <c r="E1747" s="25">
        <v>339.04</v>
      </c>
      <c r="F1747" s="25">
        <v>1198557.0</v>
      </c>
    </row>
    <row r="1748">
      <c r="A1748" s="25">
        <v>40939.645833333336</v>
      </c>
      <c r="B1748" s="25">
        <v>339.0</v>
      </c>
      <c r="C1748" s="25">
        <v>344.33</v>
      </c>
      <c r="D1748" s="25">
        <v>338.25</v>
      </c>
      <c r="E1748" s="25">
        <v>343.25</v>
      </c>
      <c r="F1748" s="25">
        <v>1082362.0</v>
      </c>
    </row>
    <row r="1749">
      <c r="A1749" s="25">
        <v>40940.645833333336</v>
      </c>
      <c r="B1749" s="25">
        <v>342.46</v>
      </c>
      <c r="C1749" s="25">
        <v>343.5</v>
      </c>
      <c r="D1749" s="25">
        <v>336.96</v>
      </c>
      <c r="E1749" s="25">
        <v>342.84</v>
      </c>
      <c r="F1749" s="25">
        <v>783667.0</v>
      </c>
    </row>
    <row r="1750">
      <c r="A1750" s="25">
        <v>40941.645833333336</v>
      </c>
      <c r="B1750" s="25">
        <v>342.51</v>
      </c>
      <c r="C1750" s="25">
        <v>347.88</v>
      </c>
      <c r="D1750" s="25">
        <v>341.25</v>
      </c>
      <c r="E1750" s="25">
        <v>344.63</v>
      </c>
      <c r="F1750" s="25">
        <v>1442282.0</v>
      </c>
    </row>
    <row r="1751">
      <c r="A1751" s="25">
        <v>40942.645833333336</v>
      </c>
      <c r="B1751" s="25">
        <v>342.51</v>
      </c>
      <c r="C1751" s="25">
        <v>349.0</v>
      </c>
      <c r="D1751" s="25">
        <v>342.51</v>
      </c>
      <c r="E1751" s="25">
        <v>347.91</v>
      </c>
      <c r="F1751" s="25">
        <v>1454650.0</v>
      </c>
    </row>
    <row r="1752">
      <c r="A1752" s="25">
        <v>40945.645833333336</v>
      </c>
      <c r="B1752" s="25">
        <v>350.64</v>
      </c>
      <c r="C1752" s="25">
        <v>350.99</v>
      </c>
      <c r="D1752" s="25">
        <v>344.01</v>
      </c>
      <c r="E1752" s="25">
        <v>347.14</v>
      </c>
      <c r="F1752" s="25">
        <v>992210.0</v>
      </c>
    </row>
    <row r="1753">
      <c r="A1753" s="25">
        <v>40946.645833333336</v>
      </c>
      <c r="B1753" s="25">
        <v>350.63</v>
      </c>
      <c r="C1753" s="25">
        <v>350.63</v>
      </c>
      <c r="D1753" s="25">
        <v>339.21</v>
      </c>
      <c r="E1753" s="25">
        <v>340.94</v>
      </c>
      <c r="F1753" s="25">
        <v>902705.0</v>
      </c>
    </row>
    <row r="1754">
      <c r="A1754" s="25">
        <v>40947.645833333336</v>
      </c>
      <c r="B1754" s="25">
        <v>343.5</v>
      </c>
      <c r="C1754" s="25">
        <v>347.75</v>
      </c>
      <c r="D1754" s="25">
        <v>342.67</v>
      </c>
      <c r="E1754" s="25">
        <v>346.14</v>
      </c>
      <c r="F1754" s="25">
        <v>833937.0</v>
      </c>
    </row>
    <row r="1755">
      <c r="A1755" s="25">
        <v>40948.645833333336</v>
      </c>
      <c r="B1755" s="25">
        <v>343.63</v>
      </c>
      <c r="C1755" s="25">
        <v>352.76</v>
      </c>
      <c r="D1755" s="25">
        <v>341.48</v>
      </c>
      <c r="E1755" s="25">
        <v>351.24</v>
      </c>
      <c r="F1755" s="25">
        <v>1269605.0</v>
      </c>
    </row>
    <row r="1756">
      <c r="A1756" s="25">
        <v>40949.645833333336</v>
      </c>
      <c r="B1756" s="25">
        <v>349.88</v>
      </c>
      <c r="C1756" s="25">
        <v>350.25</v>
      </c>
      <c r="D1756" s="25">
        <v>343.89</v>
      </c>
      <c r="E1756" s="25">
        <v>348.8</v>
      </c>
      <c r="F1756" s="25">
        <v>647202.0</v>
      </c>
    </row>
    <row r="1757">
      <c r="A1757" s="25">
        <v>40952.645833333336</v>
      </c>
      <c r="B1757" s="25">
        <v>346.91</v>
      </c>
      <c r="C1757" s="25">
        <v>350.06</v>
      </c>
      <c r="D1757" s="25">
        <v>344.64</v>
      </c>
      <c r="E1757" s="25">
        <v>348.55</v>
      </c>
      <c r="F1757" s="25">
        <v>716751.0</v>
      </c>
    </row>
    <row r="1758">
      <c r="A1758" s="25">
        <v>40953.645833333336</v>
      </c>
      <c r="B1758" s="25">
        <v>347.0</v>
      </c>
      <c r="C1758" s="25">
        <v>351.24</v>
      </c>
      <c r="D1758" s="25">
        <v>345.5</v>
      </c>
      <c r="E1758" s="25">
        <v>350.13</v>
      </c>
      <c r="F1758" s="25">
        <v>684721.0</v>
      </c>
    </row>
    <row r="1759">
      <c r="A1759" s="25">
        <v>40954.645833333336</v>
      </c>
      <c r="B1759" s="25">
        <v>351.88</v>
      </c>
      <c r="C1759" s="25">
        <v>359.38</v>
      </c>
      <c r="D1759" s="25">
        <v>351.88</v>
      </c>
      <c r="E1759" s="25">
        <v>358.01</v>
      </c>
      <c r="F1759" s="25">
        <v>897291.0</v>
      </c>
    </row>
    <row r="1760">
      <c r="A1760" s="25">
        <v>40955.645833333336</v>
      </c>
      <c r="B1760" s="25">
        <v>358.0</v>
      </c>
      <c r="C1760" s="25">
        <v>364.71</v>
      </c>
      <c r="D1760" s="25">
        <v>357.57</v>
      </c>
      <c r="E1760" s="25">
        <v>363.62</v>
      </c>
      <c r="F1760" s="25">
        <v>1032069.0</v>
      </c>
    </row>
    <row r="1761">
      <c r="A1761" s="25">
        <v>40956.645833333336</v>
      </c>
      <c r="B1761" s="25">
        <v>364.53</v>
      </c>
      <c r="C1761" s="25">
        <v>372.25</v>
      </c>
      <c r="D1761" s="25">
        <v>362.52</v>
      </c>
      <c r="E1761" s="25">
        <v>368.48</v>
      </c>
      <c r="F1761" s="25">
        <v>1432160.0</v>
      </c>
    </row>
    <row r="1762">
      <c r="A1762" s="25">
        <v>40960.645833333336</v>
      </c>
      <c r="B1762" s="25">
        <v>366.25</v>
      </c>
      <c r="C1762" s="25">
        <v>369.99</v>
      </c>
      <c r="D1762" s="25">
        <v>363.91</v>
      </c>
      <c r="E1762" s="25">
        <v>367.28</v>
      </c>
      <c r="F1762" s="25">
        <v>756153.0</v>
      </c>
    </row>
    <row r="1763">
      <c r="A1763" s="25">
        <v>40961.645833333336</v>
      </c>
      <c r="B1763" s="25">
        <v>363.15</v>
      </c>
      <c r="C1763" s="25">
        <v>374.25</v>
      </c>
      <c r="D1763" s="25">
        <v>363.15</v>
      </c>
      <c r="E1763" s="25">
        <v>369.03</v>
      </c>
      <c r="F1763" s="25">
        <v>1301640.0</v>
      </c>
    </row>
    <row r="1764">
      <c r="A1764" s="25">
        <v>40962.645833333336</v>
      </c>
      <c r="B1764" s="25">
        <v>367.38</v>
      </c>
      <c r="C1764" s="25">
        <v>372.83</v>
      </c>
      <c r="D1764" s="25">
        <v>364.53</v>
      </c>
      <c r="E1764" s="25">
        <v>366.64</v>
      </c>
      <c r="F1764" s="25">
        <v>1309370.0</v>
      </c>
    </row>
    <row r="1765">
      <c r="A1765" s="25">
        <v>40963.645833333336</v>
      </c>
      <c r="B1765" s="25">
        <v>366.5</v>
      </c>
      <c r="C1765" s="25">
        <v>371.75</v>
      </c>
      <c r="D1765" s="25">
        <v>365.44</v>
      </c>
      <c r="E1765" s="25">
        <v>368.51</v>
      </c>
      <c r="F1765" s="25">
        <v>1067055.0</v>
      </c>
    </row>
    <row r="1766">
      <c r="A1766" s="25">
        <v>40966.645833333336</v>
      </c>
      <c r="B1766" s="25">
        <v>370.63</v>
      </c>
      <c r="C1766" s="25">
        <v>370.63</v>
      </c>
      <c r="D1766" s="25">
        <v>359.0</v>
      </c>
      <c r="E1766" s="25">
        <v>360.42</v>
      </c>
      <c r="F1766" s="25">
        <v>863821.0</v>
      </c>
    </row>
    <row r="1767">
      <c r="A1767" s="25">
        <v>40967.645833333336</v>
      </c>
      <c r="B1767" s="25">
        <v>360.75</v>
      </c>
      <c r="C1767" s="25">
        <v>363.75</v>
      </c>
      <c r="D1767" s="25">
        <v>356.87</v>
      </c>
      <c r="E1767" s="25">
        <v>359.05</v>
      </c>
      <c r="F1767" s="25">
        <v>993775.0</v>
      </c>
    </row>
    <row r="1768">
      <c r="A1768" s="25">
        <v>40968.645833333336</v>
      </c>
      <c r="B1768" s="25">
        <v>361.75</v>
      </c>
      <c r="C1768" s="25">
        <v>363.51</v>
      </c>
      <c r="D1768" s="25">
        <v>358.03</v>
      </c>
      <c r="E1768" s="25">
        <v>360.43</v>
      </c>
      <c r="F1768" s="25">
        <v>1108551.0</v>
      </c>
    </row>
    <row r="1769">
      <c r="A1769" s="25">
        <v>40969.645833333336</v>
      </c>
      <c r="B1769" s="25">
        <v>356.44</v>
      </c>
      <c r="C1769" s="25">
        <v>359.38</v>
      </c>
      <c r="D1769" s="25">
        <v>350.63</v>
      </c>
      <c r="E1769" s="25">
        <v>357.08</v>
      </c>
      <c r="F1769" s="25">
        <v>1225829.0</v>
      </c>
    </row>
    <row r="1770">
      <c r="A1770" s="25">
        <v>40970.645833333336</v>
      </c>
      <c r="B1770" s="25">
        <v>358.13</v>
      </c>
      <c r="C1770" s="25">
        <v>358.13</v>
      </c>
      <c r="D1770" s="25">
        <v>351.64</v>
      </c>
      <c r="E1770" s="25">
        <v>355.71</v>
      </c>
      <c r="F1770" s="25">
        <v>759707.0</v>
      </c>
    </row>
    <row r="1771">
      <c r="A1771" s="25">
        <v>40973.645833333336</v>
      </c>
      <c r="B1771" s="25">
        <v>357.26</v>
      </c>
      <c r="C1771" s="25">
        <v>357.98</v>
      </c>
      <c r="D1771" s="25">
        <v>349.59</v>
      </c>
      <c r="E1771" s="25">
        <v>351.23</v>
      </c>
      <c r="F1771" s="25">
        <v>722557.0</v>
      </c>
    </row>
    <row r="1772">
      <c r="A1772" s="25">
        <v>40974.645833333336</v>
      </c>
      <c r="B1772" s="25">
        <v>350.64</v>
      </c>
      <c r="C1772" s="25">
        <v>360.0</v>
      </c>
      <c r="D1772" s="25">
        <v>350.14</v>
      </c>
      <c r="E1772" s="25">
        <v>356.56</v>
      </c>
      <c r="F1772" s="25">
        <v>1293711.0</v>
      </c>
    </row>
    <row r="1773">
      <c r="A1773" s="25">
        <v>40975.645833333336</v>
      </c>
      <c r="B1773" s="25">
        <v>355.25</v>
      </c>
      <c r="C1773" s="25">
        <v>361.88</v>
      </c>
      <c r="D1773" s="25">
        <v>354.39</v>
      </c>
      <c r="E1773" s="25">
        <v>360.48</v>
      </c>
      <c r="F1773" s="25">
        <v>988571.0</v>
      </c>
    </row>
    <row r="1774">
      <c r="A1774" s="25">
        <v>40977.645833333336</v>
      </c>
      <c r="B1774" s="25">
        <v>361.75</v>
      </c>
      <c r="C1774" s="25">
        <v>362.88</v>
      </c>
      <c r="D1774" s="25">
        <v>356.0</v>
      </c>
      <c r="E1774" s="25">
        <v>356.91</v>
      </c>
      <c r="F1774" s="25">
        <v>830601.0</v>
      </c>
    </row>
    <row r="1775">
      <c r="A1775" s="25">
        <v>40980.645833333336</v>
      </c>
      <c r="B1775" s="25">
        <v>364.38</v>
      </c>
      <c r="C1775" s="25">
        <v>364.38</v>
      </c>
      <c r="D1775" s="25">
        <v>347.63</v>
      </c>
      <c r="E1775" s="25">
        <v>352.18</v>
      </c>
      <c r="F1775" s="25">
        <v>911809.0</v>
      </c>
    </row>
    <row r="1776">
      <c r="A1776" s="25">
        <v>40981.645833333336</v>
      </c>
      <c r="B1776" s="25">
        <v>355.49</v>
      </c>
      <c r="C1776" s="25">
        <v>358.73</v>
      </c>
      <c r="D1776" s="25">
        <v>355.25</v>
      </c>
      <c r="E1776" s="25">
        <v>357.48</v>
      </c>
      <c r="F1776" s="25">
        <v>963803.0</v>
      </c>
    </row>
    <row r="1777">
      <c r="A1777" s="25">
        <v>40982.645833333336</v>
      </c>
      <c r="B1777" s="25">
        <v>361.25</v>
      </c>
      <c r="C1777" s="25">
        <v>364.38</v>
      </c>
      <c r="D1777" s="25">
        <v>356.74</v>
      </c>
      <c r="E1777" s="25">
        <v>359.86</v>
      </c>
      <c r="F1777" s="25">
        <v>1325261.0</v>
      </c>
    </row>
    <row r="1778">
      <c r="A1778" s="25">
        <v>40983.645833333336</v>
      </c>
      <c r="B1778" s="25">
        <v>361.88</v>
      </c>
      <c r="C1778" s="25">
        <v>363.14</v>
      </c>
      <c r="D1778" s="25">
        <v>358.81</v>
      </c>
      <c r="E1778" s="25">
        <v>360.24</v>
      </c>
      <c r="F1778" s="25">
        <v>781420.0</v>
      </c>
    </row>
    <row r="1779">
      <c r="A1779" s="25">
        <v>40984.645833333336</v>
      </c>
      <c r="B1779" s="25">
        <v>363.13</v>
      </c>
      <c r="C1779" s="25">
        <v>364.13</v>
      </c>
      <c r="D1779" s="25">
        <v>355.89</v>
      </c>
      <c r="E1779" s="25">
        <v>358.12</v>
      </c>
      <c r="F1779" s="25">
        <v>1128876.0</v>
      </c>
    </row>
    <row r="1780">
      <c r="A1780" s="25">
        <v>40987.645833333336</v>
      </c>
      <c r="B1780" s="25">
        <v>361.88</v>
      </c>
      <c r="C1780" s="25">
        <v>362.5</v>
      </c>
      <c r="D1780" s="25">
        <v>351.41</v>
      </c>
      <c r="E1780" s="25">
        <v>354.69</v>
      </c>
      <c r="F1780" s="25">
        <v>757691.0</v>
      </c>
    </row>
    <row r="1781">
      <c r="A1781" s="25">
        <v>40988.645833333336</v>
      </c>
      <c r="B1781" s="25">
        <v>353.25</v>
      </c>
      <c r="C1781" s="25">
        <v>356.65</v>
      </c>
      <c r="D1781" s="25">
        <v>350.38</v>
      </c>
      <c r="E1781" s="25">
        <v>353.92</v>
      </c>
      <c r="F1781" s="25">
        <v>1153173.0</v>
      </c>
    </row>
    <row r="1782">
      <c r="A1782" s="25">
        <v>40989.645833333336</v>
      </c>
      <c r="B1782" s="25">
        <v>354.06</v>
      </c>
      <c r="C1782" s="25">
        <v>361.25</v>
      </c>
      <c r="D1782" s="25">
        <v>352.63</v>
      </c>
      <c r="E1782" s="25">
        <v>358.41</v>
      </c>
      <c r="F1782" s="25">
        <v>781333.0</v>
      </c>
    </row>
    <row r="1783">
      <c r="A1783" s="25">
        <v>40990.645833333336</v>
      </c>
      <c r="B1783" s="25">
        <v>359.25</v>
      </c>
      <c r="C1783" s="25">
        <v>359.32</v>
      </c>
      <c r="D1783" s="25">
        <v>351.79</v>
      </c>
      <c r="E1783" s="25">
        <v>353.54</v>
      </c>
      <c r="F1783" s="25">
        <v>708080.0</v>
      </c>
    </row>
    <row r="1784">
      <c r="A1784" s="25">
        <v>40991.645833333336</v>
      </c>
      <c r="B1784" s="25">
        <v>354.13</v>
      </c>
      <c r="C1784" s="25">
        <v>360.34</v>
      </c>
      <c r="D1784" s="25">
        <v>353.8</v>
      </c>
      <c r="E1784" s="25">
        <v>359.09</v>
      </c>
      <c r="F1784" s="25">
        <v>687217.0</v>
      </c>
    </row>
    <row r="1785">
      <c r="A1785" s="25">
        <v>40994.645833333336</v>
      </c>
      <c r="B1785" s="25">
        <v>358.63</v>
      </c>
      <c r="C1785" s="25">
        <v>358.63</v>
      </c>
      <c r="D1785" s="25">
        <v>352.64</v>
      </c>
      <c r="E1785" s="25">
        <v>353.84</v>
      </c>
      <c r="F1785" s="25">
        <v>615333.0</v>
      </c>
    </row>
    <row r="1786">
      <c r="A1786" s="25">
        <v>40995.645833333336</v>
      </c>
      <c r="B1786" s="25">
        <v>357.5</v>
      </c>
      <c r="C1786" s="25">
        <v>362.97</v>
      </c>
      <c r="D1786" s="25">
        <v>354.04</v>
      </c>
      <c r="E1786" s="25">
        <v>359.49</v>
      </c>
      <c r="F1786" s="25">
        <v>948844.0</v>
      </c>
    </row>
    <row r="1787">
      <c r="A1787" s="25">
        <v>40996.645833333336</v>
      </c>
      <c r="B1787" s="25">
        <v>358.25</v>
      </c>
      <c r="C1787" s="25">
        <v>359.34</v>
      </c>
      <c r="D1787" s="25">
        <v>353.0</v>
      </c>
      <c r="E1787" s="25">
        <v>355.39</v>
      </c>
      <c r="F1787" s="25">
        <v>739990.0</v>
      </c>
    </row>
    <row r="1788">
      <c r="A1788" s="25">
        <v>40997.645833333336</v>
      </c>
      <c r="B1788" s="25">
        <v>352.56</v>
      </c>
      <c r="C1788" s="25">
        <v>354.79</v>
      </c>
      <c r="D1788" s="25">
        <v>345.98</v>
      </c>
      <c r="E1788" s="25">
        <v>349.0</v>
      </c>
      <c r="F1788" s="25">
        <v>1750026.0</v>
      </c>
    </row>
    <row r="1789">
      <c r="A1789" s="25">
        <v>40998.645833333336</v>
      </c>
      <c r="B1789" s="25">
        <v>351.24</v>
      </c>
      <c r="C1789" s="25">
        <v>359.13</v>
      </c>
      <c r="D1789" s="25">
        <v>350.38</v>
      </c>
      <c r="E1789" s="25">
        <v>358.29</v>
      </c>
      <c r="F1789" s="25">
        <v>995450.0</v>
      </c>
    </row>
    <row r="1790">
      <c r="A1790" s="25">
        <v>41001.645833333336</v>
      </c>
      <c r="B1790" s="25">
        <v>358.0</v>
      </c>
      <c r="C1790" s="25">
        <v>361.09</v>
      </c>
      <c r="D1790" s="25">
        <v>355.13</v>
      </c>
      <c r="E1790" s="25">
        <v>356.28</v>
      </c>
      <c r="F1790" s="25">
        <v>606448.0</v>
      </c>
    </row>
    <row r="1791">
      <c r="A1791" s="25">
        <v>41002.645833333336</v>
      </c>
      <c r="B1791" s="25">
        <v>358.29</v>
      </c>
      <c r="C1791" s="25">
        <v>359.71</v>
      </c>
      <c r="D1791" s="25">
        <v>355.32</v>
      </c>
      <c r="E1791" s="25">
        <v>357.31</v>
      </c>
      <c r="F1791" s="25">
        <v>681448.0</v>
      </c>
    </row>
    <row r="1792">
      <c r="A1792" s="25">
        <v>41003.645833333336</v>
      </c>
      <c r="B1792" s="25">
        <v>356.13</v>
      </c>
      <c r="C1792" s="25">
        <v>359.37</v>
      </c>
      <c r="D1792" s="25">
        <v>355.5</v>
      </c>
      <c r="E1792" s="25">
        <v>356.39</v>
      </c>
      <c r="F1792" s="25">
        <v>656768.0</v>
      </c>
    </row>
    <row r="1793">
      <c r="A1793" s="25">
        <v>41008.645833333336</v>
      </c>
      <c r="B1793" s="25">
        <v>354.69</v>
      </c>
      <c r="C1793" s="25">
        <v>357.42</v>
      </c>
      <c r="D1793" s="25">
        <v>351.55</v>
      </c>
      <c r="E1793" s="25">
        <v>352.84</v>
      </c>
      <c r="F1793" s="25">
        <v>817696.0</v>
      </c>
    </row>
    <row r="1794">
      <c r="A1794" s="25">
        <v>41009.645833333336</v>
      </c>
      <c r="B1794" s="25">
        <v>355.25</v>
      </c>
      <c r="C1794" s="25">
        <v>355.96</v>
      </c>
      <c r="D1794" s="25">
        <v>342.13</v>
      </c>
      <c r="E1794" s="25">
        <v>346.43</v>
      </c>
      <c r="F1794" s="25">
        <v>905382.0</v>
      </c>
    </row>
    <row r="1795">
      <c r="A1795" s="25">
        <v>41010.645833333336</v>
      </c>
      <c r="B1795" s="25">
        <v>346.12</v>
      </c>
      <c r="C1795" s="25">
        <v>353.13</v>
      </c>
      <c r="D1795" s="25">
        <v>342.9</v>
      </c>
      <c r="E1795" s="25">
        <v>350.55</v>
      </c>
      <c r="F1795" s="25">
        <v>1022455.0</v>
      </c>
    </row>
    <row r="1796">
      <c r="A1796" s="25">
        <v>41011.645833333336</v>
      </c>
      <c r="B1796" s="25">
        <v>352.84</v>
      </c>
      <c r="C1796" s="25">
        <v>353.98</v>
      </c>
      <c r="D1796" s="25">
        <v>342.31</v>
      </c>
      <c r="E1796" s="25">
        <v>343.83</v>
      </c>
      <c r="F1796" s="25">
        <v>1475701.0</v>
      </c>
    </row>
    <row r="1797">
      <c r="A1797" s="25">
        <v>41012.645833333336</v>
      </c>
      <c r="B1797" s="25">
        <v>314.75</v>
      </c>
      <c r="C1797" s="25">
        <v>315.34</v>
      </c>
      <c r="D1797" s="25">
        <v>298.64</v>
      </c>
      <c r="E1797" s="25">
        <v>300.32</v>
      </c>
      <c r="F1797" s="25">
        <v>9406946.0</v>
      </c>
    </row>
    <row r="1798">
      <c r="A1798" s="25">
        <v>41015.645833333336</v>
      </c>
      <c r="B1798" s="25">
        <v>300.0</v>
      </c>
      <c r="C1798" s="25">
        <v>303.32</v>
      </c>
      <c r="D1798" s="25">
        <v>291.63</v>
      </c>
      <c r="E1798" s="25">
        <v>295.57</v>
      </c>
      <c r="F1798" s="25">
        <v>4186435.0</v>
      </c>
    </row>
    <row r="1799">
      <c r="A1799" s="25">
        <v>41016.645833333336</v>
      </c>
      <c r="B1799" s="25">
        <v>299.88</v>
      </c>
      <c r="C1799" s="25">
        <v>299.88</v>
      </c>
      <c r="D1799" s="25">
        <v>292.01</v>
      </c>
      <c r="E1799" s="25">
        <v>297.59</v>
      </c>
      <c r="F1799" s="25">
        <v>2960886.0</v>
      </c>
    </row>
    <row r="1800">
      <c r="A1800" s="25">
        <v>41017.645833333336</v>
      </c>
      <c r="B1800" s="25">
        <v>300.0</v>
      </c>
      <c r="C1800" s="25">
        <v>300.32</v>
      </c>
      <c r="D1800" s="25">
        <v>294.38</v>
      </c>
      <c r="E1800" s="25">
        <v>296.41</v>
      </c>
      <c r="F1800" s="25">
        <v>2395666.0</v>
      </c>
    </row>
    <row r="1801">
      <c r="A1801" s="25">
        <v>41018.645833333336</v>
      </c>
      <c r="B1801" s="25">
        <v>297.49</v>
      </c>
      <c r="C1801" s="25">
        <v>301.87</v>
      </c>
      <c r="D1801" s="25">
        <v>296.0</v>
      </c>
      <c r="E1801" s="25">
        <v>300.68</v>
      </c>
      <c r="F1801" s="25">
        <v>2139189.0</v>
      </c>
    </row>
    <row r="1802">
      <c r="A1802" s="25">
        <v>41019.645833333336</v>
      </c>
      <c r="B1802" s="25">
        <v>299.34</v>
      </c>
      <c r="C1802" s="25">
        <v>303.55</v>
      </c>
      <c r="D1802" s="25">
        <v>295.31</v>
      </c>
      <c r="E1802" s="25">
        <v>300.93</v>
      </c>
      <c r="F1802" s="25">
        <v>1438440.0</v>
      </c>
    </row>
    <row r="1803">
      <c r="A1803" s="25">
        <v>41022.645833333336</v>
      </c>
      <c r="B1803" s="25">
        <v>298.75</v>
      </c>
      <c r="C1803" s="25">
        <v>298.75</v>
      </c>
      <c r="D1803" s="25">
        <v>288.13</v>
      </c>
      <c r="E1803" s="25">
        <v>288.86</v>
      </c>
      <c r="F1803" s="25">
        <v>2267087.0</v>
      </c>
    </row>
    <row r="1804">
      <c r="A1804" s="25">
        <v>41023.645833333336</v>
      </c>
      <c r="B1804" s="25">
        <v>288.83</v>
      </c>
      <c r="C1804" s="25">
        <v>295.6</v>
      </c>
      <c r="D1804" s="25">
        <v>274.79</v>
      </c>
      <c r="E1804" s="25">
        <v>293.69</v>
      </c>
      <c r="F1804" s="25">
        <v>6629739.0</v>
      </c>
    </row>
    <row r="1805">
      <c r="A1805" s="25">
        <v>41024.645833333336</v>
      </c>
      <c r="B1805" s="25">
        <v>293.71</v>
      </c>
      <c r="C1805" s="25">
        <v>295.63</v>
      </c>
      <c r="D1805" s="25">
        <v>287.91</v>
      </c>
      <c r="E1805" s="25">
        <v>293.74</v>
      </c>
      <c r="F1805" s="25">
        <v>3079813.0</v>
      </c>
    </row>
    <row r="1806">
      <c r="A1806" s="25">
        <v>41025.645833333336</v>
      </c>
      <c r="B1806" s="25">
        <v>293.75</v>
      </c>
      <c r="C1806" s="25">
        <v>297.35</v>
      </c>
      <c r="D1806" s="25">
        <v>292.79</v>
      </c>
      <c r="E1806" s="25">
        <v>294.52</v>
      </c>
      <c r="F1806" s="25">
        <v>2142133.0</v>
      </c>
    </row>
    <row r="1807">
      <c r="A1807" s="25">
        <v>41026.645833333336</v>
      </c>
      <c r="B1807" s="25">
        <v>294.63</v>
      </c>
      <c r="C1807" s="25">
        <v>299.75</v>
      </c>
      <c r="D1807" s="25">
        <v>294.38</v>
      </c>
      <c r="E1807" s="25">
        <v>298.88</v>
      </c>
      <c r="F1807" s="25">
        <v>1757808.0</v>
      </c>
    </row>
    <row r="1808">
      <c r="A1808" s="25">
        <v>41029.645833333336</v>
      </c>
      <c r="B1808" s="25">
        <v>299.0</v>
      </c>
      <c r="C1808" s="25">
        <v>308.5</v>
      </c>
      <c r="D1808" s="25">
        <v>298.79</v>
      </c>
      <c r="E1808" s="25">
        <v>307.76</v>
      </c>
      <c r="F1808" s="25">
        <v>1358701.0</v>
      </c>
    </row>
    <row r="1809">
      <c r="A1809" s="25">
        <v>41031.645833333336</v>
      </c>
      <c r="B1809" s="25">
        <v>308.13</v>
      </c>
      <c r="C1809" s="25">
        <v>311.0</v>
      </c>
      <c r="D1809" s="25">
        <v>307.72</v>
      </c>
      <c r="E1809" s="25">
        <v>309.0</v>
      </c>
      <c r="F1809" s="25">
        <v>1265586.0</v>
      </c>
    </row>
    <row r="1810">
      <c r="A1810" s="25">
        <v>41032.645833333336</v>
      </c>
      <c r="B1810" s="25">
        <v>307.5</v>
      </c>
      <c r="C1810" s="25">
        <v>312.16</v>
      </c>
      <c r="D1810" s="25">
        <v>307.5</v>
      </c>
      <c r="E1810" s="25">
        <v>310.36</v>
      </c>
      <c r="F1810" s="25">
        <v>1425091.0</v>
      </c>
    </row>
    <row r="1811">
      <c r="A1811" s="25">
        <v>41033.645833333336</v>
      </c>
      <c r="B1811" s="25">
        <v>310.25</v>
      </c>
      <c r="C1811" s="25">
        <v>312.25</v>
      </c>
      <c r="D1811" s="25">
        <v>302.93</v>
      </c>
      <c r="E1811" s="25">
        <v>305.24</v>
      </c>
      <c r="F1811" s="25">
        <v>1350111.0</v>
      </c>
    </row>
    <row r="1812">
      <c r="A1812" s="25">
        <v>41036.645833333336</v>
      </c>
      <c r="B1812" s="25">
        <v>301.13</v>
      </c>
      <c r="C1812" s="25">
        <v>306.1</v>
      </c>
      <c r="D1812" s="25">
        <v>295.99</v>
      </c>
      <c r="E1812" s="25">
        <v>304.7</v>
      </c>
      <c r="F1812" s="25">
        <v>1338750.0</v>
      </c>
    </row>
    <row r="1813">
      <c r="A1813" s="25">
        <v>41037.645833333336</v>
      </c>
      <c r="B1813" s="25">
        <v>299.38</v>
      </c>
      <c r="C1813" s="25">
        <v>300.97</v>
      </c>
      <c r="D1813" s="25">
        <v>291.14</v>
      </c>
      <c r="E1813" s="25">
        <v>299.24</v>
      </c>
      <c r="F1813" s="25">
        <v>1440830.0</v>
      </c>
    </row>
    <row r="1814">
      <c r="A1814" s="25">
        <v>41038.645833333336</v>
      </c>
      <c r="B1814" s="25">
        <v>296.0</v>
      </c>
      <c r="C1814" s="25">
        <v>299.35</v>
      </c>
      <c r="D1814" s="25">
        <v>294.08</v>
      </c>
      <c r="E1814" s="25">
        <v>295.78</v>
      </c>
      <c r="F1814" s="25">
        <v>1312268.0</v>
      </c>
    </row>
    <row r="1815">
      <c r="A1815" s="25">
        <v>41039.645833333336</v>
      </c>
      <c r="B1815" s="25">
        <v>296.0</v>
      </c>
      <c r="C1815" s="25">
        <v>298.11</v>
      </c>
      <c r="D1815" s="25">
        <v>290.29</v>
      </c>
      <c r="E1815" s="25">
        <v>293.02</v>
      </c>
      <c r="F1815" s="25">
        <v>1135503.0</v>
      </c>
    </row>
    <row r="1816">
      <c r="A1816" s="25">
        <v>41040.645833333336</v>
      </c>
      <c r="B1816" s="25">
        <v>293.0</v>
      </c>
      <c r="C1816" s="25">
        <v>295.0</v>
      </c>
      <c r="D1816" s="25">
        <v>286.51</v>
      </c>
      <c r="E1816" s="25">
        <v>288.91</v>
      </c>
      <c r="F1816" s="25">
        <v>1112664.0</v>
      </c>
    </row>
    <row r="1817">
      <c r="A1817" s="25">
        <v>41043.645833333336</v>
      </c>
      <c r="B1817" s="25">
        <v>290.02</v>
      </c>
      <c r="C1817" s="25">
        <v>293.19</v>
      </c>
      <c r="D1817" s="25">
        <v>288.01</v>
      </c>
      <c r="E1817" s="25">
        <v>292.37</v>
      </c>
      <c r="F1817" s="25">
        <v>989802.0</v>
      </c>
    </row>
    <row r="1818">
      <c r="A1818" s="25">
        <v>41044.645833333336</v>
      </c>
      <c r="B1818" s="25">
        <v>288.13</v>
      </c>
      <c r="C1818" s="25">
        <v>303.63</v>
      </c>
      <c r="D1818" s="25">
        <v>288.13</v>
      </c>
      <c r="E1818" s="25">
        <v>301.9</v>
      </c>
      <c r="F1818" s="25">
        <v>1283394.0</v>
      </c>
    </row>
    <row r="1819">
      <c r="A1819" s="25">
        <v>41045.645833333336</v>
      </c>
      <c r="B1819" s="25">
        <v>297.25</v>
      </c>
      <c r="C1819" s="25">
        <v>298.13</v>
      </c>
      <c r="D1819" s="25">
        <v>294.25</v>
      </c>
      <c r="E1819" s="25">
        <v>296.06</v>
      </c>
      <c r="F1819" s="25">
        <v>1073661.0</v>
      </c>
    </row>
    <row r="1820">
      <c r="A1820" s="25">
        <v>41046.645833333336</v>
      </c>
      <c r="B1820" s="25">
        <v>296.06</v>
      </c>
      <c r="C1820" s="25">
        <v>297.18</v>
      </c>
      <c r="D1820" s="25">
        <v>293.3</v>
      </c>
      <c r="E1820" s="25">
        <v>296.32</v>
      </c>
      <c r="F1820" s="25">
        <v>725927.0</v>
      </c>
    </row>
    <row r="1821">
      <c r="A1821" s="25">
        <v>41047.645833333336</v>
      </c>
      <c r="B1821" s="25">
        <v>290.67</v>
      </c>
      <c r="C1821" s="25">
        <v>300.63</v>
      </c>
      <c r="D1821" s="25">
        <v>287.77</v>
      </c>
      <c r="E1821" s="25">
        <v>297.86</v>
      </c>
      <c r="F1821" s="25">
        <v>742270.0</v>
      </c>
    </row>
    <row r="1822">
      <c r="A1822" s="25">
        <v>41050.645833333336</v>
      </c>
      <c r="B1822" s="25">
        <v>298.11</v>
      </c>
      <c r="C1822" s="25">
        <v>298.19</v>
      </c>
      <c r="D1822" s="25">
        <v>290.5</v>
      </c>
      <c r="E1822" s="25">
        <v>292.56</v>
      </c>
      <c r="F1822" s="25">
        <v>597095.0</v>
      </c>
    </row>
    <row r="1823">
      <c r="A1823" s="25">
        <v>41051.645833333336</v>
      </c>
      <c r="B1823" s="25">
        <v>294.38</v>
      </c>
      <c r="C1823" s="25">
        <v>296.01</v>
      </c>
      <c r="D1823" s="25">
        <v>290.46</v>
      </c>
      <c r="E1823" s="25">
        <v>292.64</v>
      </c>
      <c r="F1823" s="25">
        <v>727901.0</v>
      </c>
    </row>
    <row r="1824">
      <c r="A1824" s="25">
        <v>41052.645833333336</v>
      </c>
      <c r="B1824" s="25">
        <v>294.38</v>
      </c>
      <c r="C1824" s="25">
        <v>295.6</v>
      </c>
      <c r="D1824" s="25">
        <v>288.4</v>
      </c>
      <c r="E1824" s="25">
        <v>293.52</v>
      </c>
      <c r="F1824" s="25">
        <v>675254.0</v>
      </c>
    </row>
    <row r="1825">
      <c r="A1825" s="25">
        <v>41053.645833333336</v>
      </c>
      <c r="B1825" s="25">
        <v>293.63</v>
      </c>
      <c r="C1825" s="25">
        <v>298.61</v>
      </c>
      <c r="D1825" s="25">
        <v>289.13</v>
      </c>
      <c r="E1825" s="25">
        <v>297.6</v>
      </c>
      <c r="F1825" s="25">
        <v>951506.0</v>
      </c>
    </row>
    <row r="1826">
      <c r="A1826" s="25">
        <v>41054.645833333336</v>
      </c>
      <c r="B1826" s="25">
        <v>295.38</v>
      </c>
      <c r="C1826" s="25">
        <v>298.13</v>
      </c>
      <c r="D1826" s="25">
        <v>293.88</v>
      </c>
      <c r="E1826" s="25">
        <v>296.61</v>
      </c>
      <c r="F1826" s="25">
        <v>539216.0</v>
      </c>
    </row>
    <row r="1827">
      <c r="A1827" s="25">
        <v>41057.645833333336</v>
      </c>
      <c r="B1827" s="25">
        <v>299.25</v>
      </c>
      <c r="C1827" s="25">
        <v>299.75</v>
      </c>
      <c r="D1827" s="25">
        <v>295.33</v>
      </c>
      <c r="E1827" s="25">
        <v>298.23</v>
      </c>
      <c r="F1827" s="25">
        <v>590723.0</v>
      </c>
    </row>
    <row r="1828">
      <c r="A1828" s="25">
        <v>41058.645833333336</v>
      </c>
      <c r="B1828" s="25">
        <v>298.88</v>
      </c>
      <c r="C1828" s="25">
        <v>303.13</v>
      </c>
      <c r="D1828" s="25">
        <v>297.25</v>
      </c>
      <c r="E1828" s="25">
        <v>301.19</v>
      </c>
      <c r="F1828" s="25">
        <v>643095.0</v>
      </c>
    </row>
    <row r="1829">
      <c r="A1829" s="25">
        <v>41059.645833333336</v>
      </c>
      <c r="B1829" s="25">
        <v>300.88</v>
      </c>
      <c r="C1829" s="25">
        <v>307.35</v>
      </c>
      <c r="D1829" s="25">
        <v>299.09</v>
      </c>
      <c r="E1829" s="25">
        <v>304.04</v>
      </c>
      <c r="F1829" s="25">
        <v>1006436.0</v>
      </c>
    </row>
    <row r="1830">
      <c r="A1830" s="25">
        <v>41060.645833333336</v>
      </c>
      <c r="B1830" s="25">
        <v>301.0</v>
      </c>
      <c r="C1830" s="25">
        <v>319.0</v>
      </c>
      <c r="D1830" s="25">
        <v>298.89</v>
      </c>
      <c r="E1830" s="25">
        <v>303.67</v>
      </c>
      <c r="F1830" s="25">
        <v>2703294.0</v>
      </c>
    </row>
    <row r="1831">
      <c r="A1831" s="25">
        <v>41061.645833333336</v>
      </c>
      <c r="B1831" s="25">
        <v>301.88</v>
      </c>
      <c r="C1831" s="25">
        <v>303.94</v>
      </c>
      <c r="D1831" s="25">
        <v>297.88</v>
      </c>
      <c r="E1831" s="25">
        <v>298.65</v>
      </c>
      <c r="F1831" s="25">
        <v>817880.0</v>
      </c>
    </row>
    <row r="1832">
      <c r="A1832" s="25">
        <v>41064.645833333336</v>
      </c>
      <c r="B1832" s="25">
        <v>296.75</v>
      </c>
      <c r="C1832" s="25">
        <v>299.54</v>
      </c>
      <c r="D1832" s="25">
        <v>293.13</v>
      </c>
      <c r="E1832" s="25">
        <v>298.2</v>
      </c>
      <c r="F1832" s="25">
        <v>601511.0</v>
      </c>
    </row>
    <row r="1833">
      <c r="A1833" s="25">
        <v>41065.645833333336</v>
      </c>
      <c r="B1833" s="25">
        <v>298.13</v>
      </c>
      <c r="C1833" s="25">
        <v>301.49</v>
      </c>
      <c r="D1833" s="25">
        <v>296.84</v>
      </c>
      <c r="E1833" s="25">
        <v>298.61</v>
      </c>
      <c r="F1833" s="25">
        <v>749090.0</v>
      </c>
    </row>
    <row r="1834">
      <c r="A1834" s="25">
        <v>41066.645833333336</v>
      </c>
      <c r="B1834" s="25">
        <v>299.65</v>
      </c>
      <c r="C1834" s="25">
        <v>304.17</v>
      </c>
      <c r="D1834" s="25">
        <v>299.55</v>
      </c>
      <c r="E1834" s="25">
        <v>301.94</v>
      </c>
      <c r="F1834" s="25">
        <v>1097148.0</v>
      </c>
    </row>
    <row r="1835">
      <c r="A1835" s="25">
        <v>41067.645833333336</v>
      </c>
      <c r="B1835" s="25">
        <v>306.0</v>
      </c>
      <c r="C1835" s="25">
        <v>308.11</v>
      </c>
      <c r="D1835" s="25">
        <v>304.52</v>
      </c>
      <c r="E1835" s="25">
        <v>306.62</v>
      </c>
      <c r="F1835" s="25">
        <v>830886.0</v>
      </c>
    </row>
    <row r="1836">
      <c r="A1836" s="25">
        <v>41068.645833333336</v>
      </c>
      <c r="B1836" s="25">
        <v>311.11</v>
      </c>
      <c r="C1836" s="25">
        <v>311.11</v>
      </c>
      <c r="D1836" s="25">
        <v>299.1</v>
      </c>
      <c r="E1836" s="25">
        <v>302.41</v>
      </c>
      <c r="F1836" s="25">
        <v>695603.0</v>
      </c>
    </row>
    <row r="1837">
      <c r="A1837" s="25">
        <v>41071.645833333336</v>
      </c>
      <c r="B1837" s="25">
        <v>303.38</v>
      </c>
      <c r="C1837" s="25">
        <v>306.59</v>
      </c>
      <c r="D1837" s="25">
        <v>301.86</v>
      </c>
      <c r="E1837" s="25">
        <v>303.21</v>
      </c>
      <c r="F1837" s="25">
        <v>444223.0</v>
      </c>
    </row>
    <row r="1838">
      <c r="A1838" s="25">
        <v>41072.645833333336</v>
      </c>
      <c r="B1838" s="25">
        <v>300.27</v>
      </c>
      <c r="C1838" s="25">
        <v>308.75</v>
      </c>
      <c r="D1838" s="25">
        <v>300.27</v>
      </c>
      <c r="E1838" s="25">
        <v>307.26</v>
      </c>
      <c r="F1838" s="25">
        <v>516835.0</v>
      </c>
    </row>
    <row r="1839">
      <c r="A1839" s="25">
        <v>41073.645833333336</v>
      </c>
      <c r="B1839" s="25">
        <v>306.41</v>
      </c>
      <c r="C1839" s="25">
        <v>311.21</v>
      </c>
      <c r="D1839" s="25">
        <v>305.25</v>
      </c>
      <c r="E1839" s="25">
        <v>308.76</v>
      </c>
      <c r="F1839" s="25">
        <v>769723.0</v>
      </c>
    </row>
    <row r="1840">
      <c r="A1840" s="25">
        <v>41074.645833333336</v>
      </c>
      <c r="B1840" s="25">
        <v>307.63</v>
      </c>
      <c r="C1840" s="25">
        <v>313.75</v>
      </c>
      <c r="D1840" s="25">
        <v>307.63</v>
      </c>
      <c r="E1840" s="25">
        <v>312.29</v>
      </c>
      <c r="F1840" s="25">
        <v>985417.0</v>
      </c>
    </row>
    <row r="1841">
      <c r="A1841" s="25">
        <v>41075.645833333336</v>
      </c>
      <c r="B1841" s="25">
        <v>313.76</v>
      </c>
      <c r="C1841" s="25">
        <v>316.5</v>
      </c>
      <c r="D1841" s="25">
        <v>312.84</v>
      </c>
      <c r="E1841" s="25">
        <v>315.32</v>
      </c>
      <c r="F1841" s="25">
        <v>788939.0</v>
      </c>
    </row>
    <row r="1842">
      <c r="A1842" s="25">
        <v>41078.645833333336</v>
      </c>
      <c r="B1842" s="25">
        <v>316.88</v>
      </c>
      <c r="C1842" s="25">
        <v>318.04</v>
      </c>
      <c r="D1842" s="25">
        <v>312.06</v>
      </c>
      <c r="E1842" s="25">
        <v>313.96</v>
      </c>
      <c r="F1842" s="25">
        <v>889629.0</v>
      </c>
    </row>
    <row r="1843">
      <c r="A1843" s="25">
        <v>41079.645833333336</v>
      </c>
      <c r="B1843" s="25">
        <v>312.5</v>
      </c>
      <c r="C1843" s="25">
        <v>313.13</v>
      </c>
      <c r="D1843" s="25">
        <v>307.24</v>
      </c>
      <c r="E1843" s="25">
        <v>309.63</v>
      </c>
      <c r="F1843" s="25">
        <v>801760.0</v>
      </c>
    </row>
    <row r="1844">
      <c r="A1844" s="25">
        <v>41080.645833333336</v>
      </c>
      <c r="B1844" s="25">
        <v>310.0</v>
      </c>
      <c r="C1844" s="25">
        <v>310.63</v>
      </c>
      <c r="D1844" s="25">
        <v>306.62</v>
      </c>
      <c r="E1844" s="25">
        <v>308.76</v>
      </c>
      <c r="F1844" s="25">
        <v>816997.0</v>
      </c>
    </row>
    <row r="1845">
      <c r="A1845" s="25">
        <v>41081.645833333336</v>
      </c>
      <c r="B1845" s="25">
        <v>307.0</v>
      </c>
      <c r="C1845" s="25">
        <v>312.88</v>
      </c>
      <c r="D1845" s="25">
        <v>305.02</v>
      </c>
      <c r="E1845" s="25">
        <v>311.41</v>
      </c>
      <c r="F1845" s="25">
        <v>817077.0</v>
      </c>
    </row>
    <row r="1846">
      <c r="A1846" s="25">
        <v>41082.645833333336</v>
      </c>
      <c r="B1846" s="25">
        <v>306.22</v>
      </c>
      <c r="C1846" s="25">
        <v>310.56</v>
      </c>
      <c r="D1846" s="25">
        <v>303.31</v>
      </c>
      <c r="E1846" s="25">
        <v>309.31</v>
      </c>
      <c r="F1846" s="25">
        <v>801791.0</v>
      </c>
    </row>
    <row r="1847">
      <c r="A1847" s="25">
        <v>41085.645833333336</v>
      </c>
      <c r="B1847" s="25">
        <v>309.36</v>
      </c>
      <c r="C1847" s="25">
        <v>311.0</v>
      </c>
      <c r="D1847" s="25">
        <v>307.28</v>
      </c>
      <c r="E1847" s="25">
        <v>308.52</v>
      </c>
      <c r="F1847" s="25">
        <v>993681.0</v>
      </c>
    </row>
    <row r="1848">
      <c r="A1848" s="25">
        <v>41086.645833333336</v>
      </c>
      <c r="B1848" s="25">
        <v>306.64</v>
      </c>
      <c r="C1848" s="25">
        <v>307.49</v>
      </c>
      <c r="D1848" s="25">
        <v>303.69</v>
      </c>
      <c r="E1848" s="25">
        <v>305.05</v>
      </c>
      <c r="F1848" s="25">
        <v>1291270.0</v>
      </c>
    </row>
    <row r="1849">
      <c r="A1849" s="25">
        <v>41087.645833333336</v>
      </c>
      <c r="B1849" s="25">
        <v>306.5</v>
      </c>
      <c r="C1849" s="25">
        <v>309.38</v>
      </c>
      <c r="D1849" s="25">
        <v>306.06</v>
      </c>
      <c r="E1849" s="25">
        <v>308.51</v>
      </c>
      <c r="F1849" s="25">
        <v>1084673.0</v>
      </c>
    </row>
    <row r="1850">
      <c r="A1850" s="25">
        <v>41088.645833333336</v>
      </c>
      <c r="B1850" s="25">
        <v>308.13</v>
      </c>
      <c r="C1850" s="25">
        <v>312.13</v>
      </c>
      <c r="D1850" s="25">
        <v>306.04</v>
      </c>
      <c r="E1850" s="25">
        <v>309.16</v>
      </c>
      <c r="F1850" s="25">
        <v>951622.0</v>
      </c>
    </row>
    <row r="1851">
      <c r="A1851" s="25">
        <v>41089.645833333336</v>
      </c>
      <c r="B1851" s="25">
        <v>311.75</v>
      </c>
      <c r="C1851" s="25">
        <v>314.88</v>
      </c>
      <c r="D1851" s="25">
        <v>309.52</v>
      </c>
      <c r="E1851" s="25">
        <v>313.65</v>
      </c>
      <c r="F1851" s="25">
        <v>1170621.0</v>
      </c>
    </row>
    <row r="1852">
      <c r="A1852" s="25">
        <v>41092.645833333336</v>
      </c>
      <c r="B1852" s="25">
        <v>312.88</v>
      </c>
      <c r="C1852" s="25">
        <v>314.85</v>
      </c>
      <c r="D1852" s="25">
        <v>311.34</v>
      </c>
      <c r="E1852" s="25">
        <v>312.43</v>
      </c>
      <c r="F1852" s="25">
        <v>646902.0</v>
      </c>
    </row>
    <row r="1853">
      <c r="A1853" s="25">
        <v>41093.645833333336</v>
      </c>
      <c r="B1853" s="25">
        <v>314.53</v>
      </c>
      <c r="C1853" s="25">
        <v>314.53</v>
      </c>
      <c r="D1853" s="25">
        <v>309.58</v>
      </c>
      <c r="E1853" s="25">
        <v>311.32</v>
      </c>
      <c r="F1853" s="25">
        <v>803601.0</v>
      </c>
    </row>
    <row r="1854">
      <c r="A1854" s="25">
        <v>41094.645833333336</v>
      </c>
      <c r="B1854" s="25">
        <v>312.5</v>
      </c>
      <c r="C1854" s="25">
        <v>313.11</v>
      </c>
      <c r="D1854" s="25">
        <v>308.63</v>
      </c>
      <c r="E1854" s="25">
        <v>309.93</v>
      </c>
      <c r="F1854" s="25">
        <v>798852.0</v>
      </c>
    </row>
    <row r="1855">
      <c r="A1855" s="25">
        <v>41095.645833333336</v>
      </c>
      <c r="B1855" s="25">
        <v>310.03</v>
      </c>
      <c r="C1855" s="25">
        <v>311.0</v>
      </c>
      <c r="D1855" s="25">
        <v>307.81</v>
      </c>
      <c r="E1855" s="25">
        <v>310.03</v>
      </c>
      <c r="F1855" s="25">
        <v>722558.0</v>
      </c>
    </row>
    <row r="1856">
      <c r="A1856" s="25">
        <v>41096.645833333336</v>
      </c>
      <c r="B1856" s="25">
        <v>309.5</v>
      </c>
      <c r="C1856" s="25">
        <v>310.63</v>
      </c>
      <c r="D1856" s="25">
        <v>305.0</v>
      </c>
      <c r="E1856" s="25">
        <v>305.58</v>
      </c>
      <c r="F1856" s="25">
        <v>610930.0</v>
      </c>
    </row>
    <row r="1857">
      <c r="A1857" s="25">
        <v>41099.645833333336</v>
      </c>
      <c r="B1857" s="25">
        <v>302.64</v>
      </c>
      <c r="C1857" s="25">
        <v>308.61</v>
      </c>
      <c r="D1857" s="25">
        <v>300.25</v>
      </c>
      <c r="E1857" s="25">
        <v>304.74</v>
      </c>
      <c r="F1857" s="25">
        <v>914335.0</v>
      </c>
    </row>
    <row r="1858">
      <c r="A1858" s="25">
        <v>41100.645833333336</v>
      </c>
      <c r="B1858" s="25">
        <v>305.5</v>
      </c>
      <c r="C1858" s="25">
        <v>307.91</v>
      </c>
      <c r="D1858" s="25">
        <v>305.17</v>
      </c>
      <c r="E1858" s="25">
        <v>307.43</v>
      </c>
      <c r="F1858" s="25">
        <v>881840.0</v>
      </c>
    </row>
    <row r="1859">
      <c r="A1859" s="25">
        <v>41101.645833333336</v>
      </c>
      <c r="B1859" s="25">
        <v>306.25</v>
      </c>
      <c r="C1859" s="25">
        <v>312.8</v>
      </c>
      <c r="D1859" s="25">
        <v>305.63</v>
      </c>
      <c r="E1859" s="25">
        <v>308.88</v>
      </c>
      <c r="F1859" s="25">
        <v>2118235.0</v>
      </c>
    </row>
    <row r="1860">
      <c r="A1860" s="25">
        <v>41102.645833333336</v>
      </c>
      <c r="B1860" s="25">
        <v>281.25</v>
      </c>
      <c r="C1860" s="25">
        <v>285.0</v>
      </c>
      <c r="D1860" s="25">
        <v>277.38</v>
      </c>
      <c r="E1860" s="25">
        <v>283.05</v>
      </c>
      <c r="F1860" s="25">
        <v>6783983.0</v>
      </c>
    </row>
    <row r="1861">
      <c r="A1861" s="25">
        <v>41103.645833333336</v>
      </c>
      <c r="B1861" s="25">
        <v>277.25</v>
      </c>
      <c r="C1861" s="25">
        <v>282.35</v>
      </c>
      <c r="D1861" s="25">
        <v>277.25</v>
      </c>
      <c r="E1861" s="25">
        <v>278.73</v>
      </c>
      <c r="F1861" s="25">
        <v>3344563.0</v>
      </c>
    </row>
    <row r="1862">
      <c r="A1862" s="25">
        <v>41106.645833333336</v>
      </c>
      <c r="B1862" s="25">
        <v>278.75</v>
      </c>
      <c r="C1862" s="25">
        <v>280.18</v>
      </c>
      <c r="D1862" s="25">
        <v>270.41</v>
      </c>
      <c r="E1862" s="25">
        <v>271.41</v>
      </c>
      <c r="F1862" s="25">
        <v>2305137.0</v>
      </c>
    </row>
    <row r="1863">
      <c r="A1863" s="25">
        <v>41107.645833333336</v>
      </c>
      <c r="B1863" s="25">
        <v>273.11</v>
      </c>
      <c r="C1863" s="25">
        <v>274.75</v>
      </c>
      <c r="D1863" s="25">
        <v>270.29</v>
      </c>
      <c r="E1863" s="25">
        <v>271.41</v>
      </c>
      <c r="F1863" s="25">
        <v>1687891.0</v>
      </c>
    </row>
    <row r="1864">
      <c r="A1864" s="25">
        <v>41108.645833333336</v>
      </c>
      <c r="B1864" s="25">
        <v>271.41</v>
      </c>
      <c r="C1864" s="25">
        <v>273.61</v>
      </c>
      <c r="D1864" s="25">
        <v>270.38</v>
      </c>
      <c r="E1864" s="25">
        <v>272.36</v>
      </c>
      <c r="F1864" s="25">
        <v>984158.0</v>
      </c>
    </row>
    <row r="1865">
      <c r="A1865" s="25">
        <v>41109.645833333336</v>
      </c>
      <c r="B1865" s="25">
        <v>275.0</v>
      </c>
      <c r="C1865" s="25">
        <v>281.25</v>
      </c>
      <c r="D1865" s="25">
        <v>274.16</v>
      </c>
      <c r="E1865" s="25">
        <v>280.65</v>
      </c>
      <c r="F1865" s="25">
        <v>1364049.0</v>
      </c>
    </row>
    <row r="1866">
      <c r="A1866" s="25">
        <v>41110.645833333336</v>
      </c>
      <c r="B1866" s="25">
        <v>280.61</v>
      </c>
      <c r="C1866" s="25">
        <v>280.61</v>
      </c>
      <c r="D1866" s="25">
        <v>275.66</v>
      </c>
      <c r="E1866" s="25">
        <v>277.34</v>
      </c>
      <c r="F1866" s="25">
        <v>644229.0</v>
      </c>
    </row>
    <row r="1867">
      <c r="A1867" s="25">
        <v>41113.645833333336</v>
      </c>
      <c r="B1867" s="25">
        <v>275.0</v>
      </c>
      <c r="C1867" s="25">
        <v>276.24</v>
      </c>
      <c r="D1867" s="25">
        <v>272.83</v>
      </c>
      <c r="E1867" s="25">
        <v>273.64</v>
      </c>
      <c r="F1867" s="25">
        <v>486350.0</v>
      </c>
    </row>
    <row r="1868">
      <c r="A1868" s="25">
        <v>41114.645833333336</v>
      </c>
      <c r="B1868" s="25">
        <v>273.81</v>
      </c>
      <c r="C1868" s="25">
        <v>276.5</v>
      </c>
      <c r="D1868" s="25">
        <v>270.64</v>
      </c>
      <c r="E1868" s="25">
        <v>271.08</v>
      </c>
      <c r="F1868" s="25">
        <v>894189.0</v>
      </c>
    </row>
    <row r="1869">
      <c r="A1869" s="25">
        <v>41115.645833333336</v>
      </c>
      <c r="B1869" s="25">
        <v>271.75</v>
      </c>
      <c r="C1869" s="25">
        <v>272.5</v>
      </c>
      <c r="D1869" s="25">
        <v>268.75</v>
      </c>
      <c r="E1869" s="25">
        <v>271.07</v>
      </c>
      <c r="F1869" s="25">
        <v>879568.0</v>
      </c>
    </row>
    <row r="1870">
      <c r="A1870" s="25">
        <v>41116.645833333336</v>
      </c>
      <c r="B1870" s="25">
        <v>270.88</v>
      </c>
      <c r="C1870" s="25">
        <v>270.88</v>
      </c>
      <c r="D1870" s="25">
        <v>262.66</v>
      </c>
      <c r="E1870" s="25">
        <v>265.48</v>
      </c>
      <c r="F1870" s="25">
        <v>1496917.0</v>
      </c>
    </row>
    <row r="1871">
      <c r="A1871" s="25">
        <v>41117.645833333336</v>
      </c>
      <c r="B1871" s="25">
        <v>270.25</v>
      </c>
      <c r="C1871" s="25">
        <v>270.5</v>
      </c>
      <c r="D1871" s="25">
        <v>263.66</v>
      </c>
      <c r="E1871" s="25">
        <v>268.58</v>
      </c>
      <c r="F1871" s="25">
        <v>1232811.0</v>
      </c>
    </row>
    <row r="1872">
      <c r="A1872" s="25">
        <v>41120.645833333336</v>
      </c>
      <c r="B1872" s="25">
        <v>270.0</v>
      </c>
      <c r="C1872" s="25">
        <v>276.88</v>
      </c>
      <c r="D1872" s="25">
        <v>269.69</v>
      </c>
      <c r="E1872" s="25">
        <v>276.21</v>
      </c>
      <c r="F1872" s="25">
        <v>895865.0</v>
      </c>
    </row>
    <row r="1873">
      <c r="A1873" s="25">
        <v>41121.645833333336</v>
      </c>
      <c r="B1873" s="25">
        <v>276.88</v>
      </c>
      <c r="C1873" s="25">
        <v>279.5</v>
      </c>
      <c r="D1873" s="25">
        <v>273.13</v>
      </c>
      <c r="E1873" s="25">
        <v>278.37</v>
      </c>
      <c r="F1873" s="25">
        <v>864305.0</v>
      </c>
    </row>
    <row r="1874">
      <c r="A1874" s="25">
        <v>41122.645833333336</v>
      </c>
      <c r="B1874" s="25">
        <v>276.88</v>
      </c>
      <c r="C1874" s="25">
        <v>278.8</v>
      </c>
      <c r="D1874" s="25">
        <v>275.09</v>
      </c>
      <c r="E1874" s="25">
        <v>277.32</v>
      </c>
      <c r="F1874" s="25">
        <v>380998.0</v>
      </c>
    </row>
    <row r="1875">
      <c r="A1875" s="25">
        <v>41123.645833333336</v>
      </c>
      <c r="B1875" s="25">
        <v>277.25</v>
      </c>
      <c r="C1875" s="25">
        <v>278.35</v>
      </c>
      <c r="D1875" s="25">
        <v>274.38</v>
      </c>
      <c r="E1875" s="25">
        <v>275.72</v>
      </c>
      <c r="F1875" s="25">
        <v>302504.0</v>
      </c>
    </row>
    <row r="1876">
      <c r="A1876" s="25">
        <v>41124.645833333336</v>
      </c>
      <c r="B1876" s="25">
        <v>274.53</v>
      </c>
      <c r="C1876" s="25">
        <v>277.17</v>
      </c>
      <c r="D1876" s="25">
        <v>273.14</v>
      </c>
      <c r="E1876" s="25">
        <v>276.06</v>
      </c>
      <c r="F1876" s="25">
        <v>386949.0</v>
      </c>
    </row>
    <row r="1877">
      <c r="A1877" s="25">
        <v>41127.645833333336</v>
      </c>
      <c r="B1877" s="25">
        <v>277.77</v>
      </c>
      <c r="C1877" s="25">
        <v>279.36</v>
      </c>
      <c r="D1877" s="25">
        <v>275.93</v>
      </c>
      <c r="E1877" s="25">
        <v>277.1</v>
      </c>
      <c r="F1877" s="25">
        <v>406348.0</v>
      </c>
    </row>
    <row r="1878">
      <c r="A1878" s="25">
        <v>41128.645833333336</v>
      </c>
      <c r="B1878" s="25">
        <v>279.0</v>
      </c>
      <c r="C1878" s="25">
        <v>283.68</v>
      </c>
      <c r="D1878" s="25">
        <v>277.76</v>
      </c>
      <c r="E1878" s="25">
        <v>281.66</v>
      </c>
      <c r="F1878" s="25">
        <v>683168.0</v>
      </c>
    </row>
    <row r="1879">
      <c r="A1879" s="25">
        <v>41129.645833333336</v>
      </c>
      <c r="B1879" s="25">
        <v>282.75</v>
      </c>
      <c r="C1879" s="25">
        <v>286.88</v>
      </c>
      <c r="D1879" s="25">
        <v>282.5</v>
      </c>
      <c r="E1879" s="25">
        <v>285.45</v>
      </c>
      <c r="F1879" s="25">
        <v>1004888.0</v>
      </c>
    </row>
    <row r="1880">
      <c r="A1880" s="25">
        <v>41130.645833333336</v>
      </c>
      <c r="B1880" s="25">
        <v>286.28</v>
      </c>
      <c r="C1880" s="25">
        <v>288.94</v>
      </c>
      <c r="D1880" s="25">
        <v>284.38</v>
      </c>
      <c r="E1880" s="25">
        <v>285.26</v>
      </c>
      <c r="F1880" s="25">
        <v>866387.0</v>
      </c>
    </row>
    <row r="1881">
      <c r="A1881" s="25">
        <v>41131.645833333336</v>
      </c>
      <c r="B1881" s="25">
        <v>284.75</v>
      </c>
      <c r="C1881" s="25">
        <v>290.13</v>
      </c>
      <c r="D1881" s="25">
        <v>283.0</v>
      </c>
      <c r="E1881" s="25">
        <v>289.13</v>
      </c>
      <c r="F1881" s="25">
        <v>704461.0</v>
      </c>
    </row>
    <row r="1882">
      <c r="A1882" s="25">
        <v>41134.645833333336</v>
      </c>
      <c r="B1882" s="25">
        <v>287.66</v>
      </c>
      <c r="C1882" s="25">
        <v>291.38</v>
      </c>
      <c r="D1882" s="25">
        <v>287.51</v>
      </c>
      <c r="E1882" s="25">
        <v>290.01</v>
      </c>
      <c r="F1882" s="25">
        <v>501741.0</v>
      </c>
    </row>
    <row r="1883">
      <c r="A1883" s="25">
        <v>41135.645833333336</v>
      </c>
      <c r="B1883" s="25">
        <v>289.16</v>
      </c>
      <c r="C1883" s="25">
        <v>291.88</v>
      </c>
      <c r="D1883" s="25">
        <v>286.17</v>
      </c>
      <c r="E1883" s="25">
        <v>291.17</v>
      </c>
      <c r="F1883" s="25">
        <v>505602.0</v>
      </c>
    </row>
    <row r="1884">
      <c r="A1884" s="25">
        <v>41137.645833333336</v>
      </c>
      <c r="B1884" s="25">
        <v>291.02</v>
      </c>
      <c r="C1884" s="25">
        <v>291.02</v>
      </c>
      <c r="D1884" s="25">
        <v>287.63</v>
      </c>
      <c r="E1884" s="25">
        <v>289.43</v>
      </c>
      <c r="F1884" s="25">
        <v>466203.0</v>
      </c>
    </row>
    <row r="1885">
      <c r="A1885" s="25">
        <v>41138.645833333336</v>
      </c>
      <c r="B1885" s="25">
        <v>290.5</v>
      </c>
      <c r="C1885" s="25">
        <v>294.38</v>
      </c>
      <c r="D1885" s="25">
        <v>289.54</v>
      </c>
      <c r="E1885" s="25">
        <v>293.88</v>
      </c>
      <c r="F1885" s="25">
        <v>1061660.0</v>
      </c>
    </row>
    <row r="1886">
      <c r="A1886" s="25">
        <v>41142.645833333336</v>
      </c>
      <c r="B1886" s="25">
        <v>295.63</v>
      </c>
      <c r="C1886" s="25">
        <v>304.88</v>
      </c>
      <c r="D1886" s="25">
        <v>295.63</v>
      </c>
      <c r="E1886" s="25">
        <v>301.13</v>
      </c>
      <c r="F1886" s="25">
        <v>1525767.0</v>
      </c>
    </row>
    <row r="1887">
      <c r="A1887" s="25">
        <v>41143.645833333336</v>
      </c>
      <c r="B1887" s="25">
        <v>300.36</v>
      </c>
      <c r="C1887" s="25">
        <v>305.0</v>
      </c>
      <c r="D1887" s="25">
        <v>299.27</v>
      </c>
      <c r="E1887" s="25">
        <v>304.2</v>
      </c>
      <c r="F1887" s="25">
        <v>643646.0</v>
      </c>
    </row>
    <row r="1888">
      <c r="A1888" s="25">
        <v>41144.645833333336</v>
      </c>
      <c r="B1888" s="25">
        <v>304.38</v>
      </c>
      <c r="C1888" s="25">
        <v>310.38</v>
      </c>
      <c r="D1888" s="25">
        <v>303.03</v>
      </c>
      <c r="E1888" s="25">
        <v>309.65</v>
      </c>
      <c r="F1888" s="25">
        <v>1840357.0</v>
      </c>
    </row>
    <row r="1889">
      <c r="A1889" s="25">
        <v>41145.645833333336</v>
      </c>
      <c r="B1889" s="25">
        <v>306.0</v>
      </c>
      <c r="C1889" s="25">
        <v>307.29</v>
      </c>
      <c r="D1889" s="25">
        <v>304.25</v>
      </c>
      <c r="E1889" s="25">
        <v>305.6</v>
      </c>
      <c r="F1889" s="25">
        <v>840564.0</v>
      </c>
    </row>
    <row r="1890">
      <c r="A1890" s="25">
        <v>41148.645833333336</v>
      </c>
      <c r="B1890" s="25">
        <v>303.77</v>
      </c>
      <c r="C1890" s="25">
        <v>305.81</v>
      </c>
      <c r="D1890" s="25">
        <v>300.7</v>
      </c>
      <c r="E1890" s="25">
        <v>301.49</v>
      </c>
      <c r="F1890" s="25">
        <v>986420.0</v>
      </c>
    </row>
    <row r="1891">
      <c r="A1891" s="25">
        <v>41149.645833333336</v>
      </c>
      <c r="B1891" s="25">
        <v>299.63</v>
      </c>
      <c r="C1891" s="25">
        <v>306.43</v>
      </c>
      <c r="D1891" s="25">
        <v>299.63</v>
      </c>
      <c r="E1891" s="25">
        <v>302.64</v>
      </c>
      <c r="F1891" s="25">
        <v>708257.0</v>
      </c>
    </row>
    <row r="1892">
      <c r="A1892" s="25">
        <v>41150.645833333336</v>
      </c>
      <c r="B1892" s="25">
        <v>302.75</v>
      </c>
      <c r="C1892" s="25">
        <v>302.75</v>
      </c>
      <c r="D1892" s="25">
        <v>297.81</v>
      </c>
      <c r="E1892" s="25">
        <v>298.54</v>
      </c>
      <c r="F1892" s="25">
        <v>702052.0</v>
      </c>
    </row>
    <row r="1893">
      <c r="A1893" s="25">
        <v>41151.645833333336</v>
      </c>
      <c r="B1893" s="25">
        <v>297.98</v>
      </c>
      <c r="C1893" s="25">
        <v>300.77</v>
      </c>
      <c r="D1893" s="25">
        <v>296.26</v>
      </c>
      <c r="E1893" s="25">
        <v>299.09</v>
      </c>
      <c r="F1893" s="25">
        <v>1396924.0</v>
      </c>
    </row>
    <row r="1894">
      <c r="A1894" s="25">
        <v>41152.645833333336</v>
      </c>
      <c r="B1894" s="25">
        <v>298.25</v>
      </c>
      <c r="C1894" s="25">
        <v>298.25</v>
      </c>
      <c r="D1894" s="25">
        <v>294.34</v>
      </c>
      <c r="E1894" s="25">
        <v>295.21</v>
      </c>
      <c r="F1894" s="25">
        <v>726383.0</v>
      </c>
    </row>
    <row r="1895">
      <c r="A1895" s="25">
        <v>41155.645833333336</v>
      </c>
      <c r="B1895" s="25">
        <v>295.75</v>
      </c>
      <c r="C1895" s="25">
        <v>299.86</v>
      </c>
      <c r="D1895" s="25">
        <v>294.75</v>
      </c>
      <c r="E1895" s="25">
        <v>295.64</v>
      </c>
      <c r="F1895" s="25">
        <v>540189.0</v>
      </c>
    </row>
    <row r="1896">
      <c r="A1896" s="25">
        <v>41156.645833333336</v>
      </c>
      <c r="B1896" s="25">
        <v>295.04</v>
      </c>
      <c r="C1896" s="25">
        <v>296.5</v>
      </c>
      <c r="D1896" s="25">
        <v>293.01</v>
      </c>
      <c r="E1896" s="25">
        <v>295.1</v>
      </c>
      <c r="F1896" s="25">
        <v>291666.0</v>
      </c>
    </row>
    <row r="1897">
      <c r="A1897" s="25">
        <v>41157.645833333336</v>
      </c>
      <c r="B1897" s="25">
        <v>293.38</v>
      </c>
      <c r="C1897" s="25">
        <v>294.63</v>
      </c>
      <c r="D1897" s="25">
        <v>291.52</v>
      </c>
      <c r="E1897" s="25">
        <v>292.43</v>
      </c>
      <c r="F1897" s="25">
        <v>501653.0</v>
      </c>
    </row>
    <row r="1898">
      <c r="A1898" s="25">
        <v>41158.645833333336</v>
      </c>
      <c r="B1898" s="25">
        <v>293.81</v>
      </c>
      <c r="C1898" s="25">
        <v>303.49</v>
      </c>
      <c r="D1898" s="25">
        <v>293.81</v>
      </c>
      <c r="E1898" s="25">
        <v>302.75</v>
      </c>
      <c r="F1898" s="25">
        <v>952923.0</v>
      </c>
    </row>
    <row r="1899">
      <c r="A1899" s="25">
        <v>41159.645833333336</v>
      </c>
      <c r="B1899" s="25">
        <v>306.88</v>
      </c>
      <c r="C1899" s="25">
        <v>311.75</v>
      </c>
      <c r="D1899" s="25">
        <v>306.39</v>
      </c>
      <c r="E1899" s="25">
        <v>310.91</v>
      </c>
      <c r="F1899" s="25">
        <v>759462.0</v>
      </c>
    </row>
    <row r="1900">
      <c r="A1900" s="25">
        <v>41162.645833333336</v>
      </c>
      <c r="B1900" s="25">
        <v>312.0</v>
      </c>
      <c r="C1900" s="25">
        <v>315.88</v>
      </c>
      <c r="D1900" s="25">
        <v>309.84</v>
      </c>
      <c r="E1900" s="25">
        <v>314.04</v>
      </c>
      <c r="F1900" s="25">
        <v>917165.0</v>
      </c>
    </row>
    <row r="1901">
      <c r="A1901" s="25">
        <v>41163.645833333336</v>
      </c>
      <c r="B1901" s="25">
        <v>312.5</v>
      </c>
      <c r="C1901" s="25">
        <v>316.99</v>
      </c>
      <c r="D1901" s="25">
        <v>309.33</v>
      </c>
      <c r="E1901" s="25">
        <v>316.19</v>
      </c>
      <c r="F1901" s="25">
        <v>680238.0</v>
      </c>
    </row>
    <row r="1902">
      <c r="A1902" s="25">
        <v>41164.645833333336</v>
      </c>
      <c r="B1902" s="25">
        <v>316.38</v>
      </c>
      <c r="C1902" s="25">
        <v>318.74</v>
      </c>
      <c r="D1902" s="25">
        <v>315.14</v>
      </c>
      <c r="E1902" s="25">
        <v>317.46</v>
      </c>
      <c r="F1902" s="25">
        <v>635416.0</v>
      </c>
    </row>
    <row r="1903">
      <c r="A1903" s="25">
        <v>41165.645833333336</v>
      </c>
      <c r="B1903" s="25">
        <v>317.35</v>
      </c>
      <c r="C1903" s="25">
        <v>320.86</v>
      </c>
      <c r="D1903" s="25">
        <v>314.75</v>
      </c>
      <c r="E1903" s="25">
        <v>319.38</v>
      </c>
      <c r="F1903" s="25">
        <v>656213.0</v>
      </c>
    </row>
    <row r="1904">
      <c r="A1904" s="25">
        <v>41166.645833333336</v>
      </c>
      <c r="B1904" s="25">
        <v>323.5</v>
      </c>
      <c r="C1904" s="25">
        <v>330.59</v>
      </c>
      <c r="D1904" s="25">
        <v>323.26</v>
      </c>
      <c r="E1904" s="25">
        <v>329.01</v>
      </c>
      <c r="F1904" s="25">
        <v>1328481.0</v>
      </c>
    </row>
    <row r="1905">
      <c r="A1905" s="25">
        <v>41169.645833333336</v>
      </c>
      <c r="B1905" s="25">
        <v>331.13</v>
      </c>
      <c r="C1905" s="25">
        <v>331.13</v>
      </c>
      <c r="D1905" s="25">
        <v>318.38</v>
      </c>
      <c r="E1905" s="25">
        <v>320.56</v>
      </c>
      <c r="F1905" s="25">
        <v>1232409.0</v>
      </c>
    </row>
    <row r="1906">
      <c r="A1906" s="25">
        <v>41170.645833333336</v>
      </c>
      <c r="B1906" s="25">
        <v>322.5</v>
      </c>
      <c r="C1906" s="25">
        <v>327.38</v>
      </c>
      <c r="D1906" s="25">
        <v>322.25</v>
      </c>
      <c r="E1906" s="25">
        <v>325.1</v>
      </c>
      <c r="F1906" s="25">
        <v>898025.0</v>
      </c>
    </row>
    <row r="1907">
      <c r="A1907" s="25">
        <v>41172.645833333336</v>
      </c>
      <c r="B1907" s="25">
        <v>319.58</v>
      </c>
      <c r="C1907" s="25">
        <v>330.63</v>
      </c>
      <c r="D1907" s="25">
        <v>319.58</v>
      </c>
      <c r="E1907" s="25">
        <v>327.15</v>
      </c>
      <c r="F1907" s="25">
        <v>1453142.0</v>
      </c>
    </row>
    <row r="1908">
      <c r="A1908" s="25">
        <v>41173.645833333336</v>
      </c>
      <c r="B1908" s="25">
        <v>326.92</v>
      </c>
      <c r="C1908" s="25">
        <v>331.25</v>
      </c>
      <c r="D1908" s="25">
        <v>322.95</v>
      </c>
      <c r="E1908" s="25">
        <v>324.16</v>
      </c>
      <c r="F1908" s="25">
        <v>1536734.0</v>
      </c>
    </row>
    <row r="1909">
      <c r="A1909" s="25">
        <v>41176.645833333336</v>
      </c>
      <c r="B1909" s="25">
        <v>325.0</v>
      </c>
      <c r="C1909" s="25">
        <v>326.24</v>
      </c>
      <c r="D1909" s="25">
        <v>321.89</v>
      </c>
      <c r="E1909" s="25">
        <v>325.02</v>
      </c>
      <c r="F1909" s="25">
        <v>1106754.0</v>
      </c>
    </row>
    <row r="1910">
      <c r="A1910" s="25">
        <v>41177.645833333336</v>
      </c>
      <c r="B1910" s="25">
        <v>323.75</v>
      </c>
      <c r="C1910" s="25">
        <v>326.38</v>
      </c>
      <c r="D1910" s="25">
        <v>323.51</v>
      </c>
      <c r="E1910" s="25">
        <v>324.76</v>
      </c>
      <c r="F1910" s="25">
        <v>1106219.0</v>
      </c>
    </row>
    <row r="1911">
      <c r="A1911" s="25">
        <v>41178.645833333336</v>
      </c>
      <c r="B1911" s="25">
        <v>322.25</v>
      </c>
      <c r="C1911" s="25">
        <v>325.0</v>
      </c>
      <c r="D1911" s="25">
        <v>320.89</v>
      </c>
      <c r="E1911" s="25">
        <v>323.66</v>
      </c>
      <c r="F1911" s="25">
        <v>1061238.0</v>
      </c>
    </row>
    <row r="1912">
      <c r="A1912" s="25">
        <v>41179.645833333336</v>
      </c>
      <c r="B1912" s="25">
        <v>324.06</v>
      </c>
      <c r="C1912" s="25">
        <v>324.13</v>
      </c>
      <c r="D1912" s="25">
        <v>316.84</v>
      </c>
      <c r="E1912" s="25">
        <v>318.67</v>
      </c>
      <c r="F1912" s="25">
        <v>1727860.0</v>
      </c>
    </row>
    <row r="1913">
      <c r="A1913" s="25">
        <v>41180.645833333336</v>
      </c>
      <c r="B1913" s="25">
        <v>320.13</v>
      </c>
      <c r="C1913" s="25">
        <v>322.49</v>
      </c>
      <c r="D1913" s="25">
        <v>315.77</v>
      </c>
      <c r="E1913" s="25">
        <v>316.87</v>
      </c>
      <c r="F1913" s="25">
        <v>1210653.0</v>
      </c>
    </row>
    <row r="1914">
      <c r="A1914" s="25">
        <v>41183.645833333336</v>
      </c>
      <c r="B1914" s="25">
        <v>318.91</v>
      </c>
      <c r="C1914" s="25">
        <v>327.52</v>
      </c>
      <c r="D1914" s="25">
        <v>318.63</v>
      </c>
      <c r="E1914" s="25">
        <v>326.21</v>
      </c>
      <c r="F1914" s="25">
        <v>1103286.0</v>
      </c>
    </row>
    <row r="1915">
      <c r="A1915" s="25">
        <v>41185.645833333336</v>
      </c>
      <c r="B1915" s="25">
        <v>325.66</v>
      </c>
      <c r="C1915" s="25">
        <v>327.39</v>
      </c>
      <c r="D1915" s="25">
        <v>320.06</v>
      </c>
      <c r="E1915" s="25">
        <v>322.28</v>
      </c>
      <c r="F1915" s="25">
        <v>977953.0</v>
      </c>
    </row>
    <row r="1916">
      <c r="A1916" s="25">
        <v>41186.645833333336</v>
      </c>
      <c r="B1916" s="25">
        <v>321.89</v>
      </c>
      <c r="C1916" s="25">
        <v>324.36</v>
      </c>
      <c r="D1916" s="25">
        <v>319.63</v>
      </c>
      <c r="E1916" s="25">
        <v>321.96</v>
      </c>
      <c r="F1916" s="25">
        <v>895535.0</v>
      </c>
    </row>
    <row r="1917">
      <c r="A1917" s="25">
        <v>41187.645833333336</v>
      </c>
      <c r="B1917" s="25">
        <v>323.13</v>
      </c>
      <c r="C1917" s="25">
        <v>323.13</v>
      </c>
      <c r="D1917" s="25">
        <v>257.57</v>
      </c>
      <c r="E1917" s="25">
        <v>315.86</v>
      </c>
      <c r="F1917" s="25">
        <v>1454000.0</v>
      </c>
    </row>
    <row r="1918">
      <c r="A1918" s="25">
        <v>41190.645833333336</v>
      </c>
      <c r="B1918" s="25">
        <v>315.6</v>
      </c>
      <c r="C1918" s="25">
        <v>317.86</v>
      </c>
      <c r="D1918" s="25">
        <v>307.5</v>
      </c>
      <c r="E1918" s="25">
        <v>311.02</v>
      </c>
      <c r="F1918" s="25">
        <v>1009680.0</v>
      </c>
    </row>
    <row r="1919">
      <c r="A1919" s="25">
        <v>41191.645833333336</v>
      </c>
      <c r="B1919" s="25">
        <v>313.13</v>
      </c>
      <c r="C1919" s="25">
        <v>318.75</v>
      </c>
      <c r="D1919" s="25">
        <v>310.5</v>
      </c>
      <c r="E1919" s="25">
        <v>317.03</v>
      </c>
      <c r="F1919" s="25">
        <v>1135540.0</v>
      </c>
    </row>
    <row r="1920">
      <c r="A1920" s="25">
        <v>41192.645833333336</v>
      </c>
      <c r="B1920" s="25">
        <v>313.39</v>
      </c>
      <c r="C1920" s="25">
        <v>316.02</v>
      </c>
      <c r="D1920" s="25">
        <v>311.2</v>
      </c>
      <c r="E1920" s="25">
        <v>313.02</v>
      </c>
      <c r="F1920" s="25">
        <v>741513.0</v>
      </c>
    </row>
    <row r="1921">
      <c r="A1921" s="25">
        <v>41193.645833333336</v>
      </c>
      <c r="B1921" s="25">
        <v>312.0</v>
      </c>
      <c r="C1921" s="25">
        <v>322.51</v>
      </c>
      <c r="D1921" s="25">
        <v>310.15</v>
      </c>
      <c r="E1921" s="25">
        <v>316.65</v>
      </c>
      <c r="F1921" s="25">
        <v>1870800.0</v>
      </c>
    </row>
    <row r="1922">
      <c r="A1922" s="25">
        <v>41194.645833333336</v>
      </c>
      <c r="B1922" s="25">
        <v>293.75</v>
      </c>
      <c r="C1922" s="25">
        <v>305.98</v>
      </c>
      <c r="D1922" s="25">
        <v>288.88</v>
      </c>
      <c r="E1922" s="25">
        <v>299.42</v>
      </c>
      <c r="F1922" s="25">
        <v>7087722.0</v>
      </c>
    </row>
    <row r="1923">
      <c r="A1923" s="25">
        <v>41197.645833333336</v>
      </c>
      <c r="B1923" s="25">
        <v>298.21</v>
      </c>
      <c r="C1923" s="25">
        <v>301.5</v>
      </c>
      <c r="D1923" s="25">
        <v>294.1</v>
      </c>
      <c r="E1923" s="25">
        <v>295.7</v>
      </c>
      <c r="F1923" s="25">
        <v>1848765.0</v>
      </c>
    </row>
    <row r="1924">
      <c r="A1924" s="25">
        <v>41198.645833333336</v>
      </c>
      <c r="B1924" s="25">
        <v>297.49</v>
      </c>
      <c r="C1924" s="25">
        <v>298.63</v>
      </c>
      <c r="D1924" s="25">
        <v>293.38</v>
      </c>
      <c r="E1924" s="25">
        <v>294.46</v>
      </c>
      <c r="F1924" s="25">
        <v>910256.0</v>
      </c>
    </row>
    <row r="1925">
      <c r="A1925" s="25">
        <v>41199.645833333336</v>
      </c>
      <c r="B1925" s="25">
        <v>297.01</v>
      </c>
      <c r="C1925" s="25">
        <v>297.38</v>
      </c>
      <c r="D1925" s="25">
        <v>294.66</v>
      </c>
      <c r="E1925" s="25">
        <v>296.27</v>
      </c>
      <c r="F1925" s="25">
        <v>713415.0</v>
      </c>
    </row>
    <row r="1926">
      <c r="A1926" s="25">
        <v>41200.645833333336</v>
      </c>
      <c r="B1926" s="25">
        <v>295.5</v>
      </c>
      <c r="C1926" s="25">
        <v>299.63</v>
      </c>
      <c r="D1926" s="25">
        <v>293.14</v>
      </c>
      <c r="E1926" s="25">
        <v>297.2</v>
      </c>
      <c r="F1926" s="25">
        <v>1274072.0</v>
      </c>
    </row>
    <row r="1927">
      <c r="A1927" s="25">
        <v>41201.645833333336</v>
      </c>
      <c r="B1927" s="25">
        <v>295.75</v>
      </c>
      <c r="C1927" s="25">
        <v>299.63</v>
      </c>
      <c r="D1927" s="25">
        <v>295.75</v>
      </c>
      <c r="E1927" s="25">
        <v>297.92</v>
      </c>
      <c r="F1927" s="25">
        <v>1367150.0</v>
      </c>
    </row>
    <row r="1928">
      <c r="A1928" s="25">
        <v>41204.645833333336</v>
      </c>
      <c r="B1928" s="25">
        <v>296.03</v>
      </c>
      <c r="C1928" s="25">
        <v>299.75</v>
      </c>
      <c r="D1928" s="25">
        <v>296.03</v>
      </c>
      <c r="E1928" s="25">
        <v>298.19</v>
      </c>
      <c r="F1928" s="25">
        <v>570858.0</v>
      </c>
    </row>
    <row r="1929">
      <c r="A1929" s="25">
        <v>41205.645833333336</v>
      </c>
      <c r="B1929" s="25">
        <v>295.25</v>
      </c>
      <c r="C1929" s="25">
        <v>298.0</v>
      </c>
      <c r="D1929" s="25">
        <v>293.75</v>
      </c>
      <c r="E1929" s="25">
        <v>294.14</v>
      </c>
      <c r="F1929" s="25">
        <v>592893.0</v>
      </c>
    </row>
    <row r="1930">
      <c r="A1930" s="25">
        <v>41207.645833333336</v>
      </c>
      <c r="B1930" s="25">
        <v>292.88</v>
      </c>
      <c r="C1930" s="25">
        <v>294.64</v>
      </c>
      <c r="D1930" s="25">
        <v>291.27</v>
      </c>
      <c r="E1930" s="25">
        <v>293.09</v>
      </c>
      <c r="F1930" s="25">
        <v>1407097.0</v>
      </c>
    </row>
    <row r="1931">
      <c r="A1931" s="25">
        <v>41208.645833333336</v>
      </c>
      <c r="B1931" s="25">
        <v>291.84</v>
      </c>
      <c r="C1931" s="25">
        <v>293.1</v>
      </c>
      <c r="D1931" s="25">
        <v>290.13</v>
      </c>
      <c r="E1931" s="25">
        <v>291.2</v>
      </c>
      <c r="F1931" s="25">
        <v>427536.0</v>
      </c>
    </row>
    <row r="1932">
      <c r="A1932" s="25">
        <v>41211.645833333336</v>
      </c>
      <c r="B1932" s="25">
        <v>290.13</v>
      </c>
      <c r="C1932" s="25">
        <v>292.38</v>
      </c>
      <c r="D1932" s="25">
        <v>288.41</v>
      </c>
      <c r="E1932" s="25">
        <v>291.94</v>
      </c>
      <c r="F1932" s="25">
        <v>592083.0</v>
      </c>
    </row>
    <row r="1933">
      <c r="A1933" s="25">
        <v>41212.645833333336</v>
      </c>
      <c r="B1933" s="25">
        <v>290.75</v>
      </c>
      <c r="C1933" s="25">
        <v>295.63</v>
      </c>
      <c r="D1933" s="25">
        <v>290.75</v>
      </c>
      <c r="E1933" s="25">
        <v>294.79</v>
      </c>
      <c r="F1933" s="25">
        <v>716032.0</v>
      </c>
    </row>
    <row r="1934">
      <c r="A1934" s="25">
        <v>41213.645833333336</v>
      </c>
      <c r="B1934" s="25">
        <v>293.75</v>
      </c>
      <c r="C1934" s="25">
        <v>296.81</v>
      </c>
      <c r="D1934" s="25">
        <v>293.19</v>
      </c>
      <c r="E1934" s="25">
        <v>295.38</v>
      </c>
      <c r="F1934" s="25">
        <v>814665.0</v>
      </c>
    </row>
    <row r="1935">
      <c r="A1935" s="25">
        <v>41214.645833333336</v>
      </c>
      <c r="B1935" s="25">
        <v>295.25</v>
      </c>
      <c r="C1935" s="25">
        <v>296.25</v>
      </c>
      <c r="D1935" s="25">
        <v>292.64</v>
      </c>
      <c r="E1935" s="25">
        <v>295.58</v>
      </c>
      <c r="F1935" s="25">
        <v>876372.0</v>
      </c>
    </row>
    <row r="1936">
      <c r="A1936" s="25">
        <v>41215.645833333336</v>
      </c>
      <c r="B1936" s="25">
        <v>296.38</v>
      </c>
      <c r="C1936" s="25">
        <v>300.58</v>
      </c>
      <c r="D1936" s="25">
        <v>296.14</v>
      </c>
      <c r="E1936" s="25">
        <v>298.51</v>
      </c>
      <c r="F1936" s="25">
        <v>881152.0</v>
      </c>
    </row>
    <row r="1937">
      <c r="A1937" s="25">
        <v>41218.645833333336</v>
      </c>
      <c r="B1937" s="25">
        <v>297.89</v>
      </c>
      <c r="C1937" s="25">
        <v>298.83</v>
      </c>
      <c r="D1937" s="25">
        <v>295.94</v>
      </c>
      <c r="E1937" s="25">
        <v>297.31</v>
      </c>
      <c r="F1937" s="25">
        <v>619900.0</v>
      </c>
    </row>
    <row r="1938">
      <c r="A1938" s="25">
        <v>41219.645833333336</v>
      </c>
      <c r="B1938" s="25">
        <v>298.0</v>
      </c>
      <c r="C1938" s="25">
        <v>300.81</v>
      </c>
      <c r="D1938" s="25">
        <v>296.41</v>
      </c>
      <c r="E1938" s="25">
        <v>297.71</v>
      </c>
      <c r="F1938" s="25">
        <v>851971.0</v>
      </c>
    </row>
    <row r="1939">
      <c r="A1939" s="25">
        <v>41220.645833333336</v>
      </c>
      <c r="B1939" s="25">
        <v>297.75</v>
      </c>
      <c r="C1939" s="25">
        <v>301.75</v>
      </c>
      <c r="D1939" s="25">
        <v>296.88</v>
      </c>
      <c r="E1939" s="25">
        <v>300.55</v>
      </c>
      <c r="F1939" s="25">
        <v>586908.0</v>
      </c>
    </row>
    <row r="1940">
      <c r="A1940" s="25">
        <v>41221.645833333336</v>
      </c>
      <c r="B1940" s="25">
        <v>296.5</v>
      </c>
      <c r="C1940" s="25">
        <v>298.07</v>
      </c>
      <c r="D1940" s="25">
        <v>295.63</v>
      </c>
      <c r="E1940" s="25">
        <v>296.91</v>
      </c>
      <c r="F1940" s="25">
        <v>653645.0</v>
      </c>
    </row>
    <row r="1941">
      <c r="A1941" s="25">
        <v>41222.645833333336</v>
      </c>
      <c r="B1941" s="25">
        <v>295.63</v>
      </c>
      <c r="C1941" s="25">
        <v>295.63</v>
      </c>
      <c r="D1941" s="25">
        <v>293.13</v>
      </c>
      <c r="E1941" s="25">
        <v>293.59</v>
      </c>
      <c r="F1941" s="25">
        <v>742365.0</v>
      </c>
    </row>
    <row r="1942">
      <c r="A1942" s="25">
        <v>41225.645833333336</v>
      </c>
      <c r="B1942" s="25">
        <v>294.38</v>
      </c>
      <c r="C1942" s="25">
        <v>296.13</v>
      </c>
      <c r="D1942" s="25">
        <v>291.69</v>
      </c>
      <c r="E1942" s="25">
        <v>294.87</v>
      </c>
      <c r="F1942" s="25">
        <v>462024.0</v>
      </c>
    </row>
    <row r="1943">
      <c r="A1943" s="25">
        <v>41226.645833333336</v>
      </c>
      <c r="B1943" s="25">
        <v>294.25</v>
      </c>
      <c r="C1943" s="25">
        <v>295.0</v>
      </c>
      <c r="D1943" s="25">
        <v>291.63</v>
      </c>
      <c r="E1943" s="25">
        <v>292.29</v>
      </c>
      <c r="F1943" s="25">
        <v>70407.0</v>
      </c>
    </row>
    <row r="1944">
      <c r="A1944" s="25">
        <v>41228.645833333336</v>
      </c>
      <c r="B1944" s="25">
        <v>291.89</v>
      </c>
      <c r="C1944" s="25">
        <v>292.13</v>
      </c>
      <c r="D1944" s="25">
        <v>284.85</v>
      </c>
      <c r="E1944" s="25">
        <v>287.04</v>
      </c>
      <c r="F1944" s="25">
        <v>1141631.0</v>
      </c>
    </row>
    <row r="1945">
      <c r="A1945" s="25">
        <v>41229.645833333336</v>
      </c>
      <c r="B1945" s="25">
        <v>286.38</v>
      </c>
      <c r="C1945" s="25">
        <v>298.38</v>
      </c>
      <c r="D1945" s="25">
        <v>286.38</v>
      </c>
      <c r="E1945" s="25">
        <v>292.92</v>
      </c>
      <c r="F1945" s="25">
        <v>1711638.0</v>
      </c>
    </row>
    <row r="1946">
      <c r="A1946" s="25">
        <v>41232.645833333336</v>
      </c>
      <c r="B1946" s="25">
        <v>293.0</v>
      </c>
      <c r="C1946" s="25">
        <v>297.65</v>
      </c>
      <c r="D1946" s="25">
        <v>292.08</v>
      </c>
      <c r="E1946" s="25">
        <v>294.82</v>
      </c>
      <c r="F1946" s="25">
        <v>504516.0</v>
      </c>
    </row>
    <row r="1947">
      <c r="A1947" s="25">
        <v>41233.645833333336</v>
      </c>
      <c r="B1947" s="25">
        <v>297.14</v>
      </c>
      <c r="C1947" s="25">
        <v>297.14</v>
      </c>
      <c r="D1947" s="25">
        <v>289.1</v>
      </c>
      <c r="E1947" s="25">
        <v>290.59</v>
      </c>
      <c r="F1947" s="25">
        <v>680038.0</v>
      </c>
    </row>
    <row r="1948">
      <c r="A1948" s="25">
        <v>41234.645833333336</v>
      </c>
      <c r="B1948" s="25">
        <v>291.21</v>
      </c>
      <c r="C1948" s="25">
        <v>295.49</v>
      </c>
      <c r="D1948" s="25">
        <v>290.18</v>
      </c>
      <c r="E1948" s="25">
        <v>293.73</v>
      </c>
      <c r="F1948" s="25">
        <v>873726.0</v>
      </c>
    </row>
    <row r="1949">
      <c r="A1949" s="25">
        <v>41235.645833333336</v>
      </c>
      <c r="B1949" s="25">
        <v>293.5</v>
      </c>
      <c r="C1949" s="25">
        <v>299.0</v>
      </c>
      <c r="D1949" s="25">
        <v>291.88</v>
      </c>
      <c r="E1949" s="25">
        <v>297.83</v>
      </c>
      <c r="F1949" s="25">
        <v>728414.0</v>
      </c>
    </row>
    <row r="1950">
      <c r="A1950" s="25">
        <v>41236.645833333336</v>
      </c>
      <c r="B1950" s="25">
        <v>297.75</v>
      </c>
      <c r="C1950" s="25">
        <v>299.88</v>
      </c>
      <c r="D1950" s="25">
        <v>294.63</v>
      </c>
      <c r="E1950" s="25">
        <v>297.19</v>
      </c>
      <c r="F1950" s="25">
        <v>434717.0</v>
      </c>
    </row>
    <row r="1951">
      <c r="A1951" s="25">
        <v>41239.645833333336</v>
      </c>
      <c r="B1951" s="25">
        <v>298.84</v>
      </c>
      <c r="C1951" s="25">
        <v>302.63</v>
      </c>
      <c r="D1951" s="25">
        <v>298.84</v>
      </c>
      <c r="E1951" s="25">
        <v>302.18</v>
      </c>
      <c r="F1951" s="25">
        <v>473507.0</v>
      </c>
    </row>
    <row r="1952">
      <c r="A1952" s="25">
        <v>41240.645833333336</v>
      </c>
      <c r="B1952" s="25">
        <v>302.75</v>
      </c>
      <c r="C1952" s="25">
        <v>310.0</v>
      </c>
      <c r="D1952" s="25">
        <v>302.73</v>
      </c>
      <c r="E1952" s="25">
        <v>308.83</v>
      </c>
      <c r="F1952" s="25">
        <v>714663.0</v>
      </c>
    </row>
    <row r="1953">
      <c r="A1953" s="25">
        <v>41242.645833333336</v>
      </c>
      <c r="B1953" s="25">
        <v>306.25</v>
      </c>
      <c r="C1953" s="25">
        <v>307.41</v>
      </c>
      <c r="D1953" s="25">
        <v>303.31</v>
      </c>
      <c r="E1953" s="25">
        <v>305.66</v>
      </c>
      <c r="F1953" s="25">
        <v>1295637.0</v>
      </c>
    </row>
    <row r="1954">
      <c r="A1954" s="25">
        <v>41243.645833333336</v>
      </c>
      <c r="B1954" s="25">
        <v>305.2</v>
      </c>
      <c r="C1954" s="25">
        <v>309.56</v>
      </c>
      <c r="D1954" s="25">
        <v>303.13</v>
      </c>
      <c r="E1954" s="25">
        <v>304.61</v>
      </c>
      <c r="F1954" s="25">
        <v>881339.0</v>
      </c>
    </row>
    <row r="1955">
      <c r="A1955" s="25">
        <v>41246.645833333336</v>
      </c>
      <c r="B1955" s="25">
        <v>304.63</v>
      </c>
      <c r="C1955" s="25">
        <v>306.63</v>
      </c>
      <c r="D1955" s="25">
        <v>303.04</v>
      </c>
      <c r="E1955" s="25">
        <v>304.89</v>
      </c>
      <c r="F1955" s="25">
        <v>650373.0</v>
      </c>
    </row>
    <row r="1956">
      <c r="A1956" s="25">
        <v>41247.645833333336</v>
      </c>
      <c r="B1956" s="25">
        <v>303.63</v>
      </c>
      <c r="C1956" s="25">
        <v>305.88</v>
      </c>
      <c r="D1956" s="25">
        <v>301.88</v>
      </c>
      <c r="E1956" s="25">
        <v>304.68</v>
      </c>
      <c r="F1956" s="25">
        <v>563786.0</v>
      </c>
    </row>
    <row r="1957">
      <c r="A1957" s="25">
        <v>41248.645833333336</v>
      </c>
      <c r="B1957" s="25">
        <v>303.63</v>
      </c>
      <c r="C1957" s="25">
        <v>303.75</v>
      </c>
      <c r="D1957" s="25">
        <v>297.19</v>
      </c>
      <c r="E1957" s="25">
        <v>297.81</v>
      </c>
      <c r="F1957" s="25">
        <v>1749378.0</v>
      </c>
    </row>
    <row r="1958">
      <c r="A1958" s="25">
        <v>41249.645833333336</v>
      </c>
      <c r="B1958" s="25">
        <v>299.25</v>
      </c>
      <c r="C1958" s="25">
        <v>299.25</v>
      </c>
      <c r="D1958" s="25">
        <v>289.24</v>
      </c>
      <c r="E1958" s="25">
        <v>292.29</v>
      </c>
      <c r="F1958" s="25">
        <v>1376491.0</v>
      </c>
    </row>
    <row r="1959">
      <c r="A1959" s="25">
        <v>41250.645833333336</v>
      </c>
      <c r="B1959" s="25">
        <v>290.13</v>
      </c>
      <c r="C1959" s="25">
        <v>293.56</v>
      </c>
      <c r="D1959" s="25">
        <v>288.89</v>
      </c>
      <c r="E1959" s="25">
        <v>290.14</v>
      </c>
      <c r="F1959" s="25">
        <v>1185739.0</v>
      </c>
    </row>
    <row r="1960">
      <c r="A1960" s="25">
        <v>41253.645833333336</v>
      </c>
      <c r="B1960" s="25">
        <v>290.12</v>
      </c>
      <c r="C1960" s="25">
        <v>293.0</v>
      </c>
      <c r="D1960" s="25">
        <v>287.38</v>
      </c>
      <c r="E1960" s="25">
        <v>289.19</v>
      </c>
      <c r="F1960" s="25">
        <v>853740.0</v>
      </c>
    </row>
    <row r="1961">
      <c r="A1961" s="25">
        <v>41254.645833333336</v>
      </c>
      <c r="B1961" s="25">
        <v>289.5</v>
      </c>
      <c r="C1961" s="25">
        <v>292.01</v>
      </c>
      <c r="D1961" s="25">
        <v>285.36</v>
      </c>
      <c r="E1961" s="25">
        <v>286.76</v>
      </c>
      <c r="F1961" s="25">
        <v>1423053.0</v>
      </c>
    </row>
    <row r="1962">
      <c r="A1962" s="25">
        <v>41255.645833333336</v>
      </c>
      <c r="B1962" s="25">
        <v>288.75</v>
      </c>
      <c r="C1962" s="25">
        <v>290.48</v>
      </c>
      <c r="D1962" s="25">
        <v>285.78</v>
      </c>
      <c r="E1962" s="25">
        <v>287.23</v>
      </c>
      <c r="F1962" s="25">
        <v>1919961.0</v>
      </c>
    </row>
    <row r="1963">
      <c r="A1963" s="25">
        <v>41256.645833333336</v>
      </c>
      <c r="B1963" s="25">
        <v>288.12</v>
      </c>
      <c r="C1963" s="25">
        <v>289.21</v>
      </c>
      <c r="D1963" s="25">
        <v>284.05</v>
      </c>
      <c r="E1963" s="25">
        <v>285.44</v>
      </c>
      <c r="F1963" s="25">
        <v>1245889.0</v>
      </c>
    </row>
    <row r="1964">
      <c r="A1964" s="25">
        <v>41257.645833333336</v>
      </c>
      <c r="B1964" s="25">
        <v>284.13</v>
      </c>
      <c r="C1964" s="25">
        <v>286.88</v>
      </c>
      <c r="D1964" s="25">
        <v>283.25</v>
      </c>
      <c r="E1964" s="25">
        <v>284.85</v>
      </c>
      <c r="F1964" s="25">
        <v>1063499.0</v>
      </c>
    </row>
    <row r="1965">
      <c r="A1965" s="25">
        <v>41260.645833333336</v>
      </c>
      <c r="B1965" s="25">
        <v>283.38</v>
      </c>
      <c r="C1965" s="25">
        <v>286.48</v>
      </c>
      <c r="D1965" s="25">
        <v>282.12</v>
      </c>
      <c r="E1965" s="25">
        <v>283.28</v>
      </c>
      <c r="F1965" s="25">
        <v>1370205.0</v>
      </c>
    </row>
    <row r="1966">
      <c r="A1966" s="25">
        <v>41261.645833333336</v>
      </c>
      <c r="B1966" s="25">
        <v>282.5</v>
      </c>
      <c r="C1966" s="25">
        <v>284.27</v>
      </c>
      <c r="D1966" s="25">
        <v>280.63</v>
      </c>
      <c r="E1966" s="25">
        <v>283.88</v>
      </c>
      <c r="F1966" s="25">
        <v>1036500.0</v>
      </c>
    </row>
    <row r="1967">
      <c r="A1967" s="25">
        <v>41262.645833333336</v>
      </c>
      <c r="B1967" s="25">
        <v>284.25</v>
      </c>
      <c r="C1967" s="25">
        <v>287.49</v>
      </c>
      <c r="D1967" s="25">
        <v>283.76</v>
      </c>
      <c r="E1967" s="25">
        <v>287.02</v>
      </c>
      <c r="F1967" s="25">
        <v>1248987.0</v>
      </c>
    </row>
    <row r="1968">
      <c r="A1968" s="25">
        <v>41263.645833333336</v>
      </c>
      <c r="B1968" s="25">
        <v>288.26</v>
      </c>
      <c r="C1968" s="25">
        <v>288.75</v>
      </c>
      <c r="D1968" s="25">
        <v>284.75</v>
      </c>
      <c r="E1968" s="25">
        <v>287.45</v>
      </c>
      <c r="F1968" s="25">
        <v>1055216.0</v>
      </c>
    </row>
    <row r="1969">
      <c r="A1969" s="25">
        <v>41264.645833333336</v>
      </c>
      <c r="B1969" s="25">
        <v>287.38</v>
      </c>
      <c r="C1969" s="25">
        <v>290.16</v>
      </c>
      <c r="D1969" s="25">
        <v>285.85</v>
      </c>
      <c r="E1969" s="25">
        <v>287.11</v>
      </c>
      <c r="F1969" s="25">
        <v>865502.0</v>
      </c>
    </row>
    <row r="1970">
      <c r="A1970" s="25">
        <v>41267.645833333336</v>
      </c>
      <c r="B1970" s="25">
        <v>290.14</v>
      </c>
      <c r="C1970" s="25">
        <v>291.05</v>
      </c>
      <c r="D1970" s="25">
        <v>289.13</v>
      </c>
      <c r="E1970" s="25">
        <v>290.29</v>
      </c>
      <c r="F1970" s="25">
        <v>540499.0</v>
      </c>
    </row>
    <row r="1971">
      <c r="A1971" s="25">
        <v>41269.645833333336</v>
      </c>
      <c r="B1971" s="25">
        <v>290.38</v>
      </c>
      <c r="C1971" s="25">
        <v>291.36</v>
      </c>
      <c r="D1971" s="25">
        <v>288.04</v>
      </c>
      <c r="E1971" s="25">
        <v>289.41</v>
      </c>
      <c r="F1971" s="25">
        <v>407945.0</v>
      </c>
    </row>
    <row r="1972">
      <c r="A1972" s="25">
        <v>41270.645833333336</v>
      </c>
      <c r="B1972" s="25">
        <v>290.98</v>
      </c>
      <c r="C1972" s="25">
        <v>291.13</v>
      </c>
      <c r="D1972" s="25">
        <v>284.58</v>
      </c>
      <c r="E1972" s="25">
        <v>285.97</v>
      </c>
      <c r="F1972" s="25">
        <v>1013779.0</v>
      </c>
    </row>
    <row r="1973">
      <c r="A1973" s="25">
        <v>41271.645833333336</v>
      </c>
      <c r="B1973" s="25">
        <v>287.76</v>
      </c>
      <c r="C1973" s="25">
        <v>290.69</v>
      </c>
      <c r="D1973" s="25">
        <v>286.06</v>
      </c>
      <c r="E1973" s="25">
        <v>290.4</v>
      </c>
      <c r="F1973" s="25">
        <v>883032.0</v>
      </c>
    </row>
    <row r="1974">
      <c r="A1974" s="25">
        <v>41274.645833333336</v>
      </c>
      <c r="B1974" s="25">
        <v>289.38</v>
      </c>
      <c r="C1974" s="25">
        <v>290.51</v>
      </c>
      <c r="D1974" s="25">
        <v>287.96</v>
      </c>
      <c r="E1974" s="25">
        <v>289.84</v>
      </c>
      <c r="F1974" s="25">
        <v>431478.0</v>
      </c>
    </row>
    <row r="1975">
      <c r="A1975" s="25">
        <v>41275.645833333336</v>
      </c>
      <c r="B1975" s="25">
        <v>290.95</v>
      </c>
      <c r="C1975" s="25">
        <v>291.24</v>
      </c>
      <c r="D1975" s="25">
        <v>288.19</v>
      </c>
      <c r="E1975" s="25">
        <v>288.61</v>
      </c>
      <c r="F1975" s="25">
        <v>369999.0</v>
      </c>
    </row>
    <row r="1976">
      <c r="A1976" s="25">
        <v>41276.645833333336</v>
      </c>
      <c r="B1976" s="25">
        <v>289.52</v>
      </c>
      <c r="C1976" s="25">
        <v>291.0</v>
      </c>
      <c r="D1976" s="25">
        <v>287.94</v>
      </c>
      <c r="E1976" s="25">
        <v>288.65</v>
      </c>
      <c r="F1976" s="25">
        <v>543743.0</v>
      </c>
    </row>
    <row r="1977">
      <c r="A1977" s="25">
        <v>41277.645833333336</v>
      </c>
      <c r="B1977" s="25">
        <v>289.38</v>
      </c>
      <c r="C1977" s="25">
        <v>293.61</v>
      </c>
      <c r="D1977" s="25">
        <v>288.88</v>
      </c>
      <c r="E1977" s="25">
        <v>292.24</v>
      </c>
      <c r="F1977" s="25">
        <v>1324911.0</v>
      </c>
    </row>
    <row r="1978">
      <c r="A1978" s="25">
        <v>41278.645833333336</v>
      </c>
      <c r="B1978" s="25">
        <v>293.55</v>
      </c>
      <c r="C1978" s="25">
        <v>294.37</v>
      </c>
      <c r="D1978" s="25">
        <v>291.5</v>
      </c>
      <c r="E1978" s="25">
        <v>293.69</v>
      </c>
      <c r="F1978" s="25">
        <v>1056751.0</v>
      </c>
    </row>
    <row r="1979">
      <c r="A1979" s="25">
        <v>41281.645833333336</v>
      </c>
      <c r="B1979" s="25">
        <v>293.89</v>
      </c>
      <c r="C1979" s="25">
        <v>297.49</v>
      </c>
      <c r="D1979" s="25">
        <v>291.94</v>
      </c>
      <c r="E1979" s="25">
        <v>296.85</v>
      </c>
      <c r="F1979" s="25">
        <v>1095203.0</v>
      </c>
    </row>
    <row r="1980">
      <c r="A1980" s="25">
        <v>41282.645833333336</v>
      </c>
      <c r="B1980" s="25">
        <v>295.63</v>
      </c>
      <c r="C1980" s="25">
        <v>295.99</v>
      </c>
      <c r="D1980" s="25">
        <v>290.44</v>
      </c>
      <c r="E1980" s="25">
        <v>293.0</v>
      </c>
      <c r="F1980" s="25">
        <v>1608428.0</v>
      </c>
    </row>
    <row r="1981">
      <c r="A1981" s="25">
        <v>41283.645833333336</v>
      </c>
      <c r="B1981" s="25">
        <v>292.52</v>
      </c>
      <c r="C1981" s="25">
        <v>295.23</v>
      </c>
      <c r="D1981" s="25">
        <v>290.41</v>
      </c>
      <c r="E1981" s="25">
        <v>291.38</v>
      </c>
      <c r="F1981" s="25">
        <v>768746.0</v>
      </c>
    </row>
    <row r="1982">
      <c r="A1982" s="25">
        <v>41284.645833333336</v>
      </c>
      <c r="B1982" s="25">
        <v>291.38</v>
      </c>
      <c r="C1982" s="25">
        <v>292.83</v>
      </c>
      <c r="D1982" s="25">
        <v>288.65</v>
      </c>
      <c r="E1982" s="25">
        <v>290.29</v>
      </c>
      <c r="F1982" s="25">
        <v>1362627.0</v>
      </c>
    </row>
    <row r="1983">
      <c r="A1983" s="25">
        <v>41285.645833333336</v>
      </c>
      <c r="B1983" s="25">
        <v>315.13</v>
      </c>
      <c r="C1983" s="25">
        <v>340.25</v>
      </c>
      <c r="D1983" s="25">
        <v>315.13</v>
      </c>
      <c r="E1983" s="25">
        <v>339.01</v>
      </c>
      <c r="F1983" s="25">
        <v>1.1606571E7</v>
      </c>
    </row>
    <row r="1984">
      <c r="A1984" s="25">
        <v>41288.645833333336</v>
      </c>
      <c r="B1984" s="25">
        <v>344.98</v>
      </c>
      <c r="C1984" s="25">
        <v>354.62</v>
      </c>
      <c r="D1984" s="25">
        <v>344.03</v>
      </c>
      <c r="E1984" s="25">
        <v>350.81</v>
      </c>
      <c r="F1984" s="25">
        <v>6365595.0</v>
      </c>
    </row>
    <row r="1985">
      <c r="A1985" s="25">
        <v>41289.645833333336</v>
      </c>
      <c r="B1985" s="25">
        <v>350.75</v>
      </c>
      <c r="C1985" s="25">
        <v>351.18</v>
      </c>
      <c r="D1985" s="25">
        <v>346.81</v>
      </c>
      <c r="E1985" s="25">
        <v>348.38</v>
      </c>
      <c r="F1985" s="25">
        <v>2547235.0</v>
      </c>
    </row>
    <row r="1986">
      <c r="A1986" s="25">
        <v>41290.645833333336</v>
      </c>
      <c r="B1986" s="25">
        <v>347.63</v>
      </c>
      <c r="C1986" s="25">
        <v>348.6</v>
      </c>
      <c r="D1986" s="25">
        <v>344.44</v>
      </c>
      <c r="E1986" s="25">
        <v>345.93</v>
      </c>
      <c r="F1986" s="25">
        <v>1457603.0</v>
      </c>
    </row>
    <row r="1987">
      <c r="A1987" s="25">
        <v>41291.645833333336</v>
      </c>
      <c r="B1987" s="25">
        <v>349.0</v>
      </c>
      <c r="C1987" s="25">
        <v>350.83</v>
      </c>
      <c r="D1987" s="25">
        <v>347.4</v>
      </c>
      <c r="E1987" s="25">
        <v>349.74</v>
      </c>
      <c r="F1987" s="25">
        <v>1470884.0</v>
      </c>
    </row>
    <row r="1988">
      <c r="A1988" s="25">
        <v>41292.645833333336</v>
      </c>
      <c r="B1988" s="25">
        <v>350.63</v>
      </c>
      <c r="C1988" s="25">
        <v>351.25</v>
      </c>
      <c r="D1988" s="25">
        <v>347.18</v>
      </c>
      <c r="E1988" s="25">
        <v>348.51</v>
      </c>
      <c r="F1988" s="25">
        <v>911324.0</v>
      </c>
    </row>
    <row r="1989">
      <c r="A1989" s="25">
        <v>41295.645833333336</v>
      </c>
      <c r="B1989" s="25">
        <v>345.38</v>
      </c>
      <c r="C1989" s="25">
        <v>351.33</v>
      </c>
      <c r="D1989" s="25">
        <v>345.38</v>
      </c>
      <c r="E1989" s="25">
        <v>349.54</v>
      </c>
      <c r="F1989" s="25">
        <v>737445.0</v>
      </c>
    </row>
    <row r="1990">
      <c r="A1990" s="25">
        <v>41296.645833333336</v>
      </c>
      <c r="B1990" s="25">
        <v>349.2</v>
      </c>
      <c r="C1990" s="25">
        <v>349.83</v>
      </c>
      <c r="D1990" s="25">
        <v>347.13</v>
      </c>
      <c r="E1990" s="25">
        <v>347.94</v>
      </c>
      <c r="F1990" s="25">
        <v>638785.0</v>
      </c>
    </row>
    <row r="1991">
      <c r="A1991" s="25">
        <v>41297.645833333336</v>
      </c>
      <c r="B1991" s="25">
        <v>347.63</v>
      </c>
      <c r="C1991" s="25">
        <v>349.75</v>
      </c>
      <c r="D1991" s="25">
        <v>347.63</v>
      </c>
      <c r="E1991" s="25">
        <v>348.7</v>
      </c>
      <c r="F1991" s="25">
        <v>932339.0</v>
      </c>
    </row>
    <row r="1992">
      <c r="A1992" s="25">
        <v>41298.645833333336</v>
      </c>
      <c r="B1992" s="25">
        <v>351.25</v>
      </c>
      <c r="C1992" s="25">
        <v>353.5</v>
      </c>
      <c r="D1992" s="25">
        <v>348.84</v>
      </c>
      <c r="E1992" s="25">
        <v>349.78</v>
      </c>
      <c r="F1992" s="25">
        <v>1401412.0</v>
      </c>
    </row>
    <row r="1993">
      <c r="A1993" s="25">
        <v>41299.645833333336</v>
      </c>
      <c r="B1993" s="25">
        <v>351.25</v>
      </c>
      <c r="C1993" s="25">
        <v>353.5</v>
      </c>
      <c r="D1993" s="25">
        <v>348.89</v>
      </c>
      <c r="E1993" s="25">
        <v>351.83</v>
      </c>
      <c r="F1993" s="25">
        <v>1055317.0</v>
      </c>
    </row>
    <row r="1994">
      <c r="A1994" s="25">
        <v>41302.645833333336</v>
      </c>
      <c r="B1994" s="25">
        <v>351.5</v>
      </c>
      <c r="C1994" s="25">
        <v>353.45</v>
      </c>
      <c r="D1994" s="25">
        <v>350.13</v>
      </c>
      <c r="E1994" s="25">
        <v>351.33</v>
      </c>
      <c r="F1994" s="25">
        <v>840376.0</v>
      </c>
    </row>
    <row r="1995">
      <c r="A1995" s="25">
        <v>41303.645833333336</v>
      </c>
      <c r="B1995" s="25">
        <v>350.75</v>
      </c>
      <c r="C1995" s="25">
        <v>353.13</v>
      </c>
      <c r="D1995" s="25">
        <v>348.57</v>
      </c>
      <c r="E1995" s="25">
        <v>349.88</v>
      </c>
      <c r="F1995" s="25">
        <v>774648.0</v>
      </c>
    </row>
    <row r="1996">
      <c r="A1996" s="25">
        <v>41304.645833333336</v>
      </c>
      <c r="B1996" s="25">
        <v>350.59</v>
      </c>
      <c r="C1996" s="25">
        <v>350.74</v>
      </c>
      <c r="D1996" s="25">
        <v>347.57</v>
      </c>
      <c r="E1996" s="25">
        <v>348.83</v>
      </c>
      <c r="F1996" s="25">
        <v>850691.0</v>
      </c>
    </row>
    <row r="1997">
      <c r="A1997" s="25">
        <v>41305.645833333336</v>
      </c>
      <c r="B1997" s="25">
        <v>349.0</v>
      </c>
      <c r="C1997" s="25">
        <v>350.89</v>
      </c>
      <c r="D1997" s="25">
        <v>346.25</v>
      </c>
      <c r="E1997" s="25">
        <v>348.69</v>
      </c>
      <c r="F1997" s="25">
        <v>2185055.0</v>
      </c>
    </row>
    <row r="1998">
      <c r="A1998" s="25">
        <v>41306.645833333336</v>
      </c>
      <c r="B1998" s="25">
        <v>348.89</v>
      </c>
      <c r="C1998" s="25">
        <v>350.24</v>
      </c>
      <c r="D1998" s="25">
        <v>344.0</v>
      </c>
      <c r="E1998" s="25">
        <v>346.37</v>
      </c>
      <c r="F1998" s="25">
        <v>987456.0</v>
      </c>
    </row>
    <row r="1999">
      <c r="A1999" s="25">
        <v>41309.645833333336</v>
      </c>
      <c r="B1999" s="25">
        <v>347.63</v>
      </c>
      <c r="C1999" s="25">
        <v>348.75</v>
      </c>
      <c r="D1999" s="25">
        <v>343.13</v>
      </c>
      <c r="E1999" s="25">
        <v>345.95</v>
      </c>
      <c r="F1999" s="25">
        <v>937502.0</v>
      </c>
    </row>
    <row r="2000">
      <c r="A2000" s="25">
        <v>41310.645833333336</v>
      </c>
      <c r="B2000" s="25">
        <v>345.41</v>
      </c>
      <c r="C2000" s="25">
        <v>347.79</v>
      </c>
      <c r="D2000" s="25">
        <v>343.19</v>
      </c>
      <c r="E2000" s="25">
        <v>344.49</v>
      </c>
      <c r="F2000" s="25">
        <v>770764.0</v>
      </c>
    </row>
    <row r="2001">
      <c r="A2001" s="25">
        <v>41311.645833333336</v>
      </c>
      <c r="B2001" s="25">
        <v>346.91</v>
      </c>
      <c r="C2001" s="25">
        <v>348.51</v>
      </c>
      <c r="D2001" s="25">
        <v>344.48</v>
      </c>
      <c r="E2001" s="25">
        <v>347.0</v>
      </c>
      <c r="F2001" s="25">
        <v>1137168.0</v>
      </c>
    </row>
    <row r="2002">
      <c r="A2002" s="25">
        <v>41312.645833333336</v>
      </c>
      <c r="B2002" s="25">
        <v>348.25</v>
      </c>
      <c r="C2002" s="25">
        <v>349.88</v>
      </c>
      <c r="D2002" s="25">
        <v>347.51</v>
      </c>
      <c r="E2002" s="25">
        <v>348.69</v>
      </c>
      <c r="F2002" s="25">
        <v>1338059.0</v>
      </c>
    </row>
    <row r="2003">
      <c r="A2003" s="25">
        <v>41313.645833333336</v>
      </c>
      <c r="B2003" s="25">
        <v>347.89</v>
      </c>
      <c r="C2003" s="25">
        <v>352.09</v>
      </c>
      <c r="D2003" s="25">
        <v>346.53</v>
      </c>
      <c r="E2003" s="25">
        <v>348.68</v>
      </c>
      <c r="F2003" s="25">
        <v>685337.0</v>
      </c>
    </row>
    <row r="2004">
      <c r="A2004" s="25">
        <v>41316.645833333336</v>
      </c>
      <c r="B2004" s="25">
        <v>350.16</v>
      </c>
      <c r="C2004" s="25">
        <v>351.87</v>
      </c>
      <c r="D2004" s="25">
        <v>348.11</v>
      </c>
      <c r="E2004" s="25">
        <v>349.01</v>
      </c>
      <c r="F2004" s="25">
        <v>924349.0</v>
      </c>
    </row>
    <row r="2005">
      <c r="A2005" s="25">
        <v>41317.645833333336</v>
      </c>
      <c r="B2005" s="25">
        <v>346.25</v>
      </c>
      <c r="C2005" s="25">
        <v>346.76</v>
      </c>
      <c r="D2005" s="25">
        <v>342.72</v>
      </c>
      <c r="E2005" s="25">
        <v>344.41</v>
      </c>
      <c r="F2005" s="25">
        <v>555299.0</v>
      </c>
    </row>
    <row r="2006">
      <c r="A2006" s="25">
        <v>41318.645833333336</v>
      </c>
      <c r="B2006" s="25">
        <v>344.63</v>
      </c>
      <c r="C2006" s="25">
        <v>349.64</v>
      </c>
      <c r="D2006" s="25">
        <v>343.13</v>
      </c>
      <c r="E2006" s="25">
        <v>348.69</v>
      </c>
      <c r="F2006" s="25">
        <v>790361.0</v>
      </c>
    </row>
    <row r="2007">
      <c r="A2007" s="25">
        <v>41319.645833333336</v>
      </c>
      <c r="B2007" s="25">
        <v>349.3</v>
      </c>
      <c r="C2007" s="25">
        <v>353.5</v>
      </c>
      <c r="D2007" s="25">
        <v>349.29</v>
      </c>
      <c r="E2007" s="25">
        <v>351.59</v>
      </c>
      <c r="F2007" s="25">
        <v>861750.0</v>
      </c>
    </row>
    <row r="2008">
      <c r="A2008" s="25">
        <v>41320.645833333336</v>
      </c>
      <c r="B2008" s="25">
        <v>348.75</v>
      </c>
      <c r="C2008" s="25">
        <v>351.06</v>
      </c>
      <c r="D2008" s="25">
        <v>347.04</v>
      </c>
      <c r="E2008" s="25">
        <v>348.58</v>
      </c>
      <c r="F2008" s="25">
        <v>649282.0</v>
      </c>
    </row>
    <row r="2009">
      <c r="A2009" s="25">
        <v>41323.645833333336</v>
      </c>
      <c r="B2009" s="25">
        <v>347.88</v>
      </c>
      <c r="C2009" s="25">
        <v>348.34</v>
      </c>
      <c r="D2009" s="25">
        <v>345.38</v>
      </c>
      <c r="E2009" s="25">
        <v>347.51</v>
      </c>
      <c r="F2009" s="25">
        <v>344348.0</v>
      </c>
    </row>
    <row r="2010">
      <c r="A2010" s="25">
        <v>41324.645833333336</v>
      </c>
      <c r="B2010" s="25">
        <v>347.51</v>
      </c>
      <c r="C2010" s="25">
        <v>353.13</v>
      </c>
      <c r="D2010" s="25">
        <v>345.88</v>
      </c>
      <c r="E2010" s="25">
        <v>352.56</v>
      </c>
      <c r="F2010" s="25">
        <v>580418.0</v>
      </c>
    </row>
    <row r="2011">
      <c r="A2011" s="25">
        <v>41325.645833333336</v>
      </c>
      <c r="B2011" s="25">
        <v>353.16</v>
      </c>
      <c r="C2011" s="25">
        <v>354.04</v>
      </c>
      <c r="D2011" s="25">
        <v>351.06</v>
      </c>
      <c r="E2011" s="25">
        <v>352.43</v>
      </c>
      <c r="F2011" s="25">
        <v>693153.0</v>
      </c>
    </row>
    <row r="2012">
      <c r="A2012" s="25">
        <v>41326.645833333336</v>
      </c>
      <c r="B2012" s="25">
        <v>350.2</v>
      </c>
      <c r="C2012" s="25">
        <v>352.49</v>
      </c>
      <c r="D2012" s="25">
        <v>349.14</v>
      </c>
      <c r="E2012" s="25">
        <v>350.98</v>
      </c>
      <c r="F2012" s="25">
        <v>694843.0</v>
      </c>
    </row>
    <row r="2013">
      <c r="A2013" s="25">
        <v>41327.645833333336</v>
      </c>
      <c r="B2013" s="25">
        <v>349.84</v>
      </c>
      <c r="C2013" s="25">
        <v>356.88</v>
      </c>
      <c r="D2013" s="25">
        <v>349.64</v>
      </c>
      <c r="E2013" s="25">
        <v>355.07</v>
      </c>
      <c r="F2013" s="25">
        <v>1087942.0</v>
      </c>
    </row>
    <row r="2014">
      <c r="A2014" s="25">
        <v>41330.645833333336</v>
      </c>
      <c r="B2014" s="25">
        <v>358.75</v>
      </c>
      <c r="C2014" s="25">
        <v>365.25</v>
      </c>
      <c r="D2014" s="25">
        <v>358.45</v>
      </c>
      <c r="E2014" s="25">
        <v>364.73</v>
      </c>
      <c r="F2014" s="25">
        <v>1307206.0</v>
      </c>
    </row>
    <row r="2015">
      <c r="A2015" s="25">
        <v>41331.645833333336</v>
      </c>
      <c r="B2015" s="25">
        <v>364.5</v>
      </c>
      <c r="C2015" s="25">
        <v>371.18</v>
      </c>
      <c r="D2015" s="25">
        <v>364.5</v>
      </c>
      <c r="E2015" s="25">
        <v>369.98</v>
      </c>
      <c r="F2015" s="25">
        <v>1521693.0</v>
      </c>
    </row>
    <row r="2016">
      <c r="A2016" s="25">
        <v>41332.645833333336</v>
      </c>
      <c r="B2016" s="25">
        <v>368.5</v>
      </c>
      <c r="C2016" s="25">
        <v>368.5</v>
      </c>
      <c r="D2016" s="25">
        <v>362.76</v>
      </c>
      <c r="E2016" s="25">
        <v>363.82</v>
      </c>
      <c r="F2016" s="25">
        <v>878720.0</v>
      </c>
    </row>
    <row r="2017">
      <c r="A2017" s="25">
        <v>41333.645833333336</v>
      </c>
      <c r="B2017" s="25">
        <v>364.41</v>
      </c>
      <c r="C2017" s="25">
        <v>366.98</v>
      </c>
      <c r="D2017" s="25">
        <v>360.68</v>
      </c>
      <c r="E2017" s="25">
        <v>363.38</v>
      </c>
      <c r="F2017" s="25">
        <v>1476013.0</v>
      </c>
    </row>
    <row r="2018">
      <c r="A2018" s="25">
        <v>41334.645833333336</v>
      </c>
      <c r="B2018" s="25">
        <v>364.25</v>
      </c>
      <c r="C2018" s="25">
        <v>370.18</v>
      </c>
      <c r="D2018" s="25">
        <v>361.5</v>
      </c>
      <c r="E2018" s="25">
        <v>364.23</v>
      </c>
      <c r="F2018" s="25">
        <v>1051829.0</v>
      </c>
    </row>
    <row r="2019">
      <c r="A2019" s="25">
        <v>41337.645833333336</v>
      </c>
      <c r="B2019" s="25">
        <v>365.75</v>
      </c>
      <c r="C2019" s="25">
        <v>367.81</v>
      </c>
      <c r="D2019" s="25">
        <v>359.02</v>
      </c>
      <c r="E2019" s="25">
        <v>362.93</v>
      </c>
      <c r="F2019" s="25">
        <v>1263540.0</v>
      </c>
    </row>
    <row r="2020">
      <c r="A2020" s="25">
        <v>41338.645833333336</v>
      </c>
      <c r="B2020" s="25">
        <v>365.57</v>
      </c>
      <c r="C2020" s="25">
        <v>367.43</v>
      </c>
      <c r="D2020" s="25">
        <v>364.16</v>
      </c>
      <c r="E2020" s="25">
        <v>365.16</v>
      </c>
      <c r="F2020" s="25">
        <v>896493.0</v>
      </c>
    </row>
    <row r="2021">
      <c r="A2021" s="25">
        <v>41339.645833333336</v>
      </c>
      <c r="B2021" s="25">
        <v>368.38</v>
      </c>
      <c r="C2021" s="25">
        <v>372.09</v>
      </c>
      <c r="D2021" s="25">
        <v>365.78</v>
      </c>
      <c r="E2021" s="25">
        <v>371.26</v>
      </c>
      <c r="F2021" s="25">
        <v>1525685.0</v>
      </c>
    </row>
    <row r="2022">
      <c r="A2022" s="25">
        <v>41340.645833333336</v>
      </c>
      <c r="B2022" s="25">
        <v>372.66</v>
      </c>
      <c r="C2022" s="25">
        <v>376.23</v>
      </c>
      <c r="D2022" s="25">
        <v>372.5</v>
      </c>
      <c r="E2022" s="25">
        <v>375.54</v>
      </c>
      <c r="F2022" s="25">
        <v>1714420.0</v>
      </c>
    </row>
    <row r="2023">
      <c r="A2023" s="25">
        <v>41341.645833333336</v>
      </c>
      <c r="B2023" s="25">
        <v>373.5</v>
      </c>
      <c r="C2023" s="25">
        <v>373.63</v>
      </c>
      <c r="D2023" s="25">
        <v>369.66</v>
      </c>
      <c r="E2023" s="25">
        <v>371.28</v>
      </c>
      <c r="F2023" s="25">
        <v>770362.0</v>
      </c>
    </row>
    <row r="2024">
      <c r="A2024" s="25">
        <v>41344.645833333336</v>
      </c>
      <c r="B2024" s="25">
        <v>372.73</v>
      </c>
      <c r="C2024" s="25">
        <v>373.75</v>
      </c>
      <c r="D2024" s="25">
        <v>366.25</v>
      </c>
      <c r="E2024" s="25">
        <v>368.22</v>
      </c>
      <c r="F2024" s="25">
        <v>608270.0</v>
      </c>
    </row>
    <row r="2025">
      <c r="A2025" s="25">
        <v>41345.645833333336</v>
      </c>
      <c r="B2025" s="25">
        <v>367.5</v>
      </c>
      <c r="C2025" s="25">
        <v>368.09</v>
      </c>
      <c r="D2025" s="25">
        <v>364.0</v>
      </c>
      <c r="E2025" s="25">
        <v>364.76</v>
      </c>
      <c r="F2025" s="25">
        <v>714257.0</v>
      </c>
    </row>
    <row r="2026">
      <c r="A2026" s="25">
        <v>41346.645833333336</v>
      </c>
      <c r="B2026" s="25">
        <v>361.25</v>
      </c>
      <c r="C2026" s="25">
        <v>361.25</v>
      </c>
      <c r="D2026" s="25">
        <v>356.26</v>
      </c>
      <c r="E2026" s="25">
        <v>357.93</v>
      </c>
      <c r="F2026" s="25">
        <v>1341267.0</v>
      </c>
    </row>
    <row r="2027">
      <c r="A2027" s="25">
        <v>41347.645833333336</v>
      </c>
      <c r="B2027" s="25">
        <v>358.25</v>
      </c>
      <c r="C2027" s="25">
        <v>361.11</v>
      </c>
      <c r="D2027" s="25">
        <v>355.36</v>
      </c>
      <c r="E2027" s="25">
        <v>359.26</v>
      </c>
      <c r="F2027" s="25">
        <v>1041540.0</v>
      </c>
    </row>
    <row r="2028">
      <c r="A2028" s="25">
        <v>41348.645833333336</v>
      </c>
      <c r="B2028" s="25">
        <v>359.54</v>
      </c>
      <c r="C2028" s="25">
        <v>363.96</v>
      </c>
      <c r="D2028" s="25">
        <v>358.51</v>
      </c>
      <c r="E2028" s="25">
        <v>359.78</v>
      </c>
      <c r="F2028" s="25">
        <v>907599.0</v>
      </c>
    </row>
    <row r="2029">
      <c r="A2029" s="25">
        <v>41351.645833333336</v>
      </c>
      <c r="B2029" s="25">
        <v>358.28</v>
      </c>
      <c r="C2029" s="25">
        <v>361.25</v>
      </c>
      <c r="D2029" s="25">
        <v>356.38</v>
      </c>
      <c r="E2029" s="25">
        <v>357.59</v>
      </c>
      <c r="F2029" s="25">
        <v>805853.0</v>
      </c>
    </row>
    <row r="2030">
      <c r="A2030" s="25">
        <v>41352.645833333336</v>
      </c>
      <c r="B2030" s="25">
        <v>359.38</v>
      </c>
      <c r="C2030" s="25">
        <v>360.78</v>
      </c>
      <c r="D2030" s="25">
        <v>355.14</v>
      </c>
      <c r="E2030" s="25">
        <v>357.0</v>
      </c>
      <c r="F2030" s="25">
        <v>1497018.0</v>
      </c>
    </row>
    <row r="2031">
      <c r="A2031" s="25">
        <v>41353.645833333336</v>
      </c>
      <c r="B2031" s="25">
        <v>358.1</v>
      </c>
      <c r="C2031" s="25">
        <v>359.34</v>
      </c>
      <c r="D2031" s="25">
        <v>353.44</v>
      </c>
      <c r="E2031" s="25">
        <v>358.21</v>
      </c>
      <c r="F2031" s="25">
        <v>1124330.0</v>
      </c>
    </row>
    <row r="2032">
      <c r="A2032" s="25">
        <v>41354.645833333336</v>
      </c>
      <c r="B2032" s="25">
        <v>360.38</v>
      </c>
      <c r="C2032" s="25">
        <v>361.81</v>
      </c>
      <c r="D2032" s="25">
        <v>357.75</v>
      </c>
      <c r="E2032" s="25">
        <v>359.1</v>
      </c>
      <c r="F2032" s="25">
        <v>1242510.0</v>
      </c>
    </row>
    <row r="2033">
      <c r="A2033" s="25">
        <v>41355.645833333336</v>
      </c>
      <c r="B2033" s="25">
        <v>356.24</v>
      </c>
      <c r="C2033" s="25">
        <v>359.44</v>
      </c>
      <c r="D2033" s="25">
        <v>353.75</v>
      </c>
      <c r="E2033" s="25">
        <v>357.9</v>
      </c>
      <c r="F2033" s="25">
        <v>921286.0</v>
      </c>
    </row>
    <row r="2034">
      <c r="A2034" s="25">
        <v>41358.645833333336</v>
      </c>
      <c r="B2034" s="25">
        <v>355.65</v>
      </c>
      <c r="C2034" s="25">
        <v>358.13</v>
      </c>
      <c r="D2034" s="25">
        <v>354.08</v>
      </c>
      <c r="E2034" s="25">
        <v>356.59</v>
      </c>
      <c r="F2034" s="25">
        <v>629607.0</v>
      </c>
    </row>
    <row r="2035">
      <c r="A2035" s="25">
        <v>41359.645833333336</v>
      </c>
      <c r="B2035" s="25">
        <v>355.63</v>
      </c>
      <c r="C2035" s="25">
        <v>358.71</v>
      </c>
      <c r="D2035" s="25">
        <v>354.25</v>
      </c>
      <c r="E2035" s="25">
        <v>356.82</v>
      </c>
      <c r="F2035" s="25">
        <v>426948.0</v>
      </c>
    </row>
    <row r="2036">
      <c r="A2036" s="25">
        <v>41361.645833333336</v>
      </c>
      <c r="B2036" s="25">
        <v>358.13</v>
      </c>
      <c r="C2036" s="25">
        <v>362.12</v>
      </c>
      <c r="D2036" s="25">
        <v>356.4</v>
      </c>
      <c r="E2036" s="25">
        <v>361.17</v>
      </c>
      <c r="F2036" s="25">
        <v>1543506.0</v>
      </c>
    </row>
    <row r="2037">
      <c r="A2037" s="25">
        <v>41365.645833333336</v>
      </c>
      <c r="B2037" s="25">
        <v>363.84</v>
      </c>
      <c r="C2037" s="25">
        <v>369.19</v>
      </c>
      <c r="D2037" s="25">
        <v>363.84</v>
      </c>
      <c r="E2037" s="25">
        <v>368.03</v>
      </c>
      <c r="F2037" s="25">
        <v>927755.0</v>
      </c>
    </row>
    <row r="2038">
      <c r="A2038" s="25">
        <v>41366.645833333336</v>
      </c>
      <c r="B2038" s="25">
        <v>366.25</v>
      </c>
      <c r="C2038" s="25">
        <v>373.71</v>
      </c>
      <c r="D2038" s="25">
        <v>364.36</v>
      </c>
      <c r="E2038" s="25">
        <v>371.13</v>
      </c>
      <c r="F2038" s="25">
        <v>1215111.0</v>
      </c>
    </row>
    <row r="2039">
      <c r="A2039" s="25">
        <v>41367.645833333336</v>
      </c>
      <c r="B2039" s="25">
        <v>368.61</v>
      </c>
      <c r="C2039" s="25">
        <v>374.94</v>
      </c>
      <c r="D2039" s="25">
        <v>368.5</v>
      </c>
      <c r="E2039" s="25">
        <v>371.06</v>
      </c>
      <c r="F2039" s="25">
        <v>1044434.0</v>
      </c>
    </row>
    <row r="2040">
      <c r="A2040" s="25">
        <v>41368.645833333336</v>
      </c>
      <c r="B2040" s="25">
        <v>368.13</v>
      </c>
      <c r="C2040" s="25">
        <v>368.64</v>
      </c>
      <c r="D2040" s="25">
        <v>359.01</v>
      </c>
      <c r="E2040" s="25">
        <v>360.01</v>
      </c>
      <c r="F2040" s="25">
        <v>937495.0</v>
      </c>
    </row>
    <row r="2041">
      <c r="A2041" s="25">
        <v>41369.645833333336</v>
      </c>
      <c r="B2041" s="25">
        <v>359.88</v>
      </c>
      <c r="C2041" s="25">
        <v>362.38</v>
      </c>
      <c r="D2041" s="25">
        <v>356.25</v>
      </c>
      <c r="E2041" s="25">
        <v>358.23</v>
      </c>
      <c r="F2041" s="25">
        <v>546620.0</v>
      </c>
    </row>
    <row r="2042">
      <c r="A2042" s="25">
        <v>41372.645833333336</v>
      </c>
      <c r="B2042" s="25">
        <v>356.25</v>
      </c>
      <c r="C2042" s="25">
        <v>359.21</v>
      </c>
      <c r="D2042" s="25">
        <v>353.41</v>
      </c>
      <c r="E2042" s="25">
        <v>353.99</v>
      </c>
      <c r="F2042" s="25">
        <v>464545.0</v>
      </c>
    </row>
    <row r="2043">
      <c r="A2043" s="25">
        <v>41373.645833333336</v>
      </c>
      <c r="B2043" s="25">
        <v>354.19</v>
      </c>
      <c r="C2043" s="25">
        <v>354.87</v>
      </c>
      <c r="D2043" s="25">
        <v>344.53</v>
      </c>
      <c r="E2043" s="25">
        <v>345.79</v>
      </c>
      <c r="F2043" s="25">
        <v>1355082.0</v>
      </c>
    </row>
    <row r="2044">
      <c r="A2044" s="25">
        <v>41374.645833333336</v>
      </c>
      <c r="B2044" s="25">
        <v>350.38</v>
      </c>
      <c r="C2044" s="25">
        <v>353.48</v>
      </c>
      <c r="D2044" s="25">
        <v>347.03</v>
      </c>
      <c r="E2044" s="25">
        <v>351.96</v>
      </c>
      <c r="F2044" s="25">
        <v>818952.0</v>
      </c>
    </row>
    <row r="2045">
      <c r="A2045" s="25">
        <v>41375.645833333336</v>
      </c>
      <c r="B2045" s="25">
        <v>358.31</v>
      </c>
      <c r="C2045" s="25">
        <v>366.95</v>
      </c>
      <c r="D2045" s="25">
        <v>354.36</v>
      </c>
      <c r="E2045" s="25">
        <v>364.59</v>
      </c>
      <c r="F2045" s="25">
        <v>2127334.0</v>
      </c>
    </row>
    <row r="2046">
      <c r="A2046" s="25">
        <v>41376.645833333336</v>
      </c>
      <c r="B2046" s="25">
        <v>328.13</v>
      </c>
      <c r="C2046" s="25">
        <v>328.13</v>
      </c>
      <c r="D2046" s="25">
        <v>283.59</v>
      </c>
      <c r="E2046" s="25">
        <v>287.08</v>
      </c>
      <c r="F2046" s="25">
        <v>1.2253468E7</v>
      </c>
    </row>
    <row r="2047">
      <c r="A2047" s="25">
        <v>41379.645833333336</v>
      </c>
      <c r="B2047" s="25">
        <v>286.25</v>
      </c>
      <c r="C2047" s="25">
        <v>294.63</v>
      </c>
      <c r="D2047" s="25">
        <v>275.5</v>
      </c>
      <c r="E2047" s="25">
        <v>292.38</v>
      </c>
      <c r="F2047" s="25">
        <v>8319997.0</v>
      </c>
    </row>
    <row r="2048">
      <c r="A2048" s="25">
        <v>41380.645833333336</v>
      </c>
      <c r="B2048" s="25">
        <v>289.88</v>
      </c>
      <c r="C2048" s="25">
        <v>290.75</v>
      </c>
      <c r="D2048" s="25">
        <v>285.88</v>
      </c>
      <c r="E2048" s="25">
        <v>287.03</v>
      </c>
      <c r="F2048" s="25">
        <v>1787717.0</v>
      </c>
    </row>
    <row r="2049">
      <c r="A2049" s="25">
        <v>41381.645833333336</v>
      </c>
      <c r="B2049" s="25">
        <v>287.5</v>
      </c>
      <c r="C2049" s="25">
        <v>288.99</v>
      </c>
      <c r="D2049" s="25">
        <v>281.25</v>
      </c>
      <c r="E2049" s="25">
        <v>285.48</v>
      </c>
      <c r="F2049" s="25">
        <v>1893643.0</v>
      </c>
    </row>
    <row r="2050">
      <c r="A2050" s="25">
        <v>41382.645833333336</v>
      </c>
      <c r="B2050" s="25">
        <v>285.8</v>
      </c>
      <c r="C2050" s="25">
        <v>290.38</v>
      </c>
      <c r="D2050" s="25">
        <v>285.16</v>
      </c>
      <c r="E2050" s="25">
        <v>286.96</v>
      </c>
      <c r="F2050" s="25">
        <v>1653046.0</v>
      </c>
    </row>
    <row r="2051">
      <c r="A2051" s="25">
        <v>41386.645833333336</v>
      </c>
      <c r="B2051" s="25">
        <v>286.45</v>
      </c>
      <c r="C2051" s="25">
        <v>286.63</v>
      </c>
      <c r="D2051" s="25">
        <v>277.94</v>
      </c>
      <c r="E2051" s="25">
        <v>280.57</v>
      </c>
      <c r="F2051" s="25">
        <v>1925161.0</v>
      </c>
    </row>
    <row r="2052">
      <c r="A2052" s="25">
        <v>41387.645833333336</v>
      </c>
      <c r="B2052" s="25">
        <v>281.25</v>
      </c>
      <c r="C2052" s="25">
        <v>283.83</v>
      </c>
      <c r="D2052" s="25">
        <v>280.55</v>
      </c>
      <c r="E2052" s="25">
        <v>282.78</v>
      </c>
      <c r="F2052" s="25">
        <v>983745.0</v>
      </c>
    </row>
    <row r="2053">
      <c r="A2053" s="25">
        <v>41389.645833333336</v>
      </c>
      <c r="B2053" s="25">
        <v>281.0</v>
      </c>
      <c r="C2053" s="25">
        <v>281.25</v>
      </c>
      <c r="D2053" s="25">
        <v>277.89</v>
      </c>
      <c r="E2053" s="25">
        <v>278.46</v>
      </c>
      <c r="F2053" s="25">
        <v>1720293.0</v>
      </c>
    </row>
    <row r="2054">
      <c r="A2054" s="25">
        <v>41390.645833333336</v>
      </c>
      <c r="B2054" s="25">
        <v>277.51</v>
      </c>
      <c r="C2054" s="25">
        <v>279.73</v>
      </c>
      <c r="D2054" s="25">
        <v>275.31</v>
      </c>
      <c r="E2054" s="25">
        <v>276.5</v>
      </c>
      <c r="F2054" s="25">
        <v>1391198.0</v>
      </c>
    </row>
    <row r="2055">
      <c r="A2055" s="25">
        <v>41393.645833333336</v>
      </c>
      <c r="B2055" s="25">
        <v>275.75</v>
      </c>
      <c r="C2055" s="25">
        <v>281.1</v>
      </c>
      <c r="D2055" s="25">
        <v>273.25</v>
      </c>
      <c r="E2055" s="25">
        <v>278.66</v>
      </c>
      <c r="F2055" s="25">
        <v>1120710.0</v>
      </c>
    </row>
    <row r="2056">
      <c r="A2056" s="25">
        <v>41394.645833333336</v>
      </c>
      <c r="B2056" s="25">
        <v>279.25</v>
      </c>
      <c r="C2056" s="25">
        <v>280.29</v>
      </c>
      <c r="D2056" s="25">
        <v>277.77</v>
      </c>
      <c r="E2056" s="25">
        <v>279.43</v>
      </c>
      <c r="F2056" s="25">
        <v>1105090.0</v>
      </c>
    </row>
    <row r="2057">
      <c r="A2057" s="25">
        <v>41396.645833333336</v>
      </c>
      <c r="B2057" s="25">
        <v>279.5</v>
      </c>
      <c r="C2057" s="25">
        <v>286.43</v>
      </c>
      <c r="D2057" s="25">
        <v>279.5</v>
      </c>
      <c r="E2057" s="25">
        <v>285.84</v>
      </c>
      <c r="F2057" s="25">
        <v>1172023.0</v>
      </c>
    </row>
    <row r="2058">
      <c r="A2058" s="25">
        <v>41397.645833333336</v>
      </c>
      <c r="B2058" s="25">
        <v>287.09</v>
      </c>
      <c r="C2058" s="25">
        <v>290.5</v>
      </c>
      <c r="D2058" s="25">
        <v>284.77</v>
      </c>
      <c r="E2058" s="25">
        <v>288.49</v>
      </c>
      <c r="F2058" s="25">
        <v>1139649.0</v>
      </c>
    </row>
    <row r="2059">
      <c r="A2059" s="25">
        <v>41400.645833333336</v>
      </c>
      <c r="B2059" s="25">
        <v>289.38</v>
      </c>
      <c r="C2059" s="25">
        <v>293.13</v>
      </c>
      <c r="D2059" s="25">
        <v>289.38</v>
      </c>
      <c r="E2059" s="25">
        <v>292.64</v>
      </c>
      <c r="F2059" s="25">
        <v>750013.0</v>
      </c>
    </row>
    <row r="2060">
      <c r="A2060" s="25">
        <v>41401.645833333336</v>
      </c>
      <c r="B2060" s="25">
        <v>293.75</v>
      </c>
      <c r="C2060" s="25">
        <v>294.38</v>
      </c>
      <c r="D2060" s="25">
        <v>290.59</v>
      </c>
      <c r="E2060" s="25">
        <v>293.6</v>
      </c>
      <c r="F2060" s="25">
        <v>872888.0</v>
      </c>
    </row>
    <row r="2061">
      <c r="A2061" s="25">
        <v>41402.645833333336</v>
      </c>
      <c r="B2061" s="25">
        <v>295.63</v>
      </c>
      <c r="C2061" s="25">
        <v>297.5</v>
      </c>
      <c r="D2061" s="25">
        <v>292.26</v>
      </c>
      <c r="E2061" s="25">
        <v>293.83</v>
      </c>
      <c r="F2061" s="25">
        <v>909794.0</v>
      </c>
    </row>
    <row r="2062">
      <c r="A2062" s="25">
        <v>41403.645833333336</v>
      </c>
      <c r="B2062" s="25">
        <v>293.99</v>
      </c>
      <c r="C2062" s="25">
        <v>296.11</v>
      </c>
      <c r="D2062" s="25">
        <v>293.75</v>
      </c>
      <c r="E2062" s="25">
        <v>295.18</v>
      </c>
      <c r="F2062" s="25">
        <v>570178.0</v>
      </c>
    </row>
    <row r="2063">
      <c r="A2063" s="25">
        <v>41404.645833333336</v>
      </c>
      <c r="B2063" s="25">
        <v>295.26</v>
      </c>
      <c r="C2063" s="25">
        <v>298.13</v>
      </c>
      <c r="D2063" s="25">
        <v>294.64</v>
      </c>
      <c r="E2063" s="25">
        <v>296.44</v>
      </c>
      <c r="F2063" s="25">
        <v>566755.0</v>
      </c>
    </row>
    <row r="2064">
      <c r="A2064" s="25">
        <v>41407.645833333336</v>
      </c>
      <c r="B2064" s="25">
        <v>294.38</v>
      </c>
      <c r="C2064" s="25">
        <v>295.27</v>
      </c>
      <c r="D2064" s="25">
        <v>291.29</v>
      </c>
      <c r="E2064" s="25">
        <v>292.45</v>
      </c>
      <c r="F2064" s="25">
        <v>626870.0</v>
      </c>
    </row>
    <row r="2065">
      <c r="A2065" s="25">
        <v>41408.645833333336</v>
      </c>
      <c r="B2065" s="25">
        <v>292.16</v>
      </c>
      <c r="C2065" s="25">
        <v>296.35</v>
      </c>
      <c r="D2065" s="25">
        <v>292.16</v>
      </c>
      <c r="E2065" s="25">
        <v>293.76</v>
      </c>
      <c r="F2065" s="25">
        <v>560556.0</v>
      </c>
    </row>
    <row r="2066">
      <c r="A2066" s="25">
        <v>41409.645833333336</v>
      </c>
      <c r="B2066" s="25">
        <v>294.13</v>
      </c>
      <c r="C2066" s="25">
        <v>296.59</v>
      </c>
      <c r="D2066" s="25">
        <v>293.43</v>
      </c>
      <c r="E2066" s="25">
        <v>295.06</v>
      </c>
      <c r="F2066" s="25">
        <v>1111647.0</v>
      </c>
    </row>
    <row r="2067">
      <c r="A2067" s="25">
        <v>41410.645833333336</v>
      </c>
      <c r="B2067" s="25">
        <v>294.19</v>
      </c>
      <c r="C2067" s="25">
        <v>294.98</v>
      </c>
      <c r="D2067" s="25">
        <v>289.16</v>
      </c>
      <c r="E2067" s="25">
        <v>291.58</v>
      </c>
      <c r="F2067" s="25">
        <v>873969.0</v>
      </c>
    </row>
    <row r="2068">
      <c r="A2068" s="25">
        <v>41411.645833333336</v>
      </c>
      <c r="B2068" s="25">
        <v>292.11</v>
      </c>
      <c r="C2068" s="25">
        <v>296.13</v>
      </c>
      <c r="D2068" s="25">
        <v>291.88</v>
      </c>
      <c r="E2068" s="25">
        <v>293.97</v>
      </c>
      <c r="F2068" s="25">
        <v>803969.0</v>
      </c>
    </row>
    <row r="2069">
      <c r="A2069" s="25">
        <v>41414.645833333336</v>
      </c>
      <c r="B2069" s="25">
        <v>293.25</v>
      </c>
      <c r="C2069" s="25">
        <v>297.88</v>
      </c>
      <c r="D2069" s="25">
        <v>293.0</v>
      </c>
      <c r="E2069" s="25">
        <v>296.51</v>
      </c>
      <c r="F2069" s="25">
        <v>1094786.0</v>
      </c>
    </row>
    <row r="2070">
      <c r="A2070" s="25">
        <v>41415.645833333336</v>
      </c>
      <c r="B2070" s="25">
        <v>296.27</v>
      </c>
      <c r="C2070" s="25">
        <v>302.13</v>
      </c>
      <c r="D2070" s="25">
        <v>295.87</v>
      </c>
      <c r="E2070" s="25">
        <v>299.7</v>
      </c>
      <c r="F2070" s="25">
        <v>707516.0</v>
      </c>
    </row>
    <row r="2071">
      <c r="A2071" s="25">
        <v>41416.645833333336</v>
      </c>
      <c r="B2071" s="25">
        <v>300.0</v>
      </c>
      <c r="C2071" s="25">
        <v>304.13</v>
      </c>
      <c r="D2071" s="25">
        <v>297.28</v>
      </c>
      <c r="E2071" s="25">
        <v>298.16</v>
      </c>
      <c r="F2071" s="25">
        <v>780709.0</v>
      </c>
    </row>
    <row r="2072">
      <c r="A2072" s="25">
        <v>41417.645833333336</v>
      </c>
      <c r="B2072" s="25">
        <v>297.0</v>
      </c>
      <c r="C2072" s="25">
        <v>302.41</v>
      </c>
      <c r="D2072" s="25">
        <v>294.52</v>
      </c>
      <c r="E2072" s="25">
        <v>294.98</v>
      </c>
      <c r="F2072" s="25">
        <v>637573.0</v>
      </c>
    </row>
    <row r="2073">
      <c r="A2073" s="25">
        <v>41418.645833333336</v>
      </c>
      <c r="B2073" s="25">
        <v>295.2</v>
      </c>
      <c r="C2073" s="25">
        <v>298.13</v>
      </c>
      <c r="D2073" s="25">
        <v>291.75</v>
      </c>
      <c r="E2073" s="25">
        <v>293.49</v>
      </c>
      <c r="F2073" s="25">
        <v>461081.0</v>
      </c>
    </row>
    <row r="2074">
      <c r="A2074" s="25">
        <v>41421.645833333336</v>
      </c>
      <c r="B2074" s="25">
        <v>292.65</v>
      </c>
      <c r="C2074" s="25">
        <v>298.25</v>
      </c>
      <c r="D2074" s="25">
        <v>291.29</v>
      </c>
      <c r="E2074" s="25">
        <v>296.59</v>
      </c>
      <c r="F2074" s="25">
        <v>415646.0</v>
      </c>
    </row>
    <row r="2075">
      <c r="A2075" s="25">
        <v>41422.645833333336</v>
      </c>
      <c r="B2075" s="25">
        <v>296.25</v>
      </c>
      <c r="C2075" s="25">
        <v>297.5</v>
      </c>
      <c r="D2075" s="25">
        <v>294.21</v>
      </c>
      <c r="E2075" s="25">
        <v>295.77</v>
      </c>
      <c r="F2075" s="25">
        <v>529369.0</v>
      </c>
    </row>
    <row r="2076">
      <c r="A2076" s="25">
        <v>41423.645833333336</v>
      </c>
      <c r="B2076" s="25">
        <v>296.25</v>
      </c>
      <c r="C2076" s="25">
        <v>298.88</v>
      </c>
      <c r="D2076" s="25">
        <v>291.63</v>
      </c>
      <c r="E2076" s="25">
        <v>294.05</v>
      </c>
      <c r="F2076" s="25">
        <v>645816.0</v>
      </c>
    </row>
    <row r="2077">
      <c r="A2077" s="25">
        <v>41424.645833333336</v>
      </c>
      <c r="B2077" s="25">
        <v>291.69</v>
      </c>
      <c r="C2077" s="25">
        <v>293.58</v>
      </c>
      <c r="D2077" s="25">
        <v>289.56</v>
      </c>
      <c r="E2077" s="25">
        <v>292.68</v>
      </c>
      <c r="F2077" s="25">
        <v>792329.0</v>
      </c>
    </row>
    <row r="2078">
      <c r="A2078" s="25">
        <v>41425.645833333336</v>
      </c>
      <c r="B2078" s="25">
        <v>292.75</v>
      </c>
      <c r="C2078" s="25">
        <v>304.36</v>
      </c>
      <c r="D2078" s="25">
        <v>292.75</v>
      </c>
      <c r="E2078" s="25">
        <v>301.46</v>
      </c>
      <c r="F2078" s="25">
        <v>2312288.0</v>
      </c>
    </row>
    <row r="2079">
      <c r="A2079" s="25">
        <v>41428.645833333336</v>
      </c>
      <c r="B2079" s="25">
        <v>315.63</v>
      </c>
      <c r="C2079" s="25">
        <v>328.13</v>
      </c>
      <c r="D2079" s="25">
        <v>309.39</v>
      </c>
      <c r="E2079" s="25">
        <v>314.26</v>
      </c>
      <c r="F2079" s="25">
        <v>4151906.0</v>
      </c>
    </row>
    <row r="2080">
      <c r="A2080" s="25">
        <v>41429.645833333336</v>
      </c>
      <c r="B2080" s="25">
        <v>311.25</v>
      </c>
      <c r="C2080" s="25">
        <v>314.93</v>
      </c>
      <c r="D2080" s="25">
        <v>307.95</v>
      </c>
      <c r="E2080" s="25">
        <v>311.99</v>
      </c>
      <c r="F2080" s="25">
        <v>1464320.0</v>
      </c>
    </row>
    <row r="2081">
      <c r="A2081" s="25">
        <v>41430.645833333336</v>
      </c>
      <c r="B2081" s="25">
        <v>310.0</v>
      </c>
      <c r="C2081" s="25">
        <v>311.27</v>
      </c>
      <c r="D2081" s="25">
        <v>306.88</v>
      </c>
      <c r="E2081" s="25">
        <v>307.66</v>
      </c>
      <c r="F2081" s="25">
        <v>634848.0</v>
      </c>
    </row>
    <row r="2082">
      <c r="A2082" s="25">
        <v>41431.645833333336</v>
      </c>
      <c r="B2082" s="25">
        <v>306.25</v>
      </c>
      <c r="C2082" s="25">
        <v>306.83</v>
      </c>
      <c r="D2082" s="25">
        <v>301.99</v>
      </c>
      <c r="E2082" s="25">
        <v>303.71</v>
      </c>
      <c r="F2082" s="25">
        <v>938654.0</v>
      </c>
    </row>
    <row r="2083">
      <c r="A2083" s="25">
        <v>41432.645833333336</v>
      </c>
      <c r="B2083" s="25">
        <v>303.13</v>
      </c>
      <c r="C2083" s="25">
        <v>309.11</v>
      </c>
      <c r="D2083" s="25">
        <v>302.5</v>
      </c>
      <c r="E2083" s="25">
        <v>305.85</v>
      </c>
      <c r="F2083" s="25">
        <v>827271.0</v>
      </c>
    </row>
    <row r="2084">
      <c r="A2084" s="25">
        <v>41435.645833333336</v>
      </c>
      <c r="B2084" s="25">
        <v>307.5</v>
      </c>
      <c r="C2084" s="25">
        <v>312.25</v>
      </c>
      <c r="D2084" s="25">
        <v>307.15</v>
      </c>
      <c r="E2084" s="25">
        <v>310.84</v>
      </c>
      <c r="F2084" s="25">
        <v>536130.0</v>
      </c>
    </row>
    <row r="2085">
      <c r="A2085" s="25">
        <v>41436.645833333336</v>
      </c>
      <c r="B2085" s="25">
        <v>311.25</v>
      </c>
      <c r="C2085" s="25">
        <v>314.31</v>
      </c>
      <c r="D2085" s="25">
        <v>308.23</v>
      </c>
      <c r="E2085" s="25">
        <v>309.44</v>
      </c>
      <c r="F2085" s="25">
        <v>744713.0</v>
      </c>
    </row>
    <row r="2086">
      <c r="A2086" s="25">
        <v>41437.645833333336</v>
      </c>
      <c r="B2086" s="25">
        <v>307.78</v>
      </c>
      <c r="C2086" s="25">
        <v>313.3</v>
      </c>
      <c r="D2086" s="25">
        <v>301.61</v>
      </c>
      <c r="E2086" s="25">
        <v>302.67</v>
      </c>
      <c r="F2086" s="25">
        <v>740911.0</v>
      </c>
    </row>
    <row r="2087">
      <c r="A2087" s="25">
        <v>41438.645833333336</v>
      </c>
      <c r="B2087" s="25">
        <v>303.0</v>
      </c>
      <c r="C2087" s="25">
        <v>303.13</v>
      </c>
      <c r="D2087" s="25">
        <v>296.88</v>
      </c>
      <c r="E2087" s="25">
        <v>297.49</v>
      </c>
      <c r="F2087" s="25">
        <v>519291.0</v>
      </c>
    </row>
    <row r="2088">
      <c r="A2088" s="25">
        <v>41439.645833333336</v>
      </c>
      <c r="B2088" s="25">
        <v>298.96</v>
      </c>
      <c r="C2088" s="25">
        <v>301.13</v>
      </c>
      <c r="D2088" s="25">
        <v>297.14</v>
      </c>
      <c r="E2088" s="25">
        <v>299.37</v>
      </c>
      <c r="F2088" s="25">
        <v>698008.0</v>
      </c>
    </row>
    <row r="2089">
      <c r="A2089" s="25">
        <v>41442.645833333336</v>
      </c>
      <c r="B2089" s="25">
        <v>301.43</v>
      </c>
      <c r="C2089" s="25">
        <v>303.25</v>
      </c>
      <c r="D2089" s="25">
        <v>299.36</v>
      </c>
      <c r="E2089" s="25">
        <v>302.83</v>
      </c>
      <c r="F2089" s="25">
        <v>340063.0</v>
      </c>
    </row>
    <row r="2090">
      <c r="A2090" s="25">
        <v>41443.645833333336</v>
      </c>
      <c r="B2090" s="25">
        <v>303.75</v>
      </c>
      <c r="C2090" s="25">
        <v>307.5</v>
      </c>
      <c r="D2090" s="25">
        <v>303.09</v>
      </c>
      <c r="E2090" s="25">
        <v>305.82</v>
      </c>
      <c r="F2090" s="25">
        <v>535613.0</v>
      </c>
    </row>
    <row r="2091">
      <c r="A2091" s="25">
        <v>41444.645833333336</v>
      </c>
      <c r="B2091" s="25">
        <v>305.75</v>
      </c>
      <c r="C2091" s="25">
        <v>306.09</v>
      </c>
      <c r="D2091" s="25">
        <v>300.91</v>
      </c>
      <c r="E2091" s="25">
        <v>304.79</v>
      </c>
      <c r="F2091" s="25">
        <v>729604.0</v>
      </c>
    </row>
    <row r="2092">
      <c r="A2092" s="25">
        <v>41445.645833333336</v>
      </c>
      <c r="B2092" s="25">
        <v>303.5</v>
      </c>
      <c r="C2092" s="25">
        <v>306.0</v>
      </c>
      <c r="D2092" s="25">
        <v>292.84</v>
      </c>
      <c r="E2092" s="25">
        <v>296.14</v>
      </c>
      <c r="F2092" s="25">
        <v>850366.0</v>
      </c>
    </row>
    <row r="2093">
      <c r="A2093" s="25">
        <v>41446.645833333336</v>
      </c>
      <c r="B2093" s="25">
        <v>296.33</v>
      </c>
      <c r="C2093" s="25">
        <v>304.0</v>
      </c>
      <c r="D2093" s="25">
        <v>296.33</v>
      </c>
      <c r="E2093" s="25">
        <v>302.34</v>
      </c>
      <c r="F2093" s="25">
        <v>770171.0</v>
      </c>
    </row>
    <row r="2094">
      <c r="A2094" s="25">
        <v>41449.645833333336</v>
      </c>
      <c r="B2094" s="25">
        <v>300.31</v>
      </c>
      <c r="C2094" s="25">
        <v>300.41</v>
      </c>
      <c r="D2094" s="25">
        <v>293.99</v>
      </c>
      <c r="E2094" s="25">
        <v>297.55</v>
      </c>
      <c r="F2094" s="25">
        <v>917069.0</v>
      </c>
    </row>
    <row r="2095">
      <c r="A2095" s="25">
        <v>41450.645833333336</v>
      </c>
      <c r="B2095" s="25">
        <v>297.5</v>
      </c>
      <c r="C2095" s="25">
        <v>298.36</v>
      </c>
      <c r="D2095" s="25">
        <v>293.13</v>
      </c>
      <c r="E2095" s="25">
        <v>296.74</v>
      </c>
      <c r="F2095" s="25">
        <v>723830.0</v>
      </c>
    </row>
    <row r="2096">
      <c r="A2096" s="25">
        <v>41451.645833333336</v>
      </c>
      <c r="B2096" s="25">
        <v>298.95</v>
      </c>
      <c r="C2096" s="25">
        <v>301.83</v>
      </c>
      <c r="D2096" s="25">
        <v>296.46</v>
      </c>
      <c r="E2096" s="25">
        <v>299.93</v>
      </c>
      <c r="F2096" s="25">
        <v>695904.0</v>
      </c>
    </row>
    <row r="2097">
      <c r="A2097" s="25">
        <v>41452.645833333336</v>
      </c>
      <c r="B2097" s="25">
        <v>302.63</v>
      </c>
      <c r="C2097" s="25">
        <v>312.49</v>
      </c>
      <c r="D2097" s="25">
        <v>301.58</v>
      </c>
      <c r="E2097" s="25">
        <v>310.35</v>
      </c>
      <c r="F2097" s="25">
        <v>1333868.0</v>
      </c>
    </row>
    <row r="2098">
      <c r="A2098" s="25">
        <v>41453.645833333336</v>
      </c>
      <c r="B2098" s="25">
        <v>308.9</v>
      </c>
      <c r="C2098" s="25">
        <v>313.47</v>
      </c>
      <c r="D2098" s="25">
        <v>303.0</v>
      </c>
      <c r="E2098" s="25">
        <v>312.36</v>
      </c>
      <c r="F2098" s="25">
        <v>1463424.0</v>
      </c>
    </row>
    <row r="2099">
      <c r="A2099" s="25">
        <v>41456.645833333336</v>
      </c>
      <c r="B2099" s="25">
        <v>308.63</v>
      </c>
      <c r="C2099" s="25">
        <v>309.19</v>
      </c>
      <c r="D2099" s="25">
        <v>305.14</v>
      </c>
      <c r="E2099" s="25">
        <v>306.38</v>
      </c>
      <c r="F2099" s="25">
        <v>526135.0</v>
      </c>
    </row>
    <row r="2100">
      <c r="A2100" s="25">
        <v>41457.645833333336</v>
      </c>
      <c r="B2100" s="25">
        <v>306.01</v>
      </c>
      <c r="C2100" s="25">
        <v>307.94</v>
      </c>
      <c r="D2100" s="25">
        <v>300.0</v>
      </c>
      <c r="E2100" s="25">
        <v>300.49</v>
      </c>
      <c r="F2100" s="25">
        <v>638854.0</v>
      </c>
    </row>
    <row r="2101">
      <c r="A2101" s="25">
        <v>41458.645833333336</v>
      </c>
      <c r="B2101" s="25">
        <v>300.13</v>
      </c>
      <c r="C2101" s="25">
        <v>306.49</v>
      </c>
      <c r="D2101" s="25">
        <v>299.08</v>
      </c>
      <c r="E2101" s="25">
        <v>300.56</v>
      </c>
      <c r="F2101" s="25">
        <v>668732.0</v>
      </c>
    </row>
    <row r="2102">
      <c r="A2102" s="25">
        <v>41459.645833333336</v>
      </c>
      <c r="B2102" s="25">
        <v>304.13</v>
      </c>
      <c r="C2102" s="25">
        <v>309.39</v>
      </c>
      <c r="D2102" s="25">
        <v>302.5</v>
      </c>
      <c r="E2102" s="25">
        <v>308.5</v>
      </c>
      <c r="F2102" s="25">
        <v>651348.0</v>
      </c>
    </row>
    <row r="2103">
      <c r="A2103" s="25">
        <v>41460.645833333336</v>
      </c>
      <c r="B2103" s="25">
        <v>308.38</v>
      </c>
      <c r="C2103" s="25">
        <v>310.44</v>
      </c>
      <c r="D2103" s="25">
        <v>304.84</v>
      </c>
      <c r="E2103" s="25">
        <v>307.02</v>
      </c>
      <c r="F2103" s="25">
        <v>542170.0</v>
      </c>
    </row>
    <row r="2104">
      <c r="A2104" s="25">
        <v>41463.645833333336</v>
      </c>
      <c r="B2104" s="25">
        <v>310.63</v>
      </c>
      <c r="C2104" s="25">
        <v>311.75</v>
      </c>
      <c r="D2104" s="25">
        <v>307.56</v>
      </c>
      <c r="E2104" s="25">
        <v>308.52</v>
      </c>
      <c r="F2104" s="25">
        <v>676896.0</v>
      </c>
    </row>
    <row r="2105">
      <c r="A2105" s="25">
        <v>41464.645833333336</v>
      </c>
      <c r="B2105" s="25">
        <v>310.13</v>
      </c>
      <c r="C2105" s="25">
        <v>314.25</v>
      </c>
      <c r="D2105" s="25">
        <v>310.13</v>
      </c>
      <c r="E2105" s="25">
        <v>312.27</v>
      </c>
      <c r="F2105" s="25">
        <v>1076421.0</v>
      </c>
    </row>
    <row r="2106">
      <c r="A2106" s="25">
        <v>41465.645833333336</v>
      </c>
      <c r="B2106" s="25">
        <v>313.13</v>
      </c>
      <c r="C2106" s="25">
        <v>315.0</v>
      </c>
      <c r="D2106" s="25">
        <v>311.63</v>
      </c>
      <c r="E2106" s="25">
        <v>312.64</v>
      </c>
      <c r="F2106" s="25">
        <v>858177.0</v>
      </c>
    </row>
    <row r="2107">
      <c r="A2107" s="25">
        <v>41466.645833333336</v>
      </c>
      <c r="B2107" s="25">
        <v>316.88</v>
      </c>
      <c r="C2107" s="25">
        <v>320.43</v>
      </c>
      <c r="D2107" s="25">
        <v>313.72</v>
      </c>
      <c r="E2107" s="25">
        <v>316.04</v>
      </c>
      <c r="F2107" s="25">
        <v>1963120.0</v>
      </c>
    </row>
    <row r="2108">
      <c r="A2108" s="25">
        <v>41467.645833333336</v>
      </c>
      <c r="B2108" s="25">
        <v>347.64</v>
      </c>
      <c r="C2108" s="25">
        <v>363.2</v>
      </c>
      <c r="D2108" s="25">
        <v>343.75</v>
      </c>
      <c r="E2108" s="25">
        <v>350.53</v>
      </c>
      <c r="F2108" s="25">
        <v>6609130.0</v>
      </c>
    </row>
    <row r="2109">
      <c r="A2109" s="25">
        <v>41470.645833333336</v>
      </c>
      <c r="B2109" s="25">
        <v>348.13</v>
      </c>
      <c r="C2109" s="25">
        <v>348.75</v>
      </c>
      <c r="D2109" s="25">
        <v>341.04</v>
      </c>
      <c r="E2109" s="25">
        <v>342.84</v>
      </c>
      <c r="F2109" s="25">
        <v>1609280.0</v>
      </c>
    </row>
    <row r="2110">
      <c r="A2110" s="25">
        <v>41471.645833333336</v>
      </c>
      <c r="B2110" s="25">
        <v>337.76</v>
      </c>
      <c r="C2110" s="25">
        <v>346.33</v>
      </c>
      <c r="D2110" s="25">
        <v>335.13</v>
      </c>
      <c r="E2110" s="25">
        <v>341.1</v>
      </c>
      <c r="F2110" s="25">
        <v>787692.0</v>
      </c>
    </row>
    <row r="2111">
      <c r="A2111" s="25">
        <v>41472.645833333336</v>
      </c>
      <c r="B2111" s="25">
        <v>341.46</v>
      </c>
      <c r="C2111" s="25">
        <v>344.79</v>
      </c>
      <c r="D2111" s="25">
        <v>341.46</v>
      </c>
      <c r="E2111" s="25">
        <v>343.86</v>
      </c>
      <c r="F2111" s="25">
        <v>821881.0</v>
      </c>
    </row>
    <row r="2112">
      <c r="A2112" s="25">
        <v>41473.645833333336</v>
      </c>
      <c r="B2112" s="25">
        <v>344.25</v>
      </c>
      <c r="C2112" s="25">
        <v>352.19</v>
      </c>
      <c r="D2112" s="25">
        <v>342.36</v>
      </c>
      <c r="E2112" s="25">
        <v>350.09</v>
      </c>
      <c r="F2112" s="25">
        <v>1634837.0</v>
      </c>
    </row>
    <row r="2113">
      <c r="A2113" s="25">
        <v>41474.645833333336</v>
      </c>
      <c r="B2113" s="25">
        <v>350.38</v>
      </c>
      <c r="C2113" s="25">
        <v>358.13</v>
      </c>
      <c r="D2113" s="25">
        <v>350.38</v>
      </c>
      <c r="E2113" s="25">
        <v>355.93</v>
      </c>
      <c r="F2113" s="25">
        <v>2050355.0</v>
      </c>
    </row>
    <row r="2114">
      <c r="A2114" s="25">
        <v>41477.645833333336</v>
      </c>
      <c r="B2114" s="25">
        <v>352.78</v>
      </c>
      <c r="C2114" s="25">
        <v>361.86</v>
      </c>
      <c r="D2114" s="25">
        <v>352.75</v>
      </c>
      <c r="E2114" s="25">
        <v>359.59</v>
      </c>
      <c r="F2114" s="25">
        <v>843892.0</v>
      </c>
    </row>
    <row r="2115">
      <c r="A2115" s="25">
        <v>41478.645833333336</v>
      </c>
      <c r="B2115" s="25">
        <v>361.25</v>
      </c>
      <c r="C2115" s="25">
        <v>364.64</v>
      </c>
      <c r="D2115" s="25">
        <v>361.25</v>
      </c>
      <c r="E2115" s="25">
        <v>362.74</v>
      </c>
      <c r="F2115" s="25">
        <v>771060.0</v>
      </c>
    </row>
    <row r="2116">
      <c r="A2116" s="25">
        <v>41479.645833333336</v>
      </c>
      <c r="B2116" s="25">
        <v>360.0</v>
      </c>
      <c r="C2116" s="25">
        <v>365.88</v>
      </c>
      <c r="D2116" s="25">
        <v>360.0</v>
      </c>
      <c r="E2116" s="25">
        <v>363.58</v>
      </c>
      <c r="F2116" s="25">
        <v>609410.0</v>
      </c>
    </row>
    <row r="2117">
      <c r="A2117" s="25">
        <v>41480.645833333336</v>
      </c>
      <c r="B2117" s="25">
        <v>363.63</v>
      </c>
      <c r="C2117" s="25">
        <v>368.17</v>
      </c>
      <c r="D2117" s="25">
        <v>362.63</v>
      </c>
      <c r="E2117" s="25">
        <v>364.41</v>
      </c>
      <c r="F2117" s="25">
        <v>897211.0</v>
      </c>
    </row>
    <row r="2118">
      <c r="A2118" s="25">
        <v>41481.645833333336</v>
      </c>
      <c r="B2118" s="25">
        <v>366.25</v>
      </c>
      <c r="C2118" s="25">
        <v>369.13</v>
      </c>
      <c r="D2118" s="25">
        <v>362.83</v>
      </c>
      <c r="E2118" s="25">
        <v>364.16</v>
      </c>
      <c r="F2118" s="25">
        <v>862455.0</v>
      </c>
    </row>
    <row r="2119">
      <c r="A2119" s="25">
        <v>41484.645833333336</v>
      </c>
      <c r="B2119" s="25">
        <v>363.75</v>
      </c>
      <c r="C2119" s="25">
        <v>368.0</v>
      </c>
      <c r="D2119" s="25">
        <v>363.75</v>
      </c>
      <c r="E2119" s="25">
        <v>365.15</v>
      </c>
      <c r="F2119" s="25">
        <v>545369.0</v>
      </c>
    </row>
    <row r="2120">
      <c r="A2120" s="25">
        <v>41485.645833333336</v>
      </c>
      <c r="B2120" s="25">
        <v>366.38</v>
      </c>
      <c r="C2120" s="25">
        <v>371.63</v>
      </c>
      <c r="D2120" s="25">
        <v>366.38</v>
      </c>
      <c r="E2120" s="25">
        <v>369.46</v>
      </c>
      <c r="F2120" s="25">
        <v>792026.0</v>
      </c>
    </row>
    <row r="2121">
      <c r="A2121" s="25">
        <v>41486.645833333336</v>
      </c>
      <c r="B2121" s="25">
        <v>371.13</v>
      </c>
      <c r="C2121" s="25">
        <v>373.95</v>
      </c>
      <c r="D2121" s="25">
        <v>366.03</v>
      </c>
      <c r="E2121" s="25">
        <v>371.21</v>
      </c>
      <c r="F2121" s="25">
        <v>1475916.0</v>
      </c>
    </row>
    <row r="2122">
      <c r="A2122" s="25">
        <v>41487.645833333336</v>
      </c>
      <c r="B2122" s="25">
        <v>373.5</v>
      </c>
      <c r="C2122" s="25">
        <v>374.39</v>
      </c>
      <c r="D2122" s="25">
        <v>369.59</v>
      </c>
      <c r="E2122" s="25">
        <v>371.83</v>
      </c>
      <c r="F2122" s="25">
        <v>1086329.0</v>
      </c>
    </row>
    <row r="2123">
      <c r="A2123" s="25">
        <v>41488.645833333336</v>
      </c>
      <c r="B2123" s="25">
        <v>373.13</v>
      </c>
      <c r="C2123" s="25">
        <v>377.5</v>
      </c>
      <c r="D2123" s="25">
        <v>372.64</v>
      </c>
      <c r="E2123" s="25">
        <v>376.1</v>
      </c>
      <c r="F2123" s="25">
        <v>1495287.0</v>
      </c>
    </row>
    <row r="2124">
      <c r="A2124" s="25">
        <v>41491.645833333336</v>
      </c>
      <c r="B2124" s="25">
        <v>374.85</v>
      </c>
      <c r="C2124" s="25">
        <v>378.13</v>
      </c>
      <c r="D2124" s="25">
        <v>374.56</v>
      </c>
      <c r="E2124" s="25">
        <v>376.13</v>
      </c>
      <c r="F2124" s="25">
        <v>1062848.0</v>
      </c>
    </row>
    <row r="2125">
      <c r="A2125" s="25">
        <v>41492.645833333336</v>
      </c>
      <c r="B2125" s="25">
        <v>376.0</v>
      </c>
      <c r="C2125" s="25">
        <v>376.5</v>
      </c>
      <c r="D2125" s="25">
        <v>368.88</v>
      </c>
      <c r="E2125" s="25">
        <v>373.42</v>
      </c>
      <c r="F2125" s="25">
        <v>1253979.0</v>
      </c>
    </row>
    <row r="2126">
      <c r="A2126" s="25">
        <v>41493.645833333336</v>
      </c>
      <c r="B2126" s="25">
        <v>371.88</v>
      </c>
      <c r="C2126" s="25">
        <v>375.35</v>
      </c>
      <c r="D2126" s="25">
        <v>368.91</v>
      </c>
      <c r="E2126" s="25">
        <v>370.42</v>
      </c>
      <c r="F2126" s="25">
        <v>812951.0</v>
      </c>
    </row>
    <row r="2127">
      <c r="A2127" s="25">
        <v>41494.645833333336</v>
      </c>
      <c r="B2127" s="25">
        <v>367.5</v>
      </c>
      <c r="C2127" s="25">
        <v>372.25</v>
      </c>
      <c r="D2127" s="25">
        <v>367.5</v>
      </c>
      <c r="E2127" s="25">
        <v>370.57</v>
      </c>
      <c r="F2127" s="25">
        <v>720671.0</v>
      </c>
    </row>
    <row r="2128">
      <c r="A2128" s="25">
        <v>41498.645833333336</v>
      </c>
      <c r="B2128" s="25">
        <v>372.0</v>
      </c>
      <c r="C2128" s="25">
        <v>377.5</v>
      </c>
      <c r="D2128" s="25">
        <v>371.38</v>
      </c>
      <c r="E2128" s="25">
        <v>375.68</v>
      </c>
      <c r="F2128" s="25">
        <v>949297.0</v>
      </c>
    </row>
    <row r="2129">
      <c r="A2129" s="25">
        <v>41499.645833333336</v>
      </c>
      <c r="B2129" s="25">
        <v>376.01</v>
      </c>
      <c r="C2129" s="25">
        <v>386.75</v>
      </c>
      <c r="D2129" s="25">
        <v>376.0</v>
      </c>
      <c r="E2129" s="25">
        <v>385.45</v>
      </c>
      <c r="F2129" s="25">
        <v>1291789.0</v>
      </c>
    </row>
    <row r="2130">
      <c r="A2130" s="25">
        <v>41500.645833333336</v>
      </c>
      <c r="B2130" s="25">
        <v>383.75</v>
      </c>
      <c r="C2130" s="25">
        <v>386.86</v>
      </c>
      <c r="D2130" s="25">
        <v>380.32</v>
      </c>
      <c r="E2130" s="25">
        <v>383.71</v>
      </c>
      <c r="F2130" s="25">
        <v>1151401.0</v>
      </c>
    </row>
    <row r="2131">
      <c r="A2131" s="25">
        <v>41502.645833333336</v>
      </c>
      <c r="B2131" s="25">
        <v>377.5</v>
      </c>
      <c r="C2131" s="25">
        <v>379.99</v>
      </c>
      <c r="D2131" s="25">
        <v>370.96</v>
      </c>
      <c r="E2131" s="25">
        <v>372.3</v>
      </c>
      <c r="F2131" s="25">
        <v>1510952.0</v>
      </c>
    </row>
    <row r="2132">
      <c r="A2132" s="25">
        <v>41505.645833333336</v>
      </c>
      <c r="B2132" s="25">
        <v>373.76</v>
      </c>
      <c r="C2132" s="25">
        <v>378.37</v>
      </c>
      <c r="D2132" s="25">
        <v>368.87</v>
      </c>
      <c r="E2132" s="25">
        <v>375.63</v>
      </c>
      <c r="F2132" s="25">
        <v>657416.0</v>
      </c>
    </row>
    <row r="2133">
      <c r="A2133" s="25">
        <v>41506.645833333336</v>
      </c>
      <c r="B2133" s="25">
        <v>377.5</v>
      </c>
      <c r="C2133" s="25">
        <v>377.63</v>
      </c>
      <c r="D2133" s="25">
        <v>372.81</v>
      </c>
      <c r="E2133" s="25">
        <v>375.83</v>
      </c>
      <c r="F2133" s="25">
        <v>1295257.0</v>
      </c>
    </row>
    <row r="2134">
      <c r="A2134" s="25">
        <v>41507.645833333336</v>
      </c>
      <c r="B2134" s="25">
        <v>374.35</v>
      </c>
      <c r="C2134" s="25">
        <v>374.35</v>
      </c>
      <c r="D2134" s="25">
        <v>365.26</v>
      </c>
      <c r="E2134" s="25">
        <v>369.84</v>
      </c>
      <c r="F2134" s="25">
        <v>940823.0</v>
      </c>
    </row>
    <row r="2135">
      <c r="A2135" s="25">
        <v>41508.645833333336</v>
      </c>
      <c r="B2135" s="25">
        <v>373.63</v>
      </c>
      <c r="C2135" s="25">
        <v>379.56</v>
      </c>
      <c r="D2135" s="25">
        <v>370.5</v>
      </c>
      <c r="E2135" s="25">
        <v>377.53</v>
      </c>
      <c r="F2135" s="25">
        <v>1370727.0</v>
      </c>
    </row>
    <row r="2136">
      <c r="A2136" s="25">
        <v>41509.645833333336</v>
      </c>
      <c r="B2136" s="25">
        <v>375.63</v>
      </c>
      <c r="C2136" s="25">
        <v>377.49</v>
      </c>
      <c r="D2136" s="25">
        <v>372.79</v>
      </c>
      <c r="E2136" s="25">
        <v>375.09</v>
      </c>
      <c r="F2136" s="25">
        <v>687358.0</v>
      </c>
    </row>
    <row r="2137">
      <c r="A2137" s="25">
        <v>41512.645833333336</v>
      </c>
      <c r="B2137" s="25">
        <v>377.49</v>
      </c>
      <c r="C2137" s="25">
        <v>381.23</v>
      </c>
      <c r="D2137" s="25">
        <v>376.06</v>
      </c>
      <c r="E2137" s="25">
        <v>378.84</v>
      </c>
      <c r="F2137" s="25">
        <v>696443.0</v>
      </c>
    </row>
    <row r="2138">
      <c r="A2138" s="25">
        <v>41513.645833333336</v>
      </c>
      <c r="B2138" s="25">
        <v>379.0</v>
      </c>
      <c r="C2138" s="25">
        <v>385.0</v>
      </c>
      <c r="D2138" s="25">
        <v>378.99</v>
      </c>
      <c r="E2138" s="25">
        <v>382.01</v>
      </c>
      <c r="F2138" s="25">
        <v>1065694.0</v>
      </c>
    </row>
    <row r="2139">
      <c r="A2139" s="25">
        <v>41514.645833333336</v>
      </c>
      <c r="B2139" s="25">
        <v>381.5</v>
      </c>
      <c r="C2139" s="25">
        <v>391.25</v>
      </c>
      <c r="D2139" s="25">
        <v>381.5</v>
      </c>
      <c r="E2139" s="25">
        <v>389.53</v>
      </c>
      <c r="F2139" s="25">
        <v>1791212.0</v>
      </c>
    </row>
    <row r="2140">
      <c r="A2140" s="25">
        <v>41515.645833333336</v>
      </c>
      <c r="B2140" s="25">
        <v>383.75</v>
      </c>
      <c r="C2140" s="25">
        <v>390.87</v>
      </c>
      <c r="D2140" s="25">
        <v>382.63</v>
      </c>
      <c r="E2140" s="25">
        <v>388.08</v>
      </c>
      <c r="F2140" s="25">
        <v>2510786.0</v>
      </c>
    </row>
    <row r="2141">
      <c r="A2141" s="25">
        <v>41516.645833333336</v>
      </c>
      <c r="B2141" s="25">
        <v>386.5</v>
      </c>
      <c r="C2141" s="25">
        <v>390.36</v>
      </c>
      <c r="D2141" s="25">
        <v>379.69</v>
      </c>
      <c r="E2141" s="25">
        <v>388.23</v>
      </c>
      <c r="F2141" s="25">
        <v>1584820.0</v>
      </c>
    </row>
    <row r="2142">
      <c r="A2142" s="25">
        <v>41519.645833333336</v>
      </c>
      <c r="B2142" s="25">
        <v>384.64</v>
      </c>
      <c r="C2142" s="25">
        <v>390.95</v>
      </c>
      <c r="D2142" s="25">
        <v>383.08</v>
      </c>
      <c r="E2142" s="25">
        <v>385.74</v>
      </c>
      <c r="F2142" s="25">
        <v>640630.0</v>
      </c>
    </row>
    <row r="2143">
      <c r="A2143" s="25">
        <v>41520.645833333336</v>
      </c>
      <c r="B2143" s="25">
        <v>384.0</v>
      </c>
      <c r="C2143" s="25">
        <v>386.81</v>
      </c>
      <c r="D2143" s="25">
        <v>377.1</v>
      </c>
      <c r="E2143" s="25">
        <v>379.21</v>
      </c>
      <c r="F2143" s="25">
        <v>783414.0</v>
      </c>
    </row>
    <row r="2144">
      <c r="A2144" s="25">
        <v>41521.645833333336</v>
      </c>
      <c r="B2144" s="25">
        <v>382.46</v>
      </c>
      <c r="C2144" s="25">
        <v>392.49</v>
      </c>
      <c r="D2144" s="25">
        <v>381.95</v>
      </c>
      <c r="E2144" s="25">
        <v>389.09</v>
      </c>
      <c r="F2144" s="25">
        <v>1122425.0</v>
      </c>
    </row>
    <row r="2145">
      <c r="A2145" s="25">
        <v>41522.645833333336</v>
      </c>
      <c r="B2145" s="25">
        <v>387.09</v>
      </c>
      <c r="C2145" s="25">
        <v>387.09</v>
      </c>
      <c r="D2145" s="25">
        <v>374.39</v>
      </c>
      <c r="E2145" s="25">
        <v>375.6</v>
      </c>
      <c r="F2145" s="25">
        <v>1182134.0</v>
      </c>
    </row>
    <row r="2146">
      <c r="A2146" s="25">
        <v>41523.645833333336</v>
      </c>
      <c r="B2146" s="25">
        <v>375.74</v>
      </c>
      <c r="C2146" s="25">
        <v>383.99</v>
      </c>
      <c r="D2146" s="25">
        <v>375.74</v>
      </c>
      <c r="E2146" s="25">
        <v>378.63</v>
      </c>
      <c r="F2146" s="25">
        <v>1683241.0</v>
      </c>
    </row>
    <row r="2147">
      <c r="A2147" s="25">
        <v>41527.645833333336</v>
      </c>
      <c r="B2147" s="25">
        <v>379.0</v>
      </c>
      <c r="C2147" s="25">
        <v>398.5</v>
      </c>
      <c r="D2147" s="25">
        <v>379.0</v>
      </c>
      <c r="E2147" s="25">
        <v>394.86</v>
      </c>
      <c r="F2147" s="25">
        <v>2734892.0</v>
      </c>
    </row>
    <row r="2148">
      <c r="A2148" s="25">
        <v>41528.645833333336</v>
      </c>
      <c r="B2148" s="25">
        <v>393.13</v>
      </c>
      <c r="C2148" s="25">
        <v>396.62</v>
      </c>
      <c r="D2148" s="25">
        <v>388.47</v>
      </c>
      <c r="E2148" s="25">
        <v>389.89</v>
      </c>
      <c r="F2148" s="25">
        <v>1143210.0</v>
      </c>
    </row>
    <row r="2149">
      <c r="A2149" s="25">
        <v>41529.645833333336</v>
      </c>
      <c r="B2149" s="25">
        <v>388.13</v>
      </c>
      <c r="C2149" s="25">
        <v>389.89</v>
      </c>
      <c r="D2149" s="25">
        <v>381.0</v>
      </c>
      <c r="E2149" s="25">
        <v>383.23</v>
      </c>
      <c r="F2149" s="25">
        <v>869680.0</v>
      </c>
    </row>
    <row r="2150">
      <c r="A2150" s="25">
        <v>41530.645833333336</v>
      </c>
      <c r="B2150" s="25">
        <v>382.53</v>
      </c>
      <c r="C2150" s="25">
        <v>383.23</v>
      </c>
      <c r="D2150" s="25">
        <v>376.66</v>
      </c>
      <c r="E2150" s="25">
        <v>378.51</v>
      </c>
      <c r="F2150" s="25">
        <v>1156923.0</v>
      </c>
    </row>
    <row r="2151">
      <c r="A2151" s="25">
        <v>41533.645833333336</v>
      </c>
      <c r="B2151" s="25">
        <v>378.13</v>
      </c>
      <c r="C2151" s="25">
        <v>382.24</v>
      </c>
      <c r="D2151" s="25">
        <v>372.51</v>
      </c>
      <c r="E2151" s="25">
        <v>374.18</v>
      </c>
      <c r="F2151" s="25">
        <v>791523.0</v>
      </c>
    </row>
    <row r="2152">
      <c r="A2152" s="25">
        <v>41534.645833333336</v>
      </c>
      <c r="B2152" s="25">
        <v>377.13</v>
      </c>
      <c r="C2152" s="25">
        <v>378.74</v>
      </c>
      <c r="D2152" s="25">
        <v>373.88</v>
      </c>
      <c r="E2152" s="25">
        <v>377.83</v>
      </c>
      <c r="F2152" s="25">
        <v>1003410.0</v>
      </c>
    </row>
    <row r="2153">
      <c r="A2153" s="25">
        <v>41535.645833333336</v>
      </c>
      <c r="B2153" s="25">
        <v>378.13</v>
      </c>
      <c r="C2153" s="25">
        <v>378.66</v>
      </c>
      <c r="D2153" s="25">
        <v>375.63</v>
      </c>
      <c r="E2153" s="25">
        <v>377.14</v>
      </c>
      <c r="F2153" s="25">
        <v>929977.0</v>
      </c>
    </row>
    <row r="2154">
      <c r="A2154" s="25">
        <v>41536.645833333336</v>
      </c>
      <c r="B2154" s="25">
        <v>374.88</v>
      </c>
      <c r="C2154" s="25">
        <v>379.38</v>
      </c>
      <c r="D2154" s="25">
        <v>374.04</v>
      </c>
      <c r="E2154" s="25">
        <v>377.38</v>
      </c>
      <c r="F2154" s="25">
        <v>1915976.0</v>
      </c>
    </row>
    <row r="2155">
      <c r="A2155" s="25">
        <v>41537.645833333336</v>
      </c>
      <c r="B2155" s="25">
        <v>375.0</v>
      </c>
      <c r="C2155" s="25">
        <v>379.0</v>
      </c>
      <c r="D2155" s="25">
        <v>372.94</v>
      </c>
      <c r="E2155" s="25">
        <v>374.39</v>
      </c>
      <c r="F2155" s="25">
        <v>998964.0</v>
      </c>
    </row>
    <row r="2156">
      <c r="A2156" s="25">
        <v>41540.645833333336</v>
      </c>
      <c r="B2156" s="25">
        <v>375.63</v>
      </c>
      <c r="C2156" s="25">
        <v>380.49</v>
      </c>
      <c r="D2156" s="25">
        <v>375.13</v>
      </c>
      <c r="E2156" s="25">
        <v>377.43</v>
      </c>
      <c r="F2156" s="25">
        <v>1110797.0</v>
      </c>
    </row>
    <row r="2157">
      <c r="A2157" s="25">
        <v>41541.645833333336</v>
      </c>
      <c r="B2157" s="25">
        <v>378.75</v>
      </c>
      <c r="C2157" s="25">
        <v>378.88</v>
      </c>
      <c r="D2157" s="25">
        <v>374.61</v>
      </c>
      <c r="E2157" s="25">
        <v>376.89</v>
      </c>
      <c r="F2157" s="25">
        <v>1469032.0</v>
      </c>
    </row>
    <row r="2158">
      <c r="A2158" s="25">
        <v>41542.645833333336</v>
      </c>
      <c r="B2158" s="25">
        <v>378.98</v>
      </c>
      <c r="C2158" s="25">
        <v>379.38</v>
      </c>
      <c r="D2158" s="25">
        <v>374.08</v>
      </c>
      <c r="E2158" s="25">
        <v>376.21</v>
      </c>
      <c r="F2158" s="25">
        <v>1010097.0</v>
      </c>
    </row>
    <row r="2159">
      <c r="A2159" s="25">
        <v>41543.645833333336</v>
      </c>
      <c r="B2159" s="25">
        <v>379.25</v>
      </c>
      <c r="C2159" s="25">
        <v>379.61</v>
      </c>
      <c r="D2159" s="25">
        <v>375.13</v>
      </c>
      <c r="E2159" s="25">
        <v>376.54</v>
      </c>
      <c r="F2159" s="25">
        <v>1335305.0</v>
      </c>
    </row>
    <row r="2160">
      <c r="A2160" s="25">
        <v>41544.645833333336</v>
      </c>
      <c r="B2160" s="25">
        <v>378.0</v>
      </c>
      <c r="C2160" s="25">
        <v>381.38</v>
      </c>
      <c r="D2160" s="25">
        <v>373.88</v>
      </c>
      <c r="E2160" s="25">
        <v>375.83</v>
      </c>
      <c r="F2160" s="25">
        <v>712696.0</v>
      </c>
    </row>
    <row r="2161">
      <c r="A2161" s="25">
        <v>41547.645833333336</v>
      </c>
      <c r="B2161" s="25">
        <v>377.53</v>
      </c>
      <c r="C2161" s="25">
        <v>381.88</v>
      </c>
      <c r="D2161" s="25">
        <v>374.69</v>
      </c>
      <c r="E2161" s="25">
        <v>376.63</v>
      </c>
      <c r="F2161" s="25">
        <v>1084898.0</v>
      </c>
    </row>
    <row r="2162">
      <c r="A2162" s="25">
        <v>41548.645833333336</v>
      </c>
      <c r="B2162" s="25">
        <v>378.75</v>
      </c>
      <c r="C2162" s="25">
        <v>379.79</v>
      </c>
      <c r="D2162" s="25">
        <v>375.38</v>
      </c>
      <c r="E2162" s="25">
        <v>376.88</v>
      </c>
      <c r="F2162" s="25">
        <v>663777.0</v>
      </c>
    </row>
    <row r="2163">
      <c r="A2163" s="25">
        <v>41550.645833333336</v>
      </c>
      <c r="B2163" s="25">
        <v>379.38</v>
      </c>
      <c r="C2163" s="25">
        <v>380.88</v>
      </c>
      <c r="D2163" s="25">
        <v>377.5</v>
      </c>
      <c r="E2163" s="25">
        <v>379.64</v>
      </c>
      <c r="F2163" s="25">
        <v>1835839.0</v>
      </c>
    </row>
    <row r="2164">
      <c r="A2164" s="25">
        <v>41551.645833333336</v>
      </c>
      <c r="B2164" s="25">
        <v>378.28</v>
      </c>
      <c r="C2164" s="25">
        <v>379.88</v>
      </c>
      <c r="D2164" s="25">
        <v>375.63</v>
      </c>
      <c r="E2164" s="25">
        <v>377.05</v>
      </c>
      <c r="F2164" s="25">
        <v>919102.0</v>
      </c>
    </row>
    <row r="2165">
      <c r="A2165" s="25">
        <v>41554.645833333336</v>
      </c>
      <c r="B2165" s="25">
        <v>376.88</v>
      </c>
      <c r="C2165" s="25">
        <v>379.97</v>
      </c>
      <c r="D2165" s="25">
        <v>375.8</v>
      </c>
      <c r="E2165" s="25">
        <v>377.73</v>
      </c>
      <c r="F2165" s="25">
        <v>1224418.0</v>
      </c>
    </row>
    <row r="2166">
      <c r="A2166" s="25">
        <v>41555.645833333336</v>
      </c>
      <c r="B2166" s="25">
        <v>380.04</v>
      </c>
      <c r="C2166" s="25">
        <v>381.5</v>
      </c>
      <c r="D2166" s="25">
        <v>377.79</v>
      </c>
      <c r="E2166" s="25">
        <v>379.27</v>
      </c>
      <c r="F2166" s="25">
        <v>2247864.0</v>
      </c>
    </row>
    <row r="2167">
      <c r="A2167" s="25">
        <v>41556.645833333336</v>
      </c>
      <c r="B2167" s="25">
        <v>378.38</v>
      </c>
      <c r="C2167" s="25">
        <v>391.43</v>
      </c>
      <c r="D2167" s="25">
        <v>376.25</v>
      </c>
      <c r="E2167" s="25">
        <v>388.73</v>
      </c>
      <c r="F2167" s="25">
        <v>2171474.0</v>
      </c>
    </row>
    <row r="2168">
      <c r="A2168" s="25">
        <v>41557.645833333336</v>
      </c>
      <c r="B2168" s="25">
        <v>390.64</v>
      </c>
      <c r="C2168" s="25">
        <v>395.12</v>
      </c>
      <c r="D2168" s="25">
        <v>386.34</v>
      </c>
      <c r="E2168" s="25">
        <v>390.95</v>
      </c>
      <c r="F2168" s="25">
        <v>2179336.0</v>
      </c>
    </row>
    <row r="2169">
      <c r="A2169" s="25">
        <v>41558.645833333336</v>
      </c>
      <c r="B2169" s="25">
        <v>416.88</v>
      </c>
      <c r="C2169" s="25">
        <v>417.25</v>
      </c>
      <c r="D2169" s="25">
        <v>394.6</v>
      </c>
      <c r="E2169" s="25">
        <v>409.31</v>
      </c>
      <c r="F2169" s="25">
        <v>5161325.0</v>
      </c>
    </row>
    <row r="2170">
      <c r="A2170" s="25">
        <v>41561.645833333336</v>
      </c>
      <c r="B2170" s="25">
        <v>407.0</v>
      </c>
      <c r="C2170" s="25">
        <v>416.94</v>
      </c>
      <c r="D2170" s="25">
        <v>407.0</v>
      </c>
      <c r="E2170" s="25">
        <v>415.54</v>
      </c>
      <c r="F2170" s="25">
        <v>1528964.0</v>
      </c>
    </row>
    <row r="2171">
      <c r="A2171" s="25">
        <v>41562.645833333336</v>
      </c>
      <c r="B2171" s="25">
        <v>415.5</v>
      </c>
      <c r="C2171" s="25">
        <v>420.88</v>
      </c>
      <c r="D2171" s="25">
        <v>414.1</v>
      </c>
      <c r="E2171" s="25">
        <v>419.35</v>
      </c>
      <c r="F2171" s="25">
        <v>1152665.0</v>
      </c>
    </row>
    <row r="2172">
      <c r="A2172" s="25">
        <v>41564.645833333336</v>
      </c>
      <c r="B2172" s="25">
        <v>416.28</v>
      </c>
      <c r="C2172" s="25">
        <v>419.74</v>
      </c>
      <c r="D2172" s="25">
        <v>407.5</v>
      </c>
      <c r="E2172" s="25">
        <v>408.56</v>
      </c>
      <c r="F2172" s="25">
        <v>1439126.0</v>
      </c>
    </row>
    <row r="2173">
      <c r="A2173" s="25">
        <v>41565.645833333336</v>
      </c>
      <c r="B2173" s="25">
        <v>410.75</v>
      </c>
      <c r="C2173" s="25">
        <v>415.49</v>
      </c>
      <c r="D2173" s="25">
        <v>407.63</v>
      </c>
      <c r="E2173" s="25">
        <v>414.32</v>
      </c>
      <c r="F2173" s="25">
        <v>1368097.0</v>
      </c>
    </row>
    <row r="2174">
      <c r="A2174" s="25">
        <v>41568.645833333336</v>
      </c>
      <c r="B2174" s="25">
        <v>416.63</v>
      </c>
      <c r="C2174" s="25">
        <v>422.21</v>
      </c>
      <c r="D2174" s="25">
        <v>408.14</v>
      </c>
      <c r="E2174" s="25">
        <v>416.93</v>
      </c>
      <c r="F2174" s="25">
        <v>1172921.0</v>
      </c>
    </row>
    <row r="2175">
      <c r="A2175" s="25">
        <v>41569.645833333336</v>
      </c>
      <c r="B2175" s="25">
        <v>417.25</v>
      </c>
      <c r="C2175" s="25">
        <v>420.53</v>
      </c>
      <c r="D2175" s="25">
        <v>415.68</v>
      </c>
      <c r="E2175" s="25">
        <v>417.79</v>
      </c>
      <c r="F2175" s="25">
        <v>901095.0</v>
      </c>
    </row>
    <row r="2176">
      <c r="A2176" s="25">
        <v>41570.645833333336</v>
      </c>
      <c r="B2176" s="25">
        <v>415.0</v>
      </c>
      <c r="C2176" s="25">
        <v>417.35</v>
      </c>
      <c r="D2176" s="25">
        <v>409.88</v>
      </c>
      <c r="E2176" s="25">
        <v>415.6</v>
      </c>
      <c r="F2176" s="25">
        <v>820198.0</v>
      </c>
    </row>
    <row r="2177">
      <c r="A2177" s="25">
        <v>41571.645833333336</v>
      </c>
      <c r="B2177" s="25">
        <v>412.79</v>
      </c>
      <c r="C2177" s="25">
        <v>421.88</v>
      </c>
      <c r="D2177" s="25">
        <v>411.26</v>
      </c>
      <c r="E2177" s="25">
        <v>413.59</v>
      </c>
      <c r="F2177" s="25">
        <v>810070.0</v>
      </c>
    </row>
    <row r="2178">
      <c r="A2178" s="25">
        <v>41572.645833333336</v>
      </c>
      <c r="B2178" s="25">
        <v>416.0</v>
      </c>
      <c r="C2178" s="25">
        <v>418.75</v>
      </c>
      <c r="D2178" s="25">
        <v>413.29</v>
      </c>
      <c r="E2178" s="25">
        <v>416.44</v>
      </c>
      <c r="F2178" s="25">
        <v>751418.0</v>
      </c>
    </row>
    <row r="2179">
      <c r="A2179" s="25">
        <v>41575.645833333336</v>
      </c>
      <c r="B2179" s="25">
        <v>414.65</v>
      </c>
      <c r="C2179" s="25">
        <v>416.86</v>
      </c>
      <c r="D2179" s="25">
        <v>411.64</v>
      </c>
      <c r="E2179" s="25">
        <v>415.43</v>
      </c>
      <c r="F2179" s="25">
        <v>426556.0</v>
      </c>
    </row>
    <row r="2180">
      <c r="A2180" s="25">
        <v>41576.645833333336</v>
      </c>
      <c r="B2180" s="25">
        <v>414.94</v>
      </c>
      <c r="C2180" s="25">
        <v>420.62</v>
      </c>
      <c r="D2180" s="25">
        <v>413.34</v>
      </c>
      <c r="E2180" s="25">
        <v>416.95</v>
      </c>
      <c r="F2180" s="25">
        <v>650049.0</v>
      </c>
    </row>
    <row r="2181">
      <c r="A2181" s="25">
        <v>41577.645833333336</v>
      </c>
      <c r="B2181" s="25">
        <v>413.88</v>
      </c>
      <c r="C2181" s="25">
        <v>417.36</v>
      </c>
      <c r="D2181" s="25">
        <v>413.43</v>
      </c>
      <c r="E2181" s="25">
        <v>415.49</v>
      </c>
      <c r="F2181" s="25">
        <v>698886.0</v>
      </c>
    </row>
    <row r="2182">
      <c r="A2182" s="25">
        <v>41578.645833333336</v>
      </c>
      <c r="B2182" s="25">
        <v>413.04</v>
      </c>
      <c r="C2182" s="25">
        <v>416.0</v>
      </c>
      <c r="D2182" s="25">
        <v>412.03</v>
      </c>
      <c r="E2182" s="25">
        <v>413.74</v>
      </c>
      <c r="F2182" s="25">
        <v>1210943.0</v>
      </c>
    </row>
    <row r="2183">
      <c r="A2183" s="25">
        <v>41579.645833333336</v>
      </c>
      <c r="B2183" s="25">
        <v>412.5</v>
      </c>
      <c r="C2183" s="25">
        <v>414.38</v>
      </c>
      <c r="D2183" s="25">
        <v>408.68</v>
      </c>
      <c r="E2183" s="25">
        <v>409.59</v>
      </c>
      <c r="F2183" s="25">
        <v>770838.0</v>
      </c>
    </row>
    <row r="2184">
      <c r="A2184" s="25">
        <v>41583.645833333336</v>
      </c>
      <c r="B2184" s="25">
        <v>406.5</v>
      </c>
      <c r="C2184" s="25">
        <v>411.32</v>
      </c>
      <c r="D2184" s="25">
        <v>404.13</v>
      </c>
      <c r="E2184" s="25">
        <v>408.23</v>
      </c>
      <c r="F2184" s="25">
        <v>665029.0</v>
      </c>
    </row>
    <row r="2185">
      <c r="A2185" s="25">
        <v>41584.645833333336</v>
      </c>
      <c r="B2185" s="25">
        <v>409.41</v>
      </c>
      <c r="C2185" s="25">
        <v>414.03</v>
      </c>
      <c r="D2185" s="25">
        <v>409.41</v>
      </c>
      <c r="E2185" s="25">
        <v>413.27</v>
      </c>
      <c r="F2185" s="25">
        <v>463083.0</v>
      </c>
    </row>
    <row r="2186">
      <c r="A2186" s="25">
        <v>41585.645833333336</v>
      </c>
      <c r="B2186" s="25">
        <v>415.21</v>
      </c>
      <c r="C2186" s="25">
        <v>424.99</v>
      </c>
      <c r="D2186" s="25">
        <v>414.2</v>
      </c>
      <c r="E2186" s="25">
        <v>419.7</v>
      </c>
      <c r="F2186" s="25">
        <v>899089.0</v>
      </c>
    </row>
    <row r="2187">
      <c r="A2187" s="25">
        <v>41586.645833333336</v>
      </c>
      <c r="B2187" s="25">
        <v>418.75</v>
      </c>
      <c r="C2187" s="25">
        <v>423.65</v>
      </c>
      <c r="D2187" s="25">
        <v>418.75</v>
      </c>
      <c r="E2187" s="25">
        <v>420.01</v>
      </c>
      <c r="F2187" s="25">
        <v>1077014.0</v>
      </c>
    </row>
    <row r="2188">
      <c r="A2188" s="25">
        <v>41589.645833333336</v>
      </c>
      <c r="B2188" s="25">
        <v>418.75</v>
      </c>
      <c r="C2188" s="25">
        <v>424.75</v>
      </c>
      <c r="D2188" s="25">
        <v>417.51</v>
      </c>
      <c r="E2188" s="25">
        <v>420.33</v>
      </c>
      <c r="F2188" s="25">
        <v>975400.0</v>
      </c>
    </row>
    <row r="2189">
      <c r="A2189" s="25">
        <v>41590.645833333336</v>
      </c>
      <c r="B2189" s="25">
        <v>420.31</v>
      </c>
      <c r="C2189" s="25">
        <v>421.88</v>
      </c>
      <c r="D2189" s="25">
        <v>416.01</v>
      </c>
      <c r="E2189" s="25">
        <v>417.11</v>
      </c>
      <c r="F2189" s="25">
        <v>806523.0</v>
      </c>
    </row>
    <row r="2190">
      <c r="A2190" s="25">
        <v>41591.645833333336</v>
      </c>
      <c r="B2190" s="25">
        <v>414.51</v>
      </c>
      <c r="C2190" s="25">
        <v>419.83</v>
      </c>
      <c r="D2190" s="25">
        <v>414.51</v>
      </c>
      <c r="E2190" s="25">
        <v>416.51</v>
      </c>
      <c r="F2190" s="25">
        <v>585939.0</v>
      </c>
    </row>
    <row r="2191">
      <c r="A2191" s="25">
        <v>41592.645833333336</v>
      </c>
      <c r="B2191" s="25">
        <v>419.04</v>
      </c>
      <c r="C2191" s="25">
        <v>421.88</v>
      </c>
      <c r="D2191" s="25">
        <v>418.76</v>
      </c>
      <c r="E2191" s="25">
        <v>419.28</v>
      </c>
      <c r="F2191" s="25">
        <v>542941.0</v>
      </c>
    </row>
    <row r="2192">
      <c r="A2192" s="25">
        <v>41596.645833333336</v>
      </c>
      <c r="B2192" s="25">
        <v>423.88</v>
      </c>
      <c r="C2192" s="25">
        <v>426.88</v>
      </c>
      <c r="D2192" s="25">
        <v>423.48</v>
      </c>
      <c r="E2192" s="25">
        <v>425.51</v>
      </c>
      <c r="F2192" s="25">
        <v>790817.0</v>
      </c>
    </row>
    <row r="2193">
      <c r="A2193" s="25">
        <v>41597.645833333336</v>
      </c>
      <c r="B2193" s="25">
        <v>425.75</v>
      </c>
      <c r="C2193" s="25">
        <v>431.0</v>
      </c>
      <c r="D2193" s="25">
        <v>425.01</v>
      </c>
      <c r="E2193" s="25">
        <v>430.37</v>
      </c>
      <c r="F2193" s="25">
        <v>1121901.0</v>
      </c>
    </row>
    <row r="2194">
      <c r="A2194" s="25">
        <v>41598.645833333336</v>
      </c>
      <c r="B2194" s="25">
        <v>426.13</v>
      </c>
      <c r="C2194" s="25">
        <v>430.41</v>
      </c>
      <c r="D2194" s="25">
        <v>424.38</v>
      </c>
      <c r="E2194" s="25">
        <v>425.28</v>
      </c>
      <c r="F2194" s="25">
        <v>538326.0</v>
      </c>
    </row>
    <row r="2195">
      <c r="A2195" s="25">
        <v>41599.645833333336</v>
      </c>
      <c r="B2195" s="25">
        <v>424.5</v>
      </c>
      <c r="C2195" s="25">
        <v>425.0</v>
      </c>
      <c r="D2195" s="25">
        <v>414.14</v>
      </c>
      <c r="E2195" s="25">
        <v>418.04</v>
      </c>
      <c r="F2195" s="25">
        <v>1061937.0</v>
      </c>
    </row>
    <row r="2196">
      <c r="A2196" s="25">
        <v>41600.645833333336</v>
      </c>
      <c r="B2196" s="25">
        <v>418.25</v>
      </c>
      <c r="C2196" s="25">
        <v>421.88</v>
      </c>
      <c r="D2196" s="25">
        <v>417.0</v>
      </c>
      <c r="E2196" s="25">
        <v>418.45</v>
      </c>
      <c r="F2196" s="25">
        <v>340117.0</v>
      </c>
    </row>
    <row r="2197">
      <c r="A2197" s="25">
        <v>41603.645833333336</v>
      </c>
      <c r="B2197" s="25">
        <v>419.0</v>
      </c>
      <c r="C2197" s="25">
        <v>422.35</v>
      </c>
      <c r="D2197" s="25">
        <v>413.38</v>
      </c>
      <c r="E2197" s="25">
        <v>415.75</v>
      </c>
      <c r="F2197" s="25">
        <v>713412.0</v>
      </c>
    </row>
    <row r="2198">
      <c r="A2198" s="25">
        <v>41604.645833333336</v>
      </c>
      <c r="B2198" s="25">
        <v>415.0</v>
      </c>
      <c r="C2198" s="25">
        <v>418.63</v>
      </c>
      <c r="D2198" s="25">
        <v>411.58</v>
      </c>
      <c r="E2198" s="25">
        <v>414.53</v>
      </c>
      <c r="F2198" s="25">
        <v>915137.0</v>
      </c>
    </row>
    <row r="2199">
      <c r="A2199" s="25">
        <v>41605.645833333336</v>
      </c>
      <c r="B2199" s="25">
        <v>415.0</v>
      </c>
      <c r="C2199" s="25">
        <v>416.98</v>
      </c>
      <c r="D2199" s="25">
        <v>410.73</v>
      </c>
      <c r="E2199" s="25">
        <v>411.66</v>
      </c>
      <c r="F2199" s="25">
        <v>847453.0</v>
      </c>
    </row>
    <row r="2200">
      <c r="A2200" s="25">
        <v>41606.645833333336</v>
      </c>
      <c r="B2200" s="25">
        <v>412.68</v>
      </c>
      <c r="C2200" s="25">
        <v>417.25</v>
      </c>
      <c r="D2200" s="25">
        <v>408.13</v>
      </c>
      <c r="E2200" s="25">
        <v>415.98</v>
      </c>
      <c r="F2200" s="25">
        <v>937496.0</v>
      </c>
    </row>
    <row r="2201">
      <c r="A2201" s="25">
        <v>41607.645833333336</v>
      </c>
      <c r="B2201" s="25">
        <v>417.0</v>
      </c>
      <c r="C2201" s="25">
        <v>420.75</v>
      </c>
      <c r="D2201" s="25">
        <v>413.75</v>
      </c>
      <c r="E2201" s="25">
        <v>419.32</v>
      </c>
      <c r="F2201" s="25">
        <v>676445.0</v>
      </c>
    </row>
    <row r="2202">
      <c r="A2202" s="25">
        <v>41610.645833333336</v>
      </c>
      <c r="B2202" s="25">
        <v>419.0</v>
      </c>
      <c r="C2202" s="25">
        <v>422.11</v>
      </c>
      <c r="D2202" s="25">
        <v>415.64</v>
      </c>
      <c r="E2202" s="25">
        <v>417.34</v>
      </c>
      <c r="F2202" s="25">
        <v>588922.0</v>
      </c>
    </row>
    <row r="2203">
      <c r="A2203" s="25">
        <v>41611.645833333336</v>
      </c>
      <c r="B2203" s="25">
        <v>415.0</v>
      </c>
      <c r="C2203" s="25">
        <v>419.94</v>
      </c>
      <c r="D2203" s="25">
        <v>415.0</v>
      </c>
      <c r="E2203" s="25">
        <v>418.59</v>
      </c>
      <c r="F2203" s="25">
        <v>875155.0</v>
      </c>
    </row>
    <row r="2204">
      <c r="A2204" s="25">
        <v>41612.645833333336</v>
      </c>
      <c r="B2204" s="25">
        <v>418.75</v>
      </c>
      <c r="C2204" s="25">
        <v>423.25</v>
      </c>
      <c r="D2204" s="25">
        <v>417.1</v>
      </c>
      <c r="E2204" s="25">
        <v>420.67</v>
      </c>
      <c r="F2204" s="25">
        <v>1055390.0</v>
      </c>
    </row>
    <row r="2205">
      <c r="A2205" s="25">
        <v>41613.645833333336</v>
      </c>
      <c r="B2205" s="25">
        <v>422.5</v>
      </c>
      <c r="C2205" s="25">
        <v>424.88</v>
      </c>
      <c r="D2205" s="25">
        <v>417.75</v>
      </c>
      <c r="E2205" s="25">
        <v>418.91</v>
      </c>
      <c r="F2205" s="25">
        <v>789634.0</v>
      </c>
    </row>
    <row r="2206">
      <c r="A2206" s="25">
        <v>41614.645833333336</v>
      </c>
      <c r="B2206" s="25">
        <v>417.38</v>
      </c>
      <c r="C2206" s="25">
        <v>418.63</v>
      </c>
      <c r="D2206" s="25">
        <v>414.78</v>
      </c>
      <c r="E2206" s="25">
        <v>415.73</v>
      </c>
      <c r="F2206" s="25">
        <v>818106.0</v>
      </c>
    </row>
    <row r="2207">
      <c r="A2207" s="25">
        <v>41617.645833333336</v>
      </c>
      <c r="B2207" s="25">
        <v>420.63</v>
      </c>
      <c r="C2207" s="25">
        <v>423.01</v>
      </c>
      <c r="D2207" s="25">
        <v>415.13</v>
      </c>
      <c r="E2207" s="25">
        <v>417.35</v>
      </c>
      <c r="F2207" s="25">
        <v>1107079.0</v>
      </c>
    </row>
    <row r="2208">
      <c r="A2208" s="25">
        <v>41618.645833333336</v>
      </c>
      <c r="B2208" s="25">
        <v>416.88</v>
      </c>
      <c r="C2208" s="25">
        <v>423.73</v>
      </c>
      <c r="D2208" s="25">
        <v>416.44</v>
      </c>
      <c r="E2208" s="25">
        <v>421.36</v>
      </c>
      <c r="F2208" s="25">
        <v>1543237.0</v>
      </c>
    </row>
    <row r="2209">
      <c r="A2209" s="25">
        <v>41619.645833333336</v>
      </c>
      <c r="B2209" s="25">
        <v>420.63</v>
      </c>
      <c r="C2209" s="25">
        <v>422.71</v>
      </c>
      <c r="D2209" s="25">
        <v>417.5</v>
      </c>
      <c r="E2209" s="25">
        <v>421.79</v>
      </c>
      <c r="F2209" s="25">
        <v>782120.0</v>
      </c>
    </row>
    <row r="2210">
      <c r="A2210" s="25">
        <v>41620.645833333336</v>
      </c>
      <c r="B2210" s="25">
        <v>420.55</v>
      </c>
      <c r="C2210" s="25">
        <v>423.21</v>
      </c>
      <c r="D2210" s="25">
        <v>418.5</v>
      </c>
      <c r="E2210" s="25">
        <v>420.48</v>
      </c>
      <c r="F2210" s="25">
        <v>690029.0</v>
      </c>
    </row>
    <row r="2211">
      <c r="A2211" s="25">
        <v>41621.645833333336</v>
      </c>
      <c r="B2211" s="25">
        <v>418.13</v>
      </c>
      <c r="C2211" s="25">
        <v>422.5</v>
      </c>
      <c r="D2211" s="25">
        <v>418.13</v>
      </c>
      <c r="E2211" s="25">
        <v>421.73</v>
      </c>
      <c r="F2211" s="25">
        <v>1039453.0</v>
      </c>
    </row>
    <row r="2212">
      <c r="A2212" s="25">
        <v>41624.645833333336</v>
      </c>
      <c r="B2212" s="25">
        <v>422.5</v>
      </c>
      <c r="C2212" s="25">
        <v>433.0</v>
      </c>
      <c r="D2212" s="25">
        <v>419.23</v>
      </c>
      <c r="E2212" s="25">
        <v>431.53</v>
      </c>
      <c r="F2212" s="25">
        <v>1264712.0</v>
      </c>
    </row>
    <row r="2213">
      <c r="A2213" s="25">
        <v>41625.645833333336</v>
      </c>
      <c r="B2213" s="25">
        <v>430.64</v>
      </c>
      <c r="C2213" s="25">
        <v>435.61</v>
      </c>
      <c r="D2213" s="25">
        <v>430.64</v>
      </c>
      <c r="E2213" s="25">
        <v>432.04</v>
      </c>
      <c r="F2213" s="25">
        <v>1339244.0</v>
      </c>
    </row>
    <row r="2214">
      <c r="A2214" s="25">
        <v>41626.645833333336</v>
      </c>
      <c r="B2214" s="25">
        <v>431.25</v>
      </c>
      <c r="C2214" s="25">
        <v>434.22</v>
      </c>
      <c r="D2214" s="25">
        <v>430.94</v>
      </c>
      <c r="E2214" s="25">
        <v>432.18</v>
      </c>
      <c r="F2214" s="25">
        <v>1147918.0</v>
      </c>
    </row>
    <row r="2215">
      <c r="A2215" s="25">
        <v>41627.645833333336</v>
      </c>
      <c r="B2215" s="25">
        <v>432.81</v>
      </c>
      <c r="C2215" s="25">
        <v>443.12</v>
      </c>
      <c r="D2215" s="25">
        <v>431.88</v>
      </c>
      <c r="E2215" s="25">
        <v>439.03</v>
      </c>
      <c r="F2215" s="25">
        <v>916432.0</v>
      </c>
    </row>
    <row r="2216">
      <c r="A2216" s="25">
        <v>41628.645833333336</v>
      </c>
      <c r="B2216" s="25">
        <v>440.63</v>
      </c>
      <c r="C2216" s="25">
        <v>446.63</v>
      </c>
      <c r="D2216" s="25">
        <v>438.55</v>
      </c>
      <c r="E2216" s="25">
        <v>443.92</v>
      </c>
      <c r="F2216" s="25">
        <v>1085682.0</v>
      </c>
    </row>
    <row r="2217">
      <c r="A2217" s="25">
        <v>41631.645833333336</v>
      </c>
      <c r="B2217" s="25">
        <v>437.5</v>
      </c>
      <c r="C2217" s="25">
        <v>442.49</v>
      </c>
      <c r="D2217" s="25">
        <v>432.57</v>
      </c>
      <c r="E2217" s="25">
        <v>433.56</v>
      </c>
      <c r="F2217" s="25">
        <v>1105738.0</v>
      </c>
    </row>
    <row r="2218">
      <c r="A2218" s="25">
        <v>41632.645833333336</v>
      </c>
      <c r="B2218" s="25">
        <v>435.75</v>
      </c>
      <c r="C2218" s="25">
        <v>437.86</v>
      </c>
      <c r="D2218" s="25">
        <v>433.26</v>
      </c>
      <c r="E2218" s="25">
        <v>435.8</v>
      </c>
      <c r="F2218" s="25">
        <v>888739.0</v>
      </c>
    </row>
    <row r="2219">
      <c r="A2219" s="25">
        <v>41634.645833333336</v>
      </c>
      <c r="B2219" s="25">
        <v>435.88</v>
      </c>
      <c r="C2219" s="25">
        <v>441.8</v>
      </c>
      <c r="D2219" s="25">
        <v>435.47</v>
      </c>
      <c r="E2219" s="25">
        <v>440.08</v>
      </c>
      <c r="F2219" s="25">
        <v>858741.0</v>
      </c>
    </row>
    <row r="2220">
      <c r="A2220" s="25">
        <v>41635.645833333336</v>
      </c>
      <c r="B2220" s="25">
        <v>441.25</v>
      </c>
      <c r="C2220" s="25">
        <v>446.5</v>
      </c>
      <c r="D2220" s="25">
        <v>441.24</v>
      </c>
      <c r="E2220" s="25">
        <v>445.16</v>
      </c>
      <c r="F2220" s="25">
        <v>922758.0</v>
      </c>
    </row>
    <row r="2221">
      <c r="A2221" s="25">
        <v>41638.645833333336</v>
      </c>
      <c r="B2221" s="25">
        <v>445.96</v>
      </c>
      <c r="C2221" s="25">
        <v>446.88</v>
      </c>
      <c r="D2221" s="25">
        <v>434.38</v>
      </c>
      <c r="E2221" s="25">
        <v>437.79</v>
      </c>
      <c r="F2221" s="25">
        <v>1482929.0</v>
      </c>
    </row>
    <row r="2222">
      <c r="A2222" s="25">
        <v>41639.645833333336</v>
      </c>
      <c r="B2222" s="25">
        <v>437.5</v>
      </c>
      <c r="C2222" s="25">
        <v>440.21</v>
      </c>
      <c r="D2222" s="25">
        <v>435.03</v>
      </c>
      <c r="E2222" s="25">
        <v>435.71</v>
      </c>
      <c r="F2222" s="25">
        <v>448851.0</v>
      </c>
    </row>
    <row r="2223">
      <c r="A2223" s="25">
        <v>41640.645833333336</v>
      </c>
      <c r="B2223" s="25">
        <v>436.5</v>
      </c>
      <c r="C2223" s="25">
        <v>437.38</v>
      </c>
      <c r="D2223" s="25">
        <v>432.76</v>
      </c>
      <c r="E2223" s="25">
        <v>433.5</v>
      </c>
      <c r="F2223" s="25">
        <v>184836.0</v>
      </c>
    </row>
    <row r="2224">
      <c r="A2224" s="25">
        <v>41641.645833333336</v>
      </c>
      <c r="B2224" s="25">
        <v>432.91</v>
      </c>
      <c r="C2224" s="25">
        <v>438.5</v>
      </c>
      <c r="D2224" s="25">
        <v>432.91</v>
      </c>
      <c r="E2224" s="25">
        <v>435.07</v>
      </c>
      <c r="F2224" s="25">
        <v>550593.0</v>
      </c>
    </row>
    <row r="2225">
      <c r="A2225" s="25">
        <v>41642.645833333336</v>
      </c>
      <c r="B2225" s="25">
        <v>434.38</v>
      </c>
      <c r="C2225" s="25">
        <v>446.88</v>
      </c>
      <c r="D2225" s="25">
        <v>431.78</v>
      </c>
      <c r="E2225" s="25">
        <v>445.64</v>
      </c>
      <c r="F2225" s="25">
        <v>1255793.0</v>
      </c>
    </row>
    <row r="2226">
      <c r="A2226" s="25">
        <v>41645.645833333336</v>
      </c>
      <c r="B2226" s="25">
        <v>446.89</v>
      </c>
      <c r="C2226" s="25">
        <v>447.56</v>
      </c>
      <c r="D2226" s="25">
        <v>433.58</v>
      </c>
      <c r="E2226" s="25">
        <v>439.74</v>
      </c>
      <c r="F2226" s="25">
        <v>1387291.0</v>
      </c>
    </row>
    <row r="2227">
      <c r="A2227" s="25">
        <v>41646.645833333336</v>
      </c>
      <c r="B2227" s="25">
        <v>439.88</v>
      </c>
      <c r="C2227" s="25">
        <v>440.74</v>
      </c>
      <c r="D2227" s="25">
        <v>430.84</v>
      </c>
      <c r="E2227" s="25">
        <v>432.14</v>
      </c>
      <c r="F2227" s="25">
        <v>964211.0</v>
      </c>
    </row>
    <row r="2228">
      <c r="A2228" s="25">
        <v>41647.645833333336</v>
      </c>
      <c r="B2228" s="25">
        <v>432.63</v>
      </c>
      <c r="C2228" s="25">
        <v>434.38</v>
      </c>
      <c r="D2228" s="25">
        <v>427.63</v>
      </c>
      <c r="E2228" s="25">
        <v>428.51</v>
      </c>
      <c r="F2228" s="25">
        <v>1123799.0</v>
      </c>
    </row>
    <row r="2229">
      <c r="A2229" s="25">
        <v>41648.645833333336</v>
      </c>
      <c r="B2229" s="25">
        <v>430.0</v>
      </c>
      <c r="C2229" s="25">
        <v>435.25</v>
      </c>
      <c r="D2229" s="25">
        <v>427.23</v>
      </c>
      <c r="E2229" s="25">
        <v>431.35</v>
      </c>
      <c r="F2229" s="25">
        <v>1573851.0</v>
      </c>
    </row>
    <row r="2230">
      <c r="A2230" s="25">
        <v>41649.645833333336</v>
      </c>
      <c r="B2230" s="25">
        <v>436.25</v>
      </c>
      <c r="C2230" s="25">
        <v>446.88</v>
      </c>
      <c r="D2230" s="25">
        <v>431.0</v>
      </c>
      <c r="E2230" s="25">
        <v>443.91</v>
      </c>
      <c r="F2230" s="25">
        <v>3782272.0</v>
      </c>
    </row>
    <row r="2231">
      <c r="A2231" s="25">
        <v>41652.645833333336</v>
      </c>
      <c r="B2231" s="25">
        <v>447.75</v>
      </c>
      <c r="C2231" s="25">
        <v>459.38</v>
      </c>
      <c r="D2231" s="25">
        <v>447.75</v>
      </c>
      <c r="E2231" s="25">
        <v>458.13</v>
      </c>
      <c r="F2231" s="25">
        <v>2139989.0</v>
      </c>
    </row>
    <row r="2232">
      <c r="A2232" s="25">
        <v>41653.645833333336</v>
      </c>
      <c r="B2232" s="25">
        <v>455.63</v>
      </c>
      <c r="C2232" s="25">
        <v>461.88</v>
      </c>
      <c r="D2232" s="25">
        <v>455.06</v>
      </c>
      <c r="E2232" s="25">
        <v>460.84</v>
      </c>
      <c r="F2232" s="25">
        <v>928229.0</v>
      </c>
    </row>
    <row r="2233">
      <c r="A2233" s="25">
        <v>41654.645833333336</v>
      </c>
      <c r="B2233" s="25">
        <v>461.91</v>
      </c>
      <c r="C2233" s="25">
        <v>465.54</v>
      </c>
      <c r="D2233" s="25">
        <v>460.13</v>
      </c>
      <c r="E2233" s="25">
        <v>464.01</v>
      </c>
      <c r="F2233" s="25">
        <v>2141268.0</v>
      </c>
    </row>
    <row r="2234">
      <c r="A2234" s="25">
        <v>41655.645833333336</v>
      </c>
      <c r="B2234" s="25">
        <v>462.38</v>
      </c>
      <c r="C2234" s="25">
        <v>467.18</v>
      </c>
      <c r="D2234" s="25">
        <v>461.71</v>
      </c>
      <c r="E2234" s="25">
        <v>465.63</v>
      </c>
      <c r="F2234" s="25">
        <v>2201029.0</v>
      </c>
    </row>
    <row r="2235">
      <c r="A2235" s="25">
        <v>41656.645833333336</v>
      </c>
      <c r="B2235" s="25">
        <v>466.13</v>
      </c>
      <c r="C2235" s="25">
        <v>470.58</v>
      </c>
      <c r="D2235" s="25">
        <v>465.0</v>
      </c>
      <c r="E2235" s="25">
        <v>466.22</v>
      </c>
      <c r="F2235" s="25">
        <v>3208487.0</v>
      </c>
    </row>
    <row r="2236">
      <c r="A2236" s="25">
        <v>41659.645833333336</v>
      </c>
      <c r="B2236" s="25">
        <v>464.0</v>
      </c>
      <c r="C2236" s="25">
        <v>469.99</v>
      </c>
      <c r="D2236" s="25">
        <v>463.06</v>
      </c>
      <c r="E2236" s="25">
        <v>468.66</v>
      </c>
      <c r="F2236" s="25">
        <v>1220243.0</v>
      </c>
    </row>
    <row r="2237">
      <c r="A2237" s="25">
        <v>41660.645833333336</v>
      </c>
      <c r="B2237" s="25">
        <v>468.75</v>
      </c>
      <c r="C2237" s="25">
        <v>471.25</v>
      </c>
      <c r="D2237" s="25">
        <v>464.79</v>
      </c>
      <c r="E2237" s="25">
        <v>469.79</v>
      </c>
      <c r="F2237" s="25">
        <v>1512808.0</v>
      </c>
    </row>
    <row r="2238">
      <c r="A2238" s="25">
        <v>41661.645833333336</v>
      </c>
      <c r="B2238" s="25">
        <v>467.65</v>
      </c>
      <c r="C2238" s="25">
        <v>472.25</v>
      </c>
      <c r="D2238" s="25">
        <v>467.51</v>
      </c>
      <c r="E2238" s="25">
        <v>470.74</v>
      </c>
      <c r="F2238" s="25">
        <v>846220.0</v>
      </c>
    </row>
    <row r="2239">
      <c r="A2239" s="25">
        <v>41662.645833333336</v>
      </c>
      <c r="B2239" s="25">
        <v>473.01</v>
      </c>
      <c r="C2239" s="25">
        <v>474.88</v>
      </c>
      <c r="D2239" s="25">
        <v>470.11</v>
      </c>
      <c r="E2239" s="25">
        <v>474.06</v>
      </c>
      <c r="F2239" s="25">
        <v>988418.0</v>
      </c>
    </row>
    <row r="2240">
      <c r="A2240" s="25">
        <v>41663.645833333336</v>
      </c>
      <c r="B2240" s="25">
        <v>470.63</v>
      </c>
      <c r="C2240" s="25">
        <v>474.62</v>
      </c>
      <c r="D2240" s="25">
        <v>469.34</v>
      </c>
      <c r="E2240" s="25">
        <v>469.77</v>
      </c>
      <c r="F2240" s="25">
        <v>859573.0</v>
      </c>
    </row>
    <row r="2241">
      <c r="A2241" s="25">
        <v>41666.645833333336</v>
      </c>
      <c r="B2241" s="25">
        <v>465.0</v>
      </c>
      <c r="C2241" s="25">
        <v>470.49</v>
      </c>
      <c r="D2241" s="25">
        <v>463.9</v>
      </c>
      <c r="E2241" s="25">
        <v>466.53</v>
      </c>
      <c r="F2241" s="25">
        <v>1012381.0</v>
      </c>
    </row>
    <row r="2242">
      <c r="A2242" s="25">
        <v>41667.645833333336</v>
      </c>
      <c r="B2242" s="25">
        <v>463.38</v>
      </c>
      <c r="C2242" s="25">
        <v>463.59</v>
      </c>
      <c r="D2242" s="25">
        <v>458.36</v>
      </c>
      <c r="E2242" s="25">
        <v>459.39</v>
      </c>
      <c r="F2242" s="25">
        <v>1763568.0</v>
      </c>
    </row>
    <row r="2243">
      <c r="A2243" s="25">
        <v>41668.645833333336</v>
      </c>
      <c r="B2243" s="25">
        <v>458.25</v>
      </c>
      <c r="C2243" s="25">
        <v>467.96</v>
      </c>
      <c r="D2243" s="25">
        <v>456.71</v>
      </c>
      <c r="E2243" s="25">
        <v>464.73</v>
      </c>
      <c r="F2243" s="25">
        <v>1012760.0</v>
      </c>
    </row>
    <row r="2244">
      <c r="A2244" s="25">
        <v>41669.645833333336</v>
      </c>
      <c r="B2244" s="25">
        <v>462.96</v>
      </c>
      <c r="C2244" s="25">
        <v>464.59</v>
      </c>
      <c r="D2244" s="25">
        <v>457.5</v>
      </c>
      <c r="E2244" s="25">
        <v>463.03</v>
      </c>
      <c r="F2244" s="25">
        <v>897954.0</v>
      </c>
    </row>
    <row r="2245">
      <c r="A2245" s="25">
        <v>41670.645833333336</v>
      </c>
      <c r="B2245" s="25">
        <v>462.5</v>
      </c>
      <c r="C2245" s="25">
        <v>467.47</v>
      </c>
      <c r="D2245" s="25">
        <v>460.82</v>
      </c>
      <c r="E2245" s="25">
        <v>462.64</v>
      </c>
      <c r="F2245" s="25">
        <v>671241.0</v>
      </c>
    </row>
    <row r="2246">
      <c r="A2246" s="25">
        <v>41673.645833333336</v>
      </c>
      <c r="B2246" s="25">
        <v>460.63</v>
      </c>
      <c r="C2246" s="25">
        <v>461.5</v>
      </c>
      <c r="D2246" s="25">
        <v>453.1</v>
      </c>
      <c r="E2246" s="25">
        <v>453.64</v>
      </c>
      <c r="F2246" s="25">
        <v>548014.0</v>
      </c>
    </row>
    <row r="2247">
      <c r="A2247" s="25">
        <v>41674.645833333336</v>
      </c>
      <c r="B2247" s="25">
        <v>447.63</v>
      </c>
      <c r="C2247" s="25">
        <v>448.99</v>
      </c>
      <c r="D2247" s="25">
        <v>443.32</v>
      </c>
      <c r="E2247" s="25">
        <v>445.14</v>
      </c>
      <c r="F2247" s="25">
        <v>566889.0</v>
      </c>
    </row>
    <row r="2248">
      <c r="A2248" s="25">
        <v>41675.645833333336</v>
      </c>
      <c r="B2248" s="25">
        <v>447.5</v>
      </c>
      <c r="C2248" s="25">
        <v>448.63</v>
      </c>
      <c r="D2248" s="25">
        <v>442.84</v>
      </c>
      <c r="E2248" s="25">
        <v>447.66</v>
      </c>
      <c r="F2248" s="25">
        <v>540874.0</v>
      </c>
    </row>
    <row r="2249">
      <c r="A2249" s="25">
        <v>41676.645833333336</v>
      </c>
      <c r="B2249" s="25">
        <v>446.5</v>
      </c>
      <c r="C2249" s="25">
        <v>447.88</v>
      </c>
      <c r="D2249" s="25">
        <v>442.63</v>
      </c>
      <c r="E2249" s="25">
        <v>445.46</v>
      </c>
      <c r="F2249" s="25">
        <v>718738.0</v>
      </c>
    </row>
    <row r="2250">
      <c r="A2250" s="25">
        <v>41677.645833333336</v>
      </c>
      <c r="B2250" s="25">
        <v>448.38</v>
      </c>
      <c r="C2250" s="25">
        <v>450.23</v>
      </c>
      <c r="D2250" s="25">
        <v>443.61</v>
      </c>
      <c r="E2250" s="25">
        <v>445.82</v>
      </c>
      <c r="F2250" s="25">
        <v>943932.0</v>
      </c>
    </row>
    <row r="2251">
      <c r="A2251" s="25">
        <v>41680.645833333336</v>
      </c>
      <c r="B2251" s="25">
        <v>447.49</v>
      </c>
      <c r="C2251" s="25">
        <v>448.25</v>
      </c>
      <c r="D2251" s="25">
        <v>444.69</v>
      </c>
      <c r="E2251" s="25">
        <v>446.73</v>
      </c>
      <c r="F2251" s="25">
        <v>756178.0</v>
      </c>
    </row>
    <row r="2252">
      <c r="A2252" s="25">
        <v>41681.645833333336</v>
      </c>
      <c r="B2252" s="25">
        <v>448.0</v>
      </c>
      <c r="C2252" s="25">
        <v>452.75</v>
      </c>
      <c r="D2252" s="25">
        <v>446.69</v>
      </c>
      <c r="E2252" s="25">
        <v>449.53</v>
      </c>
      <c r="F2252" s="25">
        <v>729199.0</v>
      </c>
    </row>
    <row r="2253">
      <c r="A2253" s="25">
        <v>41682.645833333336</v>
      </c>
      <c r="B2253" s="25">
        <v>450.06</v>
      </c>
      <c r="C2253" s="25">
        <v>453.43</v>
      </c>
      <c r="D2253" s="25">
        <v>449.15</v>
      </c>
      <c r="E2253" s="25">
        <v>450.01</v>
      </c>
      <c r="F2253" s="25">
        <v>526089.0</v>
      </c>
    </row>
    <row r="2254">
      <c r="A2254" s="25">
        <v>41683.645833333336</v>
      </c>
      <c r="B2254" s="25">
        <v>450.6</v>
      </c>
      <c r="C2254" s="25">
        <v>452.24</v>
      </c>
      <c r="D2254" s="25">
        <v>447.51</v>
      </c>
      <c r="E2254" s="25">
        <v>448.23</v>
      </c>
      <c r="F2254" s="25">
        <v>448540.0</v>
      </c>
    </row>
    <row r="2255">
      <c r="A2255" s="25">
        <v>41684.645833333336</v>
      </c>
      <c r="B2255" s="25">
        <v>451.94</v>
      </c>
      <c r="C2255" s="25">
        <v>458.0</v>
      </c>
      <c r="D2255" s="25">
        <v>450.41</v>
      </c>
      <c r="E2255" s="25">
        <v>455.54</v>
      </c>
      <c r="F2255" s="25">
        <v>745271.0</v>
      </c>
    </row>
    <row r="2256">
      <c r="A2256" s="25">
        <v>41687.645833333336</v>
      </c>
      <c r="B2256" s="25">
        <v>460.63</v>
      </c>
      <c r="C2256" s="25">
        <v>460.63</v>
      </c>
      <c r="D2256" s="25">
        <v>456.11</v>
      </c>
      <c r="E2256" s="25">
        <v>457.27</v>
      </c>
      <c r="F2256" s="25">
        <v>1696240.0</v>
      </c>
    </row>
    <row r="2257">
      <c r="A2257" s="25">
        <v>41688.645833333336</v>
      </c>
      <c r="B2257" s="25">
        <v>455.88</v>
      </c>
      <c r="C2257" s="25">
        <v>461.83</v>
      </c>
      <c r="D2257" s="25">
        <v>455.88</v>
      </c>
      <c r="E2257" s="25">
        <v>460.25</v>
      </c>
      <c r="F2257" s="25">
        <v>622280.0</v>
      </c>
    </row>
    <row r="2258">
      <c r="A2258" s="25">
        <v>41690.645833333336</v>
      </c>
      <c r="B2258" s="25">
        <v>468.11</v>
      </c>
      <c r="C2258" s="25">
        <v>468.11</v>
      </c>
      <c r="D2258" s="25">
        <v>463.25</v>
      </c>
      <c r="E2258" s="25">
        <v>463.91</v>
      </c>
      <c r="F2258" s="25">
        <v>1102106.0</v>
      </c>
    </row>
    <row r="2259">
      <c r="A2259" s="25">
        <v>41691.645833333336</v>
      </c>
      <c r="B2259" s="25">
        <v>467.0</v>
      </c>
      <c r="C2259" s="25">
        <v>469.43</v>
      </c>
      <c r="D2259" s="25">
        <v>465.91</v>
      </c>
      <c r="E2259" s="25">
        <v>468.84</v>
      </c>
      <c r="F2259" s="25">
        <v>689748.0</v>
      </c>
    </row>
    <row r="2260">
      <c r="A2260" s="25">
        <v>41694.645833333336</v>
      </c>
      <c r="B2260" s="25">
        <v>468.25</v>
      </c>
      <c r="C2260" s="25">
        <v>469.21</v>
      </c>
      <c r="D2260" s="25">
        <v>466.25</v>
      </c>
      <c r="E2260" s="25">
        <v>468.74</v>
      </c>
      <c r="F2260" s="25">
        <v>544701.0</v>
      </c>
    </row>
    <row r="2261">
      <c r="A2261" s="25">
        <v>41695.645833333336</v>
      </c>
      <c r="B2261" s="25">
        <v>469.38</v>
      </c>
      <c r="C2261" s="25">
        <v>474.01</v>
      </c>
      <c r="D2261" s="25">
        <v>469.38</v>
      </c>
      <c r="E2261" s="25">
        <v>472.86</v>
      </c>
      <c r="F2261" s="25">
        <v>1012439.0</v>
      </c>
    </row>
    <row r="2262">
      <c r="A2262" s="25">
        <v>41696.645833333336</v>
      </c>
      <c r="B2262" s="25">
        <v>472.5</v>
      </c>
      <c r="C2262" s="25">
        <v>477.23</v>
      </c>
      <c r="D2262" s="25">
        <v>471.51</v>
      </c>
      <c r="E2262" s="25">
        <v>475.94</v>
      </c>
      <c r="F2262" s="25">
        <v>919021.0</v>
      </c>
    </row>
    <row r="2263">
      <c r="A2263" s="25">
        <v>41698.645833333336</v>
      </c>
      <c r="B2263" s="25">
        <v>470.14</v>
      </c>
      <c r="C2263" s="25">
        <v>479.64</v>
      </c>
      <c r="D2263" s="25">
        <v>470.14</v>
      </c>
      <c r="E2263" s="25">
        <v>478.11</v>
      </c>
      <c r="F2263" s="25">
        <v>1229937.0</v>
      </c>
    </row>
    <row r="2264">
      <c r="A2264" s="25">
        <v>41701.645833333336</v>
      </c>
      <c r="B2264" s="25">
        <v>478.13</v>
      </c>
      <c r="C2264" s="25">
        <v>481.24</v>
      </c>
      <c r="D2264" s="25">
        <v>473.99</v>
      </c>
      <c r="E2264" s="25">
        <v>474.78</v>
      </c>
      <c r="F2264" s="25">
        <v>900522.0</v>
      </c>
    </row>
    <row r="2265">
      <c r="A2265" s="25">
        <v>41702.645833333336</v>
      </c>
      <c r="B2265" s="25">
        <v>471.25</v>
      </c>
      <c r="C2265" s="25">
        <v>478.06</v>
      </c>
      <c r="D2265" s="25">
        <v>470.24</v>
      </c>
      <c r="E2265" s="25">
        <v>474.94</v>
      </c>
      <c r="F2265" s="25">
        <v>867239.0</v>
      </c>
    </row>
    <row r="2266">
      <c r="A2266" s="25">
        <v>41703.645833333336</v>
      </c>
      <c r="B2266" s="25">
        <v>478.49</v>
      </c>
      <c r="C2266" s="25">
        <v>480.55</v>
      </c>
      <c r="D2266" s="25">
        <v>476.24</v>
      </c>
      <c r="E2266" s="25">
        <v>477.71</v>
      </c>
      <c r="F2266" s="25">
        <v>617938.0</v>
      </c>
    </row>
    <row r="2267">
      <c r="A2267" s="25">
        <v>41704.645833333336</v>
      </c>
      <c r="B2267" s="25">
        <v>479.75</v>
      </c>
      <c r="C2267" s="25">
        <v>481.24</v>
      </c>
      <c r="D2267" s="25">
        <v>477.17</v>
      </c>
      <c r="E2267" s="25">
        <v>478.99</v>
      </c>
      <c r="F2267" s="25">
        <v>778289.0</v>
      </c>
    </row>
    <row r="2268">
      <c r="A2268" s="25">
        <v>41705.645833333336</v>
      </c>
      <c r="B2268" s="25">
        <v>478.38</v>
      </c>
      <c r="C2268" s="25">
        <v>479.25</v>
      </c>
      <c r="D2268" s="25">
        <v>463.54</v>
      </c>
      <c r="E2268" s="25">
        <v>467.54</v>
      </c>
      <c r="F2268" s="25">
        <v>1884093.0</v>
      </c>
    </row>
    <row r="2269">
      <c r="A2269" s="25">
        <v>41708.645833333336</v>
      </c>
      <c r="B2269" s="25">
        <v>466.21</v>
      </c>
      <c r="C2269" s="25">
        <v>466.21</v>
      </c>
      <c r="D2269" s="25">
        <v>455.66</v>
      </c>
      <c r="E2269" s="25">
        <v>458.95</v>
      </c>
      <c r="F2269" s="25">
        <v>929059.0</v>
      </c>
    </row>
    <row r="2270">
      <c r="A2270" s="25">
        <v>41709.645833333336</v>
      </c>
      <c r="B2270" s="25">
        <v>456.63</v>
      </c>
      <c r="C2270" s="25">
        <v>463.61</v>
      </c>
      <c r="D2270" s="25">
        <v>453.88</v>
      </c>
      <c r="E2270" s="25">
        <v>459.42</v>
      </c>
      <c r="F2270" s="25">
        <v>515534.0</v>
      </c>
    </row>
    <row r="2271">
      <c r="A2271" s="25">
        <v>41710.645833333336</v>
      </c>
      <c r="B2271" s="25">
        <v>459.18</v>
      </c>
      <c r="C2271" s="25">
        <v>462.92</v>
      </c>
      <c r="D2271" s="25">
        <v>456.5</v>
      </c>
      <c r="E2271" s="25">
        <v>458.91</v>
      </c>
      <c r="F2271" s="25">
        <v>492513.0</v>
      </c>
    </row>
    <row r="2272">
      <c r="A2272" s="25">
        <v>41711.645833333336</v>
      </c>
      <c r="B2272" s="25">
        <v>427.5</v>
      </c>
      <c r="C2272" s="25">
        <v>429.99</v>
      </c>
      <c r="D2272" s="25">
        <v>417.5</v>
      </c>
      <c r="E2272" s="25">
        <v>419.7</v>
      </c>
      <c r="F2272" s="25">
        <v>5098860.0</v>
      </c>
    </row>
    <row r="2273">
      <c r="A2273" s="25">
        <v>41712.645833333336</v>
      </c>
      <c r="B2273" s="25">
        <v>417.5</v>
      </c>
      <c r="C2273" s="25">
        <v>425.49</v>
      </c>
      <c r="D2273" s="25">
        <v>416.88</v>
      </c>
      <c r="E2273" s="25">
        <v>424.27</v>
      </c>
      <c r="F2273" s="25">
        <v>1395943.0</v>
      </c>
    </row>
    <row r="2274">
      <c r="A2274" s="25">
        <v>41716.645833333336</v>
      </c>
      <c r="B2274" s="25">
        <v>425.0</v>
      </c>
      <c r="C2274" s="25">
        <v>426.49</v>
      </c>
      <c r="D2274" s="25">
        <v>417.5</v>
      </c>
      <c r="E2274" s="25">
        <v>418.82</v>
      </c>
      <c r="F2274" s="25">
        <v>1475539.0</v>
      </c>
    </row>
    <row r="2275">
      <c r="A2275" s="25">
        <v>41717.645833333336</v>
      </c>
      <c r="B2275" s="25">
        <v>418.75</v>
      </c>
      <c r="C2275" s="25">
        <v>419.73</v>
      </c>
      <c r="D2275" s="25">
        <v>404.84</v>
      </c>
      <c r="E2275" s="25">
        <v>408.97</v>
      </c>
      <c r="F2275" s="25">
        <v>1972231.0</v>
      </c>
    </row>
    <row r="2276">
      <c r="A2276" s="25">
        <v>41718.645833333336</v>
      </c>
      <c r="B2276" s="25">
        <v>408.75</v>
      </c>
      <c r="C2276" s="25">
        <v>418.69</v>
      </c>
      <c r="D2276" s="25">
        <v>408.75</v>
      </c>
      <c r="E2276" s="25">
        <v>412.88</v>
      </c>
      <c r="F2276" s="25">
        <v>1002879.0</v>
      </c>
    </row>
    <row r="2277">
      <c r="A2277" s="25">
        <v>41719.645833333336</v>
      </c>
      <c r="B2277" s="25">
        <v>416.25</v>
      </c>
      <c r="C2277" s="25">
        <v>417.25</v>
      </c>
      <c r="D2277" s="25">
        <v>408.81</v>
      </c>
      <c r="E2277" s="25">
        <v>413.21</v>
      </c>
      <c r="F2277" s="25">
        <v>1547540.0</v>
      </c>
    </row>
    <row r="2278">
      <c r="A2278" s="25">
        <v>41722.645833333336</v>
      </c>
      <c r="B2278" s="25">
        <v>409.03</v>
      </c>
      <c r="C2278" s="25">
        <v>414.81</v>
      </c>
      <c r="D2278" s="25">
        <v>408.75</v>
      </c>
      <c r="E2278" s="25">
        <v>409.48</v>
      </c>
      <c r="F2278" s="25">
        <v>1020043.0</v>
      </c>
    </row>
    <row r="2279">
      <c r="A2279" s="25">
        <v>41723.645833333336</v>
      </c>
      <c r="B2279" s="25">
        <v>406.0</v>
      </c>
      <c r="C2279" s="25">
        <v>409.96</v>
      </c>
      <c r="D2279" s="25">
        <v>405.75</v>
      </c>
      <c r="E2279" s="25">
        <v>406.8</v>
      </c>
      <c r="F2279" s="25">
        <v>943508.0</v>
      </c>
    </row>
    <row r="2280">
      <c r="A2280" s="25">
        <v>41724.645833333336</v>
      </c>
      <c r="B2280" s="25">
        <v>407.5</v>
      </c>
      <c r="C2280" s="25">
        <v>408.62</v>
      </c>
      <c r="D2280" s="25">
        <v>403.83</v>
      </c>
      <c r="E2280" s="25">
        <v>406.11</v>
      </c>
      <c r="F2280" s="25">
        <v>1057321.0</v>
      </c>
    </row>
    <row r="2281">
      <c r="A2281" s="25">
        <v>41725.645833333336</v>
      </c>
      <c r="B2281" s="25">
        <v>406.0</v>
      </c>
      <c r="C2281" s="25">
        <v>407.86</v>
      </c>
      <c r="D2281" s="25">
        <v>401.99</v>
      </c>
      <c r="E2281" s="25">
        <v>403.88</v>
      </c>
      <c r="F2281" s="25">
        <v>1699921.0</v>
      </c>
    </row>
    <row r="2282">
      <c r="A2282" s="25">
        <v>41726.645833333336</v>
      </c>
      <c r="B2282" s="25">
        <v>405.01</v>
      </c>
      <c r="C2282" s="25">
        <v>409.88</v>
      </c>
      <c r="D2282" s="25">
        <v>403.41</v>
      </c>
      <c r="E2282" s="25">
        <v>407.83</v>
      </c>
      <c r="F2282" s="25">
        <v>893353.0</v>
      </c>
    </row>
    <row r="2283">
      <c r="A2283" s="25">
        <v>41729.645833333336</v>
      </c>
      <c r="B2283" s="25">
        <v>410.66</v>
      </c>
      <c r="C2283" s="25">
        <v>413.12</v>
      </c>
      <c r="D2283" s="25">
        <v>403.76</v>
      </c>
      <c r="E2283" s="25">
        <v>410.35</v>
      </c>
      <c r="F2283" s="25">
        <v>1147116.0</v>
      </c>
    </row>
    <row r="2284">
      <c r="A2284" s="25">
        <v>41730.645833333336</v>
      </c>
      <c r="B2284" s="25">
        <v>410.38</v>
      </c>
      <c r="C2284" s="25">
        <v>415.63</v>
      </c>
      <c r="D2284" s="25">
        <v>409.38</v>
      </c>
      <c r="E2284" s="25">
        <v>414.24</v>
      </c>
      <c r="F2284" s="25">
        <v>1078544.0</v>
      </c>
    </row>
    <row r="2285">
      <c r="A2285" s="25">
        <v>41731.645833333336</v>
      </c>
      <c r="B2285" s="25">
        <v>418.6</v>
      </c>
      <c r="C2285" s="25">
        <v>418.75</v>
      </c>
      <c r="D2285" s="25">
        <v>413.81</v>
      </c>
      <c r="E2285" s="25">
        <v>415.26</v>
      </c>
      <c r="F2285" s="25">
        <v>705550.0</v>
      </c>
    </row>
    <row r="2286">
      <c r="A2286" s="25">
        <v>41732.645833333336</v>
      </c>
      <c r="B2286" s="25">
        <v>417.44</v>
      </c>
      <c r="C2286" s="25">
        <v>418.5</v>
      </c>
      <c r="D2286" s="25">
        <v>414.88</v>
      </c>
      <c r="E2286" s="25">
        <v>417.27</v>
      </c>
      <c r="F2286" s="25">
        <v>587527.0</v>
      </c>
    </row>
    <row r="2287">
      <c r="A2287" s="25">
        <v>41733.645833333336</v>
      </c>
      <c r="B2287" s="25">
        <v>418.88</v>
      </c>
      <c r="C2287" s="25">
        <v>419.5</v>
      </c>
      <c r="D2287" s="25">
        <v>413.26</v>
      </c>
      <c r="E2287" s="25">
        <v>414.51</v>
      </c>
      <c r="F2287" s="25">
        <v>490698.0</v>
      </c>
    </row>
    <row r="2288">
      <c r="A2288" s="25">
        <v>41736.645833333336</v>
      </c>
      <c r="B2288" s="25">
        <v>412.25</v>
      </c>
      <c r="C2288" s="25">
        <v>414.31</v>
      </c>
      <c r="D2288" s="25">
        <v>407.0</v>
      </c>
      <c r="E2288" s="25">
        <v>411.68</v>
      </c>
      <c r="F2288" s="25">
        <v>887193.0</v>
      </c>
    </row>
    <row r="2289">
      <c r="A2289" s="25">
        <v>41738.645833333336</v>
      </c>
      <c r="B2289" s="25">
        <v>410.13</v>
      </c>
      <c r="C2289" s="25">
        <v>413.73</v>
      </c>
      <c r="D2289" s="25">
        <v>403.81</v>
      </c>
      <c r="E2289" s="25">
        <v>406.82</v>
      </c>
      <c r="F2289" s="25">
        <v>1333085.0</v>
      </c>
    </row>
    <row r="2290">
      <c r="A2290" s="25">
        <v>41739.645833333336</v>
      </c>
      <c r="B2290" s="25">
        <v>406.81</v>
      </c>
      <c r="C2290" s="25">
        <v>407.22</v>
      </c>
      <c r="D2290" s="25">
        <v>398.27</v>
      </c>
      <c r="E2290" s="25">
        <v>400.15</v>
      </c>
      <c r="F2290" s="25">
        <v>2657905.0</v>
      </c>
    </row>
    <row r="2291">
      <c r="A2291" s="25">
        <v>41740.645833333336</v>
      </c>
      <c r="B2291" s="25">
        <v>401.25</v>
      </c>
      <c r="C2291" s="25">
        <v>406.95</v>
      </c>
      <c r="D2291" s="25">
        <v>395.63</v>
      </c>
      <c r="E2291" s="25">
        <v>404.39</v>
      </c>
      <c r="F2291" s="25">
        <v>2334792.0</v>
      </c>
    </row>
    <row r="2292">
      <c r="A2292" s="25">
        <v>41744.645833333336</v>
      </c>
      <c r="B2292" s="25">
        <v>416.53</v>
      </c>
      <c r="C2292" s="25">
        <v>423.5</v>
      </c>
      <c r="D2292" s="25">
        <v>405.94</v>
      </c>
      <c r="E2292" s="25">
        <v>407.48</v>
      </c>
      <c r="F2292" s="25">
        <v>2597798.0</v>
      </c>
    </row>
    <row r="2293">
      <c r="A2293" s="25">
        <v>41745.645833333336</v>
      </c>
      <c r="B2293" s="25">
        <v>405.24</v>
      </c>
      <c r="C2293" s="25">
        <v>405.24</v>
      </c>
      <c r="D2293" s="25">
        <v>393.44</v>
      </c>
      <c r="E2293" s="25">
        <v>394.66</v>
      </c>
      <c r="F2293" s="25">
        <v>1649788.0</v>
      </c>
    </row>
    <row r="2294">
      <c r="A2294" s="25">
        <v>41746.645833333336</v>
      </c>
      <c r="B2294" s="25">
        <v>397.5</v>
      </c>
      <c r="C2294" s="25">
        <v>401.26</v>
      </c>
      <c r="D2294" s="25">
        <v>394.79</v>
      </c>
      <c r="E2294" s="25">
        <v>399.01</v>
      </c>
      <c r="F2294" s="25">
        <v>1048989.0</v>
      </c>
    </row>
    <row r="2295">
      <c r="A2295" s="25">
        <v>41750.645833333336</v>
      </c>
      <c r="B2295" s="25">
        <v>401.25</v>
      </c>
      <c r="C2295" s="25">
        <v>402.5</v>
      </c>
      <c r="D2295" s="25">
        <v>396.25</v>
      </c>
      <c r="E2295" s="25">
        <v>397.87</v>
      </c>
      <c r="F2295" s="25">
        <v>764953.0</v>
      </c>
    </row>
    <row r="2296">
      <c r="A2296" s="25">
        <v>41751.645833333336</v>
      </c>
      <c r="B2296" s="25">
        <v>396.51</v>
      </c>
      <c r="C2296" s="25">
        <v>400.0</v>
      </c>
      <c r="D2296" s="25">
        <v>392.8</v>
      </c>
      <c r="E2296" s="25">
        <v>393.83</v>
      </c>
      <c r="F2296" s="25">
        <v>828362.0</v>
      </c>
    </row>
    <row r="2297">
      <c r="A2297" s="25">
        <v>41752.645833333336</v>
      </c>
      <c r="B2297" s="25">
        <v>396.76</v>
      </c>
      <c r="C2297" s="25">
        <v>398.98</v>
      </c>
      <c r="D2297" s="25">
        <v>395.5</v>
      </c>
      <c r="E2297" s="25">
        <v>396.58</v>
      </c>
      <c r="F2297" s="25">
        <v>1502090.0</v>
      </c>
    </row>
    <row r="2298">
      <c r="A2298" s="25">
        <v>41754.645833333336</v>
      </c>
      <c r="B2298" s="25">
        <v>398.5</v>
      </c>
      <c r="C2298" s="25">
        <v>400.0</v>
      </c>
      <c r="D2298" s="25">
        <v>395.42</v>
      </c>
      <c r="E2298" s="25">
        <v>396.95</v>
      </c>
      <c r="F2298" s="25">
        <v>745363.0</v>
      </c>
    </row>
    <row r="2299">
      <c r="A2299" s="25">
        <v>41757.645833333336</v>
      </c>
      <c r="B2299" s="25">
        <v>396.13</v>
      </c>
      <c r="C2299" s="25">
        <v>399.13</v>
      </c>
      <c r="D2299" s="25">
        <v>395.63</v>
      </c>
      <c r="E2299" s="25">
        <v>397.26</v>
      </c>
      <c r="F2299" s="25">
        <v>755310.0</v>
      </c>
    </row>
    <row r="2300">
      <c r="A2300" s="25">
        <v>41758.645833333336</v>
      </c>
      <c r="B2300" s="25">
        <v>397.88</v>
      </c>
      <c r="C2300" s="25">
        <v>399.38</v>
      </c>
      <c r="D2300" s="25">
        <v>396.38</v>
      </c>
      <c r="E2300" s="25">
        <v>397.22</v>
      </c>
      <c r="F2300" s="25">
        <v>604433.0</v>
      </c>
    </row>
    <row r="2301">
      <c r="A2301" s="25">
        <v>41759.645833333336</v>
      </c>
      <c r="B2301" s="25">
        <v>397.21</v>
      </c>
      <c r="C2301" s="25">
        <v>398.75</v>
      </c>
      <c r="D2301" s="25">
        <v>396.38</v>
      </c>
      <c r="E2301" s="25">
        <v>397.6</v>
      </c>
      <c r="F2301" s="25">
        <v>967742.0</v>
      </c>
    </row>
    <row r="2302">
      <c r="A2302" s="25">
        <v>41761.645833333336</v>
      </c>
      <c r="B2302" s="25">
        <v>398.13</v>
      </c>
      <c r="C2302" s="25">
        <v>405.88</v>
      </c>
      <c r="D2302" s="25">
        <v>398.13</v>
      </c>
      <c r="E2302" s="25">
        <v>402.46</v>
      </c>
      <c r="F2302" s="25">
        <v>595549.0</v>
      </c>
    </row>
    <row r="2303">
      <c r="A2303" s="25">
        <v>41764.645833333336</v>
      </c>
      <c r="B2303" s="25">
        <v>399.0</v>
      </c>
      <c r="C2303" s="25">
        <v>404.13</v>
      </c>
      <c r="D2303" s="25">
        <v>396.82</v>
      </c>
      <c r="E2303" s="25">
        <v>397.11</v>
      </c>
      <c r="F2303" s="25">
        <v>524586.0</v>
      </c>
    </row>
    <row r="2304">
      <c r="A2304" s="25">
        <v>41765.645833333336</v>
      </c>
      <c r="B2304" s="25">
        <v>397.11</v>
      </c>
      <c r="C2304" s="25">
        <v>398.06</v>
      </c>
      <c r="D2304" s="25">
        <v>394.38</v>
      </c>
      <c r="E2304" s="25">
        <v>395.64</v>
      </c>
      <c r="F2304" s="25">
        <v>570753.0</v>
      </c>
    </row>
    <row r="2305">
      <c r="A2305" s="25">
        <v>41766.645833333336</v>
      </c>
      <c r="B2305" s="25">
        <v>393.88</v>
      </c>
      <c r="C2305" s="25">
        <v>396.25</v>
      </c>
      <c r="D2305" s="25">
        <v>381.25</v>
      </c>
      <c r="E2305" s="25">
        <v>383.42</v>
      </c>
      <c r="F2305" s="25">
        <v>1949509.0</v>
      </c>
    </row>
    <row r="2306">
      <c r="A2306" s="25">
        <v>41767.645833333336</v>
      </c>
      <c r="B2306" s="25">
        <v>383.75</v>
      </c>
      <c r="C2306" s="25">
        <v>386.05</v>
      </c>
      <c r="D2306" s="25">
        <v>380.81</v>
      </c>
      <c r="E2306" s="25">
        <v>383.16</v>
      </c>
      <c r="F2306" s="25">
        <v>1145249.0</v>
      </c>
    </row>
    <row r="2307">
      <c r="A2307" s="25">
        <v>41768.645833333336</v>
      </c>
      <c r="B2307" s="25">
        <v>383.13</v>
      </c>
      <c r="C2307" s="25">
        <v>390.63</v>
      </c>
      <c r="D2307" s="25">
        <v>381.61</v>
      </c>
      <c r="E2307" s="25">
        <v>388.93</v>
      </c>
      <c r="F2307" s="25">
        <v>772425.0</v>
      </c>
    </row>
    <row r="2308">
      <c r="A2308" s="25">
        <v>41771.645833333336</v>
      </c>
      <c r="B2308" s="25">
        <v>389.78</v>
      </c>
      <c r="C2308" s="25">
        <v>398.31</v>
      </c>
      <c r="D2308" s="25">
        <v>388.13</v>
      </c>
      <c r="E2308" s="25">
        <v>396.89</v>
      </c>
      <c r="F2308" s="25">
        <v>880525.0</v>
      </c>
    </row>
    <row r="2309">
      <c r="A2309" s="25">
        <v>41772.645833333336</v>
      </c>
      <c r="B2309" s="25">
        <v>397.88</v>
      </c>
      <c r="C2309" s="25">
        <v>409.38</v>
      </c>
      <c r="D2309" s="25">
        <v>397.88</v>
      </c>
      <c r="E2309" s="25">
        <v>408.16</v>
      </c>
      <c r="F2309" s="25">
        <v>912496.0</v>
      </c>
    </row>
    <row r="2310">
      <c r="A2310" s="25">
        <v>41773.645833333336</v>
      </c>
      <c r="B2310" s="25">
        <v>406.28</v>
      </c>
      <c r="C2310" s="25">
        <v>408.13</v>
      </c>
      <c r="D2310" s="25">
        <v>402.14</v>
      </c>
      <c r="E2310" s="25">
        <v>406.76</v>
      </c>
      <c r="F2310" s="25">
        <v>648086.0</v>
      </c>
    </row>
    <row r="2311">
      <c r="A2311" s="25">
        <v>41774.645833333336</v>
      </c>
      <c r="B2311" s="25">
        <v>406.76</v>
      </c>
      <c r="C2311" s="25">
        <v>411.86</v>
      </c>
      <c r="D2311" s="25">
        <v>400.66</v>
      </c>
      <c r="E2311" s="25">
        <v>409.06</v>
      </c>
      <c r="F2311" s="25">
        <v>1051149.0</v>
      </c>
    </row>
    <row r="2312">
      <c r="A2312" s="25">
        <v>41775.645833333336</v>
      </c>
      <c r="B2312" s="25">
        <v>412.38</v>
      </c>
      <c r="C2312" s="25">
        <v>417.5</v>
      </c>
      <c r="D2312" s="25">
        <v>382.38</v>
      </c>
      <c r="E2312" s="25">
        <v>397.19</v>
      </c>
      <c r="F2312" s="25">
        <v>1773599.0</v>
      </c>
    </row>
    <row r="2313">
      <c r="A2313" s="25">
        <v>41778.645833333336</v>
      </c>
      <c r="B2313" s="25">
        <v>399.75</v>
      </c>
      <c r="C2313" s="25">
        <v>399.75</v>
      </c>
      <c r="D2313" s="25">
        <v>375.01</v>
      </c>
      <c r="E2313" s="25">
        <v>376.88</v>
      </c>
      <c r="F2313" s="25">
        <v>2155814.0</v>
      </c>
    </row>
    <row r="2314">
      <c r="A2314" s="25">
        <v>41779.645833333336</v>
      </c>
      <c r="B2314" s="25">
        <v>381.13</v>
      </c>
      <c r="C2314" s="25">
        <v>392.36</v>
      </c>
      <c r="D2314" s="25">
        <v>380.28</v>
      </c>
      <c r="E2314" s="25">
        <v>390.28</v>
      </c>
      <c r="F2314" s="25">
        <v>1098418.0</v>
      </c>
    </row>
    <row r="2315">
      <c r="A2315" s="25">
        <v>41780.645833333336</v>
      </c>
      <c r="B2315" s="25">
        <v>389.75</v>
      </c>
      <c r="C2315" s="25">
        <v>395.54</v>
      </c>
      <c r="D2315" s="25">
        <v>387.38</v>
      </c>
      <c r="E2315" s="25">
        <v>394.64</v>
      </c>
      <c r="F2315" s="25">
        <v>848538.0</v>
      </c>
    </row>
    <row r="2316">
      <c r="A2316" s="25">
        <v>41781.645833333336</v>
      </c>
      <c r="B2316" s="25">
        <v>395.0</v>
      </c>
      <c r="C2316" s="25">
        <v>397.5</v>
      </c>
      <c r="D2316" s="25">
        <v>385.14</v>
      </c>
      <c r="E2316" s="25">
        <v>389.24</v>
      </c>
      <c r="F2316" s="25">
        <v>1229093.0</v>
      </c>
    </row>
    <row r="2317">
      <c r="A2317" s="25">
        <v>41782.645833333336</v>
      </c>
      <c r="B2317" s="25">
        <v>390.63</v>
      </c>
      <c r="C2317" s="25">
        <v>396.38</v>
      </c>
      <c r="D2317" s="25">
        <v>376.52</v>
      </c>
      <c r="E2317" s="25">
        <v>383.69</v>
      </c>
      <c r="F2317" s="25">
        <v>1135222.0</v>
      </c>
    </row>
    <row r="2318">
      <c r="A2318" s="25">
        <v>41785.645833333336</v>
      </c>
      <c r="B2318" s="25">
        <v>383.88</v>
      </c>
      <c r="C2318" s="25">
        <v>388.87</v>
      </c>
      <c r="D2318" s="25">
        <v>381.27</v>
      </c>
      <c r="E2318" s="25">
        <v>386.86</v>
      </c>
      <c r="F2318" s="25">
        <v>718818.0</v>
      </c>
    </row>
    <row r="2319">
      <c r="A2319" s="25">
        <v>41786.645833333336</v>
      </c>
      <c r="B2319" s="25">
        <v>387.5</v>
      </c>
      <c r="C2319" s="25">
        <v>394.38</v>
      </c>
      <c r="D2319" s="25">
        <v>387.44</v>
      </c>
      <c r="E2319" s="25">
        <v>391.76</v>
      </c>
      <c r="F2319" s="25">
        <v>623016.0</v>
      </c>
    </row>
    <row r="2320">
      <c r="A2320" s="25">
        <v>41787.645833333336</v>
      </c>
      <c r="B2320" s="25">
        <v>390.44</v>
      </c>
      <c r="C2320" s="25">
        <v>398.5</v>
      </c>
      <c r="D2320" s="25">
        <v>389.75</v>
      </c>
      <c r="E2320" s="25">
        <v>396.66</v>
      </c>
      <c r="F2320" s="25">
        <v>673665.0</v>
      </c>
    </row>
    <row r="2321">
      <c r="A2321" s="25">
        <v>41788.645833333336</v>
      </c>
      <c r="B2321" s="25">
        <v>378.13</v>
      </c>
      <c r="C2321" s="25">
        <v>378.13</v>
      </c>
      <c r="D2321" s="25">
        <v>364.38</v>
      </c>
      <c r="E2321" s="25">
        <v>365.56</v>
      </c>
      <c r="F2321" s="25">
        <v>5167666.0</v>
      </c>
    </row>
    <row r="2322">
      <c r="A2322" s="25">
        <v>41789.645833333336</v>
      </c>
      <c r="B2322" s="25">
        <v>367.5</v>
      </c>
      <c r="C2322" s="25">
        <v>369.93</v>
      </c>
      <c r="D2322" s="25">
        <v>360.0</v>
      </c>
      <c r="E2322" s="25">
        <v>367.43</v>
      </c>
      <c r="F2322" s="25">
        <v>3504452.0</v>
      </c>
    </row>
    <row r="2323">
      <c r="A2323" s="25">
        <v>41792.645833333336</v>
      </c>
      <c r="B2323" s="25">
        <v>370.06</v>
      </c>
      <c r="C2323" s="25">
        <v>374.71</v>
      </c>
      <c r="D2323" s="25">
        <v>370.06</v>
      </c>
      <c r="E2323" s="25">
        <v>374.14</v>
      </c>
      <c r="F2323" s="25">
        <v>778732.0</v>
      </c>
    </row>
    <row r="2324">
      <c r="A2324" s="25">
        <v>41793.645833333336</v>
      </c>
      <c r="B2324" s="25">
        <v>376.0</v>
      </c>
      <c r="C2324" s="25">
        <v>379.62</v>
      </c>
      <c r="D2324" s="25">
        <v>371.84</v>
      </c>
      <c r="E2324" s="25">
        <v>377.15</v>
      </c>
      <c r="F2324" s="25">
        <v>853117.0</v>
      </c>
    </row>
    <row r="2325">
      <c r="A2325" s="25">
        <v>41794.645833333336</v>
      </c>
      <c r="B2325" s="25">
        <v>376.88</v>
      </c>
      <c r="C2325" s="25">
        <v>378.42</v>
      </c>
      <c r="D2325" s="25">
        <v>369.19</v>
      </c>
      <c r="E2325" s="25">
        <v>373.06</v>
      </c>
      <c r="F2325" s="25">
        <v>688501.0</v>
      </c>
    </row>
    <row r="2326">
      <c r="A2326" s="25">
        <v>41795.645833333336</v>
      </c>
      <c r="B2326" s="25">
        <v>375.0</v>
      </c>
      <c r="C2326" s="25">
        <v>383.55</v>
      </c>
      <c r="D2326" s="25">
        <v>370.25</v>
      </c>
      <c r="E2326" s="25">
        <v>380.14</v>
      </c>
      <c r="F2326" s="25">
        <v>1519215.0</v>
      </c>
    </row>
    <row r="2327">
      <c r="A2327" s="25">
        <v>41796.645833333336</v>
      </c>
      <c r="B2327" s="25">
        <v>375.02</v>
      </c>
      <c r="C2327" s="25">
        <v>376.25</v>
      </c>
      <c r="D2327" s="25">
        <v>368.75</v>
      </c>
      <c r="E2327" s="25">
        <v>375.38</v>
      </c>
      <c r="F2327" s="25">
        <v>2110303.0</v>
      </c>
    </row>
    <row r="2328">
      <c r="A2328" s="25">
        <v>41799.645833333336</v>
      </c>
      <c r="B2328" s="25">
        <v>375.75</v>
      </c>
      <c r="C2328" s="25">
        <v>376.88</v>
      </c>
      <c r="D2328" s="25">
        <v>372.01</v>
      </c>
      <c r="E2328" s="25">
        <v>373.31</v>
      </c>
      <c r="F2328" s="25">
        <v>1357293.0</v>
      </c>
    </row>
    <row r="2329">
      <c r="A2329" s="25">
        <v>41800.645833333336</v>
      </c>
      <c r="B2329" s="25">
        <v>375.0</v>
      </c>
      <c r="C2329" s="25">
        <v>386.15</v>
      </c>
      <c r="D2329" s="25">
        <v>374.54</v>
      </c>
      <c r="E2329" s="25">
        <v>384.39</v>
      </c>
      <c r="F2329" s="25">
        <v>1309897.0</v>
      </c>
    </row>
    <row r="2330">
      <c r="A2330" s="25">
        <v>41801.645833333336</v>
      </c>
      <c r="B2330" s="25">
        <v>388.13</v>
      </c>
      <c r="C2330" s="25">
        <v>407.16</v>
      </c>
      <c r="D2330" s="25">
        <v>386.29</v>
      </c>
      <c r="E2330" s="25">
        <v>399.17</v>
      </c>
      <c r="F2330" s="25">
        <v>2546963.0</v>
      </c>
    </row>
    <row r="2331">
      <c r="A2331" s="25">
        <v>41802.645833333336</v>
      </c>
      <c r="B2331" s="25">
        <v>410.0</v>
      </c>
      <c r="C2331" s="25">
        <v>412.13</v>
      </c>
      <c r="D2331" s="25">
        <v>390.09</v>
      </c>
      <c r="E2331" s="25">
        <v>396.88</v>
      </c>
      <c r="F2331" s="25">
        <v>2641107.0</v>
      </c>
    </row>
    <row r="2332">
      <c r="A2332" s="25">
        <v>41803.645833333336</v>
      </c>
      <c r="B2332" s="25">
        <v>398.56</v>
      </c>
      <c r="C2332" s="25">
        <v>400.88</v>
      </c>
      <c r="D2332" s="25">
        <v>391.38</v>
      </c>
      <c r="E2332" s="25">
        <v>398.38</v>
      </c>
      <c r="F2332" s="25">
        <v>1268968.0</v>
      </c>
    </row>
    <row r="2333">
      <c r="A2333" s="25">
        <v>41806.645833333336</v>
      </c>
      <c r="B2333" s="25">
        <v>398.25</v>
      </c>
      <c r="C2333" s="25">
        <v>407.46</v>
      </c>
      <c r="D2333" s="25">
        <v>397.5</v>
      </c>
      <c r="E2333" s="25">
        <v>405.52</v>
      </c>
      <c r="F2333" s="25">
        <v>1171916.0</v>
      </c>
    </row>
    <row r="2334">
      <c r="A2334" s="25">
        <v>41807.645833333336</v>
      </c>
      <c r="B2334" s="25">
        <v>406.13</v>
      </c>
      <c r="C2334" s="25">
        <v>408.38</v>
      </c>
      <c r="D2334" s="25">
        <v>402.32</v>
      </c>
      <c r="E2334" s="25">
        <v>405.86</v>
      </c>
      <c r="F2334" s="25">
        <v>1259924.0</v>
      </c>
    </row>
    <row r="2335">
      <c r="A2335" s="25">
        <v>41808.645833333336</v>
      </c>
      <c r="B2335" s="25">
        <v>405.63</v>
      </c>
      <c r="C2335" s="25">
        <v>409.38</v>
      </c>
      <c r="D2335" s="25">
        <v>401.59</v>
      </c>
      <c r="E2335" s="25">
        <v>405.06</v>
      </c>
      <c r="F2335" s="25">
        <v>1223910.0</v>
      </c>
    </row>
    <row r="2336">
      <c r="A2336" s="25">
        <v>41809.645833333336</v>
      </c>
      <c r="B2336" s="25">
        <v>405.73</v>
      </c>
      <c r="C2336" s="25">
        <v>415.38</v>
      </c>
      <c r="D2336" s="25">
        <v>405.64</v>
      </c>
      <c r="E2336" s="25">
        <v>413.99</v>
      </c>
      <c r="F2336" s="25">
        <v>1414213.0</v>
      </c>
    </row>
    <row r="2337">
      <c r="A2337" s="25">
        <v>41810.645833333336</v>
      </c>
      <c r="B2337" s="25">
        <v>415.0</v>
      </c>
      <c r="C2337" s="25">
        <v>417.43</v>
      </c>
      <c r="D2337" s="25">
        <v>411.61</v>
      </c>
      <c r="E2337" s="25">
        <v>414.58</v>
      </c>
      <c r="F2337" s="25">
        <v>1106625.0</v>
      </c>
    </row>
    <row r="2338">
      <c r="A2338" s="25">
        <v>41813.645833333336</v>
      </c>
      <c r="B2338" s="25">
        <v>412.5</v>
      </c>
      <c r="C2338" s="25">
        <v>413.62</v>
      </c>
      <c r="D2338" s="25">
        <v>402.68</v>
      </c>
      <c r="E2338" s="25">
        <v>404.07</v>
      </c>
      <c r="F2338" s="25">
        <v>791014.0</v>
      </c>
    </row>
    <row r="2339">
      <c r="A2339" s="25">
        <v>41814.645833333336</v>
      </c>
      <c r="B2339" s="25">
        <v>403.75</v>
      </c>
      <c r="C2339" s="25">
        <v>404.36</v>
      </c>
      <c r="D2339" s="25">
        <v>399.02</v>
      </c>
      <c r="E2339" s="25">
        <v>400.48</v>
      </c>
      <c r="F2339" s="25">
        <v>1329753.0</v>
      </c>
    </row>
    <row r="2340">
      <c r="A2340" s="25">
        <v>41815.645833333336</v>
      </c>
      <c r="B2340" s="25">
        <v>405.63</v>
      </c>
      <c r="C2340" s="25">
        <v>405.63</v>
      </c>
      <c r="D2340" s="25">
        <v>400.75</v>
      </c>
      <c r="E2340" s="25">
        <v>401.41</v>
      </c>
      <c r="F2340" s="25">
        <v>804190.0</v>
      </c>
    </row>
    <row r="2341">
      <c r="A2341" s="25">
        <v>41816.645833333336</v>
      </c>
      <c r="B2341" s="25">
        <v>402.5</v>
      </c>
      <c r="C2341" s="25">
        <v>404.38</v>
      </c>
      <c r="D2341" s="25">
        <v>396.09</v>
      </c>
      <c r="E2341" s="25">
        <v>397.81</v>
      </c>
      <c r="F2341" s="25">
        <v>922069.0</v>
      </c>
    </row>
    <row r="2342">
      <c r="A2342" s="25">
        <v>41817.645833333336</v>
      </c>
      <c r="B2342" s="25">
        <v>400.0</v>
      </c>
      <c r="C2342" s="25">
        <v>404.45</v>
      </c>
      <c r="D2342" s="25">
        <v>396.5</v>
      </c>
      <c r="E2342" s="25">
        <v>402.93</v>
      </c>
      <c r="F2342" s="25">
        <v>861343.0</v>
      </c>
    </row>
    <row r="2343">
      <c r="A2343" s="25">
        <v>41820.645833333336</v>
      </c>
      <c r="B2343" s="25">
        <v>402.5</v>
      </c>
      <c r="C2343" s="25">
        <v>407.88</v>
      </c>
      <c r="D2343" s="25">
        <v>401.43</v>
      </c>
      <c r="E2343" s="25">
        <v>406.94</v>
      </c>
      <c r="F2343" s="25">
        <v>911322.0</v>
      </c>
    </row>
    <row r="2344">
      <c r="A2344" s="25">
        <v>41821.645833333336</v>
      </c>
      <c r="B2344" s="25">
        <v>405.63</v>
      </c>
      <c r="C2344" s="25">
        <v>406.85</v>
      </c>
      <c r="D2344" s="25">
        <v>400.75</v>
      </c>
      <c r="E2344" s="25">
        <v>402.63</v>
      </c>
      <c r="F2344" s="25">
        <v>582814.0</v>
      </c>
    </row>
    <row r="2345">
      <c r="A2345" s="25">
        <v>41822.645833333336</v>
      </c>
      <c r="B2345" s="25">
        <v>401.5</v>
      </c>
      <c r="C2345" s="25">
        <v>405.45</v>
      </c>
      <c r="D2345" s="25">
        <v>399.78</v>
      </c>
      <c r="E2345" s="25">
        <v>401.91</v>
      </c>
      <c r="F2345" s="25">
        <v>764954.0</v>
      </c>
    </row>
    <row r="2346">
      <c r="A2346" s="25">
        <v>41823.645833333336</v>
      </c>
      <c r="B2346" s="25">
        <v>401.28</v>
      </c>
      <c r="C2346" s="25">
        <v>403.55</v>
      </c>
      <c r="D2346" s="25">
        <v>398.81</v>
      </c>
      <c r="E2346" s="25">
        <v>401.34</v>
      </c>
      <c r="F2346" s="25">
        <v>938114.0</v>
      </c>
    </row>
    <row r="2347">
      <c r="A2347" s="25">
        <v>41824.645833333336</v>
      </c>
      <c r="B2347" s="25">
        <v>400.01</v>
      </c>
      <c r="C2347" s="25">
        <v>407.3</v>
      </c>
      <c r="D2347" s="25">
        <v>400.01</v>
      </c>
      <c r="E2347" s="25">
        <v>405.74</v>
      </c>
      <c r="F2347" s="25">
        <v>719121.0</v>
      </c>
    </row>
    <row r="2348">
      <c r="A2348" s="25">
        <v>41827.645833333336</v>
      </c>
      <c r="B2348" s="25">
        <v>408.13</v>
      </c>
      <c r="C2348" s="25">
        <v>421.0</v>
      </c>
      <c r="D2348" s="25">
        <v>407.5</v>
      </c>
      <c r="E2348" s="25">
        <v>418.18</v>
      </c>
      <c r="F2348" s="25">
        <v>1454789.0</v>
      </c>
    </row>
    <row r="2349">
      <c r="A2349" s="25">
        <v>41828.645833333336</v>
      </c>
      <c r="B2349" s="25">
        <v>418.63</v>
      </c>
      <c r="C2349" s="25">
        <v>425.79</v>
      </c>
      <c r="D2349" s="25">
        <v>412.88</v>
      </c>
      <c r="E2349" s="25">
        <v>417.77</v>
      </c>
      <c r="F2349" s="25">
        <v>1432560.0</v>
      </c>
    </row>
    <row r="2350">
      <c r="A2350" s="25">
        <v>41829.645833333336</v>
      </c>
      <c r="B2350" s="25">
        <v>416.25</v>
      </c>
      <c r="C2350" s="25">
        <v>423.0</v>
      </c>
      <c r="D2350" s="25">
        <v>411.25</v>
      </c>
      <c r="E2350" s="25">
        <v>413.79</v>
      </c>
      <c r="F2350" s="25">
        <v>1033844.0</v>
      </c>
    </row>
    <row r="2351">
      <c r="A2351" s="25">
        <v>41830.645833333336</v>
      </c>
      <c r="B2351" s="25">
        <v>414.38</v>
      </c>
      <c r="C2351" s="25">
        <v>422.71</v>
      </c>
      <c r="D2351" s="25">
        <v>406.33</v>
      </c>
      <c r="E2351" s="25">
        <v>411.59</v>
      </c>
      <c r="F2351" s="25">
        <v>1418202.0</v>
      </c>
    </row>
    <row r="2352">
      <c r="A2352" s="25">
        <v>41831.645833333336</v>
      </c>
      <c r="B2352" s="25">
        <v>425.18</v>
      </c>
      <c r="C2352" s="25">
        <v>429.0</v>
      </c>
      <c r="D2352" s="25">
        <v>412.54</v>
      </c>
      <c r="E2352" s="25">
        <v>415.83</v>
      </c>
      <c r="F2352" s="25">
        <v>1978295.0</v>
      </c>
    </row>
    <row r="2353">
      <c r="A2353" s="25">
        <v>41834.645833333336</v>
      </c>
      <c r="B2353" s="25">
        <v>414.38</v>
      </c>
      <c r="C2353" s="25">
        <v>414.38</v>
      </c>
      <c r="D2353" s="25">
        <v>398.23</v>
      </c>
      <c r="E2353" s="25">
        <v>403.16</v>
      </c>
      <c r="F2353" s="25">
        <v>1028950.0</v>
      </c>
    </row>
    <row r="2354">
      <c r="A2354" s="25">
        <v>41835.645833333336</v>
      </c>
      <c r="B2354" s="25">
        <v>404.88</v>
      </c>
      <c r="C2354" s="25">
        <v>407.24</v>
      </c>
      <c r="D2354" s="25">
        <v>402.13</v>
      </c>
      <c r="E2354" s="25">
        <v>403.21</v>
      </c>
      <c r="F2354" s="25">
        <v>517475.0</v>
      </c>
    </row>
    <row r="2355">
      <c r="A2355" s="25">
        <v>41836.645833333336</v>
      </c>
      <c r="B2355" s="25">
        <v>405.0</v>
      </c>
      <c r="C2355" s="25">
        <v>405.63</v>
      </c>
      <c r="D2355" s="25">
        <v>400.41</v>
      </c>
      <c r="E2355" s="25">
        <v>403.7</v>
      </c>
      <c r="F2355" s="25">
        <v>573686.0</v>
      </c>
    </row>
    <row r="2356">
      <c r="A2356" s="25">
        <v>41837.645833333336</v>
      </c>
      <c r="B2356" s="25">
        <v>407.51</v>
      </c>
      <c r="C2356" s="25">
        <v>418.24</v>
      </c>
      <c r="D2356" s="25">
        <v>403.96</v>
      </c>
      <c r="E2356" s="25">
        <v>404.91</v>
      </c>
      <c r="F2356" s="25">
        <v>618334.0</v>
      </c>
    </row>
    <row r="2357">
      <c r="A2357" s="25">
        <v>41838.645833333336</v>
      </c>
      <c r="B2357" s="25">
        <v>406.63</v>
      </c>
      <c r="C2357" s="25">
        <v>409.34</v>
      </c>
      <c r="D2357" s="25">
        <v>405.45</v>
      </c>
      <c r="E2357" s="25">
        <v>406.44</v>
      </c>
      <c r="F2357" s="25">
        <v>512296.0</v>
      </c>
    </row>
    <row r="2358">
      <c r="A2358" s="25">
        <v>41841.645833333336</v>
      </c>
      <c r="B2358" s="25">
        <v>406.88</v>
      </c>
      <c r="C2358" s="25">
        <v>409.17</v>
      </c>
      <c r="D2358" s="25">
        <v>398.51</v>
      </c>
      <c r="E2358" s="25">
        <v>400.09</v>
      </c>
      <c r="F2358" s="25">
        <v>929496.0</v>
      </c>
    </row>
    <row r="2359">
      <c r="A2359" s="25">
        <v>41842.645833333336</v>
      </c>
      <c r="B2359" s="25">
        <v>400.63</v>
      </c>
      <c r="C2359" s="25">
        <v>405.84</v>
      </c>
      <c r="D2359" s="25">
        <v>399.76</v>
      </c>
      <c r="E2359" s="25">
        <v>404.21</v>
      </c>
      <c r="F2359" s="25">
        <v>1091670.0</v>
      </c>
    </row>
    <row r="2360">
      <c r="A2360" s="25">
        <v>41843.645833333336</v>
      </c>
      <c r="B2360" s="25">
        <v>406.13</v>
      </c>
      <c r="C2360" s="25">
        <v>419.38</v>
      </c>
      <c r="D2360" s="25">
        <v>406.13</v>
      </c>
      <c r="E2360" s="25">
        <v>418.68</v>
      </c>
      <c r="F2360" s="25">
        <v>1478417.0</v>
      </c>
    </row>
    <row r="2361">
      <c r="A2361" s="25">
        <v>41844.645833333336</v>
      </c>
      <c r="B2361" s="25">
        <v>418.0</v>
      </c>
      <c r="C2361" s="25">
        <v>424.38</v>
      </c>
      <c r="D2361" s="25">
        <v>415.18</v>
      </c>
      <c r="E2361" s="25">
        <v>422.78</v>
      </c>
      <c r="F2361" s="25">
        <v>696445.0</v>
      </c>
    </row>
    <row r="2362">
      <c r="A2362" s="25">
        <v>41845.645833333336</v>
      </c>
      <c r="B2362" s="25">
        <v>424.88</v>
      </c>
      <c r="C2362" s="25">
        <v>424.88</v>
      </c>
      <c r="D2362" s="25">
        <v>413.09</v>
      </c>
      <c r="E2362" s="25">
        <v>419.03</v>
      </c>
      <c r="F2362" s="25">
        <v>667209.0</v>
      </c>
    </row>
    <row r="2363">
      <c r="A2363" s="25">
        <v>41848.645833333336</v>
      </c>
      <c r="B2363" s="25">
        <v>418.13</v>
      </c>
      <c r="C2363" s="25">
        <v>423.38</v>
      </c>
      <c r="D2363" s="25">
        <v>415.11</v>
      </c>
      <c r="E2363" s="25">
        <v>421.39</v>
      </c>
      <c r="F2363" s="25">
        <v>575181.0</v>
      </c>
    </row>
    <row r="2364">
      <c r="A2364" s="25">
        <v>41850.645833333336</v>
      </c>
      <c r="B2364" s="25">
        <v>424.25</v>
      </c>
      <c r="C2364" s="25">
        <v>424.25</v>
      </c>
      <c r="D2364" s="25">
        <v>418.2</v>
      </c>
      <c r="E2364" s="25">
        <v>421.53</v>
      </c>
      <c r="F2364" s="25">
        <v>1241840.0</v>
      </c>
    </row>
    <row r="2365">
      <c r="A2365" s="25">
        <v>41851.645833333336</v>
      </c>
      <c r="B2365" s="25">
        <v>422.5</v>
      </c>
      <c r="C2365" s="25">
        <v>424.36</v>
      </c>
      <c r="D2365" s="25">
        <v>417.9</v>
      </c>
      <c r="E2365" s="25">
        <v>420.96</v>
      </c>
      <c r="F2365" s="25">
        <v>1057146.0</v>
      </c>
    </row>
    <row r="2366">
      <c r="A2366" s="25">
        <v>41852.645833333336</v>
      </c>
      <c r="B2366" s="25">
        <v>418.75</v>
      </c>
      <c r="C2366" s="25">
        <v>424.0</v>
      </c>
      <c r="D2366" s="25">
        <v>416.25</v>
      </c>
      <c r="E2366" s="25">
        <v>417.66</v>
      </c>
      <c r="F2366" s="25">
        <v>950876.0</v>
      </c>
    </row>
    <row r="2367">
      <c r="A2367" s="25">
        <v>41855.645833333336</v>
      </c>
      <c r="B2367" s="25">
        <v>419.38</v>
      </c>
      <c r="C2367" s="25">
        <v>435.36</v>
      </c>
      <c r="D2367" s="25">
        <v>418.66</v>
      </c>
      <c r="E2367" s="25">
        <v>433.19</v>
      </c>
      <c r="F2367" s="25">
        <v>1635870.0</v>
      </c>
    </row>
    <row r="2368">
      <c r="A2368" s="25">
        <v>41856.645833333336</v>
      </c>
      <c r="B2368" s="25">
        <v>434.5</v>
      </c>
      <c r="C2368" s="25">
        <v>440.0</v>
      </c>
      <c r="D2368" s="25">
        <v>433.76</v>
      </c>
      <c r="E2368" s="25">
        <v>439.13</v>
      </c>
      <c r="F2368" s="25">
        <v>1373203.0</v>
      </c>
    </row>
    <row r="2369">
      <c r="A2369" s="25">
        <v>41857.645833333336</v>
      </c>
      <c r="B2369" s="25">
        <v>440.63</v>
      </c>
      <c r="C2369" s="25">
        <v>451.04</v>
      </c>
      <c r="D2369" s="25">
        <v>440.63</v>
      </c>
      <c r="E2369" s="25">
        <v>446.98</v>
      </c>
      <c r="F2369" s="25">
        <v>2250523.0</v>
      </c>
    </row>
    <row r="2370">
      <c r="A2370" s="25">
        <v>41858.645833333336</v>
      </c>
      <c r="B2370" s="25">
        <v>437.38</v>
      </c>
      <c r="C2370" s="25">
        <v>443.05</v>
      </c>
      <c r="D2370" s="25">
        <v>435.29</v>
      </c>
      <c r="E2370" s="25">
        <v>438.42</v>
      </c>
      <c r="F2370" s="25">
        <v>969278.0</v>
      </c>
    </row>
    <row r="2371">
      <c r="A2371" s="25">
        <v>41859.645833333336</v>
      </c>
      <c r="B2371" s="25">
        <v>437.5</v>
      </c>
      <c r="C2371" s="25">
        <v>440.0</v>
      </c>
      <c r="D2371" s="25">
        <v>434.38</v>
      </c>
      <c r="E2371" s="25">
        <v>435.33</v>
      </c>
      <c r="F2371" s="25">
        <v>476419.0</v>
      </c>
    </row>
    <row r="2372">
      <c r="A2372" s="25">
        <v>41862.645833333336</v>
      </c>
      <c r="B2372" s="25">
        <v>440.5</v>
      </c>
      <c r="C2372" s="25">
        <v>447.96</v>
      </c>
      <c r="D2372" s="25">
        <v>438.75</v>
      </c>
      <c r="E2372" s="25">
        <v>446.69</v>
      </c>
      <c r="F2372" s="25">
        <v>703584.0</v>
      </c>
    </row>
    <row r="2373">
      <c r="A2373" s="25">
        <v>41863.645833333336</v>
      </c>
      <c r="B2373" s="25">
        <v>449.88</v>
      </c>
      <c r="C2373" s="25">
        <v>449.88</v>
      </c>
      <c r="D2373" s="25">
        <v>442.63</v>
      </c>
      <c r="E2373" s="25">
        <v>447.1</v>
      </c>
      <c r="F2373" s="25">
        <v>739617.0</v>
      </c>
    </row>
    <row r="2374">
      <c r="A2374" s="25">
        <v>41864.645833333336</v>
      </c>
      <c r="B2374" s="25">
        <v>445.01</v>
      </c>
      <c r="C2374" s="25">
        <v>453.13</v>
      </c>
      <c r="D2374" s="25">
        <v>443.84</v>
      </c>
      <c r="E2374" s="25">
        <v>451.05</v>
      </c>
      <c r="F2374" s="25">
        <v>1117670.0</v>
      </c>
    </row>
    <row r="2375">
      <c r="A2375" s="25">
        <v>41865.645833333336</v>
      </c>
      <c r="B2375" s="25">
        <v>451.0</v>
      </c>
      <c r="C2375" s="25">
        <v>453.46</v>
      </c>
      <c r="D2375" s="25">
        <v>448.33</v>
      </c>
      <c r="E2375" s="25">
        <v>451.57</v>
      </c>
      <c r="F2375" s="25">
        <v>845310.0</v>
      </c>
    </row>
    <row r="2376">
      <c r="A2376" s="25">
        <v>41869.645833333336</v>
      </c>
      <c r="B2376" s="25">
        <v>451.5</v>
      </c>
      <c r="C2376" s="25">
        <v>451.5</v>
      </c>
      <c r="D2376" s="25">
        <v>443.75</v>
      </c>
      <c r="E2376" s="25">
        <v>444.98</v>
      </c>
      <c r="F2376" s="25">
        <v>847236.0</v>
      </c>
    </row>
    <row r="2377">
      <c r="A2377" s="25">
        <v>41870.645833333336</v>
      </c>
      <c r="B2377" s="25">
        <v>445.13</v>
      </c>
      <c r="C2377" s="25">
        <v>448.63</v>
      </c>
      <c r="D2377" s="25">
        <v>441.25</v>
      </c>
      <c r="E2377" s="25">
        <v>443.48</v>
      </c>
      <c r="F2377" s="25">
        <v>803103.0</v>
      </c>
    </row>
    <row r="2378">
      <c r="A2378" s="25">
        <v>41871.645833333336</v>
      </c>
      <c r="B2378" s="25">
        <v>445.38</v>
      </c>
      <c r="C2378" s="25">
        <v>447.81</v>
      </c>
      <c r="D2378" s="25">
        <v>443.38</v>
      </c>
      <c r="E2378" s="25">
        <v>444.32</v>
      </c>
      <c r="F2378" s="25">
        <v>492278.0</v>
      </c>
    </row>
    <row r="2379">
      <c r="A2379" s="25">
        <v>41872.645833333336</v>
      </c>
      <c r="B2379" s="25">
        <v>444.53</v>
      </c>
      <c r="C2379" s="25">
        <v>445.43</v>
      </c>
      <c r="D2379" s="25">
        <v>441.25</v>
      </c>
      <c r="E2379" s="25">
        <v>443.62</v>
      </c>
      <c r="F2379" s="25">
        <v>537360.0</v>
      </c>
    </row>
    <row r="2380">
      <c r="A2380" s="25">
        <v>41873.645833333336</v>
      </c>
      <c r="B2380" s="25">
        <v>443.62</v>
      </c>
      <c r="C2380" s="25">
        <v>451.0</v>
      </c>
      <c r="D2380" s="25">
        <v>443.5</v>
      </c>
      <c r="E2380" s="25">
        <v>450.13</v>
      </c>
      <c r="F2380" s="25">
        <v>606880.0</v>
      </c>
    </row>
    <row r="2381">
      <c r="A2381" s="25">
        <v>41876.645833333336</v>
      </c>
      <c r="B2381" s="25">
        <v>449.88</v>
      </c>
      <c r="C2381" s="25">
        <v>454.46</v>
      </c>
      <c r="D2381" s="25">
        <v>445.26</v>
      </c>
      <c r="E2381" s="25">
        <v>453.48</v>
      </c>
      <c r="F2381" s="25">
        <v>524794.0</v>
      </c>
    </row>
    <row r="2382">
      <c r="A2382" s="25">
        <v>41877.645833333336</v>
      </c>
      <c r="B2382" s="25">
        <v>452.75</v>
      </c>
      <c r="C2382" s="25">
        <v>455.0</v>
      </c>
      <c r="D2382" s="25">
        <v>450.0</v>
      </c>
      <c r="E2382" s="25">
        <v>453.02</v>
      </c>
      <c r="F2382" s="25">
        <v>730266.0</v>
      </c>
    </row>
    <row r="2383">
      <c r="A2383" s="25">
        <v>41878.645833333336</v>
      </c>
      <c r="B2383" s="25">
        <v>453.75</v>
      </c>
      <c r="C2383" s="25">
        <v>456.25</v>
      </c>
      <c r="D2383" s="25">
        <v>450.14</v>
      </c>
      <c r="E2383" s="25">
        <v>453.82</v>
      </c>
      <c r="F2383" s="25">
        <v>696234.0</v>
      </c>
    </row>
    <row r="2384">
      <c r="A2384" s="25">
        <v>41879.645833333336</v>
      </c>
      <c r="B2384" s="25">
        <v>453.63</v>
      </c>
      <c r="C2384" s="25">
        <v>454.21</v>
      </c>
      <c r="D2384" s="25">
        <v>447.65</v>
      </c>
      <c r="E2384" s="25">
        <v>449.85</v>
      </c>
      <c r="F2384" s="25">
        <v>949913.0</v>
      </c>
    </row>
    <row r="2385">
      <c r="A2385" s="25">
        <v>41883.645833333336</v>
      </c>
      <c r="B2385" s="25">
        <v>451.26</v>
      </c>
      <c r="C2385" s="25">
        <v>452.36</v>
      </c>
      <c r="D2385" s="25">
        <v>448.13</v>
      </c>
      <c r="E2385" s="25">
        <v>449.96</v>
      </c>
      <c r="F2385" s="25">
        <v>455394.0</v>
      </c>
    </row>
    <row r="2386">
      <c r="A2386" s="25">
        <v>41884.645833333336</v>
      </c>
      <c r="B2386" s="25">
        <v>450.0</v>
      </c>
      <c r="C2386" s="25">
        <v>453.13</v>
      </c>
      <c r="D2386" s="25">
        <v>444.44</v>
      </c>
      <c r="E2386" s="25">
        <v>451.72</v>
      </c>
      <c r="F2386" s="25">
        <v>447979.0</v>
      </c>
    </row>
    <row r="2387">
      <c r="A2387" s="25">
        <v>41885.645833333336</v>
      </c>
      <c r="B2387" s="25">
        <v>451.25</v>
      </c>
      <c r="C2387" s="25">
        <v>468.3</v>
      </c>
      <c r="D2387" s="25">
        <v>451.25</v>
      </c>
      <c r="E2387" s="25">
        <v>466.78</v>
      </c>
      <c r="F2387" s="25">
        <v>1482195.0</v>
      </c>
    </row>
    <row r="2388">
      <c r="A2388" s="25">
        <v>41886.645833333336</v>
      </c>
      <c r="B2388" s="25">
        <v>465.63</v>
      </c>
      <c r="C2388" s="25">
        <v>465.63</v>
      </c>
      <c r="D2388" s="25">
        <v>462.23</v>
      </c>
      <c r="E2388" s="25">
        <v>463.59</v>
      </c>
      <c r="F2388" s="25">
        <v>779808.0</v>
      </c>
    </row>
    <row r="2389">
      <c r="A2389" s="25">
        <v>41887.645833333336</v>
      </c>
      <c r="B2389" s="25">
        <v>466.5</v>
      </c>
      <c r="C2389" s="25">
        <v>474.38</v>
      </c>
      <c r="D2389" s="25">
        <v>463.17</v>
      </c>
      <c r="E2389" s="25">
        <v>466.34</v>
      </c>
      <c r="F2389" s="25">
        <v>808544.0</v>
      </c>
    </row>
    <row r="2390">
      <c r="A2390" s="25">
        <v>41890.645833333336</v>
      </c>
      <c r="B2390" s="25">
        <v>466.59</v>
      </c>
      <c r="C2390" s="25">
        <v>473.81</v>
      </c>
      <c r="D2390" s="25">
        <v>466.59</v>
      </c>
      <c r="E2390" s="25">
        <v>472.71</v>
      </c>
      <c r="F2390" s="25">
        <v>814662.0</v>
      </c>
    </row>
    <row r="2391">
      <c r="A2391" s="25">
        <v>41891.645833333336</v>
      </c>
      <c r="B2391" s="25">
        <v>468.5</v>
      </c>
      <c r="C2391" s="25">
        <v>469.43</v>
      </c>
      <c r="D2391" s="25">
        <v>465.0</v>
      </c>
      <c r="E2391" s="25">
        <v>467.01</v>
      </c>
      <c r="F2391" s="25">
        <v>539600.0</v>
      </c>
    </row>
    <row r="2392">
      <c r="A2392" s="25">
        <v>41892.645833333336</v>
      </c>
      <c r="B2392" s="25">
        <v>463.5</v>
      </c>
      <c r="C2392" s="25">
        <v>463.5</v>
      </c>
      <c r="D2392" s="25">
        <v>457.5</v>
      </c>
      <c r="E2392" s="25">
        <v>458.41</v>
      </c>
      <c r="F2392" s="25">
        <v>635094.0</v>
      </c>
    </row>
    <row r="2393">
      <c r="A2393" s="25">
        <v>41893.645833333336</v>
      </c>
      <c r="B2393" s="25">
        <v>459.25</v>
      </c>
      <c r="C2393" s="25">
        <v>462.46</v>
      </c>
      <c r="D2393" s="25">
        <v>453.83</v>
      </c>
      <c r="E2393" s="25">
        <v>460.52</v>
      </c>
      <c r="F2393" s="25">
        <v>626629.0</v>
      </c>
    </row>
    <row r="2394">
      <c r="A2394" s="25">
        <v>41894.645833333336</v>
      </c>
      <c r="B2394" s="25">
        <v>461.0</v>
      </c>
      <c r="C2394" s="25">
        <v>463.5</v>
      </c>
      <c r="D2394" s="25">
        <v>456.25</v>
      </c>
      <c r="E2394" s="25">
        <v>458.74</v>
      </c>
      <c r="F2394" s="25">
        <v>488444.0</v>
      </c>
    </row>
    <row r="2395">
      <c r="A2395" s="25">
        <v>41897.645833333336</v>
      </c>
      <c r="B2395" s="25">
        <v>458.13</v>
      </c>
      <c r="C2395" s="25">
        <v>458.5</v>
      </c>
      <c r="D2395" s="25">
        <v>453.41</v>
      </c>
      <c r="E2395" s="25">
        <v>455.16</v>
      </c>
      <c r="F2395" s="25">
        <v>619850.0</v>
      </c>
    </row>
    <row r="2396">
      <c r="A2396" s="25">
        <v>41898.645833333336</v>
      </c>
      <c r="B2396" s="25">
        <v>455.75</v>
      </c>
      <c r="C2396" s="25">
        <v>461.31</v>
      </c>
      <c r="D2396" s="25">
        <v>452.95</v>
      </c>
      <c r="E2396" s="25">
        <v>456.41</v>
      </c>
      <c r="F2396" s="25">
        <v>629363.0</v>
      </c>
    </row>
    <row r="2397">
      <c r="A2397" s="25">
        <v>41899.645833333336</v>
      </c>
      <c r="B2397" s="25">
        <v>459.99</v>
      </c>
      <c r="C2397" s="25">
        <v>468.51</v>
      </c>
      <c r="D2397" s="25">
        <v>458.89</v>
      </c>
      <c r="E2397" s="25">
        <v>467.63</v>
      </c>
      <c r="F2397" s="25">
        <v>990765.0</v>
      </c>
    </row>
    <row r="2398">
      <c r="A2398" s="25">
        <v>41900.645833333336</v>
      </c>
      <c r="B2398" s="25">
        <v>459.24</v>
      </c>
      <c r="C2398" s="25">
        <v>466.21</v>
      </c>
      <c r="D2398" s="25">
        <v>456.81</v>
      </c>
      <c r="E2398" s="25">
        <v>462.13</v>
      </c>
      <c r="F2398" s="25">
        <v>1138097.0</v>
      </c>
    </row>
    <row r="2399">
      <c r="A2399" s="25">
        <v>41901.645833333336</v>
      </c>
      <c r="B2399" s="25">
        <v>462.38</v>
      </c>
      <c r="C2399" s="25">
        <v>473.49</v>
      </c>
      <c r="D2399" s="25">
        <v>460.16</v>
      </c>
      <c r="E2399" s="25">
        <v>462.76</v>
      </c>
      <c r="F2399" s="25">
        <v>1844377.0</v>
      </c>
    </row>
    <row r="2400">
      <c r="A2400" s="25">
        <v>41904.645833333336</v>
      </c>
      <c r="B2400" s="25">
        <v>460.0</v>
      </c>
      <c r="C2400" s="25">
        <v>460.34</v>
      </c>
      <c r="D2400" s="25">
        <v>454.0</v>
      </c>
      <c r="E2400" s="25">
        <v>456.33</v>
      </c>
      <c r="F2400" s="25">
        <v>1076505.0</v>
      </c>
    </row>
    <row r="2401">
      <c r="A2401" s="25">
        <v>41905.645833333336</v>
      </c>
      <c r="B2401" s="25">
        <v>455.63</v>
      </c>
      <c r="C2401" s="25">
        <v>460.43</v>
      </c>
      <c r="D2401" s="25">
        <v>449.44</v>
      </c>
      <c r="E2401" s="25">
        <v>450.89</v>
      </c>
      <c r="F2401" s="25">
        <v>1620288.0</v>
      </c>
    </row>
    <row r="2402">
      <c r="A2402" s="25">
        <v>41906.645833333336</v>
      </c>
      <c r="B2402" s="25">
        <v>453.75</v>
      </c>
      <c r="C2402" s="25">
        <v>459.03</v>
      </c>
      <c r="D2402" s="25">
        <v>449.78</v>
      </c>
      <c r="E2402" s="25">
        <v>455.6</v>
      </c>
      <c r="F2402" s="25">
        <v>695570.0</v>
      </c>
    </row>
    <row r="2403">
      <c r="A2403" s="25">
        <v>41907.645833333336</v>
      </c>
      <c r="B2403" s="25">
        <v>456.25</v>
      </c>
      <c r="C2403" s="25">
        <v>464.85</v>
      </c>
      <c r="D2403" s="25">
        <v>455.75</v>
      </c>
      <c r="E2403" s="25">
        <v>461.38</v>
      </c>
      <c r="F2403" s="25">
        <v>3121939.0</v>
      </c>
    </row>
    <row r="2404">
      <c r="A2404" s="25">
        <v>41908.645833333336</v>
      </c>
      <c r="B2404" s="25">
        <v>460.63</v>
      </c>
      <c r="C2404" s="25">
        <v>465.03</v>
      </c>
      <c r="D2404" s="25">
        <v>457.56</v>
      </c>
      <c r="E2404" s="25">
        <v>460.02</v>
      </c>
      <c r="F2404" s="25">
        <v>1108105.0</v>
      </c>
    </row>
    <row r="2405">
      <c r="A2405" s="25">
        <v>41911.645833333336</v>
      </c>
      <c r="B2405" s="25">
        <v>462.63</v>
      </c>
      <c r="C2405" s="25">
        <v>470.12</v>
      </c>
      <c r="D2405" s="25">
        <v>460.14</v>
      </c>
      <c r="E2405" s="25">
        <v>468.63</v>
      </c>
      <c r="F2405" s="25">
        <v>624518.0</v>
      </c>
    </row>
    <row r="2406">
      <c r="A2406" s="25">
        <v>41912.645833333336</v>
      </c>
      <c r="B2406" s="25">
        <v>468.03</v>
      </c>
      <c r="C2406" s="25">
        <v>469.54</v>
      </c>
      <c r="D2406" s="25">
        <v>462.64</v>
      </c>
      <c r="E2406" s="25">
        <v>468.47</v>
      </c>
      <c r="F2406" s="25">
        <v>865921.0</v>
      </c>
    </row>
    <row r="2407">
      <c r="A2407" s="25">
        <v>41913.645833333336</v>
      </c>
      <c r="B2407" s="25">
        <v>465.25</v>
      </c>
      <c r="C2407" s="25">
        <v>482.49</v>
      </c>
      <c r="D2407" s="25">
        <v>465.25</v>
      </c>
      <c r="E2407" s="25">
        <v>480.91</v>
      </c>
      <c r="F2407" s="25">
        <v>1183858.0</v>
      </c>
    </row>
    <row r="2408">
      <c r="A2408" s="25">
        <v>41919.645833333336</v>
      </c>
      <c r="B2408" s="25">
        <v>471.16</v>
      </c>
      <c r="C2408" s="25">
        <v>486.62</v>
      </c>
      <c r="D2408" s="25">
        <v>471.16</v>
      </c>
      <c r="E2408" s="25">
        <v>478.91</v>
      </c>
      <c r="F2408" s="25">
        <v>2507932.0</v>
      </c>
    </row>
    <row r="2409">
      <c r="A2409" s="25">
        <v>41920.645833333336</v>
      </c>
      <c r="B2409" s="25">
        <v>473.13</v>
      </c>
      <c r="C2409" s="25">
        <v>474.0</v>
      </c>
      <c r="D2409" s="25">
        <v>455.13</v>
      </c>
      <c r="E2409" s="25">
        <v>456.27</v>
      </c>
      <c r="F2409" s="25">
        <v>2540960.0</v>
      </c>
    </row>
    <row r="2410">
      <c r="A2410" s="25">
        <v>41921.645833333336</v>
      </c>
      <c r="B2410" s="25">
        <v>462.5</v>
      </c>
      <c r="C2410" s="25">
        <v>464.25</v>
      </c>
      <c r="D2410" s="25">
        <v>453.24</v>
      </c>
      <c r="E2410" s="25">
        <v>455.85</v>
      </c>
      <c r="F2410" s="25">
        <v>1554104.0</v>
      </c>
    </row>
    <row r="2411">
      <c r="A2411" s="25">
        <v>41922.645833333336</v>
      </c>
      <c r="B2411" s="25">
        <v>457.5</v>
      </c>
      <c r="C2411" s="25">
        <v>488.5</v>
      </c>
      <c r="D2411" s="25">
        <v>446.59</v>
      </c>
      <c r="E2411" s="25">
        <v>486.08</v>
      </c>
      <c r="F2411" s="25">
        <v>5736632.0</v>
      </c>
    </row>
    <row r="2412">
      <c r="A2412" s="25">
        <v>41925.645833333336</v>
      </c>
      <c r="B2412" s="25">
        <v>486.16</v>
      </c>
      <c r="C2412" s="25">
        <v>498.13</v>
      </c>
      <c r="D2412" s="25">
        <v>486.16</v>
      </c>
      <c r="E2412" s="25">
        <v>492.82</v>
      </c>
      <c r="F2412" s="25">
        <v>2215873.0</v>
      </c>
    </row>
    <row r="2413">
      <c r="A2413" s="25">
        <v>41926.645833333336</v>
      </c>
      <c r="B2413" s="25">
        <v>495.63</v>
      </c>
      <c r="C2413" s="25">
        <v>495.63</v>
      </c>
      <c r="D2413" s="25">
        <v>487.5</v>
      </c>
      <c r="E2413" s="25">
        <v>489.79</v>
      </c>
      <c r="F2413" s="25">
        <v>857564.0</v>
      </c>
    </row>
    <row r="2414">
      <c r="A2414" s="25">
        <v>41928.645833333336</v>
      </c>
      <c r="B2414" s="25">
        <v>487.51</v>
      </c>
      <c r="C2414" s="25">
        <v>492.29</v>
      </c>
      <c r="D2414" s="25">
        <v>481.79</v>
      </c>
      <c r="E2414" s="25">
        <v>483.16</v>
      </c>
      <c r="F2414" s="25">
        <v>1252174.0</v>
      </c>
    </row>
    <row r="2415">
      <c r="A2415" s="25">
        <v>41929.645833333336</v>
      </c>
      <c r="B2415" s="25">
        <v>483.11</v>
      </c>
      <c r="C2415" s="25">
        <v>490.35</v>
      </c>
      <c r="D2415" s="25">
        <v>479.64</v>
      </c>
      <c r="E2415" s="25">
        <v>481.46</v>
      </c>
      <c r="F2415" s="25">
        <v>1023752.0</v>
      </c>
    </row>
    <row r="2416">
      <c r="A2416" s="25">
        <v>41932.645833333336</v>
      </c>
      <c r="B2416" s="25">
        <v>481.63</v>
      </c>
      <c r="C2416" s="25">
        <v>482.82</v>
      </c>
      <c r="D2416" s="25">
        <v>475.26</v>
      </c>
      <c r="E2416" s="25">
        <v>476.54</v>
      </c>
      <c r="F2416" s="25">
        <v>962840.0</v>
      </c>
    </row>
    <row r="2417">
      <c r="A2417" s="25">
        <v>41933.645833333336</v>
      </c>
      <c r="B2417" s="25">
        <v>481.24</v>
      </c>
      <c r="C2417" s="25">
        <v>481.24</v>
      </c>
      <c r="D2417" s="25">
        <v>463.75</v>
      </c>
      <c r="E2417" s="25">
        <v>471.62</v>
      </c>
      <c r="F2417" s="25">
        <v>3260173.0</v>
      </c>
    </row>
    <row r="2418">
      <c r="A2418" s="25">
        <v>41934.645833333336</v>
      </c>
      <c r="B2418" s="25">
        <v>476.16</v>
      </c>
      <c r="C2418" s="25">
        <v>476.49</v>
      </c>
      <c r="D2418" s="25">
        <v>472.03</v>
      </c>
      <c r="E2418" s="25">
        <v>474.51</v>
      </c>
      <c r="F2418" s="25">
        <v>669165.0</v>
      </c>
    </row>
    <row r="2419">
      <c r="A2419" s="25">
        <v>41935.645833333336</v>
      </c>
      <c r="B2419" s="25">
        <v>475.61</v>
      </c>
      <c r="C2419" s="25">
        <v>476.68</v>
      </c>
      <c r="D2419" s="25">
        <v>474.64</v>
      </c>
      <c r="E2419" s="25">
        <v>475.49</v>
      </c>
      <c r="F2419" s="25">
        <v>52766.0</v>
      </c>
    </row>
    <row r="2420">
      <c r="A2420" s="25">
        <v>41939.645833333336</v>
      </c>
      <c r="B2420" s="25">
        <v>481.25</v>
      </c>
      <c r="C2420" s="25">
        <v>481.25</v>
      </c>
      <c r="D2420" s="25">
        <v>472.78</v>
      </c>
      <c r="E2420" s="25">
        <v>475.38</v>
      </c>
      <c r="F2420" s="25">
        <v>595969.0</v>
      </c>
    </row>
    <row r="2421">
      <c r="A2421" s="25">
        <v>41940.645833333336</v>
      </c>
      <c r="B2421" s="25">
        <v>470.63</v>
      </c>
      <c r="C2421" s="25">
        <v>476.54</v>
      </c>
      <c r="D2421" s="25">
        <v>470.63</v>
      </c>
      <c r="E2421" s="25">
        <v>473.53</v>
      </c>
      <c r="F2421" s="25">
        <v>833296.0</v>
      </c>
    </row>
    <row r="2422">
      <c r="A2422" s="25">
        <v>41941.645833333336</v>
      </c>
      <c r="B2422" s="25">
        <v>476.62</v>
      </c>
      <c r="C2422" s="25">
        <v>486.59</v>
      </c>
      <c r="D2422" s="25">
        <v>476.62</v>
      </c>
      <c r="E2422" s="25">
        <v>485.18</v>
      </c>
      <c r="F2422" s="25">
        <v>1028667.0</v>
      </c>
    </row>
    <row r="2423">
      <c r="A2423" s="25">
        <v>41942.645833333336</v>
      </c>
      <c r="B2423" s="25">
        <v>487.0</v>
      </c>
      <c r="C2423" s="25">
        <v>497.66</v>
      </c>
      <c r="D2423" s="25">
        <v>487.0</v>
      </c>
      <c r="E2423" s="25">
        <v>493.32</v>
      </c>
      <c r="F2423" s="25">
        <v>1905651.0</v>
      </c>
    </row>
    <row r="2424">
      <c r="A2424" s="25">
        <v>41943.645833333336</v>
      </c>
      <c r="B2424" s="25">
        <v>498.38</v>
      </c>
      <c r="C2424" s="25">
        <v>508.25</v>
      </c>
      <c r="D2424" s="25">
        <v>498.38</v>
      </c>
      <c r="E2424" s="25">
        <v>506.41</v>
      </c>
      <c r="F2424" s="25">
        <v>1083850.0</v>
      </c>
    </row>
    <row r="2425">
      <c r="A2425" s="25">
        <v>41946.645833333336</v>
      </c>
      <c r="B2425" s="25">
        <v>509.61</v>
      </c>
      <c r="C2425" s="25">
        <v>513.75</v>
      </c>
      <c r="D2425" s="25">
        <v>504.06</v>
      </c>
      <c r="E2425" s="25">
        <v>510.74</v>
      </c>
      <c r="F2425" s="25">
        <v>1072301.0</v>
      </c>
    </row>
    <row r="2426">
      <c r="A2426" s="25">
        <v>41948.645833333336</v>
      </c>
      <c r="B2426" s="25">
        <v>510.63</v>
      </c>
      <c r="C2426" s="25">
        <v>519.25</v>
      </c>
      <c r="D2426" s="25">
        <v>507.13</v>
      </c>
      <c r="E2426" s="25">
        <v>515.6</v>
      </c>
      <c r="F2426" s="25">
        <v>1280135.0</v>
      </c>
    </row>
    <row r="2427">
      <c r="A2427" s="25">
        <v>41950.645833333336</v>
      </c>
      <c r="B2427" s="25">
        <v>514.79</v>
      </c>
      <c r="C2427" s="25">
        <v>522.88</v>
      </c>
      <c r="D2427" s="25">
        <v>514.79</v>
      </c>
      <c r="E2427" s="25">
        <v>520.83</v>
      </c>
      <c r="F2427" s="25">
        <v>1246300.0</v>
      </c>
    </row>
    <row r="2428">
      <c r="A2428" s="25">
        <v>41953.64583333333</v>
      </c>
      <c r="B2428" s="25">
        <v>521.88</v>
      </c>
      <c r="C2428" s="25">
        <v>522.64</v>
      </c>
      <c r="D2428" s="25">
        <v>517.5</v>
      </c>
      <c r="E2428" s="25">
        <v>520.69</v>
      </c>
      <c r="F2428" s="25">
        <v>699271.0</v>
      </c>
    </row>
    <row r="2429">
      <c r="A2429" s="25">
        <v>41954.64583333333</v>
      </c>
      <c r="B2429" s="25">
        <v>520.63</v>
      </c>
      <c r="C2429" s="25">
        <v>520.63</v>
      </c>
      <c r="D2429" s="25">
        <v>512.97</v>
      </c>
      <c r="E2429" s="25">
        <v>515.65</v>
      </c>
      <c r="F2429" s="25">
        <v>781886.0</v>
      </c>
    </row>
    <row r="2430">
      <c r="A2430" s="25">
        <v>41955.64583333333</v>
      </c>
      <c r="B2430" s="25">
        <v>515.13</v>
      </c>
      <c r="C2430" s="25">
        <v>518.84</v>
      </c>
      <c r="D2430" s="25">
        <v>512.14</v>
      </c>
      <c r="E2430" s="25">
        <v>513.25</v>
      </c>
      <c r="F2430" s="25">
        <v>674112.0</v>
      </c>
    </row>
    <row r="2431">
      <c r="A2431" s="25">
        <v>41956.64583333333</v>
      </c>
      <c r="B2431" s="25">
        <v>515.25</v>
      </c>
      <c r="C2431" s="25">
        <v>525.13</v>
      </c>
      <c r="D2431" s="25">
        <v>514.05</v>
      </c>
      <c r="E2431" s="25">
        <v>522.33</v>
      </c>
      <c r="F2431" s="25">
        <v>619585.0</v>
      </c>
    </row>
    <row r="2432">
      <c r="A2432" s="25">
        <v>41957.64583333333</v>
      </c>
      <c r="B2432" s="25">
        <v>524.25</v>
      </c>
      <c r="C2432" s="25">
        <v>526.43</v>
      </c>
      <c r="D2432" s="25">
        <v>521.75</v>
      </c>
      <c r="E2432" s="25">
        <v>523.96</v>
      </c>
      <c r="F2432" s="25">
        <v>654147.0</v>
      </c>
    </row>
    <row r="2433">
      <c r="A2433" s="25">
        <v>41960.64583333333</v>
      </c>
      <c r="B2433" s="25">
        <v>523.13</v>
      </c>
      <c r="C2433" s="25">
        <v>528.49</v>
      </c>
      <c r="D2433" s="25">
        <v>518.51</v>
      </c>
      <c r="E2433" s="25">
        <v>527.31</v>
      </c>
      <c r="F2433" s="25">
        <v>682273.0</v>
      </c>
    </row>
    <row r="2434">
      <c r="A2434" s="25">
        <v>41961.64583333333</v>
      </c>
      <c r="B2434" s="25">
        <v>528.13</v>
      </c>
      <c r="C2434" s="25">
        <v>528.47</v>
      </c>
      <c r="D2434" s="25">
        <v>521.51</v>
      </c>
      <c r="E2434" s="25">
        <v>522.79</v>
      </c>
      <c r="F2434" s="25">
        <v>658390.0</v>
      </c>
    </row>
    <row r="2435">
      <c r="A2435" s="25">
        <v>41962.64583333333</v>
      </c>
      <c r="B2435" s="25">
        <v>522.5</v>
      </c>
      <c r="C2435" s="25">
        <v>523.74</v>
      </c>
      <c r="D2435" s="25">
        <v>517.47</v>
      </c>
      <c r="E2435" s="25">
        <v>521.67</v>
      </c>
      <c r="F2435" s="25">
        <v>650140.0</v>
      </c>
    </row>
    <row r="2436">
      <c r="A2436" s="25">
        <v>41963.64583333333</v>
      </c>
      <c r="B2436" s="25">
        <v>523.75</v>
      </c>
      <c r="C2436" s="25">
        <v>529.06</v>
      </c>
      <c r="D2436" s="25">
        <v>522.98</v>
      </c>
      <c r="E2436" s="25">
        <v>528.2</v>
      </c>
      <c r="F2436" s="25">
        <v>668491.0</v>
      </c>
    </row>
    <row r="2437">
      <c r="A2437" s="25">
        <v>41964.64583333333</v>
      </c>
      <c r="B2437" s="25">
        <v>521.25</v>
      </c>
      <c r="C2437" s="25">
        <v>522.38</v>
      </c>
      <c r="D2437" s="25">
        <v>512.7</v>
      </c>
      <c r="E2437" s="25">
        <v>518.27</v>
      </c>
      <c r="F2437" s="25">
        <v>1307909.0</v>
      </c>
    </row>
    <row r="2438">
      <c r="A2438" s="25">
        <v>41967.64583333333</v>
      </c>
      <c r="B2438" s="25">
        <v>525.0</v>
      </c>
      <c r="C2438" s="25">
        <v>535.21</v>
      </c>
      <c r="D2438" s="25">
        <v>523.99</v>
      </c>
      <c r="E2438" s="25">
        <v>534.39</v>
      </c>
      <c r="F2438" s="25">
        <v>1380930.0</v>
      </c>
    </row>
    <row r="2439">
      <c r="A2439" s="25">
        <v>41968.64583333333</v>
      </c>
      <c r="B2439" s="25">
        <v>536.88</v>
      </c>
      <c r="C2439" s="25">
        <v>539.99</v>
      </c>
      <c r="D2439" s="25">
        <v>530.75</v>
      </c>
      <c r="E2439" s="25">
        <v>537.9</v>
      </c>
      <c r="F2439" s="25">
        <v>1860822.0</v>
      </c>
    </row>
    <row r="2440">
      <c r="A2440" s="25">
        <v>41969.64583333333</v>
      </c>
      <c r="B2440" s="25">
        <v>537.5</v>
      </c>
      <c r="C2440" s="25">
        <v>539.71</v>
      </c>
      <c r="D2440" s="25">
        <v>533.95</v>
      </c>
      <c r="E2440" s="25">
        <v>537.56</v>
      </c>
      <c r="F2440" s="25">
        <v>991350.0</v>
      </c>
    </row>
    <row r="2441">
      <c r="A2441" s="25">
        <v>41970.64583333333</v>
      </c>
      <c r="B2441" s="25">
        <v>540.24</v>
      </c>
      <c r="C2441" s="25">
        <v>547.05</v>
      </c>
      <c r="D2441" s="25">
        <v>539.0</v>
      </c>
      <c r="E2441" s="25">
        <v>545.74</v>
      </c>
      <c r="F2441" s="25">
        <v>2173629.0</v>
      </c>
    </row>
    <row r="2442">
      <c r="A2442" s="25">
        <v>41971.64583333333</v>
      </c>
      <c r="B2442" s="25">
        <v>546.26</v>
      </c>
      <c r="C2442" s="25">
        <v>549.75</v>
      </c>
      <c r="D2442" s="25">
        <v>542.92</v>
      </c>
      <c r="E2442" s="25">
        <v>544.98</v>
      </c>
      <c r="F2442" s="25">
        <v>1793408.0</v>
      </c>
    </row>
    <row r="2443">
      <c r="A2443" s="25">
        <v>41974.64583333333</v>
      </c>
      <c r="B2443" s="25">
        <v>548.38</v>
      </c>
      <c r="C2443" s="25">
        <v>550.28</v>
      </c>
      <c r="D2443" s="25">
        <v>536.58</v>
      </c>
      <c r="E2443" s="25">
        <v>543.73</v>
      </c>
      <c r="F2443" s="25">
        <v>2292733.0</v>
      </c>
    </row>
    <row r="2444">
      <c r="A2444" s="25">
        <v>41975.64583333333</v>
      </c>
      <c r="B2444" s="25">
        <v>541.24</v>
      </c>
      <c r="C2444" s="25">
        <v>541.24</v>
      </c>
      <c r="D2444" s="25">
        <v>528.75</v>
      </c>
      <c r="E2444" s="25">
        <v>531.65</v>
      </c>
      <c r="F2444" s="25">
        <v>2663748.0</v>
      </c>
    </row>
    <row r="2445">
      <c r="A2445" s="25">
        <v>41976.64583333333</v>
      </c>
      <c r="B2445" s="25">
        <v>525.38</v>
      </c>
      <c r="C2445" s="25">
        <v>533.24</v>
      </c>
      <c r="D2445" s="25">
        <v>521.14</v>
      </c>
      <c r="E2445" s="25">
        <v>530.88</v>
      </c>
      <c r="F2445" s="25">
        <v>3193761.0</v>
      </c>
    </row>
    <row r="2446">
      <c r="A2446" s="25">
        <v>41977.64583333333</v>
      </c>
      <c r="B2446" s="25">
        <v>527.5</v>
      </c>
      <c r="C2446" s="25">
        <v>536.23</v>
      </c>
      <c r="D2446" s="25">
        <v>523.75</v>
      </c>
      <c r="E2446" s="25">
        <v>525.45</v>
      </c>
      <c r="F2446" s="25">
        <v>2349807.0</v>
      </c>
    </row>
    <row r="2447">
      <c r="A2447" s="25">
        <v>41978.64583333333</v>
      </c>
      <c r="B2447" s="25">
        <v>528.75</v>
      </c>
      <c r="C2447" s="25">
        <v>529.15</v>
      </c>
      <c r="D2447" s="25">
        <v>514.95</v>
      </c>
      <c r="E2447" s="25">
        <v>517.58</v>
      </c>
      <c r="F2447" s="25">
        <v>1839690.0</v>
      </c>
    </row>
    <row r="2448">
      <c r="A2448" s="25">
        <v>41981.64583333333</v>
      </c>
      <c r="B2448" s="25">
        <v>502.25</v>
      </c>
      <c r="C2448" s="25">
        <v>504.75</v>
      </c>
      <c r="D2448" s="25">
        <v>489.44</v>
      </c>
      <c r="E2448" s="25">
        <v>492.54</v>
      </c>
      <c r="F2448" s="25">
        <v>4.1580104E7</v>
      </c>
    </row>
    <row r="2449">
      <c r="A2449" s="25">
        <v>41982.64583333333</v>
      </c>
      <c r="B2449" s="25">
        <v>495.69</v>
      </c>
      <c r="C2449" s="25">
        <v>496.5</v>
      </c>
      <c r="D2449" s="25">
        <v>488.11</v>
      </c>
      <c r="E2449" s="25">
        <v>491.2</v>
      </c>
      <c r="F2449" s="25">
        <v>2512615.0</v>
      </c>
    </row>
    <row r="2450">
      <c r="A2450" s="25">
        <v>41983.64583333333</v>
      </c>
      <c r="B2450" s="25">
        <v>491.5</v>
      </c>
      <c r="C2450" s="25">
        <v>496.25</v>
      </c>
      <c r="D2450" s="25">
        <v>489.78</v>
      </c>
      <c r="E2450" s="25">
        <v>490.94</v>
      </c>
      <c r="F2450" s="25">
        <v>1951178.0</v>
      </c>
    </row>
    <row r="2451">
      <c r="A2451" s="25">
        <v>41984.64583333333</v>
      </c>
      <c r="B2451" s="25">
        <v>487.75</v>
      </c>
      <c r="C2451" s="25">
        <v>488.49</v>
      </c>
      <c r="D2451" s="25">
        <v>478.75</v>
      </c>
      <c r="E2451" s="25">
        <v>480.26</v>
      </c>
      <c r="F2451" s="25">
        <v>2071483.0</v>
      </c>
    </row>
    <row r="2452">
      <c r="A2452" s="25">
        <v>41985.64583333333</v>
      </c>
      <c r="B2452" s="25">
        <v>484.76</v>
      </c>
      <c r="C2452" s="25">
        <v>490.1</v>
      </c>
      <c r="D2452" s="25">
        <v>479.53</v>
      </c>
      <c r="E2452" s="25">
        <v>484.66</v>
      </c>
      <c r="F2452" s="25">
        <v>3643125.0</v>
      </c>
    </row>
    <row r="2453">
      <c r="A2453" s="25">
        <v>41988.64583333333</v>
      </c>
      <c r="B2453" s="25">
        <v>476.24</v>
      </c>
      <c r="C2453" s="25">
        <v>489.31</v>
      </c>
      <c r="D2453" s="25">
        <v>476.23</v>
      </c>
      <c r="E2453" s="25">
        <v>481.2</v>
      </c>
      <c r="F2453" s="25">
        <v>3241571.0</v>
      </c>
    </row>
    <row r="2454">
      <c r="A2454" s="25">
        <v>41989.64583333333</v>
      </c>
      <c r="B2454" s="25">
        <v>481.43</v>
      </c>
      <c r="C2454" s="25">
        <v>487.9</v>
      </c>
      <c r="D2454" s="25">
        <v>481.43</v>
      </c>
      <c r="E2454" s="25">
        <v>484.5</v>
      </c>
      <c r="F2454" s="25">
        <v>4448189.0</v>
      </c>
    </row>
    <row r="2455">
      <c r="A2455" s="25">
        <v>41990.64583333333</v>
      </c>
      <c r="B2455" s="25">
        <v>484.0</v>
      </c>
      <c r="C2455" s="25">
        <v>488.88</v>
      </c>
      <c r="D2455" s="25">
        <v>474.08</v>
      </c>
      <c r="E2455" s="25">
        <v>484.63</v>
      </c>
      <c r="F2455" s="25">
        <v>4462944.0</v>
      </c>
    </row>
    <row r="2456">
      <c r="A2456" s="25">
        <v>41991.64583333333</v>
      </c>
      <c r="B2456" s="25">
        <v>488.5</v>
      </c>
      <c r="C2456" s="25">
        <v>495.45</v>
      </c>
      <c r="D2456" s="25">
        <v>486.19</v>
      </c>
      <c r="E2456" s="25">
        <v>491.48</v>
      </c>
      <c r="F2456" s="25">
        <v>4987495.0</v>
      </c>
    </row>
    <row r="2457">
      <c r="A2457" s="25">
        <v>41992.64583333333</v>
      </c>
      <c r="B2457" s="25">
        <v>499.4</v>
      </c>
      <c r="C2457" s="25">
        <v>502.0</v>
      </c>
      <c r="D2457" s="25">
        <v>496.5</v>
      </c>
      <c r="E2457" s="25">
        <v>499.66</v>
      </c>
      <c r="F2457" s="25">
        <v>3573658.0</v>
      </c>
    </row>
    <row r="2458">
      <c r="A2458" s="25">
        <v>41995.64583333333</v>
      </c>
      <c r="B2458" s="25">
        <v>501.5</v>
      </c>
      <c r="C2458" s="25">
        <v>502.53</v>
      </c>
      <c r="D2458" s="25">
        <v>493.84</v>
      </c>
      <c r="E2458" s="25">
        <v>499.9</v>
      </c>
      <c r="F2458" s="25">
        <v>2616276.0</v>
      </c>
    </row>
    <row r="2459">
      <c r="A2459" s="25">
        <v>41996.64583333333</v>
      </c>
      <c r="B2459" s="25">
        <v>500.21</v>
      </c>
      <c r="C2459" s="25">
        <v>505.48</v>
      </c>
      <c r="D2459" s="25">
        <v>490.9</v>
      </c>
      <c r="E2459" s="25">
        <v>492.91</v>
      </c>
      <c r="F2459" s="25">
        <v>2049238.0</v>
      </c>
    </row>
    <row r="2460">
      <c r="A2460" s="25">
        <v>41997.64583333333</v>
      </c>
      <c r="B2460" s="25">
        <v>494.0</v>
      </c>
      <c r="C2460" s="25">
        <v>496.75</v>
      </c>
      <c r="D2460" s="25">
        <v>478.76</v>
      </c>
      <c r="E2460" s="25">
        <v>482.64</v>
      </c>
      <c r="F2460" s="25">
        <v>6834872.0</v>
      </c>
    </row>
    <row r="2461">
      <c r="A2461" s="25">
        <v>41999.64583333333</v>
      </c>
      <c r="B2461" s="25">
        <v>486.28</v>
      </c>
      <c r="C2461" s="25">
        <v>490.18</v>
      </c>
      <c r="D2461" s="25">
        <v>482.74</v>
      </c>
      <c r="E2461" s="25">
        <v>488.06</v>
      </c>
      <c r="F2461" s="25">
        <v>567187.0</v>
      </c>
    </row>
    <row r="2462">
      <c r="A2462" s="25">
        <v>42002.64583333333</v>
      </c>
      <c r="B2462" s="25">
        <v>489.01</v>
      </c>
      <c r="C2462" s="25">
        <v>493.2</v>
      </c>
      <c r="D2462" s="25">
        <v>488.13</v>
      </c>
      <c r="E2462" s="25">
        <v>489.45</v>
      </c>
      <c r="F2462" s="25">
        <v>698169.0</v>
      </c>
    </row>
    <row r="2463">
      <c r="A2463" s="25">
        <v>42003.64583333333</v>
      </c>
      <c r="B2463" s="25">
        <v>490.56</v>
      </c>
      <c r="C2463" s="25">
        <v>493.75</v>
      </c>
      <c r="D2463" s="25">
        <v>489.2</v>
      </c>
      <c r="E2463" s="25">
        <v>491.59</v>
      </c>
      <c r="F2463" s="25">
        <v>1160138.0</v>
      </c>
    </row>
    <row r="2464">
      <c r="A2464" s="25">
        <v>42004.64583333333</v>
      </c>
      <c r="B2464" s="25">
        <v>488.75</v>
      </c>
      <c r="C2464" s="25">
        <v>494.74</v>
      </c>
      <c r="D2464" s="25">
        <v>487.5</v>
      </c>
      <c r="E2464" s="25">
        <v>493.14</v>
      </c>
      <c r="F2464" s="25">
        <v>1742202.0</v>
      </c>
    </row>
    <row r="2465">
      <c r="A2465" s="25">
        <v>42005.64583333333</v>
      </c>
      <c r="B2465" s="25">
        <v>492.24</v>
      </c>
      <c r="C2465" s="25">
        <v>495.5</v>
      </c>
      <c r="D2465" s="25">
        <v>489.23</v>
      </c>
      <c r="E2465" s="25">
        <v>493.6</v>
      </c>
      <c r="F2465" s="25">
        <v>500691.0</v>
      </c>
    </row>
    <row r="2466">
      <c r="A2466" s="25">
        <v>42006.64583333333</v>
      </c>
      <c r="B2466" s="25">
        <v>493.0</v>
      </c>
      <c r="C2466" s="25">
        <v>504.76</v>
      </c>
      <c r="D2466" s="25">
        <v>493.0</v>
      </c>
      <c r="E2466" s="25">
        <v>503.3</v>
      </c>
      <c r="F2466" s="25">
        <v>1694580.0</v>
      </c>
    </row>
    <row r="2467">
      <c r="A2467" s="25">
        <v>42009.64583333333</v>
      </c>
      <c r="B2467" s="25">
        <v>502.48</v>
      </c>
      <c r="C2467" s="25">
        <v>507.5</v>
      </c>
      <c r="D2467" s="25">
        <v>494.38</v>
      </c>
      <c r="E2467" s="25">
        <v>498.98</v>
      </c>
      <c r="F2467" s="25">
        <v>2484256.0</v>
      </c>
    </row>
    <row r="2468">
      <c r="A2468" s="25">
        <v>42010.64583333333</v>
      </c>
      <c r="B2468" s="25">
        <v>495.0</v>
      </c>
      <c r="C2468" s="25">
        <v>496.25</v>
      </c>
      <c r="D2468" s="25">
        <v>483.53</v>
      </c>
      <c r="E2468" s="25">
        <v>488.55</v>
      </c>
      <c r="F2468" s="25">
        <v>2416829.0</v>
      </c>
    </row>
    <row r="2469">
      <c r="A2469" s="25">
        <v>42011.64583333333</v>
      </c>
      <c r="B2469" s="25">
        <v>491.25</v>
      </c>
      <c r="C2469" s="25">
        <v>493.69</v>
      </c>
      <c r="D2469" s="25">
        <v>487.5</v>
      </c>
      <c r="E2469" s="25">
        <v>490.89</v>
      </c>
      <c r="F2469" s="25">
        <v>1812479.0</v>
      </c>
    </row>
    <row r="2470">
      <c r="A2470" s="25">
        <v>42012.64583333333</v>
      </c>
      <c r="B2470" s="25">
        <v>496.4</v>
      </c>
      <c r="C2470" s="25">
        <v>499.25</v>
      </c>
      <c r="D2470" s="25">
        <v>487.5</v>
      </c>
      <c r="E2470" s="25">
        <v>493.36</v>
      </c>
      <c r="F2470" s="25">
        <v>3391230.0</v>
      </c>
    </row>
    <row r="2471">
      <c r="A2471" s="25">
        <v>42013.64583333333</v>
      </c>
      <c r="B2471" s="25">
        <v>495.03</v>
      </c>
      <c r="C2471" s="25">
        <v>527.25</v>
      </c>
      <c r="D2471" s="25">
        <v>478.26</v>
      </c>
      <c r="E2471" s="25">
        <v>518.61</v>
      </c>
      <c r="F2471" s="25">
        <v>1.1215832E7</v>
      </c>
    </row>
    <row r="2472">
      <c r="A2472" s="25">
        <v>42016.64583333333</v>
      </c>
      <c r="B2472" s="25">
        <v>523.0</v>
      </c>
      <c r="C2472" s="25">
        <v>529.8</v>
      </c>
      <c r="D2472" s="25">
        <v>518.75</v>
      </c>
      <c r="E2472" s="25">
        <v>528.99</v>
      </c>
      <c r="F2472" s="25">
        <v>3189722.0</v>
      </c>
    </row>
    <row r="2473">
      <c r="A2473" s="25">
        <v>42017.64583333333</v>
      </c>
      <c r="B2473" s="25">
        <v>526.95</v>
      </c>
      <c r="C2473" s="25">
        <v>526.95</v>
      </c>
      <c r="D2473" s="25">
        <v>518.75</v>
      </c>
      <c r="E2473" s="25">
        <v>522.23</v>
      </c>
      <c r="F2473" s="25">
        <v>2200309.0</v>
      </c>
    </row>
    <row r="2474">
      <c r="A2474" s="25">
        <v>42018.64583333333</v>
      </c>
      <c r="B2474" s="25">
        <v>524.63</v>
      </c>
      <c r="C2474" s="25">
        <v>533.25</v>
      </c>
      <c r="D2474" s="25">
        <v>523.15</v>
      </c>
      <c r="E2474" s="25">
        <v>532.16</v>
      </c>
      <c r="F2474" s="25">
        <v>2480315.0</v>
      </c>
    </row>
    <row r="2475">
      <c r="A2475" s="25">
        <v>42019.64583333333</v>
      </c>
      <c r="B2475" s="25">
        <v>533.8</v>
      </c>
      <c r="C2475" s="25">
        <v>538.2</v>
      </c>
      <c r="D2475" s="25">
        <v>528.06</v>
      </c>
      <c r="E2475" s="25">
        <v>533.56</v>
      </c>
      <c r="F2475" s="25">
        <v>2085613.0</v>
      </c>
    </row>
    <row r="2476">
      <c r="A2476" s="25">
        <v>42020.64583333333</v>
      </c>
      <c r="B2476" s="25">
        <v>537.0</v>
      </c>
      <c r="C2476" s="25">
        <v>540.0</v>
      </c>
      <c r="D2476" s="25">
        <v>528.0</v>
      </c>
      <c r="E2476" s="25">
        <v>529.58</v>
      </c>
      <c r="F2476" s="25">
        <v>1672740.0</v>
      </c>
    </row>
    <row r="2477">
      <c r="A2477" s="25">
        <v>42023.64583333333</v>
      </c>
      <c r="B2477" s="25">
        <v>530.0</v>
      </c>
      <c r="C2477" s="25">
        <v>533.09</v>
      </c>
      <c r="D2477" s="25">
        <v>523.65</v>
      </c>
      <c r="E2477" s="25">
        <v>525.63</v>
      </c>
      <c r="F2477" s="25">
        <v>1021936.0</v>
      </c>
    </row>
    <row r="2478">
      <c r="A2478" s="25">
        <v>42024.64583333333</v>
      </c>
      <c r="B2478" s="25">
        <v>526.75</v>
      </c>
      <c r="C2478" s="25">
        <v>533.25</v>
      </c>
      <c r="D2478" s="25">
        <v>525.36</v>
      </c>
      <c r="E2478" s="25">
        <v>531.05</v>
      </c>
      <c r="F2478" s="25">
        <v>1701126.0</v>
      </c>
    </row>
    <row r="2479">
      <c r="A2479" s="25">
        <v>42025.64583333333</v>
      </c>
      <c r="B2479" s="25">
        <v>532.88</v>
      </c>
      <c r="C2479" s="25">
        <v>543.99</v>
      </c>
      <c r="D2479" s="25">
        <v>529.5</v>
      </c>
      <c r="E2479" s="25">
        <v>542.48</v>
      </c>
      <c r="F2479" s="25">
        <v>2123727.0</v>
      </c>
    </row>
    <row r="2480">
      <c r="A2480" s="25">
        <v>42026.64583333333</v>
      </c>
      <c r="B2480" s="25">
        <v>543.7</v>
      </c>
      <c r="C2480" s="25">
        <v>550.75</v>
      </c>
      <c r="D2480" s="25">
        <v>540.33</v>
      </c>
      <c r="E2480" s="25">
        <v>549.11</v>
      </c>
      <c r="F2480" s="25">
        <v>2489599.0</v>
      </c>
    </row>
    <row r="2481">
      <c r="A2481" s="25">
        <v>42027.64583333333</v>
      </c>
      <c r="B2481" s="25">
        <v>550.0</v>
      </c>
      <c r="C2481" s="25">
        <v>556.25</v>
      </c>
      <c r="D2481" s="25">
        <v>541.28</v>
      </c>
      <c r="E2481" s="25">
        <v>553.76</v>
      </c>
      <c r="F2481" s="25">
        <v>2371582.0</v>
      </c>
    </row>
    <row r="2482">
      <c r="A2482" s="25">
        <v>42031.64583333333</v>
      </c>
      <c r="B2482" s="25">
        <v>555.25</v>
      </c>
      <c r="C2482" s="25">
        <v>555.25</v>
      </c>
      <c r="D2482" s="25">
        <v>532.53</v>
      </c>
      <c r="E2482" s="25">
        <v>534.13</v>
      </c>
      <c r="F2482" s="25">
        <v>3434992.0</v>
      </c>
    </row>
    <row r="2483">
      <c r="A2483" s="25">
        <v>42032.64583333333</v>
      </c>
      <c r="B2483" s="25">
        <v>537.5</v>
      </c>
      <c r="C2483" s="25">
        <v>538.7</v>
      </c>
      <c r="D2483" s="25">
        <v>532.58</v>
      </c>
      <c r="E2483" s="25">
        <v>536.14</v>
      </c>
      <c r="F2483" s="25">
        <v>3283589.0</v>
      </c>
    </row>
    <row r="2484">
      <c r="A2484" s="25">
        <v>42033.64583333333</v>
      </c>
      <c r="B2484" s="25">
        <v>536.25</v>
      </c>
      <c r="C2484" s="25">
        <v>537.48</v>
      </c>
      <c r="D2484" s="25">
        <v>531.9</v>
      </c>
      <c r="E2484" s="25">
        <v>536.38</v>
      </c>
      <c r="F2484" s="25">
        <v>3842356.0</v>
      </c>
    </row>
    <row r="2485">
      <c r="A2485" s="25">
        <v>42034.64583333333</v>
      </c>
      <c r="B2485" s="25">
        <v>540.38</v>
      </c>
      <c r="C2485" s="25">
        <v>540.64</v>
      </c>
      <c r="D2485" s="25">
        <v>531.74</v>
      </c>
      <c r="E2485" s="25">
        <v>535.48</v>
      </c>
      <c r="F2485" s="25">
        <v>2708436.0</v>
      </c>
    </row>
    <row r="2486">
      <c r="A2486" s="25">
        <v>42037.64583333333</v>
      </c>
      <c r="B2486" s="25">
        <v>535.38</v>
      </c>
      <c r="C2486" s="25">
        <v>538.0</v>
      </c>
      <c r="D2486" s="25">
        <v>531.51</v>
      </c>
      <c r="E2486" s="25">
        <v>534.21</v>
      </c>
      <c r="F2486" s="25">
        <v>2175635.0</v>
      </c>
    </row>
    <row r="2487">
      <c r="A2487" s="25">
        <v>42038.64583333333</v>
      </c>
      <c r="B2487" s="25">
        <v>534.21</v>
      </c>
      <c r="C2487" s="25">
        <v>534.99</v>
      </c>
      <c r="D2487" s="25">
        <v>525.5</v>
      </c>
      <c r="E2487" s="25">
        <v>530.23</v>
      </c>
      <c r="F2487" s="25">
        <v>1316489.0</v>
      </c>
    </row>
    <row r="2488">
      <c r="A2488" s="25">
        <v>42039.64583333333</v>
      </c>
      <c r="B2488" s="25">
        <v>534.98</v>
      </c>
      <c r="C2488" s="25">
        <v>537.5</v>
      </c>
      <c r="D2488" s="25">
        <v>531.6</v>
      </c>
      <c r="E2488" s="25">
        <v>535.71</v>
      </c>
      <c r="F2488" s="25">
        <v>1290004.0</v>
      </c>
    </row>
    <row r="2489">
      <c r="A2489" s="25">
        <v>42040.64583333333</v>
      </c>
      <c r="B2489" s="25">
        <v>537.7</v>
      </c>
      <c r="C2489" s="25">
        <v>555.0</v>
      </c>
      <c r="D2489" s="25">
        <v>537.0</v>
      </c>
      <c r="E2489" s="25">
        <v>548.45</v>
      </c>
      <c r="F2489" s="25">
        <v>2968984.0</v>
      </c>
    </row>
    <row r="2490">
      <c r="A2490" s="25">
        <v>42041.64583333333</v>
      </c>
      <c r="B2490" s="25">
        <v>551.25</v>
      </c>
      <c r="C2490" s="25">
        <v>561.95</v>
      </c>
      <c r="D2490" s="25">
        <v>547.13</v>
      </c>
      <c r="E2490" s="25">
        <v>557.63</v>
      </c>
      <c r="F2490" s="25">
        <v>1863432.0</v>
      </c>
    </row>
    <row r="2491">
      <c r="A2491" s="25">
        <v>42044.64583333333</v>
      </c>
      <c r="B2491" s="25">
        <v>550.0</v>
      </c>
      <c r="C2491" s="25">
        <v>563.5</v>
      </c>
      <c r="D2491" s="25">
        <v>550.0</v>
      </c>
      <c r="E2491" s="25">
        <v>562.23</v>
      </c>
      <c r="F2491" s="25">
        <v>1634217.0</v>
      </c>
    </row>
    <row r="2492">
      <c r="A2492" s="25">
        <v>42045.64583333333</v>
      </c>
      <c r="B2492" s="25">
        <v>560.75</v>
      </c>
      <c r="C2492" s="25">
        <v>574.5</v>
      </c>
      <c r="D2492" s="25">
        <v>560.25</v>
      </c>
      <c r="E2492" s="25">
        <v>569.58</v>
      </c>
      <c r="F2492" s="25">
        <v>2129230.0</v>
      </c>
    </row>
    <row r="2493">
      <c r="A2493" s="25">
        <v>42046.64583333333</v>
      </c>
      <c r="B2493" s="25">
        <v>570.13</v>
      </c>
      <c r="C2493" s="25">
        <v>573.3</v>
      </c>
      <c r="D2493" s="25">
        <v>564.06</v>
      </c>
      <c r="E2493" s="25">
        <v>571.21</v>
      </c>
      <c r="F2493" s="25">
        <v>1449243.0</v>
      </c>
    </row>
    <row r="2494">
      <c r="A2494" s="25">
        <v>42047.64583333333</v>
      </c>
      <c r="B2494" s="25">
        <v>570.75</v>
      </c>
      <c r="C2494" s="25">
        <v>580.49</v>
      </c>
      <c r="D2494" s="25">
        <v>568.25</v>
      </c>
      <c r="E2494" s="25">
        <v>577.8</v>
      </c>
      <c r="F2494" s="25">
        <v>1571884.0</v>
      </c>
    </row>
    <row r="2495">
      <c r="A2495" s="25">
        <v>42048.64583333333</v>
      </c>
      <c r="B2495" s="25">
        <v>574.9</v>
      </c>
      <c r="C2495" s="25">
        <v>581.67</v>
      </c>
      <c r="D2495" s="25">
        <v>571.5</v>
      </c>
      <c r="E2495" s="25">
        <v>574.03</v>
      </c>
      <c r="F2495" s="25">
        <v>1414379.0</v>
      </c>
    </row>
    <row r="2496">
      <c r="A2496" s="25">
        <v>42051.64583333333</v>
      </c>
      <c r="B2496" s="25">
        <v>570.08</v>
      </c>
      <c r="C2496" s="25">
        <v>576.73</v>
      </c>
      <c r="D2496" s="25">
        <v>566.31</v>
      </c>
      <c r="E2496" s="25">
        <v>569.69</v>
      </c>
      <c r="F2496" s="25">
        <v>1561069.0</v>
      </c>
    </row>
    <row r="2497">
      <c r="A2497" s="25">
        <v>42053.64583333333</v>
      </c>
      <c r="B2497" s="25">
        <v>572.64</v>
      </c>
      <c r="C2497" s="25">
        <v>576.24</v>
      </c>
      <c r="D2497" s="25">
        <v>564.54</v>
      </c>
      <c r="E2497" s="25">
        <v>574.13</v>
      </c>
      <c r="F2497" s="25">
        <v>2153441.0</v>
      </c>
    </row>
    <row r="2498">
      <c r="A2498" s="25">
        <v>42054.64583333333</v>
      </c>
      <c r="B2498" s="25">
        <v>573.5</v>
      </c>
      <c r="C2498" s="25">
        <v>583.5</v>
      </c>
      <c r="D2498" s="25">
        <v>573.01</v>
      </c>
      <c r="E2498" s="25">
        <v>581.17</v>
      </c>
      <c r="F2498" s="25">
        <v>2418406.0</v>
      </c>
    </row>
    <row r="2499">
      <c r="A2499" s="25">
        <v>42055.64583333333</v>
      </c>
      <c r="B2499" s="25">
        <v>582.13</v>
      </c>
      <c r="C2499" s="25">
        <v>584.0</v>
      </c>
      <c r="D2499" s="25">
        <v>569.23</v>
      </c>
      <c r="E2499" s="25">
        <v>570.78</v>
      </c>
      <c r="F2499" s="25">
        <v>1742907.0</v>
      </c>
    </row>
    <row r="2500">
      <c r="A2500" s="25">
        <v>42058.64583333333</v>
      </c>
      <c r="B2500" s="25">
        <v>575.0</v>
      </c>
      <c r="C2500" s="25">
        <v>577.3</v>
      </c>
      <c r="D2500" s="25">
        <v>562.03</v>
      </c>
      <c r="E2500" s="25">
        <v>566.4</v>
      </c>
      <c r="F2500" s="25">
        <v>1272622.0</v>
      </c>
    </row>
    <row r="2501">
      <c r="A2501" s="25">
        <v>42059.64583333333</v>
      </c>
      <c r="B2501" s="25">
        <v>569.75</v>
      </c>
      <c r="C2501" s="25">
        <v>573.99</v>
      </c>
      <c r="D2501" s="25">
        <v>564.4</v>
      </c>
      <c r="E2501" s="25">
        <v>568.2</v>
      </c>
      <c r="F2501" s="25">
        <v>1609419.0</v>
      </c>
    </row>
    <row r="2502">
      <c r="A2502" s="25">
        <v>42060.64583333333</v>
      </c>
      <c r="B2502" s="25">
        <v>572.23</v>
      </c>
      <c r="C2502" s="25">
        <v>583.7</v>
      </c>
      <c r="D2502" s="25">
        <v>570.0</v>
      </c>
      <c r="E2502" s="25">
        <v>579.4</v>
      </c>
      <c r="F2502" s="25">
        <v>1511243.0</v>
      </c>
    </row>
    <row r="2503">
      <c r="A2503" s="25">
        <v>42061.64583333333</v>
      </c>
      <c r="B2503" s="25">
        <v>576.88</v>
      </c>
      <c r="C2503" s="25">
        <v>577.25</v>
      </c>
      <c r="D2503" s="25">
        <v>561.35</v>
      </c>
      <c r="E2503" s="25">
        <v>564.53</v>
      </c>
      <c r="F2503" s="25">
        <v>1611444.0</v>
      </c>
    </row>
    <row r="2504">
      <c r="A2504" s="25">
        <v>42062.64583333333</v>
      </c>
      <c r="B2504" s="25">
        <v>568.73</v>
      </c>
      <c r="C2504" s="25">
        <v>570.16</v>
      </c>
      <c r="D2504" s="25">
        <v>562.88</v>
      </c>
      <c r="E2504" s="25">
        <v>566.44</v>
      </c>
      <c r="F2504" s="25">
        <v>1950269.0</v>
      </c>
    </row>
    <row r="2505">
      <c r="A2505" s="25">
        <v>42065.64583333333</v>
      </c>
      <c r="B2505" s="25">
        <v>575.75</v>
      </c>
      <c r="C2505" s="25">
        <v>577.13</v>
      </c>
      <c r="D2505" s="25">
        <v>569.51</v>
      </c>
      <c r="E2505" s="25">
        <v>572.92</v>
      </c>
      <c r="F2505" s="25">
        <v>1760248.0</v>
      </c>
    </row>
    <row r="2506">
      <c r="A2506" s="25">
        <v>42066.64583333333</v>
      </c>
      <c r="B2506" s="25">
        <v>572.5</v>
      </c>
      <c r="C2506" s="25">
        <v>575.74</v>
      </c>
      <c r="D2506" s="25">
        <v>569.58</v>
      </c>
      <c r="E2506" s="25">
        <v>574.46</v>
      </c>
      <c r="F2506" s="25">
        <v>1226388.0</v>
      </c>
    </row>
    <row r="2507">
      <c r="A2507" s="25">
        <v>42067.64583333333</v>
      </c>
      <c r="B2507" s="25">
        <v>575.0</v>
      </c>
      <c r="C2507" s="25">
        <v>578.48</v>
      </c>
      <c r="D2507" s="25">
        <v>562.98</v>
      </c>
      <c r="E2507" s="25">
        <v>568.66</v>
      </c>
      <c r="F2507" s="25">
        <v>1093807.0</v>
      </c>
    </row>
    <row r="2508">
      <c r="A2508" s="25">
        <v>42068.64583333333</v>
      </c>
      <c r="B2508" s="25">
        <v>566.76</v>
      </c>
      <c r="C2508" s="25">
        <v>574.69</v>
      </c>
      <c r="D2508" s="25">
        <v>558.34</v>
      </c>
      <c r="E2508" s="25">
        <v>561.9</v>
      </c>
      <c r="F2508" s="25">
        <v>1421229.0</v>
      </c>
    </row>
    <row r="2509">
      <c r="A2509" s="25">
        <v>42072.64583333333</v>
      </c>
      <c r="B2509" s="25">
        <v>564.75</v>
      </c>
      <c r="C2509" s="25">
        <v>564.75</v>
      </c>
      <c r="D2509" s="25">
        <v>544.75</v>
      </c>
      <c r="E2509" s="25">
        <v>547.51</v>
      </c>
      <c r="F2509" s="25">
        <v>1996180.0</v>
      </c>
    </row>
    <row r="2510">
      <c r="A2510" s="25">
        <v>42073.64583333333</v>
      </c>
      <c r="B2510" s="25">
        <v>549.53</v>
      </c>
      <c r="C2510" s="25">
        <v>551.74</v>
      </c>
      <c r="D2510" s="25">
        <v>540.05</v>
      </c>
      <c r="E2510" s="25">
        <v>549.5</v>
      </c>
      <c r="F2510" s="25">
        <v>1582479.0</v>
      </c>
    </row>
    <row r="2511">
      <c r="A2511" s="25">
        <v>42074.64583333333</v>
      </c>
      <c r="B2511" s="25">
        <v>548.53</v>
      </c>
      <c r="C2511" s="25">
        <v>560.0</v>
      </c>
      <c r="D2511" s="25">
        <v>542.28</v>
      </c>
      <c r="E2511" s="25">
        <v>545.55</v>
      </c>
      <c r="F2511" s="25">
        <v>1695228.0</v>
      </c>
    </row>
    <row r="2512">
      <c r="A2512" s="25">
        <v>42075.64583333333</v>
      </c>
      <c r="B2512" s="25">
        <v>544.75</v>
      </c>
      <c r="C2512" s="25">
        <v>556.61</v>
      </c>
      <c r="D2512" s="25">
        <v>544.25</v>
      </c>
      <c r="E2512" s="25">
        <v>554.58</v>
      </c>
      <c r="F2512" s="25">
        <v>1422141.0</v>
      </c>
    </row>
    <row r="2513">
      <c r="A2513" s="25">
        <v>42076.64583333333</v>
      </c>
      <c r="B2513" s="25">
        <v>556.25</v>
      </c>
      <c r="C2513" s="25">
        <v>557.5</v>
      </c>
      <c r="D2513" s="25">
        <v>548.1</v>
      </c>
      <c r="E2513" s="25">
        <v>555.1</v>
      </c>
      <c r="F2513" s="25">
        <v>1544921.0</v>
      </c>
    </row>
    <row r="2514">
      <c r="A2514" s="25">
        <v>42079.64583333333</v>
      </c>
      <c r="B2514" s="25">
        <v>552.64</v>
      </c>
      <c r="C2514" s="25">
        <v>570.5</v>
      </c>
      <c r="D2514" s="25">
        <v>552.64</v>
      </c>
      <c r="E2514" s="25">
        <v>566.66</v>
      </c>
      <c r="F2514" s="25">
        <v>1704658.0</v>
      </c>
    </row>
    <row r="2515">
      <c r="A2515" s="25">
        <v>42080.64583333333</v>
      </c>
      <c r="B2515" s="25">
        <v>566.66</v>
      </c>
      <c r="C2515" s="25">
        <v>569.88</v>
      </c>
      <c r="D2515" s="25">
        <v>554.31</v>
      </c>
      <c r="E2515" s="25">
        <v>560.13</v>
      </c>
      <c r="F2515" s="25">
        <v>1384828.0</v>
      </c>
    </row>
    <row r="2516">
      <c r="A2516" s="25">
        <v>42081.64583333333</v>
      </c>
      <c r="B2516" s="25">
        <v>563.63</v>
      </c>
      <c r="C2516" s="25">
        <v>565.71</v>
      </c>
      <c r="D2516" s="25">
        <v>555.64</v>
      </c>
      <c r="E2516" s="25">
        <v>557.38</v>
      </c>
      <c r="F2516" s="25">
        <v>1226391.0</v>
      </c>
    </row>
    <row r="2517">
      <c r="A2517" s="25">
        <v>42082.64583333333</v>
      </c>
      <c r="B2517" s="25">
        <v>558.65</v>
      </c>
      <c r="C2517" s="25">
        <v>562.25</v>
      </c>
      <c r="D2517" s="25">
        <v>555.69</v>
      </c>
      <c r="E2517" s="25">
        <v>557.61</v>
      </c>
      <c r="F2517" s="25">
        <v>1722935.0</v>
      </c>
    </row>
    <row r="2518">
      <c r="A2518" s="25">
        <v>42083.64583333333</v>
      </c>
      <c r="B2518" s="25">
        <v>560.25</v>
      </c>
      <c r="C2518" s="25">
        <v>567.23</v>
      </c>
      <c r="D2518" s="25">
        <v>558.24</v>
      </c>
      <c r="E2518" s="25">
        <v>564.36</v>
      </c>
      <c r="F2518" s="25">
        <v>1607724.0</v>
      </c>
    </row>
    <row r="2519">
      <c r="A2519" s="25">
        <v>42086.64583333333</v>
      </c>
      <c r="B2519" s="25">
        <v>563.25</v>
      </c>
      <c r="C2519" s="25">
        <v>568.75</v>
      </c>
      <c r="D2519" s="25">
        <v>556.38</v>
      </c>
      <c r="E2519" s="25">
        <v>558.36</v>
      </c>
      <c r="F2519" s="25">
        <v>1269675.0</v>
      </c>
    </row>
    <row r="2520">
      <c r="A2520" s="25">
        <v>42087.64583333333</v>
      </c>
      <c r="B2520" s="25">
        <v>558.73</v>
      </c>
      <c r="C2520" s="25">
        <v>563.35</v>
      </c>
      <c r="D2520" s="25">
        <v>551.5</v>
      </c>
      <c r="E2520" s="25">
        <v>552.86</v>
      </c>
      <c r="F2520" s="25">
        <v>1684133.0</v>
      </c>
    </row>
    <row r="2521">
      <c r="A2521" s="25">
        <v>42088.64583333333</v>
      </c>
      <c r="B2521" s="25">
        <v>555.73</v>
      </c>
      <c r="C2521" s="25">
        <v>557.29</v>
      </c>
      <c r="D2521" s="25">
        <v>550.19</v>
      </c>
      <c r="E2521" s="25">
        <v>554.78</v>
      </c>
      <c r="F2521" s="25">
        <v>1542742.0</v>
      </c>
    </row>
    <row r="2522">
      <c r="A2522" s="25">
        <v>42089.64583333333</v>
      </c>
      <c r="B2522" s="25">
        <v>552.0</v>
      </c>
      <c r="C2522" s="25">
        <v>553.73</v>
      </c>
      <c r="D2522" s="25">
        <v>533.0</v>
      </c>
      <c r="E2522" s="25">
        <v>536.59</v>
      </c>
      <c r="F2522" s="25">
        <v>3935210.0</v>
      </c>
    </row>
    <row r="2523">
      <c r="A2523" s="25">
        <v>42090.64583333333</v>
      </c>
      <c r="B2523" s="25">
        <v>541.0</v>
      </c>
      <c r="C2523" s="25">
        <v>556.17</v>
      </c>
      <c r="D2523" s="25">
        <v>540.75</v>
      </c>
      <c r="E2523" s="25">
        <v>550.54</v>
      </c>
      <c r="F2523" s="25">
        <v>2518555.0</v>
      </c>
    </row>
    <row r="2524">
      <c r="A2524" s="25">
        <v>42093.64583333333</v>
      </c>
      <c r="B2524" s="25">
        <v>551.4</v>
      </c>
      <c r="C2524" s="25">
        <v>560.0</v>
      </c>
      <c r="D2524" s="25">
        <v>548.73</v>
      </c>
      <c r="E2524" s="25">
        <v>557.0</v>
      </c>
      <c r="F2524" s="25">
        <v>1155772.0</v>
      </c>
    </row>
    <row r="2525">
      <c r="A2525" s="25">
        <v>42094.64583333333</v>
      </c>
      <c r="B2525" s="25">
        <v>561.25</v>
      </c>
      <c r="C2525" s="25">
        <v>568.41</v>
      </c>
      <c r="D2525" s="25">
        <v>551.09</v>
      </c>
      <c r="E2525" s="25">
        <v>554.59</v>
      </c>
      <c r="F2525" s="25">
        <v>2004103.0</v>
      </c>
    </row>
    <row r="2526">
      <c r="A2526" s="25">
        <v>42095.64583333333</v>
      </c>
      <c r="B2526" s="25">
        <v>549.73</v>
      </c>
      <c r="C2526" s="25">
        <v>549.88</v>
      </c>
      <c r="D2526" s="25">
        <v>539.42</v>
      </c>
      <c r="E2526" s="25">
        <v>543.49</v>
      </c>
      <c r="F2526" s="25">
        <v>1684622.0</v>
      </c>
    </row>
    <row r="2527">
      <c r="A2527" s="25">
        <v>42100.64583333333</v>
      </c>
      <c r="B2527" s="25">
        <v>544.75</v>
      </c>
      <c r="C2527" s="25">
        <v>546.17</v>
      </c>
      <c r="D2527" s="25">
        <v>540.1</v>
      </c>
      <c r="E2527" s="25">
        <v>544.55</v>
      </c>
      <c r="F2527" s="25">
        <v>1935438.0</v>
      </c>
    </row>
    <row r="2528">
      <c r="A2528" s="25">
        <v>42101.64583333333</v>
      </c>
      <c r="B2528" s="25">
        <v>543.75</v>
      </c>
      <c r="C2528" s="25">
        <v>545.7</v>
      </c>
      <c r="D2528" s="25">
        <v>534.5</v>
      </c>
      <c r="E2528" s="25">
        <v>539.88</v>
      </c>
      <c r="F2528" s="25">
        <v>2135567.0</v>
      </c>
    </row>
    <row r="2529">
      <c r="A2529" s="25">
        <v>42102.64583333333</v>
      </c>
      <c r="B2529" s="25">
        <v>545.63</v>
      </c>
      <c r="C2529" s="25">
        <v>551.23</v>
      </c>
      <c r="D2529" s="25">
        <v>543.26</v>
      </c>
      <c r="E2529" s="25">
        <v>550.14</v>
      </c>
      <c r="F2529" s="25">
        <v>2546394.0</v>
      </c>
    </row>
    <row r="2530">
      <c r="A2530" s="25">
        <v>42103.64583333333</v>
      </c>
      <c r="B2530" s="25">
        <v>552.85</v>
      </c>
      <c r="C2530" s="25">
        <v>554.73</v>
      </c>
      <c r="D2530" s="25">
        <v>546.1</v>
      </c>
      <c r="E2530" s="25">
        <v>553.75</v>
      </c>
      <c r="F2530" s="25">
        <v>2645387.0</v>
      </c>
    </row>
    <row r="2531">
      <c r="A2531" s="25">
        <v>42104.64583333333</v>
      </c>
      <c r="B2531" s="25">
        <v>552.55</v>
      </c>
      <c r="C2531" s="25">
        <v>559.5</v>
      </c>
      <c r="D2531" s="25">
        <v>552.55</v>
      </c>
      <c r="E2531" s="25">
        <v>558.49</v>
      </c>
      <c r="F2531" s="25">
        <v>1780944.0</v>
      </c>
    </row>
    <row r="2532">
      <c r="A2532" s="25">
        <v>42107.64583333333</v>
      </c>
      <c r="B2532" s="25">
        <v>559.5</v>
      </c>
      <c r="C2532" s="25">
        <v>561.0</v>
      </c>
      <c r="D2532" s="25">
        <v>554.03</v>
      </c>
      <c r="E2532" s="25">
        <v>559.7</v>
      </c>
      <c r="F2532" s="25">
        <v>1218084.0</v>
      </c>
    </row>
    <row r="2533">
      <c r="A2533" s="25">
        <v>42109.64583333333</v>
      </c>
      <c r="B2533" s="25">
        <v>559.13</v>
      </c>
      <c r="C2533" s="25">
        <v>561.25</v>
      </c>
      <c r="D2533" s="25">
        <v>548.76</v>
      </c>
      <c r="E2533" s="25">
        <v>553.42</v>
      </c>
      <c r="F2533" s="25">
        <v>1559446.0</v>
      </c>
    </row>
    <row r="2534">
      <c r="A2534" s="25">
        <v>42110.64583333333</v>
      </c>
      <c r="B2534" s="25">
        <v>555.5</v>
      </c>
      <c r="C2534" s="25">
        <v>557.75</v>
      </c>
      <c r="D2534" s="25">
        <v>540.13</v>
      </c>
      <c r="E2534" s="25">
        <v>548.66</v>
      </c>
      <c r="F2534" s="25">
        <v>2251953.0</v>
      </c>
    </row>
    <row r="2535">
      <c r="A2535" s="25">
        <v>42111.64583333333</v>
      </c>
      <c r="B2535" s="25">
        <v>545.01</v>
      </c>
      <c r="C2535" s="25">
        <v>548.74</v>
      </c>
      <c r="D2535" s="25">
        <v>538.36</v>
      </c>
      <c r="E2535" s="25">
        <v>544.81</v>
      </c>
      <c r="F2535" s="25">
        <v>1612579.0</v>
      </c>
    </row>
    <row r="2536">
      <c r="A2536" s="25">
        <v>42114.64583333333</v>
      </c>
      <c r="B2536" s="25">
        <v>544.0</v>
      </c>
      <c r="C2536" s="25">
        <v>545.0</v>
      </c>
      <c r="D2536" s="25">
        <v>528.79</v>
      </c>
      <c r="E2536" s="25">
        <v>533.04</v>
      </c>
      <c r="F2536" s="25">
        <v>3206346.0</v>
      </c>
    </row>
    <row r="2537">
      <c r="A2537" s="25">
        <v>42115.64583333333</v>
      </c>
      <c r="B2537" s="25">
        <v>537.0</v>
      </c>
      <c r="C2537" s="25">
        <v>538.78</v>
      </c>
      <c r="D2537" s="25">
        <v>530.03</v>
      </c>
      <c r="E2537" s="25">
        <v>535.65</v>
      </c>
      <c r="F2537" s="25">
        <v>2220412.0</v>
      </c>
    </row>
    <row r="2538">
      <c r="A2538" s="25">
        <v>42116.64583333333</v>
      </c>
      <c r="B2538" s="25">
        <v>537.76</v>
      </c>
      <c r="C2538" s="25">
        <v>538.75</v>
      </c>
      <c r="D2538" s="25">
        <v>524.49</v>
      </c>
      <c r="E2538" s="25">
        <v>534.42</v>
      </c>
      <c r="F2538" s="25">
        <v>3087746.0</v>
      </c>
    </row>
    <row r="2539">
      <c r="A2539" s="25">
        <v>42117.64583333333</v>
      </c>
      <c r="B2539" s="25">
        <v>537.17</v>
      </c>
      <c r="C2539" s="25">
        <v>537.5</v>
      </c>
      <c r="D2539" s="25">
        <v>528.0</v>
      </c>
      <c r="E2539" s="25">
        <v>530.5</v>
      </c>
      <c r="F2539" s="25">
        <v>2972950.0</v>
      </c>
    </row>
    <row r="2540">
      <c r="A2540" s="25">
        <v>42118.64583333333</v>
      </c>
      <c r="B2540" s="25">
        <v>533.98</v>
      </c>
      <c r="C2540" s="25">
        <v>537.55</v>
      </c>
      <c r="D2540" s="25">
        <v>495.0</v>
      </c>
      <c r="E2540" s="25">
        <v>498.8</v>
      </c>
      <c r="F2540" s="25">
        <v>1.0891363E7</v>
      </c>
    </row>
    <row r="2541">
      <c r="A2541" s="25">
        <v>42121.64583333333</v>
      </c>
      <c r="B2541" s="25">
        <v>500.0</v>
      </c>
      <c r="C2541" s="25">
        <v>500.5</v>
      </c>
      <c r="D2541" s="25">
        <v>487.03</v>
      </c>
      <c r="E2541" s="25">
        <v>496.16</v>
      </c>
      <c r="F2541" s="25">
        <v>4955660.0</v>
      </c>
    </row>
    <row r="2542">
      <c r="A2542" s="25">
        <v>42122.64583333333</v>
      </c>
      <c r="B2542" s="25">
        <v>495.5</v>
      </c>
      <c r="C2542" s="25">
        <v>495.5</v>
      </c>
      <c r="D2542" s="25">
        <v>488.0</v>
      </c>
      <c r="E2542" s="25">
        <v>490.23</v>
      </c>
      <c r="F2542" s="25">
        <v>2598375.0</v>
      </c>
    </row>
    <row r="2543">
      <c r="A2543" s="25">
        <v>42123.64583333333</v>
      </c>
      <c r="B2543" s="25">
        <v>490.23</v>
      </c>
      <c r="C2543" s="25">
        <v>493.0</v>
      </c>
      <c r="D2543" s="25">
        <v>484.49</v>
      </c>
      <c r="E2543" s="25">
        <v>490.29</v>
      </c>
      <c r="F2543" s="25">
        <v>2072264.0</v>
      </c>
    </row>
    <row r="2544">
      <c r="A2544" s="25">
        <v>42124.64583333333</v>
      </c>
      <c r="B2544" s="25">
        <v>490.0</v>
      </c>
      <c r="C2544" s="25">
        <v>491.25</v>
      </c>
      <c r="D2544" s="25">
        <v>483.08</v>
      </c>
      <c r="E2544" s="25">
        <v>485.56</v>
      </c>
      <c r="F2544" s="25">
        <v>3283565.0</v>
      </c>
    </row>
    <row r="2545">
      <c r="A2545" s="25">
        <v>42128.64583333333</v>
      </c>
      <c r="B2545" s="25">
        <v>489.88</v>
      </c>
      <c r="C2545" s="25">
        <v>500.0</v>
      </c>
      <c r="D2545" s="25">
        <v>487.48</v>
      </c>
      <c r="E2545" s="25">
        <v>498.28</v>
      </c>
      <c r="F2545" s="25">
        <v>3340398.0</v>
      </c>
    </row>
    <row r="2546">
      <c r="A2546" s="25">
        <v>42129.64583333333</v>
      </c>
      <c r="B2546" s="25">
        <v>500.0</v>
      </c>
      <c r="C2546" s="25">
        <v>500.93</v>
      </c>
      <c r="D2546" s="25">
        <v>488.01</v>
      </c>
      <c r="E2546" s="25">
        <v>490.69</v>
      </c>
      <c r="F2546" s="25">
        <v>2352129.0</v>
      </c>
    </row>
    <row r="2547">
      <c r="A2547" s="25">
        <v>42130.64583333333</v>
      </c>
      <c r="B2547" s="25">
        <v>493.75</v>
      </c>
      <c r="C2547" s="25">
        <v>493.75</v>
      </c>
      <c r="D2547" s="25">
        <v>478.83</v>
      </c>
      <c r="E2547" s="25">
        <v>480.51</v>
      </c>
      <c r="F2547" s="25">
        <v>2627102.0</v>
      </c>
    </row>
    <row r="2548">
      <c r="A2548" s="25">
        <v>42131.64583333333</v>
      </c>
      <c r="B2548" s="25">
        <v>480.5</v>
      </c>
      <c r="C2548" s="25">
        <v>491.78</v>
      </c>
      <c r="D2548" s="25">
        <v>477.5</v>
      </c>
      <c r="E2548" s="25">
        <v>486.0</v>
      </c>
      <c r="F2548" s="25">
        <v>1694996.0</v>
      </c>
    </row>
    <row r="2549">
      <c r="A2549" s="25">
        <v>42132.64583333333</v>
      </c>
      <c r="B2549" s="25">
        <v>489.5</v>
      </c>
      <c r="C2549" s="25">
        <v>491.89</v>
      </c>
      <c r="D2549" s="25">
        <v>486.31</v>
      </c>
      <c r="E2549" s="25">
        <v>489.49</v>
      </c>
      <c r="F2549" s="25">
        <v>1444419.0</v>
      </c>
    </row>
    <row r="2550">
      <c r="A2550" s="25">
        <v>42135.64583333333</v>
      </c>
      <c r="B2550" s="25">
        <v>491.25</v>
      </c>
      <c r="C2550" s="25">
        <v>500.0</v>
      </c>
      <c r="D2550" s="25">
        <v>488.05</v>
      </c>
      <c r="E2550" s="25">
        <v>498.41</v>
      </c>
      <c r="F2550" s="25">
        <v>1196378.0</v>
      </c>
    </row>
    <row r="2551">
      <c r="A2551" s="25">
        <v>42136.64583333333</v>
      </c>
      <c r="B2551" s="25">
        <v>498.41</v>
      </c>
      <c r="C2551" s="25">
        <v>498.65</v>
      </c>
      <c r="D2551" s="25">
        <v>485.5</v>
      </c>
      <c r="E2551" s="25">
        <v>486.78</v>
      </c>
      <c r="F2551" s="25">
        <v>2071223.0</v>
      </c>
    </row>
    <row r="2552">
      <c r="A2552" s="25">
        <v>42137.64583333333</v>
      </c>
      <c r="B2552" s="25">
        <v>487.94</v>
      </c>
      <c r="C2552" s="25">
        <v>491.23</v>
      </c>
      <c r="D2552" s="25">
        <v>482.13</v>
      </c>
      <c r="E2552" s="25">
        <v>489.18</v>
      </c>
      <c r="F2552" s="25">
        <v>1774771.0</v>
      </c>
    </row>
    <row r="2553">
      <c r="A2553" s="25">
        <v>42138.64583333333</v>
      </c>
      <c r="B2553" s="25">
        <v>490.0</v>
      </c>
      <c r="C2553" s="25">
        <v>490.2</v>
      </c>
      <c r="D2553" s="25">
        <v>477.0</v>
      </c>
      <c r="E2553" s="25">
        <v>483.7</v>
      </c>
      <c r="F2553" s="25">
        <v>1558461.0</v>
      </c>
    </row>
    <row r="2554">
      <c r="A2554" s="25">
        <v>42139.64583333333</v>
      </c>
      <c r="B2554" s="25">
        <v>483.75</v>
      </c>
      <c r="C2554" s="25">
        <v>491.65</v>
      </c>
      <c r="D2554" s="25">
        <v>483.08</v>
      </c>
      <c r="E2554" s="25">
        <v>490.44</v>
      </c>
      <c r="F2554" s="25">
        <v>1297336.0</v>
      </c>
    </row>
    <row r="2555">
      <c r="A2555" s="25">
        <v>42142.64583333333</v>
      </c>
      <c r="B2555" s="25">
        <v>492.5</v>
      </c>
      <c r="C2555" s="25">
        <v>499.73</v>
      </c>
      <c r="D2555" s="25">
        <v>490.4</v>
      </c>
      <c r="E2555" s="25">
        <v>498.26</v>
      </c>
      <c r="F2555" s="25">
        <v>1617494.0</v>
      </c>
    </row>
    <row r="2556">
      <c r="A2556" s="25">
        <v>42143.64583333333</v>
      </c>
      <c r="B2556" s="25">
        <v>496.83</v>
      </c>
      <c r="C2556" s="25">
        <v>508.93</v>
      </c>
      <c r="D2556" s="25">
        <v>496.5</v>
      </c>
      <c r="E2556" s="25">
        <v>505.59</v>
      </c>
      <c r="F2556" s="25">
        <v>2568019.0</v>
      </c>
    </row>
    <row r="2557">
      <c r="A2557" s="25">
        <v>42144.64583333333</v>
      </c>
      <c r="B2557" s="25">
        <v>510.0</v>
      </c>
      <c r="C2557" s="25">
        <v>513.0</v>
      </c>
      <c r="D2557" s="25">
        <v>508.4</v>
      </c>
      <c r="E2557" s="25">
        <v>511.83</v>
      </c>
      <c r="F2557" s="25">
        <v>1470547.0</v>
      </c>
    </row>
    <row r="2558">
      <c r="A2558" s="25">
        <v>42145.64583333333</v>
      </c>
      <c r="B2558" s="25">
        <v>512.23</v>
      </c>
      <c r="C2558" s="25">
        <v>515.48</v>
      </c>
      <c r="D2558" s="25">
        <v>509.31</v>
      </c>
      <c r="E2558" s="25">
        <v>512.11</v>
      </c>
      <c r="F2558" s="25">
        <v>2514828.0</v>
      </c>
    </row>
    <row r="2559">
      <c r="A2559" s="25">
        <v>42146.64583333333</v>
      </c>
      <c r="B2559" s="25">
        <v>511.0</v>
      </c>
      <c r="C2559" s="25">
        <v>512.89</v>
      </c>
      <c r="D2559" s="25">
        <v>507.53</v>
      </c>
      <c r="E2559" s="25">
        <v>511.61</v>
      </c>
      <c r="F2559" s="25">
        <v>1722206.0</v>
      </c>
    </row>
    <row r="2560">
      <c r="A2560" s="25">
        <v>42149.64583333333</v>
      </c>
      <c r="B2560" s="25">
        <v>512.63</v>
      </c>
      <c r="C2560" s="25">
        <v>514.14</v>
      </c>
      <c r="D2560" s="25">
        <v>501.76</v>
      </c>
      <c r="E2560" s="25">
        <v>504.2</v>
      </c>
      <c r="F2560" s="25">
        <v>1168952.0</v>
      </c>
    </row>
    <row r="2561">
      <c r="A2561" s="25">
        <v>42150.64583333333</v>
      </c>
      <c r="B2561" s="25">
        <v>505.0</v>
      </c>
      <c r="C2561" s="25">
        <v>507.86</v>
      </c>
      <c r="D2561" s="25">
        <v>500.54</v>
      </c>
      <c r="E2561" s="25">
        <v>501.83</v>
      </c>
      <c r="F2561" s="25">
        <v>991260.0</v>
      </c>
    </row>
    <row r="2562">
      <c r="A2562" s="25">
        <v>42151.64583333333</v>
      </c>
      <c r="B2562" s="25">
        <v>501.75</v>
      </c>
      <c r="C2562" s="25">
        <v>502.25</v>
      </c>
      <c r="D2562" s="25">
        <v>488.75</v>
      </c>
      <c r="E2562" s="25">
        <v>492.13</v>
      </c>
      <c r="F2562" s="25">
        <v>2113677.0</v>
      </c>
    </row>
    <row r="2563">
      <c r="A2563" s="25">
        <v>42152.64583333333</v>
      </c>
      <c r="B2563" s="25">
        <v>493.8</v>
      </c>
      <c r="C2563" s="25">
        <v>508.0</v>
      </c>
      <c r="D2563" s="25">
        <v>493.8</v>
      </c>
      <c r="E2563" s="25">
        <v>504.15</v>
      </c>
      <c r="F2563" s="25">
        <v>2745135.0</v>
      </c>
    </row>
    <row r="2564">
      <c r="A2564" s="25">
        <v>42153.64583333333</v>
      </c>
      <c r="B2564" s="25">
        <v>501.21</v>
      </c>
      <c r="C2564" s="25">
        <v>514.11</v>
      </c>
      <c r="D2564" s="25">
        <v>500.25</v>
      </c>
      <c r="E2564" s="25">
        <v>505.79</v>
      </c>
      <c r="F2564" s="25">
        <v>4748261.0</v>
      </c>
    </row>
    <row r="2565">
      <c r="A2565" s="25">
        <v>42156.64583333333</v>
      </c>
      <c r="B2565" s="25">
        <v>508.2</v>
      </c>
      <c r="C2565" s="25">
        <v>516.0</v>
      </c>
      <c r="D2565" s="25">
        <v>505.81</v>
      </c>
      <c r="E2565" s="25">
        <v>511.95</v>
      </c>
      <c r="F2565" s="25">
        <v>1431223.0</v>
      </c>
    </row>
    <row r="2566">
      <c r="A2566" s="25">
        <v>42157.64583333333</v>
      </c>
      <c r="B2566" s="25">
        <v>512.03</v>
      </c>
      <c r="C2566" s="25">
        <v>513.78</v>
      </c>
      <c r="D2566" s="25">
        <v>501.25</v>
      </c>
      <c r="E2566" s="25">
        <v>502.16</v>
      </c>
      <c r="F2566" s="25">
        <v>1168285.0</v>
      </c>
    </row>
    <row r="2567">
      <c r="A2567" s="25">
        <v>42158.64583333333</v>
      </c>
      <c r="B2567" s="25">
        <v>504.55</v>
      </c>
      <c r="C2567" s="25">
        <v>509.86</v>
      </c>
      <c r="D2567" s="25">
        <v>502.0</v>
      </c>
      <c r="E2567" s="25">
        <v>505.23</v>
      </c>
      <c r="F2567" s="25">
        <v>1373949.0</v>
      </c>
    </row>
    <row r="2568">
      <c r="A2568" s="25">
        <v>42159.64583333333</v>
      </c>
      <c r="B2568" s="25">
        <v>507.5</v>
      </c>
      <c r="C2568" s="25">
        <v>513.75</v>
      </c>
      <c r="D2568" s="25">
        <v>503.15</v>
      </c>
      <c r="E2568" s="25">
        <v>507.01</v>
      </c>
      <c r="F2568" s="25">
        <v>1872366.0</v>
      </c>
    </row>
    <row r="2569">
      <c r="A2569" s="25">
        <v>42160.64583333333</v>
      </c>
      <c r="B2569" s="25">
        <v>507.5</v>
      </c>
      <c r="C2569" s="25">
        <v>511.0</v>
      </c>
      <c r="D2569" s="25">
        <v>502.04</v>
      </c>
      <c r="E2569" s="25">
        <v>502.91</v>
      </c>
      <c r="F2569" s="25">
        <v>1531447.0</v>
      </c>
    </row>
    <row r="2570">
      <c r="A2570" s="25">
        <v>42163.64583333333</v>
      </c>
      <c r="B2570" s="25">
        <v>505.0</v>
      </c>
      <c r="C2570" s="25">
        <v>506.16</v>
      </c>
      <c r="D2570" s="25">
        <v>496.75</v>
      </c>
      <c r="E2570" s="25">
        <v>500.01</v>
      </c>
      <c r="F2570" s="25">
        <v>1535262.0</v>
      </c>
    </row>
    <row r="2571">
      <c r="A2571" s="25">
        <v>42164.64583333333</v>
      </c>
      <c r="B2571" s="25">
        <v>500.94</v>
      </c>
      <c r="C2571" s="25">
        <v>501.91</v>
      </c>
      <c r="D2571" s="25">
        <v>495.75</v>
      </c>
      <c r="E2571" s="25">
        <v>498.03</v>
      </c>
      <c r="F2571" s="25">
        <v>1890435.0</v>
      </c>
    </row>
    <row r="2572">
      <c r="A2572" s="25">
        <v>42165.64583333333</v>
      </c>
      <c r="B2572" s="25">
        <v>497.5</v>
      </c>
      <c r="C2572" s="25">
        <v>509.84</v>
      </c>
      <c r="D2572" s="25">
        <v>496.25</v>
      </c>
      <c r="E2572" s="25">
        <v>506.63</v>
      </c>
      <c r="F2572" s="25">
        <v>1596460.0</v>
      </c>
    </row>
    <row r="2573">
      <c r="A2573" s="25">
        <v>42166.64583333333</v>
      </c>
      <c r="B2573" s="25">
        <v>508.99</v>
      </c>
      <c r="C2573" s="25">
        <v>511.19</v>
      </c>
      <c r="D2573" s="25">
        <v>498.76</v>
      </c>
      <c r="E2573" s="25">
        <v>499.41</v>
      </c>
      <c r="F2573" s="25">
        <v>2307366.0</v>
      </c>
    </row>
    <row r="2574">
      <c r="A2574" s="25">
        <v>42167.64583333333</v>
      </c>
      <c r="B2574" s="25">
        <v>501.25</v>
      </c>
      <c r="C2574" s="25">
        <v>506.39</v>
      </c>
      <c r="D2574" s="25">
        <v>488.88</v>
      </c>
      <c r="E2574" s="25">
        <v>493.76</v>
      </c>
      <c r="F2574" s="25">
        <v>2463231.0</v>
      </c>
    </row>
    <row r="2575">
      <c r="A2575" s="25">
        <v>42170.64583333333</v>
      </c>
      <c r="B2575" s="25">
        <v>488.48</v>
      </c>
      <c r="C2575" s="25">
        <v>499.4</v>
      </c>
      <c r="D2575" s="25">
        <v>484.0</v>
      </c>
      <c r="E2575" s="25">
        <v>495.23</v>
      </c>
      <c r="F2575" s="25">
        <v>2618213.0</v>
      </c>
    </row>
    <row r="2576">
      <c r="A2576" s="25">
        <v>42171.64583333333</v>
      </c>
      <c r="B2576" s="25">
        <v>497.18</v>
      </c>
      <c r="C2576" s="25">
        <v>501.5</v>
      </c>
      <c r="D2576" s="25">
        <v>492.5</v>
      </c>
      <c r="E2576" s="25">
        <v>499.68</v>
      </c>
      <c r="F2576" s="25">
        <v>2611722.0</v>
      </c>
    </row>
    <row r="2577">
      <c r="A2577" s="25">
        <v>42172.64583333333</v>
      </c>
      <c r="B2577" s="25">
        <v>505.5</v>
      </c>
      <c r="C2577" s="25">
        <v>510.5</v>
      </c>
      <c r="D2577" s="25">
        <v>496.1</v>
      </c>
      <c r="E2577" s="25">
        <v>497.85</v>
      </c>
      <c r="F2577" s="25">
        <v>3206034.0</v>
      </c>
    </row>
    <row r="2578">
      <c r="A2578" s="25">
        <v>42173.64583333333</v>
      </c>
      <c r="B2578" s="25">
        <v>502.8</v>
      </c>
      <c r="C2578" s="25">
        <v>503.98</v>
      </c>
      <c r="D2578" s="25">
        <v>497.9</v>
      </c>
      <c r="E2578" s="25">
        <v>500.98</v>
      </c>
      <c r="F2578" s="25">
        <v>1737213.0</v>
      </c>
    </row>
    <row r="2579">
      <c r="A2579" s="25">
        <v>42174.64583333333</v>
      </c>
      <c r="B2579" s="25">
        <v>505.15</v>
      </c>
      <c r="C2579" s="25">
        <v>505.2</v>
      </c>
      <c r="D2579" s="25">
        <v>496.55</v>
      </c>
      <c r="E2579" s="25">
        <v>497.68</v>
      </c>
      <c r="F2579" s="25">
        <v>3335229.0</v>
      </c>
    </row>
    <row r="2580">
      <c r="A2580" s="25">
        <v>42177.64583333333</v>
      </c>
      <c r="B2580" s="25">
        <v>502.45</v>
      </c>
      <c r="C2580" s="25">
        <v>514.38</v>
      </c>
      <c r="D2580" s="25">
        <v>498.5</v>
      </c>
      <c r="E2580" s="25">
        <v>511.93</v>
      </c>
      <c r="F2580" s="25">
        <v>2855434.0</v>
      </c>
    </row>
    <row r="2581">
      <c r="A2581" s="25">
        <v>42178.64583333333</v>
      </c>
      <c r="B2581" s="25">
        <v>512.5</v>
      </c>
      <c r="C2581" s="25">
        <v>513.7</v>
      </c>
      <c r="D2581" s="25">
        <v>499.08</v>
      </c>
      <c r="E2581" s="25">
        <v>500.2</v>
      </c>
      <c r="F2581" s="25">
        <v>3476058.0</v>
      </c>
    </row>
    <row r="2582">
      <c r="A2582" s="25">
        <v>42179.64583333333</v>
      </c>
      <c r="B2582" s="25">
        <v>507.5</v>
      </c>
      <c r="C2582" s="25">
        <v>507.5</v>
      </c>
      <c r="D2582" s="25">
        <v>495.6</v>
      </c>
      <c r="E2582" s="25">
        <v>497.55</v>
      </c>
      <c r="F2582" s="25">
        <v>3536847.0</v>
      </c>
    </row>
    <row r="2583">
      <c r="A2583" s="25">
        <v>42180.64583333333</v>
      </c>
      <c r="B2583" s="25">
        <v>499.6</v>
      </c>
      <c r="C2583" s="25">
        <v>501.75</v>
      </c>
      <c r="D2583" s="25">
        <v>493.83</v>
      </c>
      <c r="E2583" s="25">
        <v>495.23</v>
      </c>
      <c r="F2583" s="25">
        <v>3558733.0</v>
      </c>
    </row>
    <row r="2584">
      <c r="A2584" s="25">
        <v>42181.64583333333</v>
      </c>
      <c r="B2584" s="25">
        <v>499.5</v>
      </c>
      <c r="C2584" s="25">
        <v>505.8</v>
      </c>
      <c r="D2584" s="25">
        <v>499.05</v>
      </c>
      <c r="E2584" s="25">
        <v>502.63</v>
      </c>
      <c r="F2584" s="25">
        <v>2660142.0</v>
      </c>
    </row>
    <row r="2585">
      <c r="A2585" s="25">
        <v>42184.64583333333</v>
      </c>
      <c r="B2585" s="25">
        <v>493.5</v>
      </c>
      <c r="C2585" s="25">
        <v>499.75</v>
      </c>
      <c r="D2585" s="25">
        <v>491.25</v>
      </c>
      <c r="E2585" s="25">
        <v>495.08</v>
      </c>
      <c r="F2585" s="25">
        <v>2845334.0</v>
      </c>
    </row>
    <row r="2586">
      <c r="A2586" s="25">
        <v>42185.64583333333</v>
      </c>
      <c r="B2586" s="25">
        <v>495.0</v>
      </c>
      <c r="C2586" s="25">
        <v>496.73</v>
      </c>
      <c r="D2586" s="25">
        <v>490.0</v>
      </c>
      <c r="E2586" s="25">
        <v>492.18</v>
      </c>
      <c r="F2586" s="25">
        <v>3106265.0</v>
      </c>
    </row>
    <row r="2587">
      <c r="A2587" s="25">
        <v>42186.64583333333</v>
      </c>
      <c r="B2587" s="25">
        <v>494.5</v>
      </c>
      <c r="C2587" s="25">
        <v>502.5</v>
      </c>
      <c r="D2587" s="25">
        <v>493.0</v>
      </c>
      <c r="E2587" s="25">
        <v>498.7</v>
      </c>
      <c r="F2587" s="25">
        <v>3440426.0</v>
      </c>
    </row>
    <row r="2588">
      <c r="A2588" s="25">
        <v>42187.64583333333</v>
      </c>
      <c r="B2588" s="25">
        <v>499.5</v>
      </c>
      <c r="C2588" s="25">
        <v>500.7</v>
      </c>
      <c r="D2588" s="25">
        <v>492.53</v>
      </c>
      <c r="E2588" s="25">
        <v>494.0</v>
      </c>
      <c r="F2588" s="25">
        <v>2003784.0</v>
      </c>
    </row>
    <row r="2589">
      <c r="A2589" s="25">
        <v>42188.64583333333</v>
      </c>
      <c r="B2589" s="25">
        <v>494.0</v>
      </c>
      <c r="C2589" s="25">
        <v>496.5</v>
      </c>
      <c r="D2589" s="25">
        <v>491.0</v>
      </c>
      <c r="E2589" s="25">
        <v>495.15</v>
      </c>
      <c r="F2589" s="25">
        <v>1347653.0</v>
      </c>
    </row>
    <row r="2590">
      <c r="A2590" s="25">
        <v>42191.64583333333</v>
      </c>
      <c r="B2590" s="25">
        <v>492.5</v>
      </c>
      <c r="C2590" s="25">
        <v>494.0</v>
      </c>
      <c r="D2590" s="25">
        <v>487.5</v>
      </c>
      <c r="E2590" s="25">
        <v>491.65</v>
      </c>
      <c r="F2590" s="25">
        <v>2152801.0</v>
      </c>
    </row>
    <row r="2591">
      <c r="A2591" s="25">
        <v>42192.64583333333</v>
      </c>
      <c r="B2591" s="25">
        <v>492.5</v>
      </c>
      <c r="C2591" s="25">
        <v>495.0</v>
      </c>
      <c r="D2591" s="25">
        <v>489.5</v>
      </c>
      <c r="E2591" s="25">
        <v>490.25</v>
      </c>
      <c r="F2591" s="25">
        <v>1748709.0</v>
      </c>
    </row>
    <row r="2592">
      <c r="A2592" s="25">
        <v>42193.64583333333</v>
      </c>
      <c r="B2592" s="25">
        <v>489.5</v>
      </c>
      <c r="C2592" s="25">
        <v>489.5</v>
      </c>
      <c r="D2592" s="25">
        <v>477.4</v>
      </c>
      <c r="E2592" s="25">
        <v>478.75</v>
      </c>
      <c r="F2592" s="25">
        <v>3512089.0</v>
      </c>
    </row>
    <row r="2593">
      <c r="A2593" s="25">
        <v>42194.64583333333</v>
      </c>
      <c r="B2593" s="25">
        <v>478.75</v>
      </c>
      <c r="C2593" s="25">
        <v>483.0</v>
      </c>
      <c r="D2593" s="25">
        <v>467.03</v>
      </c>
      <c r="E2593" s="25">
        <v>469.0</v>
      </c>
      <c r="F2593" s="25">
        <v>4293886.0</v>
      </c>
    </row>
    <row r="2594">
      <c r="A2594" s="25">
        <v>42195.64583333333</v>
      </c>
      <c r="B2594" s="25">
        <v>474.05</v>
      </c>
      <c r="C2594" s="25">
        <v>476.05</v>
      </c>
      <c r="D2594" s="25">
        <v>466.33</v>
      </c>
      <c r="E2594" s="25">
        <v>468.75</v>
      </c>
      <c r="F2594" s="25">
        <v>3705761.0</v>
      </c>
    </row>
    <row r="2595">
      <c r="A2595" s="25">
        <v>42198.64583333333</v>
      </c>
      <c r="B2595" s="25">
        <v>470.5</v>
      </c>
      <c r="C2595" s="25">
        <v>477.5</v>
      </c>
      <c r="D2595" s="25">
        <v>467.03</v>
      </c>
      <c r="E2595" s="25">
        <v>475.08</v>
      </c>
      <c r="F2595" s="25">
        <v>3265884.0</v>
      </c>
    </row>
    <row r="2596">
      <c r="A2596" s="25">
        <v>42199.64583333333</v>
      </c>
      <c r="B2596" s="25">
        <v>477.5</v>
      </c>
      <c r="C2596" s="25">
        <v>486.75</v>
      </c>
      <c r="D2596" s="25">
        <v>472.75</v>
      </c>
      <c r="E2596" s="25">
        <v>485.63</v>
      </c>
      <c r="F2596" s="25">
        <v>2683537.0</v>
      </c>
    </row>
    <row r="2597">
      <c r="A2597" s="25">
        <v>42200.64583333333</v>
      </c>
      <c r="B2597" s="25">
        <v>485.0</v>
      </c>
      <c r="C2597" s="25">
        <v>492.98</v>
      </c>
      <c r="D2597" s="25">
        <v>484.0</v>
      </c>
      <c r="E2597" s="25">
        <v>492.0</v>
      </c>
      <c r="F2597" s="25">
        <v>2064783.0</v>
      </c>
    </row>
    <row r="2598">
      <c r="A2598" s="25">
        <v>42201.64583333333</v>
      </c>
      <c r="B2598" s="25">
        <v>493.85</v>
      </c>
      <c r="C2598" s="25">
        <v>495.75</v>
      </c>
      <c r="D2598" s="25">
        <v>489.75</v>
      </c>
      <c r="E2598" s="25">
        <v>494.53</v>
      </c>
      <c r="F2598" s="25">
        <v>1736469.0</v>
      </c>
    </row>
    <row r="2599">
      <c r="A2599" s="25">
        <v>42202.64583333333</v>
      </c>
      <c r="B2599" s="25">
        <v>495.5</v>
      </c>
      <c r="C2599" s="25">
        <v>502.25</v>
      </c>
      <c r="D2599" s="25">
        <v>494.55</v>
      </c>
      <c r="E2599" s="25">
        <v>500.93</v>
      </c>
      <c r="F2599" s="25">
        <v>1723989.0</v>
      </c>
    </row>
    <row r="2600">
      <c r="A2600" s="25">
        <v>42205.64583333333</v>
      </c>
      <c r="B2600" s="25">
        <v>500.7</v>
      </c>
      <c r="C2600" s="25">
        <v>505.4</v>
      </c>
      <c r="D2600" s="25">
        <v>493.7</v>
      </c>
      <c r="E2600" s="25">
        <v>500.63</v>
      </c>
      <c r="F2600" s="25">
        <v>2188590.0</v>
      </c>
    </row>
    <row r="2601">
      <c r="A2601" s="25">
        <v>42206.64583333333</v>
      </c>
      <c r="B2601" s="25">
        <v>517.5</v>
      </c>
      <c r="C2601" s="25">
        <v>574.5</v>
      </c>
      <c r="D2601" s="25">
        <v>517.5</v>
      </c>
      <c r="E2601" s="25">
        <v>556.33</v>
      </c>
      <c r="F2601" s="25">
        <v>1.9155056E7</v>
      </c>
    </row>
    <row r="2602">
      <c r="A2602" s="25">
        <v>42207.64583333333</v>
      </c>
      <c r="B2602" s="25">
        <v>552.5</v>
      </c>
      <c r="C2602" s="25">
        <v>556.0</v>
      </c>
      <c r="D2602" s="25">
        <v>538.33</v>
      </c>
      <c r="E2602" s="25">
        <v>551.58</v>
      </c>
      <c r="F2602" s="25">
        <v>6332830.0</v>
      </c>
    </row>
    <row r="2603">
      <c r="A2603" s="25">
        <v>42208.64583333333</v>
      </c>
      <c r="B2603" s="25">
        <v>551.98</v>
      </c>
      <c r="C2603" s="25">
        <v>558.5</v>
      </c>
      <c r="D2603" s="25">
        <v>545.0</v>
      </c>
      <c r="E2603" s="25">
        <v>549.0</v>
      </c>
      <c r="F2603" s="25">
        <v>3855374.0</v>
      </c>
    </row>
    <row r="2604">
      <c r="A2604" s="25">
        <v>42209.64583333333</v>
      </c>
      <c r="B2604" s="25">
        <v>547.78</v>
      </c>
      <c r="C2604" s="25">
        <v>553.23</v>
      </c>
      <c r="D2604" s="25">
        <v>541.55</v>
      </c>
      <c r="E2604" s="25">
        <v>543.8</v>
      </c>
      <c r="F2604" s="25">
        <v>2240151.0</v>
      </c>
    </row>
    <row r="2605">
      <c r="A2605" s="25">
        <v>42212.64583333333</v>
      </c>
      <c r="B2605" s="25">
        <v>543.45</v>
      </c>
      <c r="C2605" s="25">
        <v>543.98</v>
      </c>
      <c r="D2605" s="25">
        <v>530.23</v>
      </c>
      <c r="E2605" s="25">
        <v>532.65</v>
      </c>
      <c r="F2605" s="25">
        <v>3376122.0</v>
      </c>
    </row>
    <row r="2606">
      <c r="A2606" s="25">
        <v>42213.64583333333</v>
      </c>
      <c r="B2606" s="25">
        <v>534.25</v>
      </c>
      <c r="C2606" s="25">
        <v>538.0</v>
      </c>
      <c r="D2606" s="25">
        <v>527.13</v>
      </c>
      <c r="E2606" s="25">
        <v>531.42</v>
      </c>
      <c r="F2606" s="25">
        <v>4238301.0</v>
      </c>
    </row>
    <row r="2607">
      <c r="A2607" s="25">
        <v>42214.64583333333</v>
      </c>
      <c r="B2607" s="25">
        <v>537.0</v>
      </c>
      <c r="C2607" s="25">
        <v>546.0</v>
      </c>
      <c r="D2607" s="25">
        <v>532.5</v>
      </c>
      <c r="E2607" s="25">
        <v>542.7</v>
      </c>
      <c r="F2607" s="25">
        <v>3535667.0</v>
      </c>
    </row>
    <row r="2608">
      <c r="A2608" s="25">
        <v>42215.64583333333</v>
      </c>
      <c r="B2608" s="25">
        <v>545.0</v>
      </c>
      <c r="C2608" s="25">
        <v>545.0</v>
      </c>
      <c r="D2608" s="25">
        <v>529.0</v>
      </c>
      <c r="E2608" s="25">
        <v>535.0</v>
      </c>
      <c r="F2608" s="25">
        <v>5978299.0</v>
      </c>
    </row>
    <row r="2609">
      <c r="A2609" s="25">
        <v>42216.64583333333</v>
      </c>
      <c r="B2609" s="25">
        <v>539.28</v>
      </c>
      <c r="C2609" s="25">
        <v>540.67</v>
      </c>
      <c r="D2609" s="25">
        <v>530.0</v>
      </c>
      <c r="E2609" s="25">
        <v>538.53</v>
      </c>
      <c r="F2609" s="25">
        <v>3965506.0</v>
      </c>
    </row>
    <row r="2610">
      <c r="A2610" s="25">
        <v>42219.64583333333</v>
      </c>
      <c r="B2610" s="25">
        <v>539.0</v>
      </c>
      <c r="C2610" s="25">
        <v>546.0</v>
      </c>
      <c r="D2610" s="25">
        <v>534.48</v>
      </c>
      <c r="E2610" s="25">
        <v>539.48</v>
      </c>
      <c r="F2610" s="25">
        <v>3980506.0</v>
      </c>
    </row>
    <row r="2611">
      <c r="A2611" s="25">
        <v>42220.64583333333</v>
      </c>
      <c r="B2611" s="25">
        <v>539.0</v>
      </c>
      <c r="C2611" s="25">
        <v>539.48</v>
      </c>
      <c r="D2611" s="25">
        <v>525.5</v>
      </c>
      <c r="E2611" s="25">
        <v>528.63</v>
      </c>
      <c r="F2611" s="25">
        <v>4549527.0</v>
      </c>
    </row>
    <row r="2612">
      <c r="A2612" s="25">
        <v>42221.64583333333</v>
      </c>
      <c r="B2612" s="25">
        <v>531.0</v>
      </c>
      <c r="C2612" s="25">
        <v>545.0</v>
      </c>
      <c r="D2612" s="25">
        <v>530.98</v>
      </c>
      <c r="E2612" s="25">
        <v>543.17</v>
      </c>
      <c r="F2612" s="25">
        <v>2376738.0</v>
      </c>
    </row>
    <row r="2613">
      <c r="A2613" s="25">
        <v>42222.64583333333</v>
      </c>
      <c r="B2613" s="25">
        <v>547.0</v>
      </c>
      <c r="C2613" s="25">
        <v>552.75</v>
      </c>
      <c r="D2613" s="25">
        <v>538.5</v>
      </c>
      <c r="E2613" s="25">
        <v>543.48</v>
      </c>
      <c r="F2613" s="25">
        <v>3619126.0</v>
      </c>
    </row>
    <row r="2614">
      <c r="A2614" s="25">
        <v>42223.64583333333</v>
      </c>
      <c r="B2614" s="25">
        <v>539.75</v>
      </c>
      <c r="C2614" s="25">
        <v>550.5</v>
      </c>
      <c r="D2614" s="25">
        <v>539.25</v>
      </c>
      <c r="E2614" s="25">
        <v>547.8</v>
      </c>
      <c r="F2614" s="25">
        <v>2494029.0</v>
      </c>
    </row>
    <row r="2615">
      <c r="A2615" s="25">
        <v>42226.64583333333</v>
      </c>
      <c r="B2615" s="25">
        <v>549.0</v>
      </c>
      <c r="C2615" s="25">
        <v>553.17</v>
      </c>
      <c r="D2615" s="25">
        <v>533.5</v>
      </c>
      <c r="E2615" s="25">
        <v>543.0</v>
      </c>
      <c r="F2615" s="25">
        <v>1996377.0</v>
      </c>
    </row>
    <row r="2616">
      <c r="A2616" s="25">
        <v>42227.64583333333</v>
      </c>
      <c r="B2616" s="25">
        <v>549.4</v>
      </c>
      <c r="C2616" s="25">
        <v>558.45</v>
      </c>
      <c r="D2616" s="25">
        <v>547.85</v>
      </c>
      <c r="E2616" s="25">
        <v>554.58</v>
      </c>
      <c r="F2616" s="25">
        <v>3787203.0</v>
      </c>
    </row>
    <row r="2617">
      <c r="A2617" s="25">
        <v>42228.64583333333</v>
      </c>
      <c r="B2617" s="25">
        <v>557.5</v>
      </c>
      <c r="C2617" s="25">
        <v>0.0</v>
      </c>
      <c r="D2617" s="25">
        <v>0.0</v>
      </c>
      <c r="E2617" s="25">
        <v>557.5</v>
      </c>
      <c r="F2617" s="25">
        <v>0.0</v>
      </c>
    </row>
    <row r="2618">
      <c r="A2618" s="25">
        <v>42229.64583333333</v>
      </c>
      <c r="B2618" s="25">
        <v>573.5</v>
      </c>
      <c r="C2618" s="25">
        <v>583.42</v>
      </c>
      <c r="D2618" s="25">
        <v>527.78</v>
      </c>
      <c r="E2618" s="25">
        <v>579.0</v>
      </c>
      <c r="F2618" s="25">
        <v>4893980.0</v>
      </c>
    </row>
    <row r="2619">
      <c r="A2619" s="25">
        <v>42230.64583333333</v>
      </c>
      <c r="B2619" s="25">
        <v>582.5</v>
      </c>
      <c r="C2619" s="25">
        <v>584.35</v>
      </c>
      <c r="D2619" s="25">
        <v>571.55</v>
      </c>
      <c r="E2619" s="25">
        <v>574.63</v>
      </c>
      <c r="F2619" s="25">
        <v>2554533.0</v>
      </c>
    </row>
    <row r="2620">
      <c r="A2620" s="25">
        <v>42233.64583333333</v>
      </c>
      <c r="B2620" s="25">
        <v>575.0</v>
      </c>
      <c r="C2620" s="25">
        <v>576.73</v>
      </c>
      <c r="D2620" s="25">
        <v>561.25</v>
      </c>
      <c r="E2620" s="25">
        <v>571.08</v>
      </c>
      <c r="F2620" s="25">
        <v>1553718.0</v>
      </c>
    </row>
    <row r="2621">
      <c r="A2621" s="25">
        <v>42234.64583333333</v>
      </c>
      <c r="B2621" s="25">
        <v>575.0</v>
      </c>
      <c r="C2621" s="25">
        <v>588.85</v>
      </c>
      <c r="D2621" s="25">
        <v>575.0</v>
      </c>
      <c r="E2621" s="25">
        <v>582.17</v>
      </c>
      <c r="F2621" s="25">
        <v>2075223.0</v>
      </c>
    </row>
    <row r="2622">
      <c r="A2622" s="25">
        <v>42235.64583333333</v>
      </c>
      <c r="B2622" s="25">
        <v>585.0</v>
      </c>
      <c r="C2622" s="25">
        <v>593.1</v>
      </c>
      <c r="D2622" s="25">
        <v>581.4</v>
      </c>
      <c r="E2622" s="25">
        <v>587.78</v>
      </c>
      <c r="F2622" s="25">
        <v>3434759.0</v>
      </c>
    </row>
    <row r="2623">
      <c r="A2623" s="25">
        <v>42236.64583333333</v>
      </c>
      <c r="B2623" s="25">
        <v>579.5</v>
      </c>
      <c r="C2623" s="25">
        <v>584.25</v>
      </c>
      <c r="D2623" s="25">
        <v>564.0</v>
      </c>
      <c r="E2623" s="25">
        <v>567.28</v>
      </c>
      <c r="F2623" s="25">
        <v>4184557.0</v>
      </c>
    </row>
    <row r="2624">
      <c r="A2624" s="25">
        <v>42237.64583333333</v>
      </c>
      <c r="B2624" s="25">
        <v>570.45</v>
      </c>
      <c r="C2624" s="25">
        <v>580.48</v>
      </c>
      <c r="D2624" s="25">
        <v>558.75</v>
      </c>
      <c r="E2624" s="25">
        <v>574.95</v>
      </c>
      <c r="F2624" s="25">
        <v>5411071.0</v>
      </c>
    </row>
    <row r="2625">
      <c r="A2625" s="25">
        <v>42240.64583333333</v>
      </c>
      <c r="B2625" s="25">
        <v>554.98</v>
      </c>
      <c r="C2625" s="25">
        <v>561.5</v>
      </c>
      <c r="D2625" s="25">
        <v>539.3</v>
      </c>
      <c r="E2625" s="25">
        <v>546.03</v>
      </c>
      <c r="F2625" s="25">
        <v>7061342.0</v>
      </c>
    </row>
    <row r="2626">
      <c r="A2626" s="25">
        <v>42241.64583333333</v>
      </c>
      <c r="B2626" s="25">
        <v>550.0</v>
      </c>
      <c r="C2626" s="25">
        <v>559.5</v>
      </c>
      <c r="D2626" s="25">
        <v>522.25</v>
      </c>
      <c r="E2626" s="25">
        <v>542.83</v>
      </c>
      <c r="F2626" s="25">
        <v>6867539.0</v>
      </c>
    </row>
    <row r="2627">
      <c r="A2627" s="25">
        <v>42242.64583333333</v>
      </c>
      <c r="B2627" s="25">
        <v>544.9</v>
      </c>
      <c r="C2627" s="25">
        <v>548.5</v>
      </c>
      <c r="D2627" s="25">
        <v>529.5</v>
      </c>
      <c r="E2627" s="25">
        <v>532.3</v>
      </c>
      <c r="F2627" s="25">
        <v>5749106.0</v>
      </c>
    </row>
    <row r="2628">
      <c r="A2628" s="25">
        <v>42243.64583333333</v>
      </c>
      <c r="B2628" s="25">
        <v>544.0</v>
      </c>
      <c r="C2628" s="25">
        <v>550.05</v>
      </c>
      <c r="D2628" s="25">
        <v>539.03</v>
      </c>
      <c r="E2628" s="25">
        <v>541.4</v>
      </c>
      <c r="F2628" s="25">
        <v>7671696.0</v>
      </c>
    </row>
    <row r="2629">
      <c r="A2629" s="25">
        <v>42244.64583333333</v>
      </c>
      <c r="B2629" s="25">
        <v>550.8</v>
      </c>
      <c r="C2629" s="25">
        <v>562.45</v>
      </c>
      <c r="D2629" s="25">
        <v>550.8</v>
      </c>
      <c r="E2629" s="25">
        <v>555.53</v>
      </c>
      <c r="F2629" s="25">
        <v>3604410.0</v>
      </c>
    </row>
    <row r="2630">
      <c r="A2630" s="25">
        <v>42247.64583333333</v>
      </c>
      <c r="B2630" s="25">
        <v>567.42</v>
      </c>
      <c r="C2630" s="25">
        <v>567.42</v>
      </c>
      <c r="D2630" s="25">
        <v>541.25</v>
      </c>
      <c r="E2630" s="25">
        <v>547.2</v>
      </c>
      <c r="F2630" s="25">
        <v>4958532.0</v>
      </c>
    </row>
    <row r="2631">
      <c r="A2631" s="25">
        <v>42248.64583333333</v>
      </c>
      <c r="B2631" s="25">
        <v>545.0</v>
      </c>
      <c r="C2631" s="25">
        <v>557.3</v>
      </c>
      <c r="D2631" s="25">
        <v>541.0</v>
      </c>
      <c r="E2631" s="25">
        <v>544.5</v>
      </c>
      <c r="F2631" s="25">
        <v>4535775.0</v>
      </c>
    </row>
    <row r="2632">
      <c r="A2632" s="25">
        <v>42249.64583333333</v>
      </c>
      <c r="B2632" s="25">
        <v>549.0</v>
      </c>
      <c r="C2632" s="25">
        <v>557.5</v>
      </c>
      <c r="D2632" s="25">
        <v>545.0</v>
      </c>
      <c r="E2632" s="25">
        <v>549.73</v>
      </c>
      <c r="F2632" s="25">
        <v>5585915.0</v>
      </c>
    </row>
    <row r="2633">
      <c r="A2633" s="25">
        <v>42250.64583333333</v>
      </c>
      <c r="B2633" s="25">
        <v>555.08</v>
      </c>
      <c r="C2633" s="25">
        <v>556.0</v>
      </c>
      <c r="D2633" s="25">
        <v>546.25</v>
      </c>
      <c r="E2633" s="25">
        <v>549.67</v>
      </c>
      <c r="F2633" s="25">
        <v>4295268.0</v>
      </c>
    </row>
    <row r="2634">
      <c r="A2634" s="25">
        <v>42251.64583333333</v>
      </c>
      <c r="B2634" s="25">
        <v>551.5</v>
      </c>
      <c r="C2634" s="25">
        <v>555.5</v>
      </c>
      <c r="D2634" s="25">
        <v>533.5</v>
      </c>
      <c r="E2634" s="25">
        <v>536.98</v>
      </c>
      <c r="F2634" s="25">
        <v>3659444.0</v>
      </c>
    </row>
    <row r="2635">
      <c r="A2635" s="25">
        <v>42254.64583333333</v>
      </c>
      <c r="B2635" s="25">
        <v>542.48</v>
      </c>
      <c r="C2635" s="25">
        <v>542.5</v>
      </c>
      <c r="D2635" s="25">
        <v>527.5</v>
      </c>
      <c r="E2635" s="25">
        <v>529.38</v>
      </c>
      <c r="F2635" s="25">
        <v>2590494.0</v>
      </c>
    </row>
    <row r="2636">
      <c r="A2636" s="25">
        <v>42255.64583333333</v>
      </c>
      <c r="B2636" s="25">
        <v>531.0</v>
      </c>
      <c r="C2636" s="25">
        <v>537.0</v>
      </c>
      <c r="D2636" s="25">
        <v>526.15</v>
      </c>
      <c r="E2636" s="25">
        <v>529.4</v>
      </c>
      <c r="F2636" s="25">
        <v>2729748.0</v>
      </c>
    </row>
    <row r="2637">
      <c r="A2637" s="25">
        <v>42256.64583333333</v>
      </c>
      <c r="B2637" s="25">
        <v>543.55</v>
      </c>
      <c r="C2637" s="25">
        <v>549.8</v>
      </c>
      <c r="D2637" s="25">
        <v>536.0</v>
      </c>
      <c r="E2637" s="25">
        <v>544.35</v>
      </c>
      <c r="F2637" s="25">
        <v>4574332.0</v>
      </c>
    </row>
    <row r="2638">
      <c r="A2638" s="25">
        <v>42257.64583333333</v>
      </c>
      <c r="B2638" s="25">
        <v>542.45</v>
      </c>
      <c r="C2638" s="25">
        <v>545.75</v>
      </c>
      <c r="D2638" s="25">
        <v>530.5</v>
      </c>
      <c r="E2638" s="25">
        <v>540.23</v>
      </c>
      <c r="F2638" s="25">
        <v>4181502.0</v>
      </c>
    </row>
    <row r="2639">
      <c r="A2639" s="25">
        <v>42258.64583333333</v>
      </c>
      <c r="B2639" s="25">
        <v>545.78</v>
      </c>
      <c r="C2639" s="25">
        <v>553.2</v>
      </c>
      <c r="D2639" s="25">
        <v>542.75</v>
      </c>
      <c r="E2639" s="25">
        <v>545.38</v>
      </c>
      <c r="F2639" s="25">
        <v>4941905.0</v>
      </c>
    </row>
    <row r="2640">
      <c r="A2640" s="25">
        <v>42261.64583333333</v>
      </c>
      <c r="B2640" s="25">
        <v>549.5</v>
      </c>
      <c r="C2640" s="25">
        <v>552.0</v>
      </c>
      <c r="D2640" s="25">
        <v>541.33</v>
      </c>
      <c r="E2640" s="25">
        <v>549.88</v>
      </c>
      <c r="F2640" s="25">
        <v>3278538.0</v>
      </c>
    </row>
    <row r="2641">
      <c r="A2641" s="25">
        <v>42262.64583333333</v>
      </c>
      <c r="B2641" s="25">
        <v>549.7</v>
      </c>
      <c r="C2641" s="25">
        <v>0.0</v>
      </c>
      <c r="D2641" s="25">
        <v>0.0</v>
      </c>
      <c r="E2641" s="25">
        <v>550.0</v>
      </c>
      <c r="F2641" s="25">
        <v>0.0</v>
      </c>
    </row>
    <row r="2642">
      <c r="A2642" s="25">
        <v>42263.64583333333</v>
      </c>
      <c r="B2642" s="25">
        <v>554.0</v>
      </c>
      <c r="C2642" s="25">
        <v>554.88</v>
      </c>
      <c r="D2642" s="25">
        <v>549.15</v>
      </c>
      <c r="E2642" s="25">
        <v>550.83</v>
      </c>
      <c r="F2642" s="25">
        <v>3739120.0</v>
      </c>
    </row>
    <row r="2643">
      <c r="A2643" s="25">
        <v>42265.64583333333</v>
      </c>
      <c r="B2643" s="25">
        <v>555.9</v>
      </c>
      <c r="C2643" s="25">
        <v>558.95</v>
      </c>
      <c r="D2643" s="25">
        <v>549.53</v>
      </c>
      <c r="E2643" s="25">
        <v>552.23</v>
      </c>
      <c r="F2643" s="25">
        <v>5788438.0</v>
      </c>
    </row>
    <row r="2644">
      <c r="A2644" s="25">
        <v>42268.64583333333</v>
      </c>
      <c r="B2644" s="25">
        <v>550.0</v>
      </c>
      <c r="C2644" s="25">
        <v>554.42</v>
      </c>
      <c r="D2644" s="25">
        <v>546.25</v>
      </c>
      <c r="E2644" s="25">
        <v>552.33</v>
      </c>
      <c r="F2644" s="25">
        <v>2175617.0</v>
      </c>
    </row>
    <row r="2645">
      <c r="A2645" s="25">
        <v>42269.64583333333</v>
      </c>
      <c r="B2645" s="25">
        <v>557.5</v>
      </c>
      <c r="C2645" s="25">
        <v>567.98</v>
      </c>
      <c r="D2645" s="25">
        <v>550.55</v>
      </c>
      <c r="E2645" s="25">
        <v>553.73</v>
      </c>
      <c r="F2645" s="25">
        <v>4813493.0</v>
      </c>
    </row>
    <row r="2646">
      <c r="A2646" s="25">
        <v>42270.64583333333</v>
      </c>
      <c r="B2646" s="25">
        <v>553.73</v>
      </c>
      <c r="C2646" s="25">
        <v>563.17</v>
      </c>
      <c r="D2646" s="25">
        <v>548.73</v>
      </c>
      <c r="E2646" s="25">
        <v>558.13</v>
      </c>
      <c r="F2646" s="25">
        <v>2379127.0</v>
      </c>
    </row>
    <row r="2647">
      <c r="A2647" s="25">
        <v>42271.64583333333</v>
      </c>
      <c r="B2647" s="25">
        <v>556.75</v>
      </c>
      <c r="C2647" s="25">
        <v>576.35</v>
      </c>
      <c r="D2647" s="25">
        <v>555.0</v>
      </c>
      <c r="E2647" s="25">
        <v>570.28</v>
      </c>
      <c r="F2647" s="25">
        <v>6699631.0</v>
      </c>
    </row>
    <row r="2648">
      <c r="A2648" s="25">
        <v>42275.64583333333</v>
      </c>
      <c r="B2648" s="25">
        <v>569.98</v>
      </c>
      <c r="C2648" s="25">
        <v>571.42</v>
      </c>
      <c r="D2648" s="25">
        <v>550.5</v>
      </c>
      <c r="E2648" s="25">
        <v>552.78</v>
      </c>
      <c r="F2648" s="25">
        <v>4894232.0</v>
      </c>
    </row>
    <row r="2649">
      <c r="A2649" s="25">
        <v>42276.64583333333</v>
      </c>
      <c r="B2649" s="25">
        <v>551.0</v>
      </c>
      <c r="C2649" s="25">
        <v>566.7</v>
      </c>
      <c r="D2649" s="25">
        <v>548.75</v>
      </c>
      <c r="E2649" s="25">
        <v>560.92</v>
      </c>
      <c r="F2649" s="25">
        <v>4349685.0</v>
      </c>
    </row>
    <row r="2650">
      <c r="A2650" s="25">
        <v>42277.64583333333</v>
      </c>
      <c r="B2650" s="25">
        <v>567.2</v>
      </c>
      <c r="C2650" s="25">
        <v>584.48</v>
      </c>
      <c r="D2650" s="25">
        <v>562.98</v>
      </c>
      <c r="E2650" s="25">
        <v>580.98</v>
      </c>
      <c r="F2650" s="25">
        <v>4747846.0</v>
      </c>
    </row>
    <row r="2651">
      <c r="A2651" s="25">
        <v>42278.64583333333</v>
      </c>
      <c r="B2651" s="25">
        <v>584.95</v>
      </c>
      <c r="C2651" s="25">
        <v>598.88</v>
      </c>
      <c r="D2651" s="25">
        <v>580.0</v>
      </c>
      <c r="E2651" s="25">
        <v>586.53</v>
      </c>
      <c r="F2651" s="25">
        <v>5432197.0</v>
      </c>
    </row>
    <row r="2652">
      <c r="A2652" s="25">
        <v>42282.64583333333</v>
      </c>
      <c r="B2652" s="25">
        <v>586.5</v>
      </c>
      <c r="C2652" s="25">
        <v>594.67</v>
      </c>
      <c r="D2652" s="25">
        <v>581.0</v>
      </c>
      <c r="E2652" s="25">
        <v>590.88</v>
      </c>
      <c r="F2652" s="25">
        <v>3440880.0</v>
      </c>
    </row>
    <row r="2653">
      <c r="A2653" s="25">
        <v>42283.64583333333</v>
      </c>
      <c r="B2653" s="25">
        <v>593.53</v>
      </c>
      <c r="C2653" s="25">
        <v>596.28</v>
      </c>
      <c r="D2653" s="25">
        <v>574.05</v>
      </c>
      <c r="E2653" s="25">
        <v>577.3</v>
      </c>
      <c r="F2653" s="25">
        <v>4355940.0</v>
      </c>
    </row>
    <row r="2654">
      <c r="A2654" s="25">
        <v>42284.64583333333</v>
      </c>
      <c r="B2654" s="25">
        <v>578.0</v>
      </c>
      <c r="C2654" s="25">
        <v>584.38</v>
      </c>
      <c r="D2654" s="25">
        <v>564.23</v>
      </c>
      <c r="E2654" s="25">
        <v>566.6</v>
      </c>
      <c r="F2654" s="25">
        <v>4591244.0</v>
      </c>
    </row>
    <row r="2655">
      <c r="A2655" s="25">
        <v>42285.64583333333</v>
      </c>
      <c r="B2655" s="25">
        <v>568.2</v>
      </c>
      <c r="C2655" s="25">
        <v>574.8</v>
      </c>
      <c r="D2655" s="25">
        <v>563.03</v>
      </c>
      <c r="E2655" s="25">
        <v>566.08</v>
      </c>
      <c r="F2655" s="25">
        <v>4540437.0</v>
      </c>
    </row>
    <row r="2656">
      <c r="A2656" s="25">
        <v>42286.64583333333</v>
      </c>
      <c r="B2656" s="25">
        <v>568.0</v>
      </c>
      <c r="C2656" s="25">
        <v>586.45</v>
      </c>
      <c r="D2656" s="25">
        <v>568.0</v>
      </c>
      <c r="E2656" s="25">
        <v>583.7</v>
      </c>
      <c r="F2656" s="25">
        <v>5891069.0</v>
      </c>
    </row>
    <row r="2657">
      <c r="A2657" s="25">
        <v>42289.64583333333</v>
      </c>
      <c r="B2657" s="25">
        <v>599.5</v>
      </c>
      <c r="C2657" s="25">
        <v>609.9</v>
      </c>
      <c r="D2657" s="25">
        <v>554.5</v>
      </c>
      <c r="E2657" s="25">
        <v>561.45</v>
      </c>
      <c r="F2657" s="25">
        <v>1.5202485E7</v>
      </c>
    </row>
    <row r="2658">
      <c r="A2658" s="25">
        <v>42290.64583333333</v>
      </c>
      <c r="B2658" s="25">
        <v>553.73</v>
      </c>
      <c r="C2658" s="25">
        <v>555.5</v>
      </c>
      <c r="D2658" s="25">
        <v>542.6</v>
      </c>
      <c r="E2658" s="25">
        <v>549.7</v>
      </c>
      <c r="F2658" s="25">
        <v>7663431.0</v>
      </c>
    </row>
    <row r="2659">
      <c r="A2659" s="25">
        <v>42291.64583333333</v>
      </c>
      <c r="B2659" s="25">
        <v>545.73</v>
      </c>
      <c r="C2659" s="25">
        <v>557.78</v>
      </c>
      <c r="D2659" s="25">
        <v>543.6</v>
      </c>
      <c r="E2659" s="25">
        <v>548.8</v>
      </c>
      <c r="F2659" s="25">
        <v>4432755.0</v>
      </c>
    </row>
    <row r="2660">
      <c r="A2660" s="25">
        <v>42292.64583333333</v>
      </c>
      <c r="B2660" s="25">
        <v>549.95</v>
      </c>
      <c r="C2660" s="25">
        <v>552.17</v>
      </c>
      <c r="D2660" s="25">
        <v>544.55</v>
      </c>
      <c r="E2660" s="25">
        <v>548.67</v>
      </c>
      <c r="F2660" s="25">
        <v>4127833.0</v>
      </c>
    </row>
    <row r="2661">
      <c r="A2661" s="25">
        <v>42293.64583333333</v>
      </c>
      <c r="B2661" s="25">
        <v>549.5</v>
      </c>
      <c r="C2661" s="25">
        <v>0.0</v>
      </c>
      <c r="D2661" s="25">
        <v>0.0</v>
      </c>
      <c r="E2661" s="25">
        <v>548.45</v>
      </c>
      <c r="F2661" s="25">
        <v>0.0</v>
      </c>
    </row>
    <row r="2662">
      <c r="A2662" s="25">
        <v>42296.64583333333</v>
      </c>
      <c r="B2662" s="25">
        <v>551.0</v>
      </c>
      <c r="C2662" s="25">
        <v>558.0</v>
      </c>
      <c r="D2662" s="25">
        <v>550.25</v>
      </c>
      <c r="E2662" s="25">
        <v>555.98</v>
      </c>
      <c r="F2662" s="25">
        <v>3673747.0</v>
      </c>
    </row>
    <row r="2663">
      <c r="A2663" s="25">
        <v>42297.64583333333</v>
      </c>
      <c r="B2663" s="25">
        <v>556.5</v>
      </c>
      <c r="C2663" s="25">
        <v>565.0</v>
      </c>
      <c r="D2663" s="25">
        <v>555.3</v>
      </c>
      <c r="E2663" s="25">
        <v>562.98</v>
      </c>
      <c r="F2663" s="25">
        <v>4394155.0</v>
      </c>
    </row>
    <row r="2664">
      <c r="A2664" s="25">
        <v>42298.64583333333</v>
      </c>
      <c r="B2664" s="25">
        <v>562.5</v>
      </c>
      <c r="C2664" s="25">
        <v>573.42</v>
      </c>
      <c r="D2664" s="25">
        <v>562.5</v>
      </c>
      <c r="E2664" s="25">
        <v>569.2</v>
      </c>
      <c r="F2664" s="25">
        <v>3639049.0</v>
      </c>
    </row>
    <row r="2665">
      <c r="A2665" s="25">
        <v>42300.64583333333</v>
      </c>
      <c r="B2665" s="25">
        <v>570.9</v>
      </c>
      <c r="C2665" s="25">
        <v>576.5</v>
      </c>
      <c r="D2665" s="25">
        <v>562.55</v>
      </c>
      <c r="E2665" s="25">
        <v>574.95</v>
      </c>
      <c r="F2665" s="25">
        <v>3016681.0</v>
      </c>
    </row>
    <row r="2666">
      <c r="A2666" s="25">
        <v>42303.64583333333</v>
      </c>
      <c r="B2666" s="25">
        <v>577.0</v>
      </c>
      <c r="C2666" s="25">
        <v>579.25</v>
      </c>
      <c r="D2666" s="25">
        <v>571.58</v>
      </c>
      <c r="E2666" s="25">
        <v>576.08</v>
      </c>
      <c r="F2666" s="25">
        <v>1597971.0</v>
      </c>
    </row>
    <row r="2667">
      <c r="A2667" s="25">
        <v>42304.64583333333</v>
      </c>
      <c r="B2667" s="25">
        <v>575.0</v>
      </c>
      <c r="C2667" s="25">
        <v>577.5</v>
      </c>
      <c r="D2667" s="25">
        <v>572.05</v>
      </c>
      <c r="E2667" s="25">
        <v>574.7</v>
      </c>
      <c r="F2667" s="25">
        <v>2631874.0</v>
      </c>
    </row>
    <row r="2668">
      <c r="A2668" s="25">
        <v>42305.64583333333</v>
      </c>
      <c r="B2668" s="25">
        <v>572.25</v>
      </c>
      <c r="C2668" s="25">
        <v>579.0</v>
      </c>
      <c r="D2668" s="25">
        <v>569.5</v>
      </c>
      <c r="E2668" s="25">
        <v>576.6</v>
      </c>
      <c r="F2668" s="25">
        <v>2627736.0</v>
      </c>
    </row>
    <row r="2669">
      <c r="A2669" s="25">
        <v>42306.64583333333</v>
      </c>
      <c r="B2669" s="25">
        <v>576.55</v>
      </c>
      <c r="C2669" s="25">
        <v>577.95</v>
      </c>
      <c r="D2669" s="25">
        <v>568.03</v>
      </c>
      <c r="E2669" s="25">
        <v>572.53</v>
      </c>
      <c r="F2669" s="25">
        <v>2943662.0</v>
      </c>
    </row>
    <row r="2670">
      <c r="A2670" s="25">
        <v>42307.64583333333</v>
      </c>
      <c r="B2670" s="25">
        <v>572.5</v>
      </c>
      <c r="C2670" s="25">
        <v>572.5</v>
      </c>
      <c r="D2670" s="25">
        <v>565.0</v>
      </c>
      <c r="E2670" s="25">
        <v>567.73</v>
      </c>
      <c r="F2670" s="25">
        <v>2022338.0</v>
      </c>
    </row>
    <row r="2671">
      <c r="A2671" s="25">
        <v>42310.64583333333</v>
      </c>
      <c r="B2671" s="25">
        <v>565.0</v>
      </c>
      <c r="C2671" s="25">
        <v>567.9</v>
      </c>
      <c r="D2671" s="25">
        <v>557.05</v>
      </c>
      <c r="E2671" s="25">
        <v>565.6</v>
      </c>
      <c r="F2671" s="25">
        <v>1772494.0</v>
      </c>
    </row>
    <row r="2672">
      <c r="A2672" s="25">
        <v>42311.64583333333</v>
      </c>
      <c r="B2672" s="25">
        <v>566.7</v>
      </c>
      <c r="C2672" s="25">
        <v>575.23</v>
      </c>
      <c r="D2672" s="25">
        <v>566.7</v>
      </c>
      <c r="E2672" s="25">
        <v>572.75</v>
      </c>
      <c r="F2672" s="25">
        <v>1807341.0</v>
      </c>
    </row>
    <row r="2673">
      <c r="A2673" s="25">
        <v>42312.64583333333</v>
      </c>
      <c r="B2673" s="25">
        <v>575.05</v>
      </c>
      <c r="C2673" s="25">
        <v>578.8</v>
      </c>
      <c r="D2673" s="25">
        <v>566.15</v>
      </c>
      <c r="E2673" s="25">
        <v>568.4</v>
      </c>
      <c r="F2673" s="25">
        <v>1602786.0</v>
      </c>
    </row>
    <row r="2674">
      <c r="A2674" s="25">
        <v>42313.64583333333</v>
      </c>
      <c r="B2674" s="25">
        <v>571.48</v>
      </c>
      <c r="C2674" s="25">
        <v>572.5</v>
      </c>
      <c r="D2674" s="25">
        <v>559.7</v>
      </c>
      <c r="E2674" s="25">
        <v>561.45</v>
      </c>
      <c r="F2674" s="25">
        <v>1172653.0</v>
      </c>
    </row>
    <row r="2675">
      <c r="A2675" s="25">
        <v>42314.64583333333</v>
      </c>
      <c r="B2675" s="25">
        <v>561.5</v>
      </c>
      <c r="C2675" s="25">
        <v>571.95</v>
      </c>
      <c r="D2675" s="25">
        <v>561.45</v>
      </c>
      <c r="E2675" s="25">
        <v>569.15</v>
      </c>
      <c r="F2675" s="25">
        <v>1513086.0</v>
      </c>
    </row>
    <row r="2676">
      <c r="A2676" s="25">
        <v>42317.64583333333</v>
      </c>
      <c r="B2676" s="25">
        <v>560.0</v>
      </c>
      <c r="C2676" s="25">
        <v>570.0</v>
      </c>
      <c r="D2676" s="25">
        <v>557.6</v>
      </c>
      <c r="E2676" s="25">
        <v>567.3</v>
      </c>
      <c r="F2676" s="25">
        <v>3062838.0</v>
      </c>
    </row>
    <row r="2677">
      <c r="A2677" s="25">
        <v>42318.64583333333</v>
      </c>
      <c r="B2677" s="25">
        <v>563.75</v>
      </c>
      <c r="C2677" s="25">
        <v>563.75</v>
      </c>
      <c r="D2677" s="25">
        <v>550.05</v>
      </c>
      <c r="E2677" s="25">
        <v>551.92</v>
      </c>
      <c r="F2677" s="25">
        <v>2340026.0</v>
      </c>
    </row>
    <row r="2678">
      <c r="A2678" s="25">
        <v>42321.64583333333</v>
      </c>
      <c r="B2678" s="25">
        <v>549.98</v>
      </c>
      <c r="C2678" s="25">
        <v>553.0</v>
      </c>
      <c r="D2678" s="25">
        <v>545.0</v>
      </c>
      <c r="E2678" s="25">
        <v>550.4</v>
      </c>
      <c r="F2678" s="25">
        <v>1760434.0</v>
      </c>
    </row>
    <row r="2679">
      <c r="A2679" s="25">
        <v>42324.64583333333</v>
      </c>
      <c r="B2679" s="25">
        <v>541.83</v>
      </c>
      <c r="C2679" s="25">
        <v>547.0</v>
      </c>
      <c r="D2679" s="25">
        <v>533.6</v>
      </c>
      <c r="E2679" s="25">
        <v>540.1</v>
      </c>
      <c r="F2679" s="25">
        <v>3404167.0</v>
      </c>
    </row>
    <row r="2680">
      <c r="A2680" s="25">
        <v>42325.64583333333</v>
      </c>
      <c r="B2680" s="25">
        <v>540.0</v>
      </c>
      <c r="C2680" s="25">
        <v>541.45</v>
      </c>
      <c r="D2680" s="25">
        <v>526.0</v>
      </c>
      <c r="E2680" s="25">
        <v>530.75</v>
      </c>
      <c r="F2680" s="25">
        <v>3592053.0</v>
      </c>
    </row>
    <row r="2681">
      <c r="A2681" s="25">
        <v>42326.64583333333</v>
      </c>
      <c r="B2681" s="25">
        <v>520.5</v>
      </c>
      <c r="C2681" s="25">
        <v>522.58</v>
      </c>
      <c r="D2681" s="25">
        <v>505.63</v>
      </c>
      <c r="E2681" s="25">
        <v>510.0</v>
      </c>
      <c r="F2681" s="25">
        <v>5062626.0</v>
      </c>
    </row>
    <row r="2682">
      <c r="A2682" s="25">
        <v>42327.64583333333</v>
      </c>
      <c r="B2682" s="25">
        <v>515.13</v>
      </c>
      <c r="C2682" s="25">
        <v>526.0</v>
      </c>
      <c r="D2682" s="25">
        <v>511.9</v>
      </c>
      <c r="E2682" s="25">
        <v>523.9</v>
      </c>
      <c r="F2682" s="25">
        <v>4269811.0</v>
      </c>
    </row>
    <row r="2683">
      <c r="A2683" s="25">
        <v>42328.64583333333</v>
      </c>
      <c r="B2683" s="25">
        <v>524.0</v>
      </c>
      <c r="C2683" s="25">
        <v>531.6</v>
      </c>
      <c r="D2683" s="25">
        <v>521.03</v>
      </c>
      <c r="E2683" s="25">
        <v>526.2</v>
      </c>
      <c r="F2683" s="25">
        <v>3041489.0</v>
      </c>
    </row>
    <row r="2684">
      <c r="A2684" s="25">
        <v>42331.64583333333</v>
      </c>
      <c r="B2684" s="25">
        <v>525.0</v>
      </c>
      <c r="C2684" s="25">
        <v>531.2</v>
      </c>
      <c r="D2684" s="25">
        <v>519.0</v>
      </c>
      <c r="E2684" s="25">
        <v>526.85</v>
      </c>
      <c r="F2684" s="25">
        <v>2808175.0</v>
      </c>
    </row>
    <row r="2685">
      <c r="A2685" s="25">
        <v>42332.64583333333</v>
      </c>
      <c r="B2685" s="25">
        <v>525.0</v>
      </c>
      <c r="C2685" s="25">
        <v>525.4</v>
      </c>
      <c r="D2685" s="25">
        <v>518.5</v>
      </c>
      <c r="E2685" s="25">
        <v>520.58</v>
      </c>
      <c r="F2685" s="25">
        <v>2162901.0</v>
      </c>
    </row>
    <row r="2686">
      <c r="A2686" s="25">
        <v>42334.64583333333</v>
      </c>
      <c r="B2686" s="25">
        <v>520.48</v>
      </c>
      <c r="C2686" s="25">
        <v>529.75</v>
      </c>
      <c r="D2686" s="25">
        <v>520.03</v>
      </c>
      <c r="E2686" s="25">
        <v>526.2</v>
      </c>
      <c r="F2686" s="25">
        <v>4926984.0</v>
      </c>
    </row>
    <row r="2687">
      <c r="A2687" s="25">
        <v>42335.64583333333</v>
      </c>
      <c r="B2687" s="25">
        <v>529.0</v>
      </c>
      <c r="C2687" s="25">
        <v>535.0</v>
      </c>
      <c r="D2687" s="25">
        <v>522.5</v>
      </c>
      <c r="E2687" s="25">
        <v>533.17</v>
      </c>
      <c r="F2687" s="25">
        <v>2571239.0</v>
      </c>
    </row>
    <row r="2688">
      <c r="A2688" s="25">
        <v>42338.64583333333</v>
      </c>
      <c r="B2688" s="25">
        <v>535.0</v>
      </c>
      <c r="C2688" s="25">
        <v>0.0</v>
      </c>
      <c r="D2688" s="25">
        <v>0.0</v>
      </c>
      <c r="E2688" s="25">
        <v>533.0</v>
      </c>
      <c r="F2688" s="25">
        <v>0.0</v>
      </c>
    </row>
    <row r="2689">
      <c r="A2689" s="25">
        <v>42339.64583333333</v>
      </c>
      <c r="B2689" s="25">
        <v>544.0</v>
      </c>
      <c r="C2689" s="25">
        <v>547.5</v>
      </c>
      <c r="D2689" s="25">
        <v>536.48</v>
      </c>
      <c r="E2689" s="25">
        <v>539.5</v>
      </c>
      <c r="F2689" s="25">
        <v>2949275.0</v>
      </c>
    </row>
    <row r="2690">
      <c r="A2690" s="25">
        <v>42340.64583333333</v>
      </c>
      <c r="B2690" s="25">
        <v>539.98</v>
      </c>
      <c r="C2690" s="25">
        <v>539.98</v>
      </c>
      <c r="D2690" s="25">
        <v>529.5</v>
      </c>
      <c r="E2690" s="25">
        <v>530.35</v>
      </c>
      <c r="F2690" s="25">
        <v>3198808.0</v>
      </c>
    </row>
    <row r="2691">
      <c r="A2691" s="25">
        <v>42341.64583333333</v>
      </c>
      <c r="B2691" s="25">
        <v>530.5</v>
      </c>
      <c r="C2691" s="25">
        <v>532.4</v>
      </c>
      <c r="D2691" s="25">
        <v>524.53</v>
      </c>
      <c r="E2691" s="25">
        <v>528.88</v>
      </c>
      <c r="F2691" s="25">
        <v>2752363.0</v>
      </c>
    </row>
    <row r="2692">
      <c r="A2692" s="25">
        <v>42342.64583333333</v>
      </c>
      <c r="B2692" s="25">
        <v>524.5</v>
      </c>
      <c r="C2692" s="25">
        <v>532.45</v>
      </c>
      <c r="D2692" s="25">
        <v>520.05</v>
      </c>
      <c r="E2692" s="25">
        <v>524.53</v>
      </c>
      <c r="F2692" s="25">
        <v>4187765.0</v>
      </c>
    </row>
    <row r="2693">
      <c r="A2693" s="25">
        <v>42345.64583333333</v>
      </c>
      <c r="B2693" s="25">
        <v>527.65</v>
      </c>
      <c r="C2693" s="25">
        <v>529.5</v>
      </c>
      <c r="D2693" s="25">
        <v>520.0</v>
      </c>
      <c r="E2693" s="25">
        <v>523.13</v>
      </c>
      <c r="F2693" s="25">
        <v>2256935.0</v>
      </c>
    </row>
    <row r="2694">
      <c r="A2694" s="25">
        <v>42346.64583333333</v>
      </c>
      <c r="B2694" s="25">
        <v>522.53</v>
      </c>
      <c r="C2694" s="25">
        <v>531.38</v>
      </c>
      <c r="D2694" s="25">
        <v>519.65</v>
      </c>
      <c r="E2694" s="25">
        <v>522.2</v>
      </c>
      <c r="F2694" s="25">
        <v>2862186.0</v>
      </c>
    </row>
    <row r="2695">
      <c r="A2695" s="25">
        <v>42347.64583333333</v>
      </c>
      <c r="B2695" s="25">
        <v>521.5</v>
      </c>
      <c r="C2695" s="25">
        <v>523.48</v>
      </c>
      <c r="D2695" s="25">
        <v>511.28</v>
      </c>
      <c r="E2695" s="25">
        <v>514.1</v>
      </c>
      <c r="F2695" s="25">
        <v>3409127.0</v>
      </c>
    </row>
    <row r="2696">
      <c r="A2696" s="25">
        <v>42348.64583333333</v>
      </c>
      <c r="B2696" s="25">
        <v>518.3</v>
      </c>
      <c r="C2696" s="25">
        <v>525.8</v>
      </c>
      <c r="D2696" s="25">
        <v>515.15</v>
      </c>
      <c r="E2696" s="25">
        <v>523.67</v>
      </c>
      <c r="F2696" s="25">
        <v>2793873.0</v>
      </c>
    </row>
    <row r="2697">
      <c r="A2697" s="25">
        <v>42349.64583333333</v>
      </c>
      <c r="B2697" s="25">
        <v>527.0</v>
      </c>
      <c r="C2697" s="25">
        <v>530.95</v>
      </c>
      <c r="D2697" s="25">
        <v>522.95</v>
      </c>
      <c r="E2697" s="25">
        <v>526.4</v>
      </c>
      <c r="F2697" s="25">
        <v>2695099.0</v>
      </c>
    </row>
    <row r="2698">
      <c r="A2698" s="25">
        <v>42352.64583333333</v>
      </c>
      <c r="B2698" s="25">
        <v>524.75</v>
      </c>
      <c r="C2698" s="25">
        <v>536.58</v>
      </c>
      <c r="D2698" s="25">
        <v>524.03</v>
      </c>
      <c r="E2698" s="25">
        <v>534.75</v>
      </c>
      <c r="F2698" s="25">
        <v>2408336.0</v>
      </c>
    </row>
    <row r="2699">
      <c r="A2699" s="25">
        <v>42353.64583333333</v>
      </c>
      <c r="B2699" s="25">
        <v>536.63</v>
      </c>
      <c r="C2699" s="25">
        <v>539.55</v>
      </c>
      <c r="D2699" s="25">
        <v>529.4</v>
      </c>
      <c r="E2699" s="25">
        <v>538.78</v>
      </c>
      <c r="F2699" s="25">
        <v>2715904.0</v>
      </c>
    </row>
    <row r="2700">
      <c r="A2700" s="25">
        <v>42354.64583333333</v>
      </c>
      <c r="B2700" s="25">
        <v>541.7</v>
      </c>
      <c r="C2700" s="25">
        <v>549.0</v>
      </c>
      <c r="D2700" s="25">
        <v>541.7</v>
      </c>
      <c r="E2700" s="25">
        <v>547.92</v>
      </c>
      <c r="F2700" s="25">
        <v>2747926.0</v>
      </c>
    </row>
    <row r="2701">
      <c r="A2701" s="25">
        <v>42355.64583333333</v>
      </c>
      <c r="B2701" s="25">
        <v>550.0</v>
      </c>
      <c r="C2701" s="25">
        <v>554.9</v>
      </c>
      <c r="D2701" s="25">
        <v>544.0</v>
      </c>
      <c r="E2701" s="25">
        <v>553.55</v>
      </c>
      <c r="F2701" s="25">
        <v>2479391.0</v>
      </c>
    </row>
    <row r="2702">
      <c r="A2702" s="25">
        <v>42356.64583333333</v>
      </c>
      <c r="B2702" s="25">
        <v>551.7</v>
      </c>
      <c r="C2702" s="25">
        <v>551.7</v>
      </c>
      <c r="D2702" s="25">
        <v>539.73</v>
      </c>
      <c r="E2702" s="25">
        <v>541.58</v>
      </c>
      <c r="F2702" s="25">
        <v>3609910.0</v>
      </c>
    </row>
    <row r="2703">
      <c r="A2703" s="25">
        <v>42359.64583333333</v>
      </c>
      <c r="B2703" s="25">
        <v>538.5</v>
      </c>
      <c r="C2703" s="25">
        <v>553.7</v>
      </c>
      <c r="D2703" s="25">
        <v>532.98</v>
      </c>
      <c r="E2703" s="25">
        <v>551.73</v>
      </c>
      <c r="F2703" s="25">
        <v>2165506.0</v>
      </c>
    </row>
    <row r="2704">
      <c r="A2704" s="25">
        <v>42360.64583333333</v>
      </c>
      <c r="B2704" s="25">
        <v>548.73</v>
      </c>
      <c r="C2704" s="25">
        <v>548.73</v>
      </c>
      <c r="D2704" s="25">
        <v>540.05</v>
      </c>
      <c r="E2704" s="25">
        <v>541.88</v>
      </c>
      <c r="F2704" s="25">
        <v>2054627.0</v>
      </c>
    </row>
    <row r="2705">
      <c r="A2705" s="25">
        <v>42361.64583333333</v>
      </c>
      <c r="B2705" s="25">
        <v>547.53</v>
      </c>
      <c r="C2705" s="25">
        <v>551.25</v>
      </c>
      <c r="D2705" s="25">
        <v>543.53</v>
      </c>
      <c r="E2705" s="25">
        <v>550.42</v>
      </c>
      <c r="F2705" s="25">
        <v>1435464.0</v>
      </c>
    </row>
    <row r="2706">
      <c r="A2706" s="25">
        <v>42362.64583333333</v>
      </c>
      <c r="B2706" s="25">
        <v>551.03</v>
      </c>
      <c r="C2706" s="25">
        <v>552.23</v>
      </c>
      <c r="D2706" s="25">
        <v>545.05</v>
      </c>
      <c r="E2706" s="25">
        <v>548.17</v>
      </c>
      <c r="F2706" s="25">
        <v>615027.0</v>
      </c>
    </row>
    <row r="2707">
      <c r="A2707" s="25">
        <v>42366.64583333333</v>
      </c>
      <c r="B2707" s="25">
        <v>545.0</v>
      </c>
      <c r="C2707" s="25">
        <v>555.0</v>
      </c>
      <c r="D2707" s="25">
        <v>545.0</v>
      </c>
      <c r="E2707" s="25">
        <v>552.38</v>
      </c>
      <c r="F2707" s="25">
        <v>2763476.0</v>
      </c>
    </row>
    <row r="2708">
      <c r="A2708" s="25">
        <v>42367.64583333333</v>
      </c>
      <c r="B2708" s="25">
        <v>550.63</v>
      </c>
      <c r="C2708" s="25">
        <v>555.0</v>
      </c>
      <c r="D2708" s="25">
        <v>548.65</v>
      </c>
      <c r="E2708" s="25">
        <v>552.35</v>
      </c>
      <c r="F2708" s="25">
        <v>1672531.0</v>
      </c>
    </row>
    <row r="2709">
      <c r="A2709" s="25">
        <v>42368.64583333333</v>
      </c>
      <c r="B2709" s="25">
        <v>550.55</v>
      </c>
      <c r="C2709" s="25">
        <v>553.3</v>
      </c>
      <c r="D2709" s="25">
        <v>541.5</v>
      </c>
      <c r="E2709" s="25">
        <v>543.15</v>
      </c>
      <c r="F2709" s="25">
        <v>2576985.0</v>
      </c>
    </row>
    <row r="2710">
      <c r="A2710" s="25">
        <v>42369.64583333333</v>
      </c>
      <c r="B2710" s="25">
        <v>545.08</v>
      </c>
      <c r="C2710" s="25">
        <v>554.98</v>
      </c>
      <c r="D2710" s="25">
        <v>543.5</v>
      </c>
      <c r="E2710" s="25">
        <v>552.7</v>
      </c>
      <c r="F2710" s="25">
        <v>3971969.0</v>
      </c>
    </row>
    <row r="2711">
      <c r="A2711" s="25">
        <v>42370.64583333333</v>
      </c>
      <c r="B2711" s="25">
        <v>550.0</v>
      </c>
      <c r="C2711" s="25">
        <v>554.48</v>
      </c>
      <c r="D2711" s="25">
        <v>546.6</v>
      </c>
      <c r="E2711" s="25">
        <v>552.63</v>
      </c>
      <c r="F2711" s="25">
        <v>903275.0</v>
      </c>
    </row>
    <row r="2712">
      <c r="A2712" s="25">
        <v>42373.64583333333</v>
      </c>
      <c r="B2712" s="25">
        <v>549.98</v>
      </c>
      <c r="C2712" s="25">
        <v>551.23</v>
      </c>
      <c r="D2712" s="25">
        <v>538.03</v>
      </c>
      <c r="E2712" s="25">
        <v>539.45</v>
      </c>
      <c r="F2712" s="25">
        <v>1987681.0</v>
      </c>
    </row>
    <row r="2713">
      <c r="A2713" s="25">
        <v>42374.64583333333</v>
      </c>
      <c r="B2713" s="25">
        <v>542.75</v>
      </c>
      <c r="C2713" s="25">
        <v>542.75</v>
      </c>
      <c r="D2713" s="25">
        <v>531.13</v>
      </c>
      <c r="E2713" s="25">
        <v>537.03</v>
      </c>
      <c r="F2713" s="25">
        <v>2474893.0</v>
      </c>
    </row>
    <row r="2714">
      <c r="A2714" s="25">
        <v>42375.64583333333</v>
      </c>
      <c r="B2714" s="25">
        <v>537.33</v>
      </c>
      <c r="C2714" s="25">
        <v>537.33</v>
      </c>
      <c r="D2714" s="25">
        <v>529.45</v>
      </c>
      <c r="E2714" s="25">
        <v>534.67</v>
      </c>
      <c r="F2714" s="25">
        <v>2794164.0</v>
      </c>
    </row>
    <row r="2715">
      <c r="A2715" s="25">
        <v>42376.64583333333</v>
      </c>
      <c r="B2715" s="25">
        <v>530.03</v>
      </c>
      <c r="C2715" s="25">
        <v>533.95</v>
      </c>
      <c r="D2715" s="25">
        <v>523.95</v>
      </c>
      <c r="E2715" s="25">
        <v>525.4</v>
      </c>
      <c r="F2715" s="25">
        <v>2647044.0</v>
      </c>
    </row>
    <row r="2716">
      <c r="A2716" s="25">
        <v>42377.64583333333</v>
      </c>
      <c r="B2716" s="25">
        <v>530.75</v>
      </c>
      <c r="C2716" s="25">
        <v>533.7</v>
      </c>
      <c r="D2716" s="25">
        <v>527.75</v>
      </c>
      <c r="E2716" s="25">
        <v>531.65</v>
      </c>
      <c r="F2716" s="25">
        <v>1578358.0</v>
      </c>
    </row>
    <row r="2717">
      <c r="A2717" s="25">
        <v>42380.64583333333</v>
      </c>
      <c r="B2717" s="25">
        <v>528.15</v>
      </c>
      <c r="C2717" s="25">
        <v>534.98</v>
      </c>
      <c r="D2717" s="25">
        <v>526.05</v>
      </c>
      <c r="E2717" s="25">
        <v>527.85</v>
      </c>
      <c r="F2717" s="25">
        <v>2680311.0</v>
      </c>
    </row>
    <row r="2718">
      <c r="A2718" s="25">
        <v>42381.64583333333</v>
      </c>
      <c r="B2718" s="25">
        <v>531.0</v>
      </c>
      <c r="C2718" s="25">
        <v>531.48</v>
      </c>
      <c r="D2718" s="25">
        <v>515.42</v>
      </c>
      <c r="E2718" s="25">
        <v>524.03</v>
      </c>
      <c r="F2718" s="25">
        <v>3282606.0</v>
      </c>
    </row>
    <row r="2719">
      <c r="A2719" s="25">
        <v>42382.64583333333</v>
      </c>
      <c r="B2719" s="25">
        <v>528.5</v>
      </c>
      <c r="C2719" s="25">
        <v>545.5</v>
      </c>
      <c r="D2719" s="25">
        <v>524.05</v>
      </c>
      <c r="E2719" s="25">
        <v>541.7</v>
      </c>
      <c r="F2719" s="25">
        <v>4375647.0</v>
      </c>
    </row>
    <row r="2720">
      <c r="A2720" s="25">
        <v>42383.64583333333</v>
      </c>
      <c r="B2720" s="25">
        <v>533.0</v>
      </c>
      <c r="C2720" s="25">
        <v>577.5</v>
      </c>
      <c r="D2720" s="25">
        <v>527.17</v>
      </c>
      <c r="E2720" s="25">
        <v>566.5</v>
      </c>
      <c r="F2720" s="25">
        <v>1.5113503E7</v>
      </c>
    </row>
    <row r="2721">
      <c r="A2721" s="25">
        <v>42384.64583333333</v>
      </c>
      <c r="B2721" s="25">
        <v>574.0</v>
      </c>
      <c r="C2721" s="25">
        <v>582.0</v>
      </c>
      <c r="D2721" s="25">
        <v>568.78</v>
      </c>
      <c r="E2721" s="25">
        <v>569.95</v>
      </c>
      <c r="F2721" s="25">
        <v>6518307.0</v>
      </c>
    </row>
    <row r="2722">
      <c r="A2722" s="25">
        <v>42387.64583333333</v>
      </c>
      <c r="B2722" s="25">
        <v>569.95</v>
      </c>
      <c r="C2722" s="25">
        <v>581.05</v>
      </c>
      <c r="D2722" s="25">
        <v>564.17</v>
      </c>
      <c r="E2722" s="25">
        <v>565.95</v>
      </c>
      <c r="F2722" s="25">
        <v>5033306.0</v>
      </c>
    </row>
    <row r="2723">
      <c r="A2723" s="25">
        <v>42388.64583333333</v>
      </c>
      <c r="B2723" s="25">
        <v>567.5</v>
      </c>
      <c r="C2723" s="25">
        <v>579.48</v>
      </c>
      <c r="D2723" s="25">
        <v>564.28</v>
      </c>
      <c r="E2723" s="25">
        <v>569.83</v>
      </c>
      <c r="F2723" s="25">
        <v>3750218.0</v>
      </c>
    </row>
    <row r="2724">
      <c r="A2724" s="25">
        <v>42389.64583333333</v>
      </c>
      <c r="B2724" s="25">
        <v>567.0</v>
      </c>
      <c r="C2724" s="25">
        <v>580.0</v>
      </c>
      <c r="D2724" s="25">
        <v>558.5</v>
      </c>
      <c r="E2724" s="25">
        <v>560.63</v>
      </c>
      <c r="F2724" s="25">
        <v>3753999.0</v>
      </c>
    </row>
    <row r="2725">
      <c r="A2725" s="25">
        <v>42390.64583333333</v>
      </c>
      <c r="B2725" s="25">
        <v>567.5</v>
      </c>
      <c r="C2725" s="25">
        <v>571.25</v>
      </c>
      <c r="D2725" s="25">
        <v>561.0</v>
      </c>
      <c r="E2725" s="25">
        <v>568.53</v>
      </c>
      <c r="F2725" s="25">
        <v>3371500.0</v>
      </c>
    </row>
    <row r="2726">
      <c r="A2726" s="25">
        <v>42391.64583333333</v>
      </c>
      <c r="B2726" s="25">
        <v>574.05</v>
      </c>
      <c r="C2726" s="25">
        <v>576.25</v>
      </c>
      <c r="D2726" s="25">
        <v>565.5</v>
      </c>
      <c r="E2726" s="25">
        <v>568.13</v>
      </c>
      <c r="F2726" s="25">
        <v>3218009.0</v>
      </c>
    </row>
    <row r="2727">
      <c r="A2727" s="25">
        <v>42394.64583333333</v>
      </c>
      <c r="B2727" s="25">
        <v>570.13</v>
      </c>
      <c r="C2727" s="25">
        <v>573.42</v>
      </c>
      <c r="D2727" s="25">
        <v>562.28</v>
      </c>
      <c r="E2727" s="25">
        <v>568.83</v>
      </c>
      <c r="F2727" s="25">
        <v>2289631.0</v>
      </c>
    </row>
    <row r="2728">
      <c r="A2728" s="25">
        <v>42396.64583333333</v>
      </c>
      <c r="B2728" s="25">
        <v>573.23</v>
      </c>
      <c r="C2728" s="25">
        <v>574.8</v>
      </c>
      <c r="D2728" s="25">
        <v>567.5</v>
      </c>
      <c r="E2728" s="25">
        <v>569.25</v>
      </c>
      <c r="F2728" s="25">
        <v>3485981.0</v>
      </c>
    </row>
    <row r="2729">
      <c r="A2729" s="25">
        <v>42397.64583333333</v>
      </c>
      <c r="B2729" s="25">
        <v>568.0</v>
      </c>
      <c r="C2729" s="25">
        <v>571.3</v>
      </c>
      <c r="D2729" s="25">
        <v>563.1</v>
      </c>
      <c r="E2729" s="25">
        <v>564.8</v>
      </c>
      <c r="F2729" s="25">
        <v>3894299.0</v>
      </c>
    </row>
    <row r="2730">
      <c r="A2730" s="25">
        <v>42398.64583333333</v>
      </c>
      <c r="B2730" s="25">
        <v>569.0</v>
      </c>
      <c r="C2730" s="25">
        <v>585.0</v>
      </c>
      <c r="D2730" s="25">
        <v>565.8</v>
      </c>
      <c r="E2730" s="25">
        <v>582.45</v>
      </c>
      <c r="F2730" s="25">
        <v>5116054.0</v>
      </c>
    </row>
    <row r="2731">
      <c r="A2731" s="25">
        <v>42401.64583333333</v>
      </c>
      <c r="B2731" s="25">
        <v>585.0</v>
      </c>
      <c r="C2731" s="25">
        <v>589.95</v>
      </c>
      <c r="D2731" s="25">
        <v>580.8</v>
      </c>
      <c r="E2731" s="25">
        <v>586.67</v>
      </c>
      <c r="F2731" s="25">
        <v>2125563.0</v>
      </c>
    </row>
    <row r="2732">
      <c r="A2732" s="25">
        <v>42402.64583333333</v>
      </c>
      <c r="B2732" s="25">
        <v>588.42</v>
      </c>
      <c r="C2732" s="25">
        <v>595.0</v>
      </c>
      <c r="D2732" s="25">
        <v>582.0</v>
      </c>
      <c r="E2732" s="25">
        <v>587.78</v>
      </c>
      <c r="F2732" s="25">
        <v>3816351.0</v>
      </c>
    </row>
    <row r="2733">
      <c r="A2733" s="25">
        <v>42403.64583333333</v>
      </c>
      <c r="B2733" s="25">
        <v>583.9</v>
      </c>
      <c r="C2733" s="25">
        <v>587.95</v>
      </c>
      <c r="D2733" s="25">
        <v>576.38</v>
      </c>
      <c r="E2733" s="25">
        <v>578.85</v>
      </c>
      <c r="F2733" s="25">
        <v>2622983.0</v>
      </c>
    </row>
    <row r="2734">
      <c r="A2734" s="25">
        <v>42404.64583333333</v>
      </c>
      <c r="B2734" s="25">
        <v>580.03</v>
      </c>
      <c r="C2734" s="25">
        <v>597.48</v>
      </c>
      <c r="D2734" s="25">
        <v>580.03</v>
      </c>
      <c r="E2734" s="25">
        <v>589.88</v>
      </c>
      <c r="F2734" s="25">
        <v>2774673.0</v>
      </c>
    </row>
    <row r="2735">
      <c r="A2735" s="25">
        <v>42405.64583333333</v>
      </c>
      <c r="B2735" s="25">
        <v>587.75</v>
      </c>
      <c r="C2735" s="25">
        <v>593.33</v>
      </c>
      <c r="D2735" s="25">
        <v>585.92</v>
      </c>
      <c r="E2735" s="25">
        <v>587.35</v>
      </c>
      <c r="F2735" s="25">
        <v>1992112.0</v>
      </c>
    </row>
    <row r="2736">
      <c r="A2736" s="25">
        <v>42408.64583333333</v>
      </c>
      <c r="B2736" s="25">
        <v>581.88</v>
      </c>
      <c r="C2736" s="25">
        <v>586.1</v>
      </c>
      <c r="D2736" s="25">
        <v>571.9</v>
      </c>
      <c r="E2736" s="25">
        <v>572.92</v>
      </c>
      <c r="F2736" s="25">
        <v>2110522.0</v>
      </c>
    </row>
    <row r="2737">
      <c r="A2737" s="25">
        <v>42409.64583333333</v>
      </c>
      <c r="B2737" s="25">
        <v>564.15</v>
      </c>
      <c r="C2737" s="25">
        <v>564.15</v>
      </c>
      <c r="D2737" s="25">
        <v>546.75</v>
      </c>
      <c r="E2737" s="25">
        <v>553.83</v>
      </c>
      <c r="F2737" s="25">
        <v>3789786.0</v>
      </c>
    </row>
    <row r="2738">
      <c r="A2738" s="25">
        <v>42410.64583333333</v>
      </c>
      <c r="B2738" s="25">
        <v>554.0</v>
      </c>
      <c r="C2738" s="25">
        <v>563.75</v>
      </c>
      <c r="D2738" s="25">
        <v>552.5</v>
      </c>
      <c r="E2738" s="25">
        <v>554.28</v>
      </c>
      <c r="F2738" s="25">
        <v>2933027.0</v>
      </c>
    </row>
    <row r="2739">
      <c r="A2739" s="25">
        <v>42411.64583333333</v>
      </c>
      <c r="B2739" s="25">
        <v>555.5</v>
      </c>
      <c r="C2739" s="25">
        <v>556.5</v>
      </c>
      <c r="D2739" s="25">
        <v>535.58</v>
      </c>
      <c r="E2739" s="25">
        <v>539.33</v>
      </c>
      <c r="F2739" s="25">
        <v>2607189.0</v>
      </c>
    </row>
    <row r="2740">
      <c r="A2740" s="25">
        <v>42412.64583333333</v>
      </c>
      <c r="B2740" s="25">
        <v>547.35</v>
      </c>
      <c r="C2740" s="25">
        <v>0.0</v>
      </c>
      <c r="D2740" s="25">
        <v>0.0</v>
      </c>
      <c r="E2740" s="25">
        <v>539.4</v>
      </c>
      <c r="F2740" s="25">
        <v>0.0</v>
      </c>
    </row>
    <row r="2741">
      <c r="A2741" s="25">
        <v>42415.64583333333</v>
      </c>
      <c r="B2741" s="25">
        <v>548.13</v>
      </c>
      <c r="C2741" s="25">
        <v>550.1</v>
      </c>
      <c r="D2741" s="25">
        <v>543.3</v>
      </c>
      <c r="E2741" s="25">
        <v>545.88</v>
      </c>
      <c r="F2741" s="25">
        <v>2546739.0</v>
      </c>
    </row>
    <row r="2742">
      <c r="A2742" s="25">
        <v>42416.64583333333</v>
      </c>
      <c r="B2742" s="25">
        <v>543.5</v>
      </c>
      <c r="C2742" s="25">
        <v>546.38</v>
      </c>
      <c r="D2742" s="25">
        <v>536.85</v>
      </c>
      <c r="E2742" s="25">
        <v>539.58</v>
      </c>
      <c r="F2742" s="25">
        <v>2562724.0</v>
      </c>
    </row>
    <row r="2743">
      <c r="A2743" s="25">
        <v>42417.64583333333</v>
      </c>
      <c r="B2743" s="25">
        <v>540.88</v>
      </c>
      <c r="C2743" s="25">
        <v>551.5</v>
      </c>
      <c r="D2743" s="25">
        <v>538.5</v>
      </c>
      <c r="E2743" s="25">
        <v>548.92</v>
      </c>
      <c r="F2743" s="25">
        <v>2082299.0</v>
      </c>
    </row>
    <row r="2744">
      <c r="A2744" s="25">
        <v>42418.64583333333</v>
      </c>
      <c r="B2744" s="25">
        <v>550.0</v>
      </c>
      <c r="C2744" s="25">
        <v>563.5</v>
      </c>
      <c r="D2744" s="25">
        <v>550.0</v>
      </c>
      <c r="E2744" s="25">
        <v>561.7</v>
      </c>
      <c r="F2744" s="25">
        <v>2094536.0</v>
      </c>
    </row>
    <row r="2745">
      <c r="A2745" s="25">
        <v>42419.64583333333</v>
      </c>
      <c r="B2745" s="25">
        <v>559.6</v>
      </c>
      <c r="C2745" s="25">
        <v>567.1</v>
      </c>
      <c r="D2745" s="25">
        <v>556.92</v>
      </c>
      <c r="E2745" s="25">
        <v>563.63</v>
      </c>
      <c r="F2745" s="25">
        <v>1987009.0</v>
      </c>
    </row>
    <row r="2746">
      <c r="A2746" s="25">
        <v>42422.64583333333</v>
      </c>
      <c r="B2746" s="25">
        <v>565.5</v>
      </c>
      <c r="C2746" s="25">
        <v>566.98</v>
      </c>
      <c r="D2746" s="25">
        <v>557.03</v>
      </c>
      <c r="E2746" s="25">
        <v>563.33</v>
      </c>
      <c r="F2746" s="25">
        <v>1928505.0</v>
      </c>
    </row>
    <row r="2747">
      <c r="A2747" s="25">
        <v>42423.64583333333</v>
      </c>
      <c r="B2747" s="25">
        <v>565.13</v>
      </c>
      <c r="C2747" s="25">
        <v>566.25</v>
      </c>
      <c r="D2747" s="25">
        <v>558.03</v>
      </c>
      <c r="E2747" s="25">
        <v>561.95</v>
      </c>
      <c r="F2747" s="25">
        <v>1250980.0</v>
      </c>
    </row>
    <row r="2748">
      <c r="A2748" s="25">
        <v>42424.64583333333</v>
      </c>
      <c r="B2748" s="25">
        <v>559.75</v>
      </c>
      <c r="C2748" s="25">
        <v>571.88</v>
      </c>
      <c r="D2748" s="25">
        <v>559.17</v>
      </c>
      <c r="E2748" s="25">
        <v>562.67</v>
      </c>
      <c r="F2748" s="25">
        <v>2475357.0</v>
      </c>
    </row>
    <row r="2749">
      <c r="A2749" s="25">
        <v>42425.64583333333</v>
      </c>
      <c r="B2749" s="25">
        <v>562.7</v>
      </c>
      <c r="C2749" s="25">
        <v>565.3</v>
      </c>
      <c r="D2749" s="25">
        <v>550.55</v>
      </c>
      <c r="E2749" s="25">
        <v>555.15</v>
      </c>
      <c r="F2749" s="25">
        <v>2242264.0</v>
      </c>
    </row>
    <row r="2750">
      <c r="A2750" s="25">
        <v>42426.64583333333</v>
      </c>
      <c r="B2750" s="25">
        <v>560.08</v>
      </c>
      <c r="C2750" s="25">
        <v>566.0</v>
      </c>
      <c r="D2750" s="25">
        <v>558.0</v>
      </c>
      <c r="E2750" s="25">
        <v>560.58</v>
      </c>
      <c r="F2750" s="25">
        <v>2117818.0</v>
      </c>
    </row>
    <row r="2751">
      <c r="A2751" s="25">
        <v>42429.64583333333</v>
      </c>
      <c r="B2751" s="25">
        <v>564.75</v>
      </c>
      <c r="C2751" s="25">
        <v>565.2</v>
      </c>
      <c r="D2751" s="25">
        <v>534.15</v>
      </c>
      <c r="E2751" s="25">
        <v>542.03</v>
      </c>
      <c r="F2751" s="25">
        <v>4083038.0</v>
      </c>
    </row>
    <row r="2752">
      <c r="A2752" s="25">
        <v>42430.64583333333</v>
      </c>
      <c r="B2752" s="25">
        <v>547.4</v>
      </c>
      <c r="C2752" s="25">
        <v>565.15</v>
      </c>
      <c r="D2752" s="25">
        <v>547.4</v>
      </c>
      <c r="E2752" s="25">
        <v>562.73</v>
      </c>
      <c r="F2752" s="25">
        <v>3193077.0</v>
      </c>
    </row>
    <row r="2753">
      <c r="A2753" s="25">
        <v>42431.64583333333</v>
      </c>
      <c r="B2753" s="25">
        <v>568.53</v>
      </c>
      <c r="C2753" s="25">
        <v>581.75</v>
      </c>
      <c r="D2753" s="25">
        <v>562.5</v>
      </c>
      <c r="E2753" s="25">
        <v>578.0</v>
      </c>
      <c r="F2753" s="25">
        <v>3607449.0</v>
      </c>
    </row>
    <row r="2754">
      <c r="A2754" s="25">
        <v>42432.64583333333</v>
      </c>
      <c r="B2754" s="25">
        <v>584.0</v>
      </c>
      <c r="C2754" s="25">
        <v>596.42</v>
      </c>
      <c r="D2754" s="25">
        <v>577.0</v>
      </c>
      <c r="E2754" s="25">
        <v>584.65</v>
      </c>
      <c r="F2754" s="25">
        <v>2907152.0</v>
      </c>
    </row>
    <row r="2755">
      <c r="A2755" s="25">
        <v>42433.64583333333</v>
      </c>
      <c r="B2755" s="25">
        <v>587.8</v>
      </c>
      <c r="C2755" s="25">
        <v>592.5</v>
      </c>
      <c r="D2755" s="25">
        <v>579.55</v>
      </c>
      <c r="E2755" s="25">
        <v>585.33</v>
      </c>
      <c r="F2755" s="25">
        <v>2140840.0</v>
      </c>
    </row>
    <row r="2756">
      <c r="A2756" s="25">
        <v>42437.64583333333</v>
      </c>
      <c r="B2756" s="25">
        <v>581.5</v>
      </c>
      <c r="C2756" s="25">
        <v>595.25</v>
      </c>
      <c r="D2756" s="25">
        <v>573.7</v>
      </c>
      <c r="E2756" s="25">
        <v>581.73</v>
      </c>
      <c r="F2756" s="25">
        <v>3808873.0</v>
      </c>
    </row>
    <row r="2757">
      <c r="A2757" s="25">
        <v>42438.64583333333</v>
      </c>
      <c r="B2757" s="25">
        <v>572.5</v>
      </c>
      <c r="C2757" s="25">
        <v>591.88</v>
      </c>
      <c r="D2757" s="25">
        <v>571.48</v>
      </c>
      <c r="E2757" s="25">
        <v>589.25</v>
      </c>
      <c r="F2757" s="25">
        <v>3152891.0</v>
      </c>
    </row>
    <row r="2758">
      <c r="A2758" s="25">
        <v>42439.64583333333</v>
      </c>
      <c r="B2758" s="25">
        <v>581.45</v>
      </c>
      <c r="C2758" s="25">
        <v>581.45</v>
      </c>
      <c r="D2758" s="25">
        <v>569.67</v>
      </c>
      <c r="E2758" s="25">
        <v>571.25</v>
      </c>
      <c r="F2758" s="25">
        <v>1.2190508E7</v>
      </c>
    </row>
    <row r="2759">
      <c r="A2759" s="25">
        <v>42440.64583333333</v>
      </c>
      <c r="B2759" s="25">
        <v>573.1</v>
      </c>
      <c r="C2759" s="25">
        <v>577.98</v>
      </c>
      <c r="D2759" s="25">
        <v>569.1</v>
      </c>
      <c r="E2759" s="25">
        <v>571.5</v>
      </c>
      <c r="F2759" s="25">
        <v>2029274.0</v>
      </c>
    </row>
    <row r="2760">
      <c r="A2760" s="25">
        <v>42443.64583333333</v>
      </c>
      <c r="B2760" s="25">
        <v>573.0</v>
      </c>
      <c r="C2760" s="25">
        <v>577.13</v>
      </c>
      <c r="D2760" s="25">
        <v>569.25</v>
      </c>
      <c r="E2760" s="25">
        <v>570.6</v>
      </c>
      <c r="F2760" s="25">
        <v>2087131.0</v>
      </c>
    </row>
    <row r="2761">
      <c r="A2761" s="25">
        <v>42444.64583333333</v>
      </c>
      <c r="B2761" s="25">
        <v>572.0</v>
      </c>
      <c r="C2761" s="25">
        <v>577.25</v>
      </c>
      <c r="D2761" s="25">
        <v>564.48</v>
      </c>
      <c r="E2761" s="25">
        <v>567.2</v>
      </c>
      <c r="F2761" s="25">
        <v>3360129.0</v>
      </c>
    </row>
    <row r="2762">
      <c r="A2762" s="25">
        <v>42445.64583333333</v>
      </c>
      <c r="B2762" s="25">
        <v>570.95</v>
      </c>
      <c r="C2762" s="25">
        <v>577.5</v>
      </c>
      <c r="D2762" s="25">
        <v>565.78</v>
      </c>
      <c r="E2762" s="25">
        <v>576.23</v>
      </c>
      <c r="F2762" s="25">
        <v>2794425.0</v>
      </c>
    </row>
    <row r="2763">
      <c r="A2763" s="25">
        <v>42446.64583333333</v>
      </c>
      <c r="B2763" s="25">
        <v>578.45</v>
      </c>
      <c r="C2763" s="25">
        <v>584.88</v>
      </c>
      <c r="D2763" s="25">
        <v>577.03</v>
      </c>
      <c r="E2763" s="25">
        <v>580.88</v>
      </c>
      <c r="F2763" s="25">
        <v>3237311.0</v>
      </c>
    </row>
    <row r="2764">
      <c r="A2764" s="25">
        <v>42447.64583333333</v>
      </c>
      <c r="B2764" s="25">
        <v>581.4</v>
      </c>
      <c r="C2764" s="25">
        <v>599.5</v>
      </c>
      <c r="D2764" s="25">
        <v>581.0</v>
      </c>
      <c r="E2764" s="25">
        <v>596.7</v>
      </c>
      <c r="F2764" s="25">
        <v>4238711.0</v>
      </c>
    </row>
    <row r="2765">
      <c r="A2765" s="25">
        <v>42450.64583333333</v>
      </c>
      <c r="B2765" s="25">
        <v>594.0</v>
      </c>
      <c r="C2765" s="25">
        <v>599.5</v>
      </c>
      <c r="D2765" s="25">
        <v>590.03</v>
      </c>
      <c r="E2765" s="25">
        <v>597.45</v>
      </c>
      <c r="F2765" s="25">
        <v>2569196.0</v>
      </c>
    </row>
    <row r="2766">
      <c r="A2766" s="25">
        <v>42451.64583333333</v>
      </c>
      <c r="B2766" s="25">
        <v>595.63</v>
      </c>
      <c r="C2766" s="25">
        <v>597.0</v>
      </c>
      <c r="D2766" s="25">
        <v>586.0</v>
      </c>
      <c r="E2766" s="25">
        <v>594.98</v>
      </c>
      <c r="F2766" s="25">
        <v>3548975.0</v>
      </c>
    </row>
    <row r="2767">
      <c r="A2767" s="25">
        <v>42452.64583333333</v>
      </c>
      <c r="B2767" s="25">
        <v>595.0</v>
      </c>
      <c r="C2767" s="25">
        <v>605.35</v>
      </c>
      <c r="D2767" s="25">
        <v>591.05</v>
      </c>
      <c r="E2767" s="25">
        <v>603.9</v>
      </c>
      <c r="F2767" s="25">
        <v>3166588.0</v>
      </c>
    </row>
    <row r="2768">
      <c r="A2768" s="25">
        <v>42457.64583333333</v>
      </c>
      <c r="B2768" s="25">
        <v>616.2</v>
      </c>
      <c r="C2768" s="25">
        <v>618.5</v>
      </c>
      <c r="D2768" s="25">
        <v>597.88</v>
      </c>
      <c r="E2768" s="25">
        <v>602.45</v>
      </c>
      <c r="F2768" s="25">
        <v>5393755.0</v>
      </c>
    </row>
    <row r="2769">
      <c r="A2769" s="25">
        <v>42458.64583333333</v>
      </c>
      <c r="B2769" s="25">
        <v>599.5</v>
      </c>
      <c r="C2769" s="25">
        <v>609.45</v>
      </c>
      <c r="D2769" s="25">
        <v>595.78</v>
      </c>
      <c r="E2769" s="25">
        <v>598.63</v>
      </c>
      <c r="F2769" s="25">
        <v>3497678.0</v>
      </c>
    </row>
    <row r="2770">
      <c r="A2770" s="25">
        <v>42459.64583333333</v>
      </c>
      <c r="B2770" s="25">
        <v>598.8</v>
      </c>
      <c r="C2770" s="25">
        <v>605.0</v>
      </c>
      <c r="D2770" s="25">
        <v>597.78</v>
      </c>
      <c r="E2770" s="25">
        <v>602.98</v>
      </c>
      <c r="F2770" s="25">
        <v>2878409.0</v>
      </c>
    </row>
    <row r="2771">
      <c r="A2771" s="25">
        <v>42460.64583333333</v>
      </c>
      <c r="B2771" s="25">
        <v>605.13</v>
      </c>
      <c r="C2771" s="25">
        <v>614.95</v>
      </c>
      <c r="D2771" s="25">
        <v>600.15</v>
      </c>
      <c r="E2771" s="25">
        <v>609.15</v>
      </c>
      <c r="F2771" s="25">
        <v>8998160.0</v>
      </c>
    </row>
    <row r="2772">
      <c r="A2772" s="25">
        <v>42461.64583333333</v>
      </c>
      <c r="B2772" s="25">
        <v>608.0</v>
      </c>
      <c r="C2772" s="25">
        <v>611.1</v>
      </c>
      <c r="D2772" s="25">
        <v>597.55</v>
      </c>
      <c r="E2772" s="25">
        <v>602.73</v>
      </c>
      <c r="F2772" s="25">
        <v>2755714.0</v>
      </c>
    </row>
    <row r="2773">
      <c r="A2773" s="25">
        <v>42464.64583333333</v>
      </c>
      <c r="B2773" s="25">
        <v>606.78</v>
      </c>
      <c r="C2773" s="25">
        <v>624.0</v>
      </c>
      <c r="D2773" s="25">
        <v>606.78</v>
      </c>
      <c r="E2773" s="25">
        <v>621.85</v>
      </c>
      <c r="F2773" s="25">
        <v>2288527.0</v>
      </c>
    </row>
    <row r="2774">
      <c r="A2774" s="25">
        <v>42465.64583333333</v>
      </c>
      <c r="B2774" s="25">
        <v>621.0</v>
      </c>
      <c r="C2774" s="25">
        <v>621.15</v>
      </c>
      <c r="D2774" s="25">
        <v>607.0</v>
      </c>
      <c r="E2774" s="25">
        <v>609.9</v>
      </c>
      <c r="F2774" s="25">
        <v>2395358.0</v>
      </c>
    </row>
    <row r="2775">
      <c r="A2775" s="25">
        <v>42466.64583333333</v>
      </c>
      <c r="B2775" s="25">
        <v>614.0</v>
      </c>
      <c r="C2775" s="25">
        <v>614.0</v>
      </c>
      <c r="D2775" s="25">
        <v>598.0</v>
      </c>
      <c r="E2775" s="25">
        <v>600.35</v>
      </c>
      <c r="F2775" s="25">
        <v>2465677.0</v>
      </c>
    </row>
    <row r="2776">
      <c r="A2776" s="25">
        <v>42467.64583333333</v>
      </c>
      <c r="B2776" s="25">
        <v>604.2</v>
      </c>
      <c r="C2776" s="25">
        <v>604.2</v>
      </c>
      <c r="D2776" s="25">
        <v>587.5</v>
      </c>
      <c r="E2776" s="25">
        <v>590.75</v>
      </c>
      <c r="F2776" s="25">
        <v>2828945.0</v>
      </c>
    </row>
    <row r="2777">
      <c r="A2777" s="25">
        <v>42468.64583333333</v>
      </c>
      <c r="B2777" s="25">
        <v>587.92</v>
      </c>
      <c r="C2777" s="25">
        <v>588.75</v>
      </c>
      <c r="D2777" s="25">
        <v>581.03</v>
      </c>
      <c r="E2777" s="25">
        <v>582.88</v>
      </c>
      <c r="F2777" s="25">
        <v>2097789.0</v>
      </c>
    </row>
    <row r="2778">
      <c r="A2778" s="25">
        <v>42471.64583333333</v>
      </c>
      <c r="B2778" s="25">
        <v>582.9</v>
      </c>
      <c r="C2778" s="25">
        <v>593.38</v>
      </c>
      <c r="D2778" s="25">
        <v>575.55</v>
      </c>
      <c r="E2778" s="25">
        <v>591.95</v>
      </c>
      <c r="F2778" s="25">
        <v>2884339.0</v>
      </c>
    </row>
    <row r="2779">
      <c r="A2779" s="25">
        <v>42472.64583333333</v>
      </c>
      <c r="B2779" s="25">
        <v>590.25</v>
      </c>
      <c r="C2779" s="25">
        <v>597.45</v>
      </c>
      <c r="D2779" s="25">
        <v>589.3</v>
      </c>
      <c r="E2779" s="25">
        <v>591.1</v>
      </c>
      <c r="F2779" s="25">
        <v>2921069.0</v>
      </c>
    </row>
    <row r="2780">
      <c r="A2780" s="25">
        <v>42473.64583333333</v>
      </c>
      <c r="B2780" s="25">
        <v>597.48</v>
      </c>
      <c r="C2780" s="25">
        <v>597.48</v>
      </c>
      <c r="D2780" s="25">
        <v>583.17</v>
      </c>
      <c r="E2780" s="25">
        <v>586.35</v>
      </c>
      <c r="F2780" s="25">
        <v>6255693.0</v>
      </c>
    </row>
    <row r="2781">
      <c r="A2781" s="25">
        <v>42478.64583333333</v>
      </c>
      <c r="B2781" s="25">
        <v>625.0</v>
      </c>
      <c r="C2781" s="25">
        <v>633.95</v>
      </c>
      <c r="D2781" s="25">
        <v>616.75</v>
      </c>
      <c r="E2781" s="25">
        <v>619.35</v>
      </c>
      <c r="F2781" s="25">
        <v>1.2507995E7</v>
      </c>
    </row>
    <row r="2782">
      <c r="A2782" s="25">
        <v>42480.64583333333</v>
      </c>
      <c r="B2782" s="25">
        <v>622.0</v>
      </c>
      <c r="C2782" s="25">
        <v>623.23</v>
      </c>
      <c r="D2782" s="25">
        <v>612.9</v>
      </c>
      <c r="E2782" s="25">
        <v>621.8</v>
      </c>
      <c r="F2782" s="25">
        <v>4036424.0</v>
      </c>
    </row>
    <row r="2783">
      <c r="A2783" s="25">
        <v>42481.64583333333</v>
      </c>
      <c r="B2783" s="25">
        <v>625.5</v>
      </c>
      <c r="C2783" s="25">
        <v>625.5</v>
      </c>
      <c r="D2783" s="25">
        <v>609.05</v>
      </c>
      <c r="E2783" s="25">
        <v>613.15</v>
      </c>
      <c r="F2783" s="25">
        <v>2720550.0</v>
      </c>
    </row>
    <row r="2784">
      <c r="A2784" s="25">
        <v>42482.64583333333</v>
      </c>
      <c r="B2784" s="25">
        <v>613.15</v>
      </c>
      <c r="C2784" s="25">
        <v>614.25</v>
      </c>
      <c r="D2784" s="25">
        <v>603.5</v>
      </c>
      <c r="E2784" s="25">
        <v>605.63</v>
      </c>
      <c r="F2784" s="25">
        <v>2571969.0</v>
      </c>
    </row>
    <row r="2785">
      <c r="A2785" s="25">
        <v>42485.64583333333</v>
      </c>
      <c r="B2785" s="25">
        <v>606.03</v>
      </c>
      <c r="C2785" s="25">
        <v>612.4</v>
      </c>
      <c r="D2785" s="25">
        <v>600.55</v>
      </c>
      <c r="E2785" s="25">
        <v>607.92</v>
      </c>
      <c r="F2785" s="25">
        <v>2682067.0</v>
      </c>
    </row>
    <row r="2786">
      <c r="A2786" s="25">
        <v>42486.64583333333</v>
      </c>
      <c r="B2786" s="25">
        <v>607.73</v>
      </c>
      <c r="C2786" s="25">
        <v>619.78</v>
      </c>
      <c r="D2786" s="25">
        <v>604.3</v>
      </c>
      <c r="E2786" s="25">
        <v>616.08</v>
      </c>
      <c r="F2786" s="25">
        <v>2923372.0</v>
      </c>
    </row>
    <row r="2787">
      <c r="A2787" s="25">
        <v>42487.64583333333</v>
      </c>
      <c r="B2787" s="25">
        <v>614.6</v>
      </c>
      <c r="C2787" s="25">
        <v>621.17</v>
      </c>
      <c r="D2787" s="25">
        <v>614.28</v>
      </c>
      <c r="E2787" s="25">
        <v>620.08</v>
      </c>
      <c r="F2787" s="25">
        <v>2243104.0</v>
      </c>
    </row>
    <row r="2788">
      <c r="A2788" s="25">
        <v>42488.64583333333</v>
      </c>
      <c r="B2788" s="25">
        <v>615.5</v>
      </c>
      <c r="C2788" s="25">
        <v>619.8</v>
      </c>
      <c r="D2788" s="25">
        <v>603.5</v>
      </c>
      <c r="E2788" s="25">
        <v>604.58</v>
      </c>
      <c r="F2788" s="25">
        <v>6082584.0</v>
      </c>
    </row>
    <row r="2789">
      <c r="A2789" s="25">
        <v>42489.64583333333</v>
      </c>
      <c r="B2789" s="25">
        <v>605.73</v>
      </c>
      <c r="C2789" s="25">
        <v>611.78</v>
      </c>
      <c r="D2789" s="25">
        <v>602.5</v>
      </c>
      <c r="E2789" s="25">
        <v>604.05</v>
      </c>
      <c r="F2789" s="25">
        <v>2518205.0</v>
      </c>
    </row>
    <row r="2790">
      <c r="A2790" s="25">
        <v>42492.64583333333</v>
      </c>
      <c r="B2790" s="25">
        <v>605.0</v>
      </c>
      <c r="C2790" s="25">
        <v>605.58</v>
      </c>
      <c r="D2790" s="25">
        <v>598.08</v>
      </c>
      <c r="E2790" s="25">
        <v>600.53</v>
      </c>
      <c r="F2790" s="25">
        <v>1807625.0</v>
      </c>
    </row>
    <row r="2791">
      <c r="A2791" s="25">
        <v>42493.64583333333</v>
      </c>
      <c r="B2791" s="25">
        <v>601.38</v>
      </c>
      <c r="C2791" s="25">
        <v>606.1</v>
      </c>
      <c r="D2791" s="25">
        <v>585.9</v>
      </c>
      <c r="E2791" s="25">
        <v>588.9</v>
      </c>
      <c r="F2791" s="25">
        <v>3412405.0</v>
      </c>
    </row>
    <row r="2792">
      <c r="A2792" s="25">
        <v>42494.64583333333</v>
      </c>
      <c r="B2792" s="25">
        <v>590.5</v>
      </c>
      <c r="C2792" s="25">
        <v>596.5</v>
      </c>
      <c r="D2792" s="25">
        <v>585.33</v>
      </c>
      <c r="E2792" s="25">
        <v>594.42</v>
      </c>
      <c r="F2792" s="25">
        <v>2906421.0</v>
      </c>
    </row>
    <row r="2793">
      <c r="A2793" s="25">
        <v>42495.64583333333</v>
      </c>
      <c r="B2793" s="25">
        <v>597.58</v>
      </c>
      <c r="C2793" s="25">
        <v>599.5</v>
      </c>
      <c r="D2793" s="25">
        <v>590.55</v>
      </c>
      <c r="E2793" s="25">
        <v>596.23</v>
      </c>
      <c r="F2793" s="25">
        <v>3151334.0</v>
      </c>
    </row>
    <row r="2794">
      <c r="A2794" s="25">
        <v>42496.64583333333</v>
      </c>
      <c r="B2794" s="25">
        <v>594.9</v>
      </c>
      <c r="C2794" s="25">
        <v>594.9</v>
      </c>
      <c r="D2794" s="25">
        <v>588.53</v>
      </c>
      <c r="E2794" s="25">
        <v>590.75</v>
      </c>
      <c r="F2794" s="25">
        <v>1298360.0</v>
      </c>
    </row>
    <row r="2795">
      <c r="A2795" s="25">
        <v>42499.64583333333</v>
      </c>
      <c r="B2795" s="25">
        <v>591.0</v>
      </c>
      <c r="C2795" s="25">
        <v>600.78</v>
      </c>
      <c r="D2795" s="25">
        <v>590.3</v>
      </c>
      <c r="E2795" s="25">
        <v>599.53</v>
      </c>
      <c r="F2795" s="25">
        <v>2561839.0</v>
      </c>
    </row>
    <row r="2796">
      <c r="A2796" s="25">
        <v>42500.64583333333</v>
      </c>
      <c r="B2796" s="25">
        <v>601.25</v>
      </c>
      <c r="C2796" s="25">
        <v>608.33</v>
      </c>
      <c r="D2796" s="25">
        <v>598.3</v>
      </c>
      <c r="E2796" s="25">
        <v>606.4</v>
      </c>
      <c r="F2796" s="25">
        <v>1697852.0</v>
      </c>
    </row>
    <row r="2797">
      <c r="A2797" s="25">
        <v>42501.64583333333</v>
      </c>
      <c r="B2797" s="25">
        <v>599.25</v>
      </c>
      <c r="C2797" s="25">
        <v>607.35</v>
      </c>
      <c r="D2797" s="25">
        <v>596.25</v>
      </c>
      <c r="E2797" s="25">
        <v>600.92</v>
      </c>
      <c r="F2797" s="25">
        <v>1854944.0</v>
      </c>
    </row>
    <row r="2798">
      <c r="A2798" s="25">
        <v>42502.64583333333</v>
      </c>
      <c r="B2798" s="25">
        <v>601.95</v>
      </c>
      <c r="C2798" s="25">
        <v>606.5</v>
      </c>
      <c r="D2798" s="25">
        <v>598.4</v>
      </c>
      <c r="E2798" s="25">
        <v>605.0</v>
      </c>
      <c r="F2798" s="25">
        <v>1703466.0</v>
      </c>
    </row>
    <row r="2799">
      <c r="A2799" s="25">
        <v>42503.64583333333</v>
      </c>
      <c r="B2799" s="25">
        <v>603.0</v>
      </c>
      <c r="C2799" s="25">
        <v>605.0</v>
      </c>
      <c r="D2799" s="25">
        <v>596.08</v>
      </c>
      <c r="E2799" s="25">
        <v>603.63</v>
      </c>
      <c r="F2799" s="25">
        <v>2826032.0</v>
      </c>
    </row>
    <row r="2800">
      <c r="A2800" s="25">
        <v>42506.64583333333</v>
      </c>
      <c r="B2800" s="25">
        <v>605.1</v>
      </c>
      <c r="C2800" s="25">
        <v>611.83</v>
      </c>
      <c r="D2800" s="25">
        <v>602.5</v>
      </c>
      <c r="E2800" s="25">
        <v>607.5</v>
      </c>
      <c r="F2800" s="25">
        <v>2266939.0</v>
      </c>
    </row>
    <row r="2801">
      <c r="A2801" s="25">
        <v>42507.64583333333</v>
      </c>
      <c r="B2801" s="25">
        <v>610.0</v>
      </c>
      <c r="C2801" s="25">
        <v>612.88</v>
      </c>
      <c r="D2801" s="25">
        <v>604.08</v>
      </c>
      <c r="E2801" s="25">
        <v>607.13</v>
      </c>
      <c r="F2801" s="25">
        <v>1898147.0</v>
      </c>
    </row>
    <row r="2802">
      <c r="A2802" s="25">
        <v>42508.64583333333</v>
      </c>
      <c r="B2802" s="25">
        <v>599.5</v>
      </c>
      <c r="C2802" s="25">
        <v>607.0</v>
      </c>
      <c r="D2802" s="25">
        <v>598.95</v>
      </c>
      <c r="E2802" s="25">
        <v>604.92</v>
      </c>
      <c r="F2802" s="25">
        <v>2128298.0</v>
      </c>
    </row>
    <row r="2803">
      <c r="A2803" s="25">
        <v>42509.64583333333</v>
      </c>
      <c r="B2803" s="25">
        <v>605.48</v>
      </c>
      <c r="C2803" s="25">
        <v>608.08</v>
      </c>
      <c r="D2803" s="25">
        <v>600.5</v>
      </c>
      <c r="E2803" s="25">
        <v>602.88</v>
      </c>
      <c r="F2803" s="25">
        <v>1977200.0</v>
      </c>
    </row>
    <row r="2804">
      <c r="A2804" s="25">
        <v>42510.64583333333</v>
      </c>
      <c r="B2804" s="25">
        <v>602.5</v>
      </c>
      <c r="C2804" s="25">
        <v>609.75</v>
      </c>
      <c r="D2804" s="25">
        <v>600.0</v>
      </c>
      <c r="E2804" s="25">
        <v>600.8</v>
      </c>
      <c r="F2804" s="25">
        <v>1997274.0</v>
      </c>
    </row>
    <row r="2805">
      <c r="A2805" s="25">
        <v>42513.64583333333</v>
      </c>
      <c r="B2805" s="25">
        <v>601.7</v>
      </c>
      <c r="C2805" s="25">
        <v>602.58</v>
      </c>
      <c r="D2805" s="25">
        <v>592.5</v>
      </c>
      <c r="E2805" s="25">
        <v>594.0</v>
      </c>
      <c r="F2805" s="25">
        <v>2292973.0</v>
      </c>
    </row>
    <row r="2806">
      <c r="A2806" s="25">
        <v>42514.64583333333</v>
      </c>
      <c r="B2806" s="25">
        <v>595.53</v>
      </c>
      <c r="C2806" s="25">
        <v>595.88</v>
      </c>
      <c r="D2806" s="25">
        <v>588.8</v>
      </c>
      <c r="E2806" s="25">
        <v>593.88</v>
      </c>
      <c r="F2806" s="25">
        <v>1742530.0</v>
      </c>
    </row>
    <row r="2807">
      <c r="A2807" s="25">
        <v>42515.64583333333</v>
      </c>
      <c r="B2807" s="25">
        <v>597.05</v>
      </c>
      <c r="C2807" s="25">
        <v>606.55</v>
      </c>
      <c r="D2807" s="25">
        <v>597.05</v>
      </c>
      <c r="E2807" s="25">
        <v>604.33</v>
      </c>
      <c r="F2807" s="25">
        <v>1928698.0</v>
      </c>
    </row>
    <row r="2808">
      <c r="A2808" s="25">
        <v>42516.64583333333</v>
      </c>
      <c r="B2808" s="25">
        <v>605.05</v>
      </c>
      <c r="C2808" s="25">
        <v>619.9</v>
      </c>
      <c r="D2808" s="25">
        <v>605.05</v>
      </c>
      <c r="E2808" s="25">
        <v>617.08</v>
      </c>
      <c r="F2808" s="25">
        <v>3068218.0</v>
      </c>
    </row>
    <row r="2809">
      <c r="A2809" s="25">
        <v>42517.64583333333</v>
      </c>
      <c r="B2809" s="25">
        <v>615.8</v>
      </c>
      <c r="C2809" s="25">
        <v>629.75</v>
      </c>
      <c r="D2809" s="25">
        <v>615.8</v>
      </c>
      <c r="E2809" s="25">
        <v>623.75</v>
      </c>
      <c r="F2809" s="25">
        <v>3090382.0</v>
      </c>
    </row>
    <row r="2810">
      <c r="A2810" s="25">
        <v>42520.64583333333</v>
      </c>
      <c r="B2810" s="25">
        <v>620.75</v>
      </c>
      <c r="C2810" s="25">
        <v>636.0</v>
      </c>
      <c r="D2810" s="25">
        <v>620.75</v>
      </c>
      <c r="E2810" s="25">
        <v>633.8</v>
      </c>
      <c r="F2810" s="25">
        <v>2642850.0</v>
      </c>
    </row>
    <row r="2811">
      <c r="A2811" s="25">
        <v>42521.64583333333</v>
      </c>
      <c r="B2811" s="25">
        <v>632.5</v>
      </c>
      <c r="C2811" s="25">
        <v>633.38</v>
      </c>
      <c r="D2811" s="25">
        <v>619.5</v>
      </c>
      <c r="E2811" s="25">
        <v>624.33</v>
      </c>
      <c r="F2811" s="25">
        <v>6891019.0</v>
      </c>
    </row>
    <row r="2812">
      <c r="A2812" s="25">
        <v>42522.64583333333</v>
      </c>
      <c r="B2812" s="25">
        <v>623.03</v>
      </c>
      <c r="C2812" s="25">
        <v>634.25</v>
      </c>
      <c r="D2812" s="25">
        <v>623.0</v>
      </c>
      <c r="E2812" s="25">
        <v>629.1</v>
      </c>
      <c r="F2812" s="25">
        <v>2420267.0</v>
      </c>
    </row>
    <row r="2813">
      <c r="A2813" s="25">
        <v>42523.64583333333</v>
      </c>
      <c r="B2813" s="25">
        <v>627.5</v>
      </c>
      <c r="C2813" s="25">
        <v>637.45</v>
      </c>
      <c r="D2813" s="25">
        <v>627.0</v>
      </c>
      <c r="E2813" s="25">
        <v>630.78</v>
      </c>
      <c r="F2813" s="25">
        <v>2526776.0</v>
      </c>
    </row>
    <row r="2814">
      <c r="A2814" s="25">
        <v>42524.64583333333</v>
      </c>
      <c r="B2814" s="25">
        <v>630.03</v>
      </c>
      <c r="C2814" s="25">
        <v>639.65</v>
      </c>
      <c r="D2814" s="25">
        <v>630.03</v>
      </c>
      <c r="E2814" s="25">
        <v>633.45</v>
      </c>
      <c r="F2814" s="25">
        <v>1999190.0</v>
      </c>
    </row>
    <row r="2815">
      <c r="A2815" s="25">
        <v>42527.64583333333</v>
      </c>
      <c r="B2815" s="25">
        <v>632.45</v>
      </c>
      <c r="C2815" s="25">
        <v>638.5</v>
      </c>
      <c r="D2815" s="25">
        <v>630.55</v>
      </c>
      <c r="E2815" s="25">
        <v>633.38</v>
      </c>
      <c r="F2815" s="25">
        <v>2112884.0</v>
      </c>
    </row>
    <row r="2816">
      <c r="A2816" s="25">
        <v>42528.64583333333</v>
      </c>
      <c r="B2816" s="25">
        <v>633.5</v>
      </c>
      <c r="C2816" s="25">
        <v>636.25</v>
      </c>
      <c r="D2816" s="25">
        <v>627.55</v>
      </c>
      <c r="E2816" s="25">
        <v>628.7</v>
      </c>
      <c r="F2816" s="25">
        <v>2846210.0</v>
      </c>
    </row>
    <row r="2817">
      <c r="A2817" s="25">
        <v>42529.64583333333</v>
      </c>
      <c r="B2817" s="25">
        <v>631.98</v>
      </c>
      <c r="C2817" s="25">
        <v>631.98</v>
      </c>
      <c r="D2817" s="25">
        <v>617.67</v>
      </c>
      <c r="E2817" s="25">
        <v>619.05</v>
      </c>
      <c r="F2817" s="25">
        <v>4370685.0</v>
      </c>
    </row>
    <row r="2818">
      <c r="A2818" s="25">
        <v>42530.64583333333</v>
      </c>
      <c r="B2818" s="25">
        <v>613.13</v>
      </c>
      <c r="C2818" s="25">
        <v>613.13</v>
      </c>
      <c r="D2818" s="25">
        <v>590.03</v>
      </c>
      <c r="E2818" s="25">
        <v>592.75</v>
      </c>
      <c r="F2818" s="25">
        <v>6370402.0</v>
      </c>
    </row>
    <row r="2819">
      <c r="A2819" s="25">
        <v>42531.64583333333</v>
      </c>
      <c r="B2819" s="25">
        <v>587.7</v>
      </c>
      <c r="C2819" s="25">
        <v>595.0</v>
      </c>
      <c r="D2819" s="25">
        <v>585.05</v>
      </c>
      <c r="E2819" s="25">
        <v>590.3</v>
      </c>
      <c r="F2819" s="25">
        <v>3191978.0</v>
      </c>
    </row>
    <row r="2820">
      <c r="A2820" s="25">
        <v>42534.64583333333</v>
      </c>
      <c r="B2820" s="25">
        <v>588.4</v>
      </c>
      <c r="C2820" s="25">
        <v>592.45</v>
      </c>
      <c r="D2820" s="25">
        <v>583.0</v>
      </c>
      <c r="E2820" s="25">
        <v>590.45</v>
      </c>
      <c r="F2820" s="25">
        <v>2643361.0</v>
      </c>
    </row>
    <row r="2821">
      <c r="A2821" s="25">
        <v>42535.64583333333</v>
      </c>
      <c r="B2821" s="25">
        <v>591.2</v>
      </c>
      <c r="C2821" s="25">
        <v>591.2</v>
      </c>
      <c r="D2821" s="25">
        <v>583.63</v>
      </c>
      <c r="E2821" s="25">
        <v>587.5</v>
      </c>
      <c r="F2821" s="25">
        <v>1470364.0</v>
      </c>
    </row>
    <row r="2822">
      <c r="A2822" s="25">
        <v>42536.64583333333</v>
      </c>
      <c r="B2822" s="25">
        <v>591.85</v>
      </c>
      <c r="C2822" s="25">
        <v>596.33</v>
      </c>
      <c r="D2822" s="25">
        <v>589.53</v>
      </c>
      <c r="E2822" s="25">
        <v>594.98</v>
      </c>
      <c r="F2822" s="25">
        <v>3355786.0</v>
      </c>
    </row>
    <row r="2823">
      <c r="A2823" s="25">
        <v>42537.64583333333</v>
      </c>
      <c r="B2823" s="25">
        <v>594.75</v>
      </c>
      <c r="C2823" s="25">
        <v>594.75</v>
      </c>
      <c r="D2823" s="25">
        <v>585.05</v>
      </c>
      <c r="E2823" s="25">
        <v>593.0</v>
      </c>
      <c r="F2823" s="25">
        <v>2651282.0</v>
      </c>
    </row>
    <row r="2824">
      <c r="A2824" s="25">
        <v>42538.64583333333</v>
      </c>
      <c r="B2824" s="25">
        <v>594.5</v>
      </c>
      <c r="C2824" s="25">
        <v>596.38</v>
      </c>
      <c r="D2824" s="25">
        <v>587.55</v>
      </c>
      <c r="E2824" s="25">
        <v>589.75</v>
      </c>
      <c r="F2824" s="25">
        <v>4257541.0</v>
      </c>
    </row>
    <row r="2825">
      <c r="A2825" s="25">
        <v>42541.64583333333</v>
      </c>
      <c r="B2825" s="25">
        <v>590.5</v>
      </c>
      <c r="C2825" s="25">
        <v>605.9</v>
      </c>
      <c r="D2825" s="25">
        <v>589.85</v>
      </c>
      <c r="E2825" s="25">
        <v>604.38</v>
      </c>
      <c r="F2825" s="25">
        <v>3114783.0</v>
      </c>
    </row>
    <row r="2826">
      <c r="A2826" s="25">
        <v>42542.64583333333</v>
      </c>
      <c r="B2826" s="25">
        <v>605.6</v>
      </c>
      <c r="C2826" s="25">
        <v>607.4</v>
      </c>
      <c r="D2826" s="25">
        <v>597.83</v>
      </c>
      <c r="E2826" s="25">
        <v>603.05</v>
      </c>
      <c r="F2826" s="25">
        <v>2380862.0</v>
      </c>
    </row>
    <row r="2827">
      <c r="A2827" s="25">
        <v>42543.64583333333</v>
      </c>
      <c r="B2827" s="25">
        <v>602.0</v>
      </c>
      <c r="C2827" s="25">
        <v>605.98</v>
      </c>
      <c r="D2827" s="25">
        <v>594.08</v>
      </c>
      <c r="E2827" s="25">
        <v>599.75</v>
      </c>
      <c r="F2827" s="25">
        <v>1515629.0</v>
      </c>
    </row>
    <row r="2828">
      <c r="A2828" s="25">
        <v>42544.64583333333</v>
      </c>
      <c r="B2828" s="25">
        <v>598.65</v>
      </c>
      <c r="C2828" s="25">
        <v>607.42</v>
      </c>
      <c r="D2828" s="25">
        <v>596.67</v>
      </c>
      <c r="E2828" s="25">
        <v>605.8</v>
      </c>
      <c r="F2828" s="25">
        <v>1914313.0</v>
      </c>
    </row>
    <row r="2829">
      <c r="A2829" s="25">
        <v>42545.64583333333</v>
      </c>
      <c r="B2829" s="25">
        <v>594.0</v>
      </c>
      <c r="C2829" s="25">
        <v>599.5</v>
      </c>
      <c r="D2829" s="25">
        <v>580.0</v>
      </c>
      <c r="E2829" s="25">
        <v>597.28</v>
      </c>
      <c r="F2829" s="25">
        <v>3904174.0</v>
      </c>
    </row>
    <row r="2830">
      <c r="A2830" s="25">
        <v>42548.64583333333</v>
      </c>
      <c r="B2830" s="25">
        <v>586.03</v>
      </c>
      <c r="C2830" s="25">
        <v>591.6</v>
      </c>
      <c r="D2830" s="25">
        <v>580.0</v>
      </c>
      <c r="E2830" s="25">
        <v>583.1</v>
      </c>
      <c r="F2830" s="25">
        <v>2791889.0</v>
      </c>
    </row>
    <row r="2831">
      <c r="A2831" s="25">
        <v>42549.64583333333</v>
      </c>
      <c r="B2831" s="25">
        <v>581.4</v>
      </c>
      <c r="C2831" s="25">
        <v>586.25</v>
      </c>
      <c r="D2831" s="25">
        <v>577.55</v>
      </c>
      <c r="E2831" s="25">
        <v>579.58</v>
      </c>
      <c r="F2831" s="25">
        <v>3827987.0</v>
      </c>
    </row>
    <row r="2832">
      <c r="A2832" s="25">
        <v>42550.64583333333</v>
      </c>
      <c r="B2832" s="25">
        <v>584.5</v>
      </c>
      <c r="C2832" s="25">
        <v>589.95</v>
      </c>
      <c r="D2832" s="25">
        <v>580.1</v>
      </c>
      <c r="E2832" s="25">
        <v>588.42</v>
      </c>
      <c r="F2832" s="25">
        <v>2729575.0</v>
      </c>
    </row>
    <row r="2833">
      <c r="A2833" s="25">
        <v>42551.64583333333</v>
      </c>
      <c r="B2833" s="25">
        <v>590.25</v>
      </c>
      <c r="C2833" s="25">
        <v>592.25</v>
      </c>
      <c r="D2833" s="25">
        <v>583.98</v>
      </c>
      <c r="E2833" s="25">
        <v>585.4</v>
      </c>
      <c r="F2833" s="25">
        <v>4673112.0</v>
      </c>
    </row>
    <row r="2834">
      <c r="A2834" s="25">
        <v>42552.64583333333</v>
      </c>
      <c r="B2834" s="25">
        <v>590.0</v>
      </c>
      <c r="C2834" s="25">
        <v>590.0</v>
      </c>
      <c r="D2834" s="25">
        <v>585.05</v>
      </c>
      <c r="E2834" s="25">
        <v>586.2</v>
      </c>
      <c r="F2834" s="25">
        <v>1995956.0</v>
      </c>
    </row>
    <row r="2835">
      <c r="A2835" s="25">
        <v>42555.64583333333</v>
      </c>
      <c r="B2835" s="25">
        <v>588.1</v>
      </c>
      <c r="C2835" s="25">
        <v>597.3</v>
      </c>
      <c r="D2835" s="25">
        <v>588.1</v>
      </c>
      <c r="E2835" s="25">
        <v>591.98</v>
      </c>
      <c r="F2835" s="25">
        <v>2690661.0</v>
      </c>
    </row>
    <row r="2836">
      <c r="A2836" s="25">
        <v>42556.64583333333</v>
      </c>
      <c r="B2836" s="25">
        <v>592.5</v>
      </c>
      <c r="C2836" s="25">
        <v>593.75</v>
      </c>
      <c r="D2836" s="25">
        <v>585.53</v>
      </c>
      <c r="E2836" s="25">
        <v>587.73</v>
      </c>
      <c r="F2836" s="25">
        <v>1798208.0</v>
      </c>
    </row>
    <row r="2837">
      <c r="A2837" s="25">
        <v>42558.64583333333</v>
      </c>
      <c r="B2837" s="25">
        <v>584.35</v>
      </c>
      <c r="C2837" s="25">
        <v>585.5</v>
      </c>
      <c r="D2837" s="25">
        <v>577.5</v>
      </c>
      <c r="E2837" s="25">
        <v>578.63</v>
      </c>
      <c r="F2837" s="25">
        <v>2977438.0</v>
      </c>
    </row>
    <row r="2838">
      <c r="A2838" s="25">
        <v>42559.64583333333</v>
      </c>
      <c r="B2838" s="25">
        <v>581.5</v>
      </c>
      <c r="C2838" s="25">
        <v>583.5</v>
      </c>
      <c r="D2838" s="25">
        <v>576.75</v>
      </c>
      <c r="E2838" s="25">
        <v>579.1</v>
      </c>
      <c r="F2838" s="25">
        <v>2775824.0</v>
      </c>
    </row>
    <row r="2839">
      <c r="A2839" s="25">
        <v>42562.64583333333</v>
      </c>
      <c r="B2839" s="25">
        <v>583.7</v>
      </c>
      <c r="C2839" s="25">
        <v>589.35</v>
      </c>
      <c r="D2839" s="25">
        <v>580.0</v>
      </c>
      <c r="E2839" s="25">
        <v>587.53</v>
      </c>
      <c r="F2839" s="25">
        <v>3334441.0</v>
      </c>
    </row>
    <row r="2840">
      <c r="A2840" s="25">
        <v>42563.64583333333</v>
      </c>
      <c r="B2840" s="25">
        <v>590.0</v>
      </c>
      <c r="C2840" s="25">
        <v>590.17</v>
      </c>
      <c r="D2840" s="25">
        <v>584.0</v>
      </c>
      <c r="E2840" s="25">
        <v>588.28</v>
      </c>
      <c r="F2840" s="25">
        <v>3098684.0</v>
      </c>
    </row>
    <row r="2841">
      <c r="A2841" s="25">
        <v>42564.64583333333</v>
      </c>
      <c r="B2841" s="25">
        <v>590.0</v>
      </c>
      <c r="C2841" s="25">
        <v>597.9</v>
      </c>
      <c r="D2841" s="25">
        <v>587.6</v>
      </c>
      <c r="E2841" s="25">
        <v>596.9</v>
      </c>
      <c r="F2841" s="25">
        <v>2637710.0</v>
      </c>
    </row>
    <row r="2842">
      <c r="A2842" s="25">
        <v>42565.64583333333</v>
      </c>
      <c r="B2842" s="25">
        <v>597.5</v>
      </c>
      <c r="C2842" s="25">
        <v>598.03</v>
      </c>
      <c r="D2842" s="25">
        <v>582.0</v>
      </c>
      <c r="E2842" s="25">
        <v>588.13</v>
      </c>
      <c r="F2842" s="25">
        <v>3706664.0</v>
      </c>
    </row>
    <row r="2843">
      <c r="A2843" s="25">
        <v>42566.64583333333</v>
      </c>
      <c r="B2843" s="25">
        <v>594.75</v>
      </c>
      <c r="C2843" s="25">
        <v>594.95</v>
      </c>
      <c r="D2843" s="25">
        <v>526.0</v>
      </c>
      <c r="E2843" s="25">
        <v>536.28</v>
      </c>
      <c r="F2843" s="25">
        <v>3.0742063E7</v>
      </c>
    </row>
    <row r="2844">
      <c r="A2844" s="25">
        <v>42569.64583333333</v>
      </c>
      <c r="B2844" s="25">
        <v>538.63</v>
      </c>
      <c r="C2844" s="25">
        <v>542.45</v>
      </c>
      <c r="D2844" s="25">
        <v>527.58</v>
      </c>
      <c r="E2844" s="25">
        <v>540.98</v>
      </c>
      <c r="F2844" s="25">
        <v>7166412.0</v>
      </c>
    </row>
    <row r="2845">
      <c r="A2845" s="25">
        <v>42570.64583333333</v>
      </c>
      <c r="B2845" s="25">
        <v>544.3</v>
      </c>
      <c r="C2845" s="25">
        <v>545.0</v>
      </c>
      <c r="D2845" s="25">
        <v>537.05</v>
      </c>
      <c r="E2845" s="25">
        <v>543.48</v>
      </c>
      <c r="F2845" s="25">
        <v>5202322.0</v>
      </c>
    </row>
    <row r="2846">
      <c r="A2846" s="25">
        <v>42571.64583333333</v>
      </c>
      <c r="B2846" s="25">
        <v>535.0</v>
      </c>
      <c r="C2846" s="25">
        <v>544.95</v>
      </c>
      <c r="D2846" s="25">
        <v>535.0</v>
      </c>
      <c r="E2846" s="25">
        <v>541.55</v>
      </c>
      <c r="F2846" s="25">
        <v>4911448.0</v>
      </c>
    </row>
    <row r="2847">
      <c r="A2847" s="25">
        <v>42572.64583333333</v>
      </c>
      <c r="B2847" s="25">
        <v>539.5</v>
      </c>
      <c r="C2847" s="25">
        <v>543.6</v>
      </c>
      <c r="D2847" s="25">
        <v>537.8</v>
      </c>
      <c r="E2847" s="25">
        <v>539.95</v>
      </c>
      <c r="F2847" s="25">
        <v>4334001.0</v>
      </c>
    </row>
    <row r="2848">
      <c r="A2848" s="25">
        <v>42573.64583333333</v>
      </c>
      <c r="B2848" s="25">
        <v>535.0</v>
      </c>
      <c r="C2848" s="25">
        <v>539.95</v>
      </c>
      <c r="D2848" s="25">
        <v>533.35</v>
      </c>
      <c r="E2848" s="25">
        <v>536.23</v>
      </c>
      <c r="F2848" s="25">
        <v>4693269.0</v>
      </c>
    </row>
    <row r="2849">
      <c r="A2849" s="25">
        <v>42576.64583333333</v>
      </c>
      <c r="B2849" s="25">
        <v>531.5</v>
      </c>
      <c r="C2849" s="25">
        <v>541.63</v>
      </c>
      <c r="D2849" s="25">
        <v>531.5</v>
      </c>
      <c r="E2849" s="25">
        <v>540.42</v>
      </c>
      <c r="F2849" s="25">
        <v>4234776.0</v>
      </c>
    </row>
    <row r="2850">
      <c r="A2850" s="25">
        <v>42577.64583333333</v>
      </c>
      <c r="B2850" s="25">
        <v>535.17</v>
      </c>
      <c r="C2850" s="25">
        <v>544.95</v>
      </c>
      <c r="D2850" s="25">
        <v>535.17</v>
      </c>
      <c r="E2850" s="25">
        <v>544.35</v>
      </c>
      <c r="F2850" s="25">
        <v>3594805.0</v>
      </c>
    </row>
    <row r="2851">
      <c r="A2851" s="25">
        <v>42578.64583333333</v>
      </c>
      <c r="B2851" s="25">
        <v>542.35</v>
      </c>
      <c r="C2851" s="25">
        <v>548.25</v>
      </c>
      <c r="D2851" s="25">
        <v>539.28</v>
      </c>
      <c r="E2851" s="25">
        <v>542.67</v>
      </c>
      <c r="F2851" s="25">
        <v>3715910.0</v>
      </c>
    </row>
    <row r="2852">
      <c r="A2852" s="25">
        <v>42579.64583333333</v>
      </c>
      <c r="B2852" s="25">
        <v>542.7</v>
      </c>
      <c r="C2852" s="25">
        <v>543.48</v>
      </c>
      <c r="D2852" s="25">
        <v>537.03</v>
      </c>
      <c r="E2852" s="25">
        <v>538.75</v>
      </c>
      <c r="F2852" s="25">
        <v>5629281.0</v>
      </c>
    </row>
    <row r="2853">
      <c r="A2853" s="25">
        <v>42580.64583333333</v>
      </c>
      <c r="B2853" s="25">
        <v>536.3</v>
      </c>
      <c r="C2853" s="25">
        <v>538.38</v>
      </c>
      <c r="D2853" s="25">
        <v>533.25</v>
      </c>
      <c r="E2853" s="25">
        <v>536.92</v>
      </c>
      <c r="F2853" s="25">
        <v>4078392.0</v>
      </c>
    </row>
    <row r="2854">
      <c r="A2854" s="25">
        <v>42583.64583333333</v>
      </c>
      <c r="B2854" s="25">
        <v>535.75</v>
      </c>
      <c r="C2854" s="25">
        <v>543.92</v>
      </c>
      <c r="D2854" s="25">
        <v>534.17</v>
      </c>
      <c r="E2854" s="25">
        <v>542.63</v>
      </c>
      <c r="F2854" s="25">
        <v>4548331.0</v>
      </c>
    </row>
    <row r="2855">
      <c r="A2855" s="25">
        <v>42584.64583333333</v>
      </c>
      <c r="B2855" s="25">
        <v>539.95</v>
      </c>
      <c r="C2855" s="25">
        <v>542.5</v>
      </c>
      <c r="D2855" s="25">
        <v>537.5</v>
      </c>
      <c r="E2855" s="25">
        <v>541.9</v>
      </c>
      <c r="F2855" s="25">
        <v>3411251.0</v>
      </c>
    </row>
    <row r="2856">
      <c r="A2856" s="25">
        <v>42585.64583333333</v>
      </c>
      <c r="B2856" s="25">
        <v>542.83</v>
      </c>
      <c r="C2856" s="25">
        <v>543.25</v>
      </c>
      <c r="D2856" s="25">
        <v>535.15</v>
      </c>
      <c r="E2856" s="25">
        <v>542.45</v>
      </c>
      <c r="F2856" s="25">
        <v>3606730.0</v>
      </c>
    </row>
    <row r="2857">
      <c r="A2857" s="25">
        <v>42586.64583333333</v>
      </c>
      <c r="B2857" s="25">
        <v>543.2</v>
      </c>
      <c r="C2857" s="25">
        <v>543.45</v>
      </c>
      <c r="D2857" s="25">
        <v>535.03</v>
      </c>
      <c r="E2857" s="25">
        <v>535.9</v>
      </c>
      <c r="F2857" s="25">
        <v>2118639.0</v>
      </c>
    </row>
    <row r="2858">
      <c r="A2858" s="25">
        <v>42587.64583333333</v>
      </c>
      <c r="B2858" s="25">
        <v>536.0</v>
      </c>
      <c r="C2858" s="25">
        <v>536.73</v>
      </c>
      <c r="D2858" s="25">
        <v>530.0</v>
      </c>
      <c r="E2858" s="25">
        <v>534.0</v>
      </c>
      <c r="F2858" s="25">
        <v>2804984.0</v>
      </c>
    </row>
    <row r="2859">
      <c r="A2859" s="25">
        <v>42590.64583333333</v>
      </c>
      <c r="B2859" s="25">
        <v>534.5</v>
      </c>
      <c r="C2859" s="25">
        <v>540.5</v>
      </c>
      <c r="D2859" s="25">
        <v>531.28</v>
      </c>
      <c r="E2859" s="25">
        <v>539.35</v>
      </c>
      <c r="F2859" s="25">
        <v>2321532.0</v>
      </c>
    </row>
    <row r="2860">
      <c r="A2860" s="25">
        <v>42591.64583333333</v>
      </c>
      <c r="B2860" s="25">
        <v>538.5</v>
      </c>
      <c r="C2860" s="25">
        <v>542.25</v>
      </c>
      <c r="D2860" s="25">
        <v>535.75</v>
      </c>
      <c r="E2860" s="25">
        <v>541.7</v>
      </c>
      <c r="F2860" s="25">
        <v>3596332.0</v>
      </c>
    </row>
    <row r="2861">
      <c r="A2861" s="25">
        <v>42592.64583333333</v>
      </c>
      <c r="B2861" s="25">
        <v>538.0</v>
      </c>
      <c r="C2861" s="25">
        <v>543.95</v>
      </c>
      <c r="D2861" s="25">
        <v>537.6</v>
      </c>
      <c r="E2861" s="25">
        <v>541.17</v>
      </c>
      <c r="F2861" s="25">
        <v>2788227.0</v>
      </c>
    </row>
    <row r="2862">
      <c r="A2862" s="25">
        <v>42593.64583333333</v>
      </c>
      <c r="B2862" s="25">
        <v>540.85</v>
      </c>
      <c r="C2862" s="25">
        <v>547.5</v>
      </c>
      <c r="D2862" s="25">
        <v>537.63</v>
      </c>
      <c r="E2862" s="25">
        <v>538.67</v>
      </c>
      <c r="F2862" s="25">
        <v>2519276.0</v>
      </c>
    </row>
    <row r="2863">
      <c r="A2863" s="25">
        <v>42594.64583333333</v>
      </c>
      <c r="B2863" s="25">
        <v>537.53</v>
      </c>
      <c r="C2863" s="25">
        <v>539.4</v>
      </c>
      <c r="D2863" s="25">
        <v>530.0</v>
      </c>
      <c r="E2863" s="25">
        <v>531.28</v>
      </c>
      <c r="F2863" s="25">
        <v>3724964.0</v>
      </c>
    </row>
    <row r="2864">
      <c r="A2864" s="25">
        <v>42598.64583333333</v>
      </c>
      <c r="B2864" s="25">
        <v>521.0</v>
      </c>
      <c r="C2864" s="25">
        <v>529.03</v>
      </c>
      <c r="D2864" s="25">
        <v>514.0</v>
      </c>
      <c r="E2864" s="25">
        <v>525.9</v>
      </c>
      <c r="F2864" s="25">
        <v>8214704.0</v>
      </c>
    </row>
    <row r="2865">
      <c r="A2865" s="25">
        <v>42599.64583333333</v>
      </c>
      <c r="B2865" s="25">
        <v>524.98</v>
      </c>
      <c r="C2865" s="25">
        <v>526.33</v>
      </c>
      <c r="D2865" s="25">
        <v>515.25</v>
      </c>
      <c r="E2865" s="25">
        <v>516.65</v>
      </c>
      <c r="F2865" s="25">
        <v>3299658.0</v>
      </c>
    </row>
    <row r="2866">
      <c r="A2866" s="25">
        <v>42600.64583333333</v>
      </c>
      <c r="B2866" s="25">
        <v>518.25</v>
      </c>
      <c r="C2866" s="25">
        <v>519.55</v>
      </c>
      <c r="D2866" s="25">
        <v>510.75</v>
      </c>
      <c r="E2866" s="25">
        <v>511.7</v>
      </c>
      <c r="F2866" s="25">
        <v>4217000.0</v>
      </c>
    </row>
    <row r="2867">
      <c r="A2867" s="25">
        <v>42601.64583333333</v>
      </c>
      <c r="B2867" s="25">
        <v>515.0</v>
      </c>
      <c r="C2867" s="25">
        <v>519.5</v>
      </c>
      <c r="D2867" s="25">
        <v>509.23</v>
      </c>
      <c r="E2867" s="25">
        <v>510.65</v>
      </c>
      <c r="F2867" s="25">
        <v>2843008.0</v>
      </c>
    </row>
    <row r="2868">
      <c r="A2868" s="25">
        <v>42604.64583333333</v>
      </c>
      <c r="B2868" s="25">
        <v>509.0</v>
      </c>
      <c r="C2868" s="25">
        <v>515.0</v>
      </c>
      <c r="D2868" s="25">
        <v>504.55</v>
      </c>
      <c r="E2868" s="25">
        <v>507.73</v>
      </c>
      <c r="F2868" s="25">
        <v>5126759.0</v>
      </c>
    </row>
    <row r="2869">
      <c r="A2869" s="25">
        <v>42605.64583333333</v>
      </c>
      <c r="B2869" s="25">
        <v>510.05</v>
      </c>
      <c r="C2869" s="25">
        <v>521.0</v>
      </c>
      <c r="D2869" s="25">
        <v>510.05</v>
      </c>
      <c r="E2869" s="25">
        <v>519.83</v>
      </c>
      <c r="F2869" s="25">
        <v>3703069.0</v>
      </c>
    </row>
    <row r="2870">
      <c r="A2870" s="25">
        <v>42606.64583333333</v>
      </c>
      <c r="B2870" s="25">
        <v>523.5</v>
      </c>
      <c r="C2870" s="25">
        <v>531.03</v>
      </c>
      <c r="D2870" s="25">
        <v>523.5</v>
      </c>
      <c r="E2870" s="25">
        <v>528.7</v>
      </c>
      <c r="F2870" s="25">
        <v>3064983.0</v>
      </c>
    </row>
    <row r="2871">
      <c r="A2871" s="25">
        <v>42607.64583333333</v>
      </c>
      <c r="B2871" s="25">
        <v>527.5</v>
      </c>
      <c r="C2871" s="25">
        <v>528.8</v>
      </c>
      <c r="D2871" s="25">
        <v>516.05</v>
      </c>
      <c r="E2871" s="25">
        <v>518.08</v>
      </c>
      <c r="F2871" s="25">
        <v>2398281.0</v>
      </c>
    </row>
    <row r="2872">
      <c r="A2872" s="25">
        <v>42608.64583333333</v>
      </c>
      <c r="B2872" s="25">
        <v>518.0</v>
      </c>
      <c r="C2872" s="25">
        <v>523.0</v>
      </c>
      <c r="D2872" s="25">
        <v>508.53</v>
      </c>
      <c r="E2872" s="25">
        <v>510.13</v>
      </c>
      <c r="F2872" s="25">
        <v>3440527.0</v>
      </c>
    </row>
    <row r="2873">
      <c r="A2873" s="25">
        <v>42611.64583333333</v>
      </c>
      <c r="B2873" s="25">
        <v>508.8</v>
      </c>
      <c r="C2873" s="25">
        <v>515.0</v>
      </c>
      <c r="D2873" s="25">
        <v>505.5</v>
      </c>
      <c r="E2873" s="25">
        <v>511.4</v>
      </c>
      <c r="F2873" s="25">
        <v>2610141.0</v>
      </c>
    </row>
    <row r="2874">
      <c r="A2874" s="25">
        <v>42612.64583333333</v>
      </c>
      <c r="B2874" s="25">
        <v>516.23</v>
      </c>
      <c r="C2874" s="25">
        <v>522.5</v>
      </c>
      <c r="D2874" s="25">
        <v>512.5</v>
      </c>
      <c r="E2874" s="25">
        <v>520.2</v>
      </c>
      <c r="F2874" s="25">
        <v>2187719.0</v>
      </c>
    </row>
    <row r="2875">
      <c r="A2875" s="25">
        <v>42613.64583333333</v>
      </c>
      <c r="B2875" s="25">
        <v>518.55</v>
      </c>
      <c r="C2875" s="25">
        <v>522.88</v>
      </c>
      <c r="D2875" s="25">
        <v>513.9</v>
      </c>
      <c r="E2875" s="25">
        <v>517.92</v>
      </c>
      <c r="F2875" s="25">
        <v>5569907.0</v>
      </c>
    </row>
    <row r="2876">
      <c r="A2876" s="25">
        <v>42614.64583333333</v>
      </c>
      <c r="B2876" s="25">
        <v>519.0</v>
      </c>
      <c r="C2876" s="25">
        <v>520.23</v>
      </c>
      <c r="D2876" s="25">
        <v>516.0</v>
      </c>
      <c r="E2876" s="25">
        <v>518.78</v>
      </c>
      <c r="F2876" s="25">
        <v>1438913.0</v>
      </c>
    </row>
    <row r="2877">
      <c r="A2877" s="25">
        <v>42615.64583333333</v>
      </c>
      <c r="B2877" s="25">
        <v>519.53</v>
      </c>
      <c r="C2877" s="25">
        <v>520.0</v>
      </c>
      <c r="D2877" s="25">
        <v>513.1</v>
      </c>
      <c r="E2877" s="25">
        <v>515.92</v>
      </c>
      <c r="F2877" s="25">
        <v>1666296.0</v>
      </c>
    </row>
    <row r="2878">
      <c r="A2878" s="25">
        <v>42619.64583333333</v>
      </c>
      <c r="B2878" s="25">
        <v>519.13</v>
      </c>
      <c r="C2878" s="25">
        <v>524.45</v>
      </c>
      <c r="D2878" s="25">
        <v>517.8</v>
      </c>
      <c r="E2878" s="25">
        <v>522.5</v>
      </c>
      <c r="F2878" s="25">
        <v>4107522.0</v>
      </c>
    </row>
    <row r="2879">
      <c r="A2879" s="25">
        <v>42620.64583333333</v>
      </c>
      <c r="B2879" s="25">
        <v>524.0</v>
      </c>
      <c r="C2879" s="25">
        <v>529.5</v>
      </c>
      <c r="D2879" s="25">
        <v>522.0</v>
      </c>
      <c r="E2879" s="25">
        <v>527.17</v>
      </c>
      <c r="F2879" s="25">
        <v>3712735.0</v>
      </c>
    </row>
    <row r="2880">
      <c r="A2880" s="25">
        <v>42621.64583333333</v>
      </c>
      <c r="B2880" s="25">
        <v>522.5</v>
      </c>
      <c r="C2880" s="25">
        <v>522.5</v>
      </c>
      <c r="D2880" s="25">
        <v>512.0</v>
      </c>
      <c r="E2880" s="25">
        <v>518.83</v>
      </c>
      <c r="F2880" s="25">
        <v>4546387.0</v>
      </c>
    </row>
    <row r="2881">
      <c r="A2881" s="25">
        <v>42622.64583333333</v>
      </c>
      <c r="B2881" s="25">
        <v>518.5</v>
      </c>
      <c r="C2881" s="25">
        <v>520.5</v>
      </c>
      <c r="D2881" s="25">
        <v>513.28</v>
      </c>
      <c r="E2881" s="25">
        <v>517.75</v>
      </c>
      <c r="F2881" s="25">
        <v>2526719.0</v>
      </c>
    </row>
    <row r="2882">
      <c r="A2882" s="25">
        <v>42625.64583333333</v>
      </c>
      <c r="B2882" s="25">
        <v>512.63</v>
      </c>
      <c r="C2882" s="25">
        <v>529.0</v>
      </c>
      <c r="D2882" s="25">
        <v>512.63</v>
      </c>
      <c r="E2882" s="25">
        <v>527.0</v>
      </c>
      <c r="F2882" s="25">
        <v>3101548.0</v>
      </c>
    </row>
    <row r="2883">
      <c r="A2883" s="25">
        <v>42627.64583333333</v>
      </c>
      <c r="B2883" s="25">
        <v>526.98</v>
      </c>
      <c r="C2883" s="25">
        <v>528.9</v>
      </c>
      <c r="D2883" s="25">
        <v>520.33</v>
      </c>
      <c r="E2883" s="25">
        <v>522.8</v>
      </c>
      <c r="F2883" s="25">
        <v>2576209.0</v>
      </c>
    </row>
    <row r="2884">
      <c r="A2884" s="25">
        <v>42628.64583333333</v>
      </c>
      <c r="B2884" s="25">
        <v>522.8</v>
      </c>
      <c r="C2884" s="25">
        <v>523.4</v>
      </c>
      <c r="D2884" s="25">
        <v>517.67</v>
      </c>
      <c r="E2884" s="25">
        <v>521.1</v>
      </c>
      <c r="F2884" s="25">
        <v>2350861.0</v>
      </c>
    </row>
    <row r="2885">
      <c r="A2885" s="25">
        <v>42629.64583333333</v>
      </c>
      <c r="B2885" s="25">
        <v>524.5</v>
      </c>
      <c r="C2885" s="25">
        <v>532.25</v>
      </c>
      <c r="D2885" s="25">
        <v>519.05</v>
      </c>
      <c r="E2885" s="25">
        <v>530.08</v>
      </c>
      <c r="F2885" s="25">
        <v>4974692.0</v>
      </c>
    </row>
    <row r="2886">
      <c r="A2886" s="25">
        <v>42632.64583333333</v>
      </c>
      <c r="B2886" s="25">
        <v>523.0</v>
      </c>
      <c r="C2886" s="25">
        <v>534.45</v>
      </c>
      <c r="D2886" s="25">
        <v>520.67</v>
      </c>
      <c r="E2886" s="25">
        <v>530.6</v>
      </c>
      <c r="F2886" s="25">
        <v>2904577.0</v>
      </c>
    </row>
    <row r="2887">
      <c r="A2887" s="25">
        <v>42633.64583333333</v>
      </c>
      <c r="B2887" s="25">
        <v>526.65</v>
      </c>
      <c r="C2887" s="25">
        <v>528.58</v>
      </c>
      <c r="D2887" s="25">
        <v>522.88</v>
      </c>
      <c r="E2887" s="25">
        <v>525.08</v>
      </c>
      <c r="F2887" s="25">
        <v>2107002.0</v>
      </c>
    </row>
    <row r="2888">
      <c r="A2888" s="25">
        <v>42634.64583333333</v>
      </c>
      <c r="B2888" s="25">
        <v>527.0</v>
      </c>
      <c r="C2888" s="25">
        <v>530.63</v>
      </c>
      <c r="D2888" s="25">
        <v>525.53</v>
      </c>
      <c r="E2888" s="25">
        <v>527.88</v>
      </c>
      <c r="F2888" s="25">
        <v>2115766.0</v>
      </c>
    </row>
    <row r="2889">
      <c r="A2889" s="25">
        <v>42635.64583333333</v>
      </c>
      <c r="B2889" s="25">
        <v>529.5</v>
      </c>
      <c r="C2889" s="25">
        <v>530.5</v>
      </c>
      <c r="D2889" s="25">
        <v>526.0</v>
      </c>
      <c r="E2889" s="25">
        <v>529.4</v>
      </c>
      <c r="F2889" s="25">
        <v>1814757.0</v>
      </c>
    </row>
    <row r="2890">
      <c r="A2890" s="25">
        <v>42636.64583333333</v>
      </c>
      <c r="B2890" s="25">
        <v>528.5</v>
      </c>
      <c r="C2890" s="25">
        <v>529.4</v>
      </c>
      <c r="D2890" s="25">
        <v>520.0</v>
      </c>
      <c r="E2890" s="25">
        <v>521.28</v>
      </c>
      <c r="F2890" s="25">
        <v>2602647.0</v>
      </c>
    </row>
    <row r="2891">
      <c r="A2891" s="25">
        <v>42639.64583333333</v>
      </c>
      <c r="B2891" s="25">
        <v>521.38</v>
      </c>
      <c r="C2891" s="25">
        <v>522.0</v>
      </c>
      <c r="D2891" s="25">
        <v>515.5</v>
      </c>
      <c r="E2891" s="25">
        <v>517.95</v>
      </c>
      <c r="F2891" s="25">
        <v>3185899.0</v>
      </c>
    </row>
    <row r="2892">
      <c r="A2892" s="25">
        <v>42640.64583333333</v>
      </c>
      <c r="B2892" s="25">
        <v>517.53</v>
      </c>
      <c r="C2892" s="25">
        <v>524.95</v>
      </c>
      <c r="D2892" s="25">
        <v>516.67</v>
      </c>
      <c r="E2892" s="25">
        <v>519.88</v>
      </c>
      <c r="F2892" s="25">
        <v>3262830.0</v>
      </c>
    </row>
    <row r="2893">
      <c r="A2893" s="25">
        <v>42641.64583333333</v>
      </c>
      <c r="B2893" s="25">
        <v>520.0</v>
      </c>
      <c r="C2893" s="25">
        <v>521.15</v>
      </c>
      <c r="D2893" s="25">
        <v>516.63</v>
      </c>
      <c r="E2893" s="25">
        <v>519.48</v>
      </c>
      <c r="F2893" s="25">
        <v>2717354.0</v>
      </c>
    </row>
    <row r="2894">
      <c r="A2894" s="25">
        <v>42642.64583333333</v>
      </c>
      <c r="B2894" s="25">
        <v>522.48</v>
      </c>
      <c r="C2894" s="25">
        <v>522.48</v>
      </c>
      <c r="D2894" s="25">
        <v>512.0</v>
      </c>
      <c r="E2894" s="25">
        <v>514.6</v>
      </c>
      <c r="F2894" s="25">
        <v>4451319.0</v>
      </c>
    </row>
    <row r="2895">
      <c r="A2895" s="25">
        <v>42643.64583333333</v>
      </c>
      <c r="B2895" s="25">
        <v>515.55</v>
      </c>
      <c r="C2895" s="25">
        <v>521.95</v>
      </c>
      <c r="D2895" s="25">
        <v>515.55</v>
      </c>
      <c r="E2895" s="25">
        <v>518.03</v>
      </c>
      <c r="F2895" s="25">
        <v>3251177.0</v>
      </c>
    </row>
    <row r="2896">
      <c r="A2896" s="25">
        <v>42646.64583333333</v>
      </c>
      <c r="B2896" s="25">
        <v>517.75</v>
      </c>
      <c r="C2896" s="25">
        <v>520.0</v>
      </c>
      <c r="D2896" s="25">
        <v>513.05</v>
      </c>
      <c r="E2896" s="25">
        <v>519.05</v>
      </c>
      <c r="F2896" s="25">
        <v>1828080.0</v>
      </c>
    </row>
    <row r="2897">
      <c r="A2897" s="25">
        <v>42647.64583333333</v>
      </c>
      <c r="B2897" s="25">
        <v>520.0</v>
      </c>
      <c r="C2897" s="25">
        <v>525.7</v>
      </c>
      <c r="D2897" s="25">
        <v>519.15</v>
      </c>
      <c r="E2897" s="25">
        <v>524.6</v>
      </c>
      <c r="F2897" s="25">
        <v>2533293.0</v>
      </c>
    </row>
    <row r="2898">
      <c r="A2898" s="25">
        <v>42648.64583333333</v>
      </c>
      <c r="B2898" s="25">
        <v>524.6</v>
      </c>
      <c r="C2898" s="25">
        <v>524.92</v>
      </c>
      <c r="D2898" s="25">
        <v>518.5</v>
      </c>
      <c r="E2898" s="25">
        <v>520.75</v>
      </c>
      <c r="F2898" s="25">
        <v>1153787.0</v>
      </c>
    </row>
    <row r="2899">
      <c r="A2899" s="25">
        <v>42649.64583333333</v>
      </c>
      <c r="B2899" s="25">
        <v>522.5</v>
      </c>
      <c r="C2899" s="25">
        <v>522.5</v>
      </c>
      <c r="D2899" s="25">
        <v>512.98</v>
      </c>
      <c r="E2899" s="25">
        <v>513.7</v>
      </c>
      <c r="F2899" s="25">
        <v>1860941.0</v>
      </c>
    </row>
    <row r="2900">
      <c r="A2900" s="25">
        <v>42650.64583333333</v>
      </c>
      <c r="B2900" s="25">
        <v>514.98</v>
      </c>
      <c r="C2900" s="25">
        <v>516.9</v>
      </c>
      <c r="D2900" s="25">
        <v>505.05</v>
      </c>
      <c r="E2900" s="25">
        <v>506.28</v>
      </c>
      <c r="F2900" s="25">
        <v>3144279.0</v>
      </c>
    </row>
    <row r="2901">
      <c r="A2901" s="25">
        <v>42653.64583333333</v>
      </c>
      <c r="B2901" s="25">
        <v>508.5</v>
      </c>
      <c r="C2901" s="25">
        <v>515.88</v>
      </c>
      <c r="D2901" s="25">
        <v>505.0</v>
      </c>
      <c r="E2901" s="25">
        <v>514.98</v>
      </c>
      <c r="F2901" s="25">
        <v>2706585.0</v>
      </c>
    </row>
    <row r="2902">
      <c r="A2902" s="25">
        <v>42656.64583333333</v>
      </c>
      <c r="B2902" s="25">
        <v>510.7</v>
      </c>
      <c r="C2902" s="25">
        <v>529.0</v>
      </c>
      <c r="D2902" s="25">
        <v>510.7</v>
      </c>
      <c r="E2902" s="25">
        <v>526.17</v>
      </c>
      <c r="F2902" s="25">
        <v>4889345.0</v>
      </c>
    </row>
    <row r="2903">
      <c r="A2903" s="25">
        <v>42657.64583333333</v>
      </c>
      <c r="B2903" s="25">
        <v>526.45</v>
      </c>
      <c r="C2903" s="25">
        <v>541.35</v>
      </c>
      <c r="D2903" s="25">
        <v>498.13</v>
      </c>
      <c r="E2903" s="25">
        <v>513.58</v>
      </c>
      <c r="F2903" s="25">
        <v>1.6730845E7</v>
      </c>
    </row>
    <row r="2904">
      <c r="A2904" s="25">
        <v>42660.64583333333</v>
      </c>
      <c r="B2904" s="25">
        <v>517.48</v>
      </c>
      <c r="C2904" s="25">
        <v>520.9</v>
      </c>
      <c r="D2904" s="25">
        <v>508.68</v>
      </c>
      <c r="E2904" s="25">
        <v>511.2</v>
      </c>
      <c r="F2904" s="25">
        <v>4007429.0</v>
      </c>
    </row>
    <row r="2905">
      <c r="A2905" s="25">
        <v>42661.64583333333</v>
      </c>
      <c r="B2905" s="25">
        <v>515.0</v>
      </c>
      <c r="C2905" s="25">
        <v>520.25</v>
      </c>
      <c r="D2905" s="25">
        <v>513.65</v>
      </c>
      <c r="E2905" s="25">
        <v>519.53</v>
      </c>
      <c r="F2905" s="25">
        <v>3194067.0</v>
      </c>
    </row>
    <row r="2906">
      <c r="A2906" s="25">
        <v>42662.64583333333</v>
      </c>
      <c r="B2906" s="25">
        <v>521.0</v>
      </c>
      <c r="C2906" s="25">
        <v>522.85</v>
      </c>
      <c r="D2906" s="25">
        <v>518.0</v>
      </c>
      <c r="E2906" s="25">
        <v>520.9</v>
      </c>
      <c r="F2906" s="25">
        <v>1754918.0</v>
      </c>
    </row>
    <row r="2907">
      <c r="A2907" s="25">
        <v>42663.64583333333</v>
      </c>
      <c r="B2907" s="25">
        <v>522.38</v>
      </c>
      <c r="C2907" s="25">
        <v>525.35</v>
      </c>
      <c r="D2907" s="25">
        <v>516.9</v>
      </c>
      <c r="E2907" s="25">
        <v>518.33</v>
      </c>
      <c r="F2907" s="25">
        <v>1767745.0</v>
      </c>
    </row>
    <row r="2908">
      <c r="A2908" s="25">
        <v>42664.64583333333</v>
      </c>
      <c r="B2908" s="25">
        <v>517.5</v>
      </c>
      <c r="C2908" s="25">
        <v>520.5</v>
      </c>
      <c r="D2908" s="25">
        <v>511.25</v>
      </c>
      <c r="E2908" s="25">
        <v>519.15</v>
      </c>
      <c r="F2908" s="25">
        <v>1931810.0</v>
      </c>
    </row>
    <row r="2909">
      <c r="A2909" s="25">
        <v>42667.64583333333</v>
      </c>
      <c r="B2909" s="25">
        <v>518.75</v>
      </c>
      <c r="C2909" s="25">
        <v>521.35</v>
      </c>
      <c r="D2909" s="25">
        <v>512.75</v>
      </c>
      <c r="E2909" s="25">
        <v>513.55</v>
      </c>
      <c r="F2909" s="25">
        <v>1451487.0</v>
      </c>
    </row>
    <row r="2910">
      <c r="A2910" s="25">
        <v>42668.64583333333</v>
      </c>
      <c r="B2910" s="25">
        <v>518.25</v>
      </c>
      <c r="C2910" s="25">
        <v>519.45</v>
      </c>
      <c r="D2910" s="25">
        <v>507.6</v>
      </c>
      <c r="E2910" s="25">
        <v>508.6</v>
      </c>
      <c r="F2910" s="25">
        <v>2818007.0</v>
      </c>
    </row>
    <row r="2911">
      <c r="A2911" s="25">
        <v>42669.64583333333</v>
      </c>
      <c r="B2911" s="25">
        <v>508.5</v>
      </c>
      <c r="C2911" s="25">
        <v>509.93</v>
      </c>
      <c r="D2911" s="25">
        <v>504.65</v>
      </c>
      <c r="E2911" s="25">
        <v>507.1</v>
      </c>
      <c r="F2911" s="25">
        <v>1387608.0</v>
      </c>
    </row>
    <row r="2912">
      <c r="A2912" s="25">
        <v>42670.64583333333</v>
      </c>
      <c r="B2912" s="25">
        <v>508.95</v>
      </c>
      <c r="C2912" s="25">
        <v>508.98</v>
      </c>
      <c r="D2912" s="25">
        <v>500.55</v>
      </c>
      <c r="E2912" s="25">
        <v>501.75</v>
      </c>
      <c r="F2912" s="25">
        <v>3613895.0</v>
      </c>
    </row>
    <row r="2913">
      <c r="A2913" s="25">
        <v>42671.64583333333</v>
      </c>
      <c r="B2913" s="25">
        <v>502.6</v>
      </c>
      <c r="C2913" s="25">
        <v>505.0</v>
      </c>
      <c r="D2913" s="25">
        <v>496.58</v>
      </c>
      <c r="E2913" s="25">
        <v>498.75</v>
      </c>
      <c r="F2913" s="25">
        <v>2920353.0</v>
      </c>
    </row>
    <row r="2914">
      <c r="A2914" s="25">
        <v>42675.64583333333</v>
      </c>
      <c r="B2914" s="25">
        <v>503.4</v>
      </c>
      <c r="C2914" s="25">
        <v>503.4</v>
      </c>
      <c r="D2914" s="25">
        <v>493.2</v>
      </c>
      <c r="E2914" s="25">
        <v>494.73</v>
      </c>
      <c r="F2914" s="25">
        <v>3166399.0</v>
      </c>
    </row>
    <row r="2915">
      <c r="A2915" s="25">
        <v>42676.64583333333</v>
      </c>
      <c r="B2915" s="25">
        <v>492.4</v>
      </c>
      <c r="C2915" s="25">
        <v>493.75</v>
      </c>
      <c r="D2915" s="25">
        <v>490.0</v>
      </c>
      <c r="E2915" s="25">
        <v>490.53</v>
      </c>
      <c r="F2915" s="25">
        <v>2688597.0</v>
      </c>
    </row>
    <row r="2916">
      <c r="A2916" s="25">
        <v>42677.64583333333</v>
      </c>
      <c r="B2916" s="25">
        <v>490.53</v>
      </c>
      <c r="C2916" s="25">
        <v>491.0</v>
      </c>
      <c r="D2916" s="25">
        <v>482.55</v>
      </c>
      <c r="E2916" s="25">
        <v>483.43</v>
      </c>
      <c r="F2916" s="25">
        <v>2612554.0</v>
      </c>
    </row>
    <row r="2917">
      <c r="A2917" s="25">
        <v>42678.64583333333</v>
      </c>
      <c r="B2917" s="25">
        <v>483.5</v>
      </c>
      <c r="C2917" s="25">
        <v>489.6</v>
      </c>
      <c r="D2917" s="25">
        <v>480.5</v>
      </c>
      <c r="E2917" s="25">
        <v>485.5</v>
      </c>
      <c r="F2917" s="25">
        <v>3002774.0</v>
      </c>
    </row>
    <row r="2918">
      <c r="A2918" s="25">
        <v>42681.64583333333</v>
      </c>
      <c r="B2918" s="25">
        <v>492.5</v>
      </c>
      <c r="C2918" s="25">
        <v>493.0</v>
      </c>
      <c r="D2918" s="25">
        <v>487.5</v>
      </c>
      <c r="E2918" s="25">
        <v>488.98</v>
      </c>
      <c r="F2918" s="25">
        <v>2268836.0</v>
      </c>
    </row>
    <row r="2919">
      <c r="A2919" s="25">
        <v>42682.64583333333</v>
      </c>
      <c r="B2919" s="25">
        <v>493.45</v>
      </c>
      <c r="C2919" s="25">
        <v>493.88</v>
      </c>
      <c r="D2919" s="25">
        <v>485.3</v>
      </c>
      <c r="E2919" s="25">
        <v>491.3</v>
      </c>
      <c r="F2919" s="25">
        <v>2630554.0</v>
      </c>
    </row>
    <row r="2920">
      <c r="A2920" s="25">
        <v>42683.64583333333</v>
      </c>
      <c r="B2920" s="25">
        <v>465.0</v>
      </c>
      <c r="C2920" s="25">
        <v>487.3</v>
      </c>
      <c r="D2920" s="25">
        <v>450.5</v>
      </c>
      <c r="E2920" s="25">
        <v>479.15</v>
      </c>
      <c r="F2920" s="25">
        <v>6382079.0</v>
      </c>
    </row>
    <row r="2921">
      <c r="A2921" s="25">
        <v>42684.64583333333</v>
      </c>
      <c r="B2921" s="25">
        <v>481.25</v>
      </c>
      <c r="C2921" s="25">
        <v>481.25</v>
      </c>
      <c r="D2921" s="25">
        <v>467.5</v>
      </c>
      <c r="E2921" s="25">
        <v>469.7</v>
      </c>
      <c r="F2921" s="25">
        <v>3643665.0</v>
      </c>
    </row>
    <row r="2922">
      <c r="A2922" s="25">
        <v>42685.64583333333</v>
      </c>
      <c r="B2922" s="25">
        <v>470.0</v>
      </c>
      <c r="C2922" s="25">
        <v>472.5</v>
      </c>
      <c r="D2922" s="25">
        <v>459.35</v>
      </c>
      <c r="E2922" s="25">
        <v>460.78</v>
      </c>
      <c r="F2922" s="25">
        <v>3548391.0</v>
      </c>
    </row>
    <row r="2923">
      <c r="A2923" s="25">
        <v>42689.64583333333</v>
      </c>
      <c r="B2923" s="25">
        <v>462.0</v>
      </c>
      <c r="C2923" s="25">
        <v>469.98</v>
      </c>
      <c r="D2923" s="25">
        <v>454.28</v>
      </c>
      <c r="E2923" s="25">
        <v>461.78</v>
      </c>
      <c r="F2923" s="25">
        <v>4617925.0</v>
      </c>
    </row>
    <row r="2924">
      <c r="A2924" s="25">
        <v>42690.64583333333</v>
      </c>
      <c r="B2924" s="25">
        <v>465.0</v>
      </c>
      <c r="C2924" s="25">
        <v>478.43</v>
      </c>
      <c r="D2924" s="25">
        <v>464.28</v>
      </c>
      <c r="E2924" s="25">
        <v>470.45</v>
      </c>
      <c r="F2924" s="25">
        <v>6111308.0</v>
      </c>
    </row>
    <row r="2925">
      <c r="A2925" s="25">
        <v>42691.64583333333</v>
      </c>
      <c r="B2925" s="25">
        <v>467.13</v>
      </c>
      <c r="C2925" s="25">
        <v>474.5</v>
      </c>
      <c r="D2925" s="25">
        <v>463.2</v>
      </c>
      <c r="E2925" s="25">
        <v>464.9</v>
      </c>
      <c r="F2925" s="25">
        <v>2853365.0</v>
      </c>
    </row>
    <row r="2926">
      <c r="A2926" s="25">
        <v>42692.64583333333</v>
      </c>
      <c r="B2926" s="25">
        <v>465.0</v>
      </c>
      <c r="C2926" s="25">
        <v>466.63</v>
      </c>
      <c r="D2926" s="25">
        <v>458.75</v>
      </c>
      <c r="E2926" s="25">
        <v>460.0</v>
      </c>
      <c r="F2926" s="25">
        <v>3020114.0</v>
      </c>
    </row>
    <row r="2927">
      <c r="A2927" s="25">
        <v>42695.64583333333</v>
      </c>
      <c r="B2927" s="25">
        <v>463.45</v>
      </c>
      <c r="C2927" s="25">
        <v>463.45</v>
      </c>
      <c r="D2927" s="25">
        <v>453.48</v>
      </c>
      <c r="E2927" s="25">
        <v>455.55</v>
      </c>
      <c r="F2927" s="25">
        <v>3970284.0</v>
      </c>
    </row>
    <row r="2928">
      <c r="A2928" s="25">
        <v>42696.64583333333</v>
      </c>
      <c r="B2928" s="25">
        <v>458.45</v>
      </c>
      <c r="C2928" s="25">
        <v>464.33</v>
      </c>
      <c r="D2928" s="25">
        <v>455.83</v>
      </c>
      <c r="E2928" s="25">
        <v>457.1</v>
      </c>
      <c r="F2928" s="25">
        <v>2741563.0</v>
      </c>
    </row>
    <row r="2929">
      <c r="A2929" s="25">
        <v>42697.64583333333</v>
      </c>
      <c r="B2929" s="25">
        <v>461.05</v>
      </c>
      <c r="C2929" s="25">
        <v>461.45</v>
      </c>
      <c r="D2929" s="25">
        <v>456.23</v>
      </c>
      <c r="E2929" s="25">
        <v>460.13</v>
      </c>
      <c r="F2929" s="25">
        <v>4125893.0</v>
      </c>
    </row>
    <row r="2930">
      <c r="A2930" s="25">
        <v>42698.64583333333</v>
      </c>
      <c r="B2930" s="25">
        <v>464.1</v>
      </c>
      <c r="C2930" s="25">
        <v>469.95</v>
      </c>
      <c r="D2930" s="25">
        <v>461.65</v>
      </c>
      <c r="E2930" s="25">
        <v>465.15</v>
      </c>
      <c r="F2930" s="25">
        <v>8390322.0</v>
      </c>
    </row>
    <row r="2931">
      <c r="A2931" s="25">
        <v>42699.64583333333</v>
      </c>
      <c r="B2931" s="25">
        <v>465.23</v>
      </c>
      <c r="C2931" s="25">
        <v>492.5</v>
      </c>
      <c r="D2931" s="25">
        <v>465.23</v>
      </c>
      <c r="E2931" s="25">
        <v>488.75</v>
      </c>
      <c r="F2931" s="25">
        <v>6315690.0</v>
      </c>
    </row>
    <row r="2932">
      <c r="A2932" s="25">
        <v>42702.64583333333</v>
      </c>
      <c r="B2932" s="25">
        <v>489.65</v>
      </c>
      <c r="C2932" s="25">
        <v>491.73</v>
      </c>
      <c r="D2932" s="25">
        <v>485.3</v>
      </c>
      <c r="E2932" s="25">
        <v>489.88</v>
      </c>
      <c r="F2932" s="25">
        <v>3682856.0</v>
      </c>
    </row>
    <row r="2933">
      <c r="A2933" s="25">
        <v>42703.64583333333</v>
      </c>
      <c r="B2933" s="25">
        <v>489.4</v>
      </c>
      <c r="C2933" s="25">
        <v>492.35</v>
      </c>
      <c r="D2933" s="25">
        <v>483.55</v>
      </c>
      <c r="E2933" s="25">
        <v>486.3</v>
      </c>
      <c r="F2933" s="25">
        <v>3062753.0</v>
      </c>
    </row>
    <row r="2934">
      <c r="A2934" s="25">
        <v>42704.64583333333</v>
      </c>
      <c r="B2934" s="25">
        <v>486.5</v>
      </c>
      <c r="C2934" s="25">
        <v>488.5</v>
      </c>
      <c r="D2934" s="25">
        <v>480.53</v>
      </c>
      <c r="E2934" s="25">
        <v>487.78</v>
      </c>
      <c r="F2934" s="25">
        <v>4250459.0</v>
      </c>
    </row>
    <row r="2935">
      <c r="A2935" s="25">
        <v>42705.64583333333</v>
      </c>
      <c r="B2935" s="25">
        <v>488.0</v>
      </c>
      <c r="C2935" s="25">
        <v>491.78</v>
      </c>
      <c r="D2935" s="25">
        <v>483.5</v>
      </c>
      <c r="E2935" s="25">
        <v>487.8</v>
      </c>
      <c r="F2935" s="25">
        <v>2305795.0</v>
      </c>
    </row>
    <row r="2936">
      <c r="A2936" s="25">
        <v>42706.64583333333</v>
      </c>
      <c r="B2936" s="25">
        <v>482.4</v>
      </c>
      <c r="C2936" s="25">
        <v>484.8</v>
      </c>
      <c r="D2936" s="25">
        <v>480.55</v>
      </c>
      <c r="E2936" s="25">
        <v>482.25</v>
      </c>
      <c r="F2936" s="25">
        <v>2226614.0</v>
      </c>
    </row>
    <row r="2937">
      <c r="A2937" s="25">
        <v>42709.64583333333</v>
      </c>
      <c r="B2937" s="25">
        <v>482.95</v>
      </c>
      <c r="C2937" s="25">
        <v>484.3</v>
      </c>
      <c r="D2937" s="25">
        <v>479.0</v>
      </c>
      <c r="E2937" s="25">
        <v>480.83</v>
      </c>
      <c r="F2937" s="25">
        <v>1829788.0</v>
      </c>
    </row>
    <row r="2938">
      <c r="A2938" s="25">
        <v>42710.64583333333</v>
      </c>
      <c r="B2938" s="25">
        <v>480.9</v>
      </c>
      <c r="C2938" s="25">
        <v>489.75</v>
      </c>
      <c r="D2938" s="25">
        <v>480.83</v>
      </c>
      <c r="E2938" s="25">
        <v>483.25</v>
      </c>
      <c r="F2938" s="25">
        <v>1781055.0</v>
      </c>
    </row>
    <row r="2939">
      <c r="A2939" s="25">
        <v>42711.64583333333</v>
      </c>
      <c r="B2939" s="25">
        <v>484.0</v>
      </c>
      <c r="C2939" s="25">
        <v>486.5</v>
      </c>
      <c r="D2939" s="25">
        <v>480.1</v>
      </c>
      <c r="E2939" s="25">
        <v>483.2</v>
      </c>
      <c r="F2939" s="25">
        <v>1692990.0</v>
      </c>
    </row>
    <row r="2940">
      <c r="A2940" s="25">
        <v>42712.64583333333</v>
      </c>
      <c r="B2940" s="25">
        <v>485.03</v>
      </c>
      <c r="C2940" s="25">
        <v>493.05</v>
      </c>
      <c r="D2940" s="25">
        <v>485.03</v>
      </c>
      <c r="E2940" s="25">
        <v>492.33</v>
      </c>
      <c r="F2940" s="25">
        <v>2970831.0</v>
      </c>
    </row>
    <row r="2941">
      <c r="A2941" s="25">
        <v>42713.64583333333</v>
      </c>
      <c r="B2941" s="25">
        <v>492.5</v>
      </c>
      <c r="C2941" s="25">
        <v>504.08</v>
      </c>
      <c r="D2941" s="25">
        <v>490.75</v>
      </c>
      <c r="E2941" s="25">
        <v>494.68</v>
      </c>
      <c r="F2941" s="25">
        <v>4324192.0</v>
      </c>
    </row>
    <row r="2942">
      <c r="A2942" s="25">
        <v>42716.64583333333</v>
      </c>
      <c r="B2942" s="25">
        <v>491.4</v>
      </c>
      <c r="C2942" s="25">
        <v>491.4</v>
      </c>
      <c r="D2942" s="25">
        <v>482.6</v>
      </c>
      <c r="E2942" s="25">
        <v>488.68</v>
      </c>
      <c r="F2942" s="25">
        <v>2672510.0</v>
      </c>
    </row>
    <row r="2943">
      <c r="A2943" s="25">
        <v>42717.64583333333</v>
      </c>
      <c r="B2943" s="25">
        <v>490.25</v>
      </c>
      <c r="C2943" s="25">
        <v>496.43</v>
      </c>
      <c r="D2943" s="25">
        <v>485.55</v>
      </c>
      <c r="E2943" s="25">
        <v>495.1</v>
      </c>
      <c r="F2943" s="25">
        <v>2427141.0</v>
      </c>
    </row>
    <row r="2944">
      <c r="A2944" s="25">
        <v>42718.64583333333</v>
      </c>
      <c r="B2944" s="25">
        <v>495.5</v>
      </c>
      <c r="C2944" s="25">
        <v>502.48</v>
      </c>
      <c r="D2944" s="25">
        <v>492.05</v>
      </c>
      <c r="E2944" s="25">
        <v>499.88</v>
      </c>
      <c r="F2944" s="25">
        <v>2691307.0</v>
      </c>
    </row>
    <row r="2945">
      <c r="A2945" s="25">
        <v>42719.64583333333</v>
      </c>
      <c r="B2945" s="25">
        <v>498.7</v>
      </c>
      <c r="C2945" s="25">
        <v>509.48</v>
      </c>
      <c r="D2945" s="25">
        <v>494.5</v>
      </c>
      <c r="E2945" s="25">
        <v>496.18</v>
      </c>
      <c r="F2945" s="25">
        <v>3983208.0</v>
      </c>
    </row>
    <row r="2946">
      <c r="A2946" s="25">
        <v>42720.64583333333</v>
      </c>
      <c r="B2946" s="25">
        <v>501.9</v>
      </c>
      <c r="C2946" s="25">
        <v>504.85</v>
      </c>
      <c r="D2946" s="25">
        <v>498.88</v>
      </c>
      <c r="E2946" s="25">
        <v>502.58</v>
      </c>
      <c r="F2946" s="25">
        <v>3218371.0</v>
      </c>
    </row>
    <row r="2947">
      <c r="A2947" s="25">
        <v>42723.64583333333</v>
      </c>
      <c r="B2947" s="25">
        <v>503.05</v>
      </c>
      <c r="C2947" s="25">
        <v>504.13</v>
      </c>
      <c r="D2947" s="25">
        <v>497.05</v>
      </c>
      <c r="E2947" s="25">
        <v>502.33</v>
      </c>
      <c r="F2947" s="25">
        <v>2062067.0</v>
      </c>
    </row>
    <row r="2948">
      <c r="A2948" s="25">
        <v>42724.64583333333</v>
      </c>
      <c r="B2948" s="25">
        <v>501.0</v>
      </c>
      <c r="C2948" s="25">
        <v>509.5</v>
      </c>
      <c r="D2948" s="25">
        <v>500.65</v>
      </c>
      <c r="E2948" s="25">
        <v>506.08</v>
      </c>
      <c r="F2948" s="25">
        <v>3818249.0</v>
      </c>
    </row>
    <row r="2949">
      <c r="A2949" s="25">
        <v>42725.64583333333</v>
      </c>
      <c r="B2949" s="25">
        <v>508.0</v>
      </c>
      <c r="C2949" s="25">
        <v>511.0</v>
      </c>
      <c r="D2949" s="25">
        <v>499.13</v>
      </c>
      <c r="E2949" s="25">
        <v>500.78</v>
      </c>
      <c r="F2949" s="25">
        <v>3671988.0</v>
      </c>
    </row>
    <row r="2950">
      <c r="A2950" s="25">
        <v>42726.64583333333</v>
      </c>
      <c r="B2950" s="25">
        <v>501.25</v>
      </c>
      <c r="C2950" s="25">
        <v>503.5</v>
      </c>
      <c r="D2950" s="25">
        <v>484.75</v>
      </c>
      <c r="E2950" s="25">
        <v>492.35</v>
      </c>
      <c r="F2950" s="25">
        <v>3530027.0</v>
      </c>
    </row>
    <row r="2951">
      <c r="A2951" s="25">
        <v>42727.64583333333</v>
      </c>
      <c r="B2951" s="25">
        <v>492.45</v>
      </c>
      <c r="C2951" s="25">
        <v>503.3</v>
      </c>
      <c r="D2951" s="25">
        <v>486.8</v>
      </c>
      <c r="E2951" s="25">
        <v>494.23</v>
      </c>
      <c r="F2951" s="25">
        <v>3653018.0</v>
      </c>
    </row>
    <row r="2952">
      <c r="A2952" s="25">
        <v>42730.64583333333</v>
      </c>
      <c r="B2952" s="25">
        <v>494.0</v>
      </c>
      <c r="C2952" s="25">
        <v>497.0</v>
      </c>
      <c r="D2952" s="25">
        <v>487.55</v>
      </c>
      <c r="E2952" s="25">
        <v>491.38</v>
      </c>
      <c r="F2952" s="25">
        <v>1606914.0</v>
      </c>
    </row>
    <row r="2953">
      <c r="A2953" s="25">
        <v>42731.64583333333</v>
      </c>
      <c r="B2953" s="25">
        <v>491.38</v>
      </c>
      <c r="C2953" s="25">
        <v>500.95</v>
      </c>
      <c r="D2953" s="25">
        <v>490.0</v>
      </c>
      <c r="E2953" s="25">
        <v>499.48</v>
      </c>
      <c r="F2953" s="25">
        <v>2456408.0</v>
      </c>
    </row>
    <row r="2954">
      <c r="A2954" s="25">
        <v>42732.64583333333</v>
      </c>
      <c r="B2954" s="25">
        <v>501.48</v>
      </c>
      <c r="C2954" s="25">
        <v>504.9</v>
      </c>
      <c r="D2954" s="25">
        <v>497.5</v>
      </c>
      <c r="E2954" s="25">
        <v>499.25</v>
      </c>
      <c r="F2954" s="25">
        <v>2738408.0</v>
      </c>
    </row>
    <row r="2955">
      <c r="A2955" s="25">
        <v>42733.64583333333</v>
      </c>
      <c r="B2955" s="25">
        <v>501.88</v>
      </c>
      <c r="C2955" s="25">
        <v>504.0</v>
      </c>
      <c r="D2955" s="25">
        <v>494.08</v>
      </c>
      <c r="E2955" s="25">
        <v>496.18</v>
      </c>
      <c r="F2955" s="25">
        <v>3120062.0</v>
      </c>
    </row>
    <row r="2956">
      <c r="A2956" s="25">
        <v>42734.64583333333</v>
      </c>
      <c r="B2956" s="25">
        <v>499.0</v>
      </c>
      <c r="C2956" s="25">
        <v>506.0</v>
      </c>
      <c r="D2956" s="25">
        <v>496.38</v>
      </c>
      <c r="E2956" s="25">
        <v>505.3</v>
      </c>
      <c r="F2956" s="25">
        <v>3633884.0</v>
      </c>
    </row>
    <row r="2957">
      <c r="A2957" s="25">
        <v>42737.64583333333</v>
      </c>
      <c r="B2957" s="25">
        <v>505.55</v>
      </c>
      <c r="C2957" s="25">
        <v>506.48</v>
      </c>
      <c r="D2957" s="25">
        <v>499.68</v>
      </c>
      <c r="E2957" s="25">
        <v>500.55</v>
      </c>
      <c r="F2957" s="25">
        <v>1167611.0</v>
      </c>
    </row>
    <row r="2958">
      <c r="A2958" s="25">
        <v>42738.64583333333</v>
      </c>
      <c r="B2958" s="25">
        <v>502.05</v>
      </c>
      <c r="C2958" s="25">
        <v>502.45</v>
      </c>
      <c r="D2958" s="25">
        <v>491.0</v>
      </c>
      <c r="E2958" s="25">
        <v>496.93</v>
      </c>
      <c r="F2958" s="25">
        <v>3389241.0</v>
      </c>
    </row>
    <row r="2959">
      <c r="A2959" s="25">
        <v>42739.64583333333</v>
      </c>
      <c r="B2959" s="25">
        <v>497.53</v>
      </c>
      <c r="C2959" s="25">
        <v>502.1</v>
      </c>
      <c r="D2959" s="25">
        <v>496.13</v>
      </c>
      <c r="E2959" s="25">
        <v>498.88</v>
      </c>
      <c r="F2959" s="25">
        <v>3536793.0</v>
      </c>
    </row>
    <row r="2960">
      <c r="A2960" s="25">
        <v>42740.64583333333</v>
      </c>
      <c r="B2960" s="25">
        <v>500.8</v>
      </c>
      <c r="C2960" s="25">
        <v>504.75</v>
      </c>
      <c r="D2960" s="25">
        <v>494.38</v>
      </c>
      <c r="E2960" s="25">
        <v>498.08</v>
      </c>
      <c r="F2960" s="25">
        <v>4103537.0</v>
      </c>
    </row>
    <row r="2961">
      <c r="A2961" s="25">
        <v>42741.64583333333</v>
      </c>
      <c r="B2961" s="25">
        <v>497.45</v>
      </c>
      <c r="C2961" s="25">
        <v>499.43</v>
      </c>
      <c r="D2961" s="25">
        <v>484.03</v>
      </c>
      <c r="E2961" s="25">
        <v>486.13</v>
      </c>
      <c r="F2961" s="25">
        <v>7196724.0</v>
      </c>
    </row>
    <row r="2962">
      <c r="A2962" s="25">
        <v>42744.64583333333</v>
      </c>
      <c r="B2962" s="25">
        <v>486.13</v>
      </c>
      <c r="C2962" s="25">
        <v>488.48</v>
      </c>
      <c r="D2962" s="25">
        <v>482.5</v>
      </c>
      <c r="E2962" s="25">
        <v>485.18</v>
      </c>
      <c r="F2962" s="25">
        <v>5272846.0</v>
      </c>
    </row>
    <row r="2963">
      <c r="A2963" s="25">
        <v>42745.64583333333</v>
      </c>
      <c r="B2963" s="25">
        <v>488.5</v>
      </c>
      <c r="C2963" s="25">
        <v>490.5</v>
      </c>
      <c r="D2963" s="25">
        <v>483.98</v>
      </c>
      <c r="E2963" s="25">
        <v>485.28</v>
      </c>
      <c r="F2963" s="25">
        <v>5969927.0</v>
      </c>
    </row>
    <row r="2964">
      <c r="A2964" s="25">
        <v>42746.64583333333</v>
      </c>
      <c r="B2964" s="25">
        <v>487.1</v>
      </c>
      <c r="C2964" s="25">
        <v>489.23</v>
      </c>
      <c r="D2964" s="25">
        <v>481.98</v>
      </c>
      <c r="E2964" s="25">
        <v>484.7</v>
      </c>
      <c r="F2964" s="25">
        <v>6120787.0</v>
      </c>
    </row>
    <row r="2965">
      <c r="A2965" s="25">
        <v>42747.64583333333</v>
      </c>
      <c r="B2965" s="25">
        <v>488.78</v>
      </c>
      <c r="C2965" s="25">
        <v>502.2</v>
      </c>
      <c r="D2965" s="25">
        <v>488.78</v>
      </c>
      <c r="E2965" s="25">
        <v>500.03</v>
      </c>
      <c r="F2965" s="25">
        <v>5927870.0</v>
      </c>
    </row>
    <row r="2966">
      <c r="A2966" s="25">
        <v>42748.64583333333</v>
      </c>
      <c r="B2966" s="25">
        <v>515.0</v>
      </c>
      <c r="C2966" s="25">
        <v>520.0</v>
      </c>
      <c r="D2966" s="25">
        <v>481.35</v>
      </c>
      <c r="E2966" s="25">
        <v>487.9</v>
      </c>
      <c r="F2966" s="25">
        <v>1.5638123E7</v>
      </c>
    </row>
    <row r="2967">
      <c r="A2967" s="25">
        <v>42751.64583333333</v>
      </c>
      <c r="B2967" s="25">
        <v>482.5</v>
      </c>
      <c r="C2967" s="25">
        <v>482.73</v>
      </c>
      <c r="D2967" s="25">
        <v>476.23</v>
      </c>
      <c r="E2967" s="25">
        <v>477.83</v>
      </c>
      <c r="F2967" s="25">
        <v>6175686.0</v>
      </c>
    </row>
    <row r="2968">
      <c r="A2968" s="25">
        <v>42752.64583333333</v>
      </c>
      <c r="B2968" s="25">
        <v>478.13</v>
      </c>
      <c r="C2968" s="25">
        <v>482.0</v>
      </c>
      <c r="D2968" s="25">
        <v>476.2</v>
      </c>
      <c r="E2968" s="25">
        <v>477.7</v>
      </c>
      <c r="F2968" s="25">
        <v>2780047.0</v>
      </c>
    </row>
    <row r="2969">
      <c r="A2969" s="25">
        <v>42753.64583333333</v>
      </c>
      <c r="B2969" s="25">
        <v>479.05</v>
      </c>
      <c r="C2969" s="25">
        <v>480.5</v>
      </c>
      <c r="D2969" s="25">
        <v>474.9</v>
      </c>
      <c r="E2969" s="25">
        <v>475.4</v>
      </c>
      <c r="F2969" s="25">
        <v>2976481.0</v>
      </c>
    </row>
    <row r="2970">
      <c r="A2970" s="25">
        <v>42754.64583333333</v>
      </c>
      <c r="B2970" s="25">
        <v>475.5</v>
      </c>
      <c r="C2970" s="25">
        <v>479.8</v>
      </c>
      <c r="D2970" s="25">
        <v>474.05</v>
      </c>
      <c r="E2970" s="25">
        <v>479.05</v>
      </c>
      <c r="F2970" s="25">
        <v>4438240.0</v>
      </c>
    </row>
    <row r="2971">
      <c r="A2971" s="25">
        <v>42755.64583333333</v>
      </c>
      <c r="B2971" s="25">
        <v>475.0</v>
      </c>
      <c r="C2971" s="25">
        <v>476.58</v>
      </c>
      <c r="D2971" s="25">
        <v>473.0</v>
      </c>
      <c r="E2971" s="25">
        <v>474.35</v>
      </c>
      <c r="F2971" s="25">
        <v>4562371.0</v>
      </c>
    </row>
    <row r="2972">
      <c r="A2972" s="25">
        <v>42758.64583333333</v>
      </c>
      <c r="B2972" s="25">
        <v>472.5</v>
      </c>
      <c r="C2972" s="25">
        <v>479.0</v>
      </c>
      <c r="D2972" s="25">
        <v>470.0</v>
      </c>
      <c r="E2972" s="25">
        <v>476.35</v>
      </c>
      <c r="F2972" s="25">
        <v>3974290.0</v>
      </c>
    </row>
    <row r="2973">
      <c r="A2973" s="25">
        <v>42759.64583333333</v>
      </c>
      <c r="B2973" s="25">
        <v>475.0</v>
      </c>
      <c r="C2973" s="25">
        <v>475.0</v>
      </c>
      <c r="D2973" s="25">
        <v>470.05</v>
      </c>
      <c r="E2973" s="25">
        <v>472.78</v>
      </c>
      <c r="F2973" s="25">
        <v>3413005.0</v>
      </c>
    </row>
    <row r="2974">
      <c r="A2974" s="25">
        <v>42760.64583333333</v>
      </c>
      <c r="B2974" s="25">
        <v>473.05</v>
      </c>
      <c r="C2974" s="25">
        <v>473.4</v>
      </c>
      <c r="D2974" s="25">
        <v>467.4</v>
      </c>
      <c r="E2974" s="25">
        <v>468.3</v>
      </c>
      <c r="F2974" s="25">
        <v>4989045.0</v>
      </c>
    </row>
    <row r="2975">
      <c r="A2975" s="25">
        <v>42762.64583333333</v>
      </c>
      <c r="B2975" s="25">
        <v>466.93</v>
      </c>
      <c r="C2975" s="25">
        <v>473.78</v>
      </c>
      <c r="D2975" s="25">
        <v>450.58</v>
      </c>
      <c r="E2975" s="25">
        <v>471.08</v>
      </c>
      <c r="F2975" s="25">
        <v>5317569.0</v>
      </c>
    </row>
    <row r="2976">
      <c r="A2976" s="25">
        <v>42765.64583333333</v>
      </c>
      <c r="B2976" s="25">
        <v>468.75</v>
      </c>
      <c r="C2976" s="25">
        <v>475.75</v>
      </c>
      <c r="D2976" s="25">
        <v>464.43</v>
      </c>
      <c r="E2976" s="25">
        <v>474.68</v>
      </c>
      <c r="F2976" s="25">
        <v>5684604.0</v>
      </c>
    </row>
    <row r="2977">
      <c r="A2977" s="25">
        <v>42766.64583333333</v>
      </c>
      <c r="B2977" s="25">
        <v>470.75</v>
      </c>
      <c r="C2977" s="25">
        <v>470.75</v>
      </c>
      <c r="D2977" s="25">
        <v>452.18</v>
      </c>
      <c r="E2977" s="25">
        <v>464.3</v>
      </c>
      <c r="F2977" s="25">
        <v>1.2034267E7</v>
      </c>
    </row>
    <row r="2978">
      <c r="A2978" s="25">
        <v>42767.64583333333</v>
      </c>
      <c r="B2978" s="25">
        <v>460.55</v>
      </c>
      <c r="C2978" s="25">
        <v>461.6</v>
      </c>
      <c r="D2978" s="25">
        <v>452.58</v>
      </c>
      <c r="E2978" s="25">
        <v>458.38</v>
      </c>
      <c r="F2978" s="25">
        <v>5765891.0</v>
      </c>
    </row>
    <row r="2979">
      <c r="A2979" s="25">
        <v>42768.64583333333</v>
      </c>
      <c r="B2979" s="25">
        <v>458.5</v>
      </c>
      <c r="C2979" s="25">
        <v>472.5</v>
      </c>
      <c r="D2979" s="25">
        <v>455.05</v>
      </c>
      <c r="E2979" s="25">
        <v>467.95</v>
      </c>
      <c r="F2979" s="25">
        <v>5914134.0</v>
      </c>
    </row>
    <row r="2980">
      <c r="A2980" s="25">
        <v>42769.64583333333</v>
      </c>
      <c r="B2980" s="25">
        <v>466.9</v>
      </c>
      <c r="C2980" s="25">
        <v>470.45</v>
      </c>
      <c r="D2980" s="25">
        <v>460.53</v>
      </c>
      <c r="E2980" s="25">
        <v>468.05</v>
      </c>
      <c r="F2980" s="25">
        <v>4211979.0</v>
      </c>
    </row>
    <row r="2981">
      <c r="A2981" s="25">
        <v>42772.64583333333</v>
      </c>
      <c r="B2981" s="25">
        <v>468.63</v>
      </c>
      <c r="C2981" s="25">
        <v>471.88</v>
      </c>
      <c r="D2981" s="25">
        <v>465.28</v>
      </c>
      <c r="E2981" s="25">
        <v>467.63</v>
      </c>
      <c r="F2981" s="25">
        <v>3363967.0</v>
      </c>
    </row>
    <row r="2982">
      <c r="A2982" s="25">
        <v>42773.64583333333</v>
      </c>
      <c r="B2982" s="25">
        <v>466.5</v>
      </c>
      <c r="C2982" s="25">
        <v>474.9</v>
      </c>
      <c r="D2982" s="25">
        <v>464.28</v>
      </c>
      <c r="E2982" s="25">
        <v>471.13</v>
      </c>
      <c r="F2982" s="25">
        <v>4634001.0</v>
      </c>
    </row>
    <row r="2983">
      <c r="A2983" s="25">
        <v>42774.64583333333</v>
      </c>
      <c r="B2983" s="25">
        <v>468.0</v>
      </c>
      <c r="C2983" s="25">
        <v>472.05</v>
      </c>
      <c r="D2983" s="25">
        <v>466.23</v>
      </c>
      <c r="E2983" s="25">
        <v>468.25</v>
      </c>
      <c r="F2983" s="25">
        <v>3159981.0</v>
      </c>
    </row>
    <row r="2984">
      <c r="A2984" s="25">
        <v>42775.64583333333</v>
      </c>
      <c r="B2984" s="25">
        <v>468.5</v>
      </c>
      <c r="C2984" s="25">
        <v>475.0</v>
      </c>
      <c r="D2984" s="25">
        <v>468.28</v>
      </c>
      <c r="E2984" s="25">
        <v>473.0</v>
      </c>
      <c r="F2984" s="25">
        <v>5953633.0</v>
      </c>
    </row>
    <row r="2985">
      <c r="A2985" s="25">
        <v>42776.64583333333</v>
      </c>
      <c r="B2985" s="25">
        <v>473.13</v>
      </c>
      <c r="C2985" s="25">
        <v>486.0</v>
      </c>
      <c r="D2985" s="25">
        <v>471.65</v>
      </c>
      <c r="E2985" s="25">
        <v>484.15</v>
      </c>
      <c r="F2985" s="25">
        <v>6126226.0</v>
      </c>
    </row>
    <row r="2986">
      <c r="A2986" s="25">
        <v>42779.64583333333</v>
      </c>
      <c r="B2986" s="25">
        <v>486.43</v>
      </c>
      <c r="C2986" s="25">
        <v>493.05</v>
      </c>
      <c r="D2986" s="25">
        <v>481.43</v>
      </c>
      <c r="E2986" s="25">
        <v>492.18</v>
      </c>
      <c r="F2986" s="25">
        <v>6862134.0</v>
      </c>
    </row>
    <row r="2987">
      <c r="A2987" s="25">
        <v>42780.64583333333</v>
      </c>
      <c r="B2987" s="25">
        <v>490.0</v>
      </c>
      <c r="C2987" s="25">
        <v>494.5</v>
      </c>
      <c r="D2987" s="25">
        <v>486.18</v>
      </c>
      <c r="E2987" s="25">
        <v>493.85</v>
      </c>
      <c r="F2987" s="25">
        <v>4669409.0</v>
      </c>
    </row>
    <row r="2988">
      <c r="A2988" s="25">
        <v>42781.64583333333</v>
      </c>
      <c r="B2988" s="25">
        <v>494.6</v>
      </c>
      <c r="C2988" s="25">
        <v>499.4</v>
      </c>
      <c r="D2988" s="25">
        <v>484.4</v>
      </c>
      <c r="E2988" s="25">
        <v>490.9</v>
      </c>
      <c r="F2988" s="25">
        <v>3629743.0</v>
      </c>
    </row>
    <row r="2989">
      <c r="A2989" s="25">
        <v>42782.64583333333</v>
      </c>
      <c r="B2989" s="25">
        <v>495.5</v>
      </c>
      <c r="C2989" s="25">
        <v>506.95</v>
      </c>
      <c r="D2989" s="25">
        <v>495.03</v>
      </c>
      <c r="E2989" s="25">
        <v>506.05</v>
      </c>
      <c r="F2989" s="25">
        <v>6407929.0</v>
      </c>
    </row>
    <row r="2990">
      <c r="A2990" s="25">
        <v>42783.64583333333</v>
      </c>
      <c r="B2990" s="25">
        <v>506.88</v>
      </c>
      <c r="C2990" s="25">
        <v>506.88</v>
      </c>
      <c r="D2990" s="25">
        <v>496.35</v>
      </c>
      <c r="E2990" s="25">
        <v>500.05</v>
      </c>
      <c r="F2990" s="25">
        <v>2425604.0</v>
      </c>
    </row>
    <row r="2991">
      <c r="A2991" s="25">
        <v>42786.64583333333</v>
      </c>
      <c r="B2991" s="25">
        <v>498.25</v>
      </c>
      <c r="C2991" s="25">
        <v>515.5</v>
      </c>
      <c r="D2991" s="25">
        <v>496.75</v>
      </c>
      <c r="E2991" s="25">
        <v>505.13</v>
      </c>
      <c r="F2991" s="25">
        <v>2325331.0</v>
      </c>
    </row>
    <row r="2992">
      <c r="A2992" s="25">
        <v>42787.64583333333</v>
      </c>
      <c r="B2992" s="25">
        <v>511.05</v>
      </c>
      <c r="C2992" s="25">
        <v>512.25</v>
      </c>
      <c r="D2992" s="25">
        <v>500.03</v>
      </c>
      <c r="E2992" s="25">
        <v>506.8</v>
      </c>
      <c r="F2992" s="25">
        <v>3806998.0</v>
      </c>
    </row>
    <row r="2993">
      <c r="A2993" s="25">
        <v>42788.64583333333</v>
      </c>
      <c r="B2993" s="25">
        <v>507.5</v>
      </c>
      <c r="C2993" s="25">
        <v>507.5</v>
      </c>
      <c r="D2993" s="25">
        <v>493.2</v>
      </c>
      <c r="E2993" s="25">
        <v>495.08</v>
      </c>
      <c r="F2993" s="25">
        <v>3303919.0</v>
      </c>
    </row>
    <row r="2994">
      <c r="A2994" s="25">
        <v>42789.64583333333</v>
      </c>
      <c r="B2994" s="25">
        <v>499.45</v>
      </c>
      <c r="C2994" s="25">
        <v>510.0</v>
      </c>
      <c r="D2994" s="25">
        <v>496.68</v>
      </c>
      <c r="E2994" s="25">
        <v>504.43</v>
      </c>
      <c r="F2994" s="25">
        <v>4771328.0</v>
      </c>
    </row>
    <row r="2995">
      <c r="A2995" s="25">
        <v>42793.64583333333</v>
      </c>
      <c r="B2995" s="25">
        <v>503.65</v>
      </c>
      <c r="C2995" s="25">
        <v>511.5</v>
      </c>
      <c r="D2995" s="25">
        <v>503.48</v>
      </c>
      <c r="E2995" s="25">
        <v>506.2</v>
      </c>
      <c r="F2995" s="25">
        <v>2664348.0</v>
      </c>
    </row>
    <row r="2996">
      <c r="A2996" s="25">
        <v>42794.64583333333</v>
      </c>
      <c r="B2996" s="25">
        <v>505.93</v>
      </c>
      <c r="C2996" s="25">
        <v>511.35</v>
      </c>
      <c r="D2996" s="25">
        <v>504.63</v>
      </c>
      <c r="E2996" s="25">
        <v>506.2</v>
      </c>
      <c r="F2996" s="25">
        <v>2970066.0</v>
      </c>
    </row>
    <row r="2997">
      <c r="A2997" s="25">
        <v>42795.64583333333</v>
      </c>
      <c r="B2997" s="25">
        <v>506.0</v>
      </c>
      <c r="C2997" s="25">
        <v>513.5</v>
      </c>
      <c r="D2997" s="25">
        <v>505.05</v>
      </c>
      <c r="E2997" s="25">
        <v>512.58</v>
      </c>
      <c r="F2997" s="25">
        <v>2141224.0</v>
      </c>
    </row>
    <row r="2998">
      <c r="A2998" s="25">
        <v>42796.64583333333</v>
      </c>
      <c r="B2998" s="25">
        <v>512.2</v>
      </c>
      <c r="C2998" s="25">
        <v>514.0</v>
      </c>
      <c r="D2998" s="25">
        <v>508.25</v>
      </c>
      <c r="E2998" s="25">
        <v>511.65</v>
      </c>
      <c r="F2998" s="25">
        <v>1474249.0</v>
      </c>
    </row>
    <row r="2999">
      <c r="A2999" s="25">
        <v>42797.64583333333</v>
      </c>
      <c r="B2999" s="25">
        <v>505.13</v>
      </c>
      <c r="C2999" s="25">
        <v>517.15</v>
      </c>
      <c r="D2999" s="25">
        <v>500.2</v>
      </c>
      <c r="E2999" s="25">
        <v>515.6</v>
      </c>
      <c r="F2999" s="25">
        <v>2700806.0</v>
      </c>
    </row>
    <row r="3000">
      <c r="A3000" s="25">
        <v>42800.64583333333</v>
      </c>
      <c r="B3000" s="25">
        <v>510.03</v>
      </c>
      <c r="C3000" s="25">
        <v>517.98</v>
      </c>
      <c r="D3000" s="25">
        <v>509.85</v>
      </c>
      <c r="E3000" s="25">
        <v>516.95</v>
      </c>
      <c r="F3000" s="25">
        <v>2643193.0</v>
      </c>
    </row>
    <row r="3001">
      <c r="A3001" s="25">
        <v>42801.64583333333</v>
      </c>
      <c r="B3001" s="25">
        <v>511.0</v>
      </c>
      <c r="C3001" s="25">
        <v>512.9</v>
      </c>
      <c r="D3001" s="25">
        <v>507.35</v>
      </c>
      <c r="E3001" s="25">
        <v>509.9</v>
      </c>
      <c r="F3001" s="25">
        <v>2322248.0</v>
      </c>
    </row>
    <row r="3002">
      <c r="A3002" s="25">
        <v>42802.64583333333</v>
      </c>
      <c r="B3002" s="25">
        <v>508.45</v>
      </c>
      <c r="C3002" s="25">
        <v>508.45</v>
      </c>
      <c r="D3002" s="25">
        <v>502.23</v>
      </c>
      <c r="E3002" s="25">
        <v>503.9</v>
      </c>
      <c r="F3002" s="25">
        <v>3089588.0</v>
      </c>
    </row>
    <row r="3003">
      <c r="A3003" s="25">
        <v>42803.64583333333</v>
      </c>
      <c r="B3003" s="25">
        <v>503.9</v>
      </c>
      <c r="C3003" s="25">
        <v>506.5</v>
      </c>
      <c r="D3003" s="25">
        <v>499.5</v>
      </c>
      <c r="E3003" s="25">
        <v>505.78</v>
      </c>
      <c r="F3003" s="25">
        <v>1740315.0</v>
      </c>
    </row>
    <row r="3004">
      <c r="A3004" s="25">
        <v>42804.64583333333</v>
      </c>
      <c r="B3004" s="25">
        <v>507.5</v>
      </c>
      <c r="C3004" s="25">
        <v>513.83</v>
      </c>
      <c r="D3004" s="25">
        <v>506.7</v>
      </c>
      <c r="E3004" s="25">
        <v>510.93</v>
      </c>
      <c r="F3004" s="25">
        <v>2275162.0</v>
      </c>
    </row>
    <row r="3005">
      <c r="A3005" s="25">
        <v>42808.64583333333</v>
      </c>
      <c r="B3005" s="25">
        <v>511.4</v>
      </c>
      <c r="C3005" s="25">
        <v>520.95</v>
      </c>
      <c r="D3005" s="25">
        <v>511.4</v>
      </c>
      <c r="E3005" s="25">
        <v>517.4</v>
      </c>
      <c r="F3005" s="25">
        <v>3939198.0</v>
      </c>
    </row>
    <row r="3006">
      <c r="A3006" s="25">
        <v>42809.64583333333</v>
      </c>
      <c r="B3006" s="25">
        <v>517.45</v>
      </c>
      <c r="C3006" s="25">
        <v>517.45</v>
      </c>
      <c r="D3006" s="25">
        <v>503.75</v>
      </c>
      <c r="E3006" s="25">
        <v>505.98</v>
      </c>
      <c r="F3006" s="25">
        <v>3186989.0</v>
      </c>
    </row>
    <row r="3007">
      <c r="A3007" s="25">
        <v>42810.64583333333</v>
      </c>
      <c r="B3007" s="25">
        <v>506.65</v>
      </c>
      <c r="C3007" s="25">
        <v>515.85</v>
      </c>
      <c r="D3007" s="25">
        <v>506.65</v>
      </c>
      <c r="E3007" s="25">
        <v>514.42</v>
      </c>
      <c r="F3007" s="25">
        <v>3351478.0</v>
      </c>
    </row>
    <row r="3008">
      <c r="A3008" s="25">
        <v>42811.64583333333</v>
      </c>
      <c r="B3008" s="25">
        <v>517.7</v>
      </c>
      <c r="C3008" s="25">
        <v>521.45</v>
      </c>
      <c r="D3008" s="25">
        <v>509.63</v>
      </c>
      <c r="E3008" s="25">
        <v>520.15</v>
      </c>
      <c r="F3008" s="25">
        <v>4753923.0</v>
      </c>
    </row>
    <row r="3009">
      <c r="A3009" s="25">
        <v>42814.64583333333</v>
      </c>
      <c r="B3009" s="25">
        <v>513.28</v>
      </c>
      <c r="C3009" s="25">
        <v>513.28</v>
      </c>
      <c r="D3009" s="25">
        <v>507.55</v>
      </c>
      <c r="E3009" s="25">
        <v>510.75</v>
      </c>
      <c r="F3009" s="25">
        <v>2213694.0</v>
      </c>
    </row>
    <row r="3010">
      <c r="A3010" s="25">
        <v>42815.64583333333</v>
      </c>
      <c r="B3010" s="25">
        <v>510.45</v>
      </c>
      <c r="C3010" s="25">
        <v>517.48</v>
      </c>
      <c r="D3010" s="25">
        <v>509.4</v>
      </c>
      <c r="E3010" s="25">
        <v>516.42</v>
      </c>
      <c r="F3010" s="25">
        <v>2434792.0</v>
      </c>
    </row>
    <row r="3011">
      <c r="A3011" s="25">
        <v>42816.64583333333</v>
      </c>
      <c r="B3011" s="25">
        <v>511.23</v>
      </c>
      <c r="C3011" s="25">
        <v>519.98</v>
      </c>
      <c r="D3011" s="25">
        <v>510.2</v>
      </c>
      <c r="E3011" s="25">
        <v>513.85</v>
      </c>
      <c r="F3011" s="25">
        <v>1995426.0</v>
      </c>
    </row>
    <row r="3012">
      <c r="A3012" s="25">
        <v>42817.64583333333</v>
      </c>
      <c r="B3012" s="25">
        <v>514.13</v>
      </c>
      <c r="C3012" s="25">
        <v>521.5</v>
      </c>
      <c r="D3012" s="25">
        <v>513.3</v>
      </c>
      <c r="E3012" s="25">
        <v>520.23</v>
      </c>
      <c r="F3012" s="25">
        <v>2250831.0</v>
      </c>
    </row>
    <row r="3013">
      <c r="A3013" s="25">
        <v>42818.64583333333</v>
      </c>
      <c r="B3013" s="25">
        <v>519.0</v>
      </c>
      <c r="C3013" s="25">
        <v>522.0</v>
      </c>
      <c r="D3013" s="25">
        <v>513.85</v>
      </c>
      <c r="E3013" s="25">
        <v>515.7</v>
      </c>
      <c r="F3013" s="25">
        <v>2441948.0</v>
      </c>
    </row>
    <row r="3014">
      <c r="A3014" s="25">
        <v>42821.64583333333</v>
      </c>
      <c r="B3014" s="25">
        <v>513.6</v>
      </c>
      <c r="C3014" s="25">
        <v>520.92</v>
      </c>
      <c r="D3014" s="25">
        <v>512.25</v>
      </c>
      <c r="E3014" s="25">
        <v>514.42</v>
      </c>
      <c r="F3014" s="25">
        <v>3842412.0</v>
      </c>
    </row>
    <row r="3015">
      <c r="A3015" s="25">
        <v>42822.64583333333</v>
      </c>
      <c r="B3015" s="25">
        <v>515.75</v>
      </c>
      <c r="C3015" s="25">
        <v>519.5</v>
      </c>
      <c r="D3015" s="25">
        <v>515.03</v>
      </c>
      <c r="E3015" s="25">
        <v>517.58</v>
      </c>
      <c r="F3015" s="25">
        <v>2398398.0</v>
      </c>
    </row>
    <row r="3016">
      <c r="A3016" s="25">
        <v>42823.64583333333</v>
      </c>
      <c r="B3016" s="25">
        <v>517.15</v>
      </c>
      <c r="C3016" s="25">
        <v>520.75</v>
      </c>
      <c r="D3016" s="25">
        <v>512.92</v>
      </c>
      <c r="E3016" s="25">
        <v>515.92</v>
      </c>
      <c r="F3016" s="25">
        <v>3490593.0</v>
      </c>
    </row>
    <row r="3017">
      <c r="A3017" s="25">
        <v>42824.64583333333</v>
      </c>
      <c r="B3017" s="25">
        <v>517.0</v>
      </c>
      <c r="C3017" s="25">
        <v>517.95</v>
      </c>
      <c r="D3017" s="25">
        <v>510.13</v>
      </c>
      <c r="E3017" s="25">
        <v>512.75</v>
      </c>
      <c r="F3017" s="25">
        <v>6078590.0</v>
      </c>
    </row>
    <row r="3018">
      <c r="A3018" s="25">
        <v>42825.64583333333</v>
      </c>
      <c r="B3018" s="25">
        <v>511.63</v>
      </c>
      <c r="C3018" s="25">
        <v>514.65</v>
      </c>
      <c r="D3018" s="25">
        <v>504.0</v>
      </c>
      <c r="E3018" s="25">
        <v>511.13</v>
      </c>
      <c r="F3018" s="25">
        <v>7076927.0</v>
      </c>
    </row>
    <row r="3019">
      <c r="A3019" s="25">
        <v>42828.64583333333</v>
      </c>
      <c r="B3019" s="25">
        <v>516.08</v>
      </c>
      <c r="C3019" s="25">
        <v>516.23</v>
      </c>
      <c r="D3019" s="25">
        <v>503.05</v>
      </c>
      <c r="E3019" s="25">
        <v>504.4</v>
      </c>
      <c r="F3019" s="25">
        <v>2157800.0</v>
      </c>
    </row>
    <row r="3020">
      <c r="A3020" s="25">
        <v>42830.64583333333</v>
      </c>
      <c r="B3020" s="25">
        <v>502.5</v>
      </c>
      <c r="C3020" s="25">
        <v>502.7</v>
      </c>
      <c r="D3020" s="25">
        <v>495.5</v>
      </c>
      <c r="E3020" s="25">
        <v>497.98</v>
      </c>
      <c r="F3020" s="25">
        <v>3699169.0</v>
      </c>
    </row>
    <row r="3021">
      <c r="A3021" s="25">
        <v>42831.64583333333</v>
      </c>
      <c r="B3021" s="25">
        <v>499.08</v>
      </c>
      <c r="C3021" s="25">
        <v>502.9</v>
      </c>
      <c r="D3021" s="25">
        <v>496.0</v>
      </c>
      <c r="E3021" s="25">
        <v>499.8</v>
      </c>
      <c r="F3021" s="25">
        <v>2689504.0</v>
      </c>
    </row>
    <row r="3022">
      <c r="A3022" s="25">
        <v>42832.64583333333</v>
      </c>
      <c r="B3022" s="25">
        <v>500.45</v>
      </c>
      <c r="C3022" s="25">
        <v>500.45</v>
      </c>
      <c r="D3022" s="25">
        <v>489.5</v>
      </c>
      <c r="E3022" s="25">
        <v>490.78</v>
      </c>
      <c r="F3022" s="25">
        <v>3202254.0</v>
      </c>
    </row>
    <row r="3023">
      <c r="A3023" s="25">
        <v>42835.64583333333</v>
      </c>
      <c r="B3023" s="25">
        <v>492.45</v>
      </c>
      <c r="C3023" s="25">
        <v>494.75</v>
      </c>
      <c r="D3023" s="25">
        <v>475.05</v>
      </c>
      <c r="E3023" s="25">
        <v>476.7</v>
      </c>
      <c r="F3023" s="25">
        <v>4764236.0</v>
      </c>
    </row>
    <row r="3024">
      <c r="A3024" s="25">
        <v>42836.64583333333</v>
      </c>
      <c r="B3024" s="25">
        <v>478.03</v>
      </c>
      <c r="C3024" s="25">
        <v>485.85</v>
      </c>
      <c r="D3024" s="25">
        <v>478.03</v>
      </c>
      <c r="E3024" s="25">
        <v>483.58</v>
      </c>
      <c r="F3024" s="25">
        <v>4327733.0</v>
      </c>
    </row>
    <row r="3025">
      <c r="A3025" s="25">
        <v>42837.64583333333</v>
      </c>
      <c r="B3025" s="25">
        <v>485.0</v>
      </c>
      <c r="C3025" s="25">
        <v>488.45</v>
      </c>
      <c r="D3025" s="25">
        <v>480.18</v>
      </c>
      <c r="E3025" s="25">
        <v>484.43</v>
      </c>
      <c r="F3025" s="25">
        <v>3348376.0</v>
      </c>
    </row>
    <row r="3026">
      <c r="A3026" s="25">
        <v>42838.64583333333</v>
      </c>
      <c r="B3026" s="25">
        <v>485.0</v>
      </c>
      <c r="C3026" s="25">
        <v>495.0</v>
      </c>
      <c r="D3026" s="25">
        <v>463.33</v>
      </c>
      <c r="E3026" s="25">
        <v>465.7</v>
      </c>
      <c r="F3026" s="25">
        <v>1.5486594E7</v>
      </c>
    </row>
    <row r="3027">
      <c r="A3027" s="25">
        <v>42842.64583333333</v>
      </c>
      <c r="B3027" s="25">
        <v>465.0</v>
      </c>
      <c r="C3027" s="25">
        <v>466.05</v>
      </c>
      <c r="D3027" s="25">
        <v>461.75</v>
      </c>
      <c r="E3027" s="25">
        <v>462.45</v>
      </c>
      <c r="F3027" s="25">
        <v>3606717.0</v>
      </c>
    </row>
    <row r="3028">
      <c r="A3028" s="25">
        <v>42843.64583333333</v>
      </c>
      <c r="B3028" s="25">
        <v>462.38</v>
      </c>
      <c r="C3028" s="25">
        <v>467.0</v>
      </c>
      <c r="D3028" s="25">
        <v>459.55</v>
      </c>
      <c r="E3028" s="25">
        <v>461.33</v>
      </c>
      <c r="F3028" s="25">
        <v>2323759.0</v>
      </c>
    </row>
    <row r="3029">
      <c r="A3029" s="25">
        <v>42844.64583333333</v>
      </c>
      <c r="B3029" s="25">
        <v>461.5</v>
      </c>
      <c r="C3029" s="25">
        <v>465.0</v>
      </c>
      <c r="D3029" s="25">
        <v>456.33</v>
      </c>
      <c r="E3029" s="25">
        <v>459.6</v>
      </c>
      <c r="F3029" s="25">
        <v>5035851.0</v>
      </c>
    </row>
    <row r="3030">
      <c r="A3030" s="25">
        <v>42845.64583333333</v>
      </c>
      <c r="B3030" s="25">
        <v>460.75</v>
      </c>
      <c r="C3030" s="25">
        <v>464.85</v>
      </c>
      <c r="D3030" s="25">
        <v>459.28</v>
      </c>
      <c r="E3030" s="25">
        <v>463.65</v>
      </c>
      <c r="F3030" s="25">
        <v>2274500.0</v>
      </c>
    </row>
    <row r="3031">
      <c r="A3031" s="25">
        <v>42846.64583333333</v>
      </c>
      <c r="B3031" s="25">
        <v>467.4</v>
      </c>
      <c r="C3031" s="25">
        <v>467.4</v>
      </c>
      <c r="D3031" s="25">
        <v>460.55</v>
      </c>
      <c r="E3031" s="25">
        <v>461.85</v>
      </c>
      <c r="F3031" s="25">
        <v>1788733.0</v>
      </c>
    </row>
    <row r="3032">
      <c r="A3032" s="25">
        <v>42849.64583333333</v>
      </c>
      <c r="B3032" s="25">
        <v>458.75</v>
      </c>
      <c r="C3032" s="25">
        <v>464.25</v>
      </c>
      <c r="D3032" s="25">
        <v>456.5</v>
      </c>
      <c r="E3032" s="25">
        <v>463.28</v>
      </c>
      <c r="F3032" s="25">
        <v>2778333.0</v>
      </c>
    </row>
    <row r="3033">
      <c r="A3033" s="25">
        <v>42850.64583333333</v>
      </c>
      <c r="B3033" s="25">
        <v>462.95</v>
      </c>
      <c r="C3033" s="25">
        <v>466.5</v>
      </c>
      <c r="D3033" s="25">
        <v>460.28</v>
      </c>
      <c r="E3033" s="25">
        <v>464.68</v>
      </c>
      <c r="F3033" s="25">
        <v>2368530.0</v>
      </c>
    </row>
    <row r="3034">
      <c r="A3034" s="25">
        <v>42851.64583333333</v>
      </c>
      <c r="B3034" s="25">
        <v>464.98</v>
      </c>
      <c r="C3034" s="25">
        <v>467.78</v>
      </c>
      <c r="D3034" s="25">
        <v>455.1</v>
      </c>
      <c r="E3034" s="25">
        <v>457.13</v>
      </c>
      <c r="F3034" s="25">
        <v>4542248.0</v>
      </c>
    </row>
    <row r="3035">
      <c r="A3035" s="25">
        <v>42852.64583333333</v>
      </c>
      <c r="B3035" s="25">
        <v>458.0</v>
      </c>
      <c r="C3035" s="25">
        <v>464.5</v>
      </c>
      <c r="D3035" s="25">
        <v>458.0</v>
      </c>
      <c r="E3035" s="25">
        <v>462.63</v>
      </c>
      <c r="F3035" s="25">
        <v>3898604.0</v>
      </c>
    </row>
    <row r="3036">
      <c r="A3036" s="25">
        <v>42853.64583333333</v>
      </c>
      <c r="B3036" s="25">
        <v>463.43</v>
      </c>
      <c r="C3036" s="25">
        <v>463.7</v>
      </c>
      <c r="D3036" s="25">
        <v>457.8</v>
      </c>
      <c r="E3036" s="25">
        <v>459.48</v>
      </c>
      <c r="F3036" s="25">
        <v>2514851.0</v>
      </c>
    </row>
    <row r="3037">
      <c r="A3037" s="25">
        <v>42857.64583333333</v>
      </c>
      <c r="B3037" s="25">
        <v>462.0</v>
      </c>
      <c r="C3037" s="25">
        <v>463.2</v>
      </c>
      <c r="D3037" s="25">
        <v>457.55</v>
      </c>
      <c r="E3037" s="25">
        <v>461.3</v>
      </c>
      <c r="F3037" s="25">
        <v>1615563.0</v>
      </c>
    </row>
    <row r="3038">
      <c r="A3038" s="25">
        <v>42858.64583333333</v>
      </c>
      <c r="B3038" s="25">
        <v>463.25</v>
      </c>
      <c r="C3038" s="25">
        <v>469.55</v>
      </c>
      <c r="D3038" s="25">
        <v>458.83</v>
      </c>
      <c r="E3038" s="25">
        <v>467.15</v>
      </c>
      <c r="F3038" s="25">
        <v>2329724.0</v>
      </c>
    </row>
    <row r="3039">
      <c r="A3039" s="25">
        <v>42859.64583333333</v>
      </c>
      <c r="B3039" s="25">
        <v>468.5</v>
      </c>
      <c r="C3039" s="25">
        <v>469.83</v>
      </c>
      <c r="D3039" s="25">
        <v>464.45</v>
      </c>
      <c r="E3039" s="25">
        <v>468.83</v>
      </c>
      <c r="F3039" s="25">
        <v>2639903.0</v>
      </c>
    </row>
    <row r="3040">
      <c r="A3040" s="25">
        <v>42860.64583333333</v>
      </c>
      <c r="B3040" s="25">
        <v>468.0</v>
      </c>
      <c r="C3040" s="25">
        <v>468.68</v>
      </c>
      <c r="D3040" s="25">
        <v>460.0</v>
      </c>
      <c r="E3040" s="25">
        <v>465.75</v>
      </c>
      <c r="F3040" s="25">
        <v>2216394.0</v>
      </c>
    </row>
    <row r="3041">
      <c r="A3041" s="25">
        <v>42863.64583333333</v>
      </c>
      <c r="B3041" s="25">
        <v>469.0</v>
      </c>
      <c r="C3041" s="25">
        <v>474.28</v>
      </c>
      <c r="D3041" s="25">
        <v>466.0</v>
      </c>
      <c r="E3041" s="25">
        <v>472.75</v>
      </c>
      <c r="F3041" s="25">
        <v>2353549.0</v>
      </c>
    </row>
    <row r="3042">
      <c r="A3042" s="25">
        <v>42864.64583333333</v>
      </c>
      <c r="B3042" s="25">
        <v>475.3</v>
      </c>
      <c r="C3042" s="25">
        <v>475.98</v>
      </c>
      <c r="D3042" s="25">
        <v>471.05</v>
      </c>
      <c r="E3042" s="25">
        <v>473.33</v>
      </c>
      <c r="F3042" s="25">
        <v>2824686.0</v>
      </c>
    </row>
    <row r="3043">
      <c r="A3043" s="25">
        <v>42865.64583333333</v>
      </c>
      <c r="B3043" s="25">
        <v>473.58</v>
      </c>
      <c r="C3043" s="25">
        <v>475.0</v>
      </c>
      <c r="D3043" s="25">
        <v>468.58</v>
      </c>
      <c r="E3043" s="25">
        <v>471.83</v>
      </c>
      <c r="F3043" s="25">
        <v>1682151.0</v>
      </c>
    </row>
    <row r="3044">
      <c r="A3044" s="25">
        <v>42866.64583333333</v>
      </c>
      <c r="B3044" s="25">
        <v>473.43</v>
      </c>
      <c r="C3044" s="25">
        <v>474.93</v>
      </c>
      <c r="D3044" s="25">
        <v>468.78</v>
      </c>
      <c r="E3044" s="25">
        <v>472.05</v>
      </c>
      <c r="F3044" s="25">
        <v>1614741.0</v>
      </c>
    </row>
    <row r="3045">
      <c r="A3045" s="25">
        <v>42867.64583333333</v>
      </c>
      <c r="B3045" s="25">
        <v>476.5</v>
      </c>
      <c r="C3045" s="25">
        <v>483.0</v>
      </c>
      <c r="D3045" s="25">
        <v>475.73</v>
      </c>
      <c r="E3045" s="25">
        <v>482.13</v>
      </c>
      <c r="F3045" s="25">
        <v>5489998.0</v>
      </c>
    </row>
    <row r="3046">
      <c r="A3046" s="25">
        <v>42870.64583333333</v>
      </c>
      <c r="B3046" s="25">
        <v>481.75</v>
      </c>
      <c r="C3046" s="25">
        <v>481.75</v>
      </c>
      <c r="D3046" s="25">
        <v>474.55</v>
      </c>
      <c r="E3046" s="25">
        <v>475.78</v>
      </c>
      <c r="F3046" s="25">
        <v>3648582.0</v>
      </c>
    </row>
    <row r="3047">
      <c r="A3047" s="25">
        <v>42871.64583333333</v>
      </c>
      <c r="B3047" s="25">
        <v>476.55</v>
      </c>
      <c r="C3047" s="25">
        <v>480.08</v>
      </c>
      <c r="D3047" s="25">
        <v>473.48</v>
      </c>
      <c r="E3047" s="25">
        <v>477.5</v>
      </c>
      <c r="F3047" s="25">
        <v>3065084.0</v>
      </c>
    </row>
    <row r="3048">
      <c r="A3048" s="25">
        <v>42872.64583333333</v>
      </c>
      <c r="B3048" s="25">
        <v>475.8</v>
      </c>
      <c r="C3048" s="25">
        <v>479.23</v>
      </c>
      <c r="D3048" s="25">
        <v>471.93</v>
      </c>
      <c r="E3048" s="25">
        <v>476.4</v>
      </c>
      <c r="F3048" s="25">
        <v>1457754.0</v>
      </c>
    </row>
    <row r="3049">
      <c r="A3049" s="25">
        <v>42873.64583333333</v>
      </c>
      <c r="B3049" s="25">
        <v>471.5</v>
      </c>
      <c r="C3049" s="25">
        <v>486.95</v>
      </c>
      <c r="D3049" s="25">
        <v>471.43</v>
      </c>
      <c r="E3049" s="25">
        <v>480.88</v>
      </c>
      <c r="F3049" s="25">
        <v>4028924.0</v>
      </c>
    </row>
    <row r="3050">
      <c r="A3050" s="25">
        <v>42874.64583333333</v>
      </c>
      <c r="B3050" s="25">
        <v>480.75</v>
      </c>
      <c r="C3050" s="25">
        <v>481.35</v>
      </c>
      <c r="D3050" s="25">
        <v>473.93</v>
      </c>
      <c r="E3050" s="25">
        <v>478.98</v>
      </c>
      <c r="F3050" s="25">
        <v>2128698.0</v>
      </c>
    </row>
    <row r="3051">
      <c r="A3051" s="25">
        <v>42877.64583333333</v>
      </c>
      <c r="B3051" s="25">
        <v>479.2</v>
      </c>
      <c r="C3051" s="25">
        <v>483.45</v>
      </c>
      <c r="D3051" s="25">
        <v>478.28</v>
      </c>
      <c r="E3051" s="25">
        <v>480.73</v>
      </c>
      <c r="F3051" s="25">
        <v>2751526.0</v>
      </c>
    </row>
    <row r="3052">
      <c r="A3052" s="25">
        <v>42878.64583333333</v>
      </c>
      <c r="B3052" s="25">
        <v>482.33</v>
      </c>
      <c r="C3052" s="25">
        <v>483.5</v>
      </c>
      <c r="D3052" s="25">
        <v>477.05</v>
      </c>
      <c r="E3052" s="25">
        <v>478.65</v>
      </c>
      <c r="F3052" s="25">
        <v>2019991.0</v>
      </c>
    </row>
    <row r="3053">
      <c r="A3053" s="25">
        <v>42879.64583333333</v>
      </c>
      <c r="B3053" s="25">
        <v>480.0</v>
      </c>
      <c r="C3053" s="25">
        <v>482.75</v>
      </c>
      <c r="D3053" s="25">
        <v>474.8</v>
      </c>
      <c r="E3053" s="25">
        <v>477.4</v>
      </c>
      <c r="F3053" s="25">
        <v>2818143.0</v>
      </c>
    </row>
    <row r="3054">
      <c r="A3054" s="25">
        <v>42880.64583333333</v>
      </c>
      <c r="B3054" s="25">
        <v>480.5</v>
      </c>
      <c r="C3054" s="25">
        <v>493.3</v>
      </c>
      <c r="D3054" s="25">
        <v>480.5</v>
      </c>
      <c r="E3054" s="25">
        <v>491.65</v>
      </c>
      <c r="F3054" s="25">
        <v>5219257.0</v>
      </c>
    </row>
    <row r="3055">
      <c r="A3055" s="25">
        <v>42881.64583333333</v>
      </c>
      <c r="B3055" s="25">
        <v>493.5</v>
      </c>
      <c r="C3055" s="25">
        <v>500.0</v>
      </c>
      <c r="D3055" s="25">
        <v>490.3</v>
      </c>
      <c r="E3055" s="25">
        <v>497.85</v>
      </c>
      <c r="F3055" s="25">
        <v>2494002.0</v>
      </c>
    </row>
    <row r="3056">
      <c r="A3056" s="25">
        <v>42884.64583333333</v>
      </c>
      <c r="B3056" s="25">
        <v>495.45</v>
      </c>
      <c r="C3056" s="25">
        <v>498.35</v>
      </c>
      <c r="D3056" s="25">
        <v>487.85</v>
      </c>
      <c r="E3056" s="25">
        <v>492.58</v>
      </c>
      <c r="F3056" s="25">
        <v>3154217.0</v>
      </c>
    </row>
    <row r="3057">
      <c r="A3057" s="25">
        <v>42885.64583333333</v>
      </c>
      <c r="B3057" s="25">
        <v>491.0</v>
      </c>
      <c r="C3057" s="25">
        <v>500.0</v>
      </c>
      <c r="D3057" s="25">
        <v>489.33</v>
      </c>
      <c r="E3057" s="25">
        <v>498.1</v>
      </c>
      <c r="F3057" s="25">
        <v>1858455.0</v>
      </c>
    </row>
    <row r="3058">
      <c r="A3058" s="25">
        <v>42886.64583333333</v>
      </c>
      <c r="B3058" s="25">
        <v>496.78</v>
      </c>
      <c r="C3058" s="25">
        <v>496.78</v>
      </c>
      <c r="D3058" s="25">
        <v>487.43</v>
      </c>
      <c r="E3058" s="25">
        <v>488.53</v>
      </c>
      <c r="F3058" s="25">
        <v>3881950.0</v>
      </c>
    </row>
    <row r="3059">
      <c r="A3059" s="25">
        <v>42887.64583333333</v>
      </c>
      <c r="B3059" s="25">
        <v>484.65</v>
      </c>
      <c r="C3059" s="25">
        <v>489.85</v>
      </c>
      <c r="D3059" s="25">
        <v>479.28</v>
      </c>
      <c r="E3059" s="25">
        <v>485.7</v>
      </c>
      <c r="F3059" s="25">
        <v>2754303.0</v>
      </c>
    </row>
    <row r="3060">
      <c r="A3060" s="25">
        <v>42888.64583333333</v>
      </c>
      <c r="B3060" s="25">
        <v>486.7</v>
      </c>
      <c r="C3060" s="25">
        <v>487.73</v>
      </c>
      <c r="D3060" s="25">
        <v>482.1</v>
      </c>
      <c r="E3060" s="25">
        <v>484.73</v>
      </c>
      <c r="F3060" s="25">
        <v>1958983.0</v>
      </c>
    </row>
    <row r="3061">
      <c r="A3061" s="25">
        <v>42891.64583333333</v>
      </c>
      <c r="B3061" s="25">
        <v>485.0</v>
      </c>
      <c r="C3061" s="25">
        <v>486.0</v>
      </c>
      <c r="D3061" s="25">
        <v>478.53</v>
      </c>
      <c r="E3061" s="25">
        <v>479.38</v>
      </c>
      <c r="F3061" s="25">
        <v>2731349.0</v>
      </c>
    </row>
    <row r="3062">
      <c r="A3062" s="25">
        <v>42892.64583333333</v>
      </c>
      <c r="B3062" s="25">
        <v>482.5</v>
      </c>
      <c r="C3062" s="25">
        <v>493.75</v>
      </c>
      <c r="D3062" s="25">
        <v>482.2</v>
      </c>
      <c r="E3062" s="25">
        <v>489.68</v>
      </c>
      <c r="F3062" s="25">
        <v>3504343.0</v>
      </c>
    </row>
    <row r="3063">
      <c r="A3063" s="25">
        <v>42893.64583333333</v>
      </c>
      <c r="B3063" s="25">
        <v>492.5</v>
      </c>
      <c r="C3063" s="25">
        <v>494.45</v>
      </c>
      <c r="D3063" s="25">
        <v>472.5</v>
      </c>
      <c r="E3063" s="25">
        <v>480.65</v>
      </c>
      <c r="F3063" s="25">
        <v>6227523.0</v>
      </c>
    </row>
    <row r="3064">
      <c r="A3064" s="25">
        <v>42894.64583333333</v>
      </c>
      <c r="B3064" s="25">
        <v>481.48</v>
      </c>
      <c r="C3064" s="25">
        <v>481.48</v>
      </c>
      <c r="D3064" s="25">
        <v>474.08</v>
      </c>
      <c r="E3064" s="25">
        <v>478.23</v>
      </c>
      <c r="F3064" s="25">
        <v>3097676.0</v>
      </c>
    </row>
    <row r="3065">
      <c r="A3065" s="25">
        <v>42895.64583333333</v>
      </c>
      <c r="B3065" s="25">
        <v>469.28</v>
      </c>
      <c r="C3065" s="25">
        <v>475.48</v>
      </c>
      <c r="D3065" s="25">
        <v>461.5</v>
      </c>
      <c r="E3065" s="25">
        <v>474.3</v>
      </c>
      <c r="F3065" s="25">
        <v>7378831.0</v>
      </c>
    </row>
    <row r="3066">
      <c r="A3066" s="25">
        <v>42898.64583333333</v>
      </c>
      <c r="B3066" s="25">
        <v>471.68</v>
      </c>
      <c r="C3066" s="25">
        <v>482.6</v>
      </c>
      <c r="D3066" s="25">
        <v>470.05</v>
      </c>
      <c r="E3066" s="25">
        <v>481.93</v>
      </c>
      <c r="F3066" s="25">
        <v>4295838.0</v>
      </c>
    </row>
    <row r="3067">
      <c r="A3067" s="25">
        <v>42899.64583333333</v>
      </c>
      <c r="B3067" s="25">
        <v>476.75</v>
      </c>
      <c r="C3067" s="25">
        <v>481.48</v>
      </c>
      <c r="D3067" s="25">
        <v>475.8</v>
      </c>
      <c r="E3067" s="25">
        <v>478.9</v>
      </c>
      <c r="F3067" s="25">
        <v>2468897.0</v>
      </c>
    </row>
    <row r="3068">
      <c r="A3068" s="25">
        <v>42900.64583333333</v>
      </c>
      <c r="B3068" s="25">
        <v>480.0</v>
      </c>
      <c r="C3068" s="25">
        <v>480.95</v>
      </c>
      <c r="D3068" s="25">
        <v>475.6</v>
      </c>
      <c r="E3068" s="25">
        <v>479.3</v>
      </c>
      <c r="F3068" s="25">
        <v>3719055.0</v>
      </c>
    </row>
    <row r="3069">
      <c r="A3069" s="25">
        <v>42901.64583333333</v>
      </c>
      <c r="B3069" s="25">
        <v>479.83</v>
      </c>
      <c r="C3069" s="25">
        <v>483.98</v>
      </c>
      <c r="D3069" s="25">
        <v>474.8</v>
      </c>
      <c r="E3069" s="25">
        <v>476.05</v>
      </c>
      <c r="F3069" s="25">
        <v>2764031.0</v>
      </c>
    </row>
    <row r="3070">
      <c r="A3070" s="25">
        <v>42902.64583333333</v>
      </c>
      <c r="B3070" s="25">
        <v>474.55</v>
      </c>
      <c r="C3070" s="25">
        <v>476.93</v>
      </c>
      <c r="D3070" s="25">
        <v>468.0</v>
      </c>
      <c r="E3070" s="25">
        <v>470.13</v>
      </c>
      <c r="F3070" s="25">
        <v>5474225.0</v>
      </c>
    </row>
    <row r="3071">
      <c r="A3071" s="25">
        <v>42905.64583333333</v>
      </c>
      <c r="B3071" s="25">
        <v>469.98</v>
      </c>
      <c r="C3071" s="25">
        <v>470.13</v>
      </c>
      <c r="D3071" s="25">
        <v>464.0</v>
      </c>
      <c r="E3071" s="25">
        <v>464.93</v>
      </c>
      <c r="F3071" s="25">
        <v>3427930.0</v>
      </c>
    </row>
    <row r="3072">
      <c r="A3072" s="25">
        <v>42906.64583333333</v>
      </c>
      <c r="B3072" s="25">
        <v>467.5</v>
      </c>
      <c r="C3072" s="25">
        <v>473.45</v>
      </c>
      <c r="D3072" s="25">
        <v>467.03</v>
      </c>
      <c r="E3072" s="25">
        <v>471.78</v>
      </c>
      <c r="F3072" s="25">
        <v>2592198.0</v>
      </c>
    </row>
    <row r="3073">
      <c r="A3073" s="25">
        <v>42907.64583333333</v>
      </c>
      <c r="B3073" s="25">
        <v>472.5</v>
      </c>
      <c r="C3073" s="25">
        <v>474.5</v>
      </c>
      <c r="D3073" s="25">
        <v>468.03</v>
      </c>
      <c r="E3073" s="25">
        <v>471.68</v>
      </c>
      <c r="F3073" s="25">
        <v>1867932.0</v>
      </c>
    </row>
    <row r="3074">
      <c r="A3074" s="25">
        <v>42908.64583333333</v>
      </c>
      <c r="B3074" s="25">
        <v>473.85</v>
      </c>
      <c r="C3074" s="25">
        <v>484.35</v>
      </c>
      <c r="D3074" s="25">
        <v>467.55</v>
      </c>
      <c r="E3074" s="25">
        <v>470.08</v>
      </c>
      <c r="F3074" s="25">
        <v>4732621.0</v>
      </c>
    </row>
    <row r="3075">
      <c r="A3075" s="25">
        <v>42909.64583333333</v>
      </c>
      <c r="B3075" s="25">
        <v>472.5</v>
      </c>
      <c r="C3075" s="25">
        <v>474.58</v>
      </c>
      <c r="D3075" s="25">
        <v>469.0</v>
      </c>
      <c r="E3075" s="25">
        <v>471.63</v>
      </c>
      <c r="F3075" s="25">
        <v>3201509.0</v>
      </c>
    </row>
    <row r="3076">
      <c r="A3076" s="25">
        <v>42913.64583333333</v>
      </c>
      <c r="B3076" s="25">
        <v>472.5</v>
      </c>
      <c r="C3076" s="25">
        <v>474.0</v>
      </c>
      <c r="D3076" s="25">
        <v>461.88</v>
      </c>
      <c r="E3076" s="25">
        <v>463.53</v>
      </c>
      <c r="F3076" s="25">
        <v>3452330.0</v>
      </c>
    </row>
    <row r="3077">
      <c r="A3077" s="25">
        <v>42914.64583333333</v>
      </c>
      <c r="B3077" s="25">
        <v>466.4</v>
      </c>
      <c r="C3077" s="25">
        <v>466.5</v>
      </c>
      <c r="D3077" s="25">
        <v>460.5</v>
      </c>
      <c r="E3077" s="25">
        <v>462.35</v>
      </c>
      <c r="F3077" s="25">
        <v>2952612.0</v>
      </c>
    </row>
    <row r="3078">
      <c r="A3078" s="25">
        <v>42915.64583333333</v>
      </c>
      <c r="B3078" s="25">
        <v>465.1</v>
      </c>
      <c r="C3078" s="25">
        <v>473.98</v>
      </c>
      <c r="D3078" s="25">
        <v>463.3</v>
      </c>
      <c r="E3078" s="25">
        <v>465.1</v>
      </c>
      <c r="F3078" s="25">
        <v>7957020.0</v>
      </c>
    </row>
    <row r="3079">
      <c r="A3079" s="25">
        <v>42916.64583333333</v>
      </c>
      <c r="B3079" s="25">
        <v>465.4</v>
      </c>
      <c r="C3079" s="25">
        <v>469.0</v>
      </c>
      <c r="D3079" s="25">
        <v>464.5</v>
      </c>
      <c r="E3079" s="25">
        <v>467.78</v>
      </c>
      <c r="F3079" s="25">
        <v>2108350.0</v>
      </c>
    </row>
    <row r="3080">
      <c r="A3080" s="25">
        <v>42919.64583333333</v>
      </c>
      <c r="B3080" s="25">
        <v>470.55</v>
      </c>
      <c r="C3080" s="25">
        <v>477.5</v>
      </c>
      <c r="D3080" s="25">
        <v>467.3</v>
      </c>
      <c r="E3080" s="25">
        <v>475.95</v>
      </c>
      <c r="F3080" s="25">
        <v>2544462.0</v>
      </c>
    </row>
    <row r="3081">
      <c r="A3081" s="25">
        <v>42920.64583333333</v>
      </c>
      <c r="B3081" s="25">
        <v>476.93</v>
      </c>
      <c r="C3081" s="25">
        <v>485.0</v>
      </c>
      <c r="D3081" s="25">
        <v>474.7</v>
      </c>
      <c r="E3081" s="25">
        <v>481.08</v>
      </c>
      <c r="F3081" s="25">
        <v>2583863.0</v>
      </c>
    </row>
    <row r="3082">
      <c r="A3082" s="25">
        <v>42921.64583333333</v>
      </c>
      <c r="B3082" s="25">
        <v>479.5</v>
      </c>
      <c r="C3082" s="25">
        <v>479.5</v>
      </c>
      <c r="D3082" s="25">
        <v>472.7</v>
      </c>
      <c r="E3082" s="25">
        <v>475.45</v>
      </c>
      <c r="F3082" s="25">
        <v>2113114.0</v>
      </c>
    </row>
    <row r="3083">
      <c r="A3083" s="25">
        <v>42922.64583333333</v>
      </c>
      <c r="B3083" s="25">
        <v>472.5</v>
      </c>
      <c r="C3083" s="25">
        <v>478.5</v>
      </c>
      <c r="D3083" s="25">
        <v>472.1</v>
      </c>
      <c r="E3083" s="25">
        <v>473.5</v>
      </c>
      <c r="F3083" s="25">
        <v>1914860.0</v>
      </c>
    </row>
    <row r="3084">
      <c r="A3084" s="25">
        <v>42923.64583333333</v>
      </c>
      <c r="B3084" s="25">
        <v>471.93</v>
      </c>
      <c r="C3084" s="25">
        <v>472.73</v>
      </c>
      <c r="D3084" s="25">
        <v>466.53</v>
      </c>
      <c r="E3084" s="25">
        <v>467.7</v>
      </c>
      <c r="F3084" s="25">
        <v>2888443.0</v>
      </c>
    </row>
    <row r="3085">
      <c r="A3085" s="25">
        <v>42926.64583333333</v>
      </c>
      <c r="B3085" s="25">
        <v>471.6</v>
      </c>
      <c r="C3085" s="25">
        <v>479.9</v>
      </c>
      <c r="D3085" s="25">
        <v>470.0</v>
      </c>
      <c r="E3085" s="25">
        <v>478.53</v>
      </c>
      <c r="F3085" s="25">
        <v>732188.0</v>
      </c>
    </row>
    <row r="3086">
      <c r="A3086" s="25">
        <v>42927.64583333333</v>
      </c>
      <c r="B3086" s="25">
        <v>478.33</v>
      </c>
      <c r="C3086" s="25">
        <v>494.75</v>
      </c>
      <c r="D3086" s="25">
        <v>478.33</v>
      </c>
      <c r="E3086" s="25">
        <v>487.68</v>
      </c>
      <c r="F3086" s="25">
        <v>5769854.0</v>
      </c>
    </row>
    <row r="3087">
      <c r="A3087" s="25">
        <v>42928.64583333333</v>
      </c>
      <c r="B3087" s="25">
        <v>487.48</v>
      </c>
      <c r="C3087" s="25">
        <v>490.75</v>
      </c>
      <c r="D3087" s="25">
        <v>484.38</v>
      </c>
      <c r="E3087" s="25">
        <v>486.18</v>
      </c>
      <c r="F3087" s="25">
        <v>3137988.0</v>
      </c>
    </row>
    <row r="3088">
      <c r="A3088" s="25">
        <v>42929.64583333333</v>
      </c>
      <c r="B3088" s="25">
        <v>488.63</v>
      </c>
      <c r="C3088" s="25">
        <v>491.73</v>
      </c>
      <c r="D3088" s="25">
        <v>482.05</v>
      </c>
      <c r="E3088" s="25">
        <v>488.53</v>
      </c>
      <c r="F3088" s="25">
        <v>2585196.0</v>
      </c>
    </row>
    <row r="3089">
      <c r="A3089" s="25">
        <v>42930.64583333333</v>
      </c>
      <c r="B3089" s="25">
        <v>499.73</v>
      </c>
      <c r="C3089" s="25">
        <v>503.43</v>
      </c>
      <c r="D3089" s="25">
        <v>483.03</v>
      </c>
      <c r="E3089" s="25">
        <v>486.03</v>
      </c>
      <c r="F3089" s="25">
        <v>1.123909E7</v>
      </c>
    </row>
    <row r="3090">
      <c r="A3090" s="25">
        <v>42933.64583333333</v>
      </c>
      <c r="B3090" s="25">
        <v>487.5</v>
      </c>
      <c r="C3090" s="25">
        <v>496.0</v>
      </c>
      <c r="D3090" s="25">
        <v>487.0</v>
      </c>
      <c r="E3090" s="25">
        <v>492.03</v>
      </c>
      <c r="F3090" s="25">
        <v>3849125.0</v>
      </c>
    </row>
    <row r="3091">
      <c r="A3091" s="25">
        <v>42934.64583333333</v>
      </c>
      <c r="B3091" s="25">
        <v>493.03</v>
      </c>
      <c r="C3091" s="25">
        <v>502.4</v>
      </c>
      <c r="D3091" s="25">
        <v>490.55</v>
      </c>
      <c r="E3091" s="25">
        <v>492.8</v>
      </c>
      <c r="F3091" s="25">
        <v>4130090.0</v>
      </c>
    </row>
    <row r="3092">
      <c r="A3092" s="25">
        <v>42935.64583333333</v>
      </c>
      <c r="B3092" s="25">
        <v>490.73</v>
      </c>
      <c r="C3092" s="25">
        <v>494.33</v>
      </c>
      <c r="D3092" s="25">
        <v>484.55</v>
      </c>
      <c r="E3092" s="25">
        <v>489.93</v>
      </c>
      <c r="F3092" s="25">
        <v>2945139.0</v>
      </c>
    </row>
    <row r="3093">
      <c r="A3093" s="25">
        <v>42936.64583333333</v>
      </c>
      <c r="B3093" s="25">
        <v>489.65</v>
      </c>
      <c r="C3093" s="25">
        <v>489.93</v>
      </c>
      <c r="D3093" s="25">
        <v>483.48</v>
      </c>
      <c r="E3093" s="25">
        <v>484.73</v>
      </c>
      <c r="F3093" s="25">
        <v>3404870.0</v>
      </c>
    </row>
    <row r="3094">
      <c r="A3094" s="25">
        <v>42937.64583333333</v>
      </c>
      <c r="B3094" s="25">
        <v>486.5</v>
      </c>
      <c r="C3094" s="25">
        <v>491.28</v>
      </c>
      <c r="D3094" s="25">
        <v>485.7</v>
      </c>
      <c r="E3094" s="25">
        <v>490.05</v>
      </c>
      <c r="F3094" s="25">
        <v>2990377.0</v>
      </c>
    </row>
    <row r="3095">
      <c r="A3095" s="25">
        <v>42940.64583333333</v>
      </c>
      <c r="B3095" s="25">
        <v>491.75</v>
      </c>
      <c r="C3095" s="25">
        <v>497.0</v>
      </c>
      <c r="D3095" s="25">
        <v>491.3</v>
      </c>
      <c r="E3095" s="25">
        <v>495.28</v>
      </c>
      <c r="F3095" s="25">
        <v>3064588.0</v>
      </c>
    </row>
    <row r="3096">
      <c r="A3096" s="25">
        <v>42941.64583333333</v>
      </c>
      <c r="B3096" s="25">
        <v>495.0</v>
      </c>
      <c r="C3096" s="25">
        <v>499.5</v>
      </c>
      <c r="D3096" s="25">
        <v>493.1</v>
      </c>
      <c r="E3096" s="25">
        <v>496.93</v>
      </c>
      <c r="F3096" s="25">
        <v>3572807.0</v>
      </c>
    </row>
    <row r="3097">
      <c r="A3097" s="25">
        <v>42942.64583333333</v>
      </c>
      <c r="B3097" s="25">
        <v>499.05</v>
      </c>
      <c r="C3097" s="25">
        <v>499.5</v>
      </c>
      <c r="D3097" s="25">
        <v>495.2</v>
      </c>
      <c r="E3097" s="25">
        <v>497.03</v>
      </c>
      <c r="F3097" s="25">
        <v>3435012.0</v>
      </c>
    </row>
    <row r="3098">
      <c r="A3098" s="25">
        <v>42943.64583333333</v>
      </c>
      <c r="B3098" s="25">
        <v>498.0</v>
      </c>
      <c r="C3098" s="25">
        <v>502.0</v>
      </c>
      <c r="D3098" s="25">
        <v>483.4</v>
      </c>
      <c r="E3098" s="25">
        <v>485.53</v>
      </c>
      <c r="F3098" s="25">
        <v>6338426.0</v>
      </c>
    </row>
    <row r="3099">
      <c r="A3099" s="25">
        <v>42944.64583333333</v>
      </c>
      <c r="B3099" s="25">
        <v>488.0</v>
      </c>
      <c r="C3099" s="25">
        <v>501.5</v>
      </c>
      <c r="D3099" s="25">
        <v>481.15</v>
      </c>
      <c r="E3099" s="25">
        <v>498.68</v>
      </c>
      <c r="F3099" s="25">
        <v>5549214.0</v>
      </c>
    </row>
    <row r="3100">
      <c r="A3100" s="25">
        <v>42947.64583333333</v>
      </c>
      <c r="B3100" s="25">
        <v>495.95</v>
      </c>
      <c r="C3100" s="25">
        <v>510.85</v>
      </c>
      <c r="D3100" s="25">
        <v>493.38</v>
      </c>
      <c r="E3100" s="25">
        <v>505.6</v>
      </c>
      <c r="F3100" s="25">
        <v>9579124.0</v>
      </c>
    </row>
    <row r="3101">
      <c r="A3101" s="25">
        <v>42948.64583333333</v>
      </c>
      <c r="B3101" s="25">
        <v>505.5</v>
      </c>
      <c r="C3101" s="25">
        <v>508.5</v>
      </c>
      <c r="D3101" s="25">
        <v>499.18</v>
      </c>
      <c r="E3101" s="25">
        <v>502.78</v>
      </c>
      <c r="F3101" s="25">
        <v>3844699.0</v>
      </c>
    </row>
    <row r="3102">
      <c r="A3102" s="25">
        <v>42949.64583333333</v>
      </c>
      <c r="B3102" s="25">
        <v>503.0</v>
      </c>
      <c r="C3102" s="25">
        <v>506.38</v>
      </c>
      <c r="D3102" s="25">
        <v>493.6</v>
      </c>
      <c r="E3102" s="25">
        <v>496.68</v>
      </c>
      <c r="F3102" s="25">
        <v>2128792.0</v>
      </c>
    </row>
    <row r="3103">
      <c r="A3103" s="25">
        <v>42950.64583333333</v>
      </c>
      <c r="B3103" s="25">
        <v>495.5</v>
      </c>
      <c r="C3103" s="25">
        <v>499.38</v>
      </c>
      <c r="D3103" s="25">
        <v>490.13</v>
      </c>
      <c r="E3103" s="25">
        <v>492.0</v>
      </c>
      <c r="F3103" s="25">
        <v>2320174.0</v>
      </c>
    </row>
    <row r="3104">
      <c r="A3104" s="25">
        <v>42951.64583333333</v>
      </c>
      <c r="B3104" s="25">
        <v>494.0</v>
      </c>
      <c r="C3104" s="25">
        <v>494.5</v>
      </c>
      <c r="D3104" s="25">
        <v>488.03</v>
      </c>
      <c r="E3104" s="25">
        <v>491.88</v>
      </c>
      <c r="F3104" s="25">
        <v>2674509.0</v>
      </c>
    </row>
    <row r="3105">
      <c r="A3105" s="25">
        <v>42954.64583333333</v>
      </c>
      <c r="B3105" s="25">
        <v>491.75</v>
      </c>
      <c r="C3105" s="25">
        <v>491.88</v>
      </c>
      <c r="D3105" s="25">
        <v>482.85</v>
      </c>
      <c r="E3105" s="25">
        <v>484.13</v>
      </c>
      <c r="F3105" s="25">
        <v>3036872.0</v>
      </c>
    </row>
    <row r="3106">
      <c r="A3106" s="25">
        <v>42955.64583333333</v>
      </c>
      <c r="B3106" s="25">
        <v>484.25</v>
      </c>
      <c r="C3106" s="25">
        <v>485.13</v>
      </c>
      <c r="D3106" s="25">
        <v>477.53</v>
      </c>
      <c r="E3106" s="25">
        <v>481.93</v>
      </c>
      <c r="F3106" s="25">
        <v>3002324.0</v>
      </c>
    </row>
    <row r="3107">
      <c r="A3107" s="25">
        <v>42956.64583333333</v>
      </c>
      <c r="B3107" s="25">
        <v>483.83</v>
      </c>
      <c r="C3107" s="25">
        <v>486.95</v>
      </c>
      <c r="D3107" s="25">
        <v>482.28</v>
      </c>
      <c r="E3107" s="25">
        <v>484.68</v>
      </c>
      <c r="F3107" s="25">
        <v>1961205.0</v>
      </c>
    </row>
    <row r="3108">
      <c r="A3108" s="25">
        <v>42957.64583333333</v>
      </c>
      <c r="B3108" s="25">
        <v>484.95</v>
      </c>
      <c r="C3108" s="25">
        <v>493.75</v>
      </c>
      <c r="D3108" s="25">
        <v>484.68</v>
      </c>
      <c r="E3108" s="25">
        <v>490.63</v>
      </c>
      <c r="F3108" s="25">
        <v>4570342.0</v>
      </c>
    </row>
    <row r="3109">
      <c r="A3109" s="25">
        <v>42958.64583333333</v>
      </c>
      <c r="B3109" s="25">
        <v>488.0</v>
      </c>
      <c r="C3109" s="25">
        <v>498.5</v>
      </c>
      <c r="D3109" s="25">
        <v>484.8</v>
      </c>
      <c r="E3109" s="25">
        <v>493.85</v>
      </c>
      <c r="F3109" s="25">
        <v>3272078.0</v>
      </c>
    </row>
    <row r="3110">
      <c r="A3110" s="25">
        <v>42961.64583333333</v>
      </c>
      <c r="B3110" s="25">
        <v>494.0</v>
      </c>
      <c r="C3110" s="25">
        <v>494.6</v>
      </c>
      <c r="D3110" s="25">
        <v>488.58</v>
      </c>
      <c r="E3110" s="25">
        <v>490.73</v>
      </c>
      <c r="F3110" s="25">
        <v>1908235.0</v>
      </c>
    </row>
    <row r="3111">
      <c r="A3111" s="25">
        <v>42963.64583333333</v>
      </c>
      <c r="B3111" s="25">
        <v>491.0</v>
      </c>
      <c r="C3111" s="25">
        <v>493.05</v>
      </c>
      <c r="D3111" s="25">
        <v>484.5</v>
      </c>
      <c r="E3111" s="25">
        <v>487.6</v>
      </c>
      <c r="F3111" s="25">
        <v>3089040.0</v>
      </c>
    </row>
    <row r="3112">
      <c r="A3112" s="25">
        <v>42964.64583333333</v>
      </c>
      <c r="B3112" s="25">
        <v>502.5</v>
      </c>
      <c r="C3112" s="25">
        <v>514.63</v>
      </c>
      <c r="D3112" s="25">
        <v>499.03</v>
      </c>
      <c r="E3112" s="25">
        <v>510.43</v>
      </c>
      <c r="F3112" s="25">
        <v>1.289213E7</v>
      </c>
    </row>
    <row r="3113">
      <c r="A3113" s="25">
        <v>42965.64583333333</v>
      </c>
      <c r="B3113" s="25">
        <v>508.95</v>
      </c>
      <c r="C3113" s="25">
        <v>508.95</v>
      </c>
      <c r="D3113" s="25">
        <v>442.1</v>
      </c>
      <c r="E3113" s="25">
        <v>461.63</v>
      </c>
      <c r="F3113" s="25">
        <v>8.220248E7</v>
      </c>
    </row>
    <row r="3114">
      <c r="A3114" s="25">
        <v>42968.64583333333</v>
      </c>
      <c r="B3114" s="25">
        <v>462.0</v>
      </c>
      <c r="C3114" s="25">
        <v>462.0</v>
      </c>
      <c r="D3114" s="25">
        <v>435.0</v>
      </c>
      <c r="E3114" s="25">
        <v>436.7</v>
      </c>
      <c r="F3114" s="25">
        <v>4.5203588E7</v>
      </c>
    </row>
    <row r="3115">
      <c r="A3115" s="25">
        <v>42969.64583333333</v>
      </c>
      <c r="B3115" s="25">
        <v>447.6</v>
      </c>
      <c r="C3115" s="25">
        <v>448.53</v>
      </c>
      <c r="D3115" s="25">
        <v>430.0</v>
      </c>
      <c r="E3115" s="25">
        <v>437.7</v>
      </c>
      <c r="F3115" s="25">
        <v>2.4621299E7</v>
      </c>
    </row>
    <row r="3116">
      <c r="A3116" s="25">
        <v>42970.64583333333</v>
      </c>
      <c r="B3116" s="25">
        <v>440.0</v>
      </c>
      <c r="C3116" s="25">
        <v>451.85</v>
      </c>
      <c r="D3116" s="25">
        <v>436.95</v>
      </c>
      <c r="E3116" s="25">
        <v>446.4</v>
      </c>
      <c r="F3116" s="25">
        <v>3.0642095E7</v>
      </c>
    </row>
    <row r="3117">
      <c r="A3117" s="25">
        <v>42971.64583333333</v>
      </c>
      <c r="B3117" s="25">
        <v>455.0</v>
      </c>
      <c r="C3117" s="25">
        <v>459.13</v>
      </c>
      <c r="D3117" s="25">
        <v>451.18</v>
      </c>
      <c r="E3117" s="25">
        <v>456.08</v>
      </c>
      <c r="F3117" s="25">
        <v>2.1190262E7</v>
      </c>
    </row>
    <row r="3118">
      <c r="A3118" s="25">
        <v>42975.64583333333</v>
      </c>
      <c r="B3118" s="25">
        <v>471.98</v>
      </c>
      <c r="C3118" s="25">
        <v>476.98</v>
      </c>
      <c r="D3118" s="25">
        <v>469.0</v>
      </c>
      <c r="E3118" s="25">
        <v>470.5</v>
      </c>
      <c r="F3118" s="25">
        <v>2.0356054E7</v>
      </c>
    </row>
    <row r="3119">
      <c r="A3119" s="25">
        <v>42976.64583333333</v>
      </c>
      <c r="B3119" s="25">
        <v>470.73</v>
      </c>
      <c r="C3119" s="25">
        <v>471.0</v>
      </c>
      <c r="D3119" s="25">
        <v>462.78</v>
      </c>
      <c r="E3119" s="25">
        <v>463.73</v>
      </c>
      <c r="F3119" s="25">
        <v>6684696.0</v>
      </c>
    </row>
    <row r="3120">
      <c r="A3120" s="25">
        <v>42977.64583333333</v>
      </c>
      <c r="B3120" s="25">
        <v>468.6</v>
      </c>
      <c r="C3120" s="25">
        <v>469.5</v>
      </c>
      <c r="D3120" s="25">
        <v>462.05</v>
      </c>
      <c r="E3120" s="25">
        <v>463.33</v>
      </c>
      <c r="F3120" s="25">
        <v>8074832.0</v>
      </c>
    </row>
    <row r="3121">
      <c r="A3121" s="25">
        <v>42978.64583333333</v>
      </c>
      <c r="B3121" s="25">
        <v>464.4</v>
      </c>
      <c r="C3121" s="25">
        <v>464.48</v>
      </c>
      <c r="D3121" s="25">
        <v>456.45</v>
      </c>
      <c r="E3121" s="25">
        <v>457.48</v>
      </c>
      <c r="F3121" s="25">
        <v>7511226.0</v>
      </c>
    </row>
    <row r="3122">
      <c r="A3122" s="25">
        <v>42979.64583333333</v>
      </c>
      <c r="B3122" s="25">
        <v>457.98</v>
      </c>
      <c r="C3122" s="25">
        <v>462.95</v>
      </c>
      <c r="D3122" s="25">
        <v>455.0</v>
      </c>
      <c r="E3122" s="25">
        <v>459.98</v>
      </c>
      <c r="F3122" s="25">
        <v>4216961.0</v>
      </c>
    </row>
    <row r="3123">
      <c r="A3123" s="25">
        <v>42982.64583333333</v>
      </c>
      <c r="B3123" s="25">
        <v>460.5</v>
      </c>
      <c r="C3123" s="25">
        <v>460.55</v>
      </c>
      <c r="D3123" s="25">
        <v>446.75</v>
      </c>
      <c r="E3123" s="25">
        <v>450.1</v>
      </c>
      <c r="F3123" s="25">
        <v>5088554.0</v>
      </c>
    </row>
    <row r="3124">
      <c r="A3124" s="25">
        <v>42983.64583333333</v>
      </c>
      <c r="B3124" s="25">
        <v>451.0</v>
      </c>
      <c r="C3124" s="25">
        <v>452.5</v>
      </c>
      <c r="D3124" s="25">
        <v>448.63</v>
      </c>
      <c r="E3124" s="25">
        <v>450.95</v>
      </c>
      <c r="F3124" s="25">
        <v>4891696.0</v>
      </c>
    </row>
    <row r="3125">
      <c r="A3125" s="25">
        <v>42984.64583333333</v>
      </c>
      <c r="B3125" s="25">
        <v>450.0</v>
      </c>
      <c r="C3125" s="25">
        <v>450.15</v>
      </c>
      <c r="D3125" s="25">
        <v>445.0</v>
      </c>
      <c r="E3125" s="25">
        <v>447.8</v>
      </c>
      <c r="F3125" s="25">
        <v>3867955.0</v>
      </c>
    </row>
    <row r="3126">
      <c r="A3126" s="25">
        <v>42985.64583333333</v>
      </c>
      <c r="B3126" s="25">
        <v>450.0</v>
      </c>
      <c r="C3126" s="25">
        <v>450.25</v>
      </c>
      <c r="D3126" s="25">
        <v>446.18</v>
      </c>
      <c r="E3126" s="25">
        <v>447.88</v>
      </c>
      <c r="F3126" s="25">
        <v>3120596.0</v>
      </c>
    </row>
    <row r="3127">
      <c r="A3127" s="25">
        <v>42986.64583333333</v>
      </c>
      <c r="B3127" s="25">
        <v>449.5</v>
      </c>
      <c r="C3127" s="25">
        <v>449.5</v>
      </c>
      <c r="D3127" s="25">
        <v>441.05</v>
      </c>
      <c r="E3127" s="25">
        <v>442.15</v>
      </c>
      <c r="F3127" s="25">
        <v>4302271.0</v>
      </c>
    </row>
    <row r="3128">
      <c r="A3128" s="25">
        <v>42989.64583333333</v>
      </c>
      <c r="B3128" s="25">
        <v>445.2</v>
      </c>
      <c r="C3128" s="25">
        <v>445.9</v>
      </c>
      <c r="D3128" s="25">
        <v>436.83</v>
      </c>
      <c r="E3128" s="25">
        <v>439.35</v>
      </c>
      <c r="F3128" s="25">
        <v>6893821.0</v>
      </c>
    </row>
    <row r="3129">
      <c r="A3129" s="25">
        <v>42990.64583333333</v>
      </c>
      <c r="B3129" s="25">
        <v>441.28</v>
      </c>
      <c r="C3129" s="25">
        <v>443.88</v>
      </c>
      <c r="D3129" s="25">
        <v>439.4</v>
      </c>
      <c r="E3129" s="25">
        <v>442.03</v>
      </c>
      <c r="F3129" s="25">
        <v>8620677.0</v>
      </c>
    </row>
    <row r="3130">
      <c r="A3130" s="25">
        <v>42991.64583333333</v>
      </c>
      <c r="B3130" s="25">
        <v>442.75</v>
      </c>
      <c r="C3130" s="25">
        <v>443.8</v>
      </c>
      <c r="D3130" s="25">
        <v>440.5</v>
      </c>
      <c r="E3130" s="25">
        <v>441.88</v>
      </c>
      <c r="F3130" s="25">
        <v>5739114.0</v>
      </c>
    </row>
    <row r="3131">
      <c r="A3131" s="25">
        <v>42992.64583333333</v>
      </c>
      <c r="B3131" s="25">
        <v>442.25</v>
      </c>
      <c r="C3131" s="25">
        <v>448.3</v>
      </c>
      <c r="D3131" s="25">
        <v>440.8</v>
      </c>
      <c r="E3131" s="25">
        <v>446.2</v>
      </c>
      <c r="F3131" s="25">
        <v>6849003.0</v>
      </c>
    </row>
    <row r="3132">
      <c r="A3132" s="25">
        <v>42993.64583333333</v>
      </c>
      <c r="B3132" s="25">
        <v>446.15</v>
      </c>
      <c r="C3132" s="25">
        <v>456.63</v>
      </c>
      <c r="D3132" s="25">
        <v>446.1</v>
      </c>
      <c r="E3132" s="25">
        <v>454.13</v>
      </c>
      <c r="F3132" s="25">
        <v>6729730.0</v>
      </c>
    </row>
    <row r="3133">
      <c r="A3133" s="25">
        <v>42996.64583333333</v>
      </c>
      <c r="B3133" s="25">
        <v>455.0</v>
      </c>
      <c r="C3133" s="25">
        <v>458.88</v>
      </c>
      <c r="D3133" s="25">
        <v>453.15</v>
      </c>
      <c r="E3133" s="25">
        <v>454.55</v>
      </c>
      <c r="F3133" s="25">
        <v>4237930.0</v>
      </c>
    </row>
    <row r="3134">
      <c r="A3134" s="25">
        <v>42997.64583333333</v>
      </c>
      <c r="B3134" s="25">
        <v>454.0</v>
      </c>
      <c r="C3134" s="25">
        <v>458.0</v>
      </c>
      <c r="D3134" s="25">
        <v>451.75</v>
      </c>
      <c r="E3134" s="25">
        <v>456.13</v>
      </c>
      <c r="F3134" s="25">
        <v>3016665.0</v>
      </c>
    </row>
    <row r="3135">
      <c r="A3135" s="25">
        <v>42998.64583333333</v>
      </c>
      <c r="B3135" s="25">
        <v>458.5</v>
      </c>
      <c r="C3135" s="25">
        <v>458.5</v>
      </c>
      <c r="D3135" s="25">
        <v>453.73</v>
      </c>
      <c r="E3135" s="25">
        <v>456.35</v>
      </c>
      <c r="F3135" s="25">
        <v>2883915.0</v>
      </c>
    </row>
    <row r="3136">
      <c r="A3136" s="25">
        <v>42999.64583333333</v>
      </c>
      <c r="B3136" s="25">
        <v>457.5</v>
      </c>
      <c r="C3136" s="25">
        <v>457.63</v>
      </c>
      <c r="D3136" s="25">
        <v>454.08</v>
      </c>
      <c r="E3136" s="25">
        <v>454.78</v>
      </c>
      <c r="F3136" s="25">
        <v>4102076.0</v>
      </c>
    </row>
    <row r="3137">
      <c r="A3137" s="25">
        <v>43000.64583333333</v>
      </c>
      <c r="B3137" s="25">
        <v>454.08</v>
      </c>
      <c r="C3137" s="25">
        <v>455.13</v>
      </c>
      <c r="D3137" s="25">
        <v>444.0</v>
      </c>
      <c r="E3137" s="25">
        <v>449.15</v>
      </c>
      <c r="F3137" s="25">
        <v>8802044.0</v>
      </c>
    </row>
    <row r="3138">
      <c r="A3138" s="25">
        <v>43003.64583333333</v>
      </c>
      <c r="B3138" s="25">
        <v>450.5</v>
      </c>
      <c r="C3138" s="25">
        <v>450.98</v>
      </c>
      <c r="D3138" s="25">
        <v>444.55</v>
      </c>
      <c r="E3138" s="25">
        <v>447.68</v>
      </c>
      <c r="F3138" s="25">
        <v>4544350.0</v>
      </c>
    </row>
    <row r="3139">
      <c r="A3139" s="25">
        <v>43004.64583333333</v>
      </c>
      <c r="B3139" s="25">
        <v>448.5</v>
      </c>
      <c r="C3139" s="25">
        <v>454.2</v>
      </c>
      <c r="D3139" s="25">
        <v>447.15</v>
      </c>
      <c r="E3139" s="25">
        <v>452.95</v>
      </c>
      <c r="F3139" s="25">
        <v>3683239.0</v>
      </c>
    </row>
    <row r="3140">
      <c r="A3140" s="25">
        <v>43005.64583333333</v>
      </c>
      <c r="B3140" s="25">
        <v>453.05</v>
      </c>
      <c r="C3140" s="25">
        <v>453.95</v>
      </c>
      <c r="D3140" s="25">
        <v>447.55</v>
      </c>
      <c r="E3140" s="25">
        <v>449.9</v>
      </c>
      <c r="F3140" s="25">
        <v>3000069.0</v>
      </c>
    </row>
    <row r="3141">
      <c r="A3141" s="25">
        <v>43006.64583333333</v>
      </c>
      <c r="B3141" s="25">
        <v>448.05</v>
      </c>
      <c r="C3141" s="25">
        <v>451.95</v>
      </c>
      <c r="D3141" s="25">
        <v>447.15</v>
      </c>
      <c r="E3141" s="25">
        <v>448.0</v>
      </c>
      <c r="F3141" s="25">
        <v>8768633.0</v>
      </c>
    </row>
    <row r="3142">
      <c r="A3142" s="25">
        <v>43007.64583333333</v>
      </c>
      <c r="B3142" s="25">
        <v>449.0</v>
      </c>
      <c r="C3142" s="25">
        <v>451.2</v>
      </c>
      <c r="D3142" s="25">
        <v>447.5</v>
      </c>
      <c r="E3142" s="25">
        <v>449.95</v>
      </c>
      <c r="F3142" s="25">
        <v>2852916.0</v>
      </c>
    </row>
    <row r="3143">
      <c r="A3143" s="25">
        <v>43011.64583333333</v>
      </c>
      <c r="B3143" s="25">
        <v>455.05</v>
      </c>
      <c r="C3143" s="25">
        <v>456.0</v>
      </c>
      <c r="D3143" s="25">
        <v>450.8</v>
      </c>
      <c r="E3143" s="25">
        <v>451.78</v>
      </c>
      <c r="F3143" s="25">
        <v>2473761.0</v>
      </c>
    </row>
    <row r="3144">
      <c r="A3144" s="25">
        <v>43012.64583333333</v>
      </c>
      <c r="B3144" s="25">
        <v>451.5</v>
      </c>
      <c r="C3144" s="25">
        <v>452.7</v>
      </c>
      <c r="D3144" s="25">
        <v>448.58</v>
      </c>
      <c r="E3144" s="25">
        <v>449.8</v>
      </c>
      <c r="F3144" s="25">
        <v>2495746.0</v>
      </c>
    </row>
    <row r="3145">
      <c r="A3145" s="25">
        <v>43013.64583333333</v>
      </c>
      <c r="B3145" s="25">
        <v>450.0</v>
      </c>
      <c r="C3145" s="25">
        <v>452.48</v>
      </c>
      <c r="D3145" s="25">
        <v>449.5</v>
      </c>
      <c r="E3145" s="25">
        <v>451.53</v>
      </c>
      <c r="F3145" s="25">
        <v>4305650.0</v>
      </c>
    </row>
    <row r="3146">
      <c r="A3146" s="25">
        <v>43014.64583333333</v>
      </c>
      <c r="B3146" s="25">
        <v>452.0</v>
      </c>
      <c r="C3146" s="25">
        <v>461.0</v>
      </c>
      <c r="D3146" s="25">
        <v>451.98</v>
      </c>
      <c r="E3146" s="25">
        <v>460.08</v>
      </c>
      <c r="F3146" s="25">
        <v>4287154.0</v>
      </c>
    </row>
    <row r="3147">
      <c r="A3147" s="25">
        <v>43017.64583333333</v>
      </c>
      <c r="B3147" s="25">
        <v>460.0</v>
      </c>
      <c r="C3147" s="25">
        <v>464.5</v>
      </c>
      <c r="D3147" s="25">
        <v>457.0</v>
      </c>
      <c r="E3147" s="25">
        <v>461.95</v>
      </c>
      <c r="F3147" s="25">
        <v>1752416.0</v>
      </c>
    </row>
    <row r="3148">
      <c r="A3148" s="25">
        <v>43018.64583333333</v>
      </c>
      <c r="B3148" s="25">
        <v>469.98</v>
      </c>
      <c r="C3148" s="25">
        <v>469.98</v>
      </c>
      <c r="D3148" s="25">
        <v>464.78</v>
      </c>
      <c r="E3148" s="25">
        <v>467.73</v>
      </c>
      <c r="F3148" s="25">
        <v>3571610.0</v>
      </c>
    </row>
    <row r="3149">
      <c r="A3149" s="25">
        <v>43019.64583333333</v>
      </c>
      <c r="B3149" s="25">
        <v>467.73</v>
      </c>
      <c r="C3149" s="25">
        <v>469.0</v>
      </c>
      <c r="D3149" s="25">
        <v>464.0</v>
      </c>
      <c r="E3149" s="25">
        <v>465.35</v>
      </c>
      <c r="F3149" s="25">
        <v>2991252.0</v>
      </c>
    </row>
    <row r="3150">
      <c r="A3150" s="25">
        <v>43020.64583333333</v>
      </c>
      <c r="B3150" s="25">
        <v>465.0</v>
      </c>
      <c r="C3150" s="25">
        <v>467.18</v>
      </c>
      <c r="D3150" s="25">
        <v>459.78</v>
      </c>
      <c r="E3150" s="25">
        <v>463.65</v>
      </c>
      <c r="F3150" s="25">
        <v>5140486.0</v>
      </c>
    </row>
    <row r="3151">
      <c r="A3151" s="25">
        <v>43021.64583333333</v>
      </c>
      <c r="B3151" s="25">
        <v>466.4</v>
      </c>
      <c r="C3151" s="25">
        <v>466.75</v>
      </c>
      <c r="D3151" s="25">
        <v>463.78</v>
      </c>
      <c r="E3151" s="25">
        <v>465.05</v>
      </c>
      <c r="F3151" s="25">
        <v>3590364.0</v>
      </c>
    </row>
    <row r="3152">
      <c r="A3152" s="25">
        <v>43024.64583333333</v>
      </c>
      <c r="B3152" s="25">
        <v>467.98</v>
      </c>
      <c r="C3152" s="25">
        <v>471.0</v>
      </c>
      <c r="D3152" s="25">
        <v>466.5</v>
      </c>
      <c r="E3152" s="25">
        <v>469.5</v>
      </c>
      <c r="F3152" s="25">
        <v>2879375.0</v>
      </c>
    </row>
    <row r="3153">
      <c r="A3153" s="25">
        <v>43025.83333333333</v>
      </c>
      <c r="B3153" s="25">
        <v>468.4</v>
      </c>
      <c r="C3153" s="25">
        <v>468.4</v>
      </c>
      <c r="D3153" s="25">
        <v>464.75</v>
      </c>
      <c r="E3153" s="25">
        <v>465.25</v>
      </c>
      <c r="F3153" s="25">
        <v>2812551.0</v>
      </c>
    </row>
    <row r="3154">
      <c r="A3154" s="25">
        <v>43026.64583333333</v>
      </c>
      <c r="B3154" s="25">
        <v>464.45</v>
      </c>
      <c r="C3154" s="25">
        <v>465.0</v>
      </c>
      <c r="D3154" s="25">
        <v>461.48</v>
      </c>
      <c r="E3154" s="25">
        <v>462.18</v>
      </c>
      <c r="F3154" s="25">
        <v>3615926.0</v>
      </c>
    </row>
    <row r="3155">
      <c r="A3155" s="25">
        <v>43027.83333333333</v>
      </c>
      <c r="B3155" s="25">
        <v>465.0</v>
      </c>
      <c r="C3155" s="25">
        <v>466.0</v>
      </c>
      <c r="D3155" s="25">
        <v>462.6</v>
      </c>
      <c r="E3155" s="25">
        <v>463.88</v>
      </c>
      <c r="F3155" s="25">
        <v>545717.0</v>
      </c>
    </row>
    <row r="3156">
      <c r="A3156" s="25">
        <v>43031.64583333333</v>
      </c>
      <c r="B3156" s="25">
        <v>465.0</v>
      </c>
      <c r="C3156" s="25">
        <v>471.0</v>
      </c>
      <c r="D3156" s="25">
        <v>464.05</v>
      </c>
      <c r="E3156" s="25">
        <v>469.75</v>
      </c>
      <c r="F3156" s="25">
        <v>4577048.0</v>
      </c>
    </row>
    <row r="3157">
      <c r="A3157" s="25">
        <v>43032.64583333333</v>
      </c>
      <c r="B3157" s="25">
        <v>473.0</v>
      </c>
      <c r="C3157" s="25">
        <v>473.33</v>
      </c>
      <c r="D3157" s="25">
        <v>460.8</v>
      </c>
      <c r="E3157" s="25">
        <v>463.25</v>
      </c>
      <c r="F3157" s="25">
        <v>7264664.0</v>
      </c>
    </row>
    <row r="3158">
      <c r="A3158" s="25">
        <v>43033.64583333333</v>
      </c>
      <c r="B3158" s="25">
        <v>459.5</v>
      </c>
      <c r="C3158" s="25">
        <v>472.35</v>
      </c>
      <c r="D3158" s="25">
        <v>457.63</v>
      </c>
      <c r="E3158" s="25">
        <v>467.65</v>
      </c>
      <c r="F3158" s="25">
        <v>6992067.0</v>
      </c>
    </row>
    <row r="3159">
      <c r="A3159" s="25">
        <v>43034.64583333333</v>
      </c>
      <c r="B3159" s="25">
        <v>471.0</v>
      </c>
      <c r="C3159" s="25">
        <v>475.9</v>
      </c>
      <c r="D3159" s="25">
        <v>470.05</v>
      </c>
      <c r="E3159" s="25">
        <v>473.68</v>
      </c>
      <c r="F3159" s="25">
        <v>1.6829629E7</v>
      </c>
    </row>
    <row r="3160">
      <c r="A3160" s="25">
        <v>43035.64583333333</v>
      </c>
      <c r="B3160" s="25">
        <v>477.5</v>
      </c>
      <c r="C3160" s="25">
        <v>478.85</v>
      </c>
      <c r="D3160" s="25">
        <v>472.0</v>
      </c>
      <c r="E3160" s="25">
        <v>473.18</v>
      </c>
      <c r="F3160" s="25">
        <v>4262478.0</v>
      </c>
    </row>
    <row r="3161">
      <c r="A3161" s="25">
        <v>43038.64583333333</v>
      </c>
      <c r="B3161" s="25">
        <v>477.33</v>
      </c>
      <c r="C3161" s="25">
        <v>477.33</v>
      </c>
      <c r="D3161" s="25">
        <v>470.53</v>
      </c>
      <c r="E3161" s="25">
        <v>472.05</v>
      </c>
      <c r="F3161" s="25">
        <v>6484163.0</v>
      </c>
    </row>
    <row r="3162">
      <c r="A3162" s="25">
        <v>43039.64583333333</v>
      </c>
      <c r="B3162" s="25">
        <v>462.5</v>
      </c>
      <c r="C3162" s="25">
        <v>465.0</v>
      </c>
      <c r="D3162" s="25">
        <v>460.0</v>
      </c>
      <c r="E3162" s="25">
        <v>460.93</v>
      </c>
      <c r="F3162" s="25">
        <v>4977494.0</v>
      </c>
    </row>
    <row r="3163">
      <c r="A3163" s="25">
        <v>43040.64583333333</v>
      </c>
      <c r="B3163" s="25">
        <v>462.5</v>
      </c>
      <c r="C3163" s="25">
        <v>464.7</v>
      </c>
      <c r="D3163" s="25">
        <v>461.65</v>
      </c>
      <c r="E3163" s="25">
        <v>463.53</v>
      </c>
      <c r="F3163" s="25">
        <v>2816567.0</v>
      </c>
    </row>
    <row r="3164">
      <c r="A3164" s="25">
        <v>43041.64583333333</v>
      </c>
      <c r="B3164" s="25">
        <v>461.53</v>
      </c>
      <c r="C3164" s="25">
        <v>463.0</v>
      </c>
      <c r="D3164" s="25">
        <v>460.0</v>
      </c>
      <c r="E3164" s="25">
        <v>461.45</v>
      </c>
      <c r="F3164" s="25">
        <v>2343069.0</v>
      </c>
    </row>
    <row r="3165">
      <c r="A3165" s="25">
        <v>43042.64583333333</v>
      </c>
      <c r="B3165" s="25">
        <v>458.5</v>
      </c>
      <c r="C3165" s="25">
        <v>464.95</v>
      </c>
      <c r="D3165" s="25">
        <v>458.48</v>
      </c>
      <c r="E3165" s="25">
        <v>463.33</v>
      </c>
      <c r="F3165" s="25">
        <v>1849543.0</v>
      </c>
    </row>
    <row r="3166">
      <c r="A3166" s="25">
        <v>43045.64583333333</v>
      </c>
      <c r="B3166" s="25">
        <v>461.58</v>
      </c>
      <c r="C3166" s="25">
        <v>467.5</v>
      </c>
      <c r="D3166" s="25">
        <v>461.33</v>
      </c>
      <c r="E3166" s="25">
        <v>464.35</v>
      </c>
      <c r="F3166" s="25">
        <v>2533267.0</v>
      </c>
    </row>
    <row r="3167">
      <c r="A3167" s="25">
        <v>43046.64583333333</v>
      </c>
      <c r="B3167" s="25">
        <v>463.13</v>
      </c>
      <c r="C3167" s="25">
        <v>480.0</v>
      </c>
      <c r="D3167" s="25">
        <v>462.93</v>
      </c>
      <c r="E3167" s="25">
        <v>477.75</v>
      </c>
      <c r="F3167" s="25">
        <v>6721410.0</v>
      </c>
    </row>
    <row r="3168">
      <c r="A3168" s="25">
        <v>43047.64583333333</v>
      </c>
      <c r="B3168" s="25">
        <v>480.13</v>
      </c>
      <c r="C3168" s="25">
        <v>480.93</v>
      </c>
      <c r="D3168" s="25">
        <v>473.75</v>
      </c>
      <c r="E3168" s="25">
        <v>476.15</v>
      </c>
      <c r="F3168" s="25">
        <v>2684997.0</v>
      </c>
    </row>
    <row r="3169">
      <c r="A3169" s="25">
        <v>43048.64583333333</v>
      </c>
      <c r="B3169" s="25">
        <v>476.5</v>
      </c>
      <c r="C3169" s="25">
        <v>481.5</v>
      </c>
      <c r="D3169" s="25">
        <v>474.13</v>
      </c>
      <c r="E3169" s="25">
        <v>477.25</v>
      </c>
      <c r="F3169" s="25">
        <v>2361616.0</v>
      </c>
    </row>
    <row r="3170">
      <c r="A3170" s="25">
        <v>43049.64583333333</v>
      </c>
      <c r="B3170" s="25">
        <v>479.4</v>
      </c>
      <c r="C3170" s="25">
        <v>482.18</v>
      </c>
      <c r="D3170" s="25">
        <v>475.0</v>
      </c>
      <c r="E3170" s="25">
        <v>481.03</v>
      </c>
      <c r="F3170" s="25">
        <v>3294714.0</v>
      </c>
    </row>
    <row r="3171">
      <c r="A3171" s="25">
        <v>43052.64583333333</v>
      </c>
      <c r="B3171" s="25">
        <v>481.03</v>
      </c>
      <c r="C3171" s="25">
        <v>484.7</v>
      </c>
      <c r="D3171" s="25">
        <v>474.68</v>
      </c>
      <c r="E3171" s="25">
        <v>475.98</v>
      </c>
      <c r="F3171" s="25">
        <v>2510608.0</v>
      </c>
    </row>
    <row r="3172">
      <c r="A3172" s="25">
        <v>43053.64583333333</v>
      </c>
      <c r="B3172" s="25">
        <v>475.98</v>
      </c>
      <c r="C3172" s="25">
        <v>477.43</v>
      </c>
      <c r="D3172" s="25">
        <v>471.63</v>
      </c>
      <c r="E3172" s="25">
        <v>474.55</v>
      </c>
      <c r="F3172" s="25">
        <v>2866855.0</v>
      </c>
    </row>
    <row r="3173">
      <c r="A3173" s="25">
        <v>43054.64583333333</v>
      </c>
      <c r="B3173" s="25">
        <v>472.58</v>
      </c>
      <c r="C3173" s="25">
        <v>476.75</v>
      </c>
      <c r="D3173" s="25">
        <v>472.25</v>
      </c>
      <c r="E3173" s="25">
        <v>475.9</v>
      </c>
      <c r="F3173" s="25">
        <v>3511758.0</v>
      </c>
    </row>
    <row r="3174">
      <c r="A3174" s="25">
        <v>43055.64583333333</v>
      </c>
      <c r="B3174" s="25">
        <v>475.9</v>
      </c>
      <c r="C3174" s="25">
        <v>497.95</v>
      </c>
      <c r="D3174" s="25">
        <v>474.25</v>
      </c>
      <c r="E3174" s="25">
        <v>494.2</v>
      </c>
      <c r="F3174" s="25">
        <v>7843751.0</v>
      </c>
    </row>
    <row r="3175">
      <c r="A3175" s="25">
        <v>43056.64583333333</v>
      </c>
      <c r="B3175" s="25">
        <v>492.75</v>
      </c>
      <c r="C3175" s="25">
        <v>492.75</v>
      </c>
      <c r="D3175" s="25">
        <v>482.58</v>
      </c>
      <c r="E3175" s="25">
        <v>485.48</v>
      </c>
      <c r="F3175" s="25">
        <v>4028835.0</v>
      </c>
    </row>
    <row r="3176">
      <c r="A3176" s="25">
        <v>43059.64583333333</v>
      </c>
      <c r="B3176" s="25">
        <v>484.5</v>
      </c>
      <c r="C3176" s="25">
        <v>485.5</v>
      </c>
      <c r="D3176" s="25">
        <v>478.63</v>
      </c>
      <c r="E3176" s="25">
        <v>480.28</v>
      </c>
      <c r="F3176" s="25">
        <v>2830595.0</v>
      </c>
    </row>
    <row r="3177">
      <c r="A3177" s="25">
        <v>43060.64583333333</v>
      </c>
      <c r="B3177" s="25">
        <v>480.65</v>
      </c>
      <c r="C3177" s="25">
        <v>485.75</v>
      </c>
      <c r="D3177" s="25">
        <v>480.03</v>
      </c>
      <c r="E3177" s="25">
        <v>483.13</v>
      </c>
      <c r="F3177" s="25">
        <v>2682328.0</v>
      </c>
    </row>
    <row r="3178">
      <c r="A3178" s="25">
        <v>43061.64583333333</v>
      </c>
      <c r="B3178" s="25">
        <v>483.3</v>
      </c>
      <c r="C3178" s="25">
        <v>485.53</v>
      </c>
      <c r="D3178" s="25">
        <v>481.65</v>
      </c>
      <c r="E3178" s="25">
        <v>483.15</v>
      </c>
      <c r="F3178" s="25">
        <v>3042460.0</v>
      </c>
    </row>
    <row r="3179">
      <c r="A3179" s="25">
        <v>43062.64583333333</v>
      </c>
      <c r="B3179" s="25">
        <v>485.75</v>
      </c>
      <c r="C3179" s="25">
        <v>497.23</v>
      </c>
      <c r="D3179" s="25">
        <v>484.5</v>
      </c>
      <c r="E3179" s="25">
        <v>495.63</v>
      </c>
      <c r="F3179" s="25">
        <v>5947309.0</v>
      </c>
    </row>
    <row r="3180">
      <c r="A3180" s="25">
        <v>43063.64583333333</v>
      </c>
      <c r="B3180" s="25">
        <v>495.45</v>
      </c>
      <c r="C3180" s="25">
        <v>509.65</v>
      </c>
      <c r="D3180" s="25">
        <v>495.1</v>
      </c>
      <c r="E3180" s="25">
        <v>504.78</v>
      </c>
      <c r="F3180" s="25">
        <v>9309956.0</v>
      </c>
    </row>
    <row r="3181">
      <c r="A3181" s="25">
        <v>43066.64583333333</v>
      </c>
      <c r="B3181" s="25">
        <v>503.35</v>
      </c>
      <c r="C3181" s="25">
        <v>503.35</v>
      </c>
      <c r="D3181" s="25">
        <v>496.65</v>
      </c>
      <c r="E3181" s="25">
        <v>499.38</v>
      </c>
      <c r="F3181" s="25">
        <v>3008865.0</v>
      </c>
    </row>
    <row r="3182">
      <c r="A3182" s="25">
        <v>43067.64583333333</v>
      </c>
      <c r="B3182" s="25">
        <v>497.2</v>
      </c>
      <c r="C3182" s="25">
        <v>499.95</v>
      </c>
      <c r="D3182" s="25">
        <v>490.65</v>
      </c>
      <c r="E3182" s="25">
        <v>492.35</v>
      </c>
      <c r="F3182" s="25">
        <v>2308434.0</v>
      </c>
    </row>
    <row r="3183">
      <c r="A3183" s="25">
        <v>43068.64583333333</v>
      </c>
      <c r="B3183" s="25">
        <v>493.83</v>
      </c>
      <c r="C3183" s="25">
        <v>495.98</v>
      </c>
      <c r="D3183" s="25">
        <v>490.15</v>
      </c>
      <c r="E3183" s="25">
        <v>491.35</v>
      </c>
      <c r="F3183" s="25">
        <v>1919035.0</v>
      </c>
    </row>
    <row r="3184">
      <c r="A3184" s="25">
        <v>43069.64583333333</v>
      </c>
      <c r="B3184" s="25">
        <v>494.73</v>
      </c>
      <c r="C3184" s="25">
        <v>494.73</v>
      </c>
      <c r="D3184" s="25">
        <v>484.18</v>
      </c>
      <c r="E3184" s="25">
        <v>488.05</v>
      </c>
      <c r="F3184" s="25">
        <v>8633472.0</v>
      </c>
    </row>
    <row r="3185">
      <c r="A3185" s="25">
        <v>43070.64583333333</v>
      </c>
      <c r="B3185" s="25">
        <v>489.7</v>
      </c>
      <c r="C3185" s="25">
        <v>491.6</v>
      </c>
      <c r="D3185" s="25">
        <v>478.53</v>
      </c>
      <c r="E3185" s="25">
        <v>479.4</v>
      </c>
      <c r="F3185" s="25">
        <v>2042500.0</v>
      </c>
    </row>
    <row r="3186">
      <c r="A3186" s="25">
        <v>43073.64583333333</v>
      </c>
      <c r="B3186" s="25">
        <v>490.0</v>
      </c>
      <c r="C3186" s="25">
        <v>498.4</v>
      </c>
      <c r="D3186" s="25">
        <v>484.28</v>
      </c>
      <c r="E3186" s="25">
        <v>492.68</v>
      </c>
      <c r="F3186" s="25">
        <v>8905803.0</v>
      </c>
    </row>
    <row r="3187">
      <c r="A3187" s="25">
        <v>43074.64583333333</v>
      </c>
      <c r="B3187" s="25">
        <v>492.68</v>
      </c>
      <c r="C3187" s="25">
        <v>501.5</v>
      </c>
      <c r="D3187" s="25">
        <v>489.5</v>
      </c>
      <c r="E3187" s="25">
        <v>492.18</v>
      </c>
      <c r="F3187" s="25">
        <v>4988369.0</v>
      </c>
    </row>
    <row r="3188">
      <c r="A3188" s="25">
        <v>43075.64583333333</v>
      </c>
      <c r="B3188" s="25">
        <v>492.5</v>
      </c>
      <c r="C3188" s="25">
        <v>497.05</v>
      </c>
      <c r="D3188" s="25">
        <v>492.0</v>
      </c>
      <c r="E3188" s="25">
        <v>495.15</v>
      </c>
      <c r="F3188" s="25">
        <v>3745047.0</v>
      </c>
    </row>
    <row r="3189">
      <c r="A3189" s="25">
        <v>43076.64583333333</v>
      </c>
      <c r="B3189" s="25">
        <v>494.5</v>
      </c>
      <c r="C3189" s="25">
        <v>501.45</v>
      </c>
      <c r="D3189" s="25">
        <v>492.8</v>
      </c>
      <c r="E3189" s="25">
        <v>499.93</v>
      </c>
      <c r="F3189" s="25">
        <v>3774772.0</v>
      </c>
    </row>
    <row r="3190">
      <c r="A3190" s="25">
        <v>43077.64583333333</v>
      </c>
      <c r="B3190" s="25">
        <v>500.5</v>
      </c>
      <c r="C3190" s="25">
        <v>503.5</v>
      </c>
      <c r="D3190" s="25">
        <v>497.5</v>
      </c>
      <c r="E3190" s="25">
        <v>500.93</v>
      </c>
      <c r="F3190" s="25">
        <v>2991622.0</v>
      </c>
    </row>
    <row r="3191">
      <c r="A3191" s="25">
        <v>43080.64583333333</v>
      </c>
      <c r="B3191" s="25">
        <v>497.48</v>
      </c>
      <c r="C3191" s="25">
        <v>503.45</v>
      </c>
      <c r="D3191" s="25">
        <v>496.98</v>
      </c>
      <c r="E3191" s="25">
        <v>502.65</v>
      </c>
      <c r="F3191" s="25">
        <v>2569549.0</v>
      </c>
    </row>
    <row r="3192">
      <c r="A3192" s="25">
        <v>43081.64583333333</v>
      </c>
      <c r="B3192" s="25">
        <v>501.0</v>
      </c>
      <c r="C3192" s="25">
        <v>507.0</v>
      </c>
      <c r="D3192" s="25">
        <v>501.0</v>
      </c>
      <c r="E3192" s="25">
        <v>505.25</v>
      </c>
      <c r="F3192" s="25">
        <v>4660217.0</v>
      </c>
    </row>
    <row r="3193">
      <c r="A3193" s="25">
        <v>43082.64583333333</v>
      </c>
      <c r="B3193" s="25">
        <v>505.45</v>
      </c>
      <c r="C3193" s="25">
        <v>509.5</v>
      </c>
      <c r="D3193" s="25">
        <v>498.83</v>
      </c>
      <c r="E3193" s="25">
        <v>501.88</v>
      </c>
      <c r="F3193" s="25">
        <v>2681199.0</v>
      </c>
    </row>
    <row r="3194">
      <c r="A3194" s="25">
        <v>43083.64583333333</v>
      </c>
      <c r="B3194" s="25">
        <v>502.63</v>
      </c>
      <c r="C3194" s="25">
        <v>507.5</v>
      </c>
      <c r="D3194" s="25">
        <v>499.65</v>
      </c>
      <c r="E3194" s="25">
        <v>506.55</v>
      </c>
      <c r="F3194" s="25">
        <v>3011786.0</v>
      </c>
    </row>
    <row r="3195">
      <c r="A3195" s="25">
        <v>43084.64583333333</v>
      </c>
      <c r="B3195" s="25">
        <v>506.5</v>
      </c>
      <c r="C3195" s="25">
        <v>513.2</v>
      </c>
      <c r="D3195" s="25">
        <v>505.93</v>
      </c>
      <c r="E3195" s="25">
        <v>511.45</v>
      </c>
      <c r="F3195" s="25">
        <v>5192067.0</v>
      </c>
    </row>
    <row r="3196">
      <c r="A3196" s="25">
        <v>43087.64583333333</v>
      </c>
      <c r="B3196" s="25">
        <v>505.95</v>
      </c>
      <c r="C3196" s="25">
        <v>515.35</v>
      </c>
      <c r="D3196" s="25">
        <v>502.9</v>
      </c>
      <c r="E3196" s="25">
        <v>508.3</v>
      </c>
      <c r="F3196" s="25">
        <v>2017724.0</v>
      </c>
    </row>
    <row r="3197">
      <c r="A3197" s="25">
        <v>43088.64583333333</v>
      </c>
      <c r="B3197" s="25">
        <v>508.73</v>
      </c>
      <c r="C3197" s="25">
        <v>508.98</v>
      </c>
      <c r="D3197" s="25">
        <v>499.78</v>
      </c>
      <c r="E3197" s="25">
        <v>501.98</v>
      </c>
      <c r="F3197" s="25">
        <v>3559449.0</v>
      </c>
    </row>
    <row r="3198">
      <c r="A3198" s="25">
        <v>43089.64583333333</v>
      </c>
      <c r="B3198" s="25">
        <v>502.55</v>
      </c>
      <c r="C3198" s="25">
        <v>509.3</v>
      </c>
      <c r="D3198" s="25">
        <v>500.5</v>
      </c>
      <c r="E3198" s="25">
        <v>507.93</v>
      </c>
      <c r="F3198" s="25">
        <v>2093163.0</v>
      </c>
    </row>
    <row r="3199">
      <c r="A3199" s="25">
        <v>43090.64583333333</v>
      </c>
      <c r="B3199" s="25">
        <v>507.4</v>
      </c>
      <c r="C3199" s="25">
        <v>514.48</v>
      </c>
      <c r="D3199" s="25">
        <v>499.2</v>
      </c>
      <c r="E3199" s="25">
        <v>511.03</v>
      </c>
      <c r="F3199" s="25">
        <v>5529581.0</v>
      </c>
    </row>
    <row r="3200">
      <c r="A3200" s="25">
        <v>43091.64583333333</v>
      </c>
      <c r="B3200" s="25">
        <v>508.0</v>
      </c>
      <c r="C3200" s="25">
        <v>522.4</v>
      </c>
      <c r="D3200" s="25">
        <v>508.0</v>
      </c>
      <c r="E3200" s="25">
        <v>519.67</v>
      </c>
      <c r="F3200" s="25">
        <v>6453470.0</v>
      </c>
    </row>
    <row r="3201">
      <c r="A3201" s="25">
        <v>43095.64583333333</v>
      </c>
      <c r="B3201" s="25">
        <v>515.0</v>
      </c>
      <c r="C3201" s="25">
        <v>520.75</v>
      </c>
      <c r="D3201" s="25">
        <v>511.5</v>
      </c>
      <c r="E3201" s="25">
        <v>517.8</v>
      </c>
      <c r="F3201" s="25">
        <v>5404453.0</v>
      </c>
    </row>
    <row r="3202">
      <c r="A3202" s="25">
        <v>43096.64583333333</v>
      </c>
      <c r="B3202" s="25">
        <v>514.0</v>
      </c>
      <c r="C3202" s="25">
        <v>519.55</v>
      </c>
      <c r="D3202" s="25">
        <v>513.7</v>
      </c>
      <c r="E3202" s="25">
        <v>517.13</v>
      </c>
      <c r="F3202" s="25">
        <v>3485086.0</v>
      </c>
    </row>
    <row r="3203">
      <c r="A3203" s="25">
        <v>43097.64583333333</v>
      </c>
      <c r="B3203" s="25">
        <v>515.0</v>
      </c>
      <c r="C3203" s="25">
        <v>520.0</v>
      </c>
      <c r="D3203" s="25">
        <v>511.9</v>
      </c>
      <c r="E3203" s="25">
        <v>516.63</v>
      </c>
      <c r="F3203" s="25">
        <v>4216736.0</v>
      </c>
    </row>
    <row r="3204">
      <c r="A3204" s="25">
        <v>43098.64583333333</v>
      </c>
      <c r="B3204" s="25">
        <v>515.05</v>
      </c>
      <c r="C3204" s="25">
        <v>524.4</v>
      </c>
      <c r="D3204" s="25">
        <v>515.0</v>
      </c>
      <c r="E3204" s="25">
        <v>521.03</v>
      </c>
      <c r="F3204" s="25">
        <v>3300884.0</v>
      </c>
    </row>
    <row r="3205">
      <c r="A3205" s="25">
        <v>43101.64583333333</v>
      </c>
      <c r="B3205" s="25">
        <v>518.85</v>
      </c>
      <c r="C3205" s="25">
        <v>522.25</v>
      </c>
      <c r="D3205" s="25">
        <v>515.0</v>
      </c>
      <c r="E3205" s="25">
        <v>516.78</v>
      </c>
      <c r="F3205" s="25">
        <v>2715670.0</v>
      </c>
    </row>
    <row r="3206">
      <c r="A3206" s="25">
        <v>43102.64583333333</v>
      </c>
      <c r="B3206" s="25">
        <v>518.63</v>
      </c>
      <c r="C3206" s="25">
        <v>521.0</v>
      </c>
      <c r="D3206" s="25">
        <v>511.5</v>
      </c>
      <c r="E3206" s="25">
        <v>514.85</v>
      </c>
      <c r="F3206" s="25">
        <v>3056124.0</v>
      </c>
    </row>
    <row r="3207">
      <c r="A3207" s="25">
        <v>43103.64583333333</v>
      </c>
      <c r="B3207" s="25">
        <v>514.25</v>
      </c>
      <c r="C3207" s="25">
        <v>515.8</v>
      </c>
      <c r="D3207" s="25">
        <v>509.3</v>
      </c>
      <c r="E3207" s="25">
        <v>510.65</v>
      </c>
      <c r="F3207" s="25">
        <v>3423276.0</v>
      </c>
    </row>
    <row r="3208">
      <c r="A3208" s="25">
        <v>43104.64583333333</v>
      </c>
      <c r="B3208" s="25">
        <v>510.5</v>
      </c>
      <c r="C3208" s="25">
        <v>510.5</v>
      </c>
      <c r="D3208" s="25">
        <v>504.8</v>
      </c>
      <c r="E3208" s="25">
        <v>507.7</v>
      </c>
      <c r="F3208" s="25">
        <v>4473807.0</v>
      </c>
    </row>
    <row r="3209">
      <c r="A3209" s="25">
        <v>43105.64583333333</v>
      </c>
      <c r="B3209" s="25">
        <v>507.65</v>
      </c>
      <c r="C3209" s="25">
        <v>513.2</v>
      </c>
      <c r="D3209" s="25">
        <v>503.0</v>
      </c>
      <c r="E3209" s="25">
        <v>506.0</v>
      </c>
      <c r="F3209" s="25">
        <v>5512988.0</v>
      </c>
    </row>
    <row r="3210">
      <c r="A3210" s="25">
        <v>43108.64583333333</v>
      </c>
      <c r="B3210" s="25">
        <v>512.45</v>
      </c>
      <c r="C3210" s="25">
        <v>519.5</v>
      </c>
      <c r="D3210" s="25">
        <v>510.03</v>
      </c>
      <c r="E3210" s="25">
        <v>518.03</v>
      </c>
      <c r="F3210" s="25">
        <v>2797345.0</v>
      </c>
    </row>
    <row r="3211">
      <c r="A3211" s="25">
        <v>43109.64583333333</v>
      </c>
      <c r="B3211" s="25">
        <v>520.0</v>
      </c>
      <c r="C3211" s="25">
        <v>522.45</v>
      </c>
      <c r="D3211" s="25">
        <v>514.45</v>
      </c>
      <c r="E3211" s="25">
        <v>520.67</v>
      </c>
      <c r="F3211" s="25">
        <v>4974118.0</v>
      </c>
    </row>
    <row r="3212">
      <c r="A3212" s="25">
        <v>43110.64583333333</v>
      </c>
      <c r="B3212" s="25">
        <v>523.4</v>
      </c>
      <c r="C3212" s="25">
        <v>528.0</v>
      </c>
      <c r="D3212" s="25">
        <v>516.53</v>
      </c>
      <c r="E3212" s="25">
        <v>526.13</v>
      </c>
      <c r="F3212" s="25">
        <v>4734317.0</v>
      </c>
    </row>
    <row r="3213">
      <c r="A3213" s="25">
        <v>43111.64583333333</v>
      </c>
      <c r="B3213" s="25">
        <v>527.63</v>
      </c>
      <c r="C3213" s="25">
        <v>541.7</v>
      </c>
      <c r="D3213" s="25">
        <v>527.63</v>
      </c>
      <c r="E3213" s="25">
        <v>537.9</v>
      </c>
      <c r="F3213" s="25">
        <v>8387735.0</v>
      </c>
    </row>
    <row r="3214">
      <c r="A3214" s="25">
        <v>43112.64583333333</v>
      </c>
      <c r="B3214" s="25">
        <v>542.9</v>
      </c>
      <c r="C3214" s="25">
        <v>542.95</v>
      </c>
      <c r="D3214" s="25">
        <v>535.28</v>
      </c>
      <c r="E3214" s="25">
        <v>539.23</v>
      </c>
      <c r="F3214" s="25">
        <v>9008264.0</v>
      </c>
    </row>
    <row r="3215">
      <c r="A3215" s="25">
        <v>43115.64583333333</v>
      </c>
      <c r="B3215" s="25">
        <v>540.0</v>
      </c>
      <c r="C3215" s="25">
        <v>546.48</v>
      </c>
      <c r="D3215" s="25">
        <v>532.55</v>
      </c>
      <c r="E3215" s="25">
        <v>540.58</v>
      </c>
      <c r="F3215" s="25">
        <v>5324625.0</v>
      </c>
    </row>
    <row r="3216">
      <c r="A3216" s="25">
        <v>43116.64583333333</v>
      </c>
      <c r="B3216" s="25">
        <v>540.63</v>
      </c>
      <c r="C3216" s="25">
        <v>567.4</v>
      </c>
      <c r="D3216" s="25">
        <v>540.63</v>
      </c>
      <c r="E3216" s="25">
        <v>561.42</v>
      </c>
      <c r="F3216" s="25">
        <v>1.1323483E7</v>
      </c>
    </row>
    <row r="3217">
      <c r="A3217" s="25">
        <v>43117.64583333333</v>
      </c>
      <c r="B3217" s="25">
        <v>562.42</v>
      </c>
      <c r="C3217" s="25">
        <v>580.9</v>
      </c>
      <c r="D3217" s="25">
        <v>561.5</v>
      </c>
      <c r="E3217" s="25">
        <v>576.05</v>
      </c>
      <c r="F3217" s="25">
        <v>1.3077044E7</v>
      </c>
    </row>
    <row r="3218">
      <c r="A3218" s="25">
        <v>43118.64583333333</v>
      </c>
      <c r="B3218" s="25">
        <v>572.5</v>
      </c>
      <c r="C3218" s="25">
        <v>582.45</v>
      </c>
      <c r="D3218" s="25">
        <v>566.05</v>
      </c>
      <c r="E3218" s="25">
        <v>576.35</v>
      </c>
      <c r="F3218" s="25">
        <v>6602485.0</v>
      </c>
    </row>
    <row r="3219">
      <c r="A3219" s="25">
        <v>43119.64583333333</v>
      </c>
      <c r="B3219" s="25">
        <v>572.5</v>
      </c>
      <c r="C3219" s="25">
        <v>573.95</v>
      </c>
      <c r="D3219" s="25">
        <v>568.0</v>
      </c>
      <c r="E3219" s="25">
        <v>571.73</v>
      </c>
      <c r="F3219" s="25">
        <v>2994139.0</v>
      </c>
    </row>
    <row r="3220">
      <c r="A3220" s="25">
        <v>43122.64583333333</v>
      </c>
      <c r="B3220" s="25">
        <v>566.08</v>
      </c>
      <c r="C3220" s="25">
        <v>578.48</v>
      </c>
      <c r="D3220" s="25">
        <v>566.0</v>
      </c>
      <c r="E3220" s="25">
        <v>575.0</v>
      </c>
      <c r="F3220" s="25">
        <v>4825107.0</v>
      </c>
    </row>
    <row r="3221">
      <c r="A3221" s="25">
        <v>43123.64583333333</v>
      </c>
      <c r="B3221" s="25">
        <v>577.5</v>
      </c>
      <c r="C3221" s="25">
        <v>594.0</v>
      </c>
      <c r="D3221" s="25">
        <v>577.5</v>
      </c>
      <c r="E3221" s="25">
        <v>588.55</v>
      </c>
      <c r="F3221" s="25">
        <v>7701898.0</v>
      </c>
    </row>
    <row r="3222">
      <c r="A3222" s="25">
        <v>43124.64583333333</v>
      </c>
      <c r="B3222" s="25">
        <v>587.4</v>
      </c>
      <c r="C3222" s="25">
        <v>610.53</v>
      </c>
      <c r="D3222" s="25">
        <v>583.75</v>
      </c>
      <c r="E3222" s="25">
        <v>592.9</v>
      </c>
      <c r="F3222" s="25">
        <v>1.0302359E7</v>
      </c>
    </row>
    <row r="3223">
      <c r="A3223" s="25">
        <v>43125.64583333333</v>
      </c>
      <c r="B3223" s="25">
        <v>591.0</v>
      </c>
      <c r="C3223" s="25">
        <v>591.7</v>
      </c>
      <c r="D3223" s="25">
        <v>581.13</v>
      </c>
      <c r="E3223" s="25">
        <v>587.7</v>
      </c>
      <c r="F3223" s="25">
        <v>6774457.0</v>
      </c>
    </row>
    <row r="3224">
      <c r="A3224" s="25">
        <v>43129.64583333333</v>
      </c>
      <c r="B3224" s="25">
        <v>583.28</v>
      </c>
      <c r="C3224" s="25">
        <v>598.13</v>
      </c>
      <c r="D3224" s="25">
        <v>582.6</v>
      </c>
      <c r="E3224" s="25">
        <v>591.45</v>
      </c>
      <c r="F3224" s="25">
        <v>5411501.0</v>
      </c>
    </row>
    <row r="3225">
      <c r="A3225" s="25">
        <v>43130.64583333333</v>
      </c>
      <c r="B3225" s="25">
        <v>589.45</v>
      </c>
      <c r="C3225" s="25">
        <v>591.55</v>
      </c>
      <c r="D3225" s="25">
        <v>581.35</v>
      </c>
      <c r="E3225" s="25">
        <v>585.33</v>
      </c>
      <c r="F3225" s="25">
        <v>4314156.0</v>
      </c>
    </row>
    <row r="3226">
      <c r="A3226" s="25">
        <v>43131.64583333333</v>
      </c>
      <c r="B3226" s="25">
        <v>579.58</v>
      </c>
      <c r="C3226" s="25">
        <v>583.3</v>
      </c>
      <c r="D3226" s="25">
        <v>571.08</v>
      </c>
      <c r="E3226" s="25">
        <v>575.13</v>
      </c>
      <c r="F3226" s="25">
        <v>4606849.0</v>
      </c>
    </row>
    <row r="3227">
      <c r="A3227" s="25">
        <v>43132.64583333333</v>
      </c>
      <c r="B3227" s="25">
        <v>571.1</v>
      </c>
      <c r="C3227" s="25">
        <v>578.95</v>
      </c>
      <c r="D3227" s="25">
        <v>559.28</v>
      </c>
      <c r="E3227" s="25">
        <v>572.3</v>
      </c>
      <c r="F3227" s="25">
        <v>6502727.0</v>
      </c>
    </row>
    <row r="3228">
      <c r="A3228" s="25">
        <v>43133.64583333333</v>
      </c>
      <c r="B3228" s="25">
        <v>567.63</v>
      </c>
      <c r="C3228" s="25">
        <v>581.45</v>
      </c>
      <c r="D3228" s="25">
        <v>565.05</v>
      </c>
      <c r="E3228" s="25">
        <v>571.63</v>
      </c>
      <c r="F3228" s="25">
        <v>5122243.0</v>
      </c>
    </row>
    <row r="3229">
      <c r="A3229" s="25">
        <v>43136.64583333333</v>
      </c>
      <c r="B3229" s="25">
        <v>570.0</v>
      </c>
      <c r="C3229" s="25">
        <v>577.42</v>
      </c>
      <c r="D3229" s="25">
        <v>567.92</v>
      </c>
      <c r="E3229" s="25">
        <v>569.1</v>
      </c>
      <c r="F3229" s="25">
        <v>4930110.0</v>
      </c>
    </row>
    <row r="3230">
      <c r="A3230" s="25">
        <v>43137.64583333333</v>
      </c>
      <c r="B3230" s="25">
        <v>549.98</v>
      </c>
      <c r="C3230" s="25">
        <v>564.17</v>
      </c>
      <c r="D3230" s="25">
        <v>547.58</v>
      </c>
      <c r="E3230" s="25">
        <v>553.88</v>
      </c>
      <c r="F3230" s="25">
        <v>5276039.0</v>
      </c>
    </row>
    <row r="3231">
      <c r="A3231" s="25">
        <v>43138.64583333333</v>
      </c>
      <c r="B3231" s="25">
        <v>558.0</v>
      </c>
      <c r="C3231" s="25">
        <v>562.4</v>
      </c>
      <c r="D3231" s="25">
        <v>551.78</v>
      </c>
      <c r="E3231" s="25">
        <v>554.53</v>
      </c>
      <c r="F3231" s="25">
        <v>4171028.0</v>
      </c>
    </row>
    <row r="3232">
      <c r="A3232" s="25">
        <v>43139.64583333333</v>
      </c>
      <c r="B3232" s="25">
        <v>561.4</v>
      </c>
      <c r="C3232" s="25">
        <v>573.2</v>
      </c>
      <c r="D3232" s="25">
        <v>558.28</v>
      </c>
      <c r="E3232" s="25">
        <v>567.13</v>
      </c>
      <c r="F3232" s="25">
        <v>4403622.0</v>
      </c>
    </row>
    <row r="3233">
      <c r="A3233" s="25">
        <v>43140.64583333333</v>
      </c>
      <c r="B3233" s="25">
        <v>559.0</v>
      </c>
      <c r="C3233" s="25">
        <v>560.15</v>
      </c>
      <c r="D3233" s="25">
        <v>553.0</v>
      </c>
      <c r="E3233" s="25">
        <v>554.58</v>
      </c>
      <c r="F3233" s="25">
        <v>2191345.0</v>
      </c>
    </row>
    <row r="3234">
      <c r="A3234" s="25">
        <v>43143.64583333333</v>
      </c>
      <c r="B3234" s="25">
        <v>557.4</v>
      </c>
      <c r="C3234" s="25">
        <v>560.3</v>
      </c>
      <c r="D3234" s="25">
        <v>548.9</v>
      </c>
      <c r="E3234" s="25">
        <v>551.4</v>
      </c>
      <c r="F3234" s="25">
        <v>3145986.0</v>
      </c>
    </row>
    <row r="3235">
      <c r="A3235" s="25">
        <v>43145.64583333333</v>
      </c>
      <c r="B3235" s="25">
        <v>553.0</v>
      </c>
      <c r="C3235" s="25">
        <v>558.65</v>
      </c>
      <c r="D3235" s="25">
        <v>545.1</v>
      </c>
      <c r="E3235" s="25">
        <v>548.88</v>
      </c>
      <c r="F3235" s="25">
        <v>4172856.0</v>
      </c>
    </row>
    <row r="3236">
      <c r="A3236" s="25">
        <v>43146.64583333333</v>
      </c>
      <c r="B3236" s="25">
        <v>551.5</v>
      </c>
      <c r="C3236" s="25">
        <v>564.85</v>
      </c>
      <c r="D3236" s="25">
        <v>551.5</v>
      </c>
      <c r="E3236" s="25">
        <v>557.23</v>
      </c>
      <c r="F3236" s="25">
        <v>3993368.0</v>
      </c>
    </row>
    <row r="3237">
      <c r="A3237" s="25">
        <v>43147.64583333333</v>
      </c>
      <c r="B3237" s="25">
        <v>562.5</v>
      </c>
      <c r="C3237" s="25">
        <v>570.83</v>
      </c>
      <c r="D3237" s="25">
        <v>559.05</v>
      </c>
      <c r="E3237" s="25">
        <v>564.03</v>
      </c>
      <c r="F3237" s="25">
        <v>4944611.0</v>
      </c>
    </row>
    <row r="3238">
      <c r="A3238" s="25">
        <v>43150.64583333333</v>
      </c>
      <c r="B3238" s="25">
        <v>564.2</v>
      </c>
      <c r="C3238" s="25">
        <v>568.0</v>
      </c>
      <c r="D3238" s="25">
        <v>560.15</v>
      </c>
      <c r="E3238" s="25">
        <v>565.88</v>
      </c>
      <c r="F3238" s="25">
        <v>3230920.0</v>
      </c>
    </row>
    <row r="3239">
      <c r="A3239" s="25">
        <v>43151.64583333333</v>
      </c>
      <c r="B3239" s="25">
        <v>551.88</v>
      </c>
      <c r="C3239" s="25">
        <v>574.75</v>
      </c>
      <c r="D3239" s="25">
        <v>551.88</v>
      </c>
      <c r="E3239" s="25">
        <v>568.48</v>
      </c>
      <c r="F3239" s="25">
        <v>3594297.0</v>
      </c>
    </row>
    <row r="3240">
      <c r="A3240" s="25">
        <v>43152.64583333333</v>
      </c>
      <c r="B3240" s="25">
        <v>573.75</v>
      </c>
      <c r="C3240" s="25">
        <v>575.95</v>
      </c>
      <c r="D3240" s="25">
        <v>570.0</v>
      </c>
      <c r="E3240" s="25">
        <v>573.7</v>
      </c>
      <c r="F3240" s="25">
        <v>6885679.0</v>
      </c>
    </row>
    <row r="3241">
      <c r="A3241" s="25">
        <v>43153.64583333333</v>
      </c>
      <c r="B3241" s="25">
        <v>572.78</v>
      </c>
      <c r="C3241" s="25">
        <v>582.0</v>
      </c>
      <c r="D3241" s="25">
        <v>570.23</v>
      </c>
      <c r="E3241" s="25">
        <v>580.38</v>
      </c>
      <c r="F3241" s="25">
        <v>8929987.0</v>
      </c>
    </row>
    <row r="3242">
      <c r="A3242" s="25">
        <v>43154.64583333333</v>
      </c>
      <c r="B3242" s="25">
        <v>581.75</v>
      </c>
      <c r="C3242" s="25">
        <v>583.0</v>
      </c>
      <c r="D3242" s="25">
        <v>573.38</v>
      </c>
      <c r="E3242" s="25">
        <v>577.83</v>
      </c>
      <c r="F3242" s="25">
        <v>4729914.0</v>
      </c>
    </row>
    <row r="3243">
      <c r="A3243" s="25">
        <v>43157.64583333333</v>
      </c>
      <c r="B3243" s="25">
        <v>575.5</v>
      </c>
      <c r="C3243" s="25">
        <v>577.53</v>
      </c>
      <c r="D3243" s="25">
        <v>567.17</v>
      </c>
      <c r="E3243" s="25">
        <v>569.3</v>
      </c>
      <c r="F3243" s="25">
        <v>2541804.0</v>
      </c>
    </row>
    <row r="3244">
      <c r="A3244" s="25">
        <v>43158.64583333333</v>
      </c>
      <c r="B3244" s="25">
        <v>572.48</v>
      </c>
      <c r="C3244" s="25">
        <v>576.83</v>
      </c>
      <c r="D3244" s="25">
        <v>562.83</v>
      </c>
      <c r="E3244" s="25">
        <v>575.1</v>
      </c>
      <c r="F3244" s="25">
        <v>3308013.0</v>
      </c>
    </row>
    <row r="3245">
      <c r="A3245" s="25">
        <v>43159.64583333333</v>
      </c>
      <c r="B3245" s="25">
        <v>573.8</v>
      </c>
      <c r="C3245" s="25">
        <v>594.75</v>
      </c>
      <c r="D3245" s="25">
        <v>571.28</v>
      </c>
      <c r="E3245" s="25">
        <v>586.3</v>
      </c>
      <c r="F3245" s="25">
        <v>8634208.0</v>
      </c>
    </row>
    <row r="3246">
      <c r="A3246" s="25">
        <v>43160.64583333333</v>
      </c>
      <c r="B3246" s="25">
        <v>584.8</v>
      </c>
      <c r="C3246" s="25">
        <v>584.8</v>
      </c>
      <c r="D3246" s="25">
        <v>578.03</v>
      </c>
      <c r="E3246" s="25">
        <v>580.38</v>
      </c>
      <c r="F3246" s="25">
        <v>3289926.0</v>
      </c>
    </row>
    <row r="3247">
      <c r="A3247" s="25">
        <v>43164.64583333333</v>
      </c>
      <c r="B3247" s="25">
        <v>580.38</v>
      </c>
      <c r="C3247" s="25">
        <v>585.4</v>
      </c>
      <c r="D3247" s="25">
        <v>571.63</v>
      </c>
      <c r="E3247" s="25">
        <v>577.95</v>
      </c>
      <c r="F3247" s="25">
        <v>4050728.0</v>
      </c>
    </row>
    <row r="3248">
      <c r="A3248" s="25">
        <v>43165.64583333333</v>
      </c>
      <c r="B3248" s="25">
        <v>581.28</v>
      </c>
      <c r="C3248" s="25">
        <v>582.7</v>
      </c>
      <c r="D3248" s="25">
        <v>571.8</v>
      </c>
      <c r="E3248" s="25">
        <v>575.67</v>
      </c>
      <c r="F3248" s="25">
        <v>3344867.0</v>
      </c>
    </row>
    <row r="3249">
      <c r="A3249" s="25">
        <v>43166.64583333333</v>
      </c>
      <c r="B3249" s="25">
        <v>577.5</v>
      </c>
      <c r="C3249" s="25">
        <v>580.0</v>
      </c>
      <c r="D3249" s="25">
        <v>569.03</v>
      </c>
      <c r="E3249" s="25">
        <v>572.05</v>
      </c>
      <c r="F3249" s="25">
        <v>3185208.0</v>
      </c>
    </row>
    <row r="3250">
      <c r="A3250" s="25">
        <v>43167.64583333333</v>
      </c>
      <c r="B3250" s="25">
        <v>574.5</v>
      </c>
      <c r="C3250" s="25">
        <v>582.9</v>
      </c>
      <c r="D3250" s="25">
        <v>574.5</v>
      </c>
      <c r="E3250" s="25">
        <v>578.33</v>
      </c>
      <c r="F3250" s="25">
        <v>3046507.0</v>
      </c>
    </row>
    <row r="3251">
      <c r="A3251" s="25">
        <v>43168.64583333333</v>
      </c>
      <c r="B3251" s="25">
        <v>581.17</v>
      </c>
      <c r="C3251" s="25">
        <v>583.0</v>
      </c>
      <c r="D3251" s="25">
        <v>577.78</v>
      </c>
      <c r="E3251" s="25">
        <v>581.7</v>
      </c>
      <c r="F3251" s="25">
        <v>2110482.0</v>
      </c>
    </row>
    <row r="3252">
      <c r="A3252" s="25">
        <v>43171.64583333333</v>
      </c>
      <c r="B3252" s="25">
        <v>588.0</v>
      </c>
      <c r="C3252" s="25">
        <v>595.92</v>
      </c>
      <c r="D3252" s="25">
        <v>585.88</v>
      </c>
      <c r="E3252" s="25">
        <v>592.88</v>
      </c>
      <c r="F3252" s="25">
        <v>3838485.0</v>
      </c>
    </row>
    <row r="3253">
      <c r="A3253" s="25">
        <v>43172.64583333333</v>
      </c>
      <c r="B3253" s="25">
        <v>590.1</v>
      </c>
      <c r="C3253" s="25">
        <v>598.5</v>
      </c>
      <c r="D3253" s="25">
        <v>587.58</v>
      </c>
      <c r="E3253" s="25">
        <v>591.9</v>
      </c>
      <c r="F3253" s="25">
        <v>4290526.0</v>
      </c>
    </row>
    <row r="3254">
      <c r="A3254" s="25">
        <v>43173.64583333333</v>
      </c>
      <c r="B3254" s="25">
        <v>590.0</v>
      </c>
      <c r="C3254" s="25">
        <v>595.3</v>
      </c>
      <c r="D3254" s="25">
        <v>584.55</v>
      </c>
      <c r="E3254" s="25">
        <v>590.4</v>
      </c>
      <c r="F3254" s="25">
        <v>2214855.0</v>
      </c>
    </row>
    <row r="3255">
      <c r="A3255" s="25">
        <v>43174.64583333333</v>
      </c>
      <c r="B3255" s="25">
        <v>590.0</v>
      </c>
      <c r="C3255" s="25">
        <v>594.2</v>
      </c>
      <c r="D3255" s="25">
        <v>586.0</v>
      </c>
      <c r="E3255" s="25">
        <v>591.25</v>
      </c>
      <c r="F3255" s="25">
        <v>3050750.0</v>
      </c>
    </row>
    <row r="3256">
      <c r="A3256" s="25">
        <v>43175.64583333333</v>
      </c>
      <c r="B3256" s="25">
        <v>591.0</v>
      </c>
      <c r="C3256" s="25">
        <v>591.2</v>
      </c>
      <c r="D3256" s="25">
        <v>584.63</v>
      </c>
      <c r="E3256" s="25">
        <v>585.95</v>
      </c>
      <c r="F3256" s="25">
        <v>8977413.0</v>
      </c>
    </row>
    <row r="3257">
      <c r="A3257" s="25">
        <v>43178.64583333333</v>
      </c>
      <c r="B3257" s="25">
        <v>582.0</v>
      </c>
      <c r="C3257" s="25">
        <v>590.25</v>
      </c>
      <c r="D3257" s="25">
        <v>571.33</v>
      </c>
      <c r="E3257" s="25">
        <v>573.38</v>
      </c>
      <c r="F3257" s="25">
        <v>3763310.0</v>
      </c>
    </row>
    <row r="3258">
      <c r="A3258" s="25">
        <v>43179.64583333333</v>
      </c>
      <c r="B3258" s="25">
        <v>574.3</v>
      </c>
      <c r="C3258" s="25">
        <v>585.0</v>
      </c>
      <c r="D3258" s="25">
        <v>574.3</v>
      </c>
      <c r="E3258" s="25">
        <v>582.28</v>
      </c>
      <c r="F3258" s="25">
        <v>4276883.0</v>
      </c>
    </row>
    <row r="3259">
      <c r="A3259" s="25">
        <v>43180.64583333333</v>
      </c>
      <c r="B3259" s="25">
        <v>585.0</v>
      </c>
      <c r="C3259" s="25">
        <v>587.75</v>
      </c>
      <c r="D3259" s="25">
        <v>581.1</v>
      </c>
      <c r="E3259" s="25">
        <v>583.75</v>
      </c>
      <c r="F3259" s="25">
        <v>3846497.0</v>
      </c>
    </row>
    <row r="3260">
      <c r="A3260" s="25">
        <v>43181.64583333333</v>
      </c>
      <c r="B3260" s="25">
        <v>582.25</v>
      </c>
      <c r="C3260" s="25">
        <v>588.73</v>
      </c>
      <c r="D3260" s="25">
        <v>577.65</v>
      </c>
      <c r="E3260" s="25">
        <v>580.65</v>
      </c>
      <c r="F3260" s="25">
        <v>3406584.0</v>
      </c>
    </row>
    <row r="3261">
      <c r="A3261" s="25">
        <v>43182.64583333333</v>
      </c>
      <c r="B3261" s="25">
        <v>573.5</v>
      </c>
      <c r="C3261" s="25">
        <v>586.9</v>
      </c>
      <c r="D3261" s="25">
        <v>571.17</v>
      </c>
      <c r="E3261" s="25">
        <v>583.8</v>
      </c>
      <c r="F3261" s="25">
        <v>6004042.0</v>
      </c>
    </row>
    <row r="3262">
      <c r="A3262" s="25">
        <v>43185.64583333333</v>
      </c>
      <c r="B3262" s="25">
        <v>583.45</v>
      </c>
      <c r="C3262" s="25">
        <v>583.45</v>
      </c>
      <c r="D3262" s="25">
        <v>572.0</v>
      </c>
      <c r="E3262" s="25">
        <v>577.63</v>
      </c>
      <c r="F3262" s="25">
        <v>4465361.0</v>
      </c>
    </row>
    <row r="3263">
      <c r="A3263" s="25">
        <v>43186.64583333333</v>
      </c>
      <c r="B3263" s="25">
        <v>580.0</v>
      </c>
      <c r="C3263" s="25">
        <v>580.65</v>
      </c>
      <c r="D3263" s="25">
        <v>575.05</v>
      </c>
      <c r="E3263" s="25">
        <v>577.0</v>
      </c>
      <c r="F3263" s="25">
        <v>1901044.0</v>
      </c>
    </row>
    <row r="3264">
      <c r="A3264" s="25">
        <v>43187.64583333333</v>
      </c>
      <c r="B3264" s="25">
        <v>575.38</v>
      </c>
      <c r="C3264" s="25">
        <v>575.38</v>
      </c>
      <c r="D3264" s="25">
        <v>563.13</v>
      </c>
      <c r="E3264" s="25">
        <v>565.9</v>
      </c>
      <c r="F3264" s="25">
        <v>6279161.0</v>
      </c>
    </row>
    <row r="3265">
      <c r="A3265" s="25">
        <v>43192.64583333333</v>
      </c>
      <c r="B3265" s="25">
        <v>570.5</v>
      </c>
      <c r="C3265" s="25">
        <v>574.78</v>
      </c>
      <c r="D3265" s="25">
        <v>560.65</v>
      </c>
      <c r="E3265" s="25">
        <v>568.58</v>
      </c>
      <c r="F3265" s="25">
        <v>4036351.0</v>
      </c>
    </row>
    <row r="3266">
      <c r="A3266" s="25">
        <v>43193.64583333333</v>
      </c>
      <c r="B3266" s="25">
        <v>567.35</v>
      </c>
      <c r="C3266" s="25">
        <v>571.78</v>
      </c>
      <c r="D3266" s="25">
        <v>564.05</v>
      </c>
      <c r="E3266" s="25">
        <v>570.23</v>
      </c>
      <c r="F3266" s="25">
        <v>2038584.0</v>
      </c>
    </row>
    <row r="3267">
      <c r="A3267" s="25">
        <v>43194.64583333333</v>
      </c>
      <c r="B3267" s="25">
        <v>572.0</v>
      </c>
      <c r="C3267" s="25">
        <v>572.28</v>
      </c>
      <c r="D3267" s="25">
        <v>560.0</v>
      </c>
      <c r="E3267" s="25">
        <v>562.1</v>
      </c>
      <c r="F3267" s="25">
        <v>2406651.0</v>
      </c>
    </row>
    <row r="3268">
      <c r="A3268" s="25">
        <v>43195.64583333333</v>
      </c>
      <c r="B3268" s="25">
        <v>569.78</v>
      </c>
      <c r="C3268" s="25">
        <v>575.65</v>
      </c>
      <c r="D3268" s="25">
        <v>564.55</v>
      </c>
      <c r="E3268" s="25">
        <v>573.78</v>
      </c>
      <c r="F3268" s="25">
        <v>3881772.0</v>
      </c>
    </row>
    <row r="3269">
      <c r="A3269" s="25">
        <v>43196.64583333333</v>
      </c>
      <c r="B3269" s="25">
        <v>571.5</v>
      </c>
      <c r="C3269" s="25">
        <v>573.0</v>
      </c>
      <c r="D3269" s="25">
        <v>561.05</v>
      </c>
      <c r="E3269" s="25">
        <v>563.5</v>
      </c>
      <c r="F3269" s="25">
        <v>2968871.0</v>
      </c>
    </row>
    <row r="3270">
      <c r="A3270" s="25">
        <v>43199.64583333333</v>
      </c>
      <c r="B3270" s="25">
        <v>562.5</v>
      </c>
      <c r="C3270" s="25">
        <v>562.9</v>
      </c>
      <c r="D3270" s="25">
        <v>553.28</v>
      </c>
      <c r="E3270" s="25">
        <v>555.63</v>
      </c>
      <c r="F3270" s="25">
        <v>3601441.0</v>
      </c>
    </row>
    <row r="3271">
      <c r="A3271" s="25">
        <v>43200.64583333333</v>
      </c>
      <c r="B3271" s="25">
        <v>556.0</v>
      </c>
      <c r="C3271" s="25">
        <v>562.25</v>
      </c>
      <c r="D3271" s="25">
        <v>552.7</v>
      </c>
      <c r="E3271" s="25">
        <v>556.7</v>
      </c>
      <c r="F3271" s="25">
        <v>4463029.0</v>
      </c>
    </row>
    <row r="3272">
      <c r="A3272" s="25">
        <v>43201.64583333333</v>
      </c>
      <c r="B3272" s="25">
        <v>559.0</v>
      </c>
      <c r="C3272" s="25">
        <v>565.75</v>
      </c>
      <c r="D3272" s="25">
        <v>558.25</v>
      </c>
      <c r="E3272" s="25">
        <v>562.13</v>
      </c>
      <c r="F3272" s="25">
        <v>4512787.0</v>
      </c>
    </row>
    <row r="3273">
      <c r="A3273" s="25">
        <v>43202.64583333333</v>
      </c>
      <c r="B3273" s="25">
        <v>564.73</v>
      </c>
      <c r="C3273" s="25">
        <v>586.38</v>
      </c>
      <c r="D3273" s="25">
        <v>562.5</v>
      </c>
      <c r="E3273" s="25">
        <v>581.3</v>
      </c>
      <c r="F3273" s="25">
        <v>8522183.0</v>
      </c>
    </row>
    <row r="3274">
      <c r="A3274" s="25">
        <v>43203.64583333333</v>
      </c>
      <c r="B3274" s="25">
        <v>587.0</v>
      </c>
      <c r="C3274" s="25">
        <v>592.95</v>
      </c>
      <c r="D3274" s="25">
        <v>575.13</v>
      </c>
      <c r="E3274" s="25">
        <v>585.73</v>
      </c>
      <c r="F3274" s="25">
        <v>1.0613519E7</v>
      </c>
    </row>
    <row r="3275">
      <c r="A3275" s="25">
        <v>43206.64583333333</v>
      </c>
      <c r="B3275" s="25">
        <v>551.0</v>
      </c>
      <c r="C3275" s="25">
        <v>570.0</v>
      </c>
      <c r="D3275" s="25">
        <v>551.0</v>
      </c>
      <c r="E3275" s="25">
        <v>566.6</v>
      </c>
      <c r="F3275" s="25">
        <v>1.2372542E7</v>
      </c>
    </row>
    <row r="3276">
      <c r="A3276" s="25">
        <v>43207.64583333333</v>
      </c>
      <c r="B3276" s="25">
        <v>563.5</v>
      </c>
      <c r="C3276" s="25">
        <v>563.7</v>
      </c>
      <c r="D3276" s="25">
        <v>557.5</v>
      </c>
      <c r="E3276" s="25">
        <v>562.6</v>
      </c>
      <c r="F3276" s="25">
        <v>5198970.0</v>
      </c>
    </row>
    <row r="3277">
      <c r="A3277" s="25">
        <v>43208.64583333333</v>
      </c>
      <c r="B3277" s="25">
        <v>561.42</v>
      </c>
      <c r="C3277" s="25">
        <v>567.38</v>
      </c>
      <c r="D3277" s="25">
        <v>556.92</v>
      </c>
      <c r="E3277" s="25">
        <v>562.98</v>
      </c>
      <c r="F3277" s="25">
        <v>5215190.0</v>
      </c>
    </row>
    <row r="3278">
      <c r="A3278" s="25">
        <v>43209.64583333333</v>
      </c>
      <c r="B3278" s="25">
        <v>562.0</v>
      </c>
      <c r="C3278" s="25">
        <v>569.9</v>
      </c>
      <c r="D3278" s="25">
        <v>561.55</v>
      </c>
      <c r="E3278" s="25">
        <v>566.42</v>
      </c>
      <c r="F3278" s="25">
        <v>4262771.0</v>
      </c>
    </row>
    <row r="3279">
      <c r="A3279" s="25">
        <v>43210.64583333333</v>
      </c>
      <c r="B3279" s="25">
        <v>569.5</v>
      </c>
      <c r="C3279" s="25">
        <v>596.85</v>
      </c>
      <c r="D3279" s="25">
        <v>568.48</v>
      </c>
      <c r="E3279" s="25">
        <v>589.23</v>
      </c>
      <c r="F3279" s="25">
        <v>1.2136346E7</v>
      </c>
    </row>
    <row r="3280">
      <c r="A3280" s="25">
        <v>43213.64583333333</v>
      </c>
      <c r="B3280" s="25">
        <v>584.0</v>
      </c>
      <c r="C3280" s="25">
        <v>607.2</v>
      </c>
      <c r="D3280" s="25">
        <v>577.63</v>
      </c>
      <c r="E3280" s="25">
        <v>593.85</v>
      </c>
      <c r="F3280" s="25">
        <v>1.0915319E7</v>
      </c>
    </row>
    <row r="3281">
      <c r="A3281" s="25">
        <v>43214.64583333333</v>
      </c>
      <c r="B3281" s="25">
        <v>592.5</v>
      </c>
      <c r="C3281" s="25">
        <v>598.2</v>
      </c>
      <c r="D3281" s="25">
        <v>575.05</v>
      </c>
      <c r="E3281" s="25">
        <v>577.25</v>
      </c>
      <c r="F3281" s="25">
        <v>4263108.0</v>
      </c>
    </row>
    <row r="3282">
      <c r="A3282" s="25">
        <v>43215.64583333333</v>
      </c>
      <c r="B3282" s="25">
        <v>576.0</v>
      </c>
      <c r="C3282" s="25">
        <v>585.5</v>
      </c>
      <c r="D3282" s="25">
        <v>572.6</v>
      </c>
      <c r="E3282" s="25">
        <v>580.17</v>
      </c>
      <c r="F3282" s="25">
        <v>5797089.0</v>
      </c>
    </row>
    <row r="3283">
      <c r="A3283" s="25">
        <v>43216.64583333333</v>
      </c>
      <c r="B3283" s="25">
        <v>587.0</v>
      </c>
      <c r="C3283" s="25">
        <v>590.83</v>
      </c>
      <c r="D3283" s="25">
        <v>580.0</v>
      </c>
      <c r="E3283" s="25">
        <v>588.23</v>
      </c>
      <c r="F3283" s="25">
        <v>5651042.0</v>
      </c>
    </row>
    <row r="3284">
      <c r="A3284" s="25">
        <v>43217.64583333333</v>
      </c>
      <c r="B3284" s="25">
        <v>590.0</v>
      </c>
      <c r="C3284" s="25">
        <v>595.8</v>
      </c>
      <c r="D3284" s="25">
        <v>587.1</v>
      </c>
      <c r="E3284" s="25">
        <v>592.6</v>
      </c>
      <c r="F3284" s="25">
        <v>3831685.0</v>
      </c>
    </row>
    <row r="3285">
      <c r="A3285" s="25">
        <v>43220.64583333333</v>
      </c>
      <c r="B3285" s="25">
        <v>590.85</v>
      </c>
      <c r="C3285" s="25">
        <v>603.98</v>
      </c>
      <c r="D3285" s="25">
        <v>590.33</v>
      </c>
      <c r="E3285" s="25">
        <v>599.75</v>
      </c>
      <c r="F3285" s="25">
        <v>2755839.0</v>
      </c>
    </row>
    <row r="3286">
      <c r="A3286" s="25">
        <v>43222.64583333333</v>
      </c>
      <c r="B3286" s="25">
        <v>599.45</v>
      </c>
      <c r="C3286" s="25">
        <v>600.8</v>
      </c>
      <c r="D3286" s="25">
        <v>590.5</v>
      </c>
      <c r="E3286" s="25">
        <v>598.53</v>
      </c>
      <c r="F3286" s="25">
        <v>5147521.0</v>
      </c>
    </row>
    <row r="3287">
      <c r="A3287" s="25">
        <v>43223.64583333333</v>
      </c>
      <c r="B3287" s="25">
        <v>598.63</v>
      </c>
      <c r="C3287" s="25">
        <v>602.35</v>
      </c>
      <c r="D3287" s="25">
        <v>588.05</v>
      </c>
      <c r="E3287" s="25">
        <v>591.28</v>
      </c>
      <c r="F3287" s="25">
        <v>2666115.0</v>
      </c>
    </row>
    <row r="3288">
      <c r="A3288" s="25">
        <v>43224.64583333333</v>
      </c>
      <c r="B3288" s="25">
        <v>592.5</v>
      </c>
      <c r="C3288" s="25">
        <v>593.0</v>
      </c>
      <c r="D3288" s="25">
        <v>577.5</v>
      </c>
      <c r="E3288" s="25">
        <v>586.55</v>
      </c>
      <c r="F3288" s="25">
        <v>3011684.0</v>
      </c>
    </row>
    <row r="3289">
      <c r="A3289" s="25">
        <v>43227.64583333333</v>
      </c>
      <c r="B3289" s="25">
        <v>590.63</v>
      </c>
      <c r="C3289" s="25">
        <v>595.0</v>
      </c>
      <c r="D3289" s="25">
        <v>587.75</v>
      </c>
      <c r="E3289" s="25">
        <v>591.5</v>
      </c>
      <c r="F3289" s="25">
        <v>2319480.0</v>
      </c>
    </row>
    <row r="3290">
      <c r="A3290" s="25">
        <v>43228.64583333333</v>
      </c>
      <c r="B3290" s="25">
        <v>588.95</v>
      </c>
      <c r="C3290" s="25">
        <v>588.95</v>
      </c>
      <c r="D3290" s="25">
        <v>580.53</v>
      </c>
      <c r="E3290" s="25">
        <v>582.78</v>
      </c>
      <c r="F3290" s="25">
        <v>2859278.0</v>
      </c>
    </row>
    <row r="3291">
      <c r="A3291" s="25">
        <v>43229.64583333333</v>
      </c>
      <c r="B3291" s="25">
        <v>583.75</v>
      </c>
      <c r="C3291" s="25">
        <v>588.45</v>
      </c>
      <c r="D3291" s="25">
        <v>581.5</v>
      </c>
      <c r="E3291" s="25">
        <v>585.35</v>
      </c>
      <c r="F3291" s="25">
        <v>1891752.0</v>
      </c>
    </row>
    <row r="3292">
      <c r="A3292" s="25">
        <v>43230.64583333333</v>
      </c>
      <c r="B3292" s="25">
        <v>588.0</v>
      </c>
      <c r="C3292" s="25">
        <v>591.5</v>
      </c>
      <c r="D3292" s="25">
        <v>581.42</v>
      </c>
      <c r="E3292" s="25">
        <v>584.0</v>
      </c>
      <c r="F3292" s="25">
        <v>1591431.0</v>
      </c>
    </row>
    <row r="3293">
      <c r="A3293" s="25">
        <v>43231.64583333333</v>
      </c>
      <c r="B3293" s="25">
        <v>586.15</v>
      </c>
      <c r="C3293" s="25">
        <v>591.6</v>
      </c>
      <c r="D3293" s="25">
        <v>583.03</v>
      </c>
      <c r="E3293" s="25">
        <v>590.38</v>
      </c>
      <c r="F3293" s="25">
        <v>1655853.0</v>
      </c>
    </row>
    <row r="3294">
      <c r="A3294" s="25">
        <v>43234.64583333333</v>
      </c>
      <c r="B3294" s="25">
        <v>592.17</v>
      </c>
      <c r="C3294" s="25">
        <v>595.75</v>
      </c>
      <c r="D3294" s="25">
        <v>585.0</v>
      </c>
      <c r="E3294" s="25">
        <v>594.65</v>
      </c>
      <c r="F3294" s="25">
        <v>2216047.0</v>
      </c>
    </row>
    <row r="3295">
      <c r="A3295" s="25">
        <v>43235.64583333333</v>
      </c>
      <c r="B3295" s="25">
        <v>594.05</v>
      </c>
      <c r="C3295" s="25">
        <v>604.0</v>
      </c>
      <c r="D3295" s="25">
        <v>594.05</v>
      </c>
      <c r="E3295" s="25">
        <v>597.28</v>
      </c>
      <c r="F3295" s="25">
        <v>2805987.0</v>
      </c>
    </row>
    <row r="3296">
      <c r="A3296" s="25">
        <v>43236.64583333333</v>
      </c>
      <c r="B3296" s="25">
        <v>593.63</v>
      </c>
      <c r="C3296" s="25">
        <v>599.0</v>
      </c>
      <c r="D3296" s="25">
        <v>592.25</v>
      </c>
      <c r="E3296" s="25">
        <v>594.98</v>
      </c>
      <c r="F3296" s="25">
        <v>3102502.0</v>
      </c>
    </row>
    <row r="3297">
      <c r="A3297" s="25">
        <v>43237.64583333333</v>
      </c>
      <c r="B3297" s="25">
        <v>598.0</v>
      </c>
      <c r="C3297" s="25">
        <v>598.73</v>
      </c>
      <c r="D3297" s="25">
        <v>586.78</v>
      </c>
      <c r="E3297" s="25">
        <v>591.45</v>
      </c>
      <c r="F3297" s="25">
        <v>4759799.0</v>
      </c>
    </row>
    <row r="3298">
      <c r="A3298" s="25">
        <v>43238.64583333333</v>
      </c>
      <c r="B3298" s="25">
        <v>591.5</v>
      </c>
      <c r="C3298" s="25">
        <v>593.28</v>
      </c>
      <c r="D3298" s="25">
        <v>586.5</v>
      </c>
      <c r="E3298" s="25">
        <v>591.6</v>
      </c>
      <c r="F3298" s="25">
        <v>3569830.0</v>
      </c>
    </row>
    <row r="3299">
      <c r="A3299" s="25">
        <v>43241.64583333333</v>
      </c>
      <c r="B3299" s="25">
        <v>589.78</v>
      </c>
      <c r="C3299" s="25">
        <v>594.2</v>
      </c>
      <c r="D3299" s="25">
        <v>585.0</v>
      </c>
      <c r="E3299" s="25">
        <v>589.75</v>
      </c>
      <c r="F3299" s="25">
        <v>4237660.0</v>
      </c>
    </row>
    <row r="3300">
      <c r="A3300" s="25">
        <v>43242.64583333333</v>
      </c>
      <c r="B3300" s="25">
        <v>587.5</v>
      </c>
      <c r="C3300" s="25">
        <v>599.0</v>
      </c>
      <c r="D3300" s="25">
        <v>586.95</v>
      </c>
      <c r="E3300" s="25">
        <v>596.92</v>
      </c>
      <c r="F3300" s="25">
        <v>2818402.0</v>
      </c>
    </row>
    <row r="3301">
      <c r="A3301" s="25">
        <v>43243.64583333333</v>
      </c>
      <c r="B3301" s="25">
        <v>597.5</v>
      </c>
      <c r="C3301" s="25">
        <v>603.83</v>
      </c>
      <c r="D3301" s="25">
        <v>590.75</v>
      </c>
      <c r="E3301" s="25">
        <v>592.45</v>
      </c>
      <c r="F3301" s="25">
        <v>4769221.0</v>
      </c>
    </row>
    <row r="3302">
      <c r="A3302" s="25">
        <v>43244.64583333333</v>
      </c>
      <c r="B3302" s="25">
        <v>599.0</v>
      </c>
      <c r="C3302" s="25">
        <v>613.78</v>
      </c>
      <c r="D3302" s="25">
        <v>599.0</v>
      </c>
      <c r="E3302" s="25">
        <v>610.5</v>
      </c>
      <c r="F3302" s="25">
        <v>4870285.0</v>
      </c>
    </row>
    <row r="3303">
      <c r="A3303" s="25">
        <v>43245.64583333333</v>
      </c>
      <c r="B3303" s="25">
        <v>615.05</v>
      </c>
      <c r="C3303" s="25">
        <v>624.33</v>
      </c>
      <c r="D3303" s="25">
        <v>610.4</v>
      </c>
      <c r="E3303" s="25">
        <v>614.15</v>
      </c>
      <c r="F3303" s="25">
        <v>4450719.0</v>
      </c>
    </row>
    <row r="3304">
      <c r="A3304" s="25">
        <v>43248.64583333333</v>
      </c>
      <c r="B3304" s="25">
        <v>615.5</v>
      </c>
      <c r="C3304" s="25">
        <v>616.3</v>
      </c>
      <c r="D3304" s="25">
        <v>603.0</v>
      </c>
      <c r="E3304" s="25">
        <v>607.2</v>
      </c>
      <c r="F3304" s="25">
        <v>2869897.0</v>
      </c>
    </row>
    <row r="3305">
      <c r="A3305" s="25">
        <v>43249.64583333333</v>
      </c>
      <c r="B3305" s="25">
        <v>607.03</v>
      </c>
      <c r="C3305" s="25">
        <v>613.28</v>
      </c>
      <c r="D3305" s="25">
        <v>603.1</v>
      </c>
      <c r="E3305" s="25">
        <v>608.35</v>
      </c>
      <c r="F3305" s="25">
        <v>1694467.0</v>
      </c>
    </row>
    <row r="3306">
      <c r="A3306" s="25">
        <v>43250.64583333333</v>
      </c>
      <c r="B3306" s="25">
        <v>608.5</v>
      </c>
      <c r="C3306" s="25">
        <v>614.38</v>
      </c>
      <c r="D3306" s="25">
        <v>602.8</v>
      </c>
      <c r="E3306" s="25">
        <v>605.85</v>
      </c>
      <c r="F3306" s="25">
        <v>3161533.0</v>
      </c>
    </row>
    <row r="3307">
      <c r="A3307" s="25">
        <v>43251.64583333333</v>
      </c>
      <c r="B3307" s="25">
        <v>605.85</v>
      </c>
      <c r="C3307" s="25">
        <v>621.0</v>
      </c>
      <c r="D3307" s="25">
        <v>605.13</v>
      </c>
      <c r="E3307" s="25">
        <v>615.9</v>
      </c>
      <c r="F3307" s="25">
        <v>9860170.0</v>
      </c>
    </row>
    <row r="3308">
      <c r="A3308" s="25">
        <v>43252.64583333333</v>
      </c>
      <c r="B3308" s="25">
        <v>615.2</v>
      </c>
      <c r="C3308" s="25">
        <v>623.13</v>
      </c>
      <c r="D3308" s="25">
        <v>608.6</v>
      </c>
      <c r="E3308" s="25">
        <v>610.4</v>
      </c>
      <c r="F3308" s="25">
        <v>2499178.0</v>
      </c>
    </row>
    <row r="3309">
      <c r="A3309" s="25">
        <v>43255.64583333333</v>
      </c>
      <c r="B3309" s="25">
        <v>610.55</v>
      </c>
      <c r="C3309" s="25">
        <v>621.5</v>
      </c>
      <c r="D3309" s="25">
        <v>606.0</v>
      </c>
      <c r="E3309" s="25">
        <v>619.7</v>
      </c>
      <c r="F3309" s="25">
        <v>2135078.0</v>
      </c>
    </row>
    <row r="3310">
      <c r="A3310" s="25">
        <v>43256.64583333333</v>
      </c>
      <c r="B3310" s="25">
        <v>621.0</v>
      </c>
      <c r="C3310" s="25">
        <v>621.0</v>
      </c>
      <c r="D3310" s="25">
        <v>608.5</v>
      </c>
      <c r="E3310" s="25">
        <v>610.42</v>
      </c>
      <c r="F3310" s="25">
        <v>2355431.0</v>
      </c>
    </row>
    <row r="3311">
      <c r="A3311" s="25">
        <v>43257.64583333333</v>
      </c>
      <c r="B3311" s="25">
        <v>612.6</v>
      </c>
      <c r="C3311" s="25">
        <v>620.78</v>
      </c>
      <c r="D3311" s="25">
        <v>610.03</v>
      </c>
      <c r="E3311" s="25">
        <v>618.73</v>
      </c>
      <c r="F3311" s="25">
        <v>2019092.0</v>
      </c>
    </row>
    <row r="3312">
      <c r="A3312" s="25">
        <v>43258.64583333333</v>
      </c>
      <c r="B3312" s="25">
        <v>619.0</v>
      </c>
      <c r="C3312" s="25">
        <v>629.0</v>
      </c>
      <c r="D3312" s="25">
        <v>619.0</v>
      </c>
      <c r="E3312" s="25">
        <v>626.23</v>
      </c>
      <c r="F3312" s="25">
        <v>3338113.0</v>
      </c>
    </row>
    <row r="3313">
      <c r="A3313" s="25">
        <v>43259.64583333333</v>
      </c>
      <c r="B3313" s="25">
        <v>624.0</v>
      </c>
      <c r="C3313" s="25">
        <v>631.0</v>
      </c>
      <c r="D3313" s="25">
        <v>623.03</v>
      </c>
      <c r="E3313" s="25">
        <v>630.03</v>
      </c>
      <c r="F3313" s="25">
        <v>3229939.0</v>
      </c>
    </row>
    <row r="3314">
      <c r="A3314" s="25">
        <v>43262.64583333333</v>
      </c>
      <c r="B3314" s="25">
        <v>632.78</v>
      </c>
      <c r="C3314" s="25">
        <v>635.0</v>
      </c>
      <c r="D3314" s="25">
        <v>627.53</v>
      </c>
      <c r="E3314" s="25">
        <v>631.2</v>
      </c>
      <c r="F3314" s="25">
        <v>2585645.0</v>
      </c>
    </row>
    <row r="3315">
      <c r="A3315" s="25">
        <v>43263.64583333333</v>
      </c>
      <c r="B3315" s="25">
        <v>632.88</v>
      </c>
      <c r="C3315" s="25">
        <v>635.63</v>
      </c>
      <c r="D3315" s="25">
        <v>625.23</v>
      </c>
      <c r="E3315" s="25">
        <v>629.25</v>
      </c>
      <c r="F3315" s="25">
        <v>3919910.0</v>
      </c>
    </row>
    <row r="3316">
      <c r="A3316" s="25">
        <v>43264.64583333333</v>
      </c>
      <c r="B3316" s="25">
        <v>633.4</v>
      </c>
      <c r="C3316" s="25">
        <v>642.0</v>
      </c>
      <c r="D3316" s="25">
        <v>633.4</v>
      </c>
      <c r="E3316" s="25">
        <v>637.4</v>
      </c>
      <c r="F3316" s="25">
        <v>2883464.0</v>
      </c>
    </row>
    <row r="3317">
      <c r="A3317" s="25">
        <v>43265.64583333333</v>
      </c>
      <c r="B3317" s="25">
        <v>626.5</v>
      </c>
      <c r="C3317" s="25">
        <v>626.5</v>
      </c>
      <c r="D3317" s="25">
        <v>617.05</v>
      </c>
      <c r="E3317" s="25">
        <v>619.85</v>
      </c>
      <c r="F3317" s="25">
        <v>3799424.0</v>
      </c>
    </row>
    <row r="3318">
      <c r="A3318" s="25">
        <v>43266.64583333333</v>
      </c>
      <c r="B3318" s="25">
        <v>618.5</v>
      </c>
      <c r="C3318" s="25">
        <v>645.75</v>
      </c>
      <c r="D3318" s="25">
        <v>617.5</v>
      </c>
      <c r="E3318" s="25">
        <v>640.63</v>
      </c>
      <c r="F3318" s="25">
        <v>9978880.0</v>
      </c>
    </row>
    <row r="3319">
      <c r="A3319" s="25">
        <v>43269.64583333333</v>
      </c>
      <c r="B3319" s="25">
        <v>642.0</v>
      </c>
      <c r="C3319" s="25">
        <v>645.63</v>
      </c>
      <c r="D3319" s="25">
        <v>631.17</v>
      </c>
      <c r="E3319" s="25">
        <v>633.7</v>
      </c>
      <c r="F3319" s="25">
        <v>4107423.0</v>
      </c>
    </row>
    <row r="3320">
      <c r="A3320" s="25">
        <v>43270.64583333333</v>
      </c>
      <c r="B3320" s="25">
        <v>631.5</v>
      </c>
      <c r="C3320" s="25">
        <v>631.7</v>
      </c>
      <c r="D3320" s="25">
        <v>619.03</v>
      </c>
      <c r="E3320" s="25">
        <v>620.8</v>
      </c>
      <c r="F3320" s="25">
        <v>3772850.0</v>
      </c>
    </row>
    <row r="3321">
      <c r="A3321" s="25">
        <v>43271.64583333333</v>
      </c>
      <c r="B3321" s="25">
        <v>624.25</v>
      </c>
      <c r="C3321" s="25">
        <v>626.17</v>
      </c>
      <c r="D3321" s="25">
        <v>619.0</v>
      </c>
      <c r="E3321" s="25">
        <v>621.58</v>
      </c>
      <c r="F3321" s="25">
        <v>2685901.0</v>
      </c>
    </row>
    <row r="3322">
      <c r="A3322" s="25">
        <v>43272.64583333333</v>
      </c>
      <c r="B3322" s="25">
        <v>622.98</v>
      </c>
      <c r="C3322" s="25">
        <v>628.25</v>
      </c>
      <c r="D3322" s="25">
        <v>618.0</v>
      </c>
      <c r="E3322" s="25">
        <v>623.28</v>
      </c>
      <c r="F3322" s="25">
        <v>2899395.0</v>
      </c>
    </row>
    <row r="3323">
      <c r="A3323" s="25">
        <v>43273.64583333333</v>
      </c>
      <c r="B3323" s="25">
        <v>621.5</v>
      </c>
      <c r="C3323" s="25">
        <v>627.75</v>
      </c>
      <c r="D3323" s="25">
        <v>620.6</v>
      </c>
      <c r="E3323" s="25">
        <v>623.92</v>
      </c>
      <c r="F3323" s="25">
        <v>2171559.0</v>
      </c>
    </row>
    <row r="3324">
      <c r="A3324" s="25">
        <v>43276.64583333333</v>
      </c>
      <c r="B3324" s="25">
        <v>628.58</v>
      </c>
      <c r="C3324" s="25">
        <v>639.4</v>
      </c>
      <c r="D3324" s="25">
        <v>627.0</v>
      </c>
      <c r="E3324" s="25">
        <v>636.23</v>
      </c>
      <c r="F3324" s="25">
        <v>3865589.0</v>
      </c>
    </row>
    <row r="3325">
      <c r="A3325" s="25">
        <v>43277.64583333333</v>
      </c>
      <c r="B3325" s="25">
        <v>634.5</v>
      </c>
      <c r="C3325" s="25">
        <v>641.95</v>
      </c>
      <c r="D3325" s="25">
        <v>633.13</v>
      </c>
      <c r="E3325" s="25">
        <v>638.92</v>
      </c>
      <c r="F3325" s="25">
        <v>2241752.0</v>
      </c>
    </row>
    <row r="3326">
      <c r="A3326" s="25">
        <v>43278.64583333333</v>
      </c>
      <c r="B3326" s="25">
        <v>641.98</v>
      </c>
      <c r="C3326" s="25">
        <v>646.73</v>
      </c>
      <c r="D3326" s="25">
        <v>632.8</v>
      </c>
      <c r="E3326" s="25">
        <v>635.0</v>
      </c>
      <c r="F3326" s="25">
        <v>3476071.0</v>
      </c>
    </row>
    <row r="3327">
      <c r="A3327" s="25">
        <v>43279.64583333333</v>
      </c>
      <c r="B3327" s="25">
        <v>638.15</v>
      </c>
      <c r="C3327" s="25">
        <v>649.0</v>
      </c>
      <c r="D3327" s="25">
        <v>638.13</v>
      </c>
      <c r="E3327" s="25">
        <v>644.8</v>
      </c>
      <c r="F3327" s="25">
        <v>5498409.0</v>
      </c>
    </row>
    <row r="3328">
      <c r="A3328" s="25">
        <v>43280.64583333333</v>
      </c>
      <c r="B3328" s="25">
        <v>649.03</v>
      </c>
      <c r="C3328" s="25">
        <v>657.5</v>
      </c>
      <c r="D3328" s="25">
        <v>641.63</v>
      </c>
      <c r="E3328" s="25">
        <v>653.6</v>
      </c>
      <c r="F3328" s="25">
        <v>4983300.0</v>
      </c>
    </row>
    <row r="3329">
      <c r="A3329" s="25">
        <v>43283.64583333333</v>
      </c>
      <c r="B3329" s="25">
        <v>657.0</v>
      </c>
      <c r="C3329" s="25">
        <v>670.0</v>
      </c>
      <c r="D3329" s="25">
        <v>657.0</v>
      </c>
      <c r="E3329" s="25">
        <v>667.35</v>
      </c>
      <c r="F3329" s="25">
        <v>2415072.0</v>
      </c>
    </row>
    <row r="3330">
      <c r="A3330" s="25">
        <v>43284.64583333333</v>
      </c>
      <c r="B3330" s="25">
        <v>665.95</v>
      </c>
      <c r="C3330" s="25">
        <v>678.95</v>
      </c>
      <c r="D3330" s="25">
        <v>665.88</v>
      </c>
      <c r="E3330" s="25">
        <v>676.88</v>
      </c>
      <c r="F3330" s="25">
        <v>4063726.0</v>
      </c>
    </row>
    <row r="3331">
      <c r="A3331" s="25">
        <v>43285.64583333333</v>
      </c>
      <c r="B3331" s="25">
        <v>676.03</v>
      </c>
      <c r="C3331" s="25">
        <v>676.33</v>
      </c>
      <c r="D3331" s="25">
        <v>669.43</v>
      </c>
      <c r="E3331" s="25">
        <v>672.6</v>
      </c>
      <c r="F3331" s="25">
        <v>2512861.0</v>
      </c>
    </row>
    <row r="3332">
      <c r="A3332" s="25">
        <v>43286.64583333333</v>
      </c>
      <c r="B3332" s="25">
        <v>673.55</v>
      </c>
      <c r="C3332" s="25">
        <v>673.63</v>
      </c>
      <c r="D3332" s="25">
        <v>634.05</v>
      </c>
      <c r="E3332" s="25">
        <v>642.0</v>
      </c>
      <c r="F3332" s="25">
        <v>8509951.0</v>
      </c>
    </row>
    <row r="3333">
      <c r="A3333" s="25">
        <v>43287.64583333333</v>
      </c>
      <c r="B3333" s="25">
        <v>645.13</v>
      </c>
      <c r="C3333" s="25">
        <v>650.92</v>
      </c>
      <c r="D3333" s="25">
        <v>634.5</v>
      </c>
      <c r="E3333" s="25">
        <v>642.13</v>
      </c>
      <c r="F3333" s="25">
        <v>5607678.0</v>
      </c>
    </row>
    <row r="3334">
      <c r="A3334" s="25">
        <v>43290.64583333333</v>
      </c>
      <c r="B3334" s="25">
        <v>648.5</v>
      </c>
      <c r="C3334" s="25">
        <v>651.5</v>
      </c>
      <c r="D3334" s="25">
        <v>639.53</v>
      </c>
      <c r="E3334" s="25">
        <v>649.42</v>
      </c>
      <c r="F3334" s="25">
        <v>3322499.0</v>
      </c>
    </row>
    <row r="3335">
      <c r="A3335" s="25">
        <v>43291.64583333333</v>
      </c>
      <c r="B3335" s="25">
        <v>654.25</v>
      </c>
      <c r="C3335" s="25">
        <v>657.73</v>
      </c>
      <c r="D3335" s="25">
        <v>647.15</v>
      </c>
      <c r="E3335" s="25">
        <v>650.7</v>
      </c>
      <c r="F3335" s="25">
        <v>2987244.0</v>
      </c>
    </row>
    <row r="3336">
      <c r="A3336" s="25">
        <v>43292.64583333333</v>
      </c>
      <c r="B3336" s="25">
        <v>658.78</v>
      </c>
      <c r="C3336" s="25">
        <v>671.05</v>
      </c>
      <c r="D3336" s="25">
        <v>645.67</v>
      </c>
      <c r="E3336" s="25">
        <v>660.23</v>
      </c>
      <c r="F3336" s="25">
        <v>5949916.0</v>
      </c>
    </row>
    <row r="3337">
      <c r="A3337" s="25">
        <v>43293.64583333333</v>
      </c>
      <c r="B3337" s="25">
        <v>663.05</v>
      </c>
      <c r="C3337" s="25">
        <v>663.55</v>
      </c>
      <c r="D3337" s="25">
        <v>642.23</v>
      </c>
      <c r="E3337" s="25">
        <v>647.17</v>
      </c>
      <c r="F3337" s="25">
        <v>6636120.0</v>
      </c>
    </row>
    <row r="3338">
      <c r="A3338" s="25">
        <v>43294.64583333333</v>
      </c>
      <c r="B3338" s="25">
        <v>657.5</v>
      </c>
      <c r="C3338" s="25">
        <v>665.8</v>
      </c>
      <c r="D3338" s="25">
        <v>649.17</v>
      </c>
      <c r="E3338" s="25">
        <v>658.7</v>
      </c>
      <c r="F3338" s="25">
        <v>9748079.0</v>
      </c>
    </row>
    <row r="3339">
      <c r="A3339" s="25">
        <v>43297.64583333333</v>
      </c>
      <c r="B3339" s="25">
        <v>658.7</v>
      </c>
      <c r="C3339" s="25">
        <v>692.2</v>
      </c>
      <c r="D3339" s="25">
        <v>643.85</v>
      </c>
      <c r="E3339" s="25">
        <v>666.43</v>
      </c>
      <c r="F3339" s="25">
        <v>1.767234E7</v>
      </c>
    </row>
    <row r="3340">
      <c r="A3340" s="25">
        <v>43298.64583333333</v>
      </c>
      <c r="B3340" s="25">
        <v>664.85</v>
      </c>
      <c r="C3340" s="25">
        <v>674.75</v>
      </c>
      <c r="D3340" s="25">
        <v>656.35</v>
      </c>
      <c r="E3340" s="25">
        <v>663.95</v>
      </c>
      <c r="F3340" s="25">
        <v>5580845.0</v>
      </c>
    </row>
    <row r="3341">
      <c r="A3341" s="25">
        <v>43299.64583333333</v>
      </c>
      <c r="B3341" s="25">
        <v>669.9</v>
      </c>
      <c r="C3341" s="25">
        <v>671.7</v>
      </c>
      <c r="D3341" s="25">
        <v>657.0</v>
      </c>
      <c r="E3341" s="25">
        <v>661.28</v>
      </c>
      <c r="F3341" s="25">
        <v>3459508.0</v>
      </c>
    </row>
    <row r="3342">
      <c r="A3342" s="25">
        <v>43300.64583333333</v>
      </c>
      <c r="B3342" s="25">
        <v>661.5</v>
      </c>
      <c r="C3342" s="25">
        <v>665.95</v>
      </c>
      <c r="D3342" s="25">
        <v>654.55</v>
      </c>
      <c r="E3342" s="25">
        <v>658.35</v>
      </c>
      <c r="F3342" s="25">
        <v>2559432.0</v>
      </c>
    </row>
    <row r="3343">
      <c r="A3343" s="25">
        <v>43301.64583333333</v>
      </c>
      <c r="B3343" s="25">
        <v>663.0</v>
      </c>
      <c r="C3343" s="25">
        <v>683.58</v>
      </c>
      <c r="D3343" s="25">
        <v>660.65</v>
      </c>
      <c r="E3343" s="25">
        <v>674.05</v>
      </c>
      <c r="F3343" s="25">
        <v>5852869.0</v>
      </c>
    </row>
    <row r="3344">
      <c r="A3344" s="25">
        <v>43304.64583333333</v>
      </c>
      <c r="B3344" s="25">
        <v>676.08</v>
      </c>
      <c r="C3344" s="25">
        <v>684.0</v>
      </c>
      <c r="D3344" s="25">
        <v>668.13</v>
      </c>
      <c r="E3344" s="25">
        <v>677.98</v>
      </c>
      <c r="F3344" s="25">
        <v>3837851.0</v>
      </c>
    </row>
    <row r="3345">
      <c r="A3345" s="25">
        <v>43305.64583333333</v>
      </c>
      <c r="B3345" s="25">
        <v>687.2</v>
      </c>
      <c r="C3345" s="25">
        <v>691.2</v>
      </c>
      <c r="D3345" s="25">
        <v>678.0</v>
      </c>
      <c r="E3345" s="25">
        <v>688.58</v>
      </c>
      <c r="F3345" s="25">
        <v>3086123.0</v>
      </c>
    </row>
    <row r="3346">
      <c r="A3346" s="25">
        <v>43306.64583333333</v>
      </c>
      <c r="B3346" s="25">
        <v>689.5</v>
      </c>
      <c r="C3346" s="25">
        <v>696.9</v>
      </c>
      <c r="D3346" s="25">
        <v>682.73</v>
      </c>
      <c r="E3346" s="25">
        <v>691.88</v>
      </c>
      <c r="F3346" s="25">
        <v>3468461.0</v>
      </c>
    </row>
    <row r="3347">
      <c r="A3347" s="25">
        <v>43307.64583333333</v>
      </c>
      <c r="B3347" s="25">
        <v>689.28</v>
      </c>
      <c r="C3347" s="25">
        <v>695.2</v>
      </c>
      <c r="D3347" s="25">
        <v>684.6</v>
      </c>
      <c r="E3347" s="25">
        <v>686.63</v>
      </c>
      <c r="F3347" s="25">
        <v>3681109.0</v>
      </c>
    </row>
    <row r="3348">
      <c r="A3348" s="25">
        <v>43308.64583333333</v>
      </c>
      <c r="B3348" s="25">
        <v>686.6</v>
      </c>
      <c r="C3348" s="25">
        <v>694.5</v>
      </c>
      <c r="D3348" s="25">
        <v>684.15</v>
      </c>
      <c r="E3348" s="25">
        <v>686.73</v>
      </c>
      <c r="F3348" s="25">
        <v>3246616.0</v>
      </c>
    </row>
    <row r="3349">
      <c r="A3349" s="25">
        <v>43311.64583333333</v>
      </c>
      <c r="B3349" s="25">
        <v>685.0</v>
      </c>
      <c r="C3349" s="25">
        <v>686.5</v>
      </c>
      <c r="D3349" s="25">
        <v>674.0</v>
      </c>
      <c r="E3349" s="25">
        <v>675.5</v>
      </c>
      <c r="F3349" s="25">
        <v>3204985.0</v>
      </c>
    </row>
    <row r="3350">
      <c r="A3350" s="25">
        <v>43312.64583333333</v>
      </c>
      <c r="B3350" s="25">
        <v>674.28</v>
      </c>
      <c r="C3350" s="25">
        <v>685.0</v>
      </c>
      <c r="D3350" s="25">
        <v>667.78</v>
      </c>
      <c r="E3350" s="25">
        <v>682.55</v>
      </c>
      <c r="F3350" s="25">
        <v>3971998.0</v>
      </c>
    </row>
    <row r="3351">
      <c r="A3351" s="25">
        <v>43313.64583333333</v>
      </c>
      <c r="B3351" s="25">
        <v>681.9</v>
      </c>
      <c r="C3351" s="25">
        <v>684.23</v>
      </c>
      <c r="D3351" s="25">
        <v>675.5</v>
      </c>
      <c r="E3351" s="25">
        <v>677.03</v>
      </c>
      <c r="F3351" s="25">
        <v>2337853.0</v>
      </c>
    </row>
    <row r="3352">
      <c r="A3352" s="25">
        <v>43314.64583333333</v>
      </c>
      <c r="B3352" s="25">
        <v>679.8</v>
      </c>
      <c r="C3352" s="25">
        <v>683.38</v>
      </c>
      <c r="D3352" s="25">
        <v>675.08</v>
      </c>
      <c r="E3352" s="25">
        <v>676.83</v>
      </c>
      <c r="F3352" s="25">
        <v>2970371.0</v>
      </c>
    </row>
    <row r="3353">
      <c r="A3353" s="25">
        <v>43315.64583333333</v>
      </c>
      <c r="B3353" s="25">
        <v>683.1</v>
      </c>
      <c r="C3353" s="25">
        <v>683.1</v>
      </c>
      <c r="D3353" s="25">
        <v>678.0</v>
      </c>
      <c r="E3353" s="25">
        <v>682.05</v>
      </c>
      <c r="F3353" s="25">
        <v>1985195.0</v>
      </c>
    </row>
    <row r="3354">
      <c r="A3354" s="25">
        <v>43318.64583333333</v>
      </c>
      <c r="B3354" s="25">
        <v>683.03</v>
      </c>
      <c r="C3354" s="25">
        <v>687.5</v>
      </c>
      <c r="D3354" s="25">
        <v>673.75</v>
      </c>
      <c r="E3354" s="25">
        <v>680.33</v>
      </c>
      <c r="F3354" s="25">
        <v>3089465.0</v>
      </c>
    </row>
    <row r="3355">
      <c r="A3355" s="25">
        <v>43319.64583333333</v>
      </c>
      <c r="B3355" s="25">
        <v>687.0</v>
      </c>
      <c r="C3355" s="25">
        <v>689.98</v>
      </c>
      <c r="D3355" s="25">
        <v>680.33</v>
      </c>
      <c r="E3355" s="25">
        <v>683.98</v>
      </c>
      <c r="F3355" s="25">
        <v>3675764.0</v>
      </c>
    </row>
    <row r="3356">
      <c r="A3356" s="25">
        <v>43320.64583333333</v>
      </c>
      <c r="B3356" s="25">
        <v>685.9</v>
      </c>
      <c r="C3356" s="25">
        <v>686.25</v>
      </c>
      <c r="D3356" s="25">
        <v>676.65</v>
      </c>
      <c r="E3356" s="25">
        <v>681.38</v>
      </c>
      <c r="F3356" s="25">
        <v>1996179.0</v>
      </c>
    </row>
    <row r="3357">
      <c r="A3357" s="25">
        <v>43321.64583333333</v>
      </c>
      <c r="B3357" s="25">
        <v>686.83</v>
      </c>
      <c r="C3357" s="25">
        <v>694.73</v>
      </c>
      <c r="D3357" s="25">
        <v>686.83</v>
      </c>
      <c r="E3357" s="25">
        <v>689.98</v>
      </c>
      <c r="F3357" s="25">
        <v>3204762.0</v>
      </c>
    </row>
    <row r="3358">
      <c r="A3358" s="25">
        <v>43322.64583333333</v>
      </c>
      <c r="B3358" s="25">
        <v>692.9</v>
      </c>
      <c r="C3358" s="25">
        <v>694.5</v>
      </c>
      <c r="D3358" s="25">
        <v>686.53</v>
      </c>
      <c r="E3358" s="25">
        <v>692.73</v>
      </c>
      <c r="F3358" s="25">
        <v>2389760.0</v>
      </c>
    </row>
    <row r="3359">
      <c r="A3359" s="25">
        <v>43325.64583333333</v>
      </c>
      <c r="B3359" s="25">
        <v>695.0</v>
      </c>
      <c r="C3359" s="25">
        <v>704.93</v>
      </c>
      <c r="D3359" s="25">
        <v>689.35</v>
      </c>
      <c r="E3359" s="25">
        <v>704.38</v>
      </c>
      <c r="F3359" s="25">
        <v>4989873.0</v>
      </c>
    </row>
    <row r="3360">
      <c r="A3360" s="25">
        <v>43326.64583333333</v>
      </c>
      <c r="B3360" s="25">
        <v>706.98</v>
      </c>
      <c r="C3360" s="25">
        <v>712.28</v>
      </c>
      <c r="D3360" s="25">
        <v>702.0</v>
      </c>
      <c r="E3360" s="25">
        <v>704.15</v>
      </c>
      <c r="F3360" s="25">
        <v>3075660.0</v>
      </c>
    </row>
    <row r="3361">
      <c r="A3361" s="25">
        <v>43328.64583333333</v>
      </c>
      <c r="B3361" s="25">
        <v>707.48</v>
      </c>
      <c r="C3361" s="25">
        <v>717.45</v>
      </c>
      <c r="D3361" s="25">
        <v>705.63</v>
      </c>
      <c r="E3361" s="25">
        <v>714.78</v>
      </c>
      <c r="F3361" s="25">
        <v>3313387.0</v>
      </c>
    </row>
    <row r="3362">
      <c r="A3362" s="25">
        <v>43329.64583333333</v>
      </c>
      <c r="B3362" s="25">
        <v>715.45</v>
      </c>
      <c r="C3362" s="25">
        <v>718.83</v>
      </c>
      <c r="D3362" s="25">
        <v>711.5</v>
      </c>
      <c r="E3362" s="25">
        <v>715.18</v>
      </c>
      <c r="F3362" s="25">
        <v>3195204.0</v>
      </c>
    </row>
    <row r="3363">
      <c r="A3363" s="25">
        <v>43332.64583333333</v>
      </c>
      <c r="B3363" s="25">
        <v>694.0</v>
      </c>
      <c r="C3363" s="25">
        <v>703.98</v>
      </c>
      <c r="D3363" s="25">
        <v>686.75</v>
      </c>
      <c r="E3363" s="25">
        <v>692.13</v>
      </c>
      <c r="F3363" s="25">
        <v>8050938.0</v>
      </c>
    </row>
    <row r="3364">
      <c r="A3364" s="25">
        <v>43333.64583333333</v>
      </c>
      <c r="B3364" s="25">
        <v>695.0</v>
      </c>
      <c r="C3364" s="25">
        <v>698.0</v>
      </c>
      <c r="D3364" s="25">
        <v>686.88</v>
      </c>
      <c r="E3364" s="25">
        <v>691.98</v>
      </c>
      <c r="F3364" s="25">
        <v>4180741.0</v>
      </c>
    </row>
    <row r="3365">
      <c r="A3365" s="25">
        <v>43335.64583333333</v>
      </c>
      <c r="B3365" s="25">
        <v>696.5</v>
      </c>
      <c r="C3365" s="25">
        <v>700.75</v>
      </c>
      <c r="D3365" s="25">
        <v>692.68</v>
      </c>
      <c r="E3365" s="25">
        <v>698.7</v>
      </c>
      <c r="F3365" s="25">
        <v>3858591.0</v>
      </c>
    </row>
    <row r="3366">
      <c r="A3366" s="25">
        <v>43336.64583333333</v>
      </c>
      <c r="B3366" s="25">
        <v>698.25</v>
      </c>
      <c r="C3366" s="25">
        <v>700.95</v>
      </c>
      <c r="D3366" s="25">
        <v>688.05</v>
      </c>
      <c r="E3366" s="25">
        <v>689.15</v>
      </c>
      <c r="F3366" s="25">
        <v>3526500.0</v>
      </c>
    </row>
    <row r="3367">
      <c r="A3367" s="25">
        <v>43339.64583333333</v>
      </c>
      <c r="B3367" s="25">
        <v>691.5</v>
      </c>
      <c r="C3367" s="25">
        <v>709.98</v>
      </c>
      <c r="D3367" s="25">
        <v>690.7</v>
      </c>
      <c r="E3367" s="25">
        <v>707.7</v>
      </c>
      <c r="F3367" s="25">
        <v>3506475.0</v>
      </c>
    </row>
    <row r="3368">
      <c r="A3368" s="25">
        <v>43340.64583333333</v>
      </c>
      <c r="B3368" s="25">
        <v>708.6</v>
      </c>
      <c r="C3368" s="25">
        <v>719.2</v>
      </c>
      <c r="D3368" s="25">
        <v>705.75</v>
      </c>
      <c r="E3368" s="25">
        <v>712.35</v>
      </c>
      <c r="F3368" s="25">
        <v>3248445.0</v>
      </c>
    </row>
    <row r="3369">
      <c r="A3369" s="25">
        <v>43341.64583333333</v>
      </c>
      <c r="B3369" s="25">
        <v>716.8</v>
      </c>
      <c r="C3369" s="25">
        <v>716.8</v>
      </c>
      <c r="D3369" s="25">
        <v>702.58</v>
      </c>
      <c r="E3369" s="25">
        <v>705.05</v>
      </c>
      <c r="F3369" s="25">
        <v>2823248.0</v>
      </c>
    </row>
    <row r="3370">
      <c r="A3370" s="25">
        <v>43342.64583333333</v>
      </c>
      <c r="B3370" s="25">
        <v>706.4</v>
      </c>
      <c r="C3370" s="25">
        <v>710.78</v>
      </c>
      <c r="D3370" s="25">
        <v>698.08</v>
      </c>
      <c r="E3370" s="25">
        <v>708.1</v>
      </c>
      <c r="F3370" s="25">
        <v>5753981.0</v>
      </c>
    </row>
    <row r="3371">
      <c r="A3371" s="25">
        <v>43343.64583333333</v>
      </c>
      <c r="B3371" s="25">
        <v>712.55</v>
      </c>
      <c r="C3371" s="25">
        <v>727.15</v>
      </c>
      <c r="D3371" s="25">
        <v>710.55</v>
      </c>
      <c r="E3371" s="25">
        <v>720.55</v>
      </c>
      <c r="F3371" s="25">
        <v>5437932.0</v>
      </c>
    </row>
    <row r="3372">
      <c r="A3372" s="25">
        <v>43346.64583333333</v>
      </c>
      <c r="B3372" s="25">
        <v>724.5</v>
      </c>
      <c r="C3372" s="25">
        <v>733.95</v>
      </c>
      <c r="D3372" s="25">
        <v>715.0</v>
      </c>
      <c r="E3372" s="25">
        <v>717.13</v>
      </c>
      <c r="F3372" s="25">
        <v>5488164.0</v>
      </c>
    </row>
    <row r="3373">
      <c r="A3373" s="25">
        <v>43347.64583333333</v>
      </c>
      <c r="B3373" s="25">
        <v>722.0</v>
      </c>
      <c r="C3373" s="25">
        <v>748.5</v>
      </c>
      <c r="D3373" s="25">
        <v>716.0</v>
      </c>
      <c r="E3373" s="25">
        <v>737.15</v>
      </c>
      <c r="F3373" s="25">
        <v>1.5370124E7</v>
      </c>
    </row>
    <row r="3374">
      <c r="A3374" s="25">
        <v>43348.64583333333</v>
      </c>
      <c r="B3374" s="25">
        <v>741.95</v>
      </c>
      <c r="C3374" s="25">
        <v>744.05</v>
      </c>
      <c r="D3374" s="25">
        <v>725.4</v>
      </c>
      <c r="E3374" s="25">
        <v>729.9</v>
      </c>
      <c r="F3374" s="25">
        <v>8658978.0</v>
      </c>
    </row>
    <row r="3375">
      <c r="A3375" s="25">
        <v>43349.64583333333</v>
      </c>
      <c r="B3375" s="25">
        <v>732.55</v>
      </c>
      <c r="C3375" s="25">
        <v>735.5</v>
      </c>
      <c r="D3375" s="25">
        <v>724.1</v>
      </c>
      <c r="E3375" s="25">
        <v>727.15</v>
      </c>
      <c r="F3375" s="25">
        <v>5598659.0</v>
      </c>
    </row>
    <row r="3376">
      <c r="A3376" s="25">
        <v>43350.64583333333</v>
      </c>
      <c r="B3376" s="25">
        <v>734.35</v>
      </c>
      <c r="C3376" s="25">
        <v>735.15</v>
      </c>
      <c r="D3376" s="25">
        <v>723.8</v>
      </c>
      <c r="E3376" s="25">
        <v>732.8</v>
      </c>
      <c r="F3376" s="25">
        <v>6510605.0</v>
      </c>
    </row>
    <row r="3377">
      <c r="A3377" s="25">
        <v>43353.64583333333</v>
      </c>
      <c r="B3377" s="25">
        <v>737.75</v>
      </c>
      <c r="C3377" s="25">
        <v>747.0</v>
      </c>
      <c r="D3377" s="25">
        <v>729.4</v>
      </c>
      <c r="E3377" s="25">
        <v>730.85</v>
      </c>
      <c r="F3377" s="25">
        <v>5629871.0</v>
      </c>
    </row>
    <row r="3378">
      <c r="A3378" s="25">
        <v>43354.64583333333</v>
      </c>
      <c r="B3378" s="25">
        <v>735.9</v>
      </c>
      <c r="C3378" s="25">
        <v>744.75</v>
      </c>
      <c r="D3378" s="25">
        <v>732.0</v>
      </c>
      <c r="E3378" s="25">
        <v>734.3</v>
      </c>
      <c r="F3378" s="25">
        <v>6963561.0</v>
      </c>
    </row>
    <row r="3379">
      <c r="A3379" s="25">
        <v>43355.64583333333</v>
      </c>
      <c r="B3379" s="25">
        <v>744.4</v>
      </c>
      <c r="C3379" s="25">
        <v>746.5</v>
      </c>
      <c r="D3379" s="25">
        <v>736.25</v>
      </c>
      <c r="E3379" s="25">
        <v>742.9</v>
      </c>
      <c r="F3379" s="25">
        <v>4636617.0</v>
      </c>
    </row>
    <row r="3380">
      <c r="A3380" s="25">
        <v>43357.64583333333</v>
      </c>
      <c r="B3380" s="25">
        <v>741.9</v>
      </c>
      <c r="C3380" s="25">
        <v>745.0</v>
      </c>
      <c r="D3380" s="25">
        <v>729.05</v>
      </c>
      <c r="E3380" s="25">
        <v>733.7</v>
      </c>
      <c r="F3380" s="25">
        <v>7896514.0</v>
      </c>
    </row>
    <row r="3381">
      <c r="A3381" s="25">
        <v>43360.64583333333</v>
      </c>
      <c r="B3381" s="25">
        <v>735.0</v>
      </c>
      <c r="C3381" s="25">
        <v>740.0</v>
      </c>
      <c r="D3381" s="25">
        <v>724.6</v>
      </c>
      <c r="E3381" s="25">
        <v>725.95</v>
      </c>
      <c r="F3381" s="25">
        <v>5427054.0</v>
      </c>
    </row>
    <row r="3382">
      <c r="A3382" s="25">
        <v>43361.64583333333</v>
      </c>
      <c r="B3382" s="25">
        <v>730.0</v>
      </c>
      <c r="C3382" s="25">
        <v>730.0</v>
      </c>
      <c r="D3382" s="25">
        <v>717.0</v>
      </c>
      <c r="E3382" s="25">
        <v>719.1</v>
      </c>
      <c r="F3382" s="25">
        <v>7729732.0</v>
      </c>
    </row>
    <row r="3383">
      <c r="A3383" s="25">
        <v>43362.64583333333</v>
      </c>
      <c r="B3383" s="25">
        <v>727.0</v>
      </c>
      <c r="C3383" s="25">
        <v>727.0</v>
      </c>
      <c r="D3383" s="25">
        <v>713.2</v>
      </c>
      <c r="E3383" s="25">
        <v>719.75</v>
      </c>
      <c r="F3383" s="25">
        <v>4849498.0</v>
      </c>
    </row>
    <row r="3384">
      <c r="A3384" s="25">
        <v>43364.64583333333</v>
      </c>
      <c r="B3384" s="25">
        <v>713.85</v>
      </c>
      <c r="C3384" s="25">
        <v>717.4</v>
      </c>
      <c r="D3384" s="25">
        <v>692.0</v>
      </c>
      <c r="E3384" s="25">
        <v>705.3</v>
      </c>
      <c r="F3384" s="25">
        <v>1.4350769E7</v>
      </c>
    </row>
    <row r="3385">
      <c r="A3385" s="25">
        <v>43367.64583333333</v>
      </c>
      <c r="B3385" s="25">
        <v>706.5</v>
      </c>
      <c r="C3385" s="25">
        <v>729.95</v>
      </c>
      <c r="D3385" s="25">
        <v>706.5</v>
      </c>
      <c r="E3385" s="25">
        <v>718.25</v>
      </c>
      <c r="F3385" s="25">
        <v>8637881.0</v>
      </c>
    </row>
    <row r="3386">
      <c r="A3386" s="25">
        <v>43368.64583333333</v>
      </c>
      <c r="B3386" s="25">
        <v>718.25</v>
      </c>
      <c r="C3386" s="25">
        <v>736.0</v>
      </c>
      <c r="D3386" s="25">
        <v>717.0</v>
      </c>
      <c r="E3386" s="25">
        <v>726.2</v>
      </c>
      <c r="F3386" s="25">
        <v>9602273.0</v>
      </c>
    </row>
    <row r="3387">
      <c r="A3387" s="25">
        <v>43369.64583333333</v>
      </c>
      <c r="B3387" s="25">
        <v>731.2</v>
      </c>
      <c r="C3387" s="25">
        <v>731.85</v>
      </c>
      <c r="D3387" s="25">
        <v>712.0</v>
      </c>
      <c r="E3387" s="25">
        <v>717.85</v>
      </c>
      <c r="F3387" s="25">
        <v>6599606.0</v>
      </c>
    </row>
    <row r="3388">
      <c r="A3388" s="25">
        <v>43370.64583333333</v>
      </c>
      <c r="B3388" s="25">
        <v>722.0</v>
      </c>
      <c r="C3388" s="25">
        <v>730.8</v>
      </c>
      <c r="D3388" s="25">
        <v>717.45</v>
      </c>
      <c r="E3388" s="25">
        <v>724.8</v>
      </c>
      <c r="F3388" s="25">
        <v>1.4592616E7</v>
      </c>
    </row>
    <row r="3389">
      <c r="A3389" s="25">
        <v>43371.64583333333</v>
      </c>
      <c r="B3389" s="25">
        <v>721.0</v>
      </c>
      <c r="C3389" s="25">
        <v>734.55</v>
      </c>
      <c r="D3389" s="25">
        <v>715.2</v>
      </c>
      <c r="E3389" s="25">
        <v>730.05</v>
      </c>
      <c r="F3389" s="25">
        <v>7490031.0</v>
      </c>
    </row>
    <row r="3390">
      <c r="A3390" s="25">
        <v>43374.64583333333</v>
      </c>
      <c r="B3390" s="25">
        <v>737.5</v>
      </c>
      <c r="C3390" s="25">
        <v>754.9</v>
      </c>
      <c r="D3390" s="25">
        <v>733.0</v>
      </c>
      <c r="E3390" s="25">
        <v>746.65</v>
      </c>
      <c r="F3390" s="25">
        <v>8252398.0</v>
      </c>
    </row>
    <row r="3391">
      <c r="A3391" s="25">
        <v>43376.64583333333</v>
      </c>
      <c r="B3391" s="25">
        <v>743.8</v>
      </c>
      <c r="C3391" s="25">
        <v>751.95</v>
      </c>
      <c r="D3391" s="25">
        <v>726.3</v>
      </c>
      <c r="E3391" s="25">
        <v>728.5</v>
      </c>
      <c r="F3391" s="25">
        <v>7792464.0</v>
      </c>
    </row>
    <row r="3392">
      <c r="A3392" s="25">
        <v>43377.64583333333</v>
      </c>
      <c r="B3392" s="25">
        <v>728.5</v>
      </c>
      <c r="C3392" s="25">
        <v>729.75</v>
      </c>
      <c r="D3392" s="25">
        <v>702.5</v>
      </c>
      <c r="E3392" s="25">
        <v>707.2</v>
      </c>
      <c r="F3392" s="25">
        <v>6173037.0</v>
      </c>
    </row>
    <row r="3393">
      <c r="A3393" s="25">
        <v>43378.64583333333</v>
      </c>
      <c r="B3393" s="25">
        <v>713.0</v>
      </c>
      <c r="C3393" s="25">
        <v>731.5</v>
      </c>
      <c r="D3393" s="25">
        <v>709.3</v>
      </c>
      <c r="E3393" s="25">
        <v>724.6</v>
      </c>
      <c r="F3393" s="25">
        <v>8543578.0</v>
      </c>
    </row>
    <row r="3394">
      <c r="A3394" s="25">
        <v>43381.64583333333</v>
      </c>
      <c r="B3394" s="25">
        <v>725.05</v>
      </c>
      <c r="C3394" s="25">
        <v>728.7</v>
      </c>
      <c r="D3394" s="25">
        <v>709.25</v>
      </c>
      <c r="E3394" s="25">
        <v>714.45</v>
      </c>
      <c r="F3394" s="25">
        <v>7259306.0</v>
      </c>
    </row>
    <row r="3395">
      <c r="A3395" s="25">
        <v>43382.64583333333</v>
      </c>
      <c r="B3395" s="25">
        <v>717.1</v>
      </c>
      <c r="C3395" s="25">
        <v>722.4</v>
      </c>
      <c r="D3395" s="25">
        <v>702.65</v>
      </c>
      <c r="E3395" s="25">
        <v>717.75</v>
      </c>
      <c r="F3395" s="25">
        <v>6777212.0</v>
      </c>
    </row>
    <row r="3396">
      <c r="A3396" s="25">
        <v>43383.64583333333</v>
      </c>
      <c r="B3396" s="25">
        <v>719.9</v>
      </c>
      <c r="C3396" s="25">
        <v>719.9</v>
      </c>
      <c r="D3396" s="25">
        <v>695.4</v>
      </c>
      <c r="E3396" s="25">
        <v>700.45</v>
      </c>
      <c r="F3396" s="25">
        <v>8866251.0</v>
      </c>
    </row>
    <row r="3397">
      <c r="A3397" s="25">
        <v>43384.64583333333</v>
      </c>
      <c r="B3397" s="25">
        <v>685.0</v>
      </c>
      <c r="C3397" s="25">
        <v>692.9</v>
      </c>
      <c r="D3397" s="25">
        <v>663.3</v>
      </c>
      <c r="E3397" s="25">
        <v>673.35</v>
      </c>
      <c r="F3397" s="25">
        <v>1.0985897E7</v>
      </c>
    </row>
    <row r="3398">
      <c r="A3398" s="25">
        <v>43385.64583333333</v>
      </c>
      <c r="B3398" s="25">
        <v>676.4</v>
      </c>
      <c r="C3398" s="25">
        <v>684.05</v>
      </c>
      <c r="D3398" s="25">
        <v>661.5</v>
      </c>
      <c r="E3398" s="25">
        <v>678.8</v>
      </c>
      <c r="F3398" s="25">
        <v>8909221.0</v>
      </c>
    </row>
    <row r="3399">
      <c r="A3399" s="25">
        <v>43388.64583333333</v>
      </c>
      <c r="B3399" s="25">
        <v>688.6</v>
      </c>
      <c r="C3399" s="25">
        <v>705.0</v>
      </c>
      <c r="D3399" s="25">
        <v>681.5</v>
      </c>
      <c r="E3399" s="25">
        <v>698.8</v>
      </c>
      <c r="F3399" s="25">
        <v>6222176.0</v>
      </c>
    </row>
    <row r="3400">
      <c r="A3400" s="25">
        <v>43389.64583333333</v>
      </c>
      <c r="B3400" s="25">
        <v>710.0</v>
      </c>
      <c r="C3400" s="25">
        <v>713.9</v>
      </c>
      <c r="D3400" s="25">
        <v>689.4</v>
      </c>
      <c r="E3400" s="25">
        <v>695.25</v>
      </c>
      <c r="F3400" s="25">
        <v>1.1588963E7</v>
      </c>
    </row>
    <row r="3401">
      <c r="A3401" s="25">
        <v>43390.64583333333</v>
      </c>
      <c r="B3401" s="25">
        <v>710.0</v>
      </c>
      <c r="C3401" s="25">
        <v>721.8</v>
      </c>
      <c r="D3401" s="25">
        <v>701.35</v>
      </c>
      <c r="E3401" s="25">
        <v>705.35</v>
      </c>
      <c r="F3401" s="25">
        <v>2.0360697E7</v>
      </c>
    </row>
    <row r="3402">
      <c r="A3402" s="25">
        <v>43392.64583333333</v>
      </c>
      <c r="B3402" s="25">
        <v>687.0</v>
      </c>
      <c r="C3402" s="25">
        <v>687.7</v>
      </c>
      <c r="D3402" s="25">
        <v>678.0</v>
      </c>
      <c r="E3402" s="25">
        <v>683.55</v>
      </c>
      <c r="F3402" s="25">
        <v>1.0421001E7</v>
      </c>
    </row>
    <row r="3403">
      <c r="A3403" s="25">
        <v>43395.64583333333</v>
      </c>
      <c r="B3403" s="25">
        <v>688.7</v>
      </c>
      <c r="C3403" s="25">
        <v>695.05</v>
      </c>
      <c r="D3403" s="25">
        <v>673.8</v>
      </c>
      <c r="E3403" s="25">
        <v>679.95</v>
      </c>
      <c r="F3403" s="25">
        <v>6672840.0</v>
      </c>
    </row>
    <row r="3404">
      <c r="A3404" s="25">
        <v>43396.64583333333</v>
      </c>
      <c r="B3404" s="25">
        <v>675.95</v>
      </c>
      <c r="C3404" s="25">
        <v>682.0</v>
      </c>
      <c r="D3404" s="25">
        <v>653.3</v>
      </c>
      <c r="E3404" s="25">
        <v>657.6</v>
      </c>
      <c r="F3404" s="25">
        <v>9041701.0</v>
      </c>
    </row>
    <row r="3405">
      <c r="A3405" s="25">
        <v>43397.64583333333</v>
      </c>
      <c r="B3405" s="25">
        <v>663.0</v>
      </c>
      <c r="C3405" s="25">
        <v>666.5</v>
      </c>
      <c r="D3405" s="25">
        <v>647.15</v>
      </c>
      <c r="E3405" s="25">
        <v>649.8</v>
      </c>
      <c r="F3405" s="25">
        <v>7058164.0</v>
      </c>
    </row>
    <row r="3406">
      <c r="A3406" s="25">
        <v>43398.64583333333</v>
      </c>
      <c r="B3406" s="25">
        <v>643.0</v>
      </c>
      <c r="C3406" s="25">
        <v>656.35</v>
      </c>
      <c r="D3406" s="25">
        <v>636.25</v>
      </c>
      <c r="E3406" s="25">
        <v>648.75</v>
      </c>
      <c r="F3406" s="25">
        <v>8270469.0</v>
      </c>
    </row>
    <row r="3407">
      <c r="A3407" s="25">
        <v>43399.64583333333</v>
      </c>
      <c r="B3407" s="25">
        <v>645.3</v>
      </c>
      <c r="C3407" s="25">
        <v>648.7</v>
      </c>
      <c r="D3407" s="25">
        <v>629.9</v>
      </c>
      <c r="E3407" s="25">
        <v>633.6</v>
      </c>
      <c r="F3407" s="25">
        <v>5464141.0</v>
      </c>
    </row>
    <row r="3408">
      <c r="A3408" s="25">
        <v>43402.64583333333</v>
      </c>
      <c r="B3408" s="25">
        <v>633.7</v>
      </c>
      <c r="C3408" s="25">
        <v>650.55</v>
      </c>
      <c r="D3408" s="25">
        <v>631.5</v>
      </c>
      <c r="E3408" s="25">
        <v>644.75</v>
      </c>
      <c r="F3408" s="25">
        <v>7137446.0</v>
      </c>
    </row>
    <row r="3409">
      <c r="A3409" s="25">
        <v>43403.64583333333</v>
      </c>
      <c r="B3409" s="25">
        <v>641.1</v>
      </c>
      <c r="C3409" s="25">
        <v>663.8</v>
      </c>
      <c r="D3409" s="25">
        <v>637.45</v>
      </c>
      <c r="E3409" s="25">
        <v>659.6</v>
      </c>
      <c r="F3409" s="25">
        <v>8793411.0</v>
      </c>
    </row>
    <row r="3410">
      <c r="A3410" s="25">
        <v>43404.64583333333</v>
      </c>
      <c r="B3410" s="25">
        <v>663.9</v>
      </c>
      <c r="C3410" s="25">
        <v>692.95</v>
      </c>
      <c r="D3410" s="25">
        <v>663.05</v>
      </c>
      <c r="E3410" s="25">
        <v>686.4</v>
      </c>
      <c r="F3410" s="25">
        <v>1.1947995E7</v>
      </c>
    </row>
    <row r="3411">
      <c r="A3411" s="25">
        <v>43405.64583333333</v>
      </c>
      <c r="B3411" s="25">
        <v>689.7</v>
      </c>
      <c r="C3411" s="25">
        <v>689.7</v>
      </c>
      <c r="D3411" s="25">
        <v>659.6</v>
      </c>
      <c r="E3411" s="25">
        <v>666.7</v>
      </c>
      <c r="F3411" s="25">
        <v>5860244.0</v>
      </c>
    </row>
    <row r="3412">
      <c r="A3412" s="25">
        <v>43406.64583333333</v>
      </c>
      <c r="B3412" s="25">
        <v>665.95</v>
      </c>
      <c r="C3412" s="25">
        <v>675.8</v>
      </c>
      <c r="D3412" s="25">
        <v>660.1</v>
      </c>
      <c r="E3412" s="25">
        <v>662.25</v>
      </c>
      <c r="F3412" s="25">
        <v>6654067.0</v>
      </c>
    </row>
    <row r="3413">
      <c r="A3413" s="25">
        <v>43409.79166666667</v>
      </c>
      <c r="B3413" s="25">
        <v>663.5</v>
      </c>
      <c r="C3413" s="25">
        <v>668.6</v>
      </c>
      <c r="D3413" s="25">
        <v>657.0</v>
      </c>
      <c r="E3413" s="25">
        <v>663.7</v>
      </c>
      <c r="F3413" s="25">
        <v>5799426.0</v>
      </c>
    </row>
    <row r="3414">
      <c r="A3414" s="25">
        <v>43410.64583333333</v>
      </c>
      <c r="B3414" s="25">
        <v>667.9</v>
      </c>
      <c r="C3414" s="25">
        <v>675.0</v>
      </c>
      <c r="D3414" s="25">
        <v>660.65</v>
      </c>
      <c r="E3414" s="25">
        <v>666.45</v>
      </c>
      <c r="F3414" s="25">
        <v>6975525.0</v>
      </c>
    </row>
    <row r="3415">
      <c r="A3415" s="25">
        <v>43413.64583333333</v>
      </c>
      <c r="B3415" s="25">
        <v>679.0</v>
      </c>
      <c r="C3415" s="25">
        <v>679.0</v>
      </c>
      <c r="D3415" s="25">
        <v>655.5</v>
      </c>
      <c r="E3415" s="25">
        <v>659.5</v>
      </c>
      <c r="F3415" s="25">
        <v>9694143.0</v>
      </c>
    </row>
    <row r="3416">
      <c r="A3416" s="25">
        <v>43416.64583333333</v>
      </c>
      <c r="B3416" s="25">
        <v>666.0</v>
      </c>
      <c r="C3416" s="25">
        <v>676.4</v>
      </c>
      <c r="D3416" s="25">
        <v>662.3</v>
      </c>
      <c r="E3416" s="25">
        <v>664.2</v>
      </c>
      <c r="F3416" s="25">
        <v>7118080.0</v>
      </c>
    </row>
    <row r="3417">
      <c r="A3417" s="25">
        <v>43417.64583333333</v>
      </c>
      <c r="B3417" s="25">
        <v>663.5</v>
      </c>
      <c r="C3417" s="25">
        <v>667.75</v>
      </c>
      <c r="D3417" s="25">
        <v>656.3</v>
      </c>
      <c r="E3417" s="25">
        <v>665.7</v>
      </c>
      <c r="F3417" s="25">
        <v>4137808.0</v>
      </c>
    </row>
    <row r="3418">
      <c r="A3418" s="25">
        <v>43418.64583333333</v>
      </c>
      <c r="B3418" s="25">
        <v>665.7</v>
      </c>
      <c r="C3418" s="25">
        <v>665.7</v>
      </c>
      <c r="D3418" s="25">
        <v>640.5</v>
      </c>
      <c r="E3418" s="25">
        <v>653.2</v>
      </c>
      <c r="F3418" s="25">
        <v>7323026.0</v>
      </c>
    </row>
    <row r="3419">
      <c r="A3419" s="25">
        <v>43419.64583333333</v>
      </c>
      <c r="B3419" s="25">
        <v>654.0</v>
      </c>
      <c r="C3419" s="25">
        <v>666.0</v>
      </c>
      <c r="D3419" s="25">
        <v>646.7</v>
      </c>
      <c r="E3419" s="25">
        <v>656.4</v>
      </c>
      <c r="F3419" s="25">
        <v>5513390.0</v>
      </c>
    </row>
    <row r="3420">
      <c r="A3420" s="25">
        <v>43420.64583333333</v>
      </c>
      <c r="B3420" s="25">
        <v>659.9</v>
      </c>
      <c r="C3420" s="25">
        <v>662.5</v>
      </c>
      <c r="D3420" s="25">
        <v>644.2</v>
      </c>
      <c r="E3420" s="25">
        <v>650.85</v>
      </c>
      <c r="F3420" s="25">
        <v>8583785.0</v>
      </c>
    </row>
    <row r="3421">
      <c r="A3421" s="25">
        <v>43423.64583333333</v>
      </c>
      <c r="B3421" s="25">
        <v>659.0</v>
      </c>
      <c r="C3421" s="25">
        <v>662.0</v>
      </c>
      <c r="D3421" s="25">
        <v>649.25</v>
      </c>
      <c r="E3421" s="25">
        <v>651.7</v>
      </c>
      <c r="F3421" s="25">
        <v>6018930.0</v>
      </c>
    </row>
    <row r="3422">
      <c r="A3422" s="25">
        <v>43424.64583333333</v>
      </c>
      <c r="B3422" s="25">
        <v>651.7</v>
      </c>
      <c r="C3422" s="25">
        <v>656.0</v>
      </c>
      <c r="D3422" s="25">
        <v>640.1</v>
      </c>
      <c r="E3422" s="25">
        <v>641.4</v>
      </c>
      <c r="F3422" s="25">
        <v>5384830.0</v>
      </c>
    </row>
    <row r="3423">
      <c r="A3423" s="25">
        <v>43425.64583333333</v>
      </c>
      <c r="B3423" s="25">
        <v>640.0</v>
      </c>
      <c r="C3423" s="25">
        <v>640.05</v>
      </c>
      <c r="D3423" s="25">
        <v>612.1</v>
      </c>
      <c r="E3423" s="25">
        <v>619.1</v>
      </c>
      <c r="F3423" s="25">
        <v>1.4359086E7</v>
      </c>
    </row>
    <row r="3424">
      <c r="A3424" s="25">
        <v>43426.64583333333</v>
      </c>
      <c r="B3424" s="25">
        <v>622.25</v>
      </c>
      <c r="C3424" s="25">
        <v>628.15</v>
      </c>
      <c r="D3424" s="25">
        <v>616.75</v>
      </c>
      <c r="E3424" s="25">
        <v>620.75</v>
      </c>
      <c r="F3424" s="25">
        <v>6632975.0</v>
      </c>
    </row>
    <row r="3425">
      <c r="A3425" s="25">
        <v>43430.64583333333</v>
      </c>
      <c r="B3425" s="25">
        <v>621.0</v>
      </c>
      <c r="C3425" s="25">
        <v>628.0</v>
      </c>
      <c r="D3425" s="25">
        <v>599.85</v>
      </c>
      <c r="E3425" s="25">
        <v>621.45</v>
      </c>
      <c r="F3425" s="25">
        <v>1.5075209E7</v>
      </c>
    </row>
    <row r="3426">
      <c r="A3426" s="25">
        <v>43431.64583333333</v>
      </c>
      <c r="B3426" s="25">
        <v>625.5</v>
      </c>
      <c r="C3426" s="25">
        <v>641.0</v>
      </c>
      <c r="D3426" s="25">
        <v>625.3</v>
      </c>
      <c r="E3426" s="25">
        <v>638.9</v>
      </c>
      <c r="F3426" s="25">
        <v>1.2285851E7</v>
      </c>
    </row>
    <row r="3427">
      <c r="A3427" s="25">
        <v>43432.64583333333</v>
      </c>
      <c r="B3427" s="25">
        <v>640.95</v>
      </c>
      <c r="C3427" s="25">
        <v>668.7</v>
      </c>
      <c r="D3427" s="25">
        <v>640.0</v>
      </c>
      <c r="E3427" s="25">
        <v>666.4</v>
      </c>
      <c r="F3427" s="25">
        <v>1.771989E7</v>
      </c>
    </row>
    <row r="3428">
      <c r="A3428" s="25">
        <v>43433.64583333333</v>
      </c>
      <c r="B3428" s="25">
        <v>671.0</v>
      </c>
      <c r="C3428" s="25">
        <v>674.9</v>
      </c>
      <c r="D3428" s="25">
        <v>658.8</v>
      </c>
      <c r="E3428" s="25">
        <v>661.05</v>
      </c>
      <c r="F3428" s="25">
        <v>1.339907E7</v>
      </c>
    </row>
    <row r="3429">
      <c r="A3429" s="25">
        <v>43434.64583333333</v>
      </c>
      <c r="B3429" s="25">
        <v>661.0</v>
      </c>
      <c r="C3429" s="25">
        <v>672.0</v>
      </c>
      <c r="D3429" s="25">
        <v>660.95</v>
      </c>
      <c r="E3429" s="25">
        <v>667.45</v>
      </c>
      <c r="F3429" s="25">
        <v>1.0445773E7</v>
      </c>
    </row>
    <row r="3430">
      <c r="A3430" s="25">
        <v>43437.64583333333</v>
      </c>
      <c r="B3430" s="25">
        <v>673.15</v>
      </c>
      <c r="C3430" s="25">
        <v>679.0</v>
      </c>
      <c r="D3430" s="25">
        <v>665.95</v>
      </c>
      <c r="E3430" s="25">
        <v>670.35</v>
      </c>
      <c r="F3430" s="25">
        <v>8260890.0</v>
      </c>
    </row>
    <row r="3431">
      <c r="A3431" s="25">
        <v>43438.64583333333</v>
      </c>
      <c r="B3431" s="25">
        <v>672.55</v>
      </c>
      <c r="C3431" s="25">
        <v>688.25</v>
      </c>
      <c r="D3431" s="25">
        <v>671.3</v>
      </c>
      <c r="E3431" s="25">
        <v>685.25</v>
      </c>
      <c r="F3431" s="25">
        <v>7827923.0</v>
      </c>
    </row>
    <row r="3432">
      <c r="A3432" s="25">
        <v>43439.64583333333</v>
      </c>
      <c r="B3432" s="25">
        <v>683.0</v>
      </c>
      <c r="C3432" s="25">
        <v>683.65</v>
      </c>
      <c r="D3432" s="25">
        <v>672.5</v>
      </c>
      <c r="E3432" s="25">
        <v>681.4</v>
      </c>
      <c r="F3432" s="25">
        <v>5177288.0</v>
      </c>
    </row>
    <row r="3433">
      <c r="A3433" s="25">
        <v>43440.64583333333</v>
      </c>
      <c r="B3433" s="25">
        <v>676.1</v>
      </c>
      <c r="C3433" s="25">
        <v>685.45</v>
      </c>
      <c r="D3433" s="25">
        <v>664.55</v>
      </c>
      <c r="E3433" s="25">
        <v>668.5</v>
      </c>
      <c r="F3433" s="25">
        <v>8039771.0</v>
      </c>
    </row>
    <row r="3434">
      <c r="A3434" s="25">
        <v>43441.64583333333</v>
      </c>
      <c r="B3434" s="25">
        <v>672.0</v>
      </c>
      <c r="C3434" s="25">
        <v>685.75</v>
      </c>
      <c r="D3434" s="25">
        <v>665.6</v>
      </c>
      <c r="E3434" s="25">
        <v>682.8</v>
      </c>
      <c r="F3434" s="25">
        <v>5553948.0</v>
      </c>
    </row>
    <row r="3435">
      <c r="A3435" s="25">
        <v>43444.64583333333</v>
      </c>
      <c r="B3435" s="25">
        <v>669.9</v>
      </c>
      <c r="C3435" s="25">
        <v>683.8</v>
      </c>
      <c r="D3435" s="25">
        <v>665.2</v>
      </c>
      <c r="E3435" s="25">
        <v>669.2</v>
      </c>
      <c r="F3435" s="25">
        <v>5121196.0</v>
      </c>
    </row>
    <row r="3436">
      <c r="A3436" s="25">
        <v>43445.64583333333</v>
      </c>
      <c r="B3436" s="25">
        <v>669.2</v>
      </c>
      <c r="C3436" s="25">
        <v>681.9</v>
      </c>
      <c r="D3436" s="25">
        <v>660.6</v>
      </c>
      <c r="E3436" s="25">
        <v>674.5</v>
      </c>
      <c r="F3436" s="25">
        <v>7120933.0</v>
      </c>
    </row>
    <row r="3437">
      <c r="A3437" s="25">
        <v>43446.64583333333</v>
      </c>
      <c r="B3437" s="25">
        <v>677.1</v>
      </c>
      <c r="C3437" s="25">
        <v>680.65</v>
      </c>
      <c r="D3437" s="25">
        <v>670.6</v>
      </c>
      <c r="E3437" s="25">
        <v>678.5</v>
      </c>
      <c r="F3437" s="25">
        <v>6926183.0</v>
      </c>
    </row>
    <row r="3438">
      <c r="A3438" s="25">
        <v>43447.64583333333</v>
      </c>
      <c r="B3438" s="25">
        <v>682.0</v>
      </c>
      <c r="C3438" s="25">
        <v>700.0</v>
      </c>
      <c r="D3438" s="25">
        <v>680.0</v>
      </c>
      <c r="E3438" s="25">
        <v>697.75</v>
      </c>
      <c r="F3438" s="25">
        <v>7521474.0</v>
      </c>
    </row>
    <row r="3439">
      <c r="A3439" s="25">
        <v>43448.64583333333</v>
      </c>
      <c r="B3439" s="25">
        <v>697.45</v>
      </c>
      <c r="C3439" s="25">
        <v>713.7</v>
      </c>
      <c r="D3439" s="25">
        <v>694.4</v>
      </c>
      <c r="E3439" s="25">
        <v>706.05</v>
      </c>
      <c r="F3439" s="25">
        <v>9560576.0</v>
      </c>
    </row>
    <row r="3440">
      <c r="A3440" s="25">
        <v>43451.64583333333</v>
      </c>
      <c r="B3440" s="25">
        <v>711.85</v>
      </c>
      <c r="C3440" s="25">
        <v>711.85</v>
      </c>
      <c r="D3440" s="25">
        <v>692.75</v>
      </c>
      <c r="E3440" s="25">
        <v>694.4</v>
      </c>
      <c r="F3440" s="25">
        <v>4778465.0</v>
      </c>
    </row>
    <row r="3441">
      <c r="A3441" s="25">
        <v>43452.64583333333</v>
      </c>
      <c r="B3441" s="25">
        <v>686.5</v>
      </c>
      <c r="C3441" s="25">
        <v>686.5</v>
      </c>
      <c r="D3441" s="25">
        <v>674.55</v>
      </c>
      <c r="E3441" s="25">
        <v>676.6</v>
      </c>
      <c r="F3441" s="25">
        <v>8021298.0</v>
      </c>
    </row>
    <row r="3442">
      <c r="A3442" s="25">
        <v>43453.64583333333</v>
      </c>
      <c r="B3442" s="25">
        <v>671.55</v>
      </c>
      <c r="C3442" s="25">
        <v>671.55</v>
      </c>
      <c r="D3442" s="25">
        <v>661.1</v>
      </c>
      <c r="E3442" s="25">
        <v>664.85</v>
      </c>
      <c r="F3442" s="25">
        <v>8295459.0</v>
      </c>
    </row>
    <row r="3443">
      <c r="A3443" s="25">
        <v>43454.64583333333</v>
      </c>
      <c r="B3443" s="25">
        <v>660.0</v>
      </c>
      <c r="C3443" s="25">
        <v>671.55</v>
      </c>
      <c r="D3443" s="25">
        <v>656.4</v>
      </c>
      <c r="E3443" s="25">
        <v>667.05</v>
      </c>
      <c r="F3443" s="25">
        <v>1.170526E7</v>
      </c>
    </row>
    <row r="3444">
      <c r="A3444" s="25">
        <v>43455.64583333333</v>
      </c>
      <c r="B3444" s="25">
        <v>659.5</v>
      </c>
      <c r="C3444" s="25">
        <v>659.5</v>
      </c>
      <c r="D3444" s="25">
        <v>643.45</v>
      </c>
      <c r="E3444" s="25">
        <v>646.2</v>
      </c>
      <c r="F3444" s="25">
        <v>1.2802132E7</v>
      </c>
    </row>
    <row r="3445">
      <c r="A3445" s="25">
        <v>43458.64583333333</v>
      </c>
      <c r="B3445" s="25">
        <v>657.0</v>
      </c>
      <c r="C3445" s="25">
        <v>658.8</v>
      </c>
      <c r="D3445" s="25">
        <v>647.6</v>
      </c>
      <c r="E3445" s="25">
        <v>649.0</v>
      </c>
      <c r="F3445" s="25">
        <v>8379825.0</v>
      </c>
    </row>
    <row r="3446">
      <c r="A3446" s="25">
        <v>43460.64583333333</v>
      </c>
      <c r="B3446" s="25">
        <v>647.0</v>
      </c>
      <c r="C3446" s="25">
        <v>647.0</v>
      </c>
      <c r="D3446" s="25">
        <v>637.35</v>
      </c>
      <c r="E3446" s="25">
        <v>644.05</v>
      </c>
      <c r="F3446" s="25">
        <v>6178552.0</v>
      </c>
    </row>
    <row r="3447">
      <c r="A3447" s="25">
        <v>43461.64583333333</v>
      </c>
      <c r="B3447" s="25">
        <v>652.75</v>
      </c>
      <c r="C3447" s="25">
        <v>663.25</v>
      </c>
      <c r="D3447" s="25">
        <v>649.0</v>
      </c>
      <c r="E3447" s="25">
        <v>656.8</v>
      </c>
      <c r="F3447" s="25">
        <v>1.5333902E7</v>
      </c>
    </row>
    <row r="3448">
      <c r="A3448" s="25">
        <v>43462.64583333333</v>
      </c>
      <c r="B3448" s="25">
        <v>663.35</v>
      </c>
      <c r="C3448" s="25">
        <v>663.5</v>
      </c>
      <c r="D3448" s="25">
        <v>653.3</v>
      </c>
      <c r="E3448" s="25">
        <v>656.95</v>
      </c>
      <c r="F3448" s="25">
        <v>4736598.0</v>
      </c>
    </row>
    <row r="3449">
      <c r="A3449" s="25">
        <v>43465.64583333333</v>
      </c>
      <c r="B3449" s="25">
        <v>660.0</v>
      </c>
      <c r="C3449" s="25">
        <v>662.0</v>
      </c>
      <c r="D3449" s="25">
        <v>655.8</v>
      </c>
      <c r="E3449" s="25">
        <v>658.95</v>
      </c>
      <c r="F3449" s="25">
        <v>3373319.0</v>
      </c>
    </row>
    <row r="3450">
      <c r="A3450" s="25">
        <v>43466.64583333333</v>
      </c>
      <c r="B3450" s="25">
        <v>660.95</v>
      </c>
      <c r="C3450" s="25">
        <v>666.3</v>
      </c>
      <c r="D3450" s="25">
        <v>654.15</v>
      </c>
      <c r="E3450" s="25">
        <v>665.05</v>
      </c>
      <c r="F3450" s="25">
        <v>2943390.0</v>
      </c>
    </row>
    <row r="3451">
      <c r="A3451" s="25">
        <v>43467.64583333333</v>
      </c>
      <c r="B3451" s="25">
        <v>666.0</v>
      </c>
      <c r="C3451" s="25">
        <v>674.0</v>
      </c>
      <c r="D3451" s="25">
        <v>662.05</v>
      </c>
      <c r="E3451" s="25">
        <v>669.05</v>
      </c>
      <c r="F3451" s="25">
        <v>7416655.0</v>
      </c>
    </row>
    <row r="3452">
      <c r="A3452" s="25">
        <v>43468.64583333333</v>
      </c>
      <c r="B3452" s="25">
        <v>672.0</v>
      </c>
      <c r="C3452" s="25">
        <v>677.0</v>
      </c>
      <c r="D3452" s="25">
        <v>663.1</v>
      </c>
      <c r="E3452" s="25">
        <v>669.15</v>
      </c>
      <c r="F3452" s="25">
        <v>6827249.0</v>
      </c>
    </row>
    <row r="3453">
      <c r="A3453" s="25">
        <v>43469.64583333333</v>
      </c>
      <c r="B3453" s="25">
        <v>671.75</v>
      </c>
      <c r="C3453" s="25">
        <v>673.9</v>
      </c>
      <c r="D3453" s="25">
        <v>651.0</v>
      </c>
      <c r="E3453" s="25">
        <v>661.05</v>
      </c>
      <c r="F3453" s="25">
        <v>7889310.0</v>
      </c>
    </row>
    <row r="3454">
      <c r="A3454" s="25">
        <v>43472.64583333333</v>
      </c>
      <c r="B3454" s="25">
        <v>665.0</v>
      </c>
      <c r="C3454" s="25">
        <v>673.6</v>
      </c>
      <c r="D3454" s="25">
        <v>661.5</v>
      </c>
      <c r="E3454" s="25">
        <v>671.7</v>
      </c>
      <c r="F3454" s="25">
        <v>8046340.0</v>
      </c>
    </row>
    <row r="3455">
      <c r="A3455" s="25">
        <v>43473.64583333333</v>
      </c>
      <c r="B3455" s="25">
        <v>674.95</v>
      </c>
      <c r="C3455" s="25">
        <v>677.45</v>
      </c>
      <c r="D3455" s="25">
        <v>668.55</v>
      </c>
      <c r="E3455" s="25">
        <v>670.05</v>
      </c>
      <c r="F3455" s="25">
        <v>8621545.0</v>
      </c>
    </row>
    <row r="3456">
      <c r="A3456" s="25">
        <v>43474.64583333333</v>
      </c>
      <c r="B3456" s="25">
        <v>686.2</v>
      </c>
      <c r="C3456" s="25">
        <v>689.8</v>
      </c>
      <c r="D3456" s="25">
        <v>664.0</v>
      </c>
      <c r="E3456" s="25">
        <v>676.1</v>
      </c>
      <c r="F3456" s="25">
        <v>1.8130292E7</v>
      </c>
    </row>
    <row r="3457">
      <c r="A3457" s="25">
        <v>43475.64583333333</v>
      </c>
      <c r="B3457" s="25">
        <v>681.6</v>
      </c>
      <c r="C3457" s="25">
        <v>682.0</v>
      </c>
      <c r="D3457" s="25">
        <v>672.55</v>
      </c>
      <c r="E3457" s="25">
        <v>679.7</v>
      </c>
      <c r="F3457" s="25">
        <v>9572493.0</v>
      </c>
    </row>
    <row r="3458">
      <c r="A3458" s="25">
        <v>43476.64583333333</v>
      </c>
      <c r="B3458" s="25">
        <v>680.2</v>
      </c>
      <c r="C3458" s="25">
        <v>685.5</v>
      </c>
      <c r="D3458" s="25">
        <v>672.5</v>
      </c>
      <c r="E3458" s="25">
        <v>683.5</v>
      </c>
      <c r="F3458" s="25">
        <v>1.2281903E7</v>
      </c>
    </row>
    <row r="3459">
      <c r="A3459" s="25">
        <v>43479.64583333333</v>
      </c>
      <c r="B3459" s="25">
        <v>707.0</v>
      </c>
      <c r="C3459" s="25">
        <v>710.2</v>
      </c>
      <c r="D3459" s="25">
        <v>695.95</v>
      </c>
      <c r="E3459" s="25">
        <v>701.9</v>
      </c>
      <c r="F3459" s="25">
        <v>1.9312937E7</v>
      </c>
    </row>
    <row r="3460">
      <c r="A3460" s="25">
        <v>43480.64583333333</v>
      </c>
      <c r="B3460" s="25">
        <v>707.2</v>
      </c>
      <c r="C3460" s="25">
        <v>730.0</v>
      </c>
      <c r="D3460" s="25">
        <v>707.2</v>
      </c>
      <c r="E3460" s="25">
        <v>726.6</v>
      </c>
      <c r="F3460" s="25">
        <v>1.9671304E7</v>
      </c>
    </row>
    <row r="3461">
      <c r="A3461" s="25">
        <v>43481.64583333333</v>
      </c>
      <c r="B3461" s="25">
        <v>729.9</v>
      </c>
      <c r="C3461" s="25">
        <v>737.8</v>
      </c>
      <c r="D3461" s="25">
        <v>728.5</v>
      </c>
      <c r="E3461" s="25">
        <v>736.8</v>
      </c>
      <c r="F3461" s="25">
        <v>9658944.0</v>
      </c>
    </row>
    <row r="3462">
      <c r="A3462" s="25">
        <v>43482.64583333333</v>
      </c>
      <c r="B3462" s="25">
        <v>735.8</v>
      </c>
      <c r="C3462" s="25">
        <v>739.0</v>
      </c>
      <c r="D3462" s="25">
        <v>729.1</v>
      </c>
      <c r="E3462" s="25">
        <v>733.35</v>
      </c>
      <c r="F3462" s="25">
        <v>6903771.0</v>
      </c>
    </row>
    <row r="3463">
      <c r="A3463" s="25">
        <v>43483.64583333333</v>
      </c>
      <c r="B3463" s="25">
        <v>730.0</v>
      </c>
      <c r="C3463" s="25">
        <v>736.2</v>
      </c>
      <c r="D3463" s="25">
        <v>726.3</v>
      </c>
      <c r="E3463" s="25">
        <v>730.95</v>
      </c>
      <c r="F3463" s="25">
        <v>5902151.0</v>
      </c>
    </row>
    <row r="3464">
      <c r="A3464" s="25">
        <v>43486.64583333333</v>
      </c>
      <c r="B3464" s="25">
        <v>738.2</v>
      </c>
      <c r="C3464" s="25">
        <v>751.0</v>
      </c>
      <c r="D3464" s="25">
        <v>734.0</v>
      </c>
      <c r="E3464" s="25">
        <v>745.0</v>
      </c>
      <c r="F3464" s="25">
        <v>8129422.0</v>
      </c>
    </row>
    <row r="3465">
      <c r="A3465" s="25">
        <v>43487.64583333333</v>
      </c>
      <c r="B3465" s="25">
        <v>741.25</v>
      </c>
      <c r="C3465" s="25">
        <v>749.0</v>
      </c>
      <c r="D3465" s="25">
        <v>734.0</v>
      </c>
      <c r="E3465" s="25">
        <v>745.35</v>
      </c>
      <c r="F3465" s="25">
        <v>6723375.0</v>
      </c>
    </row>
    <row r="3466">
      <c r="A3466" s="25">
        <v>43488.64583333333</v>
      </c>
      <c r="B3466" s="25">
        <v>742.35</v>
      </c>
      <c r="C3466" s="25">
        <v>742.6</v>
      </c>
      <c r="D3466" s="25">
        <v>729.2</v>
      </c>
      <c r="E3466" s="25">
        <v>731.65</v>
      </c>
      <c r="F3466" s="25">
        <v>7212099.0</v>
      </c>
    </row>
    <row r="3467">
      <c r="A3467" s="25">
        <v>43489.64583333333</v>
      </c>
      <c r="B3467" s="25">
        <v>728.1</v>
      </c>
      <c r="C3467" s="25">
        <v>736.1</v>
      </c>
      <c r="D3467" s="25">
        <v>721.0</v>
      </c>
      <c r="E3467" s="25">
        <v>732.0</v>
      </c>
      <c r="F3467" s="25">
        <v>7429783.0</v>
      </c>
    </row>
    <row r="3468">
      <c r="A3468" s="25">
        <v>43490.64583333333</v>
      </c>
      <c r="B3468" s="25">
        <v>728.0</v>
      </c>
      <c r="C3468" s="25">
        <v>737.9</v>
      </c>
      <c r="D3468" s="25">
        <v>724.25</v>
      </c>
      <c r="E3468" s="25">
        <v>730.35</v>
      </c>
      <c r="F3468" s="25">
        <v>5543112.0</v>
      </c>
    </row>
    <row r="3469">
      <c r="A3469" s="25">
        <v>43493.64583333333</v>
      </c>
      <c r="B3469" s="25">
        <v>731.0</v>
      </c>
      <c r="C3469" s="25">
        <v>732.6</v>
      </c>
      <c r="D3469" s="25">
        <v>719.0</v>
      </c>
      <c r="E3469" s="25">
        <v>727.95</v>
      </c>
      <c r="F3469" s="25">
        <v>7944693.0</v>
      </c>
    </row>
    <row r="3470">
      <c r="A3470" s="25">
        <v>43494.64583333333</v>
      </c>
      <c r="B3470" s="25">
        <v>725.5</v>
      </c>
      <c r="C3470" s="25">
        <v>732.85</v>
      </c>
      <c r="D3470" s="25">
        <v>716.5</v>
      </c>
      <c r="E3470" s="25">
        <v>727.9</v>
      </c>
      <c r="F3470" s="25">
        <v>6760819.0</v>
      </c>
    </row>
    <row r="3471">
      <c r="A3471" s="25">
        <v>43495.64583333333</v>
      </c>
      <c r="B3471" s="25">
        <v>727.9</v>
      </c>
      <c r="C3471" s="25">
        <v>734.8</v>
      </c>
      <c r="D3471" s="25">
        <v>721.1</v>
      </c>
      <c r="E3471" s="25">
        <v>725.9</v>
      </c>
      <c r="F3471" s="25">
        <v>5763026.0</v>
      </c>
    </row>
    <row r="3472">
      <c r="A3472" s="25">
        <v>43496.64583333333</v>
      </c>
      <c r="B3472" s="25">
        <v>726.0</v>
      </c>
      <c r="C3472" s="25">
        <v>751.3</v>
      </c>
      <c r="D3472" s="25">
        <v>726.0</v>
      </c>
      <c r="E3472" s="25">
        <v>749.55</v>
      </c>
      <c r="F3472" s="25">
        <v>1.3825233E7</v>
      </c>
    </row>
    <row r="3473">
      <c r="A3473" s="25">
        <v>43497.64583333333</v>
      </c>
      <c r="B3473" s="25">
        <v>751.35</v>
      </c>
      <c r="C3473" s="25">
        <v>762.5</v>
      </c>
      <c r="D3473" s="25">
        <v>744.5</v>
      </c>
      <c r="E3473" s="25">
        <v>757.05</v>
      </c>
      <c r="F3473" s="25">
        <v>6276585.0</v>
      </c>
    </row>
    <row r="3474">
      <c r="A3474" s="25">
        <v>43500.64583333333</v>
      </c>
      <c r="B3474" s="25">
        <v>757.0</v>
      </c>
      <c r="C3474" s="25">
        <v>762.5</v>
      </c>
      <c r="D3474" s="25">
        <v>749.2</v>
      </c>
      <c r="E3474" s="25">
        <v>755.9</v>
      </c>
      <c r="F3474" s="25">
        <v>3945391.0</v>
      </c>
    </row>
    <row r="3475">
      <c r="A3475" s="25">
        <v>43501.64583333333</v>
      </c>
      <c r="B3475" s="25">
        <v>747.0</v>
      </c>
      <c r="C3475" s="25">
        <v>759.95</v>
      </c>
      <c r="D3475" s="25">
        <v>747.0</v>
      </c>
      <c r="E3475" s="25">
        <v>754.85</v>
      </c>
      <c r="F3475" s="25">
        <v>4694366.0</v>
      </c>
    </row>
    <row r="3476">
      <c r="A3476" s="25">
        <v>43502.64583333333</v>
      </c>
      <c r="B3476" s="25">
        <v>755.55</v>
      </c>
      <c r="C3476" s="25">
        <v>766.95</v>
      </c>
      <c r="D3476" s="25">
        <v>754.35</v>
      </c>
      <c r="E3476" s="25">
        <v>763.3</v>
      </c>
      <c r="F3476" s="25">
        <v>5880482.0</v>
      </c>
    </row>
    <row r="3477">
      <c r="A3477" s="25">
        <v>43503.64583333333</v>
      </c>
      <c r="B3477" s="25">
        <v>763.05</v>
      </c>
      <c r="C3477" s="25">
        <v>769.45</v>
      </c>
      <c r="D3477" s="25">
        <v>761.0</v>
      </c>
      <c r="E3477" s="25">
        <v>764.0</v>
      </c>
      <c r="F3477" s="25">
        <v>3961797.0</v>
      </c>
    </row>
    <row r="3478">
      <c r="A3478" s="25">
        <v>43504.64583333333</v>
      </c>
      <c r="B3478" s="25">
        <v>760.0</v>
      </c>
      <c r="C3478" s="25">
        <v>772.25</v>
      </c>
      <c r="D3478" s="25">
        <v>754.9</v>
      </c>
      <c r="E3478" s="25">
        <v>760.9</v>
      </c>
      <c r="F3478" s="25">
        <v>5915169.0</v>
      </c>
    </row>
    <row r="3479">
      <c r="A3479" s="25">
        <v>43507.64583333333</v>
      </c>
      <c r="B3479" s="25">
        <v>766.9</v>
      </c>
      <c r="C3479" s="25">
        <v>768.75</v>
      </c>
      <c r="D3479" s="25">
        <v>759.0</v>
      </c>
      <c r="E3479" s="25">
        <v>762.8</v>
      </c>
      <c r="F3479" s="25">
        <v>5500216.0</v>
      </c>
    </row>
    <row r="3480">
      <c r="A3480" s="25">
        <v>43508.64583333333</v>
      </c>
      <c r="B3480" s="25">
        <v>760.35</v>
      </c>
      <c r="C3480" s="25">
        <v>760.35</v>
      </c>
      <c r="D3480" s="25">
        <v>741.0</v>
      </c>
      <c r="E3480" s="25">
        <v>750.45</v>
      </c>
      <c r="F3480" s="25">
        <v>7310690.0</v>
      </c>
    </row>
    <row r="3481">
      <c r="A3481" s="25">
        <v>43509.64583333333</v>
      </c>
      <c r="B3481" s="25">
        <v>750.1</v>
      </c>
      <c r="C3481" s="25">
        <v>759.7</v>
      </c>
      <c r="D3481" s="25">
        <v>743.65</v>
      </c>
      <c r="E3481" s="25">
        <v>754.9</v>
      </c>
      <c r="F3481" s="25">
        <v>5050182.0</v>
      </c>
    </row>
    <row r="3482">
      <c r="A3482" s="25">
        <v>43510.64583333333</v>
      </c>
      <c r="B3482" s="25">
        <v>751.0</v>
      </c>
      <c r="C3482" s="25">
        <v>753.0</v>
      </c>
      <c r="D3482" s="25">
        <v>737.25</v>
      </c>
      <c r="E3482" s="25">
        <v>740.05</v>
      </c>
      <c r="F3482" s="25">
        <v>4610535.0</v>
      </c>
    </row>
    <row r="3483">
      <c r="A3483" s="25">
        <v>43511.64583333333</v>
      </c>
      <c r="B3483" s="25">
        <v>742.3</v>
      </c>
      <c r="C3483" s="25">
        <v>746.5</v>
      </c>
      <c r="D3483" s="25">
        <v>732.6</v>
      </c>
      <c r="E3483" s="25">
        <v>741.95</v>
      </c>
      <c r="F3483" s="25">
        <v>5586389.0</v>
      </c>
    </row>
    <row r="3484">
      <c r="A3484" s="25">
        <v>43514.64583333333</v>
      </c>
      <c r="B3484" s="25">
        <v>742.35</v>
      </c>
      <c r="C3484" s="25">
        <v>747.65</v>
      </c>
      <c r="D3484" s="25">
        <v>736.0</v>
      </c>
      <c r="E3484" s="25">
        <v>741.05</v>
      </c>
      <c r="F3484" s="25">
        <v>5346825.0</v>
      </c>
    </row>
    <row r="3485">
      <c r="A3485" s="25">
        <v>43515.64583333333</v>
      </c>
      <c r="B3485" s="25">
        <v>739.1</v>
      </c>
      <c r="C3485" s="25">
        <v>740.55</v>
      </c>
      <c r="D3485" s="25">
        <v>721.3</v>
      </c>
      <c r="E3485" s="25">
        <v>724.3</v>
      </c>
      <c r="F3485" s="25">
        <v>9401334.0</v>
      </c>
    </row>
    <row r="3486">
      <c r="A3486" s="25">
        <v>43516.64583333333</v>
      </c>
      <c r="B3486" s="25">
        <v>727.0</v>
      </c>
      <c r="C3486" s="25">
        <v>743.0</v>
      </c>
      <c r="D3486" s="25">
        <v>726.05</v>
      </c>
      <c r="E3486" s="25">
        <v>740.7</v>
      </c>
      <c r="F3486" s="25">
        <v>5210675.0</v>
      </c>
    </row>
    <row r="3487">
      <c r="A3487" s="25">
        <v>43517.64583333333</v>
      </c>
      <c r="B3487" s="25">
        <v>738.0</v>
      </c>
      <c r="C3487" s="25">
        <v>738.0</v>
      </c>
      <c r="D3487" s="25">
        <v>727.1</v>
      </c>
      <c r="E3487" s="25">
        <v>733.45</v>
      </c>
      <c r="F3487" s="25">
        <v>7202786.0</v>
      </c>
    </row>
    <row r="3488">
      <c r="A3488" s="25">
        <v>43518.64583333333</v>
      </c>
      <c r="B3488" s="25">
        <v>732.5</v>
      </c>
      <c r="C3488" s="25">
        <v>738.2</v>
      </c>
      <c r="D3488" s="25">
        <v>728.0</v>
      </c>
      <c r="E3488" s="25">
        <v>734.95</v>
      </c>
      <c r="F3488" s="25">
        <v>3750833.0</v>
      </c>
    </row>
    <row r="3489">
      <c r="A3489" s="25">
        <v>43521.64583333333</v>
      </c>
      <c r="B3489" s="25">
        <v>735.55</v>
      </c>
      <c r="C3489" s="25">
        <v>758.0</v>
      </c>
      <c r="D3489" s="25">
        <v>735.55</v>
      </c>
      <c r="E3489" s="25">
        <v>754.9</v>
      </c>
      <c r="F3489" s="25">
        <v>6547552.0</v>
      </c>
    </row>
    <row r="3490">
      <c r="A3490" s="25">
        <v>43522.64583333333</v>
      </c>
      <c r="B3490" s="25">
        <v>748.6</v>
      </c>
      <c r="C3490" s="25">
        <v>752.6</v>
      </c>
      <c r="D3490" s="25">
        <v>740.15</v>
      </c>
      <c r="E3490" s="25">
        <v>742.5</v>
      </c>
      <c r="F3490" s="25">
        <v>8319610.0</v>
      </c>
    </row>
    <row r="3491">
      <c r="A3491" s="25">
        <v>43523.64583333333</v>
      </c>
      <c r="B3491" s="25">
        <v>745.0</v>
      </c>
      <c r="C3491" s="25">
        <v>746.4</v>
      </c>
      <c r="D3491" s="25">
        <v>732.75</v>
      </c>
      <c r="E3491" s="25">
        <v>735.25</v>
      </c>
      <c r="F3491" s="25">
        <v>5936354.0</v>
      </c>
    </row>
    <row r="3492">
      <c r="A3492" s="25">
        <v>43524.64583333333</v>
      </c>
      <c r="B3492" s="25">
        <v>738.7</v>
      </c>
      <c r="C3492" s="25">
        <v>742.4</v>
      </c>
      <c r="D3492" s="25">
        <v>732.3</v>
      </c>
      <c r="E3492" s="25">
        <v>734.3</v>
      </c>
      <c r="F3492" s="25">
        <v>8559921.0</v>
      </c>
    </row>
    <row r="3493">
      <c r="A3493" s="25">
        <v>43525.64583333333</v>
      </c>
      <c r="B3493" s="25">
        <v>735.5</v>
      </c>
      <c r="C3493" s="25">
        <v>743.4</v>
      </c>
      <c r="D3493" s="25">
        <v>735.5</v>
      </c>
      <c r="E3493" s="25">
        <v>741.9</v>
      </c>
      <c r="F3493" s="25">
        <v>3998826.0</v>
      </c>
    </row>
    <row r="3494">
      <c r="A3494" s="25">
        <v>43529.64583333333</v>
      </c>
      <c r="B3494" s="25">
        <v>740.5</v>
      </c>
      <c r="C3494" s="25">
        <v>742.5</v>
      </c>
      <c r="D3494" s="25">
        <v>730.25</v>
      </c>
      <c r="E3494" s="25">
        <v>732.5</v>
      </c>
      <c r="F3494" s="25">
        <v>4826505.0</v>
      </c>
    </row>
    <row r="3495">
      <c r="A3495" s="25">
        <v>43530.64583333333</v>
      </c>
      <c r="B3495" s="25">
        <v>736.1</v>
      </c>
      <c r="C3495" s="25">
        <v>736.1</v>
      </c>
      <c r="D3495" s="25">
        <v>727.0</v>
      </c>
      <c r="E3495" s="25">
        <v>732.5</v>
      </c>
      <c r="F3495" s="25">
        <v>6076668.0</v>
      </c>
    </row>
    <row r="3496">
      <c r="A3496" s="25">
        <v>43531.64583333333</v>
      </c>
      <c r="B3496" s="25">
        <v>734.0</v>
      </c>
      <c r="C3496" s="25">
        <v>734.5</v>
      </c>
      <c r="D3496" s="25">
        <v>720.55</v>
      </c>
      <c r="E3496" s="25">
        <v>722.95</v>
      </c>
      <c r="F3496" s="25">
        <v>5951551.0</v>
      </c>
    </row>
    <row r="3497">
      <c r="A3497" s="25">
        <v>43532.64583333333</v>
      </c>
      <c r="B3497" s="25">
        <v>722.95</v>
      </c>
      <c r="C3497" s="25">
        <v>722.95</v>
      </c>
      <c r="D3497" s="25">
        <v>710.65</v>
      </c>
      <c r="E3497" s="25">
        <v>712.35</v>
      </c>
      <c r="F3497" s="25">
        <v>7193994.0</v>
      </c>
    </row>
    <row r="3498">
      <c r="A3498" s="25">
        <v>43535.64583333333</v>
      </c>
      <c r="B3498" s="25">
        <v>713.3</v>
      </c>
      <c r="C3498" s="25">
        <v>718.5</v>
      </c>
      <c r="D3498" s="25">
        <v>709.4</v>
      </c>
      <c r="E3498" s="25">
        <v>711.25</v>
      </c>
      <c r="F3498" s="25">
        <v>9932198.0</v>
      </c>
    </row>
    <row r="3499">
      <c r="A3499" s="25">
        <v>43536.64583333333</v>
      </c>
      <c r="B3499" s="25">
        <v>709.0</v>
      </c>
      <c r="C3499" s="25">
        <v>714.95</v>
      </c>
      <c r="D3499" s="25">
        <v>705.6</v>
      </c>
      <c r="E3499" s="25">
        <v>706.95</v>
      </c>
      <c r="F3499" s="25">
        <v>1.1997387E7</v>
      </c>
    </row>
    <row r="3500">
      <c r="A3500" s="25">
        <v>43537.64583333333</v>
      </c>
      <c r="B3500" s="25">
        <v>710.0</v>
      </c>
      <c r="C3500" s="25">
        <v>718.6</v>
      </c>
      <c r="D3500" s="25">
        <v>706.3</v>
      </c>
      <c r="E3500" s="25">
        <v>708.45</v>
      </c>
      <c r="F3500" s="25">
        <v>1.1348867E7</v>
      </c>
    </row>
    <row r="3501">
      <c r="A3501" s="25">
        <v>43538.64583333333</v>
      </c>
      <c r="B3501" s="25">
        <v>714.0</v>
      </c>
      <c r="C3501" s="25">
        <v>714.9</v>
      </c>
      <c r="D3501" s="25">
        <v>706.2</v>
      </c>
      <c r="E3501" s="25">
        <v>708.35</v>
      </c>
      <c r="F3501" s="25">
        <v>6415187.0</v>
      </c>
    </row>
    <row r="3502">
      <c r="A3502" s="25">
        <v>43539.64583333333</v>
      </c>
      <c r="B3502" s="25">
        <v>712.0</v>
      </c>
      <c r="C3502" s="25">
        <v>723.75</v>
      </c>
      <c r="D3502" s="25">
        <v>709.6</v>
      </c>
      <c r="E3502" s="25">
        <v>718.55</v>
      </c>
      <c r="F3502" s="25">
        <v>1.4638664E7</v>
      </c>
    </row>
    <row r="3503">
      <c r="A3503" s="25">
        <v>43542.64583333333</v>
      </c>
      <c r="B3503" s="25">
        <v>721.55</v>
      </c>
      <c r="C3503" s="25">
        <v>723.7</v>
      </c>
      <c r="D3503" s="25">
        <v>705.35</v>
      </c>
      <c r="E3503" s="25">
        <v>710.2</v>
      </c>
      <c r="F3503" s="25">
        <v>8065544.0</v>
      </c>
    </row>
    <row r="3504">
      <c r="A3504" s="25">
        <v>43543.64583333333</v>
      </c>
      <c r="B3504" s="25">
        <v>712.8</v>
      </c>
      <c r="C3504" s="25">
        <v>726.5</v>
      </c>
      <c r="D3504" s="25">
        <v>707.4</v>
      </c>
      <c r="E3504" s="25">
        <v>722.25</v>
      </c>
      <c r="F3504" s="25">
        <v>8917337.0</v>
      </c>
    </row>
    <row r="3505">
      <c r="A3505" s="25">
        <v>43544.64583333333</v>
      </c>
      <c r="B3505" s="25">
        <v>727.25</v>
      </c>
      <c r="C3505" s="25">
        <v>742.3</v>
      </c>
      <c r="D3505" s="25">
        <v>727.15</v>
      </c>
      <c r="E3505" s="25">
        <v>738.95</v>
      </c>
      <c r="F3505" s="25">
        <v>1.3471173E7</v>
      </c>
    </row>
    <row r="3506">
      <c r="A3506" s="25">
        <v>43546.64583333333</v>
      </c>
      <c r="B3506" s="25">
        <v>745.0</v>
      </c>
      <c r="C3506" s="25">
        <v>746.35</v>
      </c>
      <c r="D3506" s="25">
        <v>732.3</v>
      </c>
      <c r="E3506" s="25">
        <v>743.1</v>
      </c>
      <c r="F3506" s="25">
        <v>8883260.0</v>
      </c>
    </row>
    <row r="3507">
      <c r="A3507" s="25">
        <v>43549.64583333333</v>
      </c>
      <c r="B3507" s="25">
        <v>742.4</v>
      </c>
      <c r="C3507" s="25">
        <v>742.4</v>
      </c>
      <c r="D3507" s="25">
        <v>730.55</v>
      </c>
      <c r="E3507" s="25">
        <v>735.25</v>
      </c>
      <c r="F3507" s="25">
        <v>7644966.0</v>
      </c>
    </row>
    <row r="3508">
      <c r="A3508" s="25">
        <v>43550.64583333333</v>
      </c>
      <c r="B3508" s="25">
        <v>735.25</v>
      </c>
      <c r="C3508" s="25">
        <v>735.25</v>
      </c>
      <c r="D3508" s="25">
        <v>719.1</v>
      </c>
      <c r="E3508" s="25">
        <v>727.75</v>
      </c>
      <c r="F3508" s="25">
        <v>9406261.0</v>
      </c>
    </row>
    <row r="3509">
      <c r="A3509" s="25">
        <v>43551.64583333333</v>
      </c>
      <c r="B3509" s="25">
        <v>730.0</v>
      </c>
      <c r="C3509" s="25">
        <v>732.3</v>
      </c>
      <c r="D3509" s="25">
        <v>727.15</v>
      </c>
      <c r="E3509" s="25">
        <v>729.7</v>
      </c>
      <c r="F3509" s="25">
        <v>7387487.0</v>
      </c>
    </row>
    <row r="3510">
      <c r="A3510" s="25">
        <v>43552.64583333333</v>
      </c>
      <c r="B3510" s="25">
        <v>730.0</v>
      </c>
      <c r="C3510" s="25">
        <v>745.0</v>
      </c>
      <c r="D3510" s="25">
        <v>730.0</v>
      </c>
      <c r="E3510" s="25">
        <v>737.8</v>
      </c>
      <c r="F3510" s="25">
        <v>9277241.0</v>
      </c>
    </row>
    <row r="3511">
      <c r="A3511" s="25">
        <v>43553.64583333333</v>
      </c>
      <c r="B3511" s="25">
        <v>743.9</v>
      </c>
      <c r="C3511" s="25">
        <v>747.95</v>
      </c>
      <c r="D3511" s="25">
        <v>740.0</v>
      </c>
      <c r="E3511" s="25">
        <v>743.85</v>
      </c>
      <c r="F3511" s="25">
        <v>6924061.0</v>
      </c>
    </row>
    <row r="3512">
      <c r="A3512" s="25">
        <v>43556.64583333333</v>
      </c>
      <c r="B3512" s="25">
        <v>742.0</v>
      </c>
      <c r="C3512" s="25">
        <v>760.0</v>
      </c>
      <c r="D3512" s="25">
        <v>742.0</v>
      </c>
      <c r="E3512" s="25">
        <v>755.1</v>
      </c>
      <c r="F3512" s="25">
        <v>6584982.0</v>
      </c>
    </row>
    <row r="3513">
      <c r="A3513" s="25">
        <v>43557.64583333333</v>
      </c>
      <c r="B3513" s="25">
        <v>759.0</v>
      </c>
      <c r="C3513" s="25">
        <v>765.8</v>
      </c>
      <c r="D3513" s="25">
        <v>754.6</v>
      </c>
      <c r="E3513" s="25">
        <v>759.4</v>
      </c>
      <c r="F3513" s="25">
        <v>7283600.0</v>
      </c>
    </row>
    <row r="3514">
      <c r="A3514" s="25">
        <v>43558.64583333333</v>
      </c>
      <c r="B3514" s="25">
        <v>756.0</v>
      </c>
      <c r="C3514" s="25">
        <v>758.5</v>
      </c>
      <c r="D3514" s="25">
        <v>746.8</v>
      </c>
      <c r="E3514" s="25">
        <v>753.3</v>
      </c>
      <c r="F3514" s="25">
        <v>6897127.0</v>
      </c>
    </row>
    <row r="3515">
      <c r="A3515" s="25">
        <v>43559.64583333333</v>
      </c>
      <c r="B3515" s="25">
        <v>751.4</v>
      </c>
      <c r="C3515" s="25">
        <v>753.8</v>
      </c>
      <c r="D3515" s="25">
        <v>745.1</v>
      </c>
      <c r="E3515" s="25">
        <v>747.9</v>
      </c>
      <c r="F3515" s="25">
        <v>7688525.0</v>
      </c>
    </row>
    <row r="3516">
      <c r="A3516" s="25">
        <v>43560.64583333333</v>
      </c>
      <c r="B3516" s="25">
        <v>750.9</v>
      </c>
      <c r="C3516" s="25">
        <v>760.95</v>
      </c>
      <c r="D3516" s="25">
        <v>748.0</v>
      </c>
      <c r="E3516" s="25">
        <v>759.3</v>
      </c>
      <c r="F3516" s="25">
        <v>6276040.0</v>
      </c>
    </row>
    <row r="3517">
      <c r="A3517" s="25">
        <v>43563.64583333333</v>
      </c>
      <c r="B3517" s="25">
        <v>763.05</v>
      </c>
      <c r="C3517" s="25">
        <v>770.0</v>
      </c>
      <c r="D3517" s="25">
        <v>755.4</v>
      </c>
      <c r="E3517" s="25">
        <v>767.25</v>
      </c>
      <c r="F3517" s="25">
        <v>4919911.0</v>
      </c>
    </row>
    <row r="3518">
      <c r="A3518" s="25">
        <v>43564.64583333333</v>
      </c>
      <c r="B3518" s="25">
        <v>770.0</v>
      </c>
      <c r="C3518" s="25">
        <v>773.0</v>
      </c>
      <c r="D3518" s="25">
        <v>758.2</v>
      </c>
      <c r="E3518" s="25">
        <v>760.6</v>
      </c>
      <c r="F3518" s="25">
        <v>6730692.0</v>
      </c>
    </row>
    <row r="3519">
      <c r="A3519" s="25">
        <v>43565.64583333333</v>
      </c>
      <c r="B3519" s="25">
        <v>764.0</v>
      </c>
      <c r="C3519" s="25">
        <v>766.7</v>
      </c>
      <c r="D3519" s="25">
        <v>751.3</v>
      </c>
      <c r="E3519" s="25">
        <v>752.7</v>
      </c>
      <c r="F3519" s="25">
        <v>7031088.0</v>
      </c>
    </row>
    <row r="3520">
      <c r="A3520" s="25">
        <v>43566.64583333333</v>
      </c>
      <c r="B3520" s="25">
        <v>751.75</v>
      </c>
      <c r="C3520" s="25">
        <v>751.75</v>
      </c>
      <c r="D3520" s="25">
        <v>740.05</v>
      </c>
      <c r="E3520" s="25">
        <v>742.7</v>
      </c>
      <c r="F3520" s="25">
        <v>8200995.0</v>
      </c>
    </row>
    <row r="3521">
      <c r="A3521" s="25">
        <v>43567.64583333333</v>
      </c>
      <c r="B3521" s="25">
        <v>743.1</v>
      </c>
      <c r="C3521" s="25">
        <v>751.55</v>
      </c>
      <c r="D3521" s="25">
        <v>740.6</v>
      </c>
      <c r="E3521" s="25">
        <v>747.75</v>
      </c>
      <c r="F3521" s="25">
        <v>7043212.0</v>
      </c>
    </row>
    <row r="3522">
      <c r="A3522" s="25">
        <v>43570.64583333333</v>
      </c>
      <c r="B3522" s="25">
        <v>724.7</v>
      </c>
      <c r="C3522" s="25">
        <v>731.35</v>
      </c>
      <c r="D3522" s="25">
        <v>712.6</v>
      </c>
      <c r="E3522" s="25">
        <v>727.5</v>
      </c>
      <c r="F3522" s="25">
        <v>3.1574803E7</v>
      </c>
    </row>
    <row r="3523">
      <c r="A3523" s="25">
        <v>43571.64583333333</v>
      </c>
      <c r="B3523" s="25">
        <v>727.9</v>
      </c>
      <c r="C3523" s="25">
        <v>727.9</v>
      </c>
      <c r="D3523" s="25">
        <v>714.1</v>
      </c>
      <c r="E3523" s="25">
        <v>724.1</v>
      </c>
      <c r="F3523" s="25">
        <v>1.2524411E7</v>
      </c>
    </row>
    <row r="3524">
      <c r="A3524" s="25">
        <v>43573.64583333333</v>
      </c>
      <c r="B3524" s="25">
        <v>722.5</v>
      </c>
      <c r="C3524" s="25">
        <v>722.5</v>
      </c>
      <c r="D3524" s="25">
        <v>712.75</v>
      </c>
      <c r="E3524" s="25">
        <v>717.05</v>
      </c>
      <c r="F3524" s="25">
        <v>1.3801105E7</v>
      </c>
    </row>
    <row r="3525">
      <c r="A3525" s="25">
        <v>43577.64583333333</v>
      </c>
      <c r="B3525" s="25">
        <v>717.05</v>
      </c>
      <c r="C3525" s="25">
        <v>725.75</v>
      </c>
      <c r="D3525" s="25">
        <v>715.0</v>
      </c>
      <c r="E3525" s="25">
        <v>721.05</v>
      </c>
      <c r="F3525" s="25">
        <v>6455426.0</v>
      </c>
    </row>
    <row r="3526">
      <c r="A3526" s="25">
        <v>43578.64583333333</v>
      </c>
      <c r="B3526" s="25">
        <v>723.9</v>
      </c>
      <c r="C3526" s="25">
        <v>730.0</v>
      </c>
      <c r="D3526" s="25">
        <v>718.4</v>
      </c>
      <c r="E3526" s="25">
        <v>728.2</v>
      </c>
      <c r="F3526" s="25">
        <v>5516668.0</v>
      </c>
    </row>
    <row r="3527">
      <c r="A3527" s="25">
        <v>43579.64583333333</v>
      </c>
      <c r="B3527" s="25">
        <v>728.2</v>
      </c>
      <c r="C3527" s="25">
        <v>737.9</v>
      </c>
      <c r="D3527" s="25">
        <v>724.0</v>
      </c>
      <c r="E3527" s="25">
        <v>736.45</v>
      </c>
      <c r="F3527" s="25">
        <v>8285120.0</v>
      </c>
    </row>
    <row r="3528">
      <c r="A3528" s="25">
        <v>43580.64583333333</v>
      </c>
      <c r="B3528" s="25">
        <v>736.45</v>
      </c>
      <c r="C3528" s="25">
        <v>737.65</v>
      </c>
      <c r="D3528" s="25">
        <v>727.05</v>
      </c>
      <c r="E3528" s="25">
        <v>728.55</v>
      </c>
      <c r="F3528" s="25">
        <v>8005235.0</v>
      </c>
    </row>
    <row r="3529">
      <c r="A3529" s="25">
        <v>43581.64583333333</v>
      </c>
      <c r="B3529" s="25">
        <v>731.0</v>
      </c>
      <c r="C3529" s="25">
        <v>739.8</v>
      </c>
      <c r="D3529" s="25">
        <v>729.0</v>
      </c>
      <c r="E3529" s="25">
        <v>738.0</v>
      </c>
      <c r="F3529" s="25">
        <v>6895168.0</v>
      </c>
    </row>
    <row r="3530">
      <c r="A3530" s="25">
        <v>43585.64583333333</v>
      </c>
      <c r="B3530" s="25">
        <v>738.0</v>
      </c>
      <c r="C3530" s="25">
        <v>753.8</v>
      </c>
      <c r="D3530" s="25">
        <v>738.0</v>
      </c>
      <c r="E3530" s="25">
        <v>751.35</v>
      </c>
      <c r="F3530" s="25">
        <v>9920046.0</v>
      </c>
    </row>
    <row r="3531">
      <c r="A3531" s="25">
        <v>43587.64583333333</v>
      </c>
      <c r="B3531" s="25">
        <v>747.0</v>
      </c>
      <c r="C3531" s="25">
        <v>748.4</v>
      </c>
      <c r="D3531" s="25">
        <v>729.5</v>
      </c>
      <c r="E3531" s="25">
        <v>730.8</v>
      </c>
      <c r="F3531" s="25">
        <v>6351352.0</v>
      </c>
    </row>
    <row r="3532">
      <c r="A3532" s="25">
        <v>43588.64583333333</v>
      </c>
      <c r="B3532" s="25">
        <v>722.9</v>
      </c>
      <c r="C3532" s="25">
        <v>731.0</v>
      </c>
      <c r="D3532" s="25">
        <v>718.2</v>
      </c>
      <c r="E3532" s="25">
        <v>723.6</v>
      </c>
      <c r="F3532" s="25">
        <v>6348116.0</v>
      </c>
    </row>
    <row r="3533">
      <c r="A3533" s="25">
        <v>43591.64583333333</v>
      </c>
      <c r="B3533" s="25">
        <v>715.0</v>
      </c>
      <c r="C3533" s="25">
        <v>721.8</v>
      </c>
      <c r="D3533" s="25">
        <v>710.65</v>
      </c>
      <c r="E3533" s="25">
        <v>718.4</v>
      </c>
      <c r="F3533" s="25">
        <v>8858265.0</v>
      </c>
    </row>
    <row r="3534">
      <c r="A3534" s="25">
        <v>43592.79166666667</v>
      </c>
      <c r="B3534" s="25">
        <v>720.4</v>
      </c>
      <c r="C3534" s="25">
        <v>727.9</v>
      </c>
      <c r="D3534" s="25">
        <v>718.7</v>
      </c>
      <c r="E3534" s="25">
        <v>724.55</v>
      </c>
      <c r="F3534" s="25">
        <v>5747536.0</v>
      </c>
    </row>
    <row r="3535">
      <c r="A3535" s="25">
        <v>43593.64583333333</v>
      </c>
      <c r="B3535" s="25">
        <v>721.0</v>
      </c>
      <c r="C3535" s="25">
        <v>726.0</v>
      </c>
      <c r="D3535" s="25">
        <v>716.5</v>
      </c>
      <c r="E3535" s="25">
        <v>719.35</v>
      </c>
      <c r="F3535" s="25">
        <v>6247642.0</v>
      </c>
    </row>
    <row r="3536">
      <c r="A3536" s="25">
        <v>43594.64583333333</v>
      </c>
      <c r="B3536" s="25">
        <v>719.15</v>
      </c>
      <c r="C3536" s="25">
        <v>730.3</v>
      </c>
      <c r="D3536" s="25">
        <v>715.8</v>
      </c>
      <c r="E3536" s="25">
        <v>721.05</v>
      </c>
      <c r="F3536" s="25">
        <v>7396525.0</v>
      </c>
    </row>
    <row r="3537">
      <c r="A3537" s="25">
        <v>43595.64583333333</v>
      </c>
      <c r="B3537" s="25">
        <v>720.8</v>
      </c>
      <c r="C3537" s="25">
        <v>726.0</v>
      </c>
      <c r="D3537" s="25">
        <v>715.0</v>
      </c>
      <c r="E3537" s="25">
        <v>716.85</v>
      </c>
      <c r="F3537" s="25">
        <v>8352335.0</v>
      </c>
    </row>
    <row r="3538">
      <c r="A3538" s="25">
        <v>43598.64583333333</v>
      </c>
      <c r="B3538" s="25">
        <v>716.55</v>
      </c>
      <c r="C3538" s="25">
        <v>726.45</v>
      </c>
      <c r="D3538" s="25">
        <v>712.1</v>
      </c>
      <c r="E3538" s="25">
        <v>719.7</v>
      </c>
      <c r="F3538" s="25">
        <v>6808993.0</v>
      </c>
    </row>
    <row r="3539">
      <c r="A3539" s="25">
        <v>43599.64583333333</v>
      </c>
      <c r="B3539" s="25">
        <v>716.5</v>
      </c>
      <c r="C3539" s="25">
        <v>717.75</v>
      </c>
      <c r="D3539" s="25">
        <v>703.6</v>
      </c>
      <c r="E3539" s="25">
        <v>713.85</v>
      </c>
      <c r="F3539" s="25">
        <v>1.0513001E7</v>
      </c>
    </row>
    <row r="3540">
      <c r="A3540" s="25">
        <v>43600.64583333333</v>
      </c>
      <c r="B3540" s="25">
        <v>714.9</v>
      </c>
      <c r="C3540" s="25">
        <v>725.2</v>
      </c>
      <c r="D3540" s="25">
        <v>712.6</v>
      </c>
      <c r="E3540" s="25">
        <v>716.1</v>
      </c>
      <c r="F3540" s="25">
        <v>6668929.0</v>
      </c>
    </row>
    <row r="3541">
      <c r="A3541" s="25">
        <v>43601.64583333333</v>
      </c>
      <c r="B3541" s="25">
        <v>720.0</v>
      </c>
      <c r="C3541" s="25">
        <v>737.0</v>
      </c>
      <c r="D3541" s="25">
        <v>719.1</v>
      </c>
      <c r="E3541" s="25">
        <v>733.1</v>
      </c>
      <c r="F3541" s="25">
        <v>6468556.0</v>
      </c>
    </row>
    <row r="3542">
      <c r="A3542" s="25">
        <v>43602.64583333333</v>
      </c>
      <c r="B3542" s="25">
        <v>733.15</v>
      </c>
      <c r="C3542" s="25">
        <v>735.8</v>
      </c>
      <c r="D3542" s="25">
        <v>720.1</v>
      </c>
      <c r="E3542" s="25">
        <v>723.9</v>
      </c>
      <c r="F3542" s="25">
        <v>8155948.0</v>
      </c>
    </row>
    <row r="3543">
      <c r="A3543" s="25">
        <v>43605.64583333333</v>
      </c>
      <c r="B3543" s="25">
        <v>719.7</v>
      </c>
      <c r="C3543" s="25">
        <v>726.4</v>
      </c>
      <c r="D3543" s="25">
        <v>706.0</v>
      </c>
      <c r="E3543" s="25">
        <v>722.4</v>
      </c>
      <c r="F3543" s="25">
        <v>1.1213708E7</v>
      </c>
    </row>
    <row r="3544">
      <c r="A3544" s="25">
        <v>43606.64583333333</v>
      </c>
      <c r="B3544" s="25">
        <v>722.65</v>
      </c>
      <c r="C3544" s="25">
        <v>722.65</v>
      </c>
      <c r="D3544" s="25">
        <v>707.7</v>
      </c>
      <c r="E3544" s="25">
        <v>709.3</v>
      </c>
      <c r="F3544" s="25">
        <v>8645535.0</v>
      </c>
    </row>
    <row r="3545">
      <c r="A3545" s="25">
        <v>43607.64583333333</v>
      </c>
      <c r="B3545" s="25">
        <v>710.0</v>
      </c>
      <c r="C3545" s="25">
        <v>718.25</v>
      </c>
      <c r="D3545" s="25">
        <v>707.0</v>
      </c>
      <c r="E3545" s="25">
        <v>709.75</v>
      </c>
      <c r="F3545" s="25">
        <v>5795713.0</v>
      </c>
    </row>
    <row r="3546">
      <c r="A3546" s="25">
        <v>43608.64583333333</v>
      </c>
      <c r="B3546" s="25">
        <v>715.0</v>
      </c>
      <c r="C3546" s="25">
        <v>716.7</v>
      </c>
      <c r="D3546" s="25">
        <v>697.45</v>
      </c>
      <c r="E3546" s="25">
        <v>701.05</v>
      </c>
      <c r="F3546" s="25">
        <v>7233736.0</v>
      </c>
    </row>
    <row r="3547">
      <c r="A3547" s="25">
        <v>43609.64583333333</v>
      </c>
      <c r="B3547" s="25">
        <v>703.8</v>
      </c>
      <c r="C3547" s="25">
        <v>711.75</v>
      </c>
      <c r="D3547" s="25">
        <v>700.45</v>
      </c>
      <c r="E3547" s="25">
        <v>709.2</v>
      </c>
      <c r="F3547" s="25">
        <v>7016424.0</v>
      </c>
    </row>
    <row r="3548">
      <c r="A3548" s="25">
        <v>43612.64583333333</v>
      </c>
      <c r="B3548" s="25">
        <v>707.4</v>
      </c>
      <c r="C3548" s="25">
        <v>713.8</v>
      </c>
      <c r="D3548" s="25">
        <v>705.5</v>
      </c>
      <c r="E3548" s="25">
        <v>708.1</v>
      </c>
      <c r="F3548" s="25">
        <v>1.0247544E7</v>
      </c>
    </row>
    <row r="3549">
      <c r="A3549" s="25">
        <v>43613.64583333333</v>
      </c>
      <c r="B3549" s="25">
        <v>712.0</v>
      </c>
      <c r="C3549" s="25">
        <v>733.45</v>
      </c>
      <c r="D3549" s="25">
        <v>709.8</v>
      </c>
      <c r="E3549" s="25">
        <v>728.1</v>
      </c>
      <c r="F3549" s="25">
        <v>2.386049E7</v>
      </c>
    </row>
    <row r="3550">
      <c r="A3550" s="25">
        <v>43614.64583333333</v>
      </c>
      <c r="B3550" s="25">
        <v>725.5</v>
      </c>
      <c r="C3550" s="25">
        <v>733.65</v>
      </c>
      <c r="D3550" s="25">
        <v>723.65</v>
      </c>
      <c r="E3550" s="25">
        <v>727.8</v>
      </c>
      <c r="F3550" s="25">
        <v>1.0293077E7</v>
      </c>
    </row>
    <row r="3551">
      <c r="A3551" s="25">
        <v>43615.64583333333</v>
      </c>
      <c r="B3551" s="25">
        <v>727.0</v>
      </c>
      <c r="C3551" s="25">
        <v>737.25</v>
      </c>
      <c r="D3551" s="25">
        <v>722.55</v>
      </c>
      <c r="E3551" s="25">
        <v>733.55</v>
      </c>
      <c r="F3551" s="25">
        <v>1.5089296E7</v>
      </c>
    </row>
    <row r="3552">
      <c r="A3552" s="25">
        <v>43616.64583333333</v>
      </c>
      <c r="B3552" s="25">
        <v>736.5</v>
      </c>
      <c r="C3552" s="25">
        <v>742.95</v>
      </c>
      <c r="D3552" s="25">
        <v>733.2</v>
      </c>
      <c r="E3552" s="25">
        <v>737.75</v>
      </c>
      <c r="F3552" s="25">
        <v>8290306.0</v>
      </c>
    </row>
    <row r="3553">
      <c r="A3553" s="25">
        <v>43619.64583333333</v>
      </c>
      <c r="B3553" s="25">
        <v>729.8</v>
      </c>
      <c r="C3553" s="25">
        <v>750.9</v>
      </c>
      <c r="D3553" s="25">
        <v>729.0</v>
      </c>
      <c r="E3553" s="25">
        <v>744.65</v>
      </c>
      <c r="F3553" s="25">
        <v>7744761.0</v>
      </c>
    </row>
    <row r="3554">
      <c r="A3554" s="25">
        <v>43620.64583333333</v>
      </c>
      <c r="B3554" s="25">
        <v>737.25</v>
      </c>
      <c r="C3554" s="25">
        <v>739.45</v>
      </c>
      <c r="D3554" s="25">
        <v>733.15</v>
      </c>
      <c r="E3554" s="25">
        <v>735.3</v>
      </c>
      <c r="F3554" s="25">
        <v>1.1733702E7</v>
      </c>
    </row>
    <row r="3555">
      <c r="A3555" s="25">
        <v>43622.64583333333</v>
      </c>
      <c r="B3555" s="25">
        <v>736.5</v>
      </c>
      <c r="C3555" s="25">
        <v>744.65</v>
      </c>
      <c r="D3555" s="25">
        <v>733.65</v>
      </c>
      <c r="E3555" s="25">
        <v>735.6</v>
      </c>
      <c r="F3555" s="25">
        <v>7563925.0</v>
      </c>
    </row>
    <row r="3556">
      <c r="A3556" s="25">
        <v>43623.64583333333</v>
      </c>
      <c r="B3556" s="25">
        <v>735.85</v>
      </c>
      <c r="C3556" s="25">
        <v>743.95</v>
      </c>
      <c r="D3556" s="25">
        <v>735.85</v>
      </c>
      <c r="E3556" s="25">
        <v>739.1</v>
      </c>
      <c r="F3556" s="25">
        <v>3218358.0</v>
      </c>
    </row>
    <row r="3557">
      <c r="A3557" s="25">
        <v>43626.64583333333</v>
      </c>
      <c r="B3557" s="25">
        <v>740.1</v>
      </c>
      <c r="C3557" s="25">
        <v>754.1</v>
      </c>
      <c r="D3557" s="25">
        <v>740.1</v>
      </c>
      <c r="E3557" s="25">
        <v>753.5</v>
      </c>
      <c r="F3557" s="25">
        <v>4435148.0</v>
      </c>
    </row>
    <row r="3558">
      <c r="A3558" s="25">
        <v>43627.64583333333</v>
      </c>
      <c r="B3558" s="25">
        <v>755.0</v>
      </c>
      <c r="C3558" s="25">
        <v>759.0</v>
      </c>
      <c r="D3558" s="25">
        <v>750.5</v>
      </c>
      <c r="E3558" s="25">
        <v>754.9</v>
      </c>
      <c r="F3558" s="25">
        <v>5733127.0</v>
      </c>
    </row>
    <row r="3559">
      <c r="A3559" s="25">
        <v>43628.64583333333</v>
      </c>
      <c r="B3559" s="25">
        <v>756.95</v>
      </c>
      <c r="C3559" s="25">
        <v>756.95</v>
      </c>
      <c r="D3559" s="25">
        <v>745.0</v>
      </c>
      <c r="E3559" s="25">
        <v>753.8</v>
      </c>
      <c r="F3559" s="25">
        <v>8738342.0</v>
      </c>
    </row>
    <row r="3560">
      <c r="A3560" s="25">
        <v>43629.64583333333</v>
      </c>
      <c r="B3560" s="25">
        <v>740.0</v>
      </c>
      <c r="C3560" s="25">
        <v>747.2</v>
      </c>
      <c r="D3560" s="25">
        <v>740.0</v>
      </c>
      <c r="E3560" s="25">
        <v>742.65</v>
      </c>
      <c r="F3560" s="25">
        <v>4808577.0</v>
      </c>
    </row>
    <row r="3561">
      <c r="A3561" s="25">
        <v>43630.64583333333</v>
      </c>
      <c r="B3561" s="25">
        <v>743.85</v>
      </c>
      <c r="C3561" s="25">
        <v>745.5</v>
      </c>
      <c r="D3561" s="25">
        <v>738.25</v>
      </c>
      <c r="E3561" s="25">
        <v>740.45</v>
      </c>
      <c r="F3561" s="25">
        <v>5556353.0</v>
      </c>
    </row>
    <row r="3562">
      <c r="A3562" s="25">
        <v>43633.64583333333</v>
      </c>
      <c r="B3562" s="25">
        <v>743.0</v>
      </c>
      <c r="C3562" s="25">
        <v>744.5</v>
      </c>
      <c r="D3562" s="25">
        <v>737.8</v>
      </c>
      <c r="E3562" s="25">
        <v>740.55</v>
      </c>
      <c r="F3562" s="25">
        <v>3085588.0</v>
      </c>
    </row>
    <row r="3563">
      <c r="A3563" s="25">
        <v>43634.64583333333</v>
      </c>
      <c r="B3563" s="25">
        <v>740.2</v>
      </c>
      <c r="C3563" s="25">
        <v>752.45</v>
      </c>
      <c r="D3563" s="25">
        <v>740.2</v>
      </c>
      <c r="E3563" s="25">
        <v>750.15</v>
      </c>
      <c r="F3563" s="25">
        <v>6202838.0</v>
      </c>
    </row>
    <row r="3564">
      <c r="A3564" s="25">
        <v>43635.64583333333</v>
      </c>
      <c r="B3564" s="25">
        <v>752.5</v>
      </c>
      <c r="C3564" s="25">
        <v>755.4</v>
      </c>
      <c r="D3564" s="25">
        <v>748.6</v>
      </c>
      <c r="E3564" s="25">
        <v>751.9</v>
      </c>
      <c r="F3564" s="25">
        <v>4596253.0</v>
      </c>
    </row>
    <row r="3565">
      <c r="A3565" s="25">
        <v>43636.64583333333</v>
      </c>
      <c r="B3565" s="25">
        <v>737.8</v>
      </c>
      <c r="C3565" s="25">
        <v>756.9</v>
      </c>
      <c r="D3565" s="25">
        <v>735.9</v>
      </c>
      <c r="E3565" s="25">
        <v>754.9</v>
      </c>
      <c r="F3565" s="25">
        <v>7148684.0</v>
      </c>
    </row>
    <row r="3566">
      <c r="A3566" s="25">
        <v>43637.64583333333</v>
      </c>
      <c r="B3566" s="25">
        <v>755.0</v>
      </c>
      <c r="C3566" s="25">
        <v>755.0</v>
      </c>
      <c r="D3566" s="25">
        <v>747.15</v>
      </c>
      <c r="E3566" s="25">
        <v>750.2</v>
      </c>
      <c r="F3566" s="25">
        <v>1.3200318E7</v>
      </c>
    </row>
    <row r="3567">
      <c r="A3567" s="25">
        <v>43640.64583333333</v>
      </c>
      <c r="B3567" s="25">
        <v>751.9</v>
      </c>
      <c r="C3567" s="25">
        <v>751.9</v>
      </c>
      <c r="D3567" s="25">
        <v>742.65</v>
      </c>
      <c r="E3567" s="25">
        <v>745.5</v>
      </c>
      <c r="F3567" s="25">
        <v>4758178.0</v>
      </c>
    </row>
    <row r="3568">
      <c r="A3568" s="25">
        <v>43641.64583333333</v>
      </c>
      <c r="B3568" s="25">
        <v>744.0</v>
      </c>
      <c r="C3568" s="25">
        <v>750.9</v>
      </c>
      <c r="D3568" s="25">
        <v>737.3</v>
      </c>
      <c r="E3568" s="25">
        <v>748.1</v>
      </c>
      <c r="F3568" s="25">
        <v>3677911.0</v>
      </c>
    </row>
    <row r="3569">
      <c r="A3569" s="25">
        <v>43642.64583333333</v>
      </c>
      <c r="B3569" s="25">
        <v>743.0</v>
      </c>
      <c r="C3569" s="25">
        <v>751.45</v>
      </c>
      <c r="D3569" s="25">
        <v>738.0</v>
      </c>
      <c r="E3569" s="25">
        <v>739.2</v>
      </c>
      <c r="F3569" s="25">
        <v>5447130.0</v>
      </c>
    </row>
    <row r="3570">
      <c r="A3570" s="25">
        <v>43643.64583333333</v>
      </c>
      <c r="B3570" s="25">
        <v>742.0</v>
      </c>
      <c r="C3570" s="25">
        <v>744.7</v>
      </c>
      <c r="D3570" s="25">
        <v>728.15</v>
      </c>
      <c r="E3570" s="25">
        <v>730.55</v>
      </c>
      <c r="F3570" s="25">
        <v>1.1122346E7</v>
      </c>
    </row>
    <row r="3571">
      <c r="A3571" s="25">
        <v>43644.64583333333</v>
      </c>
      <c r="B3571" s="25">
        <v>735.5</v>
      </c>
      <c r="C3571" s="25">
        <v>739.5</v>
      </c>
      <c r="D3571" s="25">
        <v>728.5</v>
      </c>
      <c r="E3571" s="25">
        <v>732.0</v>
      </c>
      <c r="F3571" s="25">
        <v>5919494.0</v>
      </c>
    </row>
    <row r="3572">
      <c r="A3572" s="25">
        <v>43647.64583333333</v>
      </c>
      <c r="B3572" s="25">
        <v>735.0</v>
      </c>
      <c r="C3572" s="25">
        <v>737.5</v>
      </c>
      <c r="D3572" s="25">
        <v>729.85</v>
      </c>
      <c r="E3572" s="25">
        <v>731.3</v>
      </c>
      <c r="F3572" s="25">
        <v>3224968.0</v>
      </c>
    </row>
    <row r="3573">
      <c r="A3573" s="25">
        <v>43648.64583333333</v>
      </c>
      <c r="B3573" s="25">
        <v>734.0</v>
      </c>
      <c r="C3573" s="25">
        <v>741.65</v>
      </c>
      <c r="D3573" s="25">
        <v>730.1</v>
      </c>
      <c r="E3573" s="25">
        <v>740.0</v>
      </c>
      <c r="F3573" s="25">
        <v>4837606.0</v>
      </c>
    </row>
    <row r="3574">
      <c r="A3574" s="25">
        <v>43649.64583333333</v>
      </c>
      <c r="B3574" s="25">
        <v>741.0</v>
      </c>
      <c r="C3574" s="25">
        <v>743.2</v>
      </c>
      <c r="D3574" s="25">
        <v>730.0</v>
      </c>
      <c r="E3574" s="25">
        <v>731.3</v>
      </c>
      <c r="F3574" s="25">
        <v>5958379.0</v>
      </c>
    </row>
    <row r="3575">
      <c r="A3575" s="25">
        <v>43650.64583333333</v>
      </c>
      <c r="B3575" s="25">
        <v>729.0</v>
      </c>
      <c r="C3575" s="25">
        <v>736.4</v>
      </c>
      <c r="D3575" s="25">
        <v>728.6</v>
      </c>
      <c r="E3575" s="25">
        <v>733.8</v>
      </c>
      <c r="F3575" s="25">
        <v>3274064.0</v>
      </c>
    </row>
    <row r="3576">
      <c r="A3576" s="25">
        <v>43651.64583333333</v>
      </c>
      <c r="B3576" s="25">
        <v>735.0</v>
      </c>
      <c r="C3576" s="25">
        <v>736.4</v>
      </c>
      <c r="D3576" s="25">
        <v>713.5</v>
      </c>
      <c r="E3576" s="25">
        <v>718.0</v>
      </c>
      <c r="F3576" s="25">
        <v>4926289.0</v>
      </c>
    </row>
    <row r="3577">
      <c r="A3577" s="25">
        <v>43654.64583333333</v>
      </c>
      <c r="B3577" s="25">
        <v>716.45</v>
      </c>
      <c r="C3577" s="25">
        <v>724.95</v>
      </c>
      <c r="D3577" s="25">
        <v>712.3</v>
      </c>
      <c r="E3577" s="25">
        <v>717.6</v>
      </c>
      <c r="F3577" s="25">
        <v>7177092.0</v>
      </c>
    </row>
    <row r="3578">
      <c r="A3578" s="25">
        <v>43655.64583333333</v>
      </c>
      <c r="B3578" s="25">
        <v>718.0</v>
      </c>
      <c r="C3578" s="25">
        <v>719.85</v>
      </c>
      <c r="D3578" s="25">
        <v>709.05</v>
      </c>
      <c r="E3578" s="25">
        <v>715.5</v>
      </c>
      <c r="F3578" s="25">
        <v>5022638.0</v>
      </c>
    </row>
    <row r="3579">
      <c r="A3579" s="25">
        <v>43656.64583333333</v>
      </c>
      <c r="B3579" s="25">
        <v>709.0</v>
      </c>
      <c r="C3579" s="25">
        <v>722.7</v>
      </c>
      <c r="D3579" s="25">
        <v>706.5</v>
      </c>
      <c r="E3579" s="25">
        <v>717.25</v>
      </c>
      <c r="F3579" s="25">
        <v>7573816.0</v>
      </c>
    </row>
    <row r="3580">
      <c r="A3580" s="25">
        <v>43657.64583333333</v>
      </c>
      <c r="B3580" s="25">
        <v>719.45</v>
      </c>
      <c r="C3580" s="25">
        <v>723.5</v>
      </c>
      <c r="D3580" s="25">
        <v>709.6</v>
      </c>
      <c r="E3580" s="25">
        <v>721.5</v>
      </c>
      <c r="F3580" s="25">
        <v>6252688.0</v>
      </c>
    </row>
    <row r="3581">
      <c r="A3581" s="25">
        <v>43658.64583333333</v>
      </c>
      <c r="B3581" s="25">
        <v>722.5</v>
      </c>
      <c r="C3581" s="25">
        <v>730.6</v>
      </c>
      <c r="D3581" s="25">
        <v>719.6</v>
      </c>
      <c r="E3581" s="25">
        <v>726.75</v>
      </c>
      <c r="F3581" s="25">
        <v>7874441.0</v>
      </c>
    </row>
    <row r="3582">
      <c r="A3582" s="25">
        <v>43661.64583333333</v>
      </c>
      <c r="B3582" s="25">
        <v>763.0</v>
      </c>
      <c r="C3582" s="25">
        <v>781.65</v>
      </c>
      <c r="D3582" s="25">
        <v>754.2</v>
      </c>
      <c r="E3582" s="25">
        <v>779.35</v>
      </c>
      <c r="F3582" s="25">
        <v>3.1064152E7</v>
      </c>
    </row>
    <row r="3583">
      <c r="A3583" s="25">
        <v>43662.64583333333</v>
      </c>
      <c r="B3583" s="25">
        <v>777.0</v>
      </c>
      <c r="C3583" s="25">
        <v>787.8</v>
      </c>
      <c r="D3583" s="25">
        <v>776.0</v>
      </c>
      <c r="E3583" s="25">
        <v>784.85</v>
      </c>
      <c r="F3583" s="25">
        <v>9924322.0</v>
      </c>
    </row>
    <row r="3584">
      <c r="A3584" s="25">
        <v>43663.64583333333</v>
      </c>
      <c r="B3584" s="25">
        <v>783.9</v>
      </c>
      <c r="C3584" s="25">
        <v>795.0</v>
      </c>
      <c r="D3584" s="25">
        <v>776.75</v>
      </c>
      <c r="E3584" s="25">
        <v>794.15</v>
      </c>
      <c r="F3584" s="25">
        <v>6754348.0</v>
      </c>
    </row>
    <row r="3585">
      <c r="A3585" s="25">
        <v>43664.64583333333</v>
      </c>
      <c r="B3585" s="25">
        <v>789.05</v>
      </c>
      <c r="C3585" s="25">
        <v>798.5</v>
      </c>
      <c r="D3585" s="25">
        <v>786.2</v>
      </c>
      <c r="E3585" s="25">
        <v>792.7</v>
      </c>
      <c r="F3585" s="25">
        <v>6534471.0</v>
      </c>
    </row>
    <row r="3586">
      <c r="A3586" s="25">
        <v>43665.64583333333</v>
      </c>
      <c r="B3586" s="25">
        <v>788.7</v>
      </c>
      <c r="C3586" s="25">
        <v>794.5</v>
      </c>
      <c r="D3586" s="25">
        <v>781.25</v>
      </c>
      <c r="E3586" s="25">
        <v>785.4</v>
      </c>
      <c r="F3586" s="25">
        <v>6812754.0</v>
      </c>
    </row>
    <row r="3587">
      <c r="A3587" s="25">
        <v>43668.64583333333</v>
      </c>
      <c r="B3587" s="25">
        <v>785.95</v>
      </c>
      <c r="C3587" s="25">
        <v>792.0</v>
      </c>
      <c r="D3587" s="25">
        <v>782.05</v>
      </c>
      <c r="E3587" s="25">
        <v>784.4</v>
      </c>
      <c r="F3587" s="25">
        <v>7107151.0</v>
      </c>
    </row>
    <row r="3588">
      <c r="A3588" s="25">
        <v>43669.64583333333</v>
      </c>
      <c r="B3588" s="25">
        <v>787.0</v>
      </c>
      <c r="C3588" s="25">
        <v>804.0</v>
      </c>
      <c r="D3588" s="25">
        <v>785.55</v>
      </c>
      <c r="E3588" s="25">
        <v>790.05</v>
      </c>
      <c r="F3588" s="25">
        <v>1.0782564E7</v>
      </c>
    </row>
    <row r="3589">
      <c r="A3589" s="25">
        <v>43670.64583333333</v>
      </c>
      <c r="B3589" s="25">
        <v>788.0</v>
      </c>
      <c r="C3589" s="25">
        <v>793.75</v>
      </c>
      <c r="D3589" s="25">
        <v>783.6</v>
      </c>
      <c r="E3589" s="25">
        <v>786.3</v>
      </c>
      <c r="F3589" s="25">
        <v>5745146.0</v>
      </c>
    </row>
    <row r="3590">
      <c r="A3590" s="25">
        <v>43671.64583333333</v>
      </c>
      <c r="B3590" s="25">
        <v>788.25</v>
      </c>
      <c r="C3590" s="25">
        <v>800.2</v>
      </c>
      <c r="D3590" s="25">
        <v>787.65</v>
      </c>
      <c r="E3590" s="25">
        <v>794.5</v>
      </c>
      <c r="F3590" s="25">
        <v>9773568.0</v>
      </c>
    </row>
    <row r="3591">
      <c r="A3591" s="25">
        <v>43672.64583333333</v>
      </c>
      <c r="B3591" s="25">
        <v>792.3</v>
      </c>
      <c r="C3591" s="25">
        <v>795.0</v>
      </c>
      <c r="D3591" s="25">
        <v>782.2</v>
      </c>
      <c r="E3591" s="25">
        <v>787.0</v>
      </c>
      <c r="F3591" s="25">
        <v>4941763.0</v>
      </c>
    </row>
    <row r="3592">
      <c r="A3592" s="25">
        <v>43675.64583333333</v>
      </c>
      <c r="B3592" s="25">
        <v>789.5</v>
      </c>
      <c r="C3592" s="25">
        <v>796.95</v>
      </c>
      <c r="D3592" s="25">
        <v>786.2</v>
      </c>
      <c r="E3592" s="25">
        <v>791.45</v>
      </c>
      <c r="F3592" s="25">
        <v>6244316.0</v>
      </c>
    </row>
    <row r="3593">
      <c r="A3593" s="25">
        <v>43676.64583333333</v>
      </c>
      <c r="B3593" s="25">
        <v>791.9</v>
      </c>
      <c r="C3593" s="25">
        <v>797.8</v>
      </c>
      <c r="D3593" s="25">
        <v>788.55</v>
      </c>
      <c r="E3593" s="25">
        <v>792.7</v>
      </c>
      <c r="F3593" s="25">
        <v>8673253.0</v>
      </c>
    </row>
    <row r="3594">
      <c r="A3594" s="25">
        <v>43677.64583333333</v>
      </c>
      <c r="B3594" s="25">
        <v>790.85</v>
      </c>
      <c r="C3594" s="25">
        <v>799.8</v>
      </c>
      <c r="D3594" s="25">
        <v>781.6</v>
      </c>
      <c r="E3594" s="25">
        <v>793.65</v>
      </c>
      <c r="F3594" s="25">
        <v>7350584.0</v>
      </c>
    </row>
    <row r="3595">
      <c r="A3595" s="25">
        <v>43678.64583333333</v>
      </c>
      <c r="B3595" s="25">
        <v>786.45</v>
      </c>
      <c r="C3595" s="25">
        <v>788.4</v>
      </c>
      <c r="D3595" s="25">
        <v>764.4</v>
      </c>
      <c r="E3595" s="25">
        <v>768.85</v>
      </c>
      <c r="F3595" s="25">
        <v>1.0066407E7</v>
      </c>
    </row>
    <row r="3596">
      <c r="A3596" s="25">
        <v>43679.64583333333</v>
      </c>
      <c r="B3596" s="25">
        <v>765.05</v>
      </c>
      <c r="C3596" s="25">
        <v>779.9</v>
      </c>
      <c r="D3596" s="25">
        <v>762.25</v>
      </c>
      <c r="E3596" s="25">
        <v>775.6</v>
      </c>
      <c r="F3596" s="25">
        <v>1.0838336E7</v>
      </c>
    </row>
    <row r="3597">
      <c r="A3597" s="25">
        <v>43682.64583333333</v>
      </c>
      <c r="B3597" s="25">
        <v>772.6</v>
      </c>
      <c r="C3597" s="25">
        <v>785.9</v>
      </c>
      <c r="D3597" s="25">
        <v>768.65</v>
      </c>
      <c r="E3597" s="25">
        <v>776.7</v>
      </c>
      <c r="F3597" s="25">
        <v>9976238.0</v>
      </c>
    </row>
    <row r="3598">
      <c r="A3598" s="25">
        <v>43683.64583333333</v>
      </c>
      <c r="B3598" s="25">
        <v>778.8</v>
      </c>
      <c r="C3598" s="25">
        <v>783.7</v>
      </c>
      <c r="D3598" s="25">
        <v>769.8</v>
      </c>
      <c r="E3598" s="25">
        <v>774.45</v>
      </c>
      <c r="F3598" s="25">
        <v>9331718.0</v>
      </c>
    </row>
    <row r="3599">
      <c r="A3599" s="25">
        <v>43684.64583333333</v>
      </c>
      <c r="B3599" s="25">
        <v>778.9</v>
      </c>
      <c r="C3599" s="25">
        <v>783.45</v>
      </c>
      <c r="D3599" s="25">
        <v>772.35</v>
      </c>
      <c r="E3599" s="25">
        <v>776.1</v>
      </c>
      <c r="F3599" s="25">
        <v>5130457.0</v>
      </c>
    </row>
    <row r="3600">
      <c r="A3600" s="25">
        <v>43685.64583333333</v>
      </c>
      <c r="B3600" s="25">
        <v>782.7</v>
      </c>
      <c r="C3600" s="25">
        <v>792.75</v>
      </c>
      <c r="D3600" s="25">
        <v>781.25</v>
      </c>
      <c r="E3600" s="25">
        <v>788.75</v>
      </c>
      <c r="F3600" s="25">
        <v>8009009.0</v>
      </c>
    </row>
    <row r="3601">
      <c r="A3601" s="25">
        <v>43686.64583333333</v>
      </c>
      <c r="B3601" s="25">
        <v>792.0</v>
      </c>
      <c r="C3601" s="25">
        <v>796.75</v>
      </c>
      <c r="D3601" s="25">
        <v>784.8</v>
      </c>
      <c r="E3601" s="25">
        <v>789.85</v>
      </c>
      <c r="F3601" s="25">
        <v>4362520.0</v>
      </c>
    </row>
    <row r="3602">
      <c r="A3602" s="25">
        <v>43690.64583333333</v>
      </c>
      <c r="B3602" s="25">
        <v>784.15</v>
      </c>
      <c r="C3602" s="25">
        <v>786.0</v>
      </c>
      <c r="D3602" s="25">
        <v>760.15</v>
      </c>
      <c r="E3602" s="25">
        <v>764.75</v>
      </c>
      <c r="F3602" s="25">
        <v>7517099.0</v>
      </c>
    </row>
    <row r="3603">
      <c r="A3603" s="25">
        <v>43691.64583333333</v>
      </c>
      <c r="B3603" s="25">
        <v>775.1</v>
      </c>
      <c r="C3603" s="25">
        <v>778.25</v>
      </c>
      <c r="D3603" s="25">
        <v>768.0</v>
      </c>
      <c r="E3603" s="25">
        <v>774.8</v>
      </c>
      <c r="F3603" s="25">
        <v>5940968.0</v>
      </c>
    </row>
    <row r="3604">
      <c r="A3604" s="25">
        <v>43693.64583333333</v>
      </c>
      <c r="B3604" s="25">
        <v>780.0</v>
      </c>
      <c r="C3604" s="25">
        <v>780.05</v>
      </c>
      <c r="D3604" s="25">
        <v>762.5</v>
      </c>
      <c r="E3604" s="25">
        <v>774.55</v>
      </c>
      <c r="F3604" s="25">
        <v>5128088.0</v>
      </c>
    </row>
    <row r="3605">
      <c r="A3605" s="25">
        <v>43696.64583333333</v>
      </c>
      <c r="B3605" s="25">
        <v>775.6</v>
      </c>
      <c r="C3605" s="25">
        <v>783.0</v>
      </c>
      <c r="D3605" s="25">
        <v>773.35</v>
      </c>
      <c r="E3605" s="25">
        <v>777.65</v>
      </c>
      <c r="F3605" s="25">
        <v>3881451.0</v>
      </c>
    </row>
    <row r="3606">
      <c r="A3606" s="25">
        <v>43697.64583333333</v>
      </c>
      <c r="B3606" s="25">
        <v>785.2</v>
      </c>
      <c r="C3606" s="25">
        <v>798.0</v>
      </c>
      <c r="D3606" s="25">
        <v>783.85</v>
      </c>
      <c r="E3606" s="25">
        <v>792.75</v>
      </c>
      <c r="F3606" s="25">
        <v>8435344.0</v>
      </c>
    </row>
    <row r="3607">
      <c r="A3607" s="25">
        <v>43698.64583333333</v>
      </c>
      <c r="B3607" s="25">
        <v>793.0</v>
      </c>
      <c r="C3607" s="25">
        <v>803.75</v>
      </c>
      <c r="D3607" s="25">
        <v>793.0</v>
      </c>
      <c r="E3607" s="25">
        <v>799.45</v>
      </c>
      <c r="F3607" s="25">
        <v>5926896.0</v>
      </c>
    </row>
    <row r="3608">
      <c r="A3608" s="25">
        <v>43699.64583333333</v>
      </c>
      <c r="B3608" s="25">
        <v>799.9</v>
      </c>
      <c r="C3608" s="25">
        <v>801.3</v>
      </c>
      <c r="D3608" s="25">
        <v>792.35</v>
      </c>
      <c r="E3608" s="25">
        <v>795.7</v>
      </c>
      <c r="F3608" s="25">
        <v>5222488.0</v>
      </c>
    </row>
    <row r="3609">
      <c r="A3609" s="25">
        <v>43700.64583333333</v>
      </c>
      <c r="B3609" s="25">
        <v>796.45</v>
      </c>
      <c r="C3609" s="25">
        <v>809.95</v>
      </c>
      <c r="D3609" s="25">
        <v>795.8</v>
      </c>
      <c r="E3609" s="25">
        <v>802.2</v>
      </c>
      <c r="F3609" s="25">
        <v>6895015.0</v>
      </c>
    </row>
    <row r="3610">
      <c r="A3610" s="25">
        <v>43703.64583333333</v>
      </c>
      <c r="B3610" s="25">
        <v>795.9</v>
      </c>
      <c r="C3610" s="25">
        <v>806.8</v>
      </c>
      <c r="D3610" s="25">
        <v>786.9</v>
      </c>
      <c r="E3610" s="25">
        <v>802.55</v>
      </c>
      <c r="F3610" s="25">
        <v>5412074.0</v>
      </c>
    </row>
    <row r="3611">
      <c r="A3611" s="25">
        <v>43704.64583333333</v>
      </c>
      <c r="B3611" s="25">
        <v>791.0</v>
      </c>
      <c r="C3611" s="25">
        <v>794.95</v>
      </c>
      <c r="D3611" s="25">
        <v>781.1</v>
      </c>
      <c r="E3611" s="25">
        <v>784.65</v>
      </c>
      <c r="F3611" s="25">
        <v>1.6061642E7</v>
      </c>
    </row>
    <row r="3612">
      <c r="A3612" s="25">
        <v>43705.64583333333</v>
      </c>
      <c r="B3612" s="25">
        <v>787.4</v>
      </c>
      <c r="C3612" s="25">
        <v>805.0</v>
      </c>
      <c r="D3612" s="25">
        <v>786.3</v>
      </c>
      <c r="E3612" s="25">
        <v>802.5</v>
      </c>
      <c r="F3612" s="25">
        <v>5881134.0</v>
      </c>
    </row>
    <row r="3613">
      <c r="A3613" s="25">
        <v>43706.64583333333</v>
      </c>
      <c r="B3613" s="25">
        <v>795.5</v>
      </c>
      <c r="C3613" s="25">
        <v>809.7</v>
      </c>
      <c r="D3613" s="25">
        <v>795.5</v>
      </c>
      <c r="E3613" s="25">
        <v>806.95</v>
      </c>
      <c r="F3613" s="25">
        <v>7830413.0</v>
      </c>
    </row>
    <row r="3614">
      <c r="A3614" s="25">
        <v>43707.64583333333</v>
      </c>
      <c r="B3614" s="25">
        <v>810.0</v>
      </c>
      <c r="C3614" s="25">
        <v>817.35</v>
      </c>
      <c r="D3614" s="25">
        <v>802.0</v>
      </c>
      <c r="E3614" s="25">
        <v>814.9</v>
      </c>
      <c r="F3614" s="25">
        <v>8174186.0</v>
      </c>
    </row>
    <row r="3615">
      <c r="A3615" s="25">
        <v>43711.64583333333</v>
      </c>
      <c r="B3615" s="25">
        <v>815.0</v>
      </c>
      <c r="C3615" s="25">
        <v>822.4</v>
      </c>
      <c r="D3615" s="25">
        <v>812.05</v>
      </c>
      <c r="E3615" s="25">
        <v>814.25</v>
      </c>
      <c r="F3615" s="25">
        <v>5647088.0</v>
      </c>
    </row>
    <row r="3616">
      <c r="A3616" s="25">
        <v>43712.64583333333</v>
      </c>
      <c r="B3616" s="25">
        <v>810.75</v>
      </c>
      <c r="C3616" s="25">
        <v>822.45</v>
      </c>
      <c r="D3616" s="25">
        <v>810.25</v>
      </c>
      <c r="E3616" s="25">
        <v>821.3</v>
      </c>
      <c r="F3616" s="25">
        <v>6199015.0</v>
      </c>
    </row>
    <row r="3617">
      <c r="A3617" s="25">
        <v>43713.64583333333</v>
      </c>
      <c r="B3617" s="25">
        <v>830.1</v>
      </c>
      <c r="C3617" s="25">
        <v>837.5</v>
      </c>
      <c r="D3617" s="25">
        <v>826.65</v>
      </c>
      <c r="E3617" s="25">
        <v>834.05</v>
      </c>
      <c r="F3617" s="25">
        <v>7926895.0</v>
      </c>
    </row>
    <row r="3618">
      <c r="A3618" s="25">
        <v>43714.64583333333</v>
      </c>
      <c r="B3618" s="25">
        <v>843.3</v>
      </c>
      <c r="C3618" s="25">
        <v>847.0</v>
      </c>
      <c r="D3618" s="25">
        <v>835.05</v>
      </c>
      <c r="E3618" s="25">
        <v>840.15</v>
      </c>
      <c r="F3618" s="25">
        <v>6106841.0</v>
      </c>
    </row>
    <row r="3619">
      <c r="A3619" s="25">
        <v>43717.64583333333</v>
      </c>
      <c r="B3619" s="25">
        <v>836.8</v>
      </c>
      <c r="C3619" s="25">
        <v>840.3</v>
      </c>
      <c r="D3619" s="25">
        <v>827.55</v>
      </c>
      <c r="E3619" s="25">
        <v>829.1</v>
      </c>
      <c r="F3619" s="25">
        <v>4377870.0</v>
      </c>
    </row>
    <row r="3620">
      <c r="A3620" s="25">
        <v>43719.64583333333</v>
      </c>
      <c r="B3620" s="25">
        <v>822.3</v>
      </c>
      <c r="C3620" s="25">
        <v>828.55</v>
      </c>
      <c r="D3620" s="25">
        <v>814.15</v>
      </c>
      <c r="E3620" s="25">
        <v>820.1</v>
      </c>
      <c r="F3620" s="25">
        <v>7981036.0</v>
      </c>
    </row>
    <row r="3621">
      <c r="A3621" s="25">
        <v>43720.64583333333</v>
      </c>
      <c r="B3621" s="25">
        <v>816.4</v>
      </c>
      <c r="C3621" s="25">
        <v>819.85</v>
      </c>
      <c r="D3621" s="25">
        <v>810.85</v>
      </c>
      <c r="E3621" s="25">
        <v>816.4</v>
      </c>
      <c r="F3621" s="25">
        <v>4400017.0</v>
      </c>
    </row>
    <row r="3622">
      <c r="A3622" s="25">
        <v>43721.64583333333</v>
      </c>
      <c r="B3622" s="25">
        <v>818.1</v>
      </c>
      <c r="C3622" s="25">
        <v>831.05</v>
      </c>
      <c r="D3622" s="25">
        <v>817.5</v>
      </c>
      <c r="E3622" s="25">
        <v>829.3</v>
      </c>
      <c r="F3622" s="25">
        <v>4832021.0</v>
      </c>
    </row>
    <row r="3623">
      <c r="A3623" s="25">
        <v>43724.64583333333</v>
      </c>
      <c r="B3623" s="25">
        <v>832.05</v>
      </c>
      <c r="C3623" s="25">
        <v>837.95</v>
      </c>
      <c r="D3623" s="25">
        <v>820.55</v>
      </c>
      <c r="E3623" s="25">
        <v>827.7</v>
      </c>
      <c r="F3623" s="25">
        <v>4846496.0</v>
      </c>
    </row>
    <row r="3624">
      <c r="A3624" s="25">
        <v>43725.64583333333</v>
      </c>
      <c r="B3624" s="25">
        <v>831.5</v>
      </c>
      <c r="C3624" s="25">
        <v>835.0</v>
      </c>
      <c r="D3624" s="25">
        <v>820.55</v>
      </c>
      <c r="E3624" s="25">
        <v>831.25</v>
      </c>
      <c r="F3624" s="25">
        <v>5540901.0</v>
      </c>
    </row>
    <row r="3625">
      <c r="A3625" s="25">
        <v>43726.64583333333</v>
      </c>
      <c r="B3625" s="25">
        <v>829.9</v>
      </c>
      <c r="C3625" s="25">
        <v>832.95</v>
      </c>
      <c r="D3625" s="25">
        <v>824.0</v>
      </c>
      <c r="E3625" s="25">
        <v>829.85</v>
      </c>
      <c r="F3625" s="25">
        <v>3199389.0</v>
      </c>
    </row>
    <row r="3626">
      <c r="A3626" s="25">
        <v>43727.64583333333</v>
      </c>
      <c r="B3626" s="25">
        <v>824.85</v>
      </c>
      <c r="C3626" s="25">
        <v>827.0</v>
      </c>
      <c r="D3626" s="25">
        <v>815.2</v>
      </c>
      <c r="E3626" s="25">
        <v>820.7</v>
      </c>
      <c r="F3626" s="25">
        <v>6601607.0</v>
      </c>
    </row>
    <row r="3627">
      <c r="A3627" s="25">
        <v>43728.64583333333</v>
      </c>
      <c r="B3627" s="25">
        <v>822.9</v>
      </c>
      <c r="C3627" s="25">
        <v>835.0</v>
      </c>
      <c r="D3627" s="25">
        <v>802.0</v>
      </c>
      <c r="E3627" s="25">
        <v>805.0</v>
      </c>
      <c r="F3627" s="25">
        <v>2.2462366E7</v>
      </c>
    </row>
    <row r="3628">
      <c r="A3628" s="25">
        <v>43731.64583333333</v>
      </c>
      <c r="B3628" s="25">
        <v>806.9</v>
      </c>
      <c r="C3628" s="25">
        <v>806.9</v>
      </c>
      <c r="D3628" s="25">
        <v>741.9</v>
      </c>
      <c r="E3628" s="25">
        <v>764.35</v>
      </c>
      <c r="F3628" s="25">
        <v>1.727926E7</v>
      </c>
    </row>
    <row r="3629">
      <c r="A3629" s="25">
        <v>43732.64583333333</v>
      </c>
      <c r="B3629" s="25">
        <v>765.0</v>
      </c>
      <c r="C3629" s="25">
        <v>798.65</v>
      </c>
      <c r="D3629" s="25">
        <v>765.0</v>
      </c>
      <c r="E3629" s="25">
        <v>794.05</v>
      </c>
      <c r="F3629" s="25">
        <v>1.3717998E7</v>
      </c>
    </row>
    <row r="3630">
      <c r="A3630" s="25">
        <v>43733.64583333333</v>
      </c>
      <c r="B3630" s="25">
        <v>787.7</v>
      </c>
      <c r="C3630" s="25">
        <v>801.0</v>
      </c>
      <c r="D3630" s="25">
        <v>781.65</v>
      </c>
      <c r="E3630" s="25">
        <v>792.65</v>
      </c>
      <c r="F3630" s="25">
        <v>9313576.0</v>
      </c>
    </row>
    <row r="3631">
      <c r="A3631" s="25">
        <v>43734.64583333333</v>
      </c>
      <c r="B3631" s="25">
        <v>787.75</v>
      </c>
      <c r="C3631" s="25">
        <v>797.0</v>
      </c>
      <c r="D3631" s="25">
        <v>778.1</v>
      </c>
      <c r="E3631" s="25">
        <v>782.55</v>
      </c>
      <c r="F3631" s="25">
        <v>1.8442824E7</v>
      </c>
    </row>
    <row r="3632">
      <c r="A3632" s="25">
        <v>43735.64583333333</v>
      </c>
      <c r="B3632" s="25">
        <v>787.05</v>
      </c>
      <c r="C3632" s="25">
        <v>794.25</v>
      </c>
      <c r="D3632" s="25">
        <v>780.1</v>
      </c>
      <c r="E3632" s="25">
        <v>782.2</v>
      </c>
      <c r="F3632" s="25">
        <v>5087642.0</v>
      </c>
    </row>
    <row r="3633">
      <c r="A3633" s="25">
        <v>43738.64583333333</v>
      </c>
      <c r="B3633" s="25">
        <v>785.1</v>
      </c>
      <c r="C3633" s="25">
        <v>808.0</v>
      </c>
      <c r="D3633" s="25">
        <v>784.15</v>
      </c>
      <c r="E3633" s="25">
        <v>805.65</v>
      </c>
      <c r="F3633" s="25">
        <v>8178091.0</v>
      </c>
    </row>
    <row r="3634">
      <c r="A3634" s="25">
        <v>43739.64583333333</v>
      </c>
      <c r="B3634" s="25">
        <v>807.0</v>
      </c>
      <c r="C3634" s="25">
        <v>807.55</v>
      </c>
      <c r="D3634" s="25">
        <v>791.55</v>
      </c>
      <c r="E3634" s="25">
        <v>793.55</v>
      </c>
      <c r="F3634" s="25">
        <v>5881438.0</v>
      </c>
    </row>
    <row r="3635">
      <c r="A3635" s="25">
        <v>43741.64583333333</v>
      </c>
      <c r="B3635" s="25">
        <v>792.55</v>
      </c>
      <c r="C3635" s="25">
        <v>797.85</v>
      </c>
      <c r="D3635" s="25">
        <v>784.15</v>
      </c>
      <c r="E3635" s="25">
        <v>785.6</v>
      </c>
      <c r="F3635" s="25">
        <v>5497672.0</v>
      </c>
    </row>
    <row r="3636">
      <c r="A3636" s="25">
        <v>43742.64583333333</v>
      </c>
      <c r="B3636" s="25">
        <v>790.0</v>
      </c>
      <c r="C3636" s="25">
        <v>797.6</v>
      </c>
      <c r="D3636" s="25">
        <v>787.05</v>
      </c>
      <c r="E3636" s="25">
        <v>793.45</v>
      </c>
      <c r="F3636" s="25">
        <v>8201713.0</v>
      </c>
    </row>
    <row r="3637">
      <c r="A3637" s="25">
        <v>43745.64583333333</v>
      </c>
      <c r="B3637" s="25">
        <v>794.85</v>
      </c>
      <c r="C3637" s="25">
        <v>802.0</v>
      </c>
      <c r="D3637" s="25">
        <v>786.1</v>
      </c>
      <c r="E3637" s="25">
        <v>789.55</v>
      </c>
      <c r="F3637" s="25">
        <v>3679845.0</v>
      </c>
    </row>
    <row r="3638">
      <c r="A3638" s="25">
        <v>43747.64583333333</v>
      </c>
      <c r="B3638" s="25">
        <v>795.45</v>
      </c>
      <c r="C3638" s="25">
        <v>795.9</v>
      </c>
      <c r="D3638" s="25">
        <v>778.8</v>
      </c>
      <c r="E3638" s="25">
        <v>783.65</v>
      </c>
      <c r="F3638" s="25">
        <v>6335025.0</v>
      </c>
    </row>
    <row r="3639">
      <c r="A3639" s="25">
        <v>43748.64583333333</v>
      </c>
      <c r="B3639" s="25">
        <v>785.4</v>
      </c>
      <c r="C3639" s="25">
        <v>794.7</v>
      </c>
      <c r="D3639" s="25">
        <v>776.6</v>
      </c>
      <c r="E3639" s="25">
        <v>783.05</v>
      </c>
      <c r="F3639" s="25">
        <v>1.0402917E7</v>
      </c>
    </row>
    <row r="3640">
      <c r="A3640" s="25">
        <v>43749.64583333333</v>
      </c>
      <c r="B3640" s="25">
        <v>781.5</v>
      </c>
      <c r="C3640" s="25">
        <v>823.8</v>
      </c>
      <c r="D3640" s="25">
        <v>776.6</v>
      </c>
      <c r="E3640" s="25">
        <v>814.8</v>
      </c>
      <c r="F3640" s="25">
        <v>2.0636344E7</v>
      </c>
    </row>
    <row r="3641">
      <c r="A3641" s="25">
        <v>43752.64583333333</v>
      </c>
      <c r="B3641" s="25">
        <v>786.75</v>
      </c>
      <c r="C3641" s="25">
        <v>797.0</v>
      </c>
      <c r="D3641" s="25">
        <v>780.0</v>
      </c>
      <c r="E3641" s="25">
        <v>786.1</v>
      </c>
      <c r="F3641" s="25">
        <v>1.5150858E7</v>
      </c>
    </row>
    <row r="3642">
      <c r="A3642" s="25">
        <v>43753.64583333333</v>
      </c>
      <c r="B3642" s="25">
        <v>773.1</v>
      </c>
      <c r="C3642" s="25">
        <v>775.95</v>
      </c>
      <c r="D3642" s="25">
        <v>765.0</v>
      </c>
      <c r="E3642" s="25">
        <v>768.3</v>
      </c>
      <c r="F3642" s="25">
        <v>1.3762133E7</v>
      </c>
    </row>
    <row r="3643">
      <c r="A3643" s="25">
        <v>43754.64583333333</v>
      </c>
      <c r="B3643" s="25">
        <v>765.25</v>
      </c>
      <c r="C3643" s="25">
        <v>775.95</v>
      </c>
      <c r="D3643" s="25">
        <v>761.55</v>
      </c>
      <c r="E3643" s="25">
        <v>771.45</v>
      </c>
      <c r="F3643" s="25">
        <v>1.0767032E7</v>
      </c>
    </row>
    <row r="3644">
      <c r="A3644" s="25">
        <v>43755.64583333333</v>
      </c>
      <c r="B3644" s="25">
        <v>767.0</v>
      </c>
      <c r="C3644" s="25">
        <v>770.55</v>
      </c>
      <c r="D3644" s="25">
        <v>765.1</v>
      </c>
      <c r="E3644" s="25">
        <v>769.5</v>
      </c>
      <c r="F3644" s="25">
        <v>9860495.0</v>
      </c>
    </row>
    <row r="3645">
      <c r="A3645" s="25">
        <v>43756.64583333333</v>
      </c>
      <c r="B3645" s="25">
        <v>763.8</v>
      </c>
      <c r="C3645" s="25">
        <v>773.8</v>
      </c>
      <c r="D3645" s="25">
        <v>760.0</v>
      </c>
      <c r="E3645" s="25">
        <v>767.85</v>
      </c>
      <c r="F3645" s="25">
        <v>1.00372E7</v>
      </c>
    </row>
    <row r="3646">
      <c r="A3646" s="25">
        <v>43760.64583333333</v>
      </c>
      <c r="B3646" s="25">
        <v>691.1</v>
      </c>
      <c r="C3646" s="25">
        <v>691.1</v>
      </c>
      <c r="D3646" s="25">
        <v>638.35</v>
      </c>
      <c r="E3646" s="25">
        <v>643.55</v>
      </c>
      <c r="F3646" s="25">
        <v>9.0152532E7</v>
      </c>
    </row>
    <row r="3647">
      <c r="A3647" s="25">
        <v>43761.64583333333</v>
      </c>
      <c r="B3647" s="25">
        <v>630.0</v>
      </c>
      <c r="C3647" s="25">
        <v>656.65</v>
      </c>
      <c r="D3647" s="25">
        <v>615.1</v>
      </c>
      <c r="E3647" s="25">
        <v>650.6</v>
      </c>
      <c r="F3647" s="25">
        <v>6.0516887E7</v>
      </c>
    </row>
    <row r="3648">
      <c r="A3648" s="25">
        <v>43762.64583333333</v>
      </c>
      <c r="B3648" s="25">
        <v>650.0</v>
      </c>
      <c r="C3648" s="25">
        <v>653.2</v>
      </c>
      <c r="D3648" s="25">
        <v>632.0</v>
      </c>
      <c r="E3648" s="25">
        <v>635.35</v>
      </c>
      <c r="F3648" s="25">
        <v>2.5666433E7</v>
      </c>
    </row>
    <row r="3649">
      <c r="A3649" s="25">
        <v>43763.79166666667</v>
      </c>
      <c r="B3649" s="25">
        <v>647.0</v>
      </c>
      <c r="C3649" s="25">
        <v>652.5</v>
      </c>
      <c r="D3649" s="25">
        <v>636.0</v>
      </c>
      <c r="E3649" s="25">
        <v>637.45</v>
      </c>
      <c r="F3649" s="25">
        <v>1.6549337E7</v>
      </c>
    </row>
    <row r="3650">
      <c r="A3650" s="25">
        <v>43765.80902777778</v>
      </c>
      <c r="B3650" s="25">
        <v>651.1</v>
      </c>
      <c r="C3650" s="25">
        <v>652.5</v>
      </c>
      <c r="D3650" s="25">
        <v>645.55</v>
      </c>
      <c r="E3650" s="25">
        <v>649.95</v>
      </c>
      <c r="F3650" s="25">
        <v>2945281.0</v>
      </c>
    </row>
    <row r="3651">
      <c r="A3651" s="25">
        <v>43767.64583333333</v>
      </c>
      <c r="B3651" s="25">
        <v>651.0</v>
      </c>
      <c r="C3651" s="25">
        <v>653.75</v>
      </c>
      <c r="D3651" s="25">
        <v>647.0</v>
      </c>
      <c r="E3651" s="25">
        <v>650.65</v>
      </c>
      <c r="F3651" s="25">
        <v>1.6709764E7</v>
      </c>
    </row>
    <row r="3652">
      <c r="A3652" s="25">
        <v>43768.64583333333</v>
      </c>
      <c r="B3652" s="25">
        <v>660.4</v>
      </c>
      <c r="C3652" s="25">
        <v>671.4</v>
      </c>
      <c r="D3652" s="25">
        <v>656.2</v>
      </c>
      <c r="E3652" s="25">
        <v>660.6</v>
      </c>
      <c r="F3652" s="25">
        <v>2.2879467E7</v>
      </c>
    </row>
    <row r="3653">
      <c r="A3653" s="25">
        <v>43769.64583333333</v>
      </c>
      <c r="B3653" s="25">
        <v>668.4</v>
      </c>
      <c r="C3653" s="25">
        <v>695.45</v>
      </c>
      <c r="D3653" s="25">
        <v>666.1</v>
      </c>
      <c r="E3653" s="25">
        <v>685.6</v>
      </c>
      <c r="F3653" s="25">
        <v>2.7405901E7</v>
      </c>
    </row>
    <row r="3654">
      <c r="A3654" s="25">
        <v>43770.64583333333</v>
      </c>
      <c r="B3654" s="25">
        <v>690.0</v>
      </c>
      <c r="C3654" s="25">
        <v>694.0</v>
      </c>
      <c r="D3654" s="25">
        <v>682.6</v>
      </c>
      <c r="E3654" s="25">
        <v>687.9</v>
      </c>
      <c r="F3654" s="25">
        <v>9713519.0</v>
      </c>
    </row>
    <row r="3655">
      <c r="A3655" s="25">
        <v>43773.64583333333</v>
      </c>
      <c r="B3655" s="25">
        <v>681.8</v>
      </c>
      <c r="C3655" s="25">
        <v>732.5</v>
      </c>
      <c r="D3655" s="25">
        <v>678.15</v>
      </c>
      <c r="E3655" s="25">
        <v>709.0</v>
      </c>
      <c r="F3655" s="25">
        <v>2.9381982E7</v>
      </c>
    </row>
    <row r="3656">
      <c r="A3656" s="25">
        <v>43774.64583333333</v>
      </c>
      <c r="B3656" s="25">
        <v>708.75</v>
      </c>
      <c r="C3656" s="25">
        <v>708.75</v>
      </c>
      <c r="D3656" s="25">
        <v>691.5</v>
      </c>
      <c r="E3656" s="25">
        <v>696.1</v>
      </c>
      <c r="F3656" s="25">
        <v>1.2897805E7</v>
      </c>
    </row>
    <row r="3657">
      <c r="A3657" s="25">
        <v>43775.64583333333</v>
      </c>
      <c r="B3657" s="25">
        <v>695.8</v>
      </c>
      <c r="C3657" s="25">
        <v>721.5</v>
      </c>
      <c r="D3657" s="25">
        <v>692.0</v>
      </c>
      <c r="E3657" s="25">
        <v>712.3</v>
      </c>
      <c r="F3657" s="25">
        <v>2.1372589E7</v>
      </c>
    </row>
    <row r="3658">
      <c r="A3658" s="25">
        <v>43776.64583333333</v>
      </c>
      <c r="B3658" s="25">
        <v>717.0</v>
      </c>
      <c r="C3658" s="25">
        <v>724.35</v>
      </c>
      <c r="D3658" s="25">
        <v>712.1</v>
      </c>
      <c r="E3658" s="25">
        <v>720.1</v>
      </c>
      <c r="F3658" s="25">
        <v>1.3733737E7</v>
      </c>
    </row>
    <row r="3659">
      <c r="A3659" s="25">
        <v>43777.64583333333</v>
      </c>
      <c r="B3659" s="25">
        <v>722.0</v>
      </c>
      <c r="C3659" s="25">
        <v>724.25</v>
      </c>
      <c r="D3659" s="25">
        <v>705.5</v>
      </c>
      <c r="E3659" s="25">
        <v>708.15</v>
      </c>
      <c r="F3659" s="25">
        <v>8585630.0</v>
      </c>
    </row>
    <row r="3660">
      <c r="A3660" s="25">
        <v>43780.64583333333</v>
      </c>
      <c r="B3660" s="25">
        <v>698.9</v>
      </c>
      <c r="C3660" s="25">
        <v>707.2</v>
      </c>
      <c r="D3660" s="25">
        <v>698.0</v>
      </c>
      <c r="E3660" s="25">
        <v>704.4</v>
      </c>
      <c r="F3660" s="25">
        <v>6951494.0</v>
      </c>
    </row>
    <row r="3661">
      <c r="A3661" s="25">
        <v>43782.64583333333</v>
      </c>
      <c r="B3661" s="25">
        <v>696.5</v>
      </c>
      <c r="C3661" s="25">
        <v>700.0</v>
      </c>
      <c r="D3661" s="25">
        <v>687.75</v>
      </c>
      <c r="E3661" s="25">
        <v>691.35</v>
      </c>
      <c r="F3661" s="25">
        <v>9973690.0</v>
      </c>
    </row>
    <row r="3662">
      <c r="A3662" s="25">
        <v>43783.64583333333</v>
      </c>
      <c r="B3662" s="25">
        <v>696.35</v>
      </c>
      <c r="C3662" s="25">
        <v>709.8</v>
      </c>
      <c r="D3662" s="25">
        <v>696.35</v>
      </c>
      <c r="E3662" s="25">
        <v>705.3</v>
      </c>
      <c r="F3662" s="25">
        <v>1.0539902E7</v>
      </c>
    </row>
    <row r="3663">
      <c r="A3663" s="25">
        <v>43784.64583333333</v>
      </c>
      <c r="B3663" s="25">
        <v>709.05</v>
      </c>
      <c r="C3663" s="25">
        <v>712.95</v>
      </c>
      <c r="D3663" s="25">
        <v>702.3</v>
      </c>
      <c r="E3663" s="25">
        <v>703.9</v>
      </c>
      <c r="F3663" s="25">
        <v>7362623.0</v>
      </c>
    </row>
    <row r="3664">
      <c r="A3664" s="25">
        <v>43787.64583333333</v>
      </c>
      <c r="B3664" s="25">
        <v>705.0</v>
      </c>
      <c r="C3664" s="25">
        <v>710.0</v>
      </c>
      <c r="D3664" s="25">
        <v>699.3</v>
      </c>
      <c r="E3664" s="25">
        <v>705.2</v>
      </c>
      <c r="F3664" s="25">
        <v>7490916.0</v>
      </c>
    </row>
    <row r="3665">
      <c r="A3665" s="25">
        <v>43788.64583333333</v>
      </c>
      <c r="B3665" s="25">
        <v>709.9</v>
      </c>
      <c r="C3665" s="25">
        <v>714.0</v>
      </c>
      <c r="D3665" s="25">
        <v>705.0</v>
      </c>
      <c r="E3665" s="25">
        <v>712.85</v>
      </c>
      <c r="F3665" s="25">
        <v>6495885.0</v>
      </c>
    </row>
    <row r="3666">
      <c r="A3666" s="25">
        <v>43789.64583333333</v>
      </c>
      <c r="B3666" s="25">
        <v>712.8</v>
      </c>
      <c r="C3666" s="25">
        <v>715.0</v>
      </c>
      <c r="D3666" s="25">
        <v>705.0</v>
      </c>
      <c r="E3666" s="25">
        <v>713.0</v>
      </c>
      <c r="F3666" s="25">
        <v>6142171.0</v>
      </c>
    </row>
    <row r="3667">
      <c r="A3667" s="25">
        <v>43790.64583333333</v>
      </c>
      <c r="B3667" s="25">
        <v>715.5</v>
      </c>
      <c r="C3667" s="25">
        <v>721.45</v>
      </c>
      <c r="D3667" s="25">
        <v>710.5</v>
      </c>
      <c r="E3667" s="25">
        <v>713.25</v>
      </c>
      <c r="F3667" s="25">
        <v>9692973.0</v>
      </c>
    </row>
    <row r="3668">
      <c r="A3668" s="25">
        <v>43791.64583333333</v>
      </c>
      <c r="B3668" s="25">
        <v>711.75</v>
      </c>
      <c r="C3668" s="25">
        <v>712.0</v>
      </c>
      <c r="D3668" s="25">
        <v>685.1</v>
      </c>
      <c r="E3668" s="25">
        <v>693.2</v>
      </c>
      <c r="F3668" s="25">
        <v>1.4415826E7</v>
      </c>
    </row>
    <row r="3669">
      <c r="A3669" s="25">
        <v>43794.64583333333</v>
      </c>
      <c r="B3669" s="25">
        <v>693.35</v>
      </c>
      <c r="C3669" s="25">
        <v>705.15</v>
      </c>
      <c r="D3669" s="25">
        <v>693.2</v>
      </c>
      <c r="E3669" s="25">
        <v>698.1</v>
      </c>
      <c r="F3669" s="25">
        <v>7334511.0</v>
      </c>
    </row>
    <row r="3670">
      <c r="A3670" s="25">
        <v>43795.64583333333</v>
      </c>
      <c r="B3670" s="25">
        <v>705.0</v>
      </c>
      <c r="C3670" s="25">
        <v>707.25</v>
      </c>
      <c r="D3670" s="25">
        <v>686.0</v>
      </c>
      <c r="E3670" s="25">
        <v>690.6</v>
      </c>
      <c r="F3670" s="25">
        <v>2.7253106E7</v>
      </c>
    </row>
    <row r="3671">
      <c r="A3671" s="25">
        <v>43796.64583333333</v>
      </c>
      <c r="B3671" s="25">
        <v>694.25</v>
      </c>
      <c r="C3671" s="25">
        <v>697.65</v>
      </c>
      <c r="D3671" s="25">
        <v>690.1</v>
      </c>
      <c r="E3671" s="25">
        <v>695.75</v>
      </c>
      <c r="F3671" s="25">
        <v>3861635.0</v>
      </c>
    </row>
    <row r="3672">
      <c r="A3672" s="25">
        <v>43797.64583333333</v>
      </c>
      <c r="B3672" s="25">
        <v>699.1</v>
      </c>
      <c r="C3672" s="25">
        <v>703.35</v>
      </c>
      <c r="D3672" s="25">
        <v>694.05</v>
      </c>
      <c r="E3672" s="25">
        <v>701.85</v>
      </c>
      <c r="F3672" s="25">
        <v>4837683.0</v>
      </c>
    </row>
    <row r="3673">
      <c r="A3673" s="25">
        <v>43798.64583333333</v>
      </c>
      <c r="B3673" s="25">
        <v>700.9</v>
      </c>
      <c r="C3673" s="25">
        <v>702.3</v>
      </c>
      <c r="D3673" s="25">
        <v>691.55</v>
      </c>
      <c r="E3673" s="25">
        <v>696.35</v>
      </c>
      <c r="F3673" s="25">
        <v>4262379.0</v>
      </c>
    </row>
    <row r="3674">
      <c r="A3674" s="25">
        <v>43801.64583333333</v>
      </c>
      <c r="B3674" s="25">
        <v>703.1</v>
      </c>
      <c r="C3674" s="25">
        <v>0.0</v>
      </c>
      <c r="D3674" s="25">
        <v>0.0</v>
      </c>
      <c r="E3674" s="25">
        <v>695.8</v>
      </c>
      <c r="F3674" s="25">
        <v>0.0</v>
      </c>
    </row>
    <row r="3675">
      <c r="A3675" s="25">
        <v>43802.64583333333</v>
      </c>
      <c r="B3675" s="25">
        <v>692.7</v>
      </c>
      <c r="C3675" s="25">
        <v>699.7</v>
      </c>
      <c r="D3675" s="25">
        <v>688.55</v>
      </c>
      <c r="E3675" s="25">
        <v>698.35</v>
      </c>
      <c r="F3675" s="25">
        <v>5239013.0</v>
      </c>
    </row>
    <row r="3676">
      <c r="A3676" s="25">
        <v>43803.64583333333</v>
      </c>
      <c r="B3676" s="25">
        <v>697.0</v>
      </c>
      <c r="C3676" s="25">
        <v>710.5</v>
      </c>
      <c r="D3676" s="25">
        <v>693.35</v>
      </c>
      <c r="E3676" s="25">
        <v>708.85</v>
      </c>
      <c r="F3676" s="25">
        <v>7427886.0</v>
      </c>
    </row>
    <row r="3677">
      <c r="A3677" s="25">
        <v>43804.64583333333</v>
      </c>
      <c r="B3677" s="25">
        <v>706.45</v>
      </c>
      <c r="C3677" s="25">
        <v>715.9</v>
      </c>
      <c r="D3677" s="25">
        <v>703.8</v>
      </c>
      <c r="E3677" s="25">
        <v>714.85</v>
      </c>
      <c r="F3677" s="25">
        <v>4814422.0</v>
      </c>
    </row>
    <row r="3678">
      <c r="A3678" s="25">
        <v>43805.64583333333</v>
      </c>
      <c r="B3678" s="25">
        <v>715.95</v>
      </c>
      <c r="C3678" s="25">
        <v>720.0</v>
      </c>
      <c r="D3678" s="25">
        <v>709.6</v>
      </c>
      <c r="E3678" s="25">
        <v>715.1</v>
      </c>
      <c r="F3678" s="25">
        <v>5226096.0</v>
      </c>
    </row>
    <row r="3679">
      <c r="A3679" s="25">
        <v>43808.64583333333</v>
      </c>
      <c r="B3679" s="25">
        <v>716.0</v>
      </c>
      <c r="C3679" s="25">
        <v>722.35</v>
      </c>
      <c r="D3679" s="25">
        <v>714.25</v>
      </c>
      <c r="E3679" s="25">
        <v>717.25</v>
      </c>
      <c r="F3679" s="25">
        <v>6435865.0</v>
      </c>
    </row>
    <row r="3680">
      <c r="A3680" s="25">
        <v>43809.64583333333</v>
      </c>
      <c r="B3680" s="25">
        <v>713.0</v>
      </c>
      <c r="C3680" s="25">
        <v>718.5</v>
      </c>
      <c r="D3680" s="25">
        <v>710.0</v>
      </c>
      <c r="E3680" s="25">
        <v>714.55</v>
      </c>
      <c r="F3680" s="25">
        <v>4457939.0</v>
      </c>
    </row>
    <row r="3681">
      <c r="A3681" s="25">
        <v>43810.64583333333</v>
      </c>
      <c r="B3681" s="25">
        <v>716.6</v>
      </c>
      <c r="C3681" s="25">
        <v>722.7</v>
      </c>
      <c r="D3681" s="25">
        <v>713.0</v>
      </c>
      <c r="E3681" s="25">
        <v>721.05</v>
      </c>
      <c r="F3681" s="25">
        <v>6043554.0</v>
      </c>
    </row>
    <row r="3682">
      <c r="A3682" s="25">
        <v>43811.64583333333</v>
      </c>
      <c r="B3682" s="25">
        <v>718.5</v>
      </c>
      <c r="C3682" s="25">
        <v>720.7</v>
      </c>
      <c r="D3682" s="25">
        <v>699.55</v>
      </c>
      <c r="E3682" s="25">
        <v>702.1</v>
      </c>
      <c r="F3682" s="25">
        <v>1.1112042E7</v>
      </c>
    </row>
    <row r="3683">
      <c r="A3683" s="25">
        <v>43812.64583333333</v>
      </c>
      <c r="B3683" s="25">
        <v>700.35</v>
      </c>
      <c r="C3683" s="25">
        <v>712.9</v>
      </c>
      <c r="D3683" s="25">
        <v>700.35</v>
      </c>
      <c r="E3683" s="25">
        <v>711.3</v>
      </c>
      <c r="F3683" s="25">
        <v>1.0302412E7</v>
      </c>
    </row>
    <row r="3684">
      <c r="A3684" s="25">
        <v>43815.64583333333</v>
      </c>
      <c r="B3684" s="25">
        <v>712.3</v>
      </c>
      <c r="C3684" s="25">
        <v>720.2</v>
      </c>
      <c r="D3684" s="25">
        <v>710.2</v>
      </c>
      <c r="E3684" s="25">
        <v>714.0</v>
      </c>
      <c r="F3684" s="25">
        <v>5616324.0</v>
      </c>
    </row>
    <row r="3685">
      <c r="A3685" s="25">
        <v>43816.64583333333</v>
      </c>
      <c r="B3685" s="25">
        <v>719.7</v>
      </c>
      <c r="C3685" s="25">
        <v>731.25</v>
      </c>
      <c r="D3685" s="25">
        <v>715.0</v>
      </c>
      <c r="E3685" s="25">
        <v>729.7</v>
      </c>
      <c r="F3685" s="25">
        <v>1.0525565E7</v>
      </c>
    </row>
    <row r="3686">
      <c r="A3686" s="25">
        <v>43817.64583333333</v>
      </c>
      <c r="B3686" s="25">
        <v>731.0</v>
      </c>
      <c r="C3686" s="25">
        <v>737.3</v>
      </c>
      <c r="D3686" s="25">
        <v>722.75</v>
      </c>
      <c r="E3686" s="25">
        <v>732.45</v>
      </c>
      <c r="F3686" s="25">
        <v>1.2215295E7</v>
      </c>
    </row>
    <row r="3687">
      <c r="A3687" s="25">
        <v>43818.64583333333</v>
      </c>
      <c r="B3687" s="25">
        <v>733.5</v>
      </c>
      <c r="C3687" s="25">
        <v>735.95</v>
      </c>
      <c r="D3687" s="25">
        <v>724.6</v>
      </c>
      <c r="E3687" s="25">
        <v>730.85</v>
      </c>
      <c r="F3687" s="25">
        <v>7199210.0</v>
      </c>
    </row>
    <row r="3688">
      <c r="A3688" s="25">
        <v>43819.64583333333</v>
      </c>
      <c r="B3688" s="25">
        <v>731.0</v>
      </c>
      <c r="C3688" s="25">
        <v>735.0</v>
      </c>
      <c r="D3688" s="25">
        <v>728.25</v>
      </c>
      <c r="E3688" s="25">
        <v>731.55</v>
      </c>
      <c r="F3688" s="25">
        <v>7794167.0</v>
      </c>
    </row>
    <row r="3689">
      <c r="A3689" s="25">
        <v>43822.64583333333</v>
      </c>
      <c r="B3689" s="25">
        <v>732.15</v>
      </c>
      <c r="C3689" s="25">
        <v>737.3</v>
      </c>
      <c r="D3689" s="25">
        <v>731.65</v>
      </c>
      <c r="E3689" s="25">
        <v>736.0</v>
      </c>
      <c r="F3689" s="25">
        <v>4975608.0</v>
      </c>
    </row>
    <row r="3690">
      <c r="A3690" s="25">
        <v>43823.64583333333</v>
      </c>
      <c r="B3690" s="25">
        <v>736.95</v>
      </c>
      <c r="C3690" s="25">
        <v>736.95</v>
      </c>
      <c r="D3690" s="25">
        <v>728.3</v>
      </c>
      <c r="E3690" s="25">
        <v>733.4</v>
      </c>
      <c r="F3690" s="25">
        <v>2890759.0</v>
      </c>
    </row>
    <row r="3691">
      <c r="A3691" s="25">
        <v>43825.64583333333</v>
      </c>
      <c r="B3691" s="25">
        <v>732.0</v>
      </c>
      <c r="C3691" s="25">
        <v>734.55</v>
      </c>
      <c r="D3691" s="25">
        <v>726.55</v>
      </c>
      <c r="E3691" s="25">
        <v>728.95</v>
      </c>
      <c r="F3691" s="25">
        <v>3821806.0</v>
      </c>
    </row>
    <row r="3692">
      <c r="A3692" s="25">
        <v>43826.64583333333</v>
      </c>
      <c r="B3692" s="25">
        <v>729.75</v>
      </c>
      <c r="C3692" s="25">
        <v>737.5</v>
      </c>
      <c r="D3692" s="25">
        <v>728.85</v>
      </c>
      <c r="E3692" s="25">
        <v>736.95</v>
      </c>
      <c r="F3692" s="25">
        <v>3399094.0</v>
      </c>
    </row>
    <row r="3693">
      <c r="A3693" s="25">
        <v>43829.64583333333</v>
      </c>
      <c r="B3693" s="25">
        <v>736.1</v>
      </c>
      <c r="C3693" s="25">
        <v>737.95</v>
      </c>
      <c r="D3693" s="25">
        <v>727.25</v>
      </c>
      <c r="E3693" s="25">
        <v>732.9</v>
      </c>
      <c r="F3693" s="25">
        <v>5368416.0</v>
      </c>
    </row>
    <row r="3694">
      <c r="A3694" s="25">
        <v>43830.64583333333</v>
      </c>
      <c r="B3694" s="25">
        <v>729.7</v>
      </c>
      <c r="C3694" s="25">
        <v>737.75</v>
      </c>
      <c r="D3694" s="25">
        <v>725.45</v>
      </c>
      <c r="E3694" s="25">
        <v>731.15</v>
      </c>
      <c r="F3694" s="25">
        <v>6927885.0</v>
      </c>
    </row>
    <row r="3695">
      <c r="A3695" s="25">
        <v>43831.64583333333</v>
      </c>
      <c r="B3695" s="25">
        <v>735.0</v>
      </c>
      <c r="C3695" s="25">
        <v>740.0</v>
      </c>
      <c r="D3695" s="25">
        <v>732.55</v>
      </c>
      <c r="E3695" s="25">
        <v>736.85</v>
      </c>
      <c r="F3695" s="25">
        <v>2112415.0</v>
      </c>
    </row>
    <row r="3696">
      <c r="A3696" s="25">
        <v>43832.64583333333</v>
      </c>
      <c r="B3696" s="25">
        <v>738.9</v>
      </c>
      <c r="C3696" s="25">
        <v>740.8</v>
      </c>
      <c r="D3696" s="25">
        <v>730.9</v>
      </c>
      <c r="E3696" s="25">
        <v>734.7</v>
      </c>
      <c r="F3696" s="25">
        <v>5658200.0</v>
      </c>
    </row>
    <row r="3697">
      <c r="A3697" s="25">
        <v>43833.64583333333</v>
      </c>
      <c r="B3697" s="25">
        <v>733.9</v>
      </c>
      <c r="C3697" s="25">
        <v>748.0</v>
      </c>
      <c r="D3697" s="25">
        <v>733.9</v>
      </c>
      <c r="E3697" s="25">
        <v>746.0</v>
      </c>
      <c r="F3697" s="25">
        <v>7882938.0</v>
      </c>
    </row>
    <row r="3698">
      <c r="A3698" s="25">
        <v>43836.64583333333</v>
      </c>
      <c r="B3698" s="25">
        <v>746.1</v>
      </c>
      <c r="C3698" s="25">
        <v>753.8</v>
      </c>
      <c r="D3698" s="25">
        <v>736.5</v>
      </c>
      <c r="E3698" s="25">
        <v>738.85</v>
      </c>
      <c r="F3698" s="25">
        <v>6519403.0</v>
      </c>
    </row>
    <row r="3699">
      <c r="A3699" s="25">
        <v>43837.64583333333</v>
      </c>
      <c r="B3699" s="25">
        <v>738.0</v>
      </c>
      <c r="C3699" s="25">
        <v>742.6</v>
      </c>
      <c r="D3699" s="25">
        <v>725.1</v>
      </c>
      <c r="E3699" s="25">
        <v>727.9</v>
      </c>
      <c r="F3699" s="25">
        <v>7899363.0</v>
      </c>
    </row>
    <row r="3700">
      <c r="A3700" s="25">
        <v>43838.64583333333</v>
      </c>
      <c r="B3700" s="25">
        <v>724.95</v>
      </c>
      <c r="C3700" s="25">
        <v>729.0</v>
      </c>
      <c r="D3700" s="25">
        <v>708.3</v>
      </c>
      <c r="E3700" s="25">
        <v>718.2</v>
      </c>
      <c r="F3700" s="25">
        <v>8639443.0</v>
      </c>
    </row>
    <row r="3701">
      <c r="A3701" s="25">
        <v>43839.64583333333</v>
      </c>
      <c r="B3701" s="25">
        <v>721.7</v>
      </c>
      <c r="C3701" s="25">
        <v>731.5</v>
      </c>
      <c r="D3701" s="25">
        <v>714.3</v>
      </c>
      <c r="E3701" s="25">
        <v>727.55</v>
      </c>
      <c r="F3701" s="25">
        <v>1.3521186E7</v>
      </c>
    </row>
    <row r="3702">
      <c r="A3702" s="25">
        <v>43840.64583333333</v>
      </c>
      <c r="B3702" s="25">
        <v>740.45</v>
      </c>
      <c r="C3702" s="25">
        <v>742.9</v>
      </c>
      <c r="D3702" s="25">
        <v>730.5</v>
      </c>
      <c r="E3702" s="25">
        <v>738.15</v>
      </c>
      <c r="F3702" s="25">
        <v>9341405.0</v>
      </c>
    </row>
    <row r="3703">
      <c r="A3703" s="25">
        <v>43843.64583333333</v>
      </c>
      <c r="B3703" s="25">
        <v>760.0</v>
      </c>
      <c r="C3703" s="25">
        <v>777.5</v>
      </c>
      <c r="D3703" s="25">
        <v>755.0</v>
      </c>
      <c r="E3703" s="25">
        <v>773.55</v>
      </c>
      <c r="F3703" s="25">
        <v>3.6952038E7</v>
      </c>
    </row>
    <row r="3704">
      <c r="A3704" s="25">
        <v>43844.64583333333</v>
      </c>
      <c r="B3704" s="25">
        <v>769.95</v>
      </c>
      <c r="C3704" s="25">
        <v>776.95</v>
      </c>
      <c r="D3704" s="25">
        <v>767.2</v>
      </c>
      <c r="E3704" s="25">
        <v>775.65</v>
      </c>
      <c r="F3704" s="25">
        <v>1.1414418E7</v>
      </c>
    </row>
    <row r="3705">
      <c r="A3705" s="25">
        <v>43845.64583333333</v>
      </c>
      <c r="B3705" s="25">
        <v>773.85</v>
      </c>
      <c r="C3705" s="25">
        <v>773.85</v>
      </c>
      <c r="D3705" s="25">
        <v>762.15</v>
      </c>
      <c r="E3705" s="25">
        <v>767.55</v>
      </c>
      <c r="F3705" s="25">
        <v>6047430.0</v>
      </c>
    </row>
    <row r="3706">
      <c r="A3706" s="25">
        <v>43846.64583333333</v>
      </c>
      <c r="B3706" s="25">
        <v>770.7</v>
      </c>
      <c r="C3706" s="25">
        <v>772.5</v>
      </c>
      <c r="D3706" s="25">
        <v>760.25</v>
      </c>
      <c r="E3706" s="25">
        <v>767.0</v>
      </c>
      <c r="F3706" s="25">
        <v>5740586.0</v>
      </c>
    </row>
    <row r="3707">
      <c r="A3707" s="25">
        <v>43847.64583333333</v>
      </c>
      <c r="B3707" s="25">
        <v>770.7</v>
      </c>
      <c r="C3707" s="25">
        <v>772.9</v>
      </c>
      <c r="D3707" s="25">
        <v>762.25</v>
      </c>
      <c r="E3707" s="25">
        <v>767.85</v>
      </c>
      <c r="F3707" s="25">
        <v>3762957.0</v>
      </c>
    </row>
    <row r="3708">
      <c r="A3708" s="25">
        <v>43850.64583333333</v>
      </c>
      <c r="B3708" s="25">
        <v>771.6</v>
      </c>
      <c r="C3708" s="25">
        <v>774.4</v>
      </c>
      <c r="D3708" s="25">
        <v>762.95</v>
      </c>
      <c r="E3708" s="25">
        <v>768.45</v>
      </c>
      <c r="F3708" s="25">
        <v>3887680.0</v>
      </c>
    </row>
    <row r="3709">
      <c r="A3709" s="25">
        <v>43851.64583333333</v>
      </c>
      <c r="B3709" s="25">
        <v>768.45</v>
      </c>
      <c r="C3709" s="25">
        <v>770.5</v>
      </c>
      <c r="D3709" s="25">
        <v>760.75</v>
      </c>
      <c r="E3709" s="25">
        <v>762.5</v>
      </c>
      <c r="F3709" s="25">
        <v>4448374.0</v>
      </c>
    </row>
    <row r="3710">
      <c r="A3710" s="25">
        <v>43852.64583333333</v>
      </c>
      <c r="B3710" s="25">
        <v>768.45</v>
      </c>
      <c r="C3710" s="25">
        <v>778.0</v>
      </c>
      <c r="D3710" s="25">
        <v>766.0</v>
      </c>
      <c r="E3710" s="25">
        <v>770.2</v>
      </c>
      <c r="F3710" s="25">
        <v>9733935.0</v>
      </c>
    </row>
    <row r="3711">
      <c r="A3711" s="25">
        <v>43853.64583333333</v>
      </c>
      <c r="B3711" s="25">
        <v>777.1</v>
      </c>
      <c r="C3711" s="25">
        <v>785.5</v>
      </c>
      <c r="D3711" s="25">
        <v>776.7</v>
      </c>
      <c r="E3711" s="25">
        <v>784.35</v>
      </c>
      <c r="F3711" s="25">
        <v>1.2528017E7</v>
      </c>
    </row>
    <row r="3712">
      <c r="A3712" s="25">
        <v>43854.64583333333</v>
      </c>
      <c r="B3712" s="25">
        <v>775.75</v>
      </c>
      <c r="C3712" s="25">
        <v>786.5</v>
      </c>
      <c r="D3712" s="25">
        <v>773.6</v>
      </c>
      <c r="E3712" s="25">
        <v>782.75</v>
      </c>
      <c r="F3712" s="25">
        <v>7540490.0</v>
      </c>
    </row>
    <row r="3713">
      <c r="A3713" s="25">
        <v>43857.64583333333</v>
      </c>
      <c r="B3713" s="25">
        <v>779.05</v>
      </c>
      <c r="C3713" s="25">
        <v>784.8</v>
      </c>
      <c r="D3713" s="25">
        <v>774.4</v>
      </c>
      <c r="E3713" s="25">
        <v>778.1</v>
      </c>
      <c r="F3713" s="25">
        <v>3741610.0</v>
      </c>
    </row>
    <row r="3714">
      <c r="A3714" s="25">
        <v>43858.64583333333</v>
      </c>
      <c r="B3714" s="25">
        <v>781.0</v>
      </c>
      <c r="C3714" s="25">
        <v>781.8</v>
      </c>
      <c r="D3714" s="25">
        <v>772.0</v>
      </c>
      <c r="E3714" s="25">
        <v>778.0</v>
      </c>
      <c r="F3714" s="25">
        <v>5121009.0</v>
      </c>
    </row>
    <row r="3715">
      <c r="A3715" s="25">
        <v>43859.64583333333</v>
      </c>
      <c r="B3715" s="25">
        <v>786.6</v>
      </c>
      <c r="C3715" s="25">
        <v>792.8</v>
      </c>
      <c r="D3715" s="25">
        <v>784.25</v>
      </c>
      <c r="E3715" s="25">
        <v>789.7</v>
      </c>
      <c r="F3715" s="25">
        <v>6832757.0</v>
      </c>
    </row>
    <row r="3716">
      <c r="A3716" s="25">
        <v>43860.64583333333</v>
      </c>
      <c r="B3716" s="25">
        <v>789.7</v>
      </c>
      <c r="C3716" s="25">
        <v>789.7</v>
      </c>
      <c r="D3716" s="25">
        <v>778.0</v>
      </c>
      <c r="E3716" s="25">
        <v>780.7</v>
      </c>
      <c r="F3716" s="25">
        <v>3859680.0</v>
      </c>
    </row>
    <row r="3717">
      <c r="A3717" s="25">
        <v>43861.64583333333</v>
      </c>
      <c r="B3717" s="25">
        <v>780.55</v>
      </c>
      <c r="C3717" s="25">
        <v>784.95</v>
      </c>
      <c r="D3717" s="25">
        <v>771.6</v>
      </c>
      <c r="E3717" s="25">
        <v>775.95</v>
      </c>
      <c r="F3717" s="25">
        <v>6092028.0</v>
      </c>
    </row>
    <row r="3718">
      <c r="A3718" s="25">
        <v>43862.70833333333</v>
      </c>
      <c r="B3718" s="25">
        <v>775.1</v>
      </c>
      <c r="C3718" s="25">
        <v>791.25</v>
      </c>
      <c r="D3718" s="25">
        <v>769.25</v>
      </c>
      <c r="E3718" s="25">
        <v>776.05</v>
      </c>
      <c r="F3718" s="25">
        <v>4875882.0</v>
      </c>
    </row>
    <row r="3719">
      <c r="A3719" s="25">
        <v>43864.64583333333</v>
      </c>
      <c r="B3719" s="25">
        <v>782.0</v>
      </c>
      <c r="C3719" s="25">
        <v>790.95</v>
      </c>
      <c r="D3719" s="25">
        <v>764.5</v>
      </c>
      <c r="E3719" s="25">
        <v>767.4</v>
      </c>
      <c r="F3719" s="25">
        <v>6416745.0</v>
      </c>
    </row>
    <row r="3720">
      <c r="A3720" s="25">
        <v>43865.64583333333</v>
      </c>
      <c r="B3720" s="25">
        <v>770.1</v>
      </c>
      <c r="C3720" s="25">
        <v>789.9</v>
      </c>
      <c r="D3720" s="25">
        <v>770.1</v>
      </c>
      <c r="E3720" s="25">
        <v>787.85</v>
      </c>
      <c r="F3720" s="25">
        <v>5771311.0</v>
      </c>
    </row>
    <row r="3721">
      <c r="A3721" s="25">
        <v>43866.64583333333</v>
      </c>
      <c r="B3721" s="25">
        <v>781.0</v>
      </c>
      <c r="C3721" s="25">
        <v>786.0</v>
      </c>
      <c r="D3721" s="25">
        <v>774.4</v>
      </c>
      <c r="E3721" s="25">
        <v>784.55</v>
      </c>
      <c r="F3721" s="25">
        <v>6310409.0</v>
      </c>
    </row>
    <row r="3722">
      <c r="A3722" s="25">
        <v>43867.64583333333</v>
      </c>
      <c r="B3722" s="25">
        <v>784.35</v>
      </c>
      <c r="C3722" s="25">
        <v>786.8</v>
      </c>
      <c r="D3722" s="25">
        <v>770.0</v>
      </c>
      <c r="E3722" s="25">
        <v>771.35</v>
      </c>
      <c r="F3722" s="25">
        <v>7341622.0</v>
      </c>
    </row>
    <row r="3723">
      <c r="A3723" s="25">
        <v>43868.64583333333</v>
      </c>
      <c r="B3723" s="25">
        <v>775.95</v>
      </c>
      <c r="C3723" s="25">
        <v>778.85</v>
      </c>
      <c r="D3723" s="25">
        <v>771.0</v>
      </c>
      <c r="E3723" s="25">
        <v>777.3</v>
      </c>
      <c r="F3723" s="25">
        <v>2853344.0</v>
      </c>
    </row>
    <row r="3724">
      <c r="A3724" s="25">
        <v>43871.64583333333</v>
      </c>
      <c r="B3724" s="25">
        <v>774.0</v>
      </c>
      <c r="C3724" s="25">
        <v>778.0</v>
      </c>
      <c r="D3724" s="25">
        <v>769.75</v>
      </c>
      <c r="E3724" s="25">
        <v>773.2</v>
      </c>
      <c r="F3724" s="25">
        <v>3827682.0</v>
      </c>
    </row>
    <row r="3725">
      <c r="A3725" s="25">
        <v>43872.64583333333</v>
      </c>
      <c r="B3725" s="25">
        <v>779.0</v>
      </c>
      <c r="C3725" s="25">
        <v>779.1</v>
      </c>
      <c r="D3725" s="25">
        <v>769.2</v>
      </c>
      <c r="E3725" s="25">
        <v>773.55</v>
      </c>
      <c r="F3725" s="25">
        <v>4312817.0</v>
      </c>
    </row>
    <row r="3726">
      <c r="A3726" s="25">
        <v>43873.64583333333</v>
      </c>
      <c r="B3726" s="25">
        <v>775.8</v>
      </c>
      <c r="C3726" s="25">
        <v>783.25</v>
      </c>
      <c r="D3726" s="25">
        <v>775.1</v>
      </c>
      <c r="E3726" s="25">
        <v>781.05</v>
      </c>
      <c r="F3726" s="25">
        <v>2948825.0</v>
      </c>
    </row>
    <row r="3727">
      <c r="A3727" s="25">
        <v>43874.64583333333</v>
      </c>
      <c r="B3727" s="25">
        <v>785.0</v>
      </c>
      <c r="C3727" s="25">
        <v>794.0</v>
      </c>
      <c r="D3727" s="25">
        <v>782.2</v>
      </c>
      <c r="E3727" s="25">
        <v>792.25</v>
      </c>
      <c r="F3727" s="25">
        <v>4387430.0</v>
      </c>
    </row>
    <row r="3728">
      <c r="A3728" s="25">
        <v>43875.64583333333</v>
      </c>
      <c r="B3728" s="25">
        <v>794.5</v>
      </c>
      <c r="C3728" s="25">
        <v>799.2</v>
      </c>
      <c r="D3728" s="25">
        <v>784.6</v>
      </c>
      <c r="E3728" s="25">
        <v>786.45</v>
      </c>
      <c r="F3728" s="25">
        <v>5321680.0</v>
      </c>
    </row>
    <row r="3729">
      <c r="A3729" s="25">
        <v>43878.64583333333</v>
      </c>
      <c r="B3729" s="25">
        <v>790.3</v>
      </c>
      <c r="C3729" s="25">
        <v>793.45</v>
      </c>
      <c r="D3729" s="25">
        <v>783.3</v>
      </c>
      <c r="E3729" s="25">
        <v>789.45</v>
      </c>
      <c r="F3729" s="25">
        <v>2929629.0</v>
      </c>
    </row>
    <row r="3730">
      <c r="A3730" s="25">
        <v>43879.64583333333</v>
      </c>
      <c r="B3730" s="25">
        <v>785.0</v>
      </c>
      <c r="C3730" s="25">
        <v>799.05</v>
      </c>
      <c r="D3730" s="25">
        <v>783.65</v>
      </c>
      <c r="E3730" s="25">
        <v>797.65</v>
      </c>
      <c r="F3730" s="25">
        <v>5083346.0</v>
      </c>
    </row>
    <row r="3731">
      <c r="A3731" s="25">
        <v>43880.64583333333</v>
      </c>
      <c r="B3731" s="25">
        <v>800.0</v>
      </c>
      <c r="C3731" s="25">
        <v>804.85</v>
      </c>
      <c r="D3731" s="25">
        <v>796.15</v>
      </c>
      <c r="E3731" s="25">
        <v>800.45</v>
      </c>
      <c r="F3731" s="25">
        <v>3985192.0</v>
      </c>
    </row>
    <row r="3732">
      <c r="A3732" s="25">
        <v>43881.64583333333</v>
      </c>
      <c r="B3732" s="25">
        <v>803.25</v>
      </c>
      <c r="C3732" s="25">
        <v>806.1</v>
      </c>
      <c r="D3732" s="25">
        <v>793.85</v>
      </c>
      <c r="E3732" s="25">
        <v>797.0</v>
      </c>
      <c r="F3732" s="25">
        <v>4564569.0</v>
      </c>
    </row>
    <row r="3733">
      <c r="A3733" s="25">
        <v>43885.64583333333</v>
      </c>
      <c r="B3733" s="25">
        <v>800.1</v>
      </c>
      <c r="C3733" s="25">
        <v>811.6</v>
      </c>
      <c r="D3733" s="25">
        <v>792.15</v>
      </c>
      <c r="E3733" s="25">
        <v>795.85</v>
      </c>
      <c r="F3733" s="25">
        <v>6627536.0</v>
      </c>
    </row>
    <row r="3734">
      <c r="A3734" s="25">
        <v>43886.64583333333</v>
      </c>
      <c r="B3734" s="25">
        <v>799.0</v>
      </c>
      <c r="C3734" s="25">
        <v>806.0</v>
      </c>
      <c r="D3734" s="25">
        <v>795.4</v>
      </c>
      <c r="E3734" s="25">
        <v>798.4</v>
      </c>
      <c r="F3734" s="25">
        <v>6996695.0</v>
      </c>
    </row>
    <row r="3735">
      <c r="A3735" s="25">
        <v>43887.64583333333</v>
      </c>
      <c r="B3735" s="25">
        <v>793.95</v>
      </c>
      <c r="C3735" s="25">
        <v>801.45</v>
      </c>
      <c r="D3735" s="25">
        <v>780.5</v>
      </c>
      <c r="E3735" s="25">
        <v>782.75</v>
      </c>
      <c r="F3735" s="25">
        <v>8760569.0</v>
      </c>
    </row>
    <row r="3736">
      <c r="A3736" s="25">
        <v>43888.64583333333</v>
      </c>
      <c r="B3736" s="25">
        <v>778.0</v>
      </c>
      <c r="C3736" s="25">
        <v>780.75</v>
      </c>
      <c r="D3736" s="25">
        <v>772.2</v>
      </c>
      <c r="E3736" s="25">
        <v>777.85</v>
      </c>
      <c r="F3736" s="25">
        <v>5223386.0</v>
      </c>
    </row>
    <row r="3737">
      <c r="A3737" s="25">
        <v>43889.64583333333</v>
      </c>
      <c r="B3737" s="25">
        <v>750.0</v>
      </c>
      <c r="C3737" s="25">
        <v>756.8</v>
      </c>
      <c r="D3737" s="25">
        <v>722.05</v>
      </c>
      <c r="E3737" s="25">
        <v>731.7</v>
      </c>
      <c r="F3737" s="25">
        <v>1.4123957E7</v>
      </c>
    </row>
    <row r="3738">
      <c r="A3738" s="25">
        <v>43892.64583333333</v>
      </c>
      <c r="B3738" s="25">
        <v>737.0</v>
      </c>
      <c r="C3738" s="25">
        <v>765.9</v>
      </c>
      <c r="D3738" s="25">
        <v>733.75</v>
      </c>
      <c r="E3738" s="25">
        <v>741.05</v>
      </c>
      <c r="F3738" s="25">
        <v>9821523.0</v>
      </c>
    </row>
    <row r="3739">
      <c r="A3739" s="25">
        <v>43893.64583333333</v>
      </c>
      <c r="B3739" s="25">
        <v>755.0</v>
      </c>
      <c r="C3739" s="25">
        <v>759.0</v>
      </c>
      <c r="D3739" s="25">
        <v>741.25</v>
      </c>
      <c r="E3739" s="25">
        <v>747.0</v>
      </c>
      <c r="F3739" s="25">
        <v>7826587.0</v>
      </c>
    </row>
    <row r="3740">
      <c r="A3740" s="25">
        <v>43894.64583333333</v>
      </c>
      <c r="B3740" s="25">
        <v>753.9</v>
      </c>
      <c r="C3740" s="25">
        <v>761.5</v>
      </c>
      <c r="D3740" s="25">
        <v>745.55</v>
      </c>
      <c r="E3740" s="25">
        <v>758.75</v>
      </c>
      <c r="F3740" s="25">
        <v>1.1013444E7</v>
      </c>
    </row>
    <row r="3741">
      <c r="A3741" s="25">
        <v>43895.64583333333</v>
      </c>
      <c r="B3741" s="25">
        <v>763.75</v>
      </c>
      <c r="C3741" s="25">
        <v>773.55</v>
      </c>
      <c r="D3741" s="25">
        <v>751.75</v>
      </c>
      <c r="E3741" s="25">
        <v>754.6</v>
      </c>
      <c r="F3741" s="25">
        <v>7755293.0</v>
      </c>
    </row>
    <row r="3742">
      <c r="A3742" s="25">
        <v>43896.64583333333</v>
      </c>
      <c r="B3742" s="25">
        <v>741.0</v>
      </c>
      <c r="C3742" s="25">
        <v>744.0</v>
      </c>
      <c r="D3742" s="25">
        <v>729.1</v>
      </c>
      <c r="E3742" s="25">
        <v>738.95</v>
      </c>
      <c r="F3742" s="25">
        <v>9216022.0</v>
      </c>
    </row>
    <row r="3743">
      <c r="A3743" s="25">
        <v>43899.64583333333</v>
      </c>
      <c r="B3743" s="25">
        <v>724.5</v>
      </c>
      <c r="C3743" s="25">
        <v>725.85</v>
      </c>
      <c r="D3743" s="25">
        <v>697.0</v>
      </c>
      <c r="E3743" s="25">
        <v>704.45</v>
      </c>
      <c r="F3743" s="25">
        <v>1.0308697E7</v>
      </c>
    </row>
    <row r="3744">
      <c r="A3744" s="25">
        <v>43901.64583333333</v>
      </c>
      <c r="B3744" s="25">
        <v>690.65</v>
      </c>
      <c r="C3744" s="25">
        <v>695.95</v>
      </c>
      <c r="D3744" s="25">
        <v>669.05</v>
      </c>
      <c r="E3744" s="25">
        <v>686.0</v>
      </c>
      <c r="F3744" s="25">
        <v>1.6165054E7</v>
      </c>
    </row>
    <row r="3745">
      <c r="A3745" s="25">
        <v>43902.64583333333</v>
      </c>
      <c r="B3745" s="25">
        <v>668.0</v>
      </c>
      <c r="C3745" s="25">
        <v>670.0</v>
      </c>
      <c r="D3745" s="25">
        <v>627.5</v>
      </c>
      <c r="E3745" s="25">
        <v>631.2</v>
      </c>
      <c r="F3745" s="25">
        <v>1.3965689E7</v>
      </c>
    </row>
    <row r="3746">
      <c r="A3746" s="25">
        <v>43903.64583333333</v>
      </c>
      <c r="B3746" s="25">
        <v>592.0</v>
      </c>
      <c r="C3746" s="25">
        <v>667.0</v>
      </c>
      <c r="D3746" s="25">
        <v>570.0</v>
      </c>
      <c r="E3746" s="25">
        <v>642.35</v>
      </c>
      <c r="F3746" s="25">
        <v>1.690314E7</v>
      </c>
    </row>
    <row r="3747">
      <c r="A3747" s="25">
        <v>43906.64583333333</v>
      </c>
      <c r="B3747" s="25">
        <v>622.0</v>
      </c>
      <c r="C3747" s="25">
        <v>622.15</v>
      </c>
      <c r="D3747" s="25">
        <v>580.0</v>
      </c>
      <c r="E3747" s="25">
        <v>583.15</v>
      </c>
      <c r="F3747" s="25">
        <v>1.9140854E7</v>
      </c>
    </row>
    <row r="3748">
      <c r="A3748" s="25">
        <v>43907.64583333333</v>
      </c>
      <c r="B3748" s="25">
        <v>588.1</v>
      </c>
      <c r="C3748" s="25">
        <v>592.0</v>
      </c>
      <c r="D3748" s="25">
        <v>550.0</v>
      </c>
      <c r="E3748" s="25">
        <v>554.95</v>
      </c>
      <c r="F3748" s="25">
        <v>1.6060126E7</v>
      </c>
    </row>
    <row r="3749">
      <c r="A3749" s="25">
        <v>43908.64583333333</v>
      </c>
      <c r="B3749" s="25">
        <v>568.0</v>
      </c>
      <c r="C3749" s="25">
        <v>578.0</v>
      </c>
      <c r="D3749" s="25">
        <v>528.0</v>
      </c>
      <c r="E3749" s="25">
        <v>534.3</v>
      </c>
      <c r="F3749" s="25">
        <v>1.5391568E7</v>
      </c>
    </row>
    <row r="3750">
      <c r="A3750" s="25">
        <v>43909.64583333333</v>
      </c>
      <c r="B3750" s="25">
        <v>509.25</v>
      </c>
      <c r="C3750" s="25">
        <v>558.0</v>
      </c>
      <c r="D3750" s="25">
        <v>509.25</v>
      </c>
      <c r="E3750" s="25">
        <v>545.55</v>
      </c>
      <c r="F3750" s="25">
        <v>1.6584106E7</v>
      </c>
    </row>
    <row r="3751">
      <c r="A3751" s="25">
        <v>43910.64583333333</v>
      </c>
      <c r="B3751" s="25">
        <v>549.5</v>
      </c>
      <c r="C3751" s="25">
        <v>617.45</v>
      </c>
      <c r="D3751" s="25">
        <v>548.0</v>
      </c>
      <c r="E3751" s="25">
        <v>585.2</v>
      </c>
      <c r="F3751" s="25">
        <v>2.1356183E7</v>
      </c>
    </row>
    <row r="3752">
      <c r="A3752" s="25">
        <v>43913.64583333333</v>
      </c>
      <c r="B3752" s="25">
        <v>540.0</v>
      </c>
      <c r="C3752" s="25">
        <v>560.95</v>
      </c>
      <c r="D3752" s="25">
        <v>515.9</v>
      </c>
      <c r="E3752" s="25">
        <v>526.45</v>
      </c>
      <c r="F3752" s="25">
        <v>1.7146303E7</v>
      </c>
    </row>
    <row r="3753">
      <c r="A3753" s="25">
        <v>43914.64583333333</v>
      </c>
      <c r="B3753" s="25">
        <v>522.0</v>
      </c>
      <c r="C3753" s="25">
        <v>601.15</v>
      </c>
      <c r="D3753" s="25">
        <v>522.0</v>
      </c>
      <c r="E3753" s="25">
        <v>589.8</v>
      </c>
      <c r="F3753" s="25">
        <v>2.0029537E7</v>
      </c>
    </row>
    <row r="3754">
      <c r="A3754" s="25">
        <v>43915.64583333333</v>
      </c>
      <c r="B3754" s="25">
        <v>597.0</v>
      </c>
      <c r="C3754" s="25">
        <v>635.0</v>
      </c>
      <c r="D3754" s="25">
        <v>565.7</v>
      </c>
      <c r="E3754" s="25">
        <v>606.2</v>
      </c>
      <c r="F3754" s="25">
        <v>1.833965E7</v>
      </c>
    </row>
    <row r="3755">
      <c r="A3755" s="25">
        <v>43916.64583333333</v>
      </c>
      <c r="B3755" s="25">
        <v>615.0</v>
      </c>
      <c r="C3755" s="25">
        <v>650.85</v>
      </c>
      <c r="D3755" s="25">
        <v>612.1</v>
      </c>
      <c r="E3755" s="25">
        <v>643.0</v>
      </c>
      <c r="F3755" s="25">
        <v>1.4868843E7</v>
      </c>
    </row>
    <row r="3756">
      <c r="A3756" s="25">
        <v>43917.64583333333</v>
      </c>
      <c r="B3756" s="25">
        <v>665.05</v>
      </c>
      <c r="C3756" s="25">
        <v>674.9</v>
      </c>
      <c r="D3756" s="25">
        <v>642.25</v>
      </c>
      <c r="E3756" s="25">
        <v>652.7</v>
      </c>
      <c r="F3756" s="25">
        <v>1.3495469E7</v>
      </c>
    </row>
    <row r="3757">
      <c r="A3757" s="25">
        <v>43920.64583333333</v>
      </c>
      <c r="B3757" s="25">
        <v>625.1</v>
      </c>
      <c r="C3757" s="25">
        <v>663.5</v>
      </c>
      <c r="D3757" s="25">
        <v>621.1</v>
      </c>
      <c r="E3757" s="25">
        <v>626.7</v>
      </c>
      <c r="F3757" s="25">
        <v>1.462572E7</v>
      </c>
    </row>
    <row r="3758">
      <c r="A3758" s="25">
        <v>43921.64583333333</v>
      </c>
      <c r="B3758" s="25">
        <v>650.0</v>
      </c>
      <c r="C3758" s="25">
        <v>662.0</v>
      </c>
      <c r="D3758" s="25">
        <v>633.7</v>
      </c>
      <c r="E3758" s="25">
        <v>641.5</v>
      </c>
      <c r="F3758" s="25">
        <v>1.5175528E7</v>
      </c>
    </row>
    <row r="3759">
      <c r="A3759" s="25">
        <v>43922.64583333333</v>
      </c>
      <c r="B3759" s="25">
        <v>634.35</v>
      </c>
      <c r="C3759" s="25">
        <v>637.5</v>
      </c>
      <c r="D3759" s="25">
        <v>594.0</v>
      </c>
      <c r="E3759" s="25">
        <v>602.8</v>
      </c>
      <c r="F3759" s="25">
        <v>1.3083865E7</v>
      </c>
    </row>
    <row r="3760">
      <c r="A3760" s="25">
        <v>43924.64583333333</v>
      </c>
      <c r="B3760" s="25">
        <v>603.5</v>
      </c>
      <c r="C3760" s="25">
        <v>606.0</v>
      </c>
      <c r="D3760" s="25">
        <v>582.15</v>
      </c>
      <c r="E3760" s="25">
        <v>585.7</v>
      </c>
      <c r="F3760" s="25">
        <v>1.022189E7</v>
      </c>
    </row>
    <row r="3761">
      <c r="A3761" s="25">
        <v>43928.64583333333</v>
      </c>
      <c r="B3761" s="25">
        <v>615.0</v>
      </c>
      <c r="C3761" s="25">
        <v>644.25</v>
      </c>
      <c r="D3761" s="25">
        <v>612.9</v>
      </c>
      <c r="E3761" s="25">
        <v>639.0</v>
      </c>
      <c r="F3761" s="25">
        <v>1.5146526E7</v>
      </c>
    </row>
    <row r="3762">
      <c r="A3762" s="25">
        <v>43929.64583333333</v>
      </c>
      <c r="B3762" s="25">
        <v>630.0</v>
      </c>
      <c r="C3762" s="25">
        <v>655.65</v>
      </c>
      <c r="D3762" s="25">
        <v>626.35</v>
      </c>
      <c r="E3762" s="25">
        <v>631.6</v>
      </c>
      <c r="F3762" s="25">
        <v>1.1806901E7</v>
      </c>
    </row>
    <row r="3763">
      <c r="A3763" s="25">
        <v>43930.64583333333</v>
      </c>
      <c r="B3763" s="25">
        <v>646.8</v>
      </c>
      <c r="C3763" s="25">
        <v>652.8</v>
      </c>
      <c r="D3763" s="25">
        <v>632.1</v>
      </c>
      <c r="E3763" s="25">
        <v>636.25</v>
      </c>
      <c r="F3763" s="25">
        <v>1.1931287E7</v>
      </c>
    </row>
    <row r="3764">
      <c r="A3764" s="25">
        <v>43934.64583333333</v>
      </c>
      <c r="B3764" s="25">
        <v>629.0</v>
      </c>
      <c r="C3764" s="25">
        <v>651.7</v>
      </c>
      <c r="D3764" s="25">
        <v>626.05</v>
      </c>
      <c r="E3764" s="25">
        <v>637.4</v>
      </c>
      <c r="F3764" s="25">
        <v>8330291.0</v>
      </c>
    </row>
    <row r="3765">
      <c r="A3765" s="25">
        <v>43936.64583333333</v>
      </c>
      <c r="B3765" s="25">
        <v>651.4</v>
      </c>
      <c r="C3765" s="25">
        <v>653.3</v>
      </c>
      <c r="D3765" s="25">
        <v>635.6</v>
      </c>
      <c r="E3765" s="25">
        <v>639.05</v>
      </c>
      <c r="F3765" s="25">
        <v>1.1963493E7</v>
      </c>
    </row>
    <row r="3766">
      <c r="A3766" s="25">
        <v>43937.64583333333</v>
      </c>
      <c r="B3766" s="25">
        <v>619.95</v>
      </c>
      <c r="C3766" s="25">
        <v>634.9</v>
      </c>
      <c r="D3766" s="25">
        <v>603.5</v>
      </c>
      <c r="E3766" s="25">
        <v>623.85</v>
      </c>
      <c r="F3766" s="25">
        <v>1.778331E7</v>
      </c>
    </row>
    <row r="3767">
      <c r="A3767" s="25">
        <v>43938.64583333333</v>
      </c>
      <c r="B3767" s="25">
        <v>644.0</v>
      </c>
      <c r="C3767" s="25">
        <v>646.0</v>
      </c>
      <c r="D3767" s="25">
        <v>626.0</v>
      </c>
      <c r="E3767" s="25">
        <v>628.75</v>
      </c>
      <c r="F3767" s="25">
        <v>8878372.0</v>
      </c>
    </row>
    <row r="3768">
      <c r="A3768" s="25">
        <v>43941.64583333333</v>
      </c>
      <c r="B3768" s="25">
        <v>640.0</v>
      </c>
      <c r="C3768" s="25">
        <v>661.0</v>
      </c>
      <c r="D3768" s="25">
        <v>639.0</v>
      </c>
      <c r="E3768" s="25">
        <v>653.3</v>
      </c>
      <c r="F3768" s="25">
        <v>1.3322995E7</v>
      </c>
    </row>
    <row r="3769">
      <c r="A3769" s="25">
        <v>43942.64583333333</v>
      </c>
      <c r="B3769" s="25">
        <v>627.8</v>
      </c>
      <c r="C3769" s="25">
        <v>646.5</v>
      </c>
      <c r="D3769" s="25">
        <v>627.8</v>
      </c>
      <c r="E3769" s="25">
        <v>633.2</v>
      </c>
      <c r="F3769" s="25">
        <v>1.1660678E7</v>
      </c>
    </row>
    <row r="3770">
      <c r="A3770" s="25">
        <v>43943.64583333333</v>
      </c>
      <c r="B3770" s="25">
        <v>633.2</v>
      </c>
      <c r="C3770" s="25">
        <v>645.0</v>
      </c>
      <c r="D3770" s="25">
        <v>628.05</v>
      </c>
      <c r="E3770" s="25">
        <v>641.85</v>
      </c>
      <c r="F3770" s="25">
        <v>8267159.0</v>
      </c>
    </row>
    <row r="3771">
      <c r="A3771" s="25">
        <v>43944.64583333333</v>
      </c>
      <c r="B3771" s="25">
        <v>647.05</v>
      </c>
      <c r="C3771" s="25">
        <v>683.65</v>
      </c>
      <c r="D3771" s="25">
        <v>638.1</v>
      </c>
      <c r="E3771" s="25">
        <v>679.3</v>
      </c>
      <c r="F3771" s="25">
        <v>1.4451294E7</v>
      </c>
    </row>
    <row r="3772">
      <c r="A3772" s="25">
        <v>43945.64583333333</v>
      </c>
      <c r="B3772" s="25">
        <v>668.55</v>
      </c>
      <c r="C3772" s="25">
        <v>675.0</v>
      </c>
      <c r="D3772" s="25">
        <v>654.8</v>
      </c>
      <c r="E3772" s="25">
        <v>658.0</v>
      </c>
      <c r="F3772" s="25">
        <v>7319950.0</v>
      </c>
    </row>
    <row r="3773">
      <c r="A3773" s="25">
        <v>43948.64583333333</v>
      </c>
      <c r="B3773" s="25">
        <v>661.05</v>
      </c>
      <c r="C3773" s="25">
        <v>681.0</v>
      </c>
      <c r="D3773" s="25">
        <v>661.05</v>
      </c>
      <c r="E3773" s="25">
        <v>664.6</v>
      </c>
      <c r="F3773" s="25">
        <v>7183316.0</v>
      </c>
    </row>
    <row r="3774">
      <c r="A3774" s="25">
        <v>43949.64583333333</v>
      </c>
      <c r="B3774" s="25">
        <v>673.0</v>
      </c>
      <c r="C3774" s="25">
        <v>677.0</v>
      </c>
      <c r="D3774" s="25">
        <v>653.05</v>
      </c>
      <c r="E3774" s="25">
        <v>660.7</v>
      </c>
      <c r="F3774" s="25">
        <v>7296594.0</v>
      </c>
    </row>
    <row r="3775">
      <c r="A3775" s="25">
        <v>43950.64583333333</v>
      </c>
      <c r="B3775" s="25">
        <v>666.0</v>
      </c>
      <c r="C3775" s="25">
        <v>682.0</v>
      </c>
      <c r="D3775" s="25">
        <v>658.0</v>
      </c>
      <c r="E3775" s="25">
        <v>676.55</v>
      </c>
      <c r="F3775" s="25">
        <v>8639246.0</v>
      </c>
    </row>
    <row r="3776">
      <c r="A3776" s="25">
        <v>43951.64583333333</v>
      </c>
      <c r="B3776" s="25">
        <v>700.0</v>
      </c>
      <c r="C3776" s="25">
        <v>720.0</v>
      </c>
      <c r="D3776" s="25">
        <v>698.1</v>
      </c>
      <c r="E3776" s="25">
        <v>715.5</v>
      </c>
      <c r="F3776" s="25">
        <v>1.6254036E7</v>
      </c>
    </row>
    <row r="3777">
      <c r="A3777" s="25">
        <v>43955.64583333333</v>
      </c>
      <c r="B3777" s="25">
        <v>689.8</v>
      </c>
      <c r="C3777" s="25">
        <v>701.2</v>
      </c>
      <c r="D3777" s="25">
        <v>670.35</v>
      </c>
      <c r="E3777" s="25">
        <v>673.7</v>
      </c>
      <c r="F3777" s="25">
        <v>9122803.0</v>
      </c>
    </row>
    <row r="3778">
      <c r="A3778" s="25">
        <v>43956.64583333333</v>
      </c>
      <c r="B3778" s="25">
        <v>681.75</v>
      </c>
      <c r="C3778" s="25">
        <v>685.6</v>
      </c>
      <c r="D3778" s="25">
        <v>670.0</v>
      </c>
      <c r="E3778" s="25">
        <v>673.7</v>
      </c>
      <c r="F3778" s="25">
        <v>6393108.0</v>
      </c>
    </row>
    <row r="3779">
      <c r="A3779" s="25">
        <v>43957.64583333333</v>
      </c>
      <c r="B3779" s="25">
        <v>676.9</v>
      </c>
      <c r="C3779" s="25">
        <v>681.45</v>
      </c>
      <c r="D3779" s="25">
        <v>664.05</v>
      </c>
      <c r="E3779" s="25">
        <v>665.9</v>
      </c>
      <c r="F3779" s="25">
        <v>7934457.0</v>
      </c>
    </row>
    <row r="3780">
      <c r="A3780" s="25">
        <v>43958.64583333333</v>
      </c>
      <c r="B3780" s="25">
        <v>665.55</v>
      </c>
      <c r="C3780" s="25">
        <v>674.35</v>
      </c>
      <c r="D3780" s="25">
        <v>662.45</v>
      </c>
      <c r="E3780" s="25">
        <v>664.95</v>
      </c>
      <c r="F3780" s="25">
        <v>4779550.0</v>
      </c>
    </row>
    <row r="3781">
      <c r="A3781" s="25">
        <v>43959.64583333333</v>
      </c>
      <c r="B3781" s="25">
        <v>672.25</v>
      </c>
      <c r="C3781" s="25">
        <v>680.9</v>
      </c>
      <c r="D3781" s="25">
        <v>668.5</v>
      </c>
      <c r="E3781" s="25">
        <v>674.2</v>
      </c>
      <c r="F3781" s="25">
        <v>8400376.0</v>
      </c>
    </row>
    <row r="3782">
      <c r="A3782" s="25">
        <v>43962.64583333333</v>
      </c>
      <c r="B3782" s="25">
        <v>682.5</v>
      </c>
      <c r="C3782" s="25">
        <v>698.55</v>
      </c>
      <c r="D3782" s="25">
        <v>678.0</v>
      </c>
      <c r="E3782" s="25">
        <v>682.9</v>
      </c>
      <c r="F3782" s="25">
        <v>7370192.0</v>
      </c>
    </row>
    <row r="3783">
      <c r="A3783" s="25">
        <v>43963.64583333333</v>
      </c>
      <c r="B3783" s="25">
        <v>678.5</v>
      </c>
      <c r="C3783" s="25">
        <v>691.0</v>
      </c>
      <c r="D3783" s="25">
        <v>675.5</v>
      </c>
      <c r="E3783" s="25">
        <v>687.65</v>
      </c>
      <c r="F3783" s="25">
        <v>7356063.0</v>
      </c>
    </row>
    <row r="3784">
      <c r="A3784" s="25">
        <v>43964.64583333333</v>
      </c>
      <c r="B3784" s="25">
        <v>694.8</v>
      </c>
      <c r="C3784" s="25">
        <v>699.9</v>
      </c>
      <c r="D3784" s="25">
        <v>683.75</v>
      </c>
      <c r="E3784" s="25">
        <v>694.15</v>
      </c>
      <c r="F3784" s="25">
        <v>8287106.0</v>
      </c>
    </row>
    <row r="3785">
      <c r="A3785" s="25">
        <v>43965.64583333333</v>
      </c>
      <c r="B3785" s="25">
        <v>659.0</v>
      </c>
      <c r="C3785" s="25">
        <v>671.75</v>
      </c>
      <c r="D3785" s="25">
        <v>652.6</v>
      </c>
      <c r="E3785" s="25">
        <v>658.15</v>
      </c>
      <c r="F3785" s="25">
        <v>1.6888356E7</v>
      </c>
    </row>
    <row r="3786">
      <c r="A3786" s="25">
        <v>43966.64583333333</v>
      </c>
      <c r="B3786" s="25">
        <v>664.8</v>
      </c>
      <c r="C3786" s="25">
        <v>664.8</v>
      </c>
      <c r="D3786" s="25">
        <v>646.7</v>
      </c>
      <c r="E3786" s="25">
        <v>652.3</v>
      </c>
      <c r="F3786" s="25">
        <v>9255353.0</v>
      </c>
    </row>
    <row r="3787">
      <c r="A3787" s="25">
        <v>43969.64583333333</v>
      </c>
      <c r="B3787" s="25">
        <v>659.85</v>
      </c>
      <c r="C3787" s="25">
        <v>670.55</v>
      </c>
      <c r="D3787" s="25">
        <v>653.0</v>
      </c>
      <c r="E3787" s="25">
        <v>663.9</v>
      </c>
      <c r="F3787" s="25">
        <v>1.0435495E7</v>
      </c>
    </row>
    <row r="3788">
      <c r="A3788" s="25">
        <v>43970.64583333333</v>
      </c>
      <c r="B3788" s="25">
        <v>664.0</v>
      </c>
      <c r="C3788" s="25">
        <v>674.8</v>
      </c>
      <c r="D3788" s="25">
        <v>655.0</v>
      </c>
      <c r="E3788" s="25">
        <v>668.6</v>
      </c>
      <c r="F3788" s="25">
        <v>5902238.0</v>
      </c>
    </row>
    <row r="3789">
      <c r="A3789" s="25">
        <v>43971.64583333333</v>
      </c>
      <c r="B3789" s="25">
        <v>668.5</v>
      </c>
      <c r="C3789" s="25">
        <v>673.0</v>
      </c>
      <c r="D3789" s="25">
        <v>659.65</v>
      </c>
      <c r="E3789" s="25">
        <v>669.55</v>
      </c>
      <c r="F3789" s="25">
        <v>5795193.0</v>
      </c>
    </row>
    <row r="3790">
      <c r="A3790" s="25">
        <v>43972.64583333333</v>
      </c>
      <c r="B3790" s="25">
        <v>666.5</v>
      </c>
      <c r="C3790" s="25">
        <v>679.45</v>
      </c>
      <c r="D3790" s="25">
        <v>665.4</v>
      </c>
      <c r="E3790" s="25">
        <v>672.2</v>
      </c>
      <c r="F3790" s="25">
        <v>7214401.0</v>
      </c>
    </row>
    <row r="3791">
      <c r="A3791" s="25">
        <v>43973.64583333333</v>
      </c>
      <c r="B3791" s="25">
        <v>675.0</v>
      </c>
      <c r="C3791" s="25">
        <v>695.85</v>
      </c>
      <c r="D3791" s="25">
        <v>673.5</v>
      </c>
      <c r="E3791" s="25">
        <v>692.35</v>
      </c>
      <c r="F3791" s="25">
        <v>1.1867864E7</v>
      </c>
    </row>
    <row r="3792">
      <c r="A3792" s="25">
        <v>43977.64583333333</v>
      </c>
      <c r="B3792" s="25">
        <v>693.0</v>
      </c>
      <c r="C3792" s="25">
        <v>699.45</v>
      </c>
      <c r="D3792" s="25">
        <v>679.0</v>
      </c>
      <c r="E3792" s="25">
        <v>680.55</v>
      </c>
      <c r="F3792" s="25">
        <v>7099719.0</v>
      </c>
    </row>
    <row r="3793">
      <c r="A3793" s="25">
        <v>43978.64583333333</v>
      </c>
      <c r="B3793" s="25">
        <v>686.05</v>
      </c>
      <c r="C3793" s="25">
        <v>709.2</v>
      </c>
      <c r="D3793" s="25">
        <v>675.0</v>
      </c>
      <c r="E3793" s="25">
        <v>705.45</v>
      </c>
      <c r="F3793" s="25">
        <v>8774694.0</v>
      </c>
    </row>
    <row r="3794">
      <c r="A3794" s="25">
        <v>43979.64583333333</v>
      </c>
      <c r="B3794" s="25">
        <v>707.0</v>
      </c>
      <c r="C3794" s="25">
        <v>710.0</v>
      </c>
      <c r="D3794" s="25">
        <v>690.0</v>
      </c>
      <c r="E3794" s="25">
        <v>707.4</v>
      </c>
      <c r="F3794" s="25">
        <v>9440121.0</v>
      </c>
    </row>
    <row r="3795">
      <c r="A3795" s="25">
        <v>43980.64583333333</v>
      </c>
      <c r="B3795" s="25">
        <v>692.5</v>
      </c>
      <c r="C3795" s="25">
        <v>700.8</v>
      </c>
      <c r="D3795" s="25">
        <v>674.95</v>
      </c>
      <c r="E3795" s="25">
        <v>691.0</v>
      </c>
      <c r="F3795" s="25">
        <v>2.8291172E7</v>
      </c>
    </row>
    <row r="3796">
      <c r="A3796" s="25">
        <v>43983.64583333333</v>
      </c>
      <c r="B3796" s="25">
        <v>698.75</v>
      </c>
      <c r="C3796" s="25">
        <v>706.65</v>
      </c>
      <c r="D3796" s="25">
        <v>691.5</v>
      </c>
      <c r="E3796" s="25">
        <v>699.55</v>
      </c>
      <c r="F3796" s="25">
        <v>1.2276649E7</v>
      </c>
    </row>
    <row r="3797">
      <c r="A3797" s="25">
        <v>43984.64583333333</v>
      </c>
      <c r="B3797" s="25">
        <v>700.5</v>
      </c>
      <c r="C3797" s="25">
        <v>711.65</v>
      </c>
      <c r="D3797" s="25">
        <v>697.55</v>
      </c>
      <c r="E3797" s="25">
        <v>708.1</v>
      </c>
      <c r="F3797" s="25">
        <v>7059409.0</v>
      </c>
    </row>
    <row r="3798">
      <c r="A3798" s="25">
        <v>43985.64583333333</v>
      </c>
      <c r="B3798" s="25">
        <v>710.7</v>
      </c>
      <c r="C3798" s="25">
        <v>711.9</v>
      </c>
      <c r="D3798" s="25">
        <v>696.0</v>
      </c>
      <c r="E3798" s="25">
        <v>701.55</v>
      </c>
      <c r="F3798" s="25">
        <v>1.1378568E7</v>
      </c>
    </row>
    <row r="3799">
      <c r="A3799" s="25">
        <v>43986.64583333333</v>
      </c>
      <c r="B3799" s="25">
        <v>702.0</v>
      </c>
      <c r="C3799" s="25">
        <v>709.45</v>
      </c>
      <c r="D3799" s="25">
        <v>697.5</v>
      </c>
      <c r="E3799" s="25">
        <v>707.75</v>
      </c>
      <c r="F3799" s="25">
        <v>1.0783594E7</v>
      </c>
    </row>
    <row r="3800">
      <c r="A3800" s="25">
        <v>43987.64583333333</v>
      </c>
      <c r="B3800" s="25">
        <v>707.0</v>
      </c>
      <c r="C3800" s="25">
        <v>711.7</v>
      </c>
      <c r="D3800" s="25">
        <v>700.6</v>
      </c>
      <c r="E3800" s="25">
        <v>703.55</v>
      </c>
      <c r="F3800" s="25">
        <v>7718943.0</v>
      </c>
    </row>
    <row r="3801">
      <c r="A3801" s="25">
        <v>43990.64583333333</v>
      </c>
      <c r="B3801" s="25">
        <v>707.65</v>
      </c>
      <c r="C3801" s="25">
        <v>725.8</v>
      </c>
      <c r="D3801" s="25">
        <v>704.0</v>
      </c>
      <c r="E3801" s="25">
        <v>720.85</v>
      </c>
      <c r="F3801" s="25">
        <v>1.0719124E7</v>
      </c>
    </row>
    <row r="3802">
      <c r="A3802" s="25">
        <v>43991.64583333333</v>
      </c>
      <c r="B3802" s="25">
        <v>720.0</v>
      </c>
      <c r="C3802" s="25">
        <v>729.6</v>
      </c>
      <c r="D3802" s="25">
        <v>715.05</v>
      </c>
      <c r="E3802" s="25">
        <v>717.6</v>
      </c>
      <c r="F3802" s="25">
        <v>1.0078863E7</v>
      </c>
    </row>
    <row r="3803">
      <c r="A3803" s="25">
        <v>43992.64583333333</v>
      </c>
      <c r="B3803" s="25">
        <v>715.0</v>
      </c>
      <c r="C3803" s="25">
        <v>719.45</v>
      </c>
      <c r="D3803" s="25">
        <v>709.2</v>
      </c>
      <c r="E3803" s="25">
        <v>715.85</v>
      </c>
      <c r="F3803" s="25">
        <v>7263272.0</v>
      </c>
    </row>
    <row r="3804">
      <c r="A3804" s="25">
        <v>43993.64583333333</v>
      </c>
      <c r="B3804" s="25">
        <v>712.0</v>
      </c>
      <c r="C3804" s="25">
        <v>713.4</v>
      </c>
      <c r="D3804" s="25">
        <v>700.25</v>
      </c>
      <c r="E3804" s="25">
        <v>703.95</v>
      </c>
      <c r="F3804" s="25">
        <v>8825914.0</v>
      </c>
    </row>
    <row r="3805">
      <c r="A3805" s="25">
        <v>43994.64583333333</v>
      </c>
      <c r="B3805" s="25">
        <v>675.8</v>
      </c>
      <c r="C3805" s="25">
        <v>695.15</v>
      </c>
      <c r="D3805" s="25">
        <v>675.5</v>
      </c>
      <c r="E3805" s="25">
        <v>692.05</v>
      </c>
      <c r="F3805" s="25">
        <v>9796064.0</v>
      </c>
    </row>
    <row r="3806">
      <c r="A3806" s="25">
        <v>43997.64583333333</v>
      </c>
      <c r="B3806" s="25">
        <v>693.0</v>
      </c>
      <c r="C3806" s="25">
        <v>704.4</v>
      </c>
      <c r="D3806" s="25">
        <v>685.25</v>
      </c>
      <c r="E3806" s="25">
        <v>687.55</v>
      </c>
      <c r="F3806" s="25">
        <v>7857344.0</v>
      </c>
    </row>
    <row r="3807">
      <c r="A3807" s="25">
        <v>43998.64583333333</v>
      </c>
      <c r="B3807" s="25">
        <v>702.0</v>
      </c>
      <c r="C3807" s="25">
        <v>712.0</v>
      </c>
      <c r="D3807" s="25">
        <v>699.15</v>
      </c>
      <c r="E3807" s="25">
        <v>701.2</v>
      </c>
      <c r="F3807" s="25">
        <v>1.0132423E7</v>
      </c>
    </row>
    <row r="3808">
      <c r="A3808" s="25">
        <v>43999.64583333333</v>
      </c>
      <c r="B3808" s="25">
        <v>699.9</v>
      </c>
      <c r="C3808" s="25">
        <v>710.3</v>
      </c>
      <c r="D3808" s="25">
        <v>698.0</v>
      </c>
      <c r="E3808" s="25">
        <v>703.65</v>
      </c>
      <c r="F3808" s="25">
        <v>7291919.0</v>
      </c>
    </row>
    <row r="3809">
      <c r="A3809" s="25">
        <v>44000.64583333333</v>
      </c>
      <c r="B3809" s="25">
        <v>708.2</v>
      </c>
      <c r="C3809" s="25">
        <v>716.6</v>
      </c>
      <c r="D3809" s="25">
        <v>706.0</v>
      </c>
      <c r="E3809" s="25">
        <v>713.9</v>
      </c>
      <c r="F3809" s="25">
        <v>6670206.0</v>
      </c>
    </row>
    <row r="3810">
      <c r="A3810" s="25">
        <v>44001.64583333333</v>
      </c>
      <c r="B3810" s="25">
        <v>709.0</v>
      </c>
      <c r="C3810" s="25">
        <v>711.9</v>
      </c>
      <c r="D3810" s="25">
        <v>701.0</v>
      </c>
      <c r="E3810" s="25">
        <v>705.55</v>
      </c>
      <c r="F3810" s="25">
        <v>2.2438873E7</v>
      </c>
    </row>
    <row r="3811">
      <c r="A3811" s="25">
        <v>44004.64583333333</v>
      </c>
      <c r="B3811" s="25">
        <v>707.1</v>
      </c>
      <c r="C3811" s="25">
        <v>708.7</v>
      </c>
      <c r="D3811" s="25">
        <v>700.0</v>
      </c>
      <c r="E3811" s="25">
        <v>703.7</v>
      </c>
      <c r="F3811" s="25">
        <v>7804139.0</v>
      </c>
    </row>
    <row r="3812">
      <c r="A3812" s="25">
        <v>44005.64583333333</v>
      </c>
      <c r="B3812" s="25">
        <v>695.7</v>
      </c>
      <c r="C3812" s="25">
        <v>724.5</v>
      </c>
      <c r="D3812" s="25">
        <v>692.1</v>
      </c>
      <c r="E3812" s="25">
        <v>720.65</v>
      </c>
      <c r="F3812" s="25">
        <v>1.2157486E7</v>
      </c>
    </row>
    <row r="3813">
      <c r="A3813" s="25">
        <v>44006.64583333333</v>
      </c>
      <c r="B3813" s="25">
        <v>716.9</v>
      </c>
      <c r="C3813" s="25">
        <v>726.8</v>
      </c>
      <c r="D3813" s="25">
        <v>709.4</v>
      </c>
      <c r="E3813" s="25">
        <v>714.15</v>
      </c>
      <c r="F3813" s="25">
        <v>1.0220908E7</v>
      </c>
    </row>
    <row r="3814">
      <c r="A3814" s="25">
        <v>44007.64583333333</v>
      </c>
      <c r="B3814" s="25">
        <v>704.85</v>
      </c>
      <c r="C3814" s="25">
        <v>705.6</v>
      </c>
      <c r="D3814" s="25">
        <v>693.5</v>
      </c>
      <c r="E3814" s="25">
        <v>700.5</v>
      </c>
      <c r="F3814" s="25">
        <v>1.4945304E7</v>
      </c>
    </row>
    <row r="3815">
      <c r="A3815" s="25">
        <v>44008.64583333333</v>
      </c>
      <c r="B3815" s="25">
        <v>710.2</v>
      </c>
      <c r="C3815" s="25">
        <v>751.6</v>
      </c>
      <c r="D3815" s="25">
        <v>710.0</v>
      </c>
      <c r="E3815" s="25">
        <v>748.2</v>
      </c>
      <c r="F3815" s="25">
        <v>2.6030535E7</v>
      </c>
    </row>
    <row r="3816">
      <c r="A3816" s="25">
        <v>44011.64583333333</v>
      </c>
      <c r="B3816" s="25">
        <v>735.4</v>
      </c>
      <c r="C3816" s="25">
        <v>744.7</v>
      </c>
      <c r="D3816" s="25">
        <v>730.1</v>
      </c>
      <c r="E3816" s="25">
        <v>731.75</v>
      </c>
      <c r="F3816" s="25">
        <v>8954490.0</v>
      </c>
    </row>
    <row r="3817">
      <c r="A3817" s="25">
        <v>44012.64583333333</v>
      </c>
      <c r="B3817" s="25">
        <v>732.8</v>
      </c>
      <c r="C3817" s="25">
        <v>738.95</v>
      </c>
      <c r="D3817" s="25">
        <v>724.25</v>
      </c>
      <c r="E3817" s="25">
        <v>735.95</v>
      </c>
      <c r="F3817" s="25">
        <v>1.0411347E7</v>
      </c>
    </row>
    <row r="3818">
      <c r="A3818" s="25">
        <v>44013.64583333333</v>
      </c>
      <c r="B3818" s="25">
        <v>737.25</v>
      </c>
      <c r="C3818" s="25">
        <v>742.3</v>
      </c>
      <c r="D3818" s="25">
        <v>729.75</v>
      </c>
      <c r="E3818" s="25">
        <v>731.9</v>
      </c>
      <c r="F3818" s="25">
        <v>5477687.0</v>
      </c>
    </row>
    <row r="3819">
      <c r="A3819" s="25">
        <v>44014.64583333333</v>
      </c>
      <c r="B3819" s="25">
        <v>737.35</v>
      </c>
      <c r="C3819" s="25">
        <v>765.45</v>
      </c>
      <c r="D3819" s="25">
        <v>735.4</v>
      </c>
      <c r="E3819" s="25">
        <v>756.6</v>
      </c>
      <c r="F3819" s="25">
        <v>1.7263764E7</v>
      </c>
    </row>
    <row r="3820">
      <c r="A3820" s="25">
        <v>44015.64583333333</v>
      </c>
      <c r="B3820" s="25">
        <v>755.0</v>
      </c>
      <c r="C3820" s="25">
        <v>764.0</v>
      </c>
      <c r="D3820" s="25">
        <v>752.5</v>
      </c>
      <c r="E3820" s="25">
        <v>762.7</v>
      </c>
      <c r="F3820" s="25">
        <v>7796573.0</v>
      </c>
    </row>
    <row r="3821">
      <c r="A3821" s="25">
        <v>44018.64583333333</v>
      </c>
      <c r="B3821" s="25">
        <v>765.2</v>
      </c>
      <c r="C3821" s="25">
        <v>775.0</v>
      </c>
      <c r="D3821" s="25">
        <v>761.5</v>
      </c>
      <c r="E3821" s="25">
        <v>764.0</v>
      </c>
      <c r="F3821" s="25">
        <v>8811009.0</v>
      </c>
    </row>
    <row r="3822">
      <c r="A3822" s="25">
        <v>44019.64583333333</v>
      </c>
      <c r="B3822" s="25">
        <v>769.4</v>
      </c>
      <c r="C3822" s="25">
        <v>796.95</v>
      </c>
      <c r="D3822" s="25">
        <v>765.55</v>
      </c>
      <c r="E3822" s="25">
        <v>794.15</v>
      </c>
      <c r="F3822" s="25">
        <v>1.9362666E7</v>
      </c>
    </row>
    <row r="3823">
      <c r="A3823" s="25">
        <v>44020.64583333333</v>
      </c>
      <c r="B3823" s="25">
        <v>784.9</v>
      </c>
      <c r="C3823" s="25">
        <v>784.9</v>
      </c>
      <c r="D3823" s="25">
        <v>772.2</v>
      </c>
      <c r="E3823" s="25">
        <v>774.7</v>
      </c>
      <c r="F3823" s="25">
        <v>8476675.0</v>
      </c>
    </row>
    <row r="3824">
      <c r="A3824" s="25">
        <v>44021.64583333333</v>
      </c>
      <c r="B3824" s="25">
        <v>780.0</v>
      </c>
      <c r="C3824" s="25">
        <v>790.0</v>
      </c>
      <c r="D3824" s="25">
        <v>775.0</v>
      </c>
      <c r="E3824" s="25">
        <v>781.7</v>
      </c>
      <c r="F3824" s="25">
        <v>6854196.0</v>
      </c>
    </row>
    <row r="3825">
      <c r="A3825" s="25">
        <v>44022.64583333333</v>
      </c>
      <c r="B3825" s="25">
        <v>773.5</v>
      </c>
      <c r="C3825" s="25">
        <v>789.9</v>
      </c>
      <c r="D3825" s="25">
        <v>773.5</v>
      </c>
      <c r="E3825" s="25">
        <v>781.85</v>
      </c>
      <c r="F3825" s="25">
        <v>5206452.0</v>
      </c>
    </row>
    <row r="3826">
      <c r="A3826" s="25">
        <v>44025.64583333333</v>
      </c>
      <c r="B3826" s="25">
        <v>788.0</v>
      </c>
      <c r="C3826" s="25">
        <v>805.35</v>
      </c>
      <c r="D3826" s="25">
        <v>786.05</v>
      </c>
      <c r="E3826" s="25">
        <v>797.05</v>
      </c>
      <c r="F3826" s="25">
        <v>1.0804911E7</v>
      </c>
    </row>
    <row r="3827">
      <c r="A3827" s="25">
        <v>44026.64583333333</v>
      </c>
      <c r="B3827" s="25">
        <v>792.95</v>
      </c>
      <c r="C3827" s="25">
        <v>806.4</v>
      </c>
      <c r="D3827" s="25">
        <v>781.35</v>
      </c>
      <c r="E3827" s="25">
        <v>783.25</v>
      </c>
      <c r="F3827" s="25">
        <v>8961822.0</v>
      </c>
    </row>
    <row r="3828">
      <c r="A3828" s="25">
        <v>44027.64583333333</v>
      </c>
      <c r="B3828" s="25">
        <v>799.0</v>
      </c>
      <c r="C3828" s="25">
        <v>848.45</v>
      </c>
      <c r="D3828" s="25">
        <v>794.8</v>
      </c>
      <c r="E3828" s="25">
        <v>830.95</v>
      </c>
      <c r="F3828" s="25">
        <v>3.0060998E7</v>
      </c>
    </row>
    <row r="3829">
      <c r="A3829" s="25">
        <v>44028.64583333333</v>
      </c>
      <c r="B3829" s="25">
        <v>900.1</v>
      </c>
      <c r="C3829" s="25">
        <v>955.5</v>
      </c>
      <c r="D3829" s="25">
        <v>894.25</v>
      </c>
      <c r="E3829" s="25">
        <v>911.0</v>
      </c>
      <c r="F3829" s="25">
        <v>9.0433393E7</v>
      </c>
    </row>
    <row r="3830">
      <c r="A3830" s="25">
        <v>44029.64583333333</v>
      </c>
      <c r="B3830" s="25">
        <v>911.0</v>
      </c>
      <c r="C3830" s="25">
        <v>919.9</v>
      </c>
      <c r="D3830" s="25">
        <v>892.15</v>
      </c>
      <c r="E3830" s="25">
        <v>903.15</v>
      </c>
      <c r="F3830" s="25">
        <v>3.1682904E7</v>
      </c>
    </row>
    <row r="3831">
      <c r="A3831" s="25">
        <v>44032.64583333333</v>
      </c>
      <c r="B3831" s="25">
        <v>908.5</v>
      </c>
      <c r="C3831" s="25">
        <v>945.0</v>
      </c>
      <c r="D3831" s="25">
        <v>906.75</v>
      </c>
      <c r="E3831" s="25">
        <v>934.3</v>
      </c>
      <c r="F3831" s="25">
        <v>1.8421083E7</v>
      </c>
    </row>
    <row r="3832">
      <c r="A3832" s="25">
        <v>44033.64583333333</v>
      </c>
      <c r="B3832" s="25">
        <v>945.0</v>
      </c>
      <c r="C3832" s="25">
        <v>949.7</v>
      </c>
      <c r="D3832" s="25">
        <v>929.2</v>
      </c>
      <c r="E3832" s="25">
        <v>936.75</v>
      </c>
      <c r="F3832" s="25">
        <v>1.2877814E7</v>
      </c>
    </row>
    <row r="3833">
      <c r="A3833" s="25">
        <v>44034.64583333333</v>
      </c>
      <c r="B3833" s="25">
        <v>938.95</v>
      </c>
      <c r="C3833" s="25">
        <v>939.0</v>
      </c>
      <c r="D3833" s="25">
        <v>910.0</v>
      </c>
      <c r="E3833" s="25">
        <v>917.9</v>
      </c>
      <c r="F3833" s="25">
        <v>1.4354421E7</v>
      </c>
    </row>
    <row r="3834">
      <c r="A3834" s="25">
        <v>44035.64583333333</v>
      </c>
      <c r="B3834" s="25">
        <v>915.65</v>
      </c>
      <c r="C3834" s="25">
        <v>915.8</v>
      </c>
      <c r="D3834" s="25">
        <v>900.65</v>
      </c>
      <c r="E3834" s="25">
        <v>907.95</v>
      </c>
      <c r="F3834" s="25">
        <v>1.3052804E7</v>
      </c>
    </row>
    <row r="3835">
      <c r="A3835" s="25">
        <v>44036.64583333333</v>
      </c>
      <c r="B3835" s="25">
        <v>903.25</v>
      </c>
      <c r="C3835" s="25">
        <v>925.75</v>
      </c>
      <c r="D3835" s="25">
        <v>903.25</v>
      </c>
      <c r="E3835" s="25">
        <v>922.85</v>
      </c>
      <c r="F3835" s="25">
        <v>1.820967E7</v>
      </c>
    </row>
    <row r="3836">
      <c r="A3836" s="25">
        <v>44039.64583333333</v>
      </c>
      <c r="B3836" s="25">
        <v>921.55</v>
      </c>
      <c r="C3836" s="25">
        <v>952.8</v>
      </c>
      <c r="D3836" s="25">
        <v>918.65</v>
      </c>
      <c r="E3836" s="25">
        <v>948.45</v>
      </c>
      <c r="F3836" s="25">
        <v>1.6828218E7</v>
      </c>
    </row>
    <row r="3837">
      <c r="A3837" s="25">
        <v>44040.64583333333</v>
      </c>
      <c r="B3837" s="25">
        <v>946.0</v>
      </c>
      <c r="C3837" s="25">
        <v>967.55</v>
      </c>
      <c r="D3837" s="25">
        <v>941.2</v>
      </c>
      <c r="E3837" s="25">
        <v>962.85</v>
      </c>
      <c r="F3837" s="25">
        <v>1.5819466E7</v>
      </c>
    </row>
    <row r="3838">
      <c r="A3838" s="25">
        <v>44041.64583333333</v>
      </c>
      <c r="B3838" s="25">
        <v>953.25</v>
      </c>
      <c r="C3838" s="25">
        <v>960.0</v>
      </c>
      <c r="D3838" s="25">
        <v>943.6</v>
      </c>
      <c r="E3838" s="25">
        <v>954.15</v>
      </c>
      <c r="F3838" s="25">
        <v>1.115271E7</v>
      </c>
    </row>
    <row r="3839">
      <c r="A3839" s="25">
        <v>44042.64583333333</v>
      </c>
      <c r="B3839" s="25">
        <v>962.0</v>
      </c>
      <c r="C3839" s="25">
        <v>972.65</v>
      </c>
      <c r="D3839" s="25">
        <v>958.75</v>
      </c>
      <c r="E3839" s="25">
        <v>961.45</v>
      </c>
      <c r="F3839" s="25">
        <v>1.2492569E7</v>
      </c>
    </row>
    <row r="3840">
      <c r="A3840" s="25">
        <v>44043.64583333333</v>
      </c>
      <c r="B3840" s="25">
        <v>969.25</v>
      </c>
      <c r="C3840" s="25">
        <v>986.45</v>
      </c>
      <c r="D3840" s="25">
        <v>953.3</v>
      </c>
      <c r="E3840" s="25">
        <v>966.0</v>
      </c>
      <c r="F3840" s="25">
        <v>1.2704359E7</v>
      </c>
    </row>
    <row r="3841">
      <c r="A3841" s="25">
        <v>44046.64583333333</v>
      </c>
      <c r="B3841" s="25">
        <v>960.0</v>
      </c>
      <c r="C3841" s="25">
        <v>965.4</v>
      </c>
      <c r="D3841" s="25">
        <v>947.45</v>
      </c>
      <c r="E3841" s="25">
        <v>956.9</v>
      </c>
      <c r="F3841" s="25">
        <v>8480166.0</v>
      </c>
    </row>
    <row r="3842">
      <c r="A3842" s="25">
        <v>44047.64583333333</v>
      </c>
      <c r="B3842" s="25">
        <v>960.45</v>
      </c>
      <c r="C3842" s="25">
        <v>970.7</v>
      </c>
      <c r="D3842" s="25">
        <v>940.55</v>
      </c>
      <c r="E3842" s="25">
        <v>949.85</v>
      </c>
      <c r="F3842" s="25">
        <v>1.1133259E7</v>
      </c>
    </row>
    <row r="3843">
      <c r="A3843" s="25">
        <v>44048.64583333333</v>
      </c>
      <c r="B3843" s="25">
        <v>952.0</v>
      </c>
      <c r="C3843" s="25">
        <v>960.95</v>
      </c>
      <c r="D3843" s="25">
        <v>938.3</v>
      </c>
      <c r="E3843" s="25">
        <v>944.7</v>
      </c>
      <c r="F3843" s="25">
        <v>9616176.0</v>
      </c>
    </row>
    <row r="3844">
      <c r="A3844" s="25">
        <v>44049.64583333333</v>
      </c>
      <c r="B3844" s="25">
        <v>953.5</v>
      </c>
      <c r="C3844" s="25">
        <v>974.4</v>
      </c>
      <c r="D3844" s="25">
        <v>942.5</v>
      </c>
      <c r="E3844" s="25">
        <v>970.85</v>
      </c>
      <c r="F3844" s="25">
        <v>1.0976523E7</v>
      </c>
    </row>
    <row r="3845">
      <c r="A3845" s="25">
        <v>44050.64583333333</v>
      </c>
      <c r="B3845" s="25">
        <v>969.45</v>
      </c>
      <c r="C3845" s="25">
        <v>969.45</v>
      </c>
      <c r="D3845" s="25">
        <v>949.0</v>
      </c>
      <c r="E3845" s="25">
        <v>950.9</v>
      </c>
      <c r="F3845" s="25">
        <v>8010973.0</v>
      </c>
    </row>
    <row r="3846">
      <c r="A3846" s="25">
        <v>44053.64583333333</v>
      </c>
      <c r="B3846" s="25">
        <v>948.9</v>
      </c>
      <c r="C3846" s="25">
        <v>956.8</v>
      </c>
      <c r="D3846" s="25">
        <v>945.3</v>
      </c>
      <c r="E3846" s="25">
        <v>951.35</v>
      </c>
      <c r="F3846" s="25">
        <v>5716472.0</v>
      </c>
    </row>
    <row r="3847">
      <c r="A3847" s="25">
        <v>44054.64583333333</v>
      </c>
      <c r="B3847" s="25">
        <v>949.9</v>
      </c>
      <c r="C3847" s="25">
        <v>962.0</v>
      </c>
      <c r="D3847" s="25">
        <v>946.1</v>
      </c>
      <c r="E3847" s="25">
        <v>948.45</v>
      </c>
      <c r="F3847" s="25">
        <v>6802508.0</v>
      </c>
    </row>
    <row r="3848">
      <c r="A3848" s="25">
        <v>44055.64583333333</v>
      </c>
      <c r="B3848" s="25">
        <v>948.0</v>
      </c>
      <c r="C3848" s="25">
        <v>958.8</v>
      </c>
      <c r="D3848" s="25">
        <v>942.2</v>
      </c>
      <c r="E3848" s="25">
        <v>954.95</v>
      </c>
      <c r="F3848" s="25">
        <v>6908732.0</v>
      </c>
    </row>
    <row r="3849">
      <c r="A3849" s="25">
        <v>44056.64583333333</v>
      </c>
      <c r="B3849" s="25">
        <v>954.8</v>
      </c>
      <c r="C3849" s="25">
        <v>968.5</v>
      </c>
      <c r="D3849" s="25">
        <v>948.25</v>
      </c>
      <c r="E3849" s="25">
        <v>951.2</v>
      </c>
      <c r="F3849" s="25">
        <v>5097705.0</v>
      </c>
    </row>
    <row r="3850">
      <c r="A3850" s="25">
        <v>44057.64583333333</v>
      </c>
      <c r="B3850" s="25">
        <v>955.85</v>
      </c>
      <c r="C3850" s="25">
        <v>963.0</v>
      </c>
      <c r="D3850" s="25">
        <v>952.05</v>
      </c>
      <c r="E3850" s="25">
        <v>953.6</v>
      </c>
      <c r="F3850" s="25">
        <v>4663873.0</v>
      </c>
    </row>
    <row r="3851">
      <c r="A3851" s="25">
        <v>44060.64583333333</v>
      </c>
      <c r="B3851" s="25">
        <v>954.1</v>
      </c>
      <c r="C3851" s="25">
        <v>972.45</v>
      </c>
      <c r="D3851" s="25">
        <v>954.1</v>
      </c>
      <c r="E3851" s="25">
        <v>957.5</v>
      </c>
      <c r="F3851" s="25">
        <v>9008716.0</v>
      </c>
    </row>
    <row r="3852">
      <c r="A3852" s="25">
        <v>44061.64583333333</v>
      </c>
      <c r="B3852" s="25">
        <v>963.9</v>
      </c>
      <c r="C3852" s="25">
        <v>969.2</v>
      </c>
      <c r="D3852" s="25">
        <v>958.7</v>
      </c>
      <c r="E3852" s="25">
        <v>967.55</v>
      </c>
      <c r="F3852" s="25">
        <v>6142171.0</v>
      </c>
    </row>
    <row r="3853">
      <c r="A3853" s="25">
        <v>44062.64583333333</v>
      </c>
      <c r="B3853" s="25">
        <v>970.9</v>
      </c>
      <c r="C3853" s="25">
        <v>971.55</v>
      </c>
      <c r="D3853" s="25">
        <v>957.45</v>
      </c>
      <c r="E3853" s="25">
        <v>959.3</v>
      </c>
      <c r="F3853" s="25">
        <v>6622744.0</v>
      </c>
    </row>
    <row r="3854">
      <c r="A3854" s="25">
        <v>44063.64583333333</v>
      </c>
      <c r="B3854" s="25">
        <v>958.9</v>
      </c>
      <c r="C3854" s="25">
        <v>965.5</v>
      </c>
      <c r="D3854" s="25">
        <v>951.3</v>
      </c>
      <c r="E3854" s="25">
        <v>955.15</v>
      </c>
      <c r="F3854" s="25">
        <v>5656667.0</v>
      </c>
    </row>
    <row r="3855">
      <c r="A3855" s="25">
        <v>44064.64583333333</v>
      </c>
      <c r="B3855" s="25">
        <v>963.05</v>
      </c>
      <c r="C3855" s="25">
        <v>963.45</v>
      </c>
      <c r="D3855" s="25">
        <v>946.55</v>
      </c>
      <c r="E3855" s="25">
        <v>948.8</v>
      </c>
      <c r="F3855" s="25">
        <v>6513784.0</v>
      </c>
    </row>
    <row r="3856">
      <c r="A3856" s="25">
        <v>44067.64583333333</v>
      </c>
      <c r="B3856" s="25">
        <v>947.0</v>
      </c>
      <c r="C3856" s="25">
        <v>952.0</v>
      </c>
      <c r="D3856" s="25">
        <v>939.2</v>
      </c>
      <c r="E3856" s="25">
        <v>947.4</v>
      </c>
      <c r="F3856" s="25">
        <v>5798579.0</v>
      </c>
    </row>
    <row r="3857">
      <c r="A3857" s="25">
        <v>44068.64583333333</v>
      </c>
      <c r="B3857" s="25">
        <v>947.5</v>
      </c>
      <c r="C3857" s="25">
        <v>948.65</v>
      </c>
      <c r="D3857" s="25">
        <v>933.6</v>
      </c>
      <c r="E3857" s="25">
        <v>938.1</v>
      </c>
      <c r="F3857" s="25">
        <v>6233923.0</v>
      </c>
    </row>
    <row r="3858">
      <c r="A3858" s="25">
        <v>44069.64583333333</v>
      </c>
      <c r="B3858" s="25">
        <v>941.25</v>
      </c>
      <c r="C3858" s="25">
        <v>954.25</v>
      </c>
      <c r="D3858" s="25">
        <v>938.4</v>
      </c>
      <c r="E3858" s="25">
        <v>950.8</v>
      </c>
      <c r="F3858" s="25">
        <v>5153663.0</v>
      </c>
    </row>
    <row r="3859">
      <c r="A3859" s="25">
        <v>44070.64583333333</v>
      </c>
      <c r="B3859" s="25">
        <v>960.0</v>
      </c>
      <c r="C3859" s="25">
        <v>960.95</v>
      </c>
      <c r="D3859" s="25">
        <v>945.2</v>
      </c>
      <c r="E3859" s="25">
        <v>947.05</v>
      </c>
      <c r="F3859" s="25">
        <v>6154300.0</v>
      </c>
    </row>
    <row r="3860">
      <c r="A3860" s="25">
        <v>44071.64583333333</v>
      </c>
      <c r="B3860" s="25">
        <v>951.45</v>
      </c>
      <c r="C3860" s="25">
        <v>952.5</v>
      </c>
      <c r="D3860" s="25">
        <v>933.05</v>
      </c>
      <c r="E3860" s="25">
        <v>935.25</v>
      </c>
      <c r="F3860" s="25">
        <v>7593988.0</v>
      </c>
    </row>
    <row r="3861">
      <c r="A3861" s="25">
        <v>44074.64583333333</v>
      </c>
      <c r="B3861" s="25">
        <v>935.25</v>
      </c>
      <c r="C3861" s="25">
        <v>950.5</v>
      </c>
      <c r="D3861" s="25">
        <v>914.6</v>
      </c>
      <c r="E3861" s="25">
        <v>928.6</v>
      </c>
      <c r="F3861" s="25">
        <v>1.2808369E7</v>
      </c>
    </row>
    <row r="3862">
      <c r="A3862" s="25">
        <v>44075.64583333333</v>
      </c>
      <c r="B3862" s="25">
        <v>926.25</v>
      </c>
      <c r="C3862" s="25">
        <v>935.0</v>
      </c>
      <c r="D3862" s="25">
        <v>912.1</v>
      </c>
      <c r="E3862" s="25">
        <v>914.15</v>
      </c>
      <c r="F3862" s="25">
        <v>6907783.0</v>
      </c>
    </row>
    <row r="3863">
      <c r="A3863" s="25">
        <v>44076.64583333333</v>
      </c>
      <c r="B3863" s="25">
        <v>915.0</v>
      </c>
      <c r="C3863" s="25">
        <v>926.4</v>
      </c>
      <c r="D3863" s="25">
        <v>913.5</v>
      </c>
      <c r="E3863" s="25">
        <v>924.0</v>
      </c>
      <c r="F3863" s="25">
        <v>5678696.0</v>
      </c>
    </row>
    <row r="3864">
      <c r="A3864" s="25">
        <v>44077.64583333333</v>
      </c>
      <c r="B3864" s="25">
        <v>926.5</v>
      </c>
      <c r="C3864" s="25">
        <v>949.4</v>
      </c>
      <c r="D3864" s="25">
        <v>924.0</v>
      </c>
      <c r="E3864" s="25">
        <v>935.55</v>
      </c>
      <c r="F3864" s="25">
        <v>8828016.0</v>
      </c>
    </row>
    <row r="3865">
      <c r="A3865" s="25">
        <v>44078.64583333333</v>
      </c>
      <c r="B3865" s="25">
        <v>915.0</v>
      </c>
      <c r="C3865" s="25">
        <v>929.5</v>
      </c>
      <c r="D3865" s="25">
        <v>914.45</v>
      </c>
      <c r="E3865" s="25">
        <v>919.15</v>
      </c>
      <c r="F3865" s="25">
        <v>8650414.0</v>
      </c>
    </row>
    <row r="3866">
      <c r="A3866" s="25">
        <v>44081.64583333333</v>
      </c>
      <c r="B3866" s="25">
        <v>918.9</v>
      </c>
      <c r="C3866" s="25">
        <v>927.55</v>
      </c>
      <c r="D3866" s="25">
        <v>913.05</v>
      </c>
      <c r="E3866" s="25">
        <v>925.05</v>
      </c>
      <c r="F3866" s="25">
        <v>6700450.0</v>
      </c>
    </row>
    <row r="3867">
      <c r="A3867" s="25">
        <v>44082.64583333333</v>
      </c>
      <c r="B3867" s="25">
        <v>929.95</v>
      </c>
      <c r="C3867" s="25">
        <v>952.0</v>
      </c>
      <c r="D3867" s="25">
        <v>925.55</v>
      </c>
      <c r="E3867" s="25">
        <v>939.3</v>
      </c>
      <c r="F3867" s="25">
        <v>1.2892115E7</v>
      </c>
    </row>
    <row r="3868">
      <c r="A3868" s="25">
        <v>44083.64583333333</v>
      </c>
      <c r="B3868" s="25">
        <v>935.0</v>
      </c>
      <c r="C3868" s="25">
        <v>946.0</v>
      </c>
      <c r="D3868" s="25">
        <v>926.0</v>
      </c>
      <c r="E3868" s="25">
        <v>927.75</v>
      </c>
      <c r="F3868" s="25">
        <v>5529150.0</v>
      </c>
    </row>
    <row r="3869">
      <c r="A3869" s="25">
        <v>44084.64583333333</v>
      </c>
      <c r="B3869" s="25">
        <v>935.3</v>
      </c>
      <c r="C3869" s="25">
        <v>942.0</v>
      </c>
      <c r="D3869" s="25">
        <v>924.8</v>
      </c>
      <c r="E3869" s="25">
        <v>940.05</v>
      </c>
      <c r="F3869" s="25">
        <v>5172091.0</v>
      </c>
    </row>
    <row r="3870">
      <c r="A3870" s="25">
        <v>44085.64583333333</v>
      </c>
      <c r="B3870" s="25">
        <v>934.9</v>
      </c>
      <c r="C3870" s="25">
        <v>954.15</v>
      </c>
      <c r="D3870" s="25">
        <v>931.0</v>
      </c>
      <c r="E3870" s="25">
        <v>945.7</v>
      </c>
      <c r="F3870" s="25">
        <v>6672082.0</v>
      </c>
    </row>
    <row r="3871">
      <c r="A3871" s="25">
        <v>44088.64583333333</v>
      </c>
      <c r="B3871" s="25">
        <v>957.0</v>
      </c>
      <c r="C3871" s="25">
        <v>991.05</v>
      </c>
      <c r="D3871" s="25">
        <v>948.3</v>
      </c>
      <c r="E3871" s="25">
        <v>978.4</v>
      </c>
      <c r="F3871" s="25">
        <v>2.1871591E7</v>
      </c>
    </row>
    <row r="3872">
      <c r="A3872" s="25">
        <v>44089.64583333333</v>
      </c>
      <c r="B3872" s="25">
        <v>979.5</v>
      </c>
      <c r="C3872" s="25">
        <v>994.0</v>
      </c>
      <c r="D3872" s="25">
        <v>971.65</v>
      </c>
      <c r="E3872" s="25">
        <v>982.45</v>
      </c>
      <c r="F3872" s="25">
        <v>1.1608223E7</v>
      </c>
    </row>
    <row r="3873">
      <c r="A3873" s="25">
        <v>44090.64583333333</v>
      </c>
      <c r="B3873" s="25">
        <v>986.0</v>
      </c>
      <c r="C3873" s="25">
        <v>1005.65</v>
      </c>
      <c r="D3873" s="25">
        <v>982.0</v>
      </c>
      <c r="E3873" s="25">
        <v>1001.75</v>
      </c>
      <c r="F3873" s="25">
        <v>1.0059392E7</v>
      </c>
    </row>
    <row r="3874">
      <c r="A3874" s="25">
        <v>44091.64583333333</v>
      </c>
      <c r="B3874" s="25">
        <v>995.0</v>
      </c>
      <c r="C3874" s="25">
        <v>1021.0</v>
      </c>
      <c r="D3874" s="25">
        <v>995.0</v>
      </c>
      <c r="E3874" s="25">
        <v>1011.0</v>
      </c>
      <c r="F3874" s="25">
        <v>1.5628308E7</v>
      </c>
    </row>
    <row r="3875">
      <c r="A3875" s="25">
        <v>44092.64583333333</v>
      </c>
      <c r="B3875" s="25">
        <v>1011.0</v>
      </c>
      <c r="C3875" s="25">
        <v>1018.8</v>
      </c>
      <c r="D3875" s="25">
        <v>999.1</v>
      </c>
      <c r="E3875" s="25">
        <v>1002.15</v>
      </c>
      <c r="F3875" s="25">
        <v>1.2897897E7</v>
      </c>
    </row>
    <row r="3876">
      <c r="A3876" s="25">
        <v>44095.64583333333</v>
      </c>
      <c r="B3876" s="25">
        <v>1001.0</v>
      </c>
      <c r="C3876" s="25">
        <v>1031.0</v>
      </c>
      <c r="D3876" s="25">
        <v>1000.5</v>
      </c>
      <c r="E3876" s="25">
        <v>1009.9</v>
      </c>
      <c r="F3876" s="25">
        <v>1.414079E7</v>
      </c>
    </row>
    <row r="3877">
      <c r="A3877" s="25">
        <v>44096.64583333333</v>
      </c>
      <c r="B3877" s="25">
        <v>1009.0</v>
      </c>
      <c r="C3877" s="25">
        <v>1022.5</v>
      </c>
      <c r="D3877" s="25">
        <v>991.2</v>
      </c>
      <c r="E3877" s="25">
        <v>1007.5</v>
      </c>
      <c r="F3877" s="25">
        <v>1.2625775E7</v>
      </c>
    </row>
    <row r="3878">
      <c r="A3878" s="25">
        <v>44097.64583333333</v>
      </c>
      <c r="B3878" s="25">
        <v>1020.15</v>
      </c>
      <c r="C3878" s="25">
        <v>1037.0</v>
      </c>
      <c r="D3878" s="25">
        <v>1008.1</v>
      </c>
      <c r="E3878" s="25">
        <v>1019.75</v>
      </c>
      <c r="F3878" s="25">
        <v>1.3486274E7</v>
      </c>
    </row>
    <row r="3879">
      <c r="A3879" s="25">
        <v>44098.64583333333</v>
      </c>
      <c r="B3879" s="25">
        <v>1003.0</v>
      </c>
      <c r="C3879" s="25">
        <v>1009.0</v>
      </c>
      <c r="D3879" s="25">
        <v>970.0</v>
      </c>
      <c r="E3879" s="25">
        <v>975.4</v>
      </c>
      <c r="F3879" s="25">
        <v>1.4427463E7</v>
      </c>
    </row>
    <row r="3880">
      <c r="A3880" s="25">
        <v>44099.64583333333</v>
      </c>
      <c r="B3880" s="25">
        <v>975.8</v>
      </c>
      <c r="C3880" s="25">
        <v>1014.9</v>
      </c>
      <c r="D3880" s="25">
        <v>975.0</v>
      </c>
      <c r="E3880" s="25">
        <v>1011.45</v>
      </c>
      <c r="F3880" s="25">
        <v>1.3311079E7</v>
      </c>
    </row>
    <row r="3881">
      <c r="A3881" s="25">
        <v>44102.64583333333</v>
      </c>
      <c r="B3881" s="25">
        <v>1014.8</v>
      </c>
      <c r="C3881" s="25">
        <v>1016.15</v>
      </c>
      <c r="D3881" s="25">
        <v>998.5</v>
      </c>
      <c r="E3881" s="25">
        <v>1010.4</v>
      </c>
      <c r="F3881" s="25">
        <v>8554583.0</v>
      </c>
    </row>
    <row r="3882">
      <c r="A3882" s="25">
        <v>44103.64583333333</v>
      </c>
      <c r="B3882" s="25">
        <v>1018.0</v>
      </c>
      <c r="C3882" s="25">
        <v>1028.0</v>
      </c>
      <c r="D3882" s="25">
        <v>1004.1</v>
      </c>
      <c r="E3882" s="25">
        <v>1009.0</v>
      </c>
      <c r="F3882" s="25">
        <v>8708572.0</v>
      </c>
    </row>
    <row r="3883">
      <c r="A3883" s="25">
        <v>44104.64583333333</v>
      </c>
      <c r="B3883" s="25">
        <v>1009.0</v>
      </c>
      <c r="C3883" s="25">
        <v>1023.95</v>
      </c>
      <c r="D3883" s="25">
        <v>1005.0</v>
      </c>
      <c r="E3883" s="25">
        <v>1008.25</v>
      </c>
      <c r="F3883" s="25">
        <v>8049899.0</v>
      </c>
    </row>
    <row r="3884">
      <c r="A3884" s="25">
        <v>44105.64583333333</v>
      </c>
      <c r="B3884" s="25">
        <v>1020.6</v>
      </c>
      <c r="C3884" s="25">
        <v>1026.5</v>
      </c>
      <c r="D3884" s="25">
        <v>1011.75</v>
      </c>
      <c r="E3884" s="25">
        <v>1017.65</v>
      </c>
      <c r="F3884" s="25">
        <v>5563432.0</v>
      </c>
    </row>
    <row r="3885">
      <c r="A3885" s="25">
        <v>44109.64583333333</v>
      </c>
      <c r="B3885" s="25">
        <v>1018.05</v>
      </c>
      <c r="C3885" s="25">
        <v>1054.9</v>
      </c>
      <c r="D3885" s="25">
        <v>1018.05</v>
      </c>
      <c r="E3885" s="25">
        <v>1048.7</v>
      </c>
      <c r="F3885" s="25">
        <v>1.421256E7</v>
      </c>
    </row>
    <row r="3886">
      <c r="A3886" s="25">
        <v>44110.64583333333</v>
      </c>
      <c r="B3886" s="25">
        <v>1055.0</v>
      </c>
      <c r="C3886" s="25">
        <v>1060.0</v>
      </c>
      <c r="D3886" s="25">
        <v>1031.35</v>
      </c>
      <c r="E3886" s="25">
        <v>1055.75</v>
      </c>
      <c r="F3886" s="25">
        <v>9090819.0</v>
      </c>
    </row>
    <row r="3887">
      <c r="A3887" s="25">
        <v>44111.64583333333</v>
      </c>
      <c r="B3887" s="25">
        <v>1044.9</v>
      </c>
      <c r="C3887" s="25">
        <v>1072.0</v>
      </c>
      <c r="D3887" s="25">
        <v>1035.5</v>
      </c>
      <c r="E3887" s="25">
        <v>1066.55</v>
      </c>
      <c r="F3887" s="25">
        <v>9284060.0</v>
      </c>
    </row>
    <row r="3888">
      <c r="A3888" s="25">
        <v>44112.64583333333</v>
      </c>
      <c r="B3888" s="25">
        <v>1090.0</v>
      </c>
      <c r="C3888" s="25">
        <v>1124.0</v>
      </c>
      <c r="D3888" s="25">
        <v>1088.4</v>
      </c>
      <c r="E3888" s="25">
        <v>1093.7</v>
      </c>
      <c r="F3888" s="25">
        <v>2.1483024E7</v>
      </c>
    </row>
    <row r="3889">
      <c r="A3889" s="25">
        <v>44113.64583333333</v>
      </c>
      <c r="B3889" s="25">
        <v>1095.1</v>
      </c>
      <c r="C3889" s="25">
        <v>1113.3</v>
      </c>
      <c r="D3889" s="25">
        <v>1088.45</v>
      </c>
      <c r="E3889" s="25">
        <v>1106.8</v>
      </c>
      <c r="F3889" s="25">
        <v>1.0567955E7</v>
      </c>
    </row>
    <row r="3890">
      <c r="A3890" s="25">
        <v>44116.64583333333</v>
      </c>
      <c r="B3890" s="25">
        <v>1123.0</v>
      </c>
      <c r="C3890" s="25">
        <v>1140.0</v>
      </c>
      <c r="D3890" s="25">
        <v>1112.1</v>
      </c>
      <c r="E3890" s="25">
        <v>1132.1</v>
      </c>
      <c r="F3890" s="25">
        <v>1.463378E7</v>
      </c>
    </row>
    <row r="3891">
      <c r="A3891" s="25">
        <v>44117.64583333333</v>
      </c>
      <c r="B3891" s="25">
        <v>1135.55</v>
      </c>
      <c r="C3891" s="25">
        <v>1166.05</v>
      </c>
      <c r="D3891" s="25">
        <v>1135.55</v>
      </c>
      <c r="E3891" s="25">
        <v>1157.8</v>
      </c>
      <c r="F3891" s="25">
        <v>1.7524137E7</v>
      </c>
    </row>
    <row r="3892">
      <c r="A3892" s="25">
        <v>44118.64583333333</v>
      </c>
      <c r="B3892" s="25">
        <v>1162.0</v>
      </c>
      <c r="C3892" s="25">
        <v>1164.9</v>
      </c>
      <c r="D3892" s="25">
        <v>1131.1</v>
      </c>
      <c r="E3892" s="25">
        <v>1137.0</v>
      </c>
      <c r="F3892" s="25">
        <v>1.6649731E7</v>
      </c>
    </row>
    <row r="3893">
      <c r="A3893" s="25">
        <v>44119.64583333333</v>
      </c>
      <c r="B3893" s="25">
        <v>1180.0</v>
      </c>
      <c r="C3893" s="25">
        <v>1186.0</v>
      </c>
      <c r="D3893" s="25">
        <v>1092.5</v>
      </c>
      <c r="E3893" s="25">
        <v>1108.25</v>
      </c>
      <c r="F3893" s="25">
        <v>4.4288566E7</v>
      </c>
    </row>
    <row r="3894">
      <c r="A3894" s="25">
        <v>44120.64583333333</v>
      </c>
      <c r="B3894" s="25">
        <v>1113.85</v>
      </c>
      <c r="C3894" s="25">
        <v>1135.95</v>
      </c>
      <c r="D3894" s="25">
        <v>1096.9</v>
      </c>
      <c r="E3894" s="25">
        <v>1127.5</v>
      </c>
      <c r="F3894" s="25">
        <v>1.8366133E7</v>
      </c>
    </row>
    <row r="3895">
      <c r="A3895" s="25">
        <v>44123.64583333333</v>
      </c>
      <c r="B3895" s="25">
        <v>1135.0</v>
      </c>
      <c r="C3895" s="25">
        <v>1139.0</v>
      </c>
      <c r="D3895" s="25">
        <v>1115.3</v>
      </c>
      <c r="E3895" s="25">
        <v>1125.9</v>
      </c>
      <c r="F3895" s="25">
        <v>1.2902146E7</v>
      </c>
    </row>
    <row r="3896">
      <c r="A3896" s="25">
        <v>44124.64583333333</v>
      </c>
      <c r="B3896" s="25">
        <v>1118.9</v>
      </c>
      <c r="C3896" s="25">
        <v>1144.7</v>
      </c>
      <c r="D3896" s="25">
        <v>1110.0</v>
      </c>
      <c r="E3896" s="25">
        <v>1137.5</v>
      </c>
      <c r="F3896" s="25">
        <v>1.0448852E7</v>
      </c>
    </row>
    <row r="3897">
      <c r="A3897" s="25">
        <v>44125.64583333333</v>
      </c>
      <c r="B3897" s="25">
        <v>1141.15</v>
      </c>
      <c r="C3897" s="25">
        <v>1154.35</v>
      </c>
      <c r="D3897" s="25">
        <v>1135.0</v>
      </c>
      <c r="E3897" s="25">
        <v>1148.35</v>
      </c>
      <c r="F3897" s="25">
        <v>1.9811809E7</v>
      </c>
    </row>
    <row r="3898">
      <c r="A3898" s="25">
        <v>44126.64583333333</v>
      </c>
      <c r="B3898" s="25">
        <v>1142.0</v>
      </c>
      <c r="C3898" s="25">
        <v>1158.0</v>
      </c>
      <c r="D3898" s="25">
        <v>1123.8</v>
      </c>
      <c r="E3898" s="25">
        <v>1129.05</v>
      </c>
      <c r="F3898" s="25">
        <v>1.1271538E7</v>
      </c>
    </row>
    <row r="3899">
      <c r="A3899" s="25">
        <v>44127.64583333333</v>
      </c>
      <c r="B3899" s="25">
        <v>1133.0</v>
      </c>
      <c r="C3899" s="25">
        <v>1135.0</v>
      </c>
      <c r="D3899" s="25">
        <v>1120.15</v>
      </c>
      <c r="E3899" s="25">
        <v>1122.5</v>
      </c>
      <c r="F3899" s="25">
        <v>9070121.0</v>
      </c>
    </row>
    <row r="3900">
      <c r="A3900" s="25">
        <v>44130.64583333333</v>
      </c>
      <c r="B3900" s="25">
        <v>1122.25</v>
      </c>
      <c r="C3900" s="25">
        <v>1129.6</v>
      </c>
      <c r="D3900" s="25">
        <v>1103.15</v>
      </c>
      <c r="E3900" s="25">
        <v>1112.45</v>
      </c>
      <c r="F3900" s="25">
        <v>6309643.0</v>
      </c>
    </row>
    <row r="3901">
      <c r="A3901" s="25">
        <v>44131.64583333333</v>
      </c>
      <c r="B3901" s="25">
        <v>1105.7</v>
      </c>
      <c r="C3901" s="25">
        <v>1109.7</v>
      </c>
      <c r="D3901" s="25">
        <v>1077.15</v>
      </c>
      <c r="E3901" s="25">
        <v>1090.85</v>
      </c>
      <c r="F3901" s="25">
        <v>1.017253E7</v>
      </c>
    </row>
    <row r="3902">
      <c r="A3902" s="25">
        <v>44132.64583333333</v>
      </c>
      <c r="B3902" s="25">
        <v>1095.5</v>
      </c>
      <c r="C3902" s="25">
        <v>1104.75</v>
      </c>
      <c r="D3902" s="25">
        <v>1070.05</v>
      </c>
      <c r="E3902" s="25">
        <v>1076.55</v>
      </c>
      <c r="F3902" s="25">
        <v>7608413.0</v>
      </c>
    </row>
    <row r="3903">
      <c r="A3903" s="25">
        <v>44133.64583333333</v>
      </c>
      <c r="B3903" s="25">
        <v>1070.0</v>
      </c>
      <c r="C3903" s="25">
        <v>1082.0</v>
      </c>
      <c r="D3903" s="25">
        <v>1060.1</v>
      </c>
      <c r="E3903" s="25">
        <v>1074.85</v>
      </c>
      <c r="F3903" s="25">
        <v>6935804.0</v>
      </c>
    </row>
    <row r="3904">
      <c r="A3904" s="25">
        <v>44134.64583333333</v>
      </c>
      <c r="B3904" s="25">
        <v>1072.0</v>
      </c>
      <c r="C3904" s="25">
        <v>1083.6</v>
      </c>
      <c r="D3904" s="25">
        <v>1052.35</v>
      </c>
      <c r="E3904" s="25">
        <v>1060.6</v>
      </c>
      <c r="F3904" s="25">
        <v>8800436.0</v>
      </c>
    </row>
    <row r="3905">
      <c r="A3905" s="25">
        <v>44137.64583333333</v>
      </c>
      <c r="B3905" s="25">
        <v>1065.0</v>
      </c>
      <c r="C3905" s="25">
        <v>1079.95</v>
      </c>
      <c r="D3905" s="25">
        <v>1051.1</v>
      </c>
      <c r="E3905" s="25">
        <v>1072.3</v>
      </c>
      <c r="F3905" s="25">
        <v>7183119.0</v>
      </c>
    </row>
    <row r="3906">
      <c r="A3906" s="25">
        <v>44138.64583333333</v>
      </c>
      <c r="B3906" s="25">
        <v>1072.0</v>
      </c>
      <c r="C3906" s="25">
        <v>1079.4</v>
      </c>
      <c r="D3906" s="25">
        <v>1057.5</v>
      </c>
      <c r="E3906" s="25">
        <v>1062.55</v>
      </c>
      <c r="F3906" s="25">
        <v>7204782.0</v>
      </c>
    </row>
    <row r="3907">
      <c r="A3907" s="25">
        <v>44139.64583333333</v>
      </c>
      <c r="B3907" s="25">
        <v>1068.0</v>
      </c>
      <c r="C3907" s="25">
        <v>1116.0</v>
      </c>
      <c r="D3907" s="25">
        <v>1066.8</v>
      </c>
      <c r="E3907" s="25">
        <v>1093.95</v>
      </c>
      <c r="F3907" s="25">
        <v>1.570269E7</v>
      </c>
    </row>
    <row r="3908">
      <c r="A3908" s="25">
        <v>44140.64583333333</v>
      </c>
      <c r="B3908" s="25">
        <v>1109.9</v>
      </c>
      <c r="C3908" s="25">
        <v>1123.0</v>
      </c>
      <c r="D3908" s="25">
        <v>1099.0</v>
      </c>
      <c r="E3908" s="25">
        <v>1104.0</v>
      </c>
      <c r="F3908" s="25">
        <v>9568890.0</v>
      </c>
    </row>
    <row r="3909">
      <c r="A3909" s="25">
        <v>44141.64583333333</v>
      </c>
      <c r="B3909" s="25">
        <v>1108.0</v>
      </c>
      <c r="C3909" s="25">
        <v>1121.1</v>
      </c>
      <c r="D3909" s="25">
        <v>1091.7</v>
      </c>
      <c r="E3909" s="25">
        <v>1112.75</v>
      </c>
      <c r="F3909" s="25">
        <v>8807127.0</v>
      </c>
    </row>
    <row r="3910">
      <c r="A3910" s="25">
        <v>44144.64583333333</v>
      </c>
      <c r="B3910" s="25">
        <v>1129.3</v>
      </c>
      <c r="C3910" s="25">
        <v>1146.0</v>
      </c>
      <c r="D3910" s="25">
        <v>1121.15</v>
      </c>
      <c r="E3910" s="25">
        <v>1136.55</v>
      </c>
      <c r="F3910" s="25">
        <v>1.016032E7</v>
      </c>
    </row>
    <row r="3911">
      <c r="A3911" s="25">
        <v>44145.64583333333</v>
      </c>
      <c r="B3911" s="25">
        <v>1113.85</v>
      </c>
      <c r="C3911" s="25">
        <v>1113.85</v>
      </c>
      <c r="D3911" s="25">
        <v>1078.0</v>
      </c>
      <c r="E3911" s="25">
        <v>1091.05</v>
      </c>
      <c r="F3911" s="25">
        <v>1.5622869E7</v>
      </c>
    </row>
    <row r="3912">
      <c r="A3912" s="25">
        <v>44146.64583333333</v>
      </c>
      <c r="B3912" s="25">
        <v>1096.0</v>
      </c>
      <c r="C3912" s="25">
        <v>1126.35</v>
      </c>
      <c r="D3912" s="25">
        <v>1087.0</v>
      </c>
      <c r="E3912" s="25">
        <v>1122.5</v>
      </c>
      <c r="F3912" s="25">
        <v>1.25148E7</v>
      </c>
    </row>
    <row r="3913">
      <c r="A3913" s="25">
        <v>44147.64583333333</v>
      </c>
      <c r="B3913" s="25">
        <v>1128.1</v>
      </c>
      <c r="C3913" s="25">
        <v>1142.0</v>
      </c>
      <c r="D3913" s="25">
        <v>1113.75</v>
      </c>
      <c r="E3913" s="25">
        <v>1117.75</v>
      </c>
      <c r="F3913" s="25">
        <v>9180976.0</v>
      </c>
    </row>
    <row r="3914">
      <c r="A3914" s="25">
        <v>44148.64583333333</v>
      </c>
      <c r="B3914" s="25">
        <v>1120.0</v>
      </c>
      <c r="C3914" s="25">
        <v>1133.0</v>
      </c>
      <c r="D3914" s="25">
        <v>1117.0</v>
      </c>
      <c r="E3914" s="25">
        <v>1124.2</v>
      </c>
      <c r="F3914" s="25">
        <v>6363212.0</v>
      </c>
    </row>
    <row r="3915">
      <c r="A3915" s="25">
        <v>44152.64583333333</v>
      </c>
      <c r="B3915" s="25">
        <v>1144.75</v>
      </c>
      <c r="C3915" s="25">
        <v>1145.0</v>
      </c>
      <c r="D3915" s="25">
        <v>1112.65</v>
      </c>
      <c r="E3915" s="25">
        <v>1123.7</v>
      </c>
      <c r="F3915" s="25">
        <v>1.2813968E7</v>
      </c>
    </row>
    <row r="3916">
      <c r="A3916" s="25">
        <v>44153.64583333333</v>
      </c>
      <c r="B3916" s="25">
        <v>1128.5</v>
      </c>
      <c r="C3916" s="25">
        <v>1132.7</v>
      </c>
      <c r="D3916" s="25">
        <v>1101.45</v>
      </c>
      <c r="E3916" s="25">
        <v>1110.55</v>
      </c>
      <c r="F3916" s="25">
        <v>9839468.0</v>
      </c>
    </row>
    <row r="3917">
      <c r="A3917" s="25">
        <v>44154.64583333333</v>
      </c>
      <c r="B3917" s="25">
        <v>1100.0</v>
      </c>
      <c r="C3917" s="25">
        <v>1114.7</v>
      </c>
      <c r="D3917" s="25">
        <v>1093.8</v>
      </c>
      <c r="E3917" s="25">
        <v>1096.75</v>
      </c>
      <c r="F3917" s="25">
        <v>1.0092343E7</v>
      </c>
    </row>
    <row r="3918">
      <c r="A3918" s="25">
        <v>44155.64583333333</v>
      </c>
      <c r="B3918" s="25">
        <v>1106.0</v>
      </c>
      <c r="C3918" s="25">
        <v>1109.0</v>
      </c>
      <c r="D3918" s="25">
        <v>1091.1</v>
      </c>
      <c r="E3918" s="25">
        <v>1103.35</v>
      </c>
      <c r="F3918" s="25">
        <v>8063554.0</v>
      </c>
    </row>
    <row r="3919">
      <c r="A3919" s="25">
        <v>44158.64583333333</v>
      </c>
      <c r="B3919" s="25">
        <v>1105.0</v>
      </c>
      <c r="C3919" s="25">
        <v>1144.8</v>
      </c>
      <c r="D3919" s="25">
        <v>1101.95</v>
      </c>
      <c r="E3919" s="25">
        <v>1139.85</v>
      </c>
      <c r="F3919" s="25">
        <v>1.0546363E7</v>
      </c>
    </row>
    <row r="3920">
      <c r="A3920" s="25">
        <v>44159.64583333333</v>
      </c>
      <c r="B3920" s="25">
        <v>1145.0</v>
      </c>
      <c r="C3920" s="25">
        <v>1154.9</v>
      </c>
      <c r="D3920" s="25">
        <v>1133.35</v>
      </c>
      <c r="E3920" s="25">
        <v>1140.05</v>
      </c>
      <c r="F3920" s="25">
        <v>8515426.0</v>
      </c>
    </row>
    <row r="3921">
      <c r="A3921" s="25">
        <v>44160.64583333333</v>
      </c>
      <c r="B3921" s="25">
        <v>1137.0</v>
      </c>
      <c r="C3921" s="25">
        <v>1143.5</v>
      </c>
      <c r="D3921" s="25">
        <v>1111.25</v>
      </c>
      <c r="E3921" s="25">
        <v>1115.65</v>
      </c>
      <c r="F3921" s="25">
        <v>8958701.0</v>
      </c>
    </row>
    <row r="3922">
      <c r="A3922" s="25">
        <v>44161.64583333333</v>
      </c>
      <c r="B3922" s="25">
        <v>1119.95</v>
      </c>
      <c r="C3922" s="25">
        <v>1119.95</v>
      </c>
      <c r="D3922" s="25">
        <v>1098.3</v>
      </c>
      <c r="E3922" s="25">
        <v>1113.2</v>
      </c>
      <c r="F3922" s="25">
        <v>1.0962256E7</v>
      </c>
    </row>
    <row r="3923">
      <c r="A3923" s="25">
        <v>44162.64583333333</v>
      </c>
      <c r="B3923" s="25">
        <v>1118.0</v>
      </c>
      <c r="C3923" s="25">
        <v>1121.0</v>
      </c>
      <c r="D3923" s="25">
        <v>1091.0</v>
      </c>
      <c r="E3923" s="25">
        <v>1100.0</v>
      </c>
      <c r="F3923" s="25">
        <v>2.5306145E7</v>
      </c>
    </row>
    <row r="3924">
      <c r="A3924" s="25">
        <v>44166.64583333333</v>
      </c>
      <c r="B3924" s="25">
        <v>1105.05</v>
      </c>
      <c r="C3924" s="25">
        <v>1140.25</v>
      </c>
      <c r="D3924" s="25">
        <v>1105.05</v>
      </c>
      <c r="E3924" s="25">
        <v>1137.85</v>
      </c>
      <c r="F3924" s="25">
        <v>8933802.0</v>
      </c>
    </row>
    <row r="3925">
      <c r="A3925" s="25">
        <v>44167.64583333333</v>
      </c>
      <c r="B3925" s="25">
        <v>1134.0</v>
      </c>
      <c r="C3925" s="25">
        <v>1147.45</v>
      </c>
      <c r="D3925" s="25">
        <v>1121.0</v>
      </c>
      <c r="E3925" s="25">
        <v>1140.9</v>
      </c>
      <c r="F3925" s="25">
        <v>6741637.0</v>
      </c>
    </row>
    <row r="3926">
      <c r="A3926" s="25">
        <v>44168.64583333333</v>
      </c>
      <c r="B3926" s="25">
        <v>1147.0</v>
      </c>
      <c r="C3926" s="25">
        <v>1147.0</v>
      </c>
      <c r="D3926" s="25">
        <v>1122.7</v>
      </c>
      <c r="E3926" s="25">
        <v>1126.45</v>
      </c>
      <c r="F3926" s="25">
        <v>1.6212632E7</v>
      </c>
    </row>
    <row r="3927">
      <c r="A3927" s="25">
        <v>44169.64583333333</v>
      </c>
      <c r="B3927" s="25">
        <v>1125.0</v>
      </c>
      <c r="C3927" s="25">
        <v>1137.0</v>
      </c>
      <c r="D3927" s="25">
        <v>1115.0</v>
      </c>
      <c r="E3927" s="25">
        <v>1134.65</v>
      </c>
      <c r="F3927" s="25">
        <v>1.0564055E7</v>
      </c>
    </row>
    <row r="3928">
      <c r="A3928" s="25">
        <v>44172.64583333333</v>
      </c>
      <c r="B3928" s="25">
        <v>1147.3</v>
      </c>
      <c r="C3928" s="25">
        <v>1153.0</v>
      </c>
      <c r="D3928" s="25">
        <v>1136.0</v>
      </c>
      <c r="E3928" s="25">
        <v>1143.5</v>
      </c>
      <c r="F3928" s="25">
        <v>7792141.0</v>
      </c>
    </row>
    <row r="3929">
      <c r="A3929" s="25">
        <v>44173.64583333333</v>
      </c>
      <c r="B3929" s="25">
        <v>1145.0</v>
      </c>
      <c r="C3929" s="25">
        <v>1167.0</v>
      </c>
      <c r="D3929" s="25">
        <v>1145.0</v>
      </c>
      <c r="E3929" s="25">
        <v>1153.35</v>
      </c>
      <c r="F3929" s="25">
        <v>1.230833E7</v>
      </c>
    </row>
    <row r="3930">
      <c r="A3930" s="25">
        <v>44174.64583333333</v>
      </c>
      <c r="B3930" s="25">
        <v>1168.05</v>
      </c>
      <c r="C3930" s="25">
        <v>1179.5</v>
      </c>
      <c r="D3930" s="25">
        <v>1157.0</v>
      </c>
      <c r="E3930" s="25">
        <v>1175.2</v>
      </c>
      <c r="F3930" s="25">
        <v>1.0039346E7</v>
      </c>
    </row>
    <row r="3931">
      <c r="A3931" s="25">
        <v>44175.64583333333</v>
      </c>
      <c r="B3931" s="25">
        <v>1157.4</v>
      </c>
      <c r="C3931" s="25">
        <v>1171.65</v>
      </c>
      <c r="D3931" s="25">
        <v>1150.0</v>
      </c>
      <c r="E3931" s="25">
        <v>1167.75</v>
      </c>
      <c r="F3931" s="25">
        <v>9488782.0</v>
      </c>
    </row>
    <row r="3932">
      <c r="A3932" s="25">
        <v>44176.64583333333</v>
      </c>
      <c r="B3932" s="25">
        <v>1159.7</v>
      </c>
      <c r="C3932" s="25">
        <v>1171.95</v>
      </c>
      <c r="D3932" s="25">
        <v>1155.25</v>
      </c>
      <c r="E3932" s="25">
        <v>1163.2</v>
      </c>
      <c r="F3932" s="25">
        <v>1.0574009E7</v>
      </c>
    </row>
    <row r="3933">
      <c r="A3933" s="25">
        <v>44179.64583333333</v>
      </c>
      <c r="B3933" s="25">
        <v>1169.4</v>
      </c>
      <c r="C3933" s="25">
        <v>1172.6</v>
      </c>
      <c r="D3933" s="25">
        <v>1148.2</v>
      </c>
      <c r="E3933" s="25">
        <v>1164.55</v>
      </c>
      <c r="F3933" s="25">
        <v>6728187.0</v>
      </c>
    </row>
    <row r="3934">
      <c r="A3934" s="25">
        <v>44180.64583333333</v>
      </c>
      <c r="B3934" s="25">
        <v>1156.0</v>
      </c>
      <c r="C3934" s="25">
        <v>1163.7</v>
      </c>
      <c r="D3934" s="25">
        <v>1152.0</v>
      </c>
      <c r="E3934" s="25">
        <v>1154.6</v>
      </c>
      <c r="F3934" s="25">
        <v>6905926.0</v>
      </c>
    </row>
    <row r="3935">
      <c r="A3935" s="25">
        <v>44181.64583333333</v>
      </c>
      <c r="B3935" s="25">
        <v>1160.0</v>
      </c>
      <c r="C3935" s="25">
        <v>1168.9</v>
      </c>
      <c r="D3935" s="25">
        <v>1153.6</v>
      </c>
      <c r="E3935" s="25">
        <v>1165.7</v>
      </c>
      <c r="F3935" s="25">
        <v>7788404.0</v>
      </c>
    </row>
    <row r="3936">
      <c r="A3936" s="25">
        <v>44182.64583333333</v>
      </c>
      <c r="B3936" s="25">
        <v>1165.9</v>
      </c>
      <c r="C3936" s="25">
        <v>1168.9</v>
      </c>
      <c r="D3936" s="25">
        <v>1156.2</v>
      </c>
      <c r="E3936" s="25">
        <v>1159.2</v>
      </c>
      <c r="F3936" s="25">
        <v>6658153.0</v>
      </c>
    </row>
    <row r="3937">
      <c r="A3937" s="25">
        <v>44183.64583333333</v>
      </c>
      <c r="B3937" s="25">
        <v>1182.85</v>
      </c>
      <c r="C3937" s="25">
        <v>1195.0</v>
      </c>
      <c r="D3937" s="25">
        <v>1175.6</v>
      </c>
      <c r="E3937" s="25">
        <v>1189.8</v>
      </c>
      <c r="F3937" s="25">
        <v>1.5995676E7</v>
      </c>
    </row>
    <row r="3938">
      <c r="A3938" s="25">
        <v>44186.64583333333</v>
      </c>
      <c r="B3938" s="25">
        <v>1188.0</v>
      </c>
      <c r="C3938" s="25">
        <v>1209.75</v>
      </c>
      <c r="D3938" s="25">
        <v>1152.05</v>
      </c>
      <c r="E3938" s="25">
        <v>1177.3</v>
      </c>
      <c r="F3938" s="25">
        <v>1.0858352E7</v>
      </c>
    </row>
    <row r="3939">
      <c r="A3939" s="25">
        <v>44187.64583333333</v>
      </c>
      <c r="B3939" s="25">
        <v>1182.0</v>
      </c>
      <c r="C3939" s="25">
        <v>1223.85</v>
      </c>
      <c r="D3939" s="25">
        <v>1176.1</v>
      </c>
      <c r="E3939" s="25">
        <v>1220.5</v>
      </c>
      <c r="F3939" s="25">
        <v>1.0901851E7</v>
      </c>
    </row>
    <row r="3940">
      <c r="A3940" s="25">
        <v>44188.64583333333</v>
      </c>
      <c r="B3940" s="25">
        <v>1238.0</v>
      </c>
      <c r="C3940" s="25">
        <v>1258.85</v>
      </c>
      <c r="D3940" s="25">
        <v>1230.55</v>
      </c>
      <c r="E3940" s="25">
        <v>1253.05</v>
      </c>
      <c r="F3940" s="25">
        <v>1.5878346E7</v>
      </c>
    </row>
    <row r="3941">
      <c r="A3941" s="25">
        <v>44189.64583333333</v>
      </c>
      <c r="B3941" s="25">
        <v>1249.9</v>
      </c>
      <c r="C3941" s="25">
        <v>1249.9</v>
      </c>
      <c r="D3941" s="25">
        <v>1226.0</v>
      </c>
      <c r="E3941" s="25">
        <v>1236.05</v>
      </c>
      <c r="F3941" s="25">
        <v>7313885.0</v>
      </c>
    </row>
    <row r="3942">
      <c r="A3942" s="25">
        <v>44193.64583333333</v>
      </c>
      <c r="B3942" s="25">
        <v>1238.45</v>
      </c>
      <c r="C3942" s="25">
        <v>1248.0</v>
      </c>
      <c r="D3942" s="25">
        <v>1236.0</v>
      </c>
      <c r="E3942" s="25">
        <v>1240.3</v>
      </c>
      <c r="F3942" s="25">
        <v>4607051.0</v>
      </c>
    </row>
    <row r="3943">
      <c r="A3943" s="25">
        <v>44194.64583333333</v>
      </c>
      <c r="B3943" s="25">
        <v>1235.0</v>
      </c>
      <c r="C3943" s="25">
        <v>1254.45</v>
      </c>
      <c r="D3943" s="25">
        <v>1235.0</v>
      </c>
      <c r="E3943" s="25">
        <v>1250.3</v>
      </c>
      <c r="F3943" s="25">
        <v>6878105.0</v>
      </c>
    </row>
    <row r="3944">
      <c r="A3944" s="25">
        <v>44195.64583333333</v>
      </c>
      <c r="B3944" s="25">
        <v>1253.0</v>
      </c>
      <c r="C3944" s="25">
        <v>1253.3</v>
      </c>
      <c r="D3944" s="25">
        <v>1238.15</v>
      </c>
      <c r="E3944" s="25">
        <v>1246.8</v>
      </c>
      <c r="F3944" s="25">
        <v>5194690.0</v>
      </c>
    </row>
    <row r="3945">
      <c r="A3945" s="25">
        <v>44196.64583333333</v>
      </c>
      <c r="B3945" s="25">
        <v>1243.0</v>
      </c>
      <c r="C3945" s="25">
        <v>1258.4</v>
      </c>
      <c r="D3945" s="25">
        <v>1239.0</v>
      </c>
      <c r="E3945" s="25">
        <v>1255.8</v>
      </c>
      <c r="F3945" s="25">
        <v>7430470.0</v>
      </c>
    </row>
    <row r="3946">
      <c r="A3946" s="25">
        <v>44197.64583333333</v>
      </c>
      <c r="B3946" s="25">
        <v>1257.9</v>
      </c>
      <c r="C3946" s="25">
        <v>1265.5</v>
      </c>
      <c r="D3946" s="25">
        <v>1255.8</v>
      </c>
      <c r="E3946" s="25">
        <v>1260.45</v>
      </c>
      <c r="F3946" s="25">
        <v>4253550.0</v>
      </c>
    </row>
    <row r="3947">
      <c r="A3947" s="25">
        <v>44200.64583333333</v>
      </c>
      <c r="B3947" s="25">
        <v>1269.0</v>
      </c>
      <c r="C3947" s="25">
        <v>1290.0</v>
      </c>
      <c r="D3947" s="25">
        <v>1261.15</v>
      </c>
      <c r="E3947" s="25">
        <v>1288.25</v>
      </c>
      <c r="F3947" s="25">
        <v>7208454.0</v>
      </c>
    </row>
    <row r="3948">
      <c r="A3948" s="25">
        <v>44201.64583333333</v>
      </c>
      <c r="B3948" s="25">
        <v>1282.0</v>
      </c>
      <c r="C3948" s="25">
        <v>1299.0</v>
      </c>
      <c r="D3948" s="25">
        <v>1275.05</v>
      </c>
      <c r="E3948" s="25">
        <v>1293.8</v>
      </c>
      <c r="F3948" s="25">
        <v>8145280.0</v>
      </c>
    </row>
    <row r="3949">
      <c r="A3949" s="25">
        <v>44202.64583333333</v>
      </c>
      <c r="B3949" s="25">
        <v>1300.0</v>
      </c>
      <c r="C3949" s="25">
        <v>1302.0</v>
      </c>
      <c r="D3949" s="25">
        <v>1268.05</v>
      </c>
      <c r="E3949" s="25">
        <v>1282.1</v>
      </c>
      <c r="F3949" s="25">
        <v>7161715.0</v>
      </c>
    </row>
    <row r="3950">
      <c r="A3950" s="25">
        <v>44203.64583333333</v>
      </c>
      <c r="B3950" s="25">
        <v>1296.0</v>
      </c>
      <c r="C3950" s="25">
        <v>1297.65</v>
      </c>
      <c r="D3950" s="25">
        <v>1255.5</v>
      </c>
      <c r="E3950" s="25">
        <v>1262.15</v>
      </c>
      <c r="F3950" s="25">
        <v>1.0954918E7</v>
      </c>
    </row>
    <row r="3951">
      <c r="A3951" s="25">
        <v>44204.64583333333</v>
      </c>
      <c r="B3951" s="25">
        <v>1278.25</v>
      </c>
      <c r="C3951" s="25">
        <v>1316.8</v>
      </c>
      <c r="D3951" s="25">
        <v>1278.25</v>
      </c>
      <c r="E3951" s="25">
        <v>1312.1</v>
      </c>
      <c r="F3951" s="25">
        <v>1.3186251E7</v>
      </c>
    </row>
    <row r="3952">
      <c r="A3952" s="25">
        <v>44207.64583333333</v>
      </c>
      <c r="B3952" s="25">
        <v>1342.1</v>
      </c>
      <c r="C3952" s="25">
        <v>1383.35</v>
      </c>
      <c r="D3952" s="25">
        <v>1340.0</v>
      </c>
      <c r="E3952" s="25">
        <v>1376.2</v>
      </c>
      <c r="F3952" s="25">
        <v>2.0528626E7</v>
      </c>
    </row>
    <row r="3953">
      <c r="A3953" s="25">
        <v>44208.64583333333</v>
      </c>
      <c r="B3953" s="25">
        <v>1378.0</v>
      </c>
      <c r="C3953" s="25">
        <v>1378.0</v>
      </c>
      <c r="D3953" s="25">
        <v>1360.0</v>
      </c>
      <c r="E3953" s="25">
        <v>1371.75</v>
      </c>
      <c r="F3953" s="25">
        <v>8309868.0</v>
      </c>
    </row>
    <row r="3954">
      <c r="A3954" s="25">
        <v>44209.64583333333</v>
      </c>
      <c r="B3954" s="25">
        <v>1373.85</v>
      </c>
      <c r="C3954" s="25">
        <v>1392.8</v>
      </c>
      <c r="D3954" s="25">
        <v>1360.0</v>
      </c>
      <c r="E3954" s="25">
        <v>1387.15</v>
      </c>
      <c r="F3954" s="25">
        <v>1.4442997E7</v>
      </c>
    </row>
    <row r="3955">
      <c r="A3955" s="25">
        <v>44210.64583333333</v>
      </c>
      <c r="B3955" s="25">
        <v>1360.0</v>
      </c>
      <c r="C3955" s="25">
        <v>1384.0</v>
      </c>
      <c r="D3955" s="25">
        <v>1318.45</v>
      </c>
      <c r="E3955" s="25">
        <v>1370.5</v>
      </c>
      <c r="F3955" s="25">
        <v>2.7521697E7</v>
      </c>
    </row>
    <row r="3956">
      <c r="A3956" s="25">
        <v>44211.64583333333</v>
      </c>
      <c r="B3956" s="25">
        <v>1360.0</v>
      </c>
      <c r="C3956" s="25">
        <v>1364.45</v>
      </c>
      <c r="D3956" s="25">
        <v>1340.0</v>
      </c>
      <c r="E3956" s="25">
        <v>1344.95</v>
      </c>
      <c r="F3956" s="25">
        <v>1.5018441E7</v>
      </c>
    </row>
    <row r="3957">
      <c r="A3957" s="25">
        <v>44214.64583333333</v>
      </c>
      <c r="B3957" s="25">
        <v>1338.0</v>
      </c>
      <c r="C3957" s="25">
        <v>1340.0</v>
      </c>
      <c r="D3957" s="25">
        <v>1306.0</v>
      </c>
      <c r="E3957" s="25">
        <v>1312.05</v>
      </c>
      <c r="F3957" s="25">
        <v>8861765.0</v>
      </c>
    </row>
    <row r="3958">
      <c r="A3958" s="25">
        <v>44215.64583333333</v>
      </c>
      <c r="B3958" s="25">
        <v>1320.0</v>
      </c>
      <c r="C3958" s="25">
        <v>1331.0</v>
      </c>
      <c r="D3958" s="25">
        <v>1312.0</v>
      </c>
      <c r="E3958" s="25">
        <v>1316.65</v>
      </c>
      <c r="F3958" s="25">
        <v>5585744.0</v>
      </c>
    </row>
    <row r="3959">
      <c r="A3959" s="25">
        <v>44216.64583333333</v>
      </c>
      <c r="B3959" s="25">
        <v>1320.55</v>
      </c>
      <c r="C3959" s="25">
        <v>1348.4</v>
      </c>
      <c r="D3959" s="25">
        <v>1320.55</v>
      </c>
      <c r="E3959" s="25">
        <v>1339.45</v>
      </c>
      <c r="F3959" s="25">
        <v>8225838.0</v>
      </c>
    </row>
    <row r="3960">
      <c r="A3960" s="25">
        <v>44217.64583333333</v>
      </c>
      <c r="B3960" s="25">
        <v>1350.0</v>
      </c>
      <c r="C3960" s="25">
        <v>1361.05</v>
      </c>
      <c r="D3960" s="25">
        <v>1335.0</v>
      </c>
      <c r="E3960" s="25">
        <v>1339.7</v>
      </c>
      <c r="F3960" s="25">
        <v>6142421.0</v>
      </c>
    </row>
    <row r="3961">
      <c r="A3961" s="25">
        <v>44218.64583333333</v>
      </c>
      <c r="B3961" s="25">
        <v>1327.0</v>
      </c>
      <c r="C3961" s="25">
        <v>1356.0</v>
      </c>
      <c r="D3961" s="25">
        <v>1326.55</v>
      </c>
      <c r="E3961" s="25">
        <v>1340.85</v>
      </c>
      <c r="F3961" s="25">
        <v>9646591.0</v>
      </c>
    </row>
    <row r="3962">
      <c r="A3962" s="25">
        <v>44221.64583333333</v>
      </c>
      <c r="B3962" s="25">
        <v>1345.0</v>
      </c>
      <c r="C3962" s="25">
        <v>1347.9</v>
      </c>
      <c r="D3962" s="25">
        <v>1313.0</v>
      </c>
      <c r="E3962" s="25">
        <v>1325.1</v>
      </c>
      <c r="F3962" s="25">
        <v>6542611.0</v>
      </c>
    </row>
    <row r="3963">
      <c r="A3963" s="25">
        <v>44223.64583333333</v>
      </c>
      <c r="B3963" s="25">
        <v>1319.6</v>
      </c>
      <c r="C3963" s="25">
        <v>1327.55</v>
      </c>
      <c r="D3963" s="25">
        <v>1285.1</v>
      </c>
      <c r="E3963" s="25">
        <v>1301.0</v>
      </c>
      <c r="F3963" s="25">
        <v>8133665.0</v>
      </c>
    </row>
    <row r="3964">
      <c r="A3964" s="25">
        <v>44224.64583333333</v>
      </c>
      <c r="B3964" s="25">
        <v>1291.8</v>
      </c>
      <c r="C3964" s="25">
        <v>1296.45</v>
      </c>
      <c r="D3964" s="25">
        <v>1272.55</v>
      </c>
      <c r="E3964" s="25">
        <v>1276.2</v>
      </c>
      <c r="F3964" s="25">
        <v>4660690.0</v>
      </c>
    </row>
    <row r="3965">
      <c r="A3965" s="25">
        <v>44225.64583333333</v>
      </c>
      <c r="B3965" s="25">
        <v>1286.25</v>
      </c>
      <c r="C3965" s="25">
        <v>1291.15</v>
      </c>
      <c r="D3965" s="25">
        <v>1231.0</v>
      </c>
      <c r="E3965" s="25">
        <v>1239.05</v>
      </c>
      <c r="F3965" s="25">
        <v>1.2183519E7</v>
      </c>
    </row>
    <row r="3966">
      <c r="A3966" s="25">
        <v>44228.64583333333</v>
      </c>
      <c r="B3966" s="25">
        <v>1250.55</v>
      </c>
      <c r="C3966" s="25">
        <v>1277.95</v>
      </c>
      <c r="D3966" s="25">
        <v>1241.0</v>
      </c>
      <c r="E3966" s="25">
        <v>1260.9</v>
      </c>
      <c r="F3966" s="25">
        <v>8880279.0</v>
      </c>
    </row>
    <row r="3967">
      <c r="A3967" s="25">
        <v>44229.64583333333</v>
      </c>
      <c r="B3967" s="25">
        <v>1280.0</v>
      </c>
      <c r="C3967" s="25">
        <v>1294.4</v>
      </c>
      <c r="D3967" s="25">
        <v>1263.6</v>
      </c>
      <c r="E3967" s="25">
        <v>1271.25</v>
      </c>
      <c r="F3967" s="25">
        <v>6892490.0</v>
      </c>
    </row>
    <row r="3968">
      <c r="A3968" s="25">
        <v>44230.64583333333</v>
      </c>
      <c r="B3968" s="25">
        <v>1277.65</v>
      </c>
      <c r="C3968" s="25">
        <v>1304.0</v>
      </c>
      <c r="D3968" s="25">
        <v>1273.0</v>
      </c>
      <c r="E3968" s="25">
        <v>1284.65</v>
      </c>
      <c r="F3968" s="25">
        <v>8182968.0</v>
      </c>
    </row>
    <row r="3969">
      <c r="A3969" s="25">
        <v>44231.64583333333</v>
      </c>
      <c r="B3969" s="25">
        <v>1285.0</v>
      </c>
      <c r="C3969" s="25">
        <v>1293.4</v>
      </c>
      <c r="D3969" s="25">
        <v>1272.05</v>
      </c>
      <c r="E3969" s="25">
        <v>1279.35</v>
      </c>
      <c r="F3969" s="25">
        <v>5032240.0</v>
      </c>
    </row>
    <row r="3970">
      <c r="A3970" s="25">
        <v>44232.64583333333</v>
      </c>
      <c r="B3970" s="25">
        <v>1286.4</v>
      </c>
      <c r="C3970" s="25">
        <v>1288.75</v>
      </c>
      <c r="D3970" s="25">
        <v>1262.0</v>
      </c>
      <c r="E3970" s="25">
        <v>1272.1</v>
      </c>
      <c r="F3970" s="25">
        <v>5477481.0</v>
      </c>
    </row>
    <row r="3971">
      <c r="A3971" s="25">
        <v>44235.64583333333</v>
      </c>
      <c r="B3971" s="25">
        <v>1285.5</v>
      </c>
      <c r="C3971" s="25">
        <v>1310.0</v>
      </c>
      <c r="D3971" s="25">
        <v>1275.5</v>
      </c>
      <c r="E3971" s="25">
        <v>1303.55</v>
      </c>
      <c r="F3971" s="25">
        <v>6921922.0</v>
      </c>
    </row>
    <row r="3972">
      <c r="A3972" s="25">
        <v>44236.64583333333</v>
      </c>
      <c r="B3972" s="25">
        <v>1306.9</v>
      </c>
      <c r="C3972" s="25">
        <v>1332.0</v>
      </c>
      <c r="D3972" s="25">
        <v>1297.85</v>
      </c>
      <c r="E3972" s="25">
        <v>1305.55</v>
      </c>
      <c r="F3972" s="25">
        <v>7965949.0</v>
      </c>
    </row>
    <row r="3973">
      <c r="A3973" s="25">
        <v>44237.64583333333</v>
      </c>
      <c r="B3973" s="25">
        <v>1295.8</v>
      </c>
      <c r="C3973" s="25">
        <v>1304.35</v>
      </c>
      <c r="D3973" s="25">
        <v>1283.6</v>
      </c>
      <c r="E3973" s="25">
        <v>1296.5</v>
      </c>
      <c r="F3973" s="25">
        <v>5951207.0</v>
      </c>
    </row>
    <row r="3974">
      <c r="A3974" s="25">
        <v>44238.64583333333</v>
      </c>
      <c r="B3974" s="25">
        <v>1289.0</v>
      </c>
      <c r="C3974" s="25">
        <v>1296.0</v>
      </c>
      <c r="D3974" s="25">
        <v>1283.05</v>
      </c>
      <c r="E3974" s="25">
        <v>1292.65</v>
      </c>
      <c r="F3974" s="25">
        <v>4673317.0</v>
      </c>
    </row>
    <row r="3975">
      <c r="A3975" s="25">
        <v>44239.64583333333</v>
      </c>
      <c r="B3975" s="25">
        <v>1305.0</v>
      </c>
      <c r="C3975" s="25">
        <v>1323.75</v>
      </c>
      <c r="D3975" s="25">
        <v>1301.55</v>
      </c>
      <c r="E3975" s="25">
        <v>1309.8</v>
      </c>
      <c r="F3975" s="25">
        <v>5797875.0</v>
      </c>
    </row>
    <row r="3976">
      <c r="A3976" s="25">
        <v>44242.64583333333</v>
      </c>
      <c r="B3976" s="25">
        <v>1320.0</v>
      </c>
      <c r="C3976" s="25">
        <v>1328.4</v>
      </c>
      <c r="D3976" s="25">
        <v>1307.1</v>
      </c>
      <c r="E3976" s="25">
        <v>1309.65</v>
      </c>
      <c r="F3976" s="25">
        <v>4363513.0</v>
      </c>
    </row>
    <row r="3977">
      <c r="A3977" s="25">
        <v>44243.64583333333</v>
      </c>
      <c r="B3977" s="25">
        <v>1314.0</v>
      </c>
      <c r="C3977" s="25">
        <v>1319.75</v>
      </c>
      <c r="D3977" s="25">
        <v>1286.0</v>
      </c>
      <c r="E3977" s="25">
        <v>1290.4</v>
      </c>
      <c r="F3977" s="25">
        <v>6896421.0</v>
      </c>
    </row>
    <row r="3978">
      <c r="A3978" s="25">
        <v>44244.64583333333</v>
      </c>
      <c r="B3978" s="25">
        <v>1290.4</v>
      </c>
      <c r="C3978" s="25">
        <v>1294.5</v>
      </c>
      <c r="D3978" s="25">
        <v>1275.0</v>
      </c>
      <c r="E3978" s="25">
        <v>1281.3</v>
      </c>
      <c r="F3978" s="25">
        <v>4575741.0</v>
      </c>
    </row>
    <row r="3979">
      <c r="A3979" s="25">
        <v>44245.64583333333</v>
      </c>
      <c r="B3979" s="25">
        <v>1276.0</v>
      </c>
      <c r="C3979" s="25">
        <v>1306.0</v>
      </c>
      <c r="D3979" s="25">
        <v>1275.0</v>
      </c>
      <c r="E3979" s="25">
        <v>1292.45</v>
      </c>
      <c r="F3979" s="25">
        <v>6437551.0</v>
      </c>
    </row>
    <row r="3980">
      <c r="A3980" s="25">
        <v>44246.64583333333</v>
      </c>
      <c r="B3980" s="25">
        <v>1296.1</v>
      </c>
      <c r="C3980" s="25">
        <v>1299.5</v>
      </c>
      <c r="D3980" s="25">
        <v>1276.8</v>
      </c>
      <c r="E3980" s="25">
        <v>1291.3</v>
      </c>
      <c r="F3980" s="25">
        <v>5389696.0</v>
      </c>
    </row>
    <row r="3981">
      <c r="A3981" s="25">
        <v>44249.64583333333</v>
      </c>
      <c r="B3981" s="25">
        <v>1295.0</v>
      </c>
      <c r="C3981" s="25">
        <v>1308.55</v>
      </c>
      <c r="D3981" s="25">
        <v>1260.0</v>
      </c>
      <c r="E3981" s="25">
        <v>1265.2</v>
      </c>
      <c r="F3981" s="25">
        <v>7371303.0</v>
      </c>
    </row>
    <row r="3982">
      <c r="A3982" s="25">
        <v>44250.64583333333</v>
      </c>
      <c r="B3982" s="25">
        <v>1271.15</v>
      </c>
      <c r="C3982" s="25">
        <v>1291.0</v>
      </c>
      <c r="D3982" s="25">
        <v>1257.55</v>
      </c>
      <c r="E3982" s="25">
        <v>1266.35</v>
      </c>
      <c r="F3982" s="25">
        <v>6612942.0</v>
      </c>
    </row>
    <row r="3983">
      <c r="A3983" s="25">
        <v>44251.64583333333</v>
      </c>
      <c r="B3983" s="25">
        <v>1260.05</v>
      </c>
      <c r="C3983" s="25">
        <v>1276.6</v>
      </c>
      <c r="D3983" s="25">
        <v>1252.0</v>
      </c>
      <c r="E3983" s="25">
        <v>1274.3</v>
      </c>
      <c r="F3983" s="25">
        <v>4537258.0</v>
      </c>
    </row>
    <row r="3984">
      <c r="A3984" s="25">
        <v>44252.64583333333</v>
      </c>
      <c r="B3984" s="25">
        <v>1288.45</v>
      </c>
      <c r="C3984" s="25">
        <v>1299.75</v>
      </c>
      <c r="D3984" s="25">
        <v>1272.0</v>
      </c>
      <c r="E3984" s="25">
        <v>1274.55</v>
      </c>
      <c r="F3984" s="25">
        <v>8788221.0</v>
      </c>
    </row>
    <row r="3985">
      <c r="A3985" s="25">
        <v>44253.64583333333</v>
      </c>
      <c r="B3985" s="25">
        <v>1269.0</v>
      </c>
      <c r="C3985" s="25">
        <v>1274.3</v>
      </c>
      <c r="D3985" s="25">
        <v>1244.75</v>
      </c>
      <c r="E3985" s="25">
        <v>1253.3</v>
      </c>
      <c r="F3985" s="25">
        <v>1.5132388E7</v>
      </c>
    </row>
    <row r="3986">
      <c r="A3986" s="25">
        <v>44256.64583333333</v>
      </c>
      <c r="B3986" s="25">
        <v>1263.3</v>
      </c>
      <c r="C3986" s="25">
        <v>1284.5</v>
      </c>
      <c r="D3986" s="25">
        <v>1259.0</v>
      </c>
      <c r="E3986" s="25">
        <v>1267.0</v>
      </c>
      <c r="F3986" s="25">
        <v>5756286.0</v>
      </c>
    </row>
    <row r="3987">
      <c r="A3987" s="25">
        <v>44257.64583333333</v>
      </c>
      <c r="B3987" s="25">
        <v>1282.25</v>
      </c>
      <c r="C3987" s="25">
        <v>1310.0</v>
      </c>
      <c r="D3987" s="25">
        <v>1279.2</v>
      </c>
      <c r="E3987" s="25">
        <v>1304.5</v>
      </c>
      <c r="F3987" s="25">
        <v>1.0461434E7</v>
      </c>
    </row>
    <row r="3988">
      <c r="A3988" s="25">
        <v>44258.64583333333</v>
      </c>
      <c r="B3988" s="25">
        <v>1319.2</v>
      </c>
      <c r="C3988" s="25">
        <v>1347.0</v>
      </c>
      <c r="D3988" s="25">
        <v>1308.0</v>
      </c>
      <c r="E3988" s="25">
        <v>1343.55</v>
      </c>
      <c r="F3988" s="25">
        <v>9056399.0</v>
      </c>
    </row>
    <row r="3989">
      <c r="A3989" s="25">
        <v>44259.64583333333</v>
      </c>
      <c r="B3989" s="25">
        <v>1335.0</v>
      </c>
      <c r="C3989" s="25">
        <v>1363.85</v>
      </c>
      <c r="D3989" s="25">
        <v>1325.9</v>
      </c>
      <c r="E3989" s="25">
        <v>1330.35</v>
      </c>
      <c r="F3989" s="25">
        <v>1.2041941E7</v>
      </c>
    </row>
    <row r="3990">
      <c r="A3990" s="25">
        <v>44260.64583333333</v>
      </c>
      <c r="B3990" s="25">
        <v>1328.5</v>
      </c>
      <c r="C3990" s="25">
        <v>1340.0</v>
      </c>
      <c r="D3990" s="25">
        <v>1305.05</v>
      </c>
      <c r="E3990" s="25">
        <v>1316.7</v>
      </c>
      <c r="F3990" s="25">
        <v>6486176.0</v>
      </c>
    </row>
    <row r="3991">
      <c r="A3991" s="25">
        <v>44263.64583333333</v>
      </c>
      <c r="B3991" s="25">
        <v>1324.8</v>
      </c>
      <c r="C3991" s="25">
        <v>1346.1</v>
      </c>
      <c r="D3991" s="25">
        <v>1317.2</v>
      </c>
      <c r="E3991" s="25">
        <v>1335.75</v>
      </c>
      <c r="F3991" s="25">
        <v>5119392.0</v>
      </c>
    </row>
    <row r="3992">
      <c r="A3992" s="25">
        <v>44264.64583333333</v>
      </c>
      <c r="B3992" s="25">
        <v>1329.5</v>
      </c>
      <c r="C3992" s="25">
        <v>1350.45</v>
      </c>
      <c r="D3992" s="25">
        <v>1318.75</v>
      </c>
      <c r="E3992" s="25">
        <v>1345.55</v>
      </c>
      <c r="F3992" s="25">
        <v>6518173.0</v>
      </c>
    </row>
    <row r="3993">
      <c r="A3993" s="25">
        <v>44265.64583333333</v>
      </c>
      <c r="B3993" s="25">
        <v>1356.9</v>
      </c>
      <c r="C3993" s="25">
        <v>1374.0</v>
      </c>
      <c r="D3993" s="25">
        <v>1355.0</v>
      </c>
      <c r="E3993" s="25">
        <v>1368.15</v>
      </c>
      <c r="F3993" s="25">
        <v>7925984.0</v>
      </c>
    </row>
    <row r="3994">
      <c r="A3994" s="25">
        <v>44267.64583333333</v>
      </c>
      <c r="B3994" s="25">
        <v>1373.0</v>
      </c>
      <c r="C3994" s="25">
        <v>1391.7</v>
      </c>
      <c r="D3994" s="25">
        <v>1370.05</v>
      </c>
      <c r="E3994" s="25">
        <v>1374.85</v>
      </c>
      <c r="F3994" s="25">
        <v>9462061.0</v>
      </c>
    </row>
    <row r="3995">
      <c r="A3995" s="25">
        <v>44270.64583333333</v>
      </c>
      <c r="B3995" s="25">
        <v>1370.0</v>
      </c>
      <c r="C3995" s="25">
        <v>1379.9</v>
      </c>
      <c r="D3995" s="25">
        <v>1358.5</v>
      </c>
      <c r="E3995" s="25">
        <v>1373.6</v>
      </c>
      <c r="F3995" s="25">
        <v>6658665.0</v>
      </c>
    </row>
    <row r="3996">
      <c r="A3996" s="25">
        <v>44271.64583333333</v>
      </c>
      <c r="B3996" s="25">
        <v>1386.05</v>
      </c>
      <c r="C3996" s="25">
        <v>1406.0</v>
      </c>
      <c r="D3996" s="25">
        <v>1380.5</v>
      </c>
      <c r="E3996" s="25">
        <v>1384.0</v>
      </c>
      <c r="F3996" s="25">
        <v>9352771.0</v>
      </c>
    </row>
    <row r="3997">
      <c r="A3997" s="25">
        <v>44272.64583333333</v>
      </c>
      <c r="B3997" s="25">
        <v>1392.25</v>
      </c>
      <c r="C3997" s="25">
        <v>1400.0</v>
      </c>
      <c r="D3997" s="25">
        <v>1382.0</v>
      </c>
      <c r="E3997" s="25">
        <v>1387.0</v>
      </c>
      <c r="F3997" s="25">
        <v>7626744.0</v>
      </c>
    </row>
    <row r="3998">
      <c r="A3998" s="25">
        <v>44273.64583333333</v>
      </c>
      <c r="B3998" s="25">
        <v>1393.75</v>
      </c>
      <c r="C3998" s="25">
        <v>1393.75</v>
      </c>
      <c r="D3998" s="25">
        <v>1313.5</v>
      </c>
      <c r="E3998" s="25">
        <v>1337.1</v>
      </c>
      <c r="F3998" s="25">
        <v>1.0961755E7</v>
      </c>
    </row>
    <row r="3999">
      <c r="A3999" s="25">
        <v>44274.64583333333</v>
      </c>
      <c r="B3999" s="25">
        <v>1330.0</v>
      </c>
      <c r="C3999" s="25">
        <v>1355.2</v>
      </c>
      <c r="D3999" s="25">
        <v>1318.0</v>
      </c>
      <c r="E3999" s="25">
        <v>1344.45</v>
      </c>
      <c r="F3999" s="25">
        <v>1.2767112E7</v>
      </c>
    </row>
    <row r="4000">
      <c r="A4000" s="25">
        <v>44277.64583333333</v>
      </c>
      <c r="B4000" s="25">
        <v>1350.1</v>
      </c>
      <c r="C4000" s="25">
        <v>1376.0</v>
      </c>
      <c r="D4000" s="25">
        <v>1336.1</v>
      </c>
      <c r="E4000" s="25">
        <v>1370.8</v>
      </c>
      <c r="F4000" s="25">
        <v>4862758.0</v>
      </c>
    </row>
    <row r="4001">
      <c r="A4001" s="25">
        <v>44278.64583333333</v>
      </c>
      <c r="B4001" s="25">
        <v>1372.45</v>
      </c>
      <c r="C4001" s="25">
        <v>1383.25</v>
      </c>
      <c r="D4001" s="25">
        <v>1359.6</v>
      </c>
      <c r="E4001" s="25">
        <v>1371.55</v>
      </c>
      <c r="F4001" s="25">
        <v>7165335.0</v>
      </c>
    </row>
    <row r="4002">
      <c r="A4002" s="25">
        <v>44279.64583333333</v>
      </c>
      <c r="B4002" s="25">
        <v>1357.85</v>
      </c>
      <c r="C4002" s="25">
        <v>1370.45</v>
      </c>
      <c r="D4002" s="25">
        <v>1346.25</v>
      </c>
      <c r="E4002" s="25">
        <v>1353.75</v>
      </c>
      <c r="F4002" s="25">
        <v>6134303.0</v>
      </c>
    </row>
    <row r="4003">
      <c r="A4003" s="25">
        <v>44280.64583333333</v>
      </c>
      <c r="B4003" s="25">
        <v>1346.75</v>
      </c>
      <c r="C4003" s="25">
        <v>1352.5</v>
      </c>
      <c r="D4003" s="25">
        <v>1327.6</v>
      </c>
      <c r="E4003" s="25">
        <v>1333.8</v>
      </c>
      <c r="F4003" s="25">
        <v>8749994.0</v>
      </c>
    </row>
    <row r="4004">
      <c r="A4004" s="25">
        <v>44281.64583333333</v>
      </c>
      <c r="B4004" s="25">
        <v>1344.7</v>
      </c>
      <c r="C4004" s="25">
        <v>1356.7</v>
      </c>
      <c r="D4004" s="25">
        <v>1332.0</v>
      </c>
      <c r="E4004" s="25">
        <v>1336.2</v>
      </c>
      <c r="F4004" s="25">
        <v>4922071.0</v>
      </c>
    </row>
    <row r="4005">
      <c r="A4005" s="25">
        <v>44285.64583333333</v>
      </c>
      <c r="B4005" s="25">
        <v>1346.9</v>
      </c>
      <c r="C4005" s="25">
        <v>1400.0</v>
      </c>
      <c r="D4005" s="25">
        <v>1336.15</v>
      </c>
      <c r="E4005" s="25">
        <v>1385.3</v>
      </c>
      <c r="F4005" s="25">
        <v>1.0546919E7</v>
      </c>
    </row>
    <row r="4006">
      <c r="A4006" s="25">
        <v>44286.64583333333</v>
      </c>
      <c r="B4006" s="25">
        <v>1382.0</v>
      </c>
      <c r="C4006" s="25">
        <v>1388.0</v>
      </c>
      <c r="D4006" s="25">
        <v>1363.3</v>
      </c>
      <c r="E4006" s="25">
        <v>1368.05</v>
      </c>
      <c r="F4006" s="25">
        <v>8220987.0</v>
      </c>
    </row>
    <row r="4007">
      <c r="A4007" s="25">
        <v>44287.64583333333</v>
      </c>
      <c r="B4007" s="25">
        <v>1380.0</v>
      </c>
      <c r="C4007" s="25">
        <v>1391.6</v>
      </c>
      <c r="D4007" s="25">
        <v>1371.0</v>
      </c>
      <c r="E4007" s="25">
        <v>1385.2</v>
      </c>
      <c r="F4007" s="25">
        <v>5675155.0</v>
      </c>
    </row>
    <row r="4008">
      <c r="A4008" s="25">
        <v>44291.64583333333</v>
      </c>
      <c r="B4008" s="25">
        <v>1391.0</v>
      </c>
      <c r="C4008" s="25">
        <v>1425.0</v>
      </c>
      <c r="D4008" s="25">
        <v>1387.0</v>
      </c>
      <c r="E4008" s="25">
        <v>1409.9</v>
      </c>
      <c r="F4008" s="25">
        <v>9479572.0</v>
      </c>
    </row>
    <row r="4009">
      <c r="A4009" s="25">
        <v>44292.64583333333</v>
      </c>
      <c r="B4009" s="25">
        <v>1423.0</v>
      </c>
      <c r="C4009" s="25">
        <v>1426.0</v>
      </c>
      <c r="D4009" s="25">
        <v>1406.45</v>
      </c>
      <c r="E4009" s="25">
        <v>1411.05</v>
      </c>
      <c r="F4009" s="25">
        <v>5793571.0</v>
      </c>
    </row>
    <row r="4010">
      <c r="A4010" s="25">
        <v>44293.64583333333</v>
      </c>
      <c r="B4010" s="25">
        <v>1410.25</v>
      </c>
      <c r="C4010" s="25">
        <v>1434.95</v>
      </c>
      <c r="D4010" s="25">
        <v>1406.6</v>
      </c>
      <c r="E4010" s="25">
        <v>1430.2</v>
      </c>
      <c r="F4010" s="25">
        <v>5879234.0</v>
      </c>
    </row>
    <row r="4011">
      <c r="A4011" s="25">
        <v>44294.64583333333</v>
      </c>
      <c r="B4011" s="25">
        <v>1430.0</v>
      </c>
      <c r="C4011" s="25">
        <v>1451.7</v>
      </c>
      <c r="D4011" s="25">
        <v>1421.0</v>
      </c>
      <c r="E4011" s="25">
        <v>1439.85</v>
      </c>
      <c r="F4011" s="25">
        <v>5654434.0</v>
      </c>
    </row>
    <row r="4012">
      <c r="A4012" s="25">
        <v>44295.64583333333</v>
      </c>
      <c r="B4012" s="25">
        <v>1455.0</v>
      </c>
      <c r="C4012" s="25">
        <v>1455.0</v>
      </c>
      <c r="D4012" s="25">
        <v>1430.05</v>
      </c>
      <c r="E4012" s="25">
        <v>1441.05</v>
      </c>
      <c r="F4012" s="25">
        <v>6052712.0</v>
      </c>
    </row>
    <row r="4013">
      <c r="A4013" s="25">
        <v>44298.64583333333</v>
      </c>
      <c r="B4013" s="25">
        <v>1474.0</v>
      </c>
      <c r="C4013" s="25">
        <v>1477.55</v>
      </c>
      <c r="D4013" s="25">
        <v>1415.0</v>
      </c>
      <c r="E4013" s="25">
        <v>1425.75</v>
      </c>
      <c r="F4013" s="25">
        <v>2.0384532E7</v>
      </c>
    </row>
    <row r="4014">
      <c r="A4014" s="25">
        <v>44299.64583333333</v>
      </c>
      <c r="B4014" s="25">
        <v>1433.0</v>
      </c>
      <c r="C4014" s="25">
        <v>1435.25</v>
      </c>
      <c r="D4014" s="25">
        <v>1375.0</v>
      </c>
      <c r="E4014" s="25">
        <v>1397.15</v>
      </c>
      <c r="F4014" s="25">
        <v>1.4855206E7</v>
      </c>
    </row>
    <row r="4015">
      <c r="A4015" s="25">
        <v>44301.64583333333</v>
      </c>
      <c r="B4015" s="25">
        <v>1332.3</v>
      </c>
      <c r="C4015" s="25">
        <v>1366.4</v>
      </c>
      <c r="D4015" s="25">
        <v>1320.0</v>
      </c>
      <c r="E4015" s="25">
        <v>1360.75</v>
      </c>
      <c r="F4015" s="25">
        <v>2.5342491E7</v>
      </c>
    </row>
    <row r="4016">
      <c r="A4016" s="25">
        <v>44302.64583333333</v>
      </c>
      <c r="B4016" s="25">
        <v>1365.0</v>
      </c>
      <c r="C4016" s="25">
        <v>1370.85</v>
      </c>
      <c r="D4016" s="25">
        <v>1346.6</v>
      </c>
      <c r="E4016" s="25">
        <v>1353.75</v>
      </c>
      <c r="F4016" s="25">
        <v>1.0879878E7</v>
      </c>
    </row>
    <row r="4017">
      <c r="A4017" s="25">
        <v>44305.64583333333</v>
      </c>
      <c r="B4017" s="25">
        <v>1340.0</v>
      </c>
      <c r="C4017" s="25">
        <v>1379.7</v>
      </c>
      <c r="D4017" s="25">
        <v>1332.35</v>
      </c>
      <c r="E4017" s="25">
        <v>1362.55</v>
      </c>
      <c r="F4017" s="25">
        <v>1.2508028E7</v>
      </c>
    </row>
    <row r="4018">
      <c r="A4018" s="25">
        <v>44306.64583333333</v>
      </c>
      <c r="B4018" s="25">
        <v>1379.0</v>
      </c>
      <c r="C4018" s="25">
        <v>1379.0</v>
      </c>
      <c r="D4018" s="25">
        <v>1342.4</v>
      </c>
      <c r="E4018" s="25">
        <v>1351.35</v>
      </c>
      <c r="F4018" s="25">
        <v>8560766.0</v>
      </c>
    </row>
    <row r="4019">
      <c r="A4019" s="25">
        <v>44308.64583333333</v>
      </c>
      <c r="B4019" s="25">
        <v>1355.55</v>
      </c>
      <c r="C4019" s="25">
        <v>1364.8</v>
      </c>
      <c r="D4019" s="25">
        <v>1345.15</v>
      </c>
      <c r="E4019" s="25">
        <v>1351.1</v>
      </c>
      <c r="F4019" s="25">
        <v>6622446.0</v>
      </c>
    </row>
    <row r="4020">
      <c r="A4020" s="25">
        <v>44309.64583333333</v>
      </c>
      <c r="B4020" s="25">
        <v>1343.0</v>
      </c>
      <c r="C4020" s="25">
        <v>1348.4</v>
      </c>
      <c r="D4020" s="25">
        <v>1331.0</v>
      </c>
      <c r="E4020" s="25">
        <v>1333.8</v>
      </c>
      <c r="F4020" s="25">
        <v>7316262.0</v>
      </c>
    </row>
    <row r="4021">
      <c r="A4021" s="25">
        <v>44312.64583333333</v>
      </c>
      <c r="B4021" s="25">
        <v>1332.25</v>
      </c>
      <c r="C4021" s="25">
        <v>1351.3</v>
      </c>
      <c r="D4021" s="25">
        <v>1321.0</v>
      </c>
      <c r="E4021" s="25">
        <v>1343.55</v>
      </c>
      <c r="F4021" s="25">
        <v>7088606.0</v>
      </c>
    </row>
    <row r="4022">
      <c r="A4022" s="25">
        <v>44313.64583333333</v>
      </c>
      <c r="B4022" s="25">
        <v>1346.0</v>
      </c>
      <c r="C4022" s="25">
        <v>1353.0</v>
      </c>
      <c r="D4022" s="25">
        <v>1340.15</v>
      </c>
      <c r="E4022" s="25">
        <v>1348.5</v>
      </c>
      <c r="F4022" s="25">
        <v>3636115.0</v>
      </c>
    </row>
    <row r="4023">
      <c r="A4023" s="25">
        <v>44314.64583333333</v>
      </c>
      <c r="B4023" s="25">
        <v>1358.0</v>
      </c>
      <c r="C4023" s="25">
        <v>1359.5</v>
      </c>
      <c r="D4023" s="25">
        <v>1344.6</v>
      </c>
      <c r="E4023" s="25">
        <v>1356.0</v>
      </c>
      <c r="F4023" s="25">
        <v>4879234.0</v>
      </c>
    </row>
    <row r="4024">
      <c r="A4024" s="25">
        <v>44315.64583333333</v>
      </c>
      <c r="B4024" s="25">
        <v>1368.0</v>
      </c>
      <c r="C4024" s="25">
        <v>1369.0</v>
      </c>
      <c r="D4024" s="25">
        <v>1351.4</v>
      </c>
      <c r="E4024" s="25">
        <v>1356.35</v>
      </c>
      <c r="F4024" s="25">
        <v>5412357.0</v>
      </c>
    </row>
    <row r="4025">
      <c r="A4025" s="25">
        <v>44316.64583333333</v>
      </c>
      <c r="B4025" s="25">
        <v>1346.3</v>
      </c>
      <c r="C4025" s="25">
        <v>1373.9</v>
      </c>
      <c r="D4025" s="25">
        <v>1345.9</v>
      </c>
      <c r="E4025" s="25">
        <v>1354.35</v>
      </c>
      <c r="F4025" s="25">
        <v>8354677.0</v>
      </c>
    </row>
    <row r="4026">
      <c r="A4026" s="25">
        <v>44319.64583333333</v>
      </c>
      <c r="B4026" s="25">
        <v>1340.8</v>
      </c>
      <c r="C4026" s="25">
        <v>1361.0</v>
      </c>
      <c r="D4026" s="25">
        <v>1338.0</v>
      </c>
      <c r="E4026" s="25">
        <v>1352.05</v>
      </c>
      <c r="F4026" s="25">
        <v>4560337.0</v>
      </c>
    </row>
    <row r="4027">
      <c r="A4027" s="25">
        <v>44320.64583333333</v>
      </c>
      <c r="B4027" s="25">
        <v>1354.0</v>
      </c>
      <c r="C4027" s="25">
        <v>1354.95</v>
      </c>
      <c r="D4027" s="25">
        <v>1324.1</v>
      </c>
      <c r="E4027" s="25">
        <v>1329.4</v>
      </c>
      <c r="F4027" s="25">
        <v>4887060.0</v>
      </c>
    </row>
    <row r="4028">
      <c r="A4028" s="25">
        <v>44321.64583333333</v>
      </c>
      <c r="B4028" s="25">
        <v>1341.1</v>
      </c>
      <c r="C4028" s="25">
        <v>1343.9</v>
      </c>
      <c r="D4028" s="25">
        <v>1327.8</v>
      </c>
      <c r="E4028" s="25">
        <v>1341.5</v>
      </c>
      <c r="F4028" s="25">
        <v>3939788.0</v>
      </c>
    </row>
    <row r="4029">
      <c r="A4029" s="25">
        <v>44322.64583333333</v>
      </c>
      <c r="B4029" s="25">
        <v>1345.0</v>
      </c>
      <c r="C4029" s="25">
        <v>1364.7</v>
      </c>
      <c r="D4029" s="25">
        <v>1337.4</v>
      </c>
      <c r="E4029" s="25">
        <v>1361.6</v>
      </c>
      <c r="F4029" s="25">
        <v>4810090.0</v>
      </c>
    </row>
    <row r="4030">
      <c r="A4030" s="25">
        <v>44323.64583333333</v>
      </c>
      <c r="B4030" s="25">
        <v>1365.3</v>
      </c>
      <c r="C4030" s="25">
        <v>1373.05</v>
      </c>
      <c r="D4030" s="25">
        <v>1348.5</v>
      </c>
      <c r="E4030" s="25">
        <v>1352.55</v>
      </c>
      <c r="F4030" s="25">
        <v>4991435.0</v>
      </c>
    </row>
    <row r="4031">
      <c r="A4031" s="25">
        <v>44326.64583333333</v>
      </c>
      <c r="B4031" s="25">
        <v>1349.85</v>
      </c>
      <c r="C4031" s="25">
        <v>1352.9</v>
      </c>
      <c r="D4031" s="25">
        <v>1335.05</v>
      </c>
      <c r="E4031" s="25">
        <v>1339.55</v>
      </c>
      <c r="F4031" s="25">
        <v>7195348.0</v>
      </c>
    </row>
    <row r="4032">
      <c r="A4032" s="25">
        <v>44327.64583333333</v>
      </c>
      <c r="B4032" s="25">
        <v>1336.9</v>
      </c>
      <c r="C4032" s="25">
        <v>1341.0</v>
      </c>
      <c r="D4032" s="25">
        <v>1325.1</v>
      </c>
      <c r="E4032" s="25">
        <v>1330.65</v>
      </c>
      <c r="F4032" s="25">
        <v>6420988.0</v>
      </c>
    </row>
    <row r="4033">
      <c r="A4033" s="25">
        <v>44328.64583333333</v>
      </c>
      <c r="B4033" s="25">
        <v>1330.0</v>
      </c>
      <c r="C4033" s="25">
        <v>1330.0</v>
      </c>
      <c r="D4033" s="25">
        <v>1314.5</v>
      </c>
      <c r="E4033" s="25">
        <v>1327.0</v>
      </c>
      <c r="F4033" s="25">
        <v>5241898.0</v>
      </c>
    </row>
    <row r="4034">
      <c r="A4034" s="25">
        <v>44330.64583333333</v>
      </c>
      <c r="B4034" s="25">
        <v>1326.85</v>
      </c>
      <c r="C4034" s="25">
        <v>1326.85</v>
      </c>
      <c r="D4034" s="25">
        <v>1311.3</v>
      </c>
      <c r="E4034" s="25">
        <v>1316.4</v>
      </c>
      <c r="F4034" s="25">
        <v>4824609.0</v>
      </c>
    </row>
    <row r="4035">
      <c r="A4035" s="25">
        <v>44333.64583333333</v>
      </c>
      <c r="B4035" s="25">
        <v>1320.3</v>
      </c>
      <c r="C4035" s="25">
        <v>1334.95</v>
      </c>
      <c r="D4035" s="25">
        <v>1320.3</v>
      </c>
      <c r="E4035" s="25">
        <v>1329.4</v>
      </c>
      <c r="F4035" s="25">
        <v>5017129.0</v>
      </c>
    </row>
    <row r="4036">
      <c r="A4036" s="25">
        <v>44334.64583333333</v>
      </c>
      <c r="B4036" s="25">
        <v>1338.0</v>
      </c>
      <c r="C4036" s="25">
        <v>1344.6</v>
      </c>
      <c r="D4036" s="25">
        <v>1329.5</v>
      </c>
      <c r="E4036" s="25">
        <v>1340.0</v>
      </c>
      <c r="F4036" s="25">
        <v>5620150.0</v>
      </c>
    </row>
    <row r="4037">
      <c r="A4037" s="25">
        <v>44335.64583333333</v>
      </c>
      <c r="B4037" s="25">
        <v>1342.0</v>
      </c>
      <c r="C4037" s="25">
        <v>1357.45</v>
      </c>
      <c r="D4037" s="25">
        <v>1333.25</v>
      </c>
      <c r="E4037" s="25">
        <v>1337.0</v>
      </c>
      <c r="F4037" s="25">
        <v>4435878.0</v>
      </c>
    </row>
    <row r="4038">
      <c r="A4038" s="25">
        <v>44336.64583333333</v>
      </c>
      <c r="B4038" s="25">
        <v>1348.4</v>
      </c>
      <c r="C4038" s="25">
        <v>1349.1</v>
      </c>
      <c r="D4038" s="25">
        <v>1335.0</v>
      </c>
      <c r="E4038" s="25">
        <v>1339.3</v>
      </c>
      <c r="F4038" s="25">
        <v>4490092.0</v>
      </c>
    </row>
    <row r="4039">
      <c r="A4039" s="25">
        <v>44337.64583333333</v>
      </c>
      <c r="B4039" s="25">
        <v>1347.5</v>
      </c>
      <c r="C4039" s="25">
        <v>1357.5</v>
      </c>
      <c r="D4039" s="25">
        <v>1346.35</v>
      </c>
      <c r="E4039" s="25">
        <v>1354.5</v>
      </c>
      <c r="F4039" s="25">
        <v>4969733.0</v>
      </c>
    </row>
    <row r="4040">
      <c r="A4040" s="25">
        <v>44340.64583333333</v>
      </c>
      <c r="B4040" s="25">
        <v>1356.65</v>
      </c>
      <c r="C4040" s="25">
        <v>1363.0</v>
      </c>
      <c r="D4040" s="25">
        <v>1345.1</v>
      </c>
      <c r="E4040" s="25">
        <v>1348.05</v>
      </c>
      <c r="F4040" s="25">
        <v>4225371.0</v>
      </c>
    </row>
    <row r="4041">
      <c r="A4041" s="25">
        <v>44341.64583333333</v>
      </c>
      <c r="B4041" s="25">
        <v>1358.0</v>
      </c>
      <c r="C4041" s="25">
        <v>1368.0</v>
      </c>
      <c r="D4041" s="25">
        <v>1354.45</v>
      </c>
      <c r="E4041" s="25">
        <v>1361.6</v>
      </c>
      <c r="F4041" s="25">
        <v>4099340.0</v>
      </c>
    </row>
    <row r="4042">
      <c r="A4042" s="25">
        <v>44342.64583333333</v>
      </c>
      <c r="B4042" s="25">
        <v>1367.9</v>
      </c>
      <c r="C4042" s="25">
        <v>1400.0</v>
      </c>
      <c r="D4042" s="25">
        <v>1362.05</v>
      </c>
      <c r="E4042" s="25">
        <v>1397.25</v>
      </c>
      <c r="F4042" s="25">
        <v>6850024.0</v>
      </c>
    </row>
    <row r="4043">
      <c r="A4043" s="25">
        <v>44343.64583333333</v>
      </c>
      <c r="B4043" s="25">
        <v>1404.2</v>
      </c>
      <c r="C4043" s="25">
        <v>1416.25</v>
      </c>
      <c r="D4043" s="25">
        <v>1391.7</v>
      </c>
      <c r="E4043" s="25">
        <v>1402.25</v>
      </c>
      <c r="F4043" s="25">
        <v>1.5365391E7</v>
      </c>
    </row>
    <row r="4044">
      <c r="A4044" s="25">
        <v>44344.64583333333</v>
      </c>
      <c r="B4044" s="25">
        <v>1409.75</v>
      </c>
      <c r="C4044" s="25">
        <v>1414.0</v>
      </c>
      <c r="D4044" s="25">
        <v>1396.1</v>
      </c>
      <c r="E4044" s="25">
        <v>1405.05</v>
      </c>
      <c r="F4044" s="25">
        <v>4261312.0</v>
      </c>
    </row>
    <row r="4045">
      <c r="A4045" s="25">
        <v>44347.64583333333</v>
      </c>
      <c r="B4045" s="25">
        <v>1401.5</v>
      </c>
      <c r="C4045" s="25">
        <v>1401.5</v>
      </c>
      <c r="D4045" s="25">
        <v>1383.0</v>
      </c>
      <c r="E4045" s="25">
        <v>1393.75</v>
      </c>
      <c r="F4045" s="25">
        <v>4429904.0</v>
      </c>
    </row>
    <row r="4046">
      <c r="A4046" s="25">
        <v>44348.64583333333</v>
      </c>
      <c r="B4046" s="25">
        <v>1400.0</v>
      </c>
      <c r="C4046" s="25">
        <v>1401.0</v>
      </c>
      <c r="D4046" s="25">
        <v>1378.65</v>
      </c>
      <c r="E4046" s="25">
        <v>1387.2</v>
      </c>
      <c r="F4046" s="25">
        <v>4791325.0</v>
      </c>
    </row>
    <row r="4047">
      <c r="A4047" s="25">
        <v>44349.64583333333</v>
      </c>
      <c r="B4047" s="25">
        <v>1380.75</v>
      </c>
      <c r="C4047" s="25">
        <v>1391.95</v>
      </c>
      <c r="D4047" s="25">
        <v>1365.0</v>
      </c>
      <c r="E4047" s="25">
        <v>1378.65</v>
      </c>
      <c r="F4047" s="25">
        <v>9272276.0</v>
      </c>
    </row>
    <row r="4048">
      <c r="A4048" s="25">
        <v>44350.64583333333</v>
      </c>
      <c r="B4048" s="25">
        <v>1388.1</v>
      </c>
      <c r="C4048" s="25">
        <v>1399.0</v>
      </c>
      <c r="D4048" s="25">
        <v>1377.05</v>
      </c>
      <c r="E4048" s="25">
        <v>1389.65</v>
      </c>
      <c r="F4048" s="25">
        <v>5115645.0</v>
      </c>
    </row>
    <row r="4049">
      <c r="A4049" s="25">
        <v>44351.64583333333</v>
      </c>
      <c r="B4049" s="25">
        <v>1393.95</v>
      </c>
      <c r="C4049" s="25">
        <v>1396.9</v>
      </c>
      <c r="D4049" s="25">
        <v>1377.65</v>
      </c>
      <c r="E4049" s="25">
        <v>1385.65</v>
      </c>
      <c r="F4049" s="25">
        <v>4194328.0</v>
      </c>
    </row>
    <row r="4050">
      <c r="A4050" s="25">
        <v>44354.64583333333</v>
      </c>
      <c r="B4050" s="25">
        <v>1391.0</v>
      </c>
      <c r="C4050" s="25">
        <v>1392.0</v>
      </c>
      <c r="D4050" s="25">
        <v>1377.3</v>
      </c>
      <c r="E4050" s="25">
        <v>1389.65</v>
      </c>
      <c r="F4050" s="25">
        <v>5154576.0</v>
      </c>
    </row>
    <row r="4051">
      <c r="A4051" s="25">
        <v>44355.64583333333</v>
      </c>
      <c r="B4051" s="25">
        <v>1396.0</v>
      </c>
      <c r="C4051" s="25">
        <v>1421.75</v>
      </c>
      <c r="D4051" s="25">
        <v>1395.55</v>
      </c>
      <c r="E4051" s="25">
        <v>1412.95</v>
      </c>
      <c r="F4051" s="25">
        <v>7360630.0</v>
      </c>
    </row>
    <row r="4052">
      <c r="A4052" s="25">
        <v>44356.64583333333</v>
      </c>
      <c r="B4052" s="25">
        <v>1413.4</v>
      </c>
      <c r="C4052" s="25">
        <v>1425.0</v>
      </c>
      <c r="D4052" s="25">
        <v>1404.6</v>
      </c>
      <c r="E4052" s="25">
        <v>1415.3</v>
      </c>
      <c r="F4052" s="25">
        <v>5394317.0</v>
      </c>
    </row>
    <row r="4053">
      <c r="A4053" s="25">
        <v>44357.64583333333</v>
      </c>
      <c r="B4053" s="25">
        <v>1424.0</v>
      </c>
      <c r="C4053" s="25">
        <v>1429.0</v>
      </c>
      <c r="D4053" s="25">
        <v>1419.0</v>
      </c>
      <c r="E4053" s="25">
        <v>1424.3</v>
      </c>
      <c r="F4053" s="25">
        <v>3496575.0</v>
      </c>
    </row>
    <row r="4054">
      <c r="A4054" s="25">
        <v>44358.64583333333</v>
      </c>
      <c r="B4054" s="25">
        <v>1430.1</v>
      </c>
      <c r="C4054" s="25">
        <v>1451.6</v>
      </c>
      <c r="D4054" s="25">
        <v>1429.45</v>
      </c>
      <c r="E4054" s="25">
        <v>1446.9</v>
      </c>
      <c r="F4054" s="25">
        <v>6140828.0</v>
      </c>
    </row>
    <row r="4055">
      <c r="A4055" s="25">
        <v>44361.64583333333</v>
      </c>
      <c r="B4055" s="25">
        <v>1471.0</v>
      </c>
      <c r="C4055" s="25">
        <v>1477.0</v>
      </c>
      <c r="D4055" s="25">
        <v>1453.45</v>
      </c>
      <c r="E4055" s="25">
        <v>1461.8</v>
      </c>
      <c r="F4055" s="25">
        <v>7132294.0</v>
      </c>
    </row>
    <row r="4056">
      <c r="A4056" s="25">
        <v>44362.64583333333</v>
      </c>
      <c r="B4056" s="25">
        <v>1464.0</v>
      </c>
      <c r="C4056" s="25">
        <v>1476.0</v>
      </c>
      <c r="D4056" s="25">
        <v>1463.0</v>
      </c>
      <c r="E4056" s="25">
        <v>1473.9</v>
      </c>
      <c r="F4056" s="25">
        <v>5403104.0</v>
      </c>
    </row>
    <row r="4057">
      <c r="A4057" s="25">
        <v>44363.64583333333</v>
      </c>
      <c r="B4057" s="25">
        <v>1472.7</v>
      </c>
      <c r="C4057" s="25">
        <v>1489.45</v>
      </c>
      <c r="D4057" s="25">
        <v>1467.5</v>
      </c>
      <c r="E4057" s="25">
        <v>1480.6</v>
      </c>
      <c r="F4057" s="25">
        <v>7661710.0</v>
      </c>
    </row>
    <row r="4058">
      <c r="A4058" s="25">
        <v>44364.64583333333</v>
      </c>
      <c r="B4058" s="25">
        <v>1475.1</v>
      </c>
      <c r="C4058" s="25">
        <v>1502.65</v>
      </c>
      <c r="D4058" s="25">
        <v>1475.1</v>
      </c>
      <c r="E4058" s="25">
        <v>1495.3</v>
      </c>
      <c r="F4058" s="25">
        <v>7677951.0</v>
      </c>
    </row>
    <row r="4059">
      <c r="A4059" s="25">
        <v>44365.64583333333</v>
      </c>
      <c r="B4059" s="25">
        <v>1509.0</v>
      </c>
      <c r="C4059" s="25">
        <v>1515.8</v>
      </c>
      <c r="D4059" s="25">
        <v>1487.4</v>
      </c>
      <c r="E4059" s="25">
        <v>1503.3</v>
      </c>
      <c r="F4059" s="25">
        <v>1.3533974E7</v>
      </c>
    </row>
    <row r="4060">
      <c r="A4060" s="25">
        <v>44368.64583333333</v>
      </c>
      <c r="B4060" s="25">
        <v>1493.0</v>
      </c>
      <c r="C4060" s="25">
        <v>1505.8</v>
      </c>
      <c r="D4060" s="25">
        <v>1484.2</v>
      </c>
      <c r="E4060" s="25">
        <v>1500.3</v>
      </c>
      <c r="F4060" s="25">
        <v>5454052.0</v>
      </c>
    </row>
    <row r="4061">
      <c r="A4061" s="25">
        <v>44369.64583333333</v>
      </c>
      <c r="B4061" s="25">
        <v>1509.7</v>
      </c>
      <c r="C4061" s="25">
        <v>1521.45</v>
      </c>
      <c r="D4061" s="25">
        <v>1502.1</v>
      </c>
      <c r="E4061" s="25">
        <v>1511.85</v>
      </c>
      <c r="F4061" s="25">
        <v>6427862.0</v>
      </c>
    </row>
    <row r="4062">
      <c r="A4062" s="25">
        <v>44370.64583333333</v>
      </c>
      <c r="B4062" s="25">
        <v>1525.0</v>
      </c>
      <c r="C4062" s="25">
        <v>1525.0</v>
      </c>
      <c r="D4062" s="25">
        <v>1498.65</v>
      </c>
      <c r="E4062" s="25">
        <v>1503.15</v>
      </c>
      <c r="F4062" s="25">
        <v>5529809.0</v>
      </c>
    </row>
    <row r="4063">
      <c r="A4063" s="25">
        <v>44371.64583333333</v>
      </c>
      <c r="B4063" s="25">
        <v>1517.0</v>
      </c>
      <c r="C4063" s="25">
        <v>1568.75</v>
      </c>
      <c r="D4063" s="25">
        <v>1511.2</v>
      </c>
      <c r="E4063" s="25">
        <v>1559.2</v>
      </c>
      <c r="F4063" s="25">
        <v>1.0785137E7</v>
      </c>
    </row>
    <row r="4064">
      <c r="A4064" s="25">
        <v>44372.64583333333</v>
      </c>
      <c r="B4064" s="25">
        <v>1572.0</v>
      </c>
      <c r="C4064" s="25">
        <v>1578.0</v>
      </c>
      <c r="D4064" s="25">
        <v>1543.0</v>
      </c>
      <c r="E4064" s="25">
        <v>1574.2</v>
      </c>
      <c r="F4064" s="25">
        <v>9780240.0</v>
      </c>
    </row>
    <row r="4065">
      <c r="A4065" s="25">
        <v>44375.64583333333</v>
      </c>
      <c r="B4065" s="25">
        <v>1572.9</v>
      </c>
      <c r="C4065" s="25">
        <v>1580.15</v>
      </c>
      <c r="D4065" s="25">
        <v>1560.6</v>
      </c>
      <c r="E4065" s="25">
        <v>1571.8</v>
      </c>
      <c r="F4065" s="25">
        <v>5019178.0</v>
      </c>
    </row>
    <row r="4066">
      <c r="A4066" s="25">
        <v>44376.64583333333</v>
      </c>
      <c r="B4066" s="25">
        <v>1561.0</v>
      </c>
      <c r="C4066" s="25">
        <v>1573.65</v>
      </c>
      <c r="D4066" s="25">
        <v>1559.2</v>
      </c>
      <c r="E4066" s="25">
        <v>1563.05</v>
      </c>
      <c r="F4066" s="25">
        <v>5913567.0</v>
      </c>
    </row>
    <row r="4067">
      <c r="A4067" s="25">
        <v>44377.64583333333</v>
      </c>
      <c r="B4067" s="25">
        <v>1572.05</v>
      </c>
      <c r="C4067" s="25">
        <v>1591.0</v>
      </c>
      <c r="D4067" s="25">
        <v>1572.05</v>
      </c>
      <c r="E4067" s="25">
        <v>1580.8</v>
      </c>
      <c r="F4067" s="25">
        <v>6058722.0</v>
      </c>
    </row>
    <row r="4068">
      <c r="A4068" s="25">
        <v>44378.64583333333</v>
      </c>
      <c r="B4068" s="25">
        <v>1576.85</v>
      </c>
      <c r="C4068" s="25">
        <v>1576.85</v>
      </c>
      <c r="D4068" s="25">
        <v>1559.05</v>
      </c>
      <c r="E4068" s="25">
        <v>1560.4</v>
      </c>
      <c r="F4068" s="25">
        <v>4814317.0</v>
      </c>
    </row>
    <row r="4069">
      <c r="A4069" s="25">
        <v>44379.64583333333</v>
      </c>
      <c r="B4069" s="25">
        <v>1558.95</v>
      </c>
      <c r="C4069" s="25">
        <v>1569.45</v>
      </c>
      <c r="D4069" s="25">
        <v>1542.6</v>
      </c>
      <c r="E4069" s="25">
        <v>1567.8</v>
      </c>
      <c r="F4069" s="25">
        <v>5166064.0</v>
      </c>
    </row>
    <row r="4070">
      <c r="A4070" s="25">
        <v>44382.64583333333</v>
      </c>
      <c r="B4070" s="25">
        <v>1569.15</v>
      </c>
      <c r="C4070" s="25">
        <v>1585.0</v>
      </c>
      <c r="D4070" s="25">
        <v>1561.05</v>
      </c>
      <c r="E4070" s="25">
        <v>1578.95</v>
      </c>
      <c r="F4070" s="25">
        <v>4058338.0</v>
      </c>
    </row>
    <row r="4071">
      <c r="A4071" s="25">
        <v>44383.64583333333</v>
      </c>
      <c r="B4071" s="25">
        <v>1573.7</v>
      </c>
      <c r="C4071" s="25">
        <v>1586.75</v>
      </c>
      <c r="D4071" s="25">
        <v>1557.1</v>
      </c>
      <c r="E4071" s="25">
        <v>1562.2</v>
      </c>
      <c r="F4071" s="25">
        <v>4089574.0</v>
      </c>
    </row>
    <row r="4072">
      <c r="A4072" s="25">
        <v>44384.64583333333</v>
      </c>
      <c r="B4072" s="25">
        <v>1566.05</v>
      </c>
      <c r="C4072" s="25">
        <v>1570.55</v>
      </c>
      <c r="D4072" s="25">
        <v>1544.65</v>
      </c>
      <c r="E4072" s="25">
        <v>1564.6</v>
      </c>
      <c r="F4072" s="25">
        <v>4797120.0</v>
      </c>
    </row>
    <row r="4073">
      <c r="A4073" s="25">
        <v>44385.64583333333</v>
      </c>
      <c r="B4073" s="25">
        <v>1568.0</v>
      </c>
      <c r="C4073" s="25">
        <v>1576.0</v>
      </c>
      <c r="D4073" s="25">
        <v>1549.0</v>
      </c>
      <c r="E4073" s="25">
        <v>1560.75</v>
      </c>
      <c r="F4073" s="25">
        <v>3326813.0</v>
      </c>
    </row>
    <row r="4074">
      <c r="A4074" s="25">
        <v>44386.64583333333</v>
      </c>
      <c r="B4074" s="25">
        <v>1556.0</v>
      </c>
      <c r="C4074" s="25">
        <v>1569.9</v>
      </c>
      <c r="D4074" s="25">
        <v>1551.0</v>
      </c>
      <c r="E4074" s="25">
        <v>1562.9</v>
      </c>
      <c r="F4074" s="25">
        <v>3436594.0</v>
      </c>
    </row>
    <row r="4075">
      <c r="A4075" s="25">
        <v>44389.64583333333</v>
      </c>
      <c r="B4075" s="25">
        <v>1570.55</v>
      </c>
      <c r="C4075" s="25">
        <v>1578.0</v>
      </c>
      <c r="D4075" s="25">
        <v>1533.75</v>
      </c>
      <c r="E4075" s="25">
        <v>1547.85</v>
      </c>
      <c r="F4075" s="25">
        <v>4588982.0</v>
      </c>
    </row>
    <row r="4076">
      <c r="A4076" s="25">
        <v>44390.64583333333</v>
      </c>
      <c r="B4076" s="25">
        <v>1556.4</v>
      </c>
      <c r="C4076" s="25">
        <v>1556.4</v>
      </c>
      <c r="D4076" s="25">
        <v>1536.3</v>
      </c>
      <c r="E4076" s="25">
        <v>1544.95</v>
      </c>
      <c r="F4076" s="25">
        <v>4456160.0</v>
      </c>
    </row>
    <row r="4077">
      <c r="A4077" s="25">
        <v>44391.64583333333</v>
      </c>
      <c r="B4077" s="25">
        <v>1554.0</v>
      </c>
      <c r="C4077" s="25">
        <v>1582.8</v>
      </c>
      <c r="D4077" s="25">
        <v>1538.1</v>
      </c>
      <c r="E4077" s="25">
        <v>1576.9</v>
      </c>
      <c r="F4077" s="25">
        <v>5657716.0</v>
      </c>
    </row>
    <row r="4078">
      <c r="A4078" s="25">
        <v>44392.64583333333</v>
      </c>
      <c r="B4078" s="25">
        <v>1557.9</v>
      </c>
      <c r="C4078" s="25">
        <v>1596.85</v>
      </c>
      <c r="D4078" s="25">
        <v>1556.0</v>
      </c>
      <c r="E4078" s="25">
        <v>1580.8</v>
      </c>
      <c r="F4078" s="25">
        <v>1.0021355E7</v>
      </c>
    </row>
    <row r="4079">
      <c r="A4079" s="25">
        <v>44393.64583333333</v>
      </c>
      <c r="B4079" s="25">
        <v>1573.75</v>
      </c>
      <c r="C4079" s="25">
        <v>1574.65</v>
      </c>
      <c r="D4079" s="25">
        <v>1549.6</v>
      </c>
      <c r="E4079" s="25">
        <v>1555.45</v>
      </c>
      <c r="F4079" s="25">
        <v>6265593.0</v>
      </c>
    </row>
    <row r="4080">
      <c r="A4080" s="25">
        <v>44396.64583333333</v>
      </c>
      <c r="B4080" s="25">
        <v>1544.7</v>
      </c>
      <c r="C4080" s="25">
        <v>1552.9</v>
      </c>
      <c r="D4080" s="25">
        <v>1537.55</v>
      </c>
      <c r="E4080" s="25">
        <v>1541.7</v>
      </c>
      <c r="F4080" s="25">
        <v>5669162.0</v>
      </c>
    </row>
    <row r="4081">
      <c r="A4081" s="25">
        <v>44397.64583333333</v>
      </c>
      <c r="B4081" s="25">
        <v>1538.3</v>
      </c>
      <c r="C4081" s="25">
        <v>1557.7</v>
      </c>
      <c r="D4081" s="25">
        <v>1538.0</v>
      </c>
      <c r="E4081" s="25">
        <v>1550.05</v>
      </c>
      <c r="F4081" s="25">
        <v>5069939.0</v>
      </c>
    </row>
    <row r="4082">
      <c r="A4082" s="25">
        <v>44399.64583333333</v>
      </c>
      <c r="B4082" s="25">
        <v>1561.4</v>
      </c>
      <c r="C4082" s="25">
        <v>1592.85</v>
      </c>
      <c r="D4082" s="25">
        <v>1561.4</v>
      </c>
      <c r="E4082" s="25">
        <v>1590.2</v>
      </c>
      <c r="F4082" s="25">
        <v>7854575.0</v>
      </c>
    </row>
    <row r="4083">
      <c r="A4083" s="25">
        <v>44400.64583333333</v>
      </c>
      <c r="B4083" s="25">
        <v>1588.55</v>
      </c>
      <c r="C4083" s="25">
        <v>1598.5</v>
      </c>
      <c r="D4083" s="25">
        <v>1585.05</v>
      </c>
      <c r="E4083" s="25">
        <v>1590.45</v>
      </c>
      <c r="F4083" s="25">
        <v>4179719.0</v>
      </c>
    </row>
    <row r="4084">
      <c r="A4084" s="25">
        <v>44403.64583333333</v>
      </c>
      <c r="B4084" s="25">
        <v>1594.1</v>
      </c>
      <c r="C4084" s="25">
        <v>1611.65</v>
      </c>
      <c r="D4084" s="25">
        <v>1594.1</v>
      </c>
      <c r="E4084" s="25">
        <v>1603.9</v>
      </c>
      <c r="F4084" s="25">
        <v>4586710.0</v>
      </c>
    </row>
    <row r="4085">
      <c r="A4085" s="25">
        <v>44404.64583333333</v>
      </c>
      <c r="B4085" s="25">
        <v>1605.0</v>
      </c>
      <c r="C4085" s="25">
        <v>1609.3</v>
      </c>
      <c r="D4085" s="25">
        <v>1597.9</v>
      </c>
      <c r="E4085" s="25">
        <v>1602.55</v>
      </c>
      <c r="F4085" s="25">
        <v>5892859.0</v>
      </c>
    </row>
    <row r="4086">
      <c r="A4086" s="25">
        <v>44405.64583333333</v>
      </c>
      <c r="B4086" s="25">
        <v>1605.1</v>
      </c>
      <c r="C4086" s="25">
        <v>1607.6</v>
      </c>
      <c r="D4086" s="25">
        <v>1585.5</v>
      </c>
      <c r="E4086" s="25">
        <v>1605.6</v>
      </c>
      <c r="F4086" s="25">
        <v>4686788.0</v>
      </c>
    </row>
    <row r="4087">
      <c r="A4087" s="25">
        <v>44406.64583333333</v>
      </c>
      <c r="B4087" s="25">
        <v>1600.1</v>
      </c>
      <c r="C4087" s="25">
        <v>1620.0</v>
      </c>
      <c r="D4087" s="25">
        <v>1600.1</v>
      </c>
      <c r="E4087" s="25">
        <v>1617.0</v>
      </c>
      <c r="F4087" s="25">
        <v>4660873.0</v>
      </c>
    </row>
    <row r="4088">
      <c r="A4088" s="25">
        <v>44407.64583333333</v>
      </c>
      <c r="B4088" s="25">
        <v>1610.0</v>
      </c>
      <c r="C4088" s="25">
        <v>1623.4</v>
      </c>
      <c r="D4088" s="25">
        <v>1606.15</v>
      </c>
      <c r="E4088" s="25">
        <v>1610.5</v>
      </c>
      <c r="F4088" s="25">
        <v>6234257.0</v>
      </c>
    </row>
    <row r="4089">
      <c r="A4089" s="25">
        <v>44410.64583333333</v>
      </c>
      <c r="B4089" s="25">
        <v>1627.45</v>
      </c>
      <c r="C4089" s="25">
        <v>1634.75</v>
      </c>
      <c r="D4089" s="25">
        <v>1619.2</v>
      </c>
      <c r="E4089" s="25">
        <v>1631.55</v>
      </c>
      <c r="F4089" s="25">
        <v>5553389.0</v>
      </c>
    </row>
    <row r="4090">
      <c r="A4090" s="25">
        <v>44411.64583333333</v>
      </c>
      <c r="B4090" s="25">
        <v>1647.0</v>
      </c>
      <c r="C4090" s="25">
        <v>1658.65</v>
      </c>
      <c r="D4090" s="25">
        <v>1635.6</v>
      </c>
      <c r="E4090" s="25">
        <v>1655.2</v>
      </c>
      <c r="F4090" s="25">
        <v>5513668.0</v>
      </c>
    </row>
    <row r="4091">
      <c r="A4091" s="25">
        <v>44412.64583333333</v>
      </c>
      <c r="B4091" s="25">
        <v>1669.1</v>
      </c>
      <c r="C4091" s="25">
        <v>1679.9</v>
      </c>
      <c r="D4091" s="25">
        <v>1639.05</v>
      </c>
      <c r="E4091" s="25">
        <v>1649.25</v>
      </c>
      <c r="F4091" s="25">
        <v>6740391.0</v>
      </c>
    </row>
    <row r="4092">
      <c r="A4092" s="25">
        <v>44413.64583333333</v>
      </c>
      <c r="B4092" s="25">
        <v>1649.5</v>
      </c>
      <c r="C4092" s="25">
        <v>1666.0</v>
      </c>
      <c r="D4092" s="25">
        <v>1647.05</v>
      </c>
      <c r="E4092" s="25">
        <v>1653.55</v>
      </c>
      <c r="F4092" s="25">
        <v>5420536.0</v>
      </c>
    </row>
    <row r="4093">
      <c r="A4093" s="25">
        <v>44414.64583333333</v>
      </c>
      <c r="B4093" s="25">
        <v>1657.0</v>
      </c>
      <c r="C4093" s="25">
        <v>1660.65</v>
      </c>
      <c r="D4093" s="25">
        <v>1644.0</v>
      </c>
      <c r="E4093" s="25">
        <v>1650.2</v>
      </c>
      <c r="F4093" s="25">
        <v>3754855.0</v>
      </c>
    </row>
    <row r="4094">
      <c r="A4094" s="25">
        <v>44417.64583333333</v>
      </c>
      <c r="B4094" s="25">
        <v>1661.0</v>
      </c>
      <c r="C4094" s="25">
        <v>1667.45</v>
      </c>
      <c r="D4094" s="25">
        <v>1646.4</v>
      </c>
      <c r="E4094" s="25">
        <v>1663.3</v>
      </c>
      <c r="F4094" s="25">
        <v>5018477.0</v>
      </c>
    </row>
    <row r="4095">
      <c r="A4095" s="25">
        <v>44418.64583333333</v>
      </c>
      <c r="B4095" s="25">
        <v>1668.0</v>
      </c>
      <c r="C4095" s="25">
        <v>1680.0</v>
      </c>
      <c r="D4095" s="25">
        <v>1661.05</v>
      </c>
      <c r="E4095" s="25">
        <v>1677.25</v>
      </c>
      <c r="F4095" s="25">
        <v>6846517.0</v>
      </c>
    </row>
    <row r="4096">
      <c r="A4096" s="25">
        <v>44419.64583333333</v>
      </c>
      <c r="B4096" s="25">
        <v>1674.8</v>
      </c>
      <c r="C4096" s="25">
        <v>1684.0</v>
      </c>
      <c r="D4096" s="25">
        <v>1668.0</v>
      </c>
      <c r="E4096" s="25">
        <v>1677.55</v>
      </c>
      <c r="F4096" s="25">
        <v>4899639.0</v>
      </c>
    </row>
    <row r="4097">
      <c r="A4097" s="25">
        <v>44420.64583333333</v>
      </c>
      <c r="B4097" s="25">
        <v>1679.15</v>
      </c>
      <c r="C4097" s="25">
        <v>1696.5</v>
      </c>
      <c r="D4097" s="25">
        <v>1674.0</v>
      </c>
      <c r="E4097" s="25">
        <v>1689.6</v>
      </c>
      <c r="F4097" s="25">
        <v>5659579.0</v>
      </c>
    </row>
    <row r="4098">
      <c r="A4098" s="25">
        <v>44421.64583333333</v>
      </c>
      <c r="B4098" s="25">
        <v>1697.0</v>
      </c>
      <c r="C4098" s="25">
        <v>1722.5</v>
      </c>
      <c r="D4098" s="25">
        <v>1691.3</v>
      </c>
      <c r="E4098" s="25">
        <v>1712.2</v>
      </c>
      <c r="F4098" s="25">
        <v>5612790.0</v>
      </c>
    </row>
    <row r="4099">
      <c r="A4099" s="25">
        <v>44424.64583333333</v>
      </c>
      <c r="B4099" s="25">
        <v>1707.7</v>
      </c>
      <c r="C4099" s="25">
        <v>1719.95</v>
      </c>
      <c r="D4099" s="25">
        <v>1690.1</v>
      </c>
      <c r="E4099" s="25">
        <v>1704.4</v>
      </c>
      <c r="F4099" s="25">
        <v>4564109.0</v>
      </c>
    </row>
    <row r="4100">
      <c r="A4100" s="25">
        <v>44425.64583333333</v>
      </c>
      <c r="B4100" s="25">
        <v>1703.9</v>
      </c>
      <c r="C4100" s="25">
        <v>1748.9</v>
      </c>
      <c r="D4100" s="25">
        <v>1686.55</v>
      </c>
      <c r="E4100" s="25">
        <v>1741.65</v>
      </c>
      <c r="F4100" s="25">
        <v>9510390.0</v>
      </c>
    </row>
    <row r="4101">
      <c r="A4101" s="25">
        <v>44426.64583333333</v>
      </c>
      <c r="B4101" s="25">
        <v>1729.0</v>
      </c>
      <c r="C4101" s="25">
        <v>1755.5</v>
      </c>
      <c r="D4101" s="25">
        <v>1727.0</v>
      </c>
      <c r="E4101" s="25">
        <v>1733.45</v>
      </c>
      <c r="F4101" s="25">
        <v>6686090.0</v>
      </c>
    </row>
    <row r="4102">
      <c r="A4102" s="25">
        <v>44428.64583333333</v>
      </c>
      <c r="B4102" s="25">
        <v>1716.1</v>
      </c>
      <c r="C4102" s="25">
        <v>1745.0</v>
      </c>
      <c r="D4102" s="25">
        <v>1716.1</v>
      </c>
      <c r="E4102" s="25">
        <v>1732.95</v>
      </c>
      <c r="F4102" s="25">
        <v>6206972.0</v>
      </c>
    </row>
    <row r="4103">
      <c r="A4103" s="25">
        <v>44431.64583333333</v>
      </c>
      <c r="B4103" s="25">
        <v>1735.75</v>
      </c>
      <c r="C4103" s="25">
        <v>1753.15</v>
      </c>
      <c r="D4103" s="25">
        <v>1732.0</v>
      </c>
      <c r="E4103" s="25">
        <v>1738.75</v>
      </c>
      <c r="F4103" s="25">
        <v>6189051.0</v>
      </c>
    </row>
    <row r="4104">
      <c r="A4104" s="25">
        <v>44432.64583333333</v>
      </c>
      <c r="B4104" s="25">
        <v>1750.0</v>
      </c>
      <c r="C4104" s="25">
        <v>1757.0</v>
      </c>
      <c r="D4104" s="25">
        <v>1712.7</v>
      </c>
      <c r="E4104" s="25">
        <v>1720.85</v>
      </c>
      <c r="F4104" s="25">
        <v>7602939.0</v>
      </c>
    </row>
    <row r="4105">
      <c r="A4105" s="25">
        <v>44433.64583333333</v>
      </c>
      <c r="B4105" s="25">
        <v>1718.0</v>
      </c>
      <c r="C4105" s="25">
        <v>1746.9</v>
      </c>
      <c r="D4105" s="25">
        <v>1718.0</v>
      </c>
      <c r="E4105" s="25">
        <v>1735.55</v>
      </c>
      <c r="F4105" s="25">
        <v>6153253.0</v>
      </c>
    </row>
    <row r="4106">
      <c r="A4106" s="25">
        <v>44434.64583333333</v>
      </c>
      <c r="B4106" s="25">
        <v>1734.0</v>
      </c>
      <c r="C4106" s="25">
        <v>1746.0</v>
      </c>
      <c r="D4106" s="25">
        <v>1720.0</v>
      </c>
      <c r="E4106" s="25">
        <v>1727.7</v>
      </c>
      <c r="F4106" s="25">
        <v>5302248.0</v>
      </c>
    </row>
    <row r="4107">
      <c r="A4107" s="25">
        <v>44435.64583333333</v>
      </c>
      <c r="B4107" s="25">
        <v>1725.0</v>
      </c>
      <c r="C4107" s="25">
        <v>1727.7</v>
      </c>
      <c r="D4107" s="25">
        <v>1705.2</v>
      </c>
      <c r="E4107" s="25">
        <v>1708.8</v>
      </c>
      <c r="F4107" s="25">
        <v>6698514.0</v>
      </c>
    </row>
    <row r="4108">
      <c r="A4108" s="25">
        <v>44438.64583333333</v>
      </c>
      <c r="B4108" s="25">
        <v>1703.05</v>
      </c>
      <c r="C4108" s="25">
        <v>1718.65</v>
      </c>
      <c r="D4108" s="25">
        <v>1690.4</v>
      </c>
      <c r="E4108" s="25">
        <v>1698.05</v>
      </c>
      <c r="F4108" s="25">
        <v>6559667.0</v>
      </c>
    </row>
    <row r="4109">
      <c r="A4109" s="25">
        <v>44439.64583333333</v>
      </c>
      <c r="B4109" s="25">
        <v>1700.15</v>
      </c>
      <c r="C4109" s="25">
        <v>1715.0</v>
      </c>
      <c r="D4109" s="25">
        <v>1685.85</v>
      </c>
      <c r="E4109" s="25">
        <v>1706.45</v>
      </c>
      <c r="F4109" s="25">
        <v>1.2255438E7</v>
      </c>
    </row>
    <row r="4110">
      <c r="A4110" s="25">
        <v>44440.64583333333</v>
      </c>
      <c r="B4110" s="25">
        <v>1709.5</v>
      </c>
      <c r="C4110" s="25">
        <v>1709.5</v>
      </c>
      <c r="D4110" s="25">
        <v>1673.15</v>
      </c>
      <c r="E4110" s="25">
        <v>1677.75</v>
      </c>
      <c r="F4110" s="25">
        <v>7801974.0</v>
      </c>
    </row>
    <row r="4111">
      <c r="A4111" s="25">
        <v>44441.64583333333</v>
      </c>
      <c r="B4111" s="25">
        <v>1677.35</v>
      </c>
      <c r="C4111" s="25">
        <v>1694.3</v>
      </c>
      <c r="D4111" s="25">
        <v>1662.65</v>
      </c>
      <c r="E4111" s="25">
        <v>1689.1</v>
      </c>
      <c r="F4111" s="25">
        <v>6830050.0</v>
      </c>
    </row>
    <row r="4112">
      <c r="A4112" s="25">
        <v>44442.64583333333</v>
      </c>
      <c r="B4112" s="25">
        <v>1696.05</v>
      </c>
      <c r="C4112" s="25">
        <v>1705.95</v>
      </c>
      <c r="D4112" s="25">
        <v>1684.4</v>
      </c>
      <c r="E4112" s="25">
        <v>1700.65</v>
      </c>
      <c r="F4112" s="25">
        <v>5339139.0</v>
      </c>
    </row>
    <row r="4113">
      <c r="A4113" s="25">
        <v>44445.64583333333</v>
      </c>
      <c r="B4113" s="25">
        <v>1705.15</v>
      </c>
      <c r="C4113" s="25">
        <v>1732.0</v>
      </c>
      <c r="D4113" s="25">
        <v>1699.35</v>
      </c>
      <c r="E4113" s="25">
        <v>1730.4</v>
      </c>
      <c r="F4113" s="25">
        <v>4876026.0</v>
      </c>
    </row>
    <row r="4114">
      <c r="A4114" s="25">
        <v>44446.64583333333</v>
      </c>
      <c r="B4114" s="25">
        <v>1730.0</v>
      </c>
      <c r="C4114" s="25">
        <v>1734.9</v>
      </c>
      <c r="D4114" s="25">
        <v>1704.0</v>
      </c>
      <c r="E4114" s="25">
        <v>1706.65</v>
      </c>
      <c r="F4114" s="25">
        <v>3520341.0</v>
      </c>
    </row>
    <row r="4115">
      <c r="A4115" s="25">
        <v>44447.64583333333</v>
      </c>
      <c r="B4115" s="25">
        <v>1700.85</v>
      </c>
      <c r="C4115" s="25">
        <v>1700.85</v>
      </c>
      <c r="D4115" s="25">
        <v>1682.95</v>
      </c>
      <c r="E4115" s="25">
        <v>1693.25</v>
      </c>
      <c r="F4115" s="25">
        <v>4584896.0</v>
      </c>
    </row>
    <row r="4116">
      <c r="A4116" s="25">
        <v>44448.64583333333</v>
      </c>
      <c r="B4116" s="25">
        <v>1685.9</v>
      </c>
      <c r="C4116" s="25">
        <v>1694.9</v>
      </c>
      <c r="D4116" s="25">
        <v>1682.15</v>
      </c>
      <c r="E4116" s="25">
        <v>1691.6</v>
      </c>
      <c r="F4116" s="25">
        <v>3331674.0</v>
      </c>
    </row>
    <row r="4117">
      <c r="A4117" s="25">
        <v>44452.64583333333</v>
      </c>
      <c r="B4117" s="25">
        <v>1683.0</v>
      </c>
      <c r="C4117" s="25">
        <v>1701.5</v>
      </c>
      <c r="D4117" s="25">
        <v>1675.2</v>
      </c>
      <c r="E4117" s="25">
        <v>1691.9</v>
      </c>
      <c r="F4117" s="25">
        <v>4662374.0</v>
      </c>
    </row>
    <row r="4118">
      <c r="A4118" s="25">
        <v>44453.64583333333</v>
      </c>
      <c r="B4118" s="25">
        <v>1695.95</v>
      </c>
      <c r="C4118" s="25">
        <v>1695.95</v>
      </c>
      <c r="D4118" s="25">
        <v>1678.6</v>
      </c>
      <c r="E4118" s="25">
        <v>1686.15</v>
      </c>
      <c r="F4118" s="25">
        <v>4945167.0</v>
      </c>
    </row>
    <row r="4119">
      <c r="A4119" s="25">
        <v>44454.64583333333</v>
      </c>
      <c r="B4119" s="25">
        <v>1693.25</v>
      </c>
      <c r="C4119" s="25">
        <v>1715.1</v>
      </c>
      <c r="D4119" s="25">
        <v>1690.2</v>
      </c>
      <c r="E4119" s="25">
        <v>1711.45</v>
      </c>
      <c r="F4119" s="25">
        <v>4062344.0</v>
      </c>
    </row>
    <row r="4120">
      <c r="A4120" s="25">
        <v>44455.64583333333</v>
      </c>
      <c r="B4120" s="25">
        <v>1715.2</v>
      </c>
      <c r="C4120" s="25">
        <v>1719.25</v>
      </c>
      <c r="D4120" s="25">
        <v>1691.45</v>
      </c>
      <c r="E4120" s="25">
        <v>1702.25</v>
      </c>
      <c r="F4120" s="25">
        <v>3246568.0</v>
      </c>
    </row>
    <row r="4121">
      <c r="A4121" s="25">
        <v>44456.64583333333</v>
      </c>
      <c r="B4121" s="25">
        <v>1697.0</v>
      </c>
      <c r="C4121" s="25">
        <v>1718.0</v>
      </c>
      <c r="D4121" s="25">
        <v>1684.45</v>
      </c>
      <c r="E4121" s="25">
        <v>1691.3</v>
      </c>
      <c r="F4121" s="25">
        <v>7454864.0</v>
      </c>
    </row>
    <row r="4122">
      <c r="A4122" s="25">
        <v>44459.64583333333</v>
      </c>
      <c r="B4122" s="25">
        <v>1685.0</v>
      </c>
      <c r="C4122" s="25">
        <v>1707.7</v>
      </c>
      <c r="D4122" s="25">
        <v>1677.95</v>
      </c>
      <c r="E4122" s="25">
        <v>1687.85</v>
      </c>
      <c r="F4122" s="25">
        <v>5660743.0</v>
      </c>
    </row>
    <row r="4123">
      <c r="A4123" s="25">
        <v>44460.64583333333</v>
      </c>
      <c r="B4123" s="25">
        <v>1700.0</v>
      </c>
      <c r="C4123" s="25">
        <v>1726.75</v>
      </c>
      <c r="D4123" s="25">
        <v>1684.65</v>
      </c>
      <c r="E4123" s="25">
        <v>1718.45</v>
      </c>
      <c r="F4123" s="25">
        <v>4672222.0</v>
      </c>
    </row>
    <row r="4124">
      <c r="A4124" s="25">
        <v>44461.64583333333</v>
      </c>
      <c r="B4124" s="25">
        <v>1717.0</v>
      </c>
      <c r="C4124" s="25">
        <v>1738.9</v>
      </c>
      <c r="D4124" s="25">
        <v>1713.05</v>
      </c>
      <c r="E4124" s="25">
        <v>1716.9</v>
      </c>
      <c r="F4124" s="25">
        <v>4553892.0</v>
      </c>
    </row>
    <row r="4125">
      <c r="A4125" s="25">
        <v>44462.64583333333</v>
      </c>
      <c r="B4125" s="25">
        <v>1732.0</v>
      </c>
      <c r="C4125" s="25">
        <v>1745.0</v>
      </c>
      <c r="D4125" s="25">
        <v>1721.1</v>
      </c>
      <c r="E4125" s="25">
        <v>1742.55</v>
      </c>
      <c r="F4125" s="25">
        <v>3826090.0</v>
      </c>
    </row>
    <row r="4126">
      <c r="A4126" s="25">
        <v>44463.64583333333</v>
      </c>
      <c r="B4126" s="25">
        <v>1758.0</v>
      </c>
      <c r="C4126" s="25">
        <v>1788.0</v>
      </c>
      <c r="D4126" s="25">
        <v>1752.45</v>
      </c>
      <c r="E4126" s="25">
        <v>1763.85</v>
      </c>
      <c r="F4126" s="25">
        <v>8280446.0</v>
      </c>
    </row>
    <row r="4127">
      <c r="A4127" s="25">
        <v>44466.64583333333</v>
      </c>
      <c r="B4127" s="25">
        <v>1768.75</v>
      </c>
      <c r="C4127" s="25">
        <v>1769.0</v>
      </c>
      <c r="D4127" s="25">
        <v>1718.1</v>
      </c>
      <c r="E4127" s="25">
        <v>1721.15</v>
      </c>
      <c r="F4127" s="25">
        <v>5045337.0</v>
      </c>
    </row>
    <row r="4128">
      <c r="A4128" s="25">
        <v>44467.64583333333</v>
      </c>
      <c r="B4128" s="25">
        <v>1710.0</v>
      </c>
      <c r="C4128" s="25">
        <v>1710.0</v>
      </c>
      <c r="D4128" s="25">
        <v>1675.0</v>
      </c>
      <c r="E4128" s="25">
        <v>1687.1</v>
      </c>
      <c r="F4128" s="25">
        <v>6557197.0</v>
      </c>
    </row>
    <row r="4129">
      <c r="A4129" s="25">
        <v>44468.64583333333</v>
      </c>
      <c r="B4129" s="25">
        <v>1659.25</v>
      </c>
      <c r="C4129" s="25">
        <v>1701.4</v>
      </c>
      <c r="D4129" s="25">
        <v>1655.0</v>
      </c>
      <c r="E4129" s="25">
        <v>1692.25</v>
      </c>
      <c r="F4129" s="25">
        <v>7792548.0</v>
      </c>
    </row>
    <row r="4130">
      <c r="A4130" s="25">
        <v>44469.64583333333</v>
      </c>
      <c r="B4130" s="25">
        <v>1703.0</v>
      </c>
      <c r="C4130" s="25">
        <v>1703.0</v>
      </c>
      <c r="D4130" s="25">
        <v>1670.1</v>
      </c>
      <c r="E4130" s="25">
        <v>1675.2</v>
      </c>
      <c r="F4130" s="25">
        <v>6914031.0</v>
      </c>
    </row>
    <row r="4131">
      <c r="A4131" s="25">
        <v>44470.64583333333</v>
      </c>
      <c r="B4131" s="25">
        <v>1665.1</v>
      </c>
      <c r="C4131" s="25">
        <v>1678.95</v>
      </c>
      <c r="D4131" s="25">
        <v>1661.25</v>
      </c>
      <c r="E4131" s="25">
        <v>1665.15</v>
      </c>
      <c r="F4131" s="25">
        <v>5733906.0</v>
      </c>
    </row>
    <row r="4132">
      <c r="A4132" s="25">
        <v>44473.64583333333</v>
      </c>
      <c r="B4132" s="25">
        <v>1672.5</v>
      </c>
      <c r="C4132" s="25">
        <v>1688.0</v>
      </c>
      <c r="D4132" s="25">
        <v>1665.4</v>
      </c>
      <c r="E4132" s="25">
        <v>1678.75</v>
      </c>
      <c r="F4132" s="25">
        <v>2947154.0</v>
      </c>
    </row>
    <row r="4133">
      <c r="A4133" s="25">
        <v>44474.64583333333</v>
      </c>
      <c r="B4133" s="25">
        <v>1671.0</v>
      </c>
      <c r="C4133" s="25">
        <v>1702.95</v>
      </c>
      <c r="D4133" s="25">
        <v>1663.0</v>
      </c>
      <c r="E4133" s="25">
        <v>1692.8</v>
      </c>
      <c r="F4133" s="25">
        <v>4373310.0</v>
      </c>
    </row>
    <row r="4134">
      <c r="A4134" s="25">
        <v>44475.64583333333</v>
      </c>
      <c r="B4134" s="25">
        <v>1702.1</v>
      </c>
      <c r="C4134" s="25">
        <v>1709.0</v>
      </c>
      <c r="D4134" s="25">
        <v>1670.0</v>
      </c>
      <c r="E4134" s="25">
        <v>1673.55</v>
      </c>
      <c r="F4134" s="25">
        <v>4271698.0</v>
      </c>
    </row>
    <row r="4135">
      <c r="A4135" s="25">
        <v>44476.64583333333</v>
      </c>
      <c r="B4135" s="25">
        <v>1687.0</v>
      </c>
      <c r="C4135" s="25">
        <v>1704.2</v>
      </c>
      <c r="D4135" s="25">
        <v>1676.65</v>
      </c>
      <c r="E4135" s="25">
        <v>1691.0</v>
      </c>
      <c r="F4135" s="25">
        <v>5476108.0</v>
      </c>
    </row>
    <row r="4136">
      <c r="A4136" s="25">
        <v>44477.64583333333</v>
      </c>
      <c r="B4136" s="25">
        <v>1705.25</v>
      </c>
      <c r="C4136" s="25">
        <v>1731.5</v>
      </c>
      <c r="D4136" s="25">
        <v>1698.4</v>
      </c>
      <c r="E4136" s="25">
        <v>1723.85</v>
      </c>
      <c r="F4136" s="25">
        <v>4738376.0</v>
      </c>
    </row>
    <row r="4137">
      <c r="A4137" s="25">
        <v>44480.64583333333</v>
      </c>
      <c r="B4137" s="25">
        <v>1682.0</v>
      </c>
      <c r="C4137" s="25">
        <v>1730.0</v>
      </c>
      <c r="D4137" s="25">
        <v>1663.7</v>
      </c>
      <c r="E4137" s="25">
        <v>1690.95</v>
      </c>
      <c r="F4137" s="25">
        <v>8840633.0</v>
      </c>
    </row>
    <row r="4138">
      <c r="A4138" s="25">
        <v>44481.64583333333</v>
      </c>
      <c r="B4138" s="25">
        <v>1677.0</v>
      </c>
      <c r="C4138" s="25">
        <v>1689.0</v>
      </c>
      <c r="D4138" s="25">
        <v>1662.0</v>
      </c>
      <c r="E4138" s="25">
        <v>1685.15</v>
      </c>
      <c r="F4138" s="25">
        <v>7439300.0</v>
      </c>
    </row>
    <row r="4139">
      <c r="A4139" s="25">
        <v>44482.64583333333</v>
      </c>
      <c r="B4139" s="25">
        <v>1695.95</v>
      </c>
      <c r="C4139" s="25">
        <v>1713.65</v>
      </c>
      <c r="D4139" s="25">
        <v>1680.05</v>
      </c>
      <c r="E4139" s="25">
        <v>1709.2</v>
      </c>
      <c r="F4139" s="25">
        <v>7104171.0</v>
      </c>
    </row>
    <row r="4140">
      <c r="A4140" s="25">
        <v>44483.64583333333</v>
      </c>
      <c r="B4140" s="25">
        <v>1754.0</v>
      </c>
      <c r="C4140" s="25">
        <v>1783.6</v>
      </c>
      <c r="D4140" s="25">
        <v>1698.2</v>
      </c>
      <c r="E4140" s="25">
        <v>1715.75</v>
      </c>
      <c r="F4140" s="25">
        <v>1.9655776E7</v>
      </c>
    </row>
    <row r="4141">
      <c r="A4141" s="25">
        <v>44487.64583333333</v>
      </c>
      <c r="B4141" s="25">
        <v>1740.0</v>
      </c>
      <c r="C4141" s="25">
        <v>1799.0</v>
      </c>
      <c r="D4141" s="25">
        <v>1740.0</v>
      </c>
      <c r="E4141" s="25">
        <v>1792.15</v>
      </c>
      <c r="F4141" s="25">
        <v>1.3438109E7</v>
      </c>
    </row>
    <row r="4142">
      <c r="A4142" s="25">
        <v>44488.64583333333</v>
      </c>
      <c r="B4142" s="25">
        <v>1814.0</v>
      </c>
      <c r="C4142" s="25">
        <v>1834.5</v>
      </c>
      <c r="D4142" s="25">
        <v>1782.3</v>
      </c>
      <c r="E4142" s="25">
        <v>1822.15</v>
      </c>
      <c r="F4142" s="25">
        <v>1.032426E7</v>
      </c>
    </row>
    <row r="4143">
      <c r="A4143" s="25">
        <v>44489.64583333333</v>
      </c>
      <c r="B4143" s="25">
        <v>1829.4</v>
      </c>
      <c r="C4143" s="25">
        <v>1848.0</v>
      </c>
      <c r="D4143" s="25">
        <v>1794.05</v>
      </c>
      <c r="E4143" s="25">
        <v>1802.35</v>
      </c>
      <c r="F4143" s="25">
        <v>5876115.0</v>
      </c>
    </row>
    <row r="4144">
      <c r="A4144" s="25">
        <v>44490.64583333333</v>
      </c>
      <c r="B4144" s="25">
        <v>1814.0</v>
      </c>
      <c r="C4144" s="25">
        <v>1814.0</v>
      </c>
      <c r="D4144" s="25">
        <v>1746.85</v>
      </c>
      <c r="E4144" s="25">
        <v>1753.65</v>
      </c>
      <c r="F4144" s="25">
        <v>8779629.0</v>
      </c>
    </row>
    <row r="4145">
      <c r="A4145" s="25">
        <v>44491.64583333333</v>
      </c>
      <c r="B4145" s="25">
        <v>1749.9</v>
      </c>
      <c r="C4145" s="25">
        <v>1763.2</v>
      </c>
      <c r="D4145" s="25">
        <v>1707.0</v>
      </c>
      <c r="E4145" s="25">
        <v>1719.8</v>
      </c>
      <c r="F4145" s="25">
        <v>7369809.0</v>
      </c>
    </row>
    <row r="4146">
      <c r="A4146" s="25">
        <v>44494.64583333333</v>
      </c>
      <c r="B4146" s="25">
        <v>1722.05</v>
      </c>
      <c r="C4146" s="25">
        <v>1729.75</v>
      </c>
      <c r="D4146" s="25">
        <v>1687.2</v>
      </c>
      <c r="E4146" s="25">
        <v>1707.55</v>
      </c>
      <c r="F4146" s="25">
        <v>5905209.0</v>
      </c>
    </row>
    <row r="4147">
      <c r="A4147" s="25">
        <v>44495.64583333333</v>
      </c>
      <c r="B4147" s="25">
        <v>1710.05</v>
      </c>
      <c r="C4147" s="25">
        <v>1726.6</v>
      </c>
      <c r="D4147" s="25">
        <v>1695.9</v>
      </c>
      <c r="E4147" s="25">
        <v>1703.7</v>
      </c>
      <c r="F4147" s="25">
        <v>5871709.0</v>
      </c>
    </row>
    <row r="4148">
      <c r="A4148" s="25">
        <v>44496.64583333333</v>
      </c>
      <c r="B4148" s="25">
        <v>1709.1</v>
      </c>
      <c r="C4148" s="25">
        <v>1734.15</v>
      </c>
      <c r="D4148" s="25">
        <v>1701.15</v>
      </c>
      <c r="E4148" s="25">
        <v>1728.95</v>
      </c>
      <c r="F4148" s="25">
        <v>5090259.0</v>
      </c>
    </row>
    <row r="4149">
      <c r="A4149" s="25">
        <v>44497.64583333333</v>
      </c>
      <c r="B4149" s="25">
        <v>1719.35</v>
      </c>
      <c r="C4149" s="25">
        <v>1724.75</v>
      </c>
      <c r="D4149" s="25">
        <v>1692.05</v>
      </c>
      <c r="E4149" s="25">
        <v>1703.9</v>
      </c>
      <c r="F4149" s="25">
        <v>5329972.0</v>
      </c>
    </row>
    <row r="4150">
      <c r="A4150" s="25">
        <v>44498.64583333333</v>
      </c>
      <c r="B4150" s="25">
        <v>1699.0</v>
      </c>
      <c r="C4150" s="25">
        <v>1712.6</v>
      </c>
      <c r="D4150" s="25">
        <v>1661.05</v>
      </c>
      <c r="E4150" s="25">
        <v>1667.75</v>
      </c>
      <c r="F4150" s="25">
        <v>5875091.0</v>
      </c>
    </row>
    <row r="4151">
      <c r="A4151" s="25">
        <v>44501.64583333333</v>
      </c>
      <c r="B4151" s="25">
        <v>1677.5</v>
      </c>
      <c r="C4151" s="25">
        <v>1707.2</v>
      </c>
      <c r="D4151" s="25">
        <v>1676.0</v>
      </c>
      <c r="E4151" s="25">
        <v>1700.05</v>
      </c>
      <c r="F4151" s="25">
        <v>3636806.0</v>
      </c>
    </row>
    <row r="4152">
      <c r="A4152" s="25">
        <v>44502.64583333333</v>
      </c>
      <c r="B4152" s="25">
        <v>1695.0</v>
      </c>
      <c r="C4152" s="25">
        <v>1706.45</v>
      </c>
      <c r="D4152" s="25">
        <v>1686.35</v>
      </c>
      <c r="E4152" s="25">
        <v>1697.9</v>
      </c>
      <c r="F4152" s="25">
        <v>3471772.0</v>
      </c>
    </row>
    <row r="4153">
      <c r="A4153" s="25">
        <v>44503.64583333333</v>
      </c>
      <c r="B4153" s="25">
        <v>1709.0</v>
      </c>
      <c r="C4153" s="25">
        <v>1717.45</v>
      </c>
      <c r="D4153" s="25">
        <v>1699.0</v>
      </c>
      <c r="E4153" s="25">
        <v>1702.5</v>
      </c>
      <c r="F4153" s="25">
        <v>3530713.0</v>
      </c>
    </row>
    <row r="4154">
      <c r="A4154" s="25">
        <v>44504.80208333333</v>
      </c>
      <c r="B4154" s="25">
        <v>1715.0</v>
      </c>
      <c r="C4154" s="25">
        <v>1717.0</v>
      </c>
      <c r="D4154" s="25">
        <v>1705.0</v>
      </c>
      <c r="E4154" s="25">
        <v>1708.7</v>
      </c>
      <c r="F4154" s="25">
        <v>483407.0</v>
      </c>
    </row>
    <row r="4155">
      <c r="A4155" s="25">
        <v>44508.64583333333</v>
      </c>
      <c r="B4155" s="25">
        <v>1730.0</v>
      </c>
      <c r="C4155" s="25">
        <v>1741.0</v>
      </c>
      <c r="D4155" s="25">
        <v>1703.0</v>
      </c>
      <c r="E4155" s="25">
        <v>1737.5</v>
      </c>
      <c r="F4155" s="25">
        <v>5245903.0</v>
      </c>
    </row>
    <row r="4156">
      <c r="A4156" s="25">
        <v>44509.64583333333</v>
      </c>
      <c r="B4156" s="25">
        <v>1734.75</v>
      </c>
      <c r="C4156" s="25">
        <v>1750.0</v>
      </c>
      <c r="D4156" s="25">
        <v>1726.0</v>
      </c>
      <c r="E4156" s="25">
        <v>1742.5</v>
      </c>
      <c r="F4156" s="25">
        <v>4016134.0</v>
      </c>
    </row>
    <row r="4157">
      <c r="A4157" s="25">
        <v>44510.64583333333</v>
      </c>
      <c r="B4157" s="25">
        <v>1726.0</v>
      </c>
      <c r="C4157" s="25">
        <v>1750.95</v>
      </c>
      <c r="D4157" s="25">
        <v>1721.95</v>
      </c>
      <c r="E4157" s="25">
        <v>1740.15</v>
      </c>
      <c r="F4157" s="25">
        <v>4780368.0</v>
      </c>
    </row>
    <row r="4158">
      <c r="A4158" s="25">
        <v>44511.64583333333</v>
      </c>
      <c r="B4158" s="25">
        <v>1732.95</v>
      </c>
      <c r="C4158" s="25">
        <v>1739.75</v>
      </c>
      <c r="D4158" s="25">
        <v>1709.0</v>
      </c>
      <c r="E4158" s="25">
        <v>1733.3</v>
      </c>
      <c r="F4158" s="25">
        <v>4731349.0</v>
      </c>
    </row>
    <row r="4159">
      <c r="A4159" s="25">
        <v>44512.64583333333</v>
      </c>
      <c r="B4159" s="25">
        <v>1743.0</v>
      </c>
      <c r="C4159" s="25">
        <v>1782.85</v>
      </c>
      <c r="D4159" s="25">
        <v>1738.05</v>
      </c>
      <c r="E4159" s="25">
        <v>1780.2</v>
      </c>
      <c r="F4159" s="25">
        <v>5069009.0</v>
      </c>
    </row>
    <row r="4160">
      <c r="A4160" s="25">
        <v>44515.64583333333</v>
      </c>
      <c r="B4160" s="25">
        <v>1782.1</v>
      </c>
      <c r="C4160" s="25">
        <v>1800.0</v>
      </c>
      <c r="D4160" s="25">
        <v>1775.5</v>
      </c>
      <c r="E4160" s="25">
        <v>1787.15</v>
      </c>
      <c r="F4160" s="25">
        <v>4354074.0</v>
      </c>
    </row>
    <row r="4161">
      <c r="A4161" s="25">
        <v>44516.64583333333</v>
      </c>
      <c r="B4161" s="25">
        <v>1790.0</v>
      </c>
      <c r="C4161" s="25">
        <v>1808.95</v>
      </c>
      <c r="D4161" s="25">
        <v>1777.0</v>
      </c>
      <c r="E4161" s="25">
        <v>1792.3</v>
      </c>
      <c r="F4161" s="25">
        <v>6034233.0</v>
      </c>
    </row>
    <row r="4162">
      <c r="A4162" s="25">
        <v>44517.64583333333</v>
      </c>
      <c r="B4162" s="25">
        <v>1792.55</v>
      </c>
      <c r="C4162" s="25">
        <v>1802.0</v>
      </c>
      <c r="D4162" s="25">
        <v>1780.7</v>
      </c>
      <c r="E4162" s="25">
        <v>1787.45</v>
      </c>
      <c r="F4162" s="25">
        <v>4732492.0</v>
      </c>
    </row>
    <row r="4163">
      <c r="A4163" s="25">
        <v>44518.64583333333</v>
      </c>
      <c r="B4163" s="25">
        <v>1781.6</v>
      </c>
      <c r="C4163" s="25">
        <v>1789.45</v>
      </c>
      <c r="D4163" s="25">
        <v>1759.0</v>
      </c>
      <c r="E4163" s="25">
        <v>1779.4</v>
      </c>
      <c r="F4163" s="25">
        <v>4326924.0</v>
      </c>
    </row>
    <row r="4164">
      <c r="A4164" s="25">
        <v>44522.64583333333</v>
      </c>
      <c r="B4164" s="25">
        <v>1784.0</v>
      </c>
      <c r="C4164" s="25">
        <v>1785.4</v>
      </c>
      <c r="D4164" s="25">
        <v>1751.15</v>
      </c>
      <c r="E4164" s="25">
        <v>1759.4</v>
      </c>
      <c r="F4164" s="25">
        <v>6621839.0</v>
      </c>
    </row>
    <row r="4165">
      <c r="A4165" s="25">
        <v>44523.64583333333</v>
      </c>
      <c r="B4165" s="25">
        <v>1735.1</v>
      </c>
      <c r="C4165" s="25">
        <v>1747.25</v>
      </c>
      <c r="D4165" s="25">
        <v>1710.0</v>
      </c>
      <c r="E4165" s="25">
        <v>1736.9</v>
      </c>
      <c r="F4165" s="25">
        <v>8436160.0</v>
      </c>
    </row>
    <row r="4166">
      <c r="A4166" s="25">
        <v>44524.64583333333</v>
      </c>
      <c r="B4166" s="25">
        <v>1740.0</v>
      </c>
      <c r="C4166" s="25">
        <v>1740.5</v>
      </c>
      <c r="D4166" s="25">
        <v>1688.0</v>
      </c>
      <c r="E4166" s="25">
        <v>1696.0</v>
      </c>
      <c r="F4166" s="25">
        <v>7333061.0</v>
      </c>
    </row>
    <row r="4167">
      <c r="A4167" s="25">
        <v>44525.64583333333</v>
      </c>
      <c r="B4167" s="25">
        <v>1700.0</v>
      </c>
      <c r="C4167" s="25">
        <v>1726.2</v>
      </c>
      <c r="D4167" s="25">
        <v>1696.95</v>
      </c>
      <c r="E4167" s="25">
        <v>1722.4</v>
      </c>
      <c r="F4167" s="25">
        <v>4476260.0</v>
      </c>
    </row>
    <row r="4168">
      <c r="A4168" s="25">
        <v>44526.64583333333</v>
      </c>
      <c r="B4168" s="25">
        <v>1702.55</v>
      </c>
      <c r="C4168" s="25">
        <v>1718.35</v>
      </c>
      <c r="D4168" s="25">
        <v>1684.0</v>
      </c>
      <c r="E4168" s="25">
        <v>1691.65</v>
      </c>
      <c r="F4168" s="25">
        <v>4494181.0</v>
      </c>
    </row>
    <row r="4169">
      <c r="A4169" s="25">
        <v>44529.64583333333</v>
      </c>
      <c r="B4169" s="25">
        <v>1691.0</v>
      </c>
      <c r="C4169" s="25">
        <v>1712.0</v>
      </c>
      <c r="D4169" s="25">
        <v>1669.15</v>
      </c>
      <c r="E4169" s="25">
        <v>1696.35</v>
      </c>
      <c r="F4169" s="25">
        <v>3942776.0</v>
      </c>
    </row>
    <row r="4170">
      <c r="A4170" s="25">
        <v>44530.64583333333</v>
      </c>
      <c r="B4170" s="25">
        <v>1704.55</v>
      </c>
      <c r="C4170" s="25">
        <v>1729.9</v>
      </c>
      <c r="D4170" s="25">
        <v>1700.05</v>
      </c>
      <c r="E4170" s="25">
        <v>1712.65</v>
      </c>
      <c r="F4170" s="25">
        <v>1.4808963E7</v>
      </c>
    </row>
    <row r="4171">
      <c r="A4171" s="25">
        <v>44531.64583333333</v>
      </c>
      <c r="B4171" s="25">
        <v>1715.0</v>
      </c>
      <c r="C4171" s="25">
        <v>1741.9</v>
      </c>
      <c r="D4171" s="25">
        <v>1713.0</v>
      </c>
      <c r="E4171" s="25">
        <v>1714.9</v>
      </c>
      <c r="F4171" s="25">
        <v>5193264.0</v>
      </c>
    </row>
    <row r="4172">
      <c r="A4172" s="25">
        <v>44532.64583333333</v>
      </c>
      <c r="B4172" s="25">
        <v>1715.0</v>
      </c>
      <c r="C4172" s="25">
        <v>1750.5</v>
      </c>
      <c r="D4172" s="25">
        <v>1711.35</v>
      </c>
      <c r="E4172" s="25">
        <v>1748.25</v>
      </c>
      <c r="F4172" s="25">
        <v>5559574.0</v>
      </c>
    </row>
    <row r="4173">
      <c r="A4173" s="25">
        <v>44533.64583333333</v>
      </c>
      <c r="B4173" s="25">
        <v>1771.1</v>
      </c>
      <c r="C4173" s="25">
        <v>1786.65</v>
      </c>
      <c r="D4173" s="25">
        <v>1732.55</v>
      </c>
      <c r="E4173" s="25">
        <v>1735.55</v>
      </c>
      <c r="F4173" s="25">
        <v>6754012.0</v>
      </c>
    </row>
    <row r="4174">
      <c r="A4174" s="25">
        <v>44536.64583333333</v>
      </c>
      <c r="B4174" s="25">
        <v>1730.0</v>
      </c>
      <c r="C4174" s="25">
        <v>1733.95</v>
      </c>
      <c r="D4174" s="25">
        <v>1691.5</v>
      </c>
      <c r="E4174" s="25">
        <v>1695.3</v>
      </c>
      <c r="F4174" s="25">
        <v>3991449.0</v>
      </c>
    </row>
    <row r="4175">
      <c r="A4175" s="25">
        <v>44537.64583333333</v>
      </c>
      <c r="B4175" s="25">
        <v>1701.1</v>
      </c>
      <c r="C4175" s="25">
        <v>1724.9</v>
      </c>
      <c r="D4175" s="25">
        <v>1694.0</v>
      </c>
      <c r="E4175" s="25">
        <v>1711.65</v>
      </c>
      <c r="F4175" s="25">
        <v>4202122.0</v>
      </c>
    </row>
    <row r="4176">
      <c r="A4176" s="25">
        <v>44538.64583333333</v>
      </c>
      <c r="B4176" s="25">
        <v>1733.0</v>
      </c>
      <c r="C4176" s="25">
        <v>1759.8</v>
      </c>
      <c r="D4176" s="25">
        <v>1732.6</v>
      </c>
      <c r="E4176" s="25">
        <v>1753.35</v>
      </c>
      <c r="F4176" s="25">
        <v>3029169.0</v>
      </c>
    </row>
    <row r="4177">
      <c r="A4177" s="25">
        <v>44539.64583333333</v>
      </c>
      <c r="B4177" s="25">
        <v>1759.0</v>
      </c>
      <c r="C4177" s="25">
        <v>1769.4</v>
      </c>
      <c r="D4177" s="25">
        <v>1742.0</v>
      </c>
      <c r="E4177" s="25">
        <v>1763.45</v>
      </c>
      <c r="F4177" s="25">
        <v>2082171.0</v>
      </c>
    </row>
    <row r="4178">
      <c r="A4178" s="25">
        <v>44540.64583333333</v>
      </c>
      <c r="B4178" s="25">
        <v>1760.0</v>
      </c>
      <c r="C4178" s="25">
        <v>1763.75</v>
      </c>
      <c r="D4178" s="25">
        <v>1746.0</v>
      </c>
      <c r="E4178" s="25">
        <v>1759.25</v>
      </c>
      <c r="F4178" s="25">
        <v>1823469.0</v>
      </c>
    </row>
    <row r="4179">
      <c r="A4179" s="25">
        <v>44543.64583333333</v>
      </c>
      <c r="B4179" s="25">
        <v>1767.05</v>
      </c>
      <c r="C4179" s="25">
        <v>1771.35</v>
      </c>
      <c r="D4179" s="25">
        <v>1738.8</v>
      </c>
      <c r="E4179" s="25">
        <v>1744.65</v>
      </c>
      <c r="F4179" s="25">
        <v>4040584.0</v>
      </c>
    </row>
    <row r="4180">
      <c r="A4180" s="25">
        <v>44544.64583333333</v>
      </c>
      <c r="B4180" s="25">
        <v>1730.9</v>
      </c>
      <c r="C4180" s="25">
        <v>1763.0</v>
      </c>
      <c r="D4180" s="25">
        <v>1710.35</v>
      </c>
      <c r="E4180" s="25">
        <v>1752.15</v>
      </c>
      <c r="F4180" s="25">
        <v>4768144.0</v>
      </c>
    </row>
    <row r="4181">
      <c r="A4181" s="25">
        <v>44545.64583333333</v>
      </c>
      <c r="B4181" s="25">
        <v>1745.0</v>
      </c>
      <c r="C4181" s="25">
        <v>1747.95</v>
      </c>
      <c r="D4181" s="25">
        <v>1721.2</v>
      </c>
      <c r="E4181" s="25">
        <v>1734.2</v>
      </c>
      <c r="F4181" s="25">
        <v>3053149.0</v>
      </c>
    </row>
    <row r="4182">
      <c r="A4182" s="25">
        <v>44546.64583333333</v>
      </c>
      <c r="B4182" s="25">
        <v>1762.65</v>
      </c>
      <c r="C4182" s="25">
        <v>1777.6</v>
      </c>
      <c r="D4182" s="25">
        <v>1758.0</v>
      </c>
      <c r="E4182" s="25">
        <v>1771.6</v>
      </c>
      <c r="F4182" s="25">
        <v>4481031.0</v>
      </c>
    </row>
    <row r="4183">
      <c r="A4183" s="25">
        <v>44547.64583333333</v>
      </c>
      <c r="B4183" s="25">
        <v>1820.0</v>
      </c>
      <c r="C4183" s="25">
        <v>1842.0</v>
      </c>
      <c r="D4183" s="25">
        <v>1806.75</v>
      </c>
      <c r="E4183" s="25">
        <v>1820.85</v>
      </c>
      <c r="F4183" s="25">
        <v>1.8887243E7</v>
      </c>
    </row>
    <row r="4184">
      <c r="A4184" s="25">
        <v>44550.64583333333</v>
      </c>
      <c r="B4184" s="25">
        <v>1801.7</v>
      </c>
      <c r="C4184" s="25">
        <v>1829.65</v>
      </c>
      <c r="D4184" s="25">
        <v>1787.3</v>
      </c>
      <c r="E4184" s="25">
        <v>1798.9</v>
      </c>
      <c r="F4184" s="25">
        <v>5773891.0</v>
      </c>
    </row>
    <row r="4185">
      <c r="A4185" s="25">
        <v>44551.64583333333</v>
      </c>
      <c r="B4185" s="25">
        <v>1801.0</v>
      </c>
      <c r="C4185" s="25">
        <v>1838.0</v>
      </c>
      <c r="D4185" s="25">
        <v>1801.0</v>
      </c>
      <c r="E4185" s="25">
        <v>1811.6</v>
      </c>
      <c r="F4185" s="25">
        <v>5353584.0</v>
      </c>
    </row>
    <row r="4186">
      <c r="A4186" s="25">
        <v>44552.64583333333</v>
      </c>
      <c r="B4186" s="25">
        <v>1825.0</v>
      </c>
      <c r="C4186" s="25">
        <v>1829.15</v>
      </c>
      <c r="D4186" s="25">
        <v>1812.35</v>
      </c>
      <c r="E4186" s="25">
        <v>1824.7</v>
      </c>
      <c r="F4186" s="25">
        <v>4156428.0</v>
      </c>
    </row>
    <row r="4187">
      <c r="A4187" s="25">
        <v>44553.64583333333</v>
      </c>
      <c r="B4187" s="25">
        <v>1831.25</v>
      </c>
      <c r="C4187" s="25">
        <v>1861.6</v>
      </c>
      <c r="D4187" s="25">
        <v>1827.0</v>
      </c>
      <c r="E4187" s="25">
        <v>1857.6</v>
      </c>
      <c r="F4187" s="25">
        <v>4112933.0</v>
      </c>
    </row>
    <row r="4188">
      <c r="A4188" s="25">
        <v>44554.64583333333</v>
      </c>
      <c r="B4188" s="25">
        <v>1872.95</v>
      </c>
      <c r="C4188" s="25">
        <v>1875.75</v>
      </c>
      <c r="D4188" s="25">
        <v>1854.0</v>
      </c>
      <c r="E4188" s="25">
        <v>1863.5</v>
      </c>
      <c r="F4188" s="25">
        <v>3780347.0</v>
      </c>
    </row>
    <row r="4189">
      <c r="A4189" s="25">
        <v>44557.64583333333</v>
      </c>
      <c r="B4189" s="25">
        <v>1860.0</v>
      </c>
      <c r="C4189" s="25">
        <v>1874.5</v>
      </c>
      <c r="D4189" s="25">
        <v>1845.05</v>
      </c>
      <c r="E4189" s="25">
        <v>1866.15</v>
      </c>
      <c r="F4189" s="25">
        <v>2647733.0</v>
      </c>
    </row>
    <row r="4190">
      <c r="A4190" s="25">
        <v>44558.64583333333</v>
      </c>
      <c r="B4190" s="25">
        <v>1880.7</v>
      </c>
      <c r="C4190" s="25">
        <v>1895.9</v>
      </c>
      <c r="D4190" s="25">
        <v>1878.4</v>
      </c>
      <c r="E4190" s="25">
        <v>1888.0</v>
      </c>
      <c r="F4190" s="25">
        <v>3340933.0</v>
      </c>
    </row>
    <row r="4191">
      <c r="A4191" s="25">
        <v>44559.64583333333</v>
      </c>
      <c r="B4191" s="25">
        <v>1883.5</v>
      </c>
      <c r="C4191" s="25">
        <v>1893.8</v>
      </c>
      <c r="D4191" s="25">
        <v>1876.4</v>
      </c>
      <c r="E4191" s="25">
        <v>1885.55</v>
      </c>
      <c r="F4191" s="25">
        <v>3236635.0</v>
      </c>
    </row>
    <row r="4192">
      <c r="A4192" s="25">
        <v>44560.64583333333</v>
      </c>
      <c r="B4192" s="25">
        <v>1884.5</v>
      </c>
      <c r="C4192" s="25">
        <v>1909.8</v>
      </c>
      <c r="D4192" s="25">
        <v>1874.35</v>
      </c>
      <c r="E4192" s="25">
        <v>1892.85</v>
      </c>
      <c r="F4192" s="25">
        <v>4584738.0</v>
      </c>
    </row>
    <row r="4193">
      <c r="A4193" s="25">
        <v>44561.64583333333</v>
      </c>
      <c r="B4193" s="25">
        <v>1890.0</v>
      </c>
      <c r="C4193" s="25">
        <v>1898.35</v>
      </c>
      <c r="D4193" s="25">
        <v>1871.65</v>
      </c>
      <c r="E4193" s="25">
        <v>1887.75</v>
      </c>
      <c r="F4193" s="25">
        <v>4619420.0</v>
      </c>
    </row>
    <row r="4194">
      <c r="A4194" s="25">
        <v>44564.64583333333</v>
      </c>
      <c r="B4194" s="25">
        <v>1887.75</v>
      </c>
      <c r="C4194" s="25">
        <v>1914.05</v>
      </c>
      <c r="D4194" s="25">
        <v>1887.75</v>
      </c>
      <c r="E4194" s="25">
        <v>1898.45</v>
      </c>
      <c r="F4194" s="25">
        <v>3329616.0</v>
      </c>
    </row>
    <row r="4195">
      <c r="A4195" s="25">
        <v>44565.64583333333</v>
      </c>
      <c r="B4195" s="25">
        <v>1898.45</v>
      </c>
      <c r="C4195" s="25">
        <v>1906.65</v>
      </c>
      <c r="D4195" s="25">
        <v>1878.0</v>
      </c>
      <c r="E4195" s="25">
        <v>1899.15</v>
      </c>
      <c r="F4195" s="25">
        <v>3921999.0</v>
      </c>
    </row>
    <row r="4196">
      <c r="A4196" s="25">
        <v>44566.64583333333</v>
      </c>
      <c r="B4196" s="25">
        <v>1900.0</v>
      </c>
      <c r="C4196" s="25">
        <v>1902.9</v>
      </c>
      <c r="D4196" s="25">
        <v>1840.0</v>
      </c>
      <c r="E4196" s="25">
        <v>1844.65</v>
      </c>
      <c r="F4196" s="25">
        <v>6995719.0</v>
      </c>
    </row>
    <row r="4197">
      <c r="A4197" s="25">
        <v>44567.64583333333</v>
      </c>
      <c r="B4197" s="25">
        <v>1828.0</v>
      </c>
      <c r="C4197" s="25">
        <v>1828.0</v>
      </c>
      <c r="D4197" s="25">
        <v>1800.0</v>
      </c>
      <c r="E4197" s="25">
        <v>1817.8</v>
      </c>
      <c r="F4197" s="25">
        <v>6449205.0</v>
      </c>
    </row>
    <row r="4198">
      <c r="A4198" s="25">
        <v>44568.64583333333</v>
      </c>
      <c r="B4198" s="25">
        <v>1815.45</v>
      </c>
      <c r="C4198" s="25">
        <v>1836.0</v>
      </c>
      <c r="D4198" s="25">
        <v>1806.8</v>
      </c>
      <c r="E4198" s="25">
        <v>1814.3</v>
      </c>
      <c r="F4198" s="25">
        <v>4834389.0</v>
      </c>
    </row>
    <row r="4199">
      <c r="A4199" s="25">
        <v>44571.64583333333</v>
      </c>
      <c r="B4199" s="25">
        <v>1815.0</v>
      </c>
      <c r="C4199" s="25">
        <v>1869.9</v>
      </c>
      <c r="D4199" s="25">
        <v>1813.0</v>
      </c>
      <c r="E4199" s="25">
        <v>1850.75</v>
      </c>
      <c r="F4199" s="25">
        <v>7857560.0</v>
      </c>
    </row>
    <row r="4200">
      <c r="A4200" s="25">
        <v>44572.64583333333</v>
      </c>
      <c r="B4200" s="25">
        <v>1855.0</v>
      </c>
      <c r="C4200" s="25">
        <v>1870.0</v>
      </c>
      <c r="D4200" s="25">
        <v>1850.15</v>
      </c>
      <c r="E4200" s="25">
        <v>1855.6</v>
      </c>
      <c r="F4200" s="25">
        <v>5142287.0</v>
      </c>
    </row>
    <row r="4201">
      <c r="A4201" s="25">
        <v>44573.64583333333</v>
      </c>
      <c r="B4201" s="25">
        <v>1868.9</v>
      </c>
      <c r="C4201" s="25">
        <v>1889.0</v>
      </c>
      <c r="D4201" s="25">
        <v>1860.0</v>
      </c>
      <c r="E4201" s="25">
        <v>1877.45</v>
      </c>
      <c r="F4201" s="25">
        <v>5362535.0</v>
      </c>
    </row>
    <row r="4202">
      <c r="A4202" s="25">
        <v>44574.64583333333</v>
      </c>
      <c r="B4202" s="25">
        <v>1905.0</v>
      </c>
      <c r="C4202" s="25">
        <v>1912.5</v>
      </c>
      <c r="D4202" s="25">
        <v>1866.35</v>
      </c>
      <c r="E4202" s="25">
        <v>1896.8</v>
      </c>
      <c r="F4202" s="25">
        <v>1.427763E7</v>
      </c>
    </row>
    <row r="4203">
      <c r="A4203" s="25">
        <v>44575.64583333333</v>
      </c>
      <c r="B4203" s="25">
        <v>1882.0</v>
      </c>
      <c r="C4203" s="25">
        <v>1933.0</v>
      </c>
      <c r="D4203" s="25">
        <v>1881.0</v>
      </c>
      <c r="E4203" s="25">
        <v>1929.35</v>
      </c>
      <c r="F4203" s="25">
        <v>7688506.0</v>
      </c>
    </row>
    <row r="4204">
      <c r="A4204" s="25">
        <v>44578.64583333333</v>
      </c>
      <c r="B4204" s="25">
        <v>1938.55</v>
      </c>
      <c r="C4204" s="25">
        <v>1953.9</v>
      </c>
      <c r="D4204" s="25">
        <v>1930.5</v>
      </c>
      <c r="E4204" s="25">
        <v>1939.5</v>
      </c>
      <c r="F4204" s="25">
        <v>5262464.0</v>
      </c>
    </row>
    <row r="4205">
      <c r="A4205" s="25">
        <v>44579.64583333333</v>
      </c>
      <c r="B4205" s="25">
        <v>1922.1</v>
      </c>
      <c r="C4205" s="25">
        <v>1945.0</v>
      </c>
      <c r="D4205" s="25">
        <v>1911.45</v>
      </c>
      <c r="E4205" s="25">
        <v>1920.75</v>
      </c>
      <c r="F4205" s="25">
        <v>3690315.0</v>
      </c>
    </row>
    <row r="4206">
      <c r="A4206" s="25">
        <v>44580.64583333333</v>
      </c>
      <c r="B4206" s="25">
        <v>1916.0</v>
      </c>
      <c r="C4206" s="25">
        <v>1916.0</v>
      </c>
      <c r="D4206" s="25">
        <v>1862.85</v>
      </c>
      <c r="E4206" s="25">
        <v>1867.05</v>
      </c>
      <c r="F4206" s="25">
        <v>5747770.0</v>
      </c>
    </row>
    <row r="4207">
      <c r="A4207" s="25">
        <v>44581.64583333333</v>
      </c>
      <c r="B4207" s="25">
        <v>1844.0</v>
      </c>
      <c r="C4207" s="25">
        <v>1848.0</v>
      </c>
      <c r="D4207" s="25">
        <v>1815.5</v>
      </c>
      <c r="E4207" s="25">
        <v>1823.7</v>
      </c>
      <c r="F4207" s="25">
        <v>5533463.0</v>
      </c>
    </row>
    <row r="4208">
      <c r="A4208" s="25">
        <v>44582.64583333333</v>
      </c>
      <c r="B4208" s="25">
        <v>1795.0</v>
      </c>
      <c r="C4208" s="25">
        <v>1808.0</v>
      </c>
      <c r="D4208" s="25">
        <v>1776.0</v>
      </c>
      <c r="E4208" s="25">
        <v>1785.7</v>
      </c>
      <c r="F4208" s="25">
        <v>8252758.0</v>
      </c>
    </row>
    <row r="4209">
      <c r="A4209" s="25">
        <v>44585.64583333333</v>
      </c>
      <c r="B4209" s="25">
        <v>1765.0</v>
      </c>
      <c r="C4209" s="25">
        <v>1768.65</v>
      </c>
      <c r="D4209" s="25">
        <v>1728.0</v>
      </c>
      <c r="E4209" s="25">
        <v>1736.8</v>
      </c>
      <c r="F4209" s="25">
        <v>7116712.0</v>
      </c>
    </row>
    <row r="4210">
      <c r="A4210" s="25">
        <v>44586.64583333333</v>
      </c>
      <c r="B4210" s="25">
        <v>1726.6</v>
      </c>
      <c r="C4210" s="25">
        <v>1740.0</v>
      </c>
      <c r="D4210" s="25">
        <v>1700.5</v>
      </c>
      <c r="E4210" s="25">
        <v>1722.15</v>
      </c>
      <c r="F4210" s="25">
        <v>9137653.0</v>
      </c>
    </row>
    <row r="4211">
      <c r="A4211" s="25">
        <v>44588.64583333333</v>
      </c>
      <c r="B4211" s="25">
        <v>1702.0</v>
      </c>
      <c r="C4211" s="25">
        <v>1709.7</v>
      </c>
      <c r="D4211" s="25">
        <v>1665.0</v>
      </c>
      <c r="E4211" s="25">
        <v>1678.6</v>
      </c>
      <c r="F4211" s="25">
        <v>1.1231734E7</v>
      </c>
    </row>
    <row r="4212">
      <c r="A4212" s="25">
        <v>44589.64583333333</v>
      </c>
      <c r="B4212" s="25">
        <v>1681.0</v>
      </c>
      <c r="C4212" s="25">
        <v>1727.55</v>
      </c>
      <c r="D4212" s="25">
        <v>1679.5</v>
      </c>
      <c r="E4212" s="25">
        <v>1686.2</v>
      </c>
      <c r="F4212" s="25">
        <v>1.0998502E7</v>
      </c>
    </row>
    <row r="4213">
      <c r="A4213" s="25">
        <v>44592.64583333333</v>
      </c>
      <c r="B4213" s="25">
        <v>1718.0</v>
      </c>
      <c r="C4213" s="25">
        <v>1749.5</v>
      </c>
      <c r="D4213" s="25">
        <v>1715.35</v>
      </c>
      <c r="E4213" s="25">
        <v>1736.2</v>
      </c>
      <c r="F4213" s="25">
        <v>8788872.0</v>
      </c>
    </row>
    <row r="4214">
      <c r="A4214" s="25">
        <v>44593.64583333333</v>
      </c>
      <c r="B4214" s="25">
        <v>1766.1</v>
      </c>
      <c r="C4214" s="25">
        <v>1780.0</v>
      </c>
      <c r="D4214" s="25">
        <v>1734.7</v>
      </c>
      <c r="E4214" s="25">
        <v>1772.05</v>
      </c>
      <c r="F4214" s="25">
        <v>5119935.0</v>
      </c>
    </row>
    <row r="4215">
      <c r="A4215" s="25">
        <v>44594.64583333333</v>
      </c>
      <c r="B4215" s="25">
        <v>1789.0</v>
      </c>
      <c r="C4215" s="25">
        <v>1792.8</v>
      </c>
      <c r="D4215" s="25">
        <v>1772.0</v>
      </c>
      <c r="E4215" s="25">
        <v>1787.1</v>
      </c>
      <c r="F4215" s="25">
        <v>4253717.0</v>
      </c>
    </row>
    <row r="4216">
      <c r="A4216" s="25">
        <v>44595.64583333333</v>
      </c>
      <c r="B4216" s="25">
        <v>1779.0</v>
      </c>
      <c r="C4216" s="25">
        <v>1779.0</v>
      </c>
      <c r="D4216" s="25">
        <v>1734.0</v>
      </c>
      <c r="E4216" s="25">
        <v>1738.55</v>
      </c>
      <c r="F4216" s="25">
        <v>3832922.0</v>
      </c>
    </row>
    <row r="4217">
      <c r="A4217" s="25">
        <v>44596.64583333333</v>
      </c>
      <c r="B4217" s="25">
        <v>1732.0</v>
      </c>
      <c r="C4217" s="25">
        <v>1753.95</v>
      </c>
      <c r="D4217" s="25">
        <v>1710.15</v>
      </c>
      <c r="E4217" s="25">
        <v>1741.1</v>
      </c>
      <c r="F4217" s="25">
        <v>4700077.0</v>
      </c>
    </row>
    <row r="4218">
      <c r="A4218" s="25">
        <v>44599.64583333333</v>
      </c>
      <c r="B4218" s="25">
        <v>1722.2</v>
      </c>
      <c r="C4218" s="25">
        <v>1732.0</v>
      </c>
      <c r="D4218" s="25">
        <v>1695.4</v>
      </c>
      <c r="E4218" s="25">
        <v>1715.0</v>
      </c>
      <c r="F4218" s="25">
        <v>4310209.0</v>
      </c>
    </row>
    <row r="4219">
      <c r="A4219" s="25">
        <v>44600.64583333333</v>
      </c>
      <c r="B4219" s="25">
        <v>1710.0</v>
      </c>
      <c r="C4219" s="25">
        <v>1725.0</v>
      </c>
      <c r="D4219" s="25">
        <v>1696.0</v>
      </c>
      <c r="E4219" s="25">
        <v>1717.3</v>
      </c>
      <c r="F4219" s="25">
        <v>6053401.0</v>
      </c>
    </row>
    <row r="4220">
      <c r="A4220" s="25">
        <v>44601.64583333333</v>
      </c>
      <c r="B4220" s="25">
        <v>1735.0</v>
      </c>
      <c r="C4220" s="25">
        <v>1743.0</v>
      </c>
      <c r="D4220" s="25">
        <v>1725.0</v>
      </c>
      <c r="E4220" s="25">
        <v>1737.3</v>
      </c>
      <c r="F4220" s="25">
        <v>3867244.0</v>
      </c>
    </row>
    <row r="4221">
      <c r="A4221" s="25">
        <v>44602.64583333333</v>
      </c>
      <c r="B4221" s="25">
        <v>1755.65</v>
      </c>
      <c r="C4221" s="25">
        <v>1773.9</v>
      </c>
      <c r="D4221" s="25">
        <v>1748.75</v>
      </c>
      <c r="E4221" s="25">
        <v>1769.6</v>
      </c>
      <c r="F4221" s="25">
        <v>4334630.0</v>
      </c>
    </row>
    <row r="4222">
      <c r="A4222" s="25">
        <v>44603.64583333333</v>
      </c>
      <c r="B4222" s="25">
        <v>1740.0</v>
      </c>
      <c r="C4222" s="25">
        <v>1745.95</v>
      </c>
      <c r="D4222" s="25">
        <v>1713.0</v>
      </c>
      <c r="E4222" s="25">
        <v>1721.35</v>
      </c>
      <c r="F4222" s="25">
        <v>7551371.0</v>
      </c>
    </row>
    <row r="4223">
      <c r="A4223" s="25">
        <v>44606.64583333333</v>
      </c>
      <c r="B4223" s="25">
        <v>1690.0</v>
      </c>
      <c r="C4223" s="25">
        <v>1718.55</v>
      </c>
      <c r="D4223" s="25">
        <v>1678.25</v>
      </c>
      <c r="E4223" s="25">
        <v>1682.2</v>
      </c>
      <c r="F4223" s="25">
        <v>7459637.0</v>
      </c>
    </row>
    <row r="4224">
      <c r="A4224" s="25">
        <v>44607.64583333333</v>
      </c>
      <c r="B4224" s="25">
        <v>1699.0</v>
      </c>
      <c r="C4224" s="25">
        <v>1746.75</v>
      </c>
      <c r="D4224" s="25">
        <v>1690.45</v>
      </c>
      <c r="E4224" s="25">
        <v>1738.25</v>
      </c>
      <c r="F4224" s="25">
        <v>4669915.0</v>
      </c>
    </row>
    <row r="4225">
      <c r="A4225" s="25">
        <v>44608.64583333333</v>
      </c>
      <c r="B4225" s="25">
        <v>1738.25</v>
      </c>
      <c r="C4225" s="25">
        <v>1755.45</v>
      </c>
      <c r="D4225" s="25">
        <v>1726.85</v>
      </c>
      <c r="E4225" s="25">
        <v>1733.3</v>
      </c>
      <c r="F4225" s="25">
        <v>5350642.0</v>
      </c>
    </row>
    <row r="4226">
      <c r="A4226" s="25">
        <v>44609.64583333333</v>
      </c>
      <c r="B4226" s="25">
        <v>1744.0</v>
      </c>
      <c r="C4226" s="25">
        <v>1749.0</v>
      </c>
      <c r="D4226" s="25">
        <v>1720.3</v>
      </c>
      <c r="E4226" s="25">
        <v>1724.8</v>
      </c>
      <c r="F4226" s="25">
        <v>3937950.0</v>
      </c>
    </row>
    <row r="4227">
      <c r="A4227" s="25">
        <v>44610.64583333333</v>
      </c>
      <c r="B4227" s="25">
        <v>1710.0</v>
      </c>
      <c r="C4227" s="25">
        <v>1722.5</v>
      </c>
      <c r="D4227" s="25">
        <v>1703.5</v>
      </c>
      <c r="E4227" s="25">
        <v>1706.95</v>
      </c>
      <c r="F4227" s="25">
        <v>5602215.0</v>
      </c>
    </row>
    <row r="4228">
      <c r="A4228" s="25">
        <v>44613.64583333333</v>
      </c>
      <c r="B4228" s="25">
        <v>1701.0</v>
      </c>
      <c r="C4228" s="25">
        <v>1737.3</v>
      </c>
      <c r="D4228" s="25">
        <v>1691.5</v>
      </c>
      <c r="E4228" s="25">
        <v>1730.7</v>
      </c>
      <c r="F4228" s="25">
        <v>5120890.0</v>
      </c>
    </row>
    <row r="4229">
      <c r="A4229" s="25">
        <v>44614.64583333333</v>
      </c>
      <c r="B4229" s="25">
        <v>1699.9</v>
      </c>
      <c r="C4229" s="25">
        <v>1751.0</v>
      </c>
      <c r="D4229" s="25">
        <v>1691.05</v>
      </c>
      <c r="E4229" s="25">
        <v>1734.35</v>
      </c>
      <c r="F4229" s="25">
        <v>8878515.0</v>
      </c>
    </row>
    <row r="4230">
      <c r="A4230" s="25">
        <v>44615.64583333333</v>
      </c>
      <c r="B4230" s="25">
        <v>1750.0</v>
      </c>
      <c r="C4230" s="25">
        <v>1758.25</v>
      </c>
      <c r="D4230" s="25">
        <v>1733.4</v>
      </c>
      <c r="E4230" s="25">
        <v>1742.85</v>
      </c>
      <c r="F4230" s="25">
        <v>5478811.0</v>
      </c>
    </row>
    <row r="4231">
      <c r="A4231" s="25">
        <v>44616.64583333333</v>
      </c>
      <c r="B4231" s="25">
        <v>1690.1</v>
      </c>
      <c r="C4231" s="25">
        <v>1714.95</v>
      </c>
      <c r="D4231" s="25">
        <v>1670.5</v>
      </c>
      <c r="E4231" s="25">
        <v>1678.15</v>
      </c>
      <c r="F4231" s="25">
        <v>1.3592379E7</v>
      </c>
    </row>
    <row r="4232">
      <c r="A4232" s="25">
        <v>44617.64583333333</v>
      </c>
      <c r="B4232" s="25">
        <v>1715.0</v>
      </c>
      <c r="C4232" s="25">
        <v>1728.15</v>
      </c>
      <c r="D4232" s="25">
        <v>1677.0</v>
      </c>
      <c r="E4232" s="25">
        <v>1694.6</v>
      </c>
      <c r="F4232" s="25">
        <v>9737281.0</v>
      </c>
    </row>
    <row r="4233">
      <c r="A4233" s="25">
        <v>44620.64583333333</v>
      </c>
      <c r="B4233" s="25">
        <v>1682.2</v>
      </c>
      <c r="C4233" s="25">
        <v>1728.05</v>
      </c>
      <c r="D4233" s="25">
        <v>1665.0</v>
      </c>
      <c r="E4233" s="25">
        <v>1715.6</v>
      </c>
      <c r="F4233" s="25">
        <v>1.5076542E7</v>
      </c>
    </row>
    <row r="4234">
      <c r="A4234" s="25">
        <v>44622.64583333333</v>
      </c>
      <c r="B4234" s="25">
        <v>1710.0</v>
      </c>
      <c r="C4234" s="25">
        <v>1714.4</v>
      </c>
      <c r="D4234" s="25">
        <v>1691.0</v>
      </c>
      <c r="E4234" s="25">
        <v>1702.8</v>
      </c>
      <c r="F4234" s="25">
        <v>6771489.0</v>
      </c>
    </row>
    <row r="4235">
      <c r="A4235" s="25">
        <v>44623.64583333333</v>
      </c>
      <c r="B4235" s="25">
        <v>1720.2</v>
      </c>
      <c r="C4235" s="25">
        <v>1733.9</v>
      </c>
      <c r="D4235" s="25">
        <v>1705.55</v>
      </c>
      <c r="E4235" s="25">
        <v>1720.85</v>
      </c>
      <c r="F4235" s="25">
        <v>7344147.0</v>
      </c>
    </row>
    <row r="4236">
      <c r="A4236" s="25">
        <v>44624.64583333333</v>
      </c>
      <c r="B4236" s="25">
        <v>1695.25</v>
      </c>
      <c r="C4236" s="25">
        <v>1736.0</v>
      </c>
      <c r="D4236" s="25">
        <v>1681.0</v>
      </c>
      <c r="E4236" s="25">
        <v>1723.3</v>
      </c>
      <c r="F4236" s="25">
        <v>9074499.0</v>
      </c>
    </row>
    <row r="4237">
      <c r="A4237" s="25">
        <v>44627.64583333333</v>
      </c>
      <c r="B4237" s="25">
        <v>1697.0</v>
      </c>
      <c r="C4237" s="25">
        <v>1751.0</v>
      </c>
      <c r="D4237" s="25">
        <v>1696.0</v>
      </c>
      <c r="E4237" s="25">
        <v>1739.85</v>
      </c>
      <c r="F4237" s="25">
        <v>9742588.0</v>
      </c>
    </row>
    <row r="4238">
      <c r="A4238" s="25">
        <v>44628.64583333333</v>
      </c>
      <c r="B4238" s="25">
        <v>1718.45</v>
      </c>
      <c r="C4238" s="25">
        <v>1800.0</v>
      </c>
      <c r="D4238" s="25">
        <v>1718.45</v>
      </c>
      <c r="E4238" s="25">
        <v>1778.2</v>
      </c>
      <c r="F4238" s="25">
        <v>1.09845E7</v>
      </c>
    </row>
    <row r="4239">
      <c r="A4239" s="25">
        <v>44629.64583333333</v>
      </c>
      <c r="B4239" s="25">
        <v>1791.0</v>
      </c>
      <c r="C4239" s="25">
        <v>1831.6</v>
      </c>
      <c r="D4239" s="25">
        <v>1791.0</v>
      </c>
      <c r="E4239" s="25">
        <v>1813.35</v>
      </c>
      <c r="F4239" s="25">
        <v>1.0193515E7</v>
      </c>
    </row>
    <row r="4240">
      <c r="A4240" s="25">
        <v>44630.64583333333</v>
      </c>
      <c r="B4240" s="25">
        <v>1844.75</v>
      </c>
      <c r="C4240" s="25">
        <v>1844.75</v>
      </c>
      <c r="D4240" s="25">
        <v>1810.2</v>
      </c>
      <c r="E4240" s="25">
        <v>1825.9</v>
      </c>
      <c r="F4240" s="25">
        <v>6547182.0</v>
      </c>
    </row>
    <row r="4241">
      <c r="A4241" s="25">
        <v>44631.64583333333</v>
      </c>
      <c r="B4241" s="25">
        <v>1814.0</v>
      </c>
      <c r="C4241" s="25">
        <v>1831.4</v>
      </c>
      <c r="D4241" s="25">
        <v>1811.0</v>
      </c>
      <c r="E4241" s="25">
        <v>1822.0</v>
      </c>
      <c r="F4241" s="25">
        <v>4758657.0</v>
      </c>
    </row>
    <row r="4242">
      <c r="A4242" s="25">
        <v>44634.64583333333</v>
      </c>
      <c r="B4242" s="25">
        <v>1831.55</v>
      </c>
      <c r="C4242" s="25">
        <v>1895.0</v>
      </c>
      <c r="D4242" s="25">
        <v>1831.55</v>
      </c>
      <c r="E4242" s="25">
        <v>1890.7</v>
      </c>
      <c r="F4242" s="25">
        <v>1.0289724E7</v>
      </c>
    </row>
    <row r="4243">
      <c r="A4243" s="25">
        <v>44635.64583333333</v>
      </c>
      <c r="B4243" s="25">
        <v>1888.35</v>
      </c>
      <c r="C4243" s="25">
        <v>1888.35</v>
      </c>
      <c r="D4243" s="25">
        <v>1830.0</v>
      </c>
      <c r="E4243" s="25">
        <v>1839.3</v>
      </c>
      <c r="F4243" s="25">
        <v>7140443.0</v>
      </c>
    </row>
    <row r="4244">
      <c r="A4244" s="25">
        <v>44636.64583333333</v>
      </c>
      <c r="B4244" s="25">
        <v>1865.0</v>
      </c>
      <c r="C4244" s="25">
        <v>1893.95</v>
      </c>
      <c r="D4244" s="25">
        <v>1849.0</v>
      </c>
      <c r="E4244" s="25">
        <v>1889.4</v>
      </c>
      <c r="F4244" s="25">
        <v>5233979.0</v>
      </c>
    </row>
    <row r="4245">
      <c r="A4245" s="25">
        <v>44637.64583333333</v>
      </c>
      <c r="B4245" s="25">
        <v>1923.3</v>
      </c>
      <c r="C4245" s="25">
        <v>1923.3</v>
      </c>
      <c r="D4245" s="25">
        <v>1833.05</v>
      </c>
      <c r="E4245" s="25">
        <v>1854.6</v>
      </c>
      <c r="F4245" s="25">
        <v>1.7731459E7</v>
      </c>
    </row>
    <row r="4246">
      <c r="A4246" s="25">
        <v>44641.64583333333</v>
      </c>
      <c r="B4246" s="25">
        <v>1861.0</v>
      </c>
      <c r="C4246" s="25">
        <v>1886.9</v>
      </c>
      <c r="D4246" s="25">
        <v>1841.1</v>
      </c>
      <c r="E4246" s="25">
        <v>1853.05</v>
      </c>
      <c r="F4246" s="25">
        <v>8362085.0</v>
      </c>
    </row>
    <row r="4247">
      <c r="A4247" s="25">
        <v>44642.64583333333</v>
      </c>
      <c r="B4247" s="25">
        <v>1850.0</v>
      </c>
      <c r="C4247" s="25">
        <v>1890.0</v>
      </c>
      <c r="D4247" s="25">
        <v>1839.0</v>
      </c>
      <c r="E4247" s="25">
        <v>1887.4</v>
      </c>
      <c r="F4247" s="25">
        <v>5709382.0</v>
      </c>
    </row>
    <row r="4248">
      <c r="A4248" s="25">
        <v>44643.64583333333</v>
      </c>
      <c r="B4248" s="25">
        <v>1897.0</v>
      </c>
      <c r="C4248" s="25">
        <v>1900.0</v>
      </c>
      <c r="D4248" s="25">
        <v>1857.0</v>
      </c>
      <c r="E4248" s="25">
        <v>1872.4</v>
      </c>
      <c r="F4248" s="25">
        <v>6192824.0</v>
      </c>
    </row>
    <row r="4249">
      <c r="A4249" s="25">
        <v>44644.64583333333</v>
      </c>
      <c r="B4249" s="25">
        <v>1856.15</v>
      </c>
      <c r="C4249" s="25">
        <v>1894.6</v>
      </c>
      <c r="D4249" s="25">
        <v>1856.15</v>
      </c>
      <c r="E4249" s="25">
        <v>1886.7</v>
      </c>
      <c r="F4249" s="25">
        <v>3784303.0</v>
      </c>
    </row>
    <row r="4250">
      <c r="A4250" s="25">
        <v>44645.64583333333</v>
      </c>
      <c r="B4250" s="25">
        <v>1892.0</v>
      </c>
      <c r="C4250" s="25">
        <v>1894.0</v>
      </c>
      <c r="D4250" s="25">
        <v>1858.0</v>
      </c>
      <c r="E4250" s="25">
        <v>1876.55</v>
      </c>
      <c r="F4250" s="25">
        <v>3438588.0</v>
      </c>
    </row>
    <row r="4251">
      <c r="A4251" s="25">
        <v>44648.64583333333</v>
      </c>
      <c r="B4251" s="25">
        <v>1866.0</v>
      </c>
      <c r="C4251" s="25">
        <v>1880.9</v>
      </c>
      <c r="D4251" s="25">
        <v>1852.65</v>
      </c>
      <c r="E4251" s="25">
        <v>1873.9</v>
      </c>
      <c r="F4251" s="25">
        <v>4008555.0</v>
      </c>
    </row>
    <row r="4252">
      <c r="A4252" s="25">
        <v>44649.64583333333</v>
      </c>
      <c r="B4252" s="25">
        <v>1873.9</v>
      </c>
      <c r="C4252" s="25">
        <v>1889.4</v>
      </c>
      <c r="D4252" s="25">
        <v>1860.55</v>
      </c>
      <c r="E4252" s="25">
        <v>1886.0</v>
      </c>
      <c r="F4252" s="25">
        <v>3917785.0</v>
      </c>
    </row>
    <row r="4253">
      <c r="A4253" s="25">
        <v>44650.64583333333</v>
      </c>
      <c r="B4253" s="25">
        <v>1910.0</v>
      </c>
      <c r="C4253" s="25">
        <v>1919.0</v>
      </c>
      <c r="D4253" s="25">
        <v>1895.0</v>
      </c>
      <c r="E4253" s="25">
        <v>1903.95</v>
      </c>
      <c r="F4253" s="25">
        <v>7795839.0</v>
      </c>
    </row>
    <row r="4254">
      <c r="A4254" s="25">
        <v>44651.64583333333</v>
      </c>
      <c r="B4254" s="25">
        <v>1900.0</v>
      </c>
      <c r="C4254" s="25">
        <v>1913.0</v>
      </c>
      <c r="D4254" s="25">
        <v>1894.2</v>
      </c>
      <c r="E4254" s="25">
        <v>1906.85</v>
      </c>
      <c r="F4254" s="25">
        <v>5399145.0</v>
      </c>
    </row>
    <row r="4255">
      <c r="A4255" s="25">
        <v>44652.64583333333</v>
      </c>
      <c r="B4255" s="25">
        <v>1886.85</v>
      </c>
      <c r="C4255" s="25">
        <v>1910.3</v>
      </c>
      <c r="D4255" s="25">
        <v>1878.3</v>
      </c>
      <c r="E4255" s="25">
        <v>1903.55</v>
      </c>
      <c r="F4255" s="25">
        <v>6171518.0</v>
      </c>
    </row>
    <row r="4256">
      <c r="A4256" s="25">
        <v>44655.64583333333</v>
      </c>
      <c r="B4256" s="25">
        <v>1889.75</v>
      </c>
      <c r="C4256" s="25">
        <v>1893.0</v>
      </c>
      <c r="D4256" s="25">
        <v>1873.0</v>
      </c>
      <c r="E4256" s="25">
        <v>1882.95</v>
      </c>
      <c r="F4256" s="25">
        <v>7364074.0</v>
      </c>
    </row>
    <row r="4257">
      <c r="A4257" s="25">
        <v>44656.64583333333</v>
      </c>
      <c r="B4257" s="25">
        <v>1883.8</v>
      </c>
      <c r="C4257" s="25">
        <v>1889.6</v>
      </c>
      <c r="D4257" s="25">
        <v>1857.15</v>
      </c>
      <c r="E4257" s="25">
        <v>1861.1</v>
      </c>
      <c r="F4257" s="25">
        <v>5472024.0</v>
      </c>
    </row>
    <row r="4258">
      <c r="A4258" s="25">
        <v>44657.64583333333</v>
      </c>
      <c r="B4258" s="25">
        <v>1855.0</v>
      </c>
      <c r="C4258" s="25">
        <v>1857.5</v>
      </c>
      <c r="D4258" s="25">
        <v>1822.15</v>
      </c>
      <c r="E4258" s="25">
        <v>1828.85</v>
      </c>
      <c r="F4258" s="25">
        <v>5407453.0</v>
      </c>
    </row>
    <row r="4259">
      <c r="A4259" s="25">
        <v>44658.64583333333</v>
      </c>
      <c r="B4259" s="25">
        <v>1821.05</v>
      </c>
      <c r="C4259" s="25">
        <v>1828.15</v>
      </c>
      <c r="D4259" s="25">
        <v>1807.55</v>
      </c>
      <c r="E4259" s="25">
        <v>1811.0</v>
      </c>
      <c r="F4259" s="25">
        <v>5797544.0</v>
      </c>
    </row>
    <row r="4260">
      <c r="A4260" s="25">
        <v>44659.64583333333</v>
      </c>
      <c r="B4260" s="25">
        <v>1823.0</v>
      </c>
      <c r="C4260" s="25">
        <v>1838.0</v>
      </c>
      <c r="D4260" s="25">
        <v>1808.0</v>
      </c>
      <c r="E4260" s="25">
        <v>1814.6</v>
      </c>
      <c r="F4260" s="25">
        <v>5131446.0</v>
      </c>
    </row>
    <row r="4261">
      <c r="A4261" s="25">
        <v>44662.64583333333</v>
      </c>
      <c r="B4261" s="25">
        <v>1814.0</v>
      </c>
      <c r="C4261" s="25">
        <v>1814.0</v>
      </c>
      <c r="D4261" s="25">
        <v>1762.55</v>
      </c>
      <c r="E4261" s="25">
        <v>1766.55</v>
      </c>
      <c r="F4261" s="25">
        <v>8248407.0</v>
      </c>
    </row>
    <row r="4262">
      <c r="A4262" s="25">
        <v>44663.64583333333</v>
      </c>
      <c r="B4262" s="25">
        <v>1757.5</v>
      </c>
      <c r="C4262" s="25">
        <v>1757.5</v>
      </c>
      <c r="D4262" s="25">
        <v>1727.75</v>
      </c>
      <c r="E4262" s="25">
        <v>1742.45</v>
      </c>
      <c r="F4262" s="25">
        <v>6456184.0</v>
      </c>
    </row>
    <row r="4263">
      <c r="A4263" s="25">
        <v>44664.64583333333</v>
      </c>
      <c r="B4263" s="25">
        <v>1754.95</v>
      </c>
      <c r="C4263" s="25">
        <v>1757.5</v>
      </c>
      <c r="D4263" s="25">
        <v>1732.0</v>
      </c>
      <c r="E4263" s="25">
        <v>1748.55</v>
      </c>
      <c r="F4263" s="25">
        <v>6257693.0</v>
      </c>
    </row>
    <row r="4264">
      <c r="A4264" s="25">
        <v>44669.64583333333</v>
      </c>
      <c r="B4264" s="25">
        <v>1605.5</v>
      </c>
      <c r="C4264" s="25">
        <v>1650.0</v>
      </c>
      <c r="D4264" s="25">
        <v>1590.0</v>
      </c>
      <c r="E4264" s="25">
        <v>1621.4</v>
      </c>
      <c r="F4264" s="25">
        <v>3.0523965E7</v>
      </c>
    </row>
    <row r="4265">
      <c r="A4265" s="25">
        <v>44670.64583333333</v>
      </c>
      <c r="B4265" s="25">
        <v>1636.65</v>
      </c>
      <c r="C4265" s="25">
        <v>1636.65</v>
      </c>
      <c r="D4265" s="25">
        <v>1550.0</v>
      </c>
      <c r="E4265" s="25">
        <v>1562.0</v>
      </c>
      <c r="F4265" s="25">
        <v>1.7044923E7</v>
      </c>
    </row>
    <row r="4266">
      <c r="A4266" s="25">
        <v>44671.64583333333</v>
      </c>
      <c r="B4266" s="25">
        <v>1575.0</v>
      </c>
      <c r="C4266" s="25">
        <v>1596.3</v>
      </c>
      <c r="D4266" s="25">
        <v>1563.0</v>
      </c>
      <c r="E4266" s="25">
        <v>1587.7</v>
      </c>
      <c r="F4266" s="25">
        <v>1.0678747E7</v>
      </c>
    </row>
    <row r="4267">
      <c r="A4267" s="25">
        <v>44672.64583333333</v>
      </c>
      <c r="B4267" s="25">
        <v>1595.0</v>
      </c>
      <c r="C4267" s="25">
        <v>1627.2</v>
      </c>
      <c r="D4267" s="25">
        <v>1589.25</v>
      </c>
      <c r="E4267" s="25">
        <v>1618.8</v>
      </c>
      <c r="F4267" s="25">
        <v>7766514.0</v>
      </c>
    </row>
    <row r="4268">
      <c r="A4268" s="25">
        <v>44673.64583333333</v>
      </c>
      <c r="B4268" s="25">
        <v>1604.35</v>
      </c>
      <c r="C4268" s="25">
        <v>1610.7</v>
      </c>
      <c r="D4268" s="25">
        <v>1582.4</v>
      </c>
      <c r="E4268" s="25">
        <v>1585.45</v>
      </c>
      <c r="F4268" s="25">
        <v>8134245.0</v>
      </c>
    </row>
    <row r="4269">
      <c r="A4269" s="25">
        <v>44676.64583333333</v>
      </c>
      <c r="B4269" s="25">
        <v>1572.8</v>
      </c>
      <c r="C4269" s="25">
        <v>1572.8</v>
      </c>
      <c r="D4269" s="25">
        <v>1554.1</v>
      </c>
      <c r="E4269" s="25">
        <v>1561.1</v>
      </c>
      <c r="F4269" s="25">
        <v>7000570.0</v>
      </c>
    </row>
    <row r="4270">
      <c r="A4270" s="25">
        <v>44677.64583333333</v>
      </c>
      <c r="B4270" s="25">
        <v>1577.2</v>
      </c>
      <c r="C4270" s="25">
        <v>1592.0</v>
      </c>
      <c r="D4270" s="25">
        <v>1566.55</v>
      </c>
      <c r="E4270" s="25">
        <v>1581.0</v>
      </c>
      <c r="F4270" s="25">
        <v>5345435.0</v>
      </c>
    </row>
    <row r="4271">
      <c r="A4271" s="25">
        <v>44678.64583333333</v>
      </c>
      <c r="B4271" s="25">
        <v>1572.75</v>
      </c>
      <c r="C4271" s="25">
        <v>1572.75</v>
      </c>
      <c r="D4271" s="25">
        <v>1550.35</v>
      </c>
      <c r="E4271" s="25">
        <v>1552.8</v>
      </c>
      <c r="F4271" s="25">
        <v>8819356.0</v>
      </c>
    </row>
    <row r="4272">
      <c r="A4272" s="25">
        <v>44679.64583333333</v>
      </c>
      <c r="B4272" s="25">
        <v>1570.0</v>
      </c>
      <c r="C4272" s="25">
        <v>1601.8</v>
      </c>
      <c r="D4272" s="25">
        <v>1557.45</v>
      </c>
      <c r="E4272" s="25">
        <v>1582.6</v>
      </c>
      <c r="F4272" s="25">
        <v>9245177.0</v>
      </c>
    </row>
    <row r="4273">
      <c r="A4273" s="25">
        <v>44680.64583333333</v>
      </c>
      <c r="B4273" s="25">
        <v>1590.0</v>
      </c>
      <c r="C4273" s="25">
        <v>1597.3</v>
      </c>
      <c r="D4273" s="25">
        <v>1560.8</v>
      </c>
      <c r="E4273" s="25">
        <v>1567.55</v>
      </c>
      <c r="F4273" s="25">
        <v>9831395.0</v>
      </c>
    </row>
    <row r="4274">
      <c r="A4274" s="25">
        <v>44683.64583333333</v>
      </c>
      <c r="B4274" s="25">
        <v>1550.9</v>
      </c>
      <c r="C4274" s="25">
        <v>1552.75</v>
      </c>
      <c r="D4274" s="25">
        <v>1531.0</v>
      </c>
      <c r="E4274" s="25">
        <v>1541.0</v>
      </c>
      <c r="F4274" s="25">
        <v>7072627.0</v>
      </c>
    </row>
    <row r="4275">
      <c r="A4275" s="25">
        <v>44685.64583333333</v>
      </c>
      <c r="B4275" s="25">
        <v>1547.25</v>
      </c>
      <c r="C4275" s="25">
        <v>1570.0</v>
      </c>
      <c r="D4275" s="25">
        <v>1530.15</v>
      </c>
      <c r="E4275" s="25">
        <v>1535.55</v>
      </c>
      <c r="F4275" s="25">
        <v>6220959.0</v>
      </c>
    </row>
    <row r="4276">
      <c r="A4276" s="25">
        <v>44686.64583333333</v>
      </c>
      <c r="B4276" s="25">
        <v>1560.05</v>
      </c>
      <c r="C4276" s="25">
        <v>1589.4</v>
      </c>
      <c r="D4276" s="25">
        <v>1557.45</v>
      </c>
      <c r="E4276" s="25">
        <v>1585.15</v>
      </c>
      <c r="F4276" s="25">
        <v>6144870.0</v>
      </c>
    </row>
    <row r="4277">
      <c r="A4277" s="25">
        <v>44687.64583333333</v>
      </c>
      <c r="B4277" s="25">
        <v>1550.0</v>
      </c>
      <c r="C4277" s="25">
        <v>1561.85</v>
      </c>
      <c r="D4277" s="25">
        <v>1535.05</v>
      </c>
      <c r="E4277" s="25">
        <v>1542.85</v>
      </c>
      <c r="F4277" s="25">
        <v>6171472.0</v>
      </c>
    </row>
    <row r="4278">
      <c r="A4278" s="25">
        <v>44690.64583333333</v>
      </c>
      <c r="B4278" s="25">
        <v>1540.0</v>
      </c>
      <c r="C4278" s="25">
        <v>1586.8</v>
      </c>
      <c r="D4278" s="25">
        <v>1522.15</v>
      </c>
      <c r="E4278" s="25">
        <v>1570.35</v>
      </c>
      <c r="F4278" s="25">
        <v>6832202.0</v>
      </c>
    </row>
    <row r="4279">
      <c r="A4279" s="25">
        <v>44691.64583333333</v>
      </c>
      <c r="B4279" s="25">
        <v>1558.0</v>
      </c>
      <c r="C4279" s="25">
        <v>1569.15</v>
      </c>
      <c r="D4279" s="25">
        <v>1546.05</v>
      </c>
      <c r="E4279" s="25">
        <v>1553.0</v>
      </c>
      <c r="F4279" s="25">
        <v>6212545.0</v>
      </c>
    </row>
    <row r="4280">
      <c r="A4280" s="25">
        <v>44692.64583333333</v>
      </c>
      <c r="B4280" s="25">
        <v>1549.95</v>
      </c>
      <c r="C4280" s="25">
        <v>1549.95</v>
      </c>
      <c r="D4280" s="25">
        <v>1511.6</v>
      </c>
      <c r="E4280" s="25">
        <v>1526.75</v>
      </c>
      <c r="F4280" s="25">
        <v>7846080.0</v>
      </c>
    </row>
    <row r="4281">
      <c r="A4281" s="25">
        <v>44693.64583333333</v>
      </c>
      <c r="B4281" s="25">
        <v>1514.0</v>
      </c>
      <c r="C4281" s="25">
        <v>1527.5</v>
      </c>
      <c r="D4281" s="25">
        <v>1504.3</v>
      </c>
      <c r="E4281" s="25">
        <v>1508.8</v>
      </c>
      <c r="F4281" s="25">
        <v>7034979.0</v>
      </c>
    </row>
    <row r="4282">
      <c r="A4282" s="25">
        <v>44694.64583333333</v>
      </c>
      <c r="B4282" s="25">
        <v>1519.3</v>
      </c>
      <c r="C4282" s="25">
        <v>1529.25</v>
      </c>
      <c r="D4282" s="25">
        <v>1498.1</v>
      </c>
      <c r="E4282" s="25">
        <v>1504.4</v>
      </c>
      <c r="F4282" s="25">
        <v>6723761.0</v>
      </c>
    </row>
    <row r="4283">
      <c r="A4283" s="25">
        <v>44697.64583333333</v>
      </c>
      <c r="B4283" s="25">
        <v>1510.0</v>
      </c>
      <c r="C4283" s="25">
        <v>1511.85</v>
      </c>
      <c r="D4283" s="25">
        <v>1478.65</v>
      </c>
      <c r="E4283" s="25">
        <v>1489.1</v>
      </c>
      <c r="F4283" s="25">
        <v>6145331.0</v>
      </c>
    </row>
    <row r="4284">
      <c r="A4284" s="25">
        <v>44698.64583333333</v>
      </c>
      <c r="B4284" s="25">
        <v>1494.9</v>
      </c>
      <c r="C4284" s="25">
        <v>1525.0</v>
      </c>
      <c r="D4284" s="25">
        <v>1480.9</v>
      </c>
      <c r="E4284" s="25">
        <v>1518.45</v>
      </c>
      <c r="F4284" s="25">
        <v>6516378.0</v>
      </c>
    </row>
    <row r="4285">
      <c r="A4285" s="25">
        <v>44699.64583333333</v>
      </c>
      <c r="B4285" s="25">
        <v>1522.0</v>
      </c>
      <c r="C4285" s="25">
        <v>1549.7</v>
      </c>
      <c r="D4285" s="25">
        <v>1505.3</v>
      </c>
      <c r="E4285" s="25">
        <v>1509.2</v>
      </c>
      <c r="F4285" s="25">
        <v>6594126.0</v>
      </c>
    </row>
    <row r="4286">
      <c r="A4286" s="25">
        <v>44700.64583333333</v>
      </c>
      <c r="B4286" s="25">
        <v>1481.0</v>
      </c>
      <c r="C4286" s="25">
        <v>1484.7</v>
      </c>
      <c r="D4286" s="25">
        <v>1417.65</v>
      </c>
      <c r="E4286" s="25">
        <v>1427.15</v>
      </c>
      <c r="F4286" s="25">
        <v>1.656114E7</v>
      </c>
    </row>
    <row r="4287">
      <c r="A4287" s="25">
        <v>44701.64583333333</v>
      </c>
      <c r="B4287" s="25">
        <v>1453.0</v>
      </c>
      <c r="C4287" s="25">
        <v>1466.75</v>
      </c>
      <c r="D4287" s="25">
        <v>1446.7</v>
      </c>
      <c r="E4287" s="25">
        <v>1455.15</v>
      </c>
      <c r="F4287" s="25">
        <v>1.0488908E7</v>
      </c>
    </row>
    <row r="4288">
      <c r="A4288" s="25">
        <v>44704.64583333333</v>
      </c>
      <c r="B4288" s="25">
        <v>1455.1</v>
      </c>
      <c r="C4288" s="25">
        <v>1488.0</v>
      </c>
      <c r="D4288" s="25">
        <v>1450.05</v>
      </c>
      <c r="E4288" s="25">
        <v>1468.4</v>
      </c>
      <c r="F4288" s="25">
        <v>5887569.0</v>
      </c>
    </row>
    <row r="4289">
      <c r="A4289" s="25">
        <v>44705.64583333333</v>
      </c>
      <c r="B4289" s="25">
        <v>1468.6</v>
      </c>
      <c r="C4289" s="25">
        <v>1469.55</v>
      </c>
      <c r="D4289" s="25">
        <v>1435.25</v>
      </c>
      <c r="E4289" s="25">
        <v>1441.0</v>
      </c>
      <c r="F4289" s="25">
        <v>5693167.0</v>
      </c>
    </row>
    <row r="4290">
      <c r="A4290" s="25">
        <v>44706.64583333333</v>
      </c>
      <c r="B4290" s="25">
        <v>1435.0</v>
      </c>
      <c r="C4290" s="25">
        <v>1442.5</v>
      </c>
      <c r="D4290" s="25">
        <v>1399.25</v>
      </c>
      <c r="E4290" s="25">
        <v>1410.45</v>
      </c>
      <c r="F4290" s="25">
        <v>9630092.0</v>
      </c>
    </row>
    <row r="4291">
      <c r="A4291" s="25">
        <v>44707.64583333333</v>
      </c>
      <c r="B4291" s="25">
        <v>1418.0</v>
      </c>
      <c r="C4291" s="25">
        <v>1430.0</v>
      </c>
      <c r="D4291" s="25">
        <v>1407.05</v>
      </c>
      <c r="E4291" s="25">
        <v>1423.95</v>
      </c>
      <c r="F4291" s="25">
        <v>1.3040065E7</v>
      </c>
    </row>
    <row r="4292">
      <c r="A4292" s="25">
        <v>44708.64583333333</v>
      </c>
      <c r="B4292" s="25">
        <v>1443.95</v>
      </c>
      <c r="C4292" s="25">
        <v>1467.0</v>
      </c>
      <c r="D4292" s="25">
        <v>1437.4</v>
      </c>
      <c r="E4292" s="25">
        <v>1461.35</v>
      </c>
      <c r="F4292" s="25">
        <v>8284860.0</v>
      </c>
    </row>
    <row r="4293">
      <c r="A4293" s="25">
        <v>44711.64583333333</v>
      </c>
      <c r="B4293" s="25">
        <v>1487.0</v>
      </c>
      <c r="C4293" s="25">
        <v>1530.0</v>
      </c>
      <c r="D4293" s="25">
        <v>1485.0</v>
      </c>
      <c r="E4293" s="25">
        <v>1526.8</v>
      </c>
      <c r="F4293" s="25">
        <v>1.0904213E7</v>
      </c>
    </row>
    <row r="4294">
      <c r="A4294" s="25">
        <v>44712.64583333333</v>
      </c>
      <c r="B4294" s="25">
        <v>1510.7</v>
      </c>
      <c r="C4294" s="25">
        <v>1518.0</v>
      </c>
      <c r="D4294" s="25">
        <v>1488.15</v>
      </c>
      <c r="E4294" s="25">
        <v>1503.6</v>
      </c>
      <c r="F4294" s="25">
        <v>1.6033857E7</v>
      </c>
    </row>
    <row r="4295">
      <c r="A4295" s="25">
        <v>44713.64583333333</v>
      </c>
      <c r="B4295" s="25">
        <v>1513.0</v>
      </c>
      <c r="C4295" s="25">
        <v>1514.75</v>
      </c>
      <c r="D4295" s="25">
        <v>1472.1</v>
      </c>
      <c r="E4295" s="25">
        <v>1478.55</v>
      </c>
      <c r="F4295" s="25">
        <v>8738508.0</v>
      </c>
    </row>
    <row r="4296">
      <c r="A4296" s="25">
        <v>44714.64583333333</v>
      </c>
      <c r="B4296" s="25">
        <v>1484.0</v>
      </c>
      <c r="C4296" s="25">
        <v>1513.85</v>
      </c>
      <c r="D4296" s="25">
        <v>1475.6</v>
      </c>
      <c r="E4296" s="25">
        <v>1508.0</v>
      </c>
      <c r="F4296" s="25">
        <v>7205840.0</v>
      </c>
    </row>
    <row r="4297">
      <c r="A4297" s="25">
        <v>44715.64583333333</v>
      </c>
      <c r="B4297" s="25">
        <v>1524.9</v>
      </c>
      <c r="C4297" s="25">
        <v>1555.0</v>
      </c>
      <c r="D4297" s="25">
        <v>1518.0</v>
      </c>
      <c r="E4297" s="25">
        <v>1521.7</v>
      </c>
      <c r="F4297" s="25">
        <v>9395707.0</v>
      </c>
    </row>
    <row r="4298">
      <c r="A4298" s="25">
        <v>44718.64583333333</v>
      </c>
      <c r="B4298" s="25">
        <v>1516.0</v>
      </c>
      <c r="C4298" s="25">
        <v>1536.6</v>
      </c>
      <c r="D4298" s="25">
        <v>1493.0</v>
      </c>
      <c r="E4298" s="25">
        <v>1530.05</v>
      </c>
      <c r="F4298" s="25">
        <v>6624883.0</v>
      </c>
    </row>
    <row r="4299">
      <c r="A4299" s="25">
        <v>44719.64583333333</v>
      </c>
      <c r="B4299" s="25">
        <v>1519.85</v>
      </c>
      <c r="C4299" s="25">
        <v>1519.85</v>
      </c>
      <c r="D4299" s="25">
        <v>1502.6</v>
      </c>
      <c r="E4299" s="25">
        <v>1506.7</v>
      </c>
      <c r="F4299" s="25">
        <v>4904592.0</v>
      </c>
    </row>
    <row r="4300">
      <c r="A4300" s="25">
        <v>44720.64583333333</v>
      </c>
      <c r="B4300" s="25">
        <v>1520.2</v>
      </c>
      <c r="C4300" s="25">
        <v>1520.2</v>
      </c>
      <c r="D4300" s="25">
        <v>1492.0</v>
      </c>
      <c r="E4300" s="25">
        <v>1500.0</v>
      </c>
      <c r="F4300" s="25">
        <v>4697608.0</v>
      </c>
    </row>
    <row r="4301">
      <c r="A4301" s="25">
        <v>44721.64583333333</v>
      </c>
      <c r="B4301" s="25">
        <v>1485.0</v>
      </c>
      <c r="C4301" s="25">
        <v>1516.95</v>
      </c>
      <c r="D4301" s="25">
        <v>1481.5</v>
      </c>
      <c r="E4301" s="25">
        <v>1515.0</v>
      </c>
      <c r="F4301" s="25">
        <v>4361061.0</v>
      </c>
    </row>
    <row r="4302">
      <c r="A4302" s="25">
        <v>44722.64583333333</v>
      </c>
      <c r="B4302" s="25">
        <v>1486.1</v>
      </c>
      <c r="C4302" s="25">
        <v>1493.95</v>
      </c>
      <c r="D4302" s="25">
        <v>1473.6</v>
      </c>
      <c r="E4302" s="25">
        <v>1476.8</v>
      </c>
      <c r="F4302" s="25">
        <v>6516436.0</v>
      </c>
    </row>
    <row r="4303">
      <c r="A4303" s="25">
        <v>44725.64583333333</v>
      </c>
      <c r="B4303" s="25">
        <v>1443.6</v>
      </c>
      <c r="C4303" s="25">
        <v>1443.6</v>
      </c>
      <c r="D4303" s="25">
        <v>1411.7</v>
      </c>
      <c r="E4303" s="25">
        <v>1424.5</v>
      </c>
      <c r="F4303" s="25">
        <v>6987685.0</v>
      </c>
    </row>
    <row r="4304">
      <c r="A4304" s="25">
        <v>44726.64583333333</v>
      </c>
      <c r="B4304" s="25">
        <v>1410.0</v>
      </c>
      <c r="C4304" s="25">
        <v>1448.9</v>
      </c>
      <c r="D4304" s="25">
        <v>1403.15</v>
      </c>
      <c r="E4304" s="25">
        <v>1440.55</v>
      </c>
      <c r="F4304" s="25">
        <v>6090247.0</v>
      </c>
    </row>
    <row r="4305">
      <c r="A4305" s="25">
        <v>44727.64583333333</v>
      </c>
      <c r="B4305" s="25">
        <v>1440.2</v>
      </c>
      <c r="C4305" s="25">
        <v>1446.4</v>
      </c>
      <c r="D4305" s="25">
        <v>1418.85</v>
      </c>
      <c r="E4305" s="25">
        <v>1422.2</v>
      </c>
      <c r="F4305" s="25">
        <v>4651958.0</v>
      </c>
    </row>
    <row r="4306">
      <c r="A4306" s="25">
        <v>44728.64583333333</v>
      </c>
      <c r="B4306" s="25">
        <v>1438.0</v>
      </c>
      <c r="C4306" s="25">
        <v>1443.75</v>
      </c>
      <c r="D4306" s="25">
        <v>1392.0</v>
      </c>
      <c r="E4306" s="25">
        <v>1397.2</v>
      </c>
      <c r="F4306" s="25">
        <v>6641772.0</v>
      </c>
    </row>
    <row r="4307">
      <c r="A4307" s="25">
        <v>44729.64583333333</v>
      </c>
      <c r="B4307" s="25">
        <v>1391.05</v>
      </c>
      <c r="C4307" s="25">
        <v>1396.95</v>
      </c>
      <c r="D4307" s="25">
        <v>1367.15</v>
      </c>
      <c r="E4307" s="25">
        <v>1387.3</v>
      </c>
      <c r="F4307" s="25">
        <v>9692047.0</v>
      </c>
    </row>
    <row r="4308">
      <c r="A4308" s="25">
        <v>44732.64583333333</v>
      </c>
      <c r="B4308" s="25">
        <v>1390.05</v>
      </c>
      <c r="C4308" s="25">
        <v>1422.35</v>
      </c>
      <c r="D4308" s="25">
        <v>1382.0</v>
      </c>
      <c r="E4308" s="25">
        <v>1414.15</v>
      </c>
      <c r="F4308" s="25">
        <v>4595194.0</v>
      </c>
    </row>
    <row r="4309">
      <c r="A4309" s="25">
        <v>44733.64583333333</v>
      </c>
      <c r="B4309" s="25">
        <v>1424.0</v>
      </c>
      <c r="C4309" s="25">
        <v>1456.0</v>
      </c>
      <c r="D4309" s="25">
        <v>1422.75</v>
      </c>
      <c r="E4309" s="25">
        <v>1449.9</v>
      </c>
      <c r="F4309" s="25">
        <v>6270787.0</v>
      </c>
    </row>
    <row r="4310">
      <c r="A4310" s="25">
        <v>44734.64583333333</v>
      </c>
      <c r="B4310" s="25">
        <v>1436.05</v>
      </c>
      <c r="C4310" s="25">
        <v>1459.6</v>
      </c>
      <c r="D4310" s="25">
        <v>1435.0</v>
      </c>
      <c r="E4310" s="25">
        <v>1437.25</v>
      </c>
      <c r="F4310" s="25">
        <v>6253366.0</v>
      </c>
    </row>
    <row r="4311">
      <c r="A4311" s="25">
        <v>44735.64583333333</v>
      </c>
      <c r="B4311" s="25">
        <v>1439.8</v>
      </c>
      <c r="C4311" s="25">
        <v>1458.0</v>
      </c>
      <c r="D4311" s="25">
        <v>1433.0</v>
      </c>
      <c r="E4311" s="25">
        <v>1452.45</v>
      </c>
      <c r="F4311" s="25">
        <v>6254281.0</v>
      </c>
    </row>
    <row r="4312">
      <c r="A4312" s="25">
        <v>44736.64583333333</v>
      </c>
      <c r="B4312" s="25">
        <v>1458.0</v>
      </c>
      <c r="C4312" s="25">
        <v>1467.5</v>
      </c>
      <c r="D4312" s="25">
        <v>1428.9</v>
      </c>
      <c r="E4312" s="25">
        <v>1441.1</v>
      </c>
      <c r="F4312" s="25">
        <v>6114340.0</v>
      </c>
    </row>
    <row r="4313">
      <c r="A4313" s="25">
        <v>44739.64583333333</v>
      </c>
      <c r="B4313" s="25">
        <v>1468.05</v>
      </c>
      <c r="C4313" s="25">
        <v>1484.0</v>
      </c>
      <c r="D4313" s="25">
        <v>1465.15</v>
      </c>
      <c r="E4313" s="25">
        <v>1474.6</v>
      </c>
      <c r="F4313" s="25">
        <v>4511097.0</v>
      </c>
    </row>
    <row r="4314">
      <c r="A4314" s="25">
        <v>44740.64583333333</v>
      </c>
      <c r="B4314" s="25">
        <v>1469.0</v>
      </c>
      <c r="C4314" s="25">
        <v>1488.25</v>
      </c>
      <c r="D4314" s="25">
        <v>1453.0</v>
      </c>
      <c r="E4314" s="25">
        <v>1480.15</v>
      </c>
      <c r="F4314" s="25">
        <v>4412178.0</v>
      </c>
    </row>
    <row r="4315">
      <c r="A4315" s="25">
        <v>44741.64583333333</v>
      </c>
      <c r="B4315" s="25">
        <v>1464.7</v>
      </c>
      <c r="C4315" s="25">
        <v>1477.0</v>
      </c>
      <c r="D4315" s="25">
        <v>1457.0</v>
      </c>
      <c r="E4315" s="25">
        <v>1463.25</v>
      </c>
      <c r="F4315" s="25">
        <v>5060038.0</v>
      </c>
    </row>
    <row r="4316">
      <c r="A4316" s="25">
        <v>44742.64583333333</v>
      </c>
      <c r="B4316" s="25">
        <v>1465.05</v>
      </c>
      <c r="C4316" s="25">
        <v>1482.0</v>
      </c>
      <c r="D4316" s="25">
        <v>1455.0</v>
      </c>
      <c r="E4316" s="25">
        <v>1461.9</v>
      </c>
      <c r="F4316" s="25">
        <v>9165177.0</v>
      </c>
    </row>
    <row r="4317">
      <c r="A4317" s="25">
        <v>44743.64583333333</v>
      </c>
      <c r="B4317" s="25">
        <v>1454.0</v>
      </c>
      <c r="C4317" s="25">
        <v>1485.0</v>
      </c>
      <c r="D4317" s="25">
        <v>1442.35</v>
      </c>
      <c r="E4317" s="25">
        <v>1479.4</v>
      </c>
      <c r="F4317" s="25">
        <v>4651635.0</v>
      </c>
    </row>
    <row r="4318">
      <c r="A4318" s="25">
        <v>44746.64583333333</v>
      </c>
      <c r="B4318" s="25">
        <v>1480.25</v>
      </c>
      <c r="C4318" s="25">
        <v>1492.25</v>
      </c>
      <c r="D4318" s="25">
        <v>1462.0</v>
      </c>
      <c r="E4318" s="25">
        <v>1488.0</v>
      </c>
      <c r="F4318" s="25">
        <v>4800224.0</v>
      </c>
    </row>
    <row r="4319">
      <c r="A4319" s="25">
        <v>44747.64583333333</v>
      </c>
      <c r="B4319" s="25">
        <v>1498.8</v>
      </c>
      <c r="C4319" s="25">
        <v>1509.95</v>
      </c>
      <c r="D4319" s="25">
        <v>1472.0</v>
      </c>
      <c r="E4319" s="25">
        <v>1475.95</v>
      </c>
      <c r="F4319" s="25">
        <v>7379669.0</v>
      </c>
    </row>
    <row r="4320">
      <c r="A4320" s="25">
        <v>44748.64583333333</v>
      </c>
      <c r="B4320" s="25">
        <v>1482.2</v>
      </c>
      <c r="C4320" s="25">
        <v>1500.0</v>
      </c>
      <c r="D4320" s="25">
        <v>1470.0</v>
      </c>
      <c r="E4320" s="25">
        <v>1491.65</v>
      </c>
      <c r="F4320" s="25">
        <v>5209162.0</v>
      </c>
    </row>
    <row r="4321">
      <c r="A4321" s="25">
        <v>44749.64583333333</v>
      </c>
      <c r="B4321" s="25">
        <v>1503.05</v>
      </c>
      <c r="C4321" s="25">
        <v>1513.95</v>
      </c>
      <c r="D4321" s="25">
        <v>1495.7</v>
      </c>
      <c r="E4321" s="25">
        <v>1498.7</v>
      </c>
      <c r="F4321" s="25">
        <v>3323472.0</v>
      </c>
    </row>
    <row r="4322">
      <c r="A4322" s="25">
        <v>44750.64583333333</v>
      </c>
      <c r="B4322" s="25">
        <v>1515.0</v>
      </c>
      <c r="C4322" s="25">
        <v>1516.95</v>
      </c>
      <c r="D4322" s="25">
        <v>1499.95</v>
      </c>
      <c r="E4322" s="25">
        <v>1514.45</v>
      </c>
      <c r="F4322" s="25">
        <v>3652582.0</v>
      </c>
    </row>
    <row r="4323">
      <c r="A4323" s="25">
        <v>44753.64583333333</v>
      </c>
      <c r="B4323" s="25">
        <v>1495.0</v>
      </c>
      <c r="C4323" s="25">
        <v>1499.9</v>
      </c>
      <c r="D4323" s="25">
        <v>1466.4</v>
      </c>
      <c r="E4323" s="25">
        <v>1473.15</v>
      </c>
      <c r="F4323" s="25">
        <v>4702815.0</v>
      </c>
    </row>
    <row r="4324">
      <c r="A4324" s="25">
        <v>44754.64583333333</v>
      </c>
      <c r="B4324" s="25">
        <v>1461.8</v>
      </c>
      <c r="C4324" s="25">
        <v>1468.6</v>
      </c>
      <c r="D4324" s="25">
        <v>1436.0</v>
      </c>
      <c r="E4324" s="25">
        <v>1438.6</v>
      </c>
      <c r="F4324" s="25">
        <v>4710356.0</v>
      </c>
    </row>
    <row r="4325">
      <c r="A4325" s="25">
        <v>44755.64583333333</v>
      </c>
      <c r="B4325" s="25">
        <v>1450.0</v>
      </c>
      <c r="C4325" s="25">
        <v>1460.0</v>
      </c>
      <c r="D4325" s="25">
        <v>1438.6</v>
      </c>
      <c r="E4325" s="25">
        <v>1444.45</v>
      </c>
      <c r="F4325" s="25">
        <v>5264025.0</v>
      </c>
    </row>
    <row r="4326">
      <c r="A4326" s="25">
        <v>44756.64583333333</v>
      </c>
      <c r="B4326" s="25">
        <v>1451.0</v>
      </c>
      <c r="C4326" s="25">
        <v>1452.95</v>
      </c>
      <c r="D4326" s="25">
        <v>1414.0</v>
      </c>
      <c r="E4326" s="25">
        <v>1428.85</v>
      </c>
      <c r="F4326" s="25">
        <v>6157606.0</v>
      </c>
    </row>
    <row r="4327">
      <c r="A4327" s="25">
        <v>44757.64583333333</v>
      </c>
      <c r="B4327" s="25">
        <v>1446.0</v>
      </c>
      <c r="C4327" s="25">
        <v>1446.0</v>
      </c>
      <c r="D4327" s="25">
        <v>1410.65</v>
      </c>
      <c r="E4327" s="25">
        <v>1430.35</v>
      </c>
      <c r="F4327" s="25">
        <v>5620018.0</v>
      </c>
    </row>
    <row r="4328">
      <c r="A4328" s="25">
        <v>44760.64583333333</v>
      </c>
      <c r="B4328" s="25">
        <v>1450.0</v>
      </c>
      <c r="C4328" s="25">
        <v>1493.6</v>
      </c>
      <c r="D4328" s="25">
        <v>1448.05</v>
      </c>
      <c r="E4328" s="25">
        <v>1489.9</v>
      </c>
      <c r="F4328" s="25">
        <v>5835171.0</v>
      </c>
    </row>
    <row r="4329">
      <c r="A4329" s="25">
        <v>44761.64583333333</v>
      </c>
      <c r="B4329" s="25">
        <v>1471.55</v>
      </c>
      <c r="C4329" s="25">
        <v>1486.85</v>
      </c>
      <c r="D4329" s="25">
        <v>1470.1</v>
      </c>
      <c r="E4329" s="25">
        <v>1484.15</v>
      </c>
      <c r="F4329" s="25">
        <v>3418540.0</v>
      </c>
    </row>
    <row r="4330">
      <c r="A4330" s="25">
        <v>44762.64583333333</v>
      </c>
      <c r="B4330" s="25">
        <v>1501.25</v>
      </c>
      <c r="C4330" s="25">
        <v>1525.8</v>
      </c>
      <c r="D4330" s="25">
        <v>1500.0</v>
      </c>
      <c r="E4330" s="25">
        <v>1515.3</v>
      </c>
      <c r="F4330" s="25">
        <v>5079392.0</v>
      </c>
    </row>
    <row r="4331">
      <c r="A4331" s="25">
        <v>44763.64583333333</v>
      </c>
      <c r="B4331" s="25">
        <v>1517.0</v>
      </c>
      <c r="C4331" s="25">
        <v>1535.45</v>
      </c>
      <c r="D4331" s="25">
        <v>1503.1</v>
      </c>
      <c r="E4331" s="25">
        <v>1532.9</v>
      </c>
      <c r="F4331" s="25">
        <v>5008061.0</v>
      </c>
    </row>
    <row r="4332">
      <c r="A4332" s="25">
        <v>44764.64583333333</v>
      </c>
      <c r="B4332" s="25">
        <v>1534.0</v>
      </c>
      <c r="C4332" s="25">
        <v>1540.0</v>
      </c>
      <c r="D4332" s="25">
        <v>1492.15</v>
      </c>
      <c r="E4332" s="25">
        <v>1506.3</v>
      </c>
      <c r="F4332" s="25">
        <v>7020642.0</v>
      </c>
    </row>
    <row r="4333">
      <c r="A4333" s="25">
        <v>44767.64583333333</v>
      </c>
      <c r="B4333" s="25">
        <v>1480.1</v>
      </c>
      <c r="C4333" s="25">
        <v>1517.15</v>
      </c>
      <c r="D4333" s="25">
        <v>1480.1</v>
      </c>
      <c r="E4333" s="25">
        <v>1503.6</v>
      </c>
      <c r="F4333" s="25">
        <v>7859626.0</v>
      </c>
    </row>
    <row r="4334">
      <c r="A4334" s="25">
        <v>44768.64583333333</v>
      </c>
      <c r="B4334" s="25">
        <v>1496.65</v>
      </c>
      <c r="C4334" s="25">
        <v>1496.65</v>
      </c>
      <c r="D4334" s="25">
        <v>1445.0</v>
      </c>
      <c r="E4334" s="25">
        <v>1451.15</v>
      </c>
      <c r="F4334" s="25">
        <v>7268273.0</v>
      </c>
    </row>
    <row r="4335">
      <c r="A4335" s="25">
        <v>44769.64583333333</v>
      </c>
      <c r="B4335" s="25">
        <v>1451.0</v>
      </c>
      <c r="C4335" s="25">
        <v>1473.0</v>
      </c>
      <c r="D4335" s="25">
        <v>1445.0</v>
      </c>
      <c r="E4335" s="25">
        <v>1471.05</v>
      </c>
      <c r="F4335" s="25">
        <v>4517285.0</v>
      </c>
    </row>
    <row r="4336">
      <c r="A4336" s="25">
        <v>44770.64583333333</v>
      </c>
      <c r="B4336" s="25">
        <v>1496.4</v>
      </c>
      <c r="C4336" s="25">
        <v>1524.45</v>
      </c>
      <c r="D4336" s="25">
        <v>1489.85</v>
      </c>
      <c r="E4336" s="25">
        <v>1517.4</v>
      </c>
      <c r="F4336" s="25">
        <v>6636841.0</v>
      </c>
    </row>
    <row r="4337">
      <c r="A4337" s="25">
        <v>44771.64583333333</v>
      </c>
      <c r="B4337" s="25">
        <v>1532.8</v>
      </c>
      <c r="C4337" s="25">
        <v>1555.7</v>
      </c>
      <c r="D4337" s="25">
        <v>1528.0</v>
      </c>
      <c r="E4337" s="25">
        <v>1549.7</v>
      </c>
      <c r="F4337" s="25">
        <v>7009465.0</v>
      </c>
    </row>
    <row r="4338">
      <c r="A4338" s="25">
        <v>44774.64583333333</v>
      </c>
      <c r="B4338" s="25">
        <v>1564.0</v>
      </c>
      <c r="C4338" s="25">
        <v>1564.0</v>
      </c>
      <c r="D4338" s="25">
        <v>1537.9</v>
      </c>
      <c r="E4338" s="25">
        <v>1551.05</v>
      </c>
      <c r="F4338" s="25">
        <v>2983249.0</v>
      </c>
    </row>
    <row r="4339">
      <c r="A4339" s="25">
        <v>44775.64583333333</v>
      </c>
      <c r="B4339" s="25">
        <v>1546.55</v>
      </c>
      <c r="C4339" s="25">
        <v>1547.0</v>
      </c>
      <c r="D4339" s="25">
        <v>1528.35</v>
      </c>
      <c r="E4339" s="25">
        <v>1543.6</v>
      </c>
      <c r="F4339" s="25">
        <v>4374635.0</v>
      </c>
    </row>
    <row r="4340">
      <c r="A4340" s="25">
        <v>44776.64583333333</v>
      </c>
      <c r="B4340" s="25">
        <v>1549.0</v>
      </c>
      <c r="C4340" s="25">
        <v>1570.0</v>
      </c>
      <c r="D4340" s="25">
        <v>1539.9</v>
      </c>
      <c r="E4340" s="25">
        <v>1566.1</v>
      </c>
      <c r="F4340" s="25">
        <v>6011955.0</v>
      </c>
    </row>
    <row r="4341">
      <c r="A4341" s="25">
        <v>44777.64583333333</v>
      </c>
      <c r="B4341" s="25">
        <v>1587.5</v>
      </c>
      <c r="C4341" s="25">
        <v>1603.85</v>
      </c>
      <c r="D4341" s="25">
        <v>1574.95</v>
      </c>
      <c r="E4341" s="25">
        <v>1599.9</v>
      </c>
      <c r="F4341" s="25">
        <v>7402209.0</v>
      </c>
    </row>
    <row r="4342">
      <c r="A4342" s="25">
        <v>44778.64583333333</v>
      </c>
      <c r="B4342" s="25">
        <v>1608.4</v>
      </c>
      <c r="C4342" s="25">
        <v>1625.7</v>
      </c>
      <c r="D4342" s="25">
        <v>1602.3</v>
      </c>
      <c r="E4342" s="25">
        <v>1616.65</v>
      </c>
      <c r="F4342" s="25">
        <v>5361971.0</v>
      </c>
    </row>
    <row r="4343">
      <c r="A4343" s="25">
        <v>44781.64583333333</v>
      </c>
      <c r="B4343" s="25">
        <v>1617.0</v>
      </c>
      <c r="C4343" s="25">
        <v>1622.0</v>
      </c>
      <c r="D4343" s="25">
        <v>1596.0</v>
      </c>
      <c r="E4343" s="25">
        <v>1619.4</v>
      </c>
      <c r="F4343" s="25">
        <v>3763409.0</v>
      </c>
    </row>
    <row r="4344">
      <c r="A4344" s="25">
        <v>44783.64583333333</v>
      </c>
      <c r="B4344" s="25">
        <v>1621.2</v>
      </c>
      <c r="C4344" s="25">
        <v>1621.2</v>
      </c>
      <c r="D4344" s="25">
        <v>1588.1</v>
      </c>
      <c r="E4344" s="25">
        <v>1602.45</v>
      </c>
      <c r="F4344" s="25">
        <v>4423829.0</v>
      </c>
    </row>
    <row r="4345">
      <c r="A4345" s="25">
        <v>44784.64583333333</v>
      </c>
      <c r="B4345" s="25">
        <v>1630.0</v>
      </c>
      <c r="C4345" s="25">
        <v>1631.35</v>
      </c>
      <c r="D4345" s="25">
        <v>1616.0</v>
      </c>
      <c r="E4345" s="25">
        <v>1619.95</v>
      </c>
      <c r="F4345" s="25">
        <v>3462090.0</v>
      </c>
    </row>
    <row r="4346">
      <c r="A4346" s="25">
        <v>44785.64583333333</v>
      </c>
      <c r="B4346" s="25">
        <v>1613.3</v>
      </c>
      <c r="C4346" s="25">
        <v>1614.0</v>
      </c>
      <c r="D4346" s="25">
        <v>1590.15</v>
      </c>
      <c r="E4346" s="25">
        <v>1594.1</v>
      </c>
      <c r="F4346" s="25">
        <v>3562286.0</v>
      </c>
    </row>
    <row r="4347">
      <c r="A4347" s="25">
        <v>44789.64583333333</v>
      </c>
      <c r="B4347" s="25">
        <v>1609.0</v>
      </c>
      <c r="C4347" s="25">
        <v>1609.0</v>
      </c>
      <c r="D4347" s="25">
        <v>1591.1</v>
      </c>
      <c r="E4347" s="25">
        <v>1596.45</v>
      </c>
      <c r="F4347" s="25">
        <v>3004430.0</v>
      </c>
    </row>
    <row r="4348">
      <c r="A4348" s="25">
        <v>44790.64583333333</v>
      </c>
      <c r="B4348" s="25">
        <v>1596.45</v>
      </c>
      <c r="C4348" s="25">
        <v>1612.0</v>
      </c>
      <c r="D4348" s="25">
        <v>1585.0</v>
      </c>
      <c r="E4348" s="25">
        <v>1606.25</v>
      </c>
      <c r="F4348" s="25">
        <v>4067324.0</v>
      </c>
    </row>
    <row r="4349">
      <c r="A4349" s="25">
        <v>44791.64583333333</v>
      </c>
      <c r="B4349" s="25">
        <v>1594.1</v>
      </c>
      <c r="C4349" s="25">
        <v>1598.2</v>
      </c>
      <c r="D4349" s="25">
        <v>1574.0</v>
      </c>
      <c r="E4349" s="25">
        <v>1582.95</v>
      </c>
      <c r="F4349" s="25">
        <v>4635706.0</v>
      </c>
    </row>
    <row r="4350">
      <c r="A4350" s="25">
        <v>44792.64583333333</v>
      </c>
      <c r="B4350" s="25">
        <v>1585.3</v>
      </c>
      <c r="C4350" s="25">
        <v>1604.9</v>
      </c>
      <c r="D4350" s="25">
        <v>1585.1</v>
      </c>
      <c r="E4350" s="25">
        <v>1597.1</v>
      </c>
      <c r="F4350" s="25">
        <v>4739884.0</v>
      </c>
    </row>
    <row r="4351">
      <c r="A4351" s="25">
        <v>44795.64583333333</v>
      </c>
      <c r="B4351" s="25">
        <v>1586.0</v>
      </c>
      <c r="C4351" s="25">
        <v>1599.0</v>
      </c>
      <c r="D4351" s="25">
        <v>1574.0</v>
      </c>
      <c r="E4351" s="25">
        <v>1575.65</v>
      </c>
      <c r="F4351" s="25">
        <v>3950555.0</v>
      </c>
    </row>
    <row r="4352">
      <c r="A4352" s="25">
        <v>44796.64583333333</v>
      </c>
      <c r="B4352" s="25">
        <v>1548.0</v>
      </c>
      <c r="C4352" s="25">
        <v>1554.5</v>
      </c>
      <c r="D4352" s="25">
        <v>1533.0</v>
      </c>
      <c r="E4352" s="25">
        <v>1542.4</v>
      </c>
      <c r="F4352" s="25">
        <v>5551574.0</v>
      </c>
    </row>
    <row r="4353">
      <c r="A4353" s="25">
        <v>44797.64583333333</v>
      </c>
      <c r="B4353" s="25">
        <v>1535.0</v>
      </c>
      <c r="C4353" s="25">
        <v>1546.0</v>
      </c>
      <c r="D4353" s="25">
        <v>1531.0</v>
      </c>
      <c r="E4353" s="25">
        <v>1537.5</v>
      </c>
      <c r="F4353" s="25">
        <v>2888426.0</v>
      </c>
    </row>
    <row r="4354">
      <c r="A4354" s="25">
        <v>44798.64583333333</v>
      </c>
      <c r="B4354" s="25">
        <v>1548.0</v>
      </c>
      <c r="C4354" s="25">
        <v>1548.7</v>
      </c>
      <c r="D4354" s="25">
        <v>1513.75</v>
      </c>
      <c r="E4354" s="25">
        <v>1518.15</v>
      </c>
      <c r="F4354" s="25">
        <v>4331088.0</v>
      </c>
    </row>
    <row r="4355">
      <c r="A4355" s="25">
        <v>44799.64583333333</v>
      </c>
      <c r="B4355" s="25">
        <v>1535.15</v>
      </c>
      <c r="C4355" s="25">
        <v>1544.95</v>
      </c>
      <c r="D4355" s="25">
        <v>1517.45</v>
      </c>
      <c r="E4355" s="25">
        <v>1521.55</v>
      </c>
      <c r="F4355" s="25">
        <v>3079136.0</v>
      </c>
    </row>
    <row r="4356">
      <c r="A4356" s="25">
        <v>44802.64583333333</v>
      </c>
      <c r="B4356" s="25">
        <v>1468.55</v>
      </c>
      <c r="C4356" s="25">
        <v>1468.55</v>
      </c>
      <c r="D4356" s="25">
        <v>1450.0</v>
      </c>
      <c r="E4356" s="25">
        <v>1461.75</v>
      </c>
      <c r="F4356" s="25">
        <v>8079050.0</v>
      </c>
    </row>
    <row r="4357">
      <c r="A4357" s="25">
        <v>44803.64583333333</v>
      </c>
      <c r="B4357" s="25">
        <v>1473.1</v>
      </c>
      <c r="C4357" s="25">
        <v>1496.1</v>
      </c>
      <c r="D4357" s="25">
        <v>1466.0</v>
      </c>
      <c r="E4357" s="25">
        <v>1492.95</v>
      </c>
      <c r="F4357" s="25">
        <v>6725875.0</v>
      </c>
    </row>
    <row r="4358">
      <c r="A4358" s="25">
        <v>44805.64583333333</v>
      </c>
      <c r="B4358" s="25">
        <v>1460.05</v>
      </c>
      <c r="C4358" s="25">
        <v>1468.1</v>
      </c>
      <c r="D4358" s="25">
        <v>1451.05</v>
      </c>
      <c r="E4358" s="25">
        <v>1464.2</v>
      </c>
      <c r="F4358" s="25">
        <v>8140604.0</v>
      </c>
    </row>
    <row r="4359">
      <c r="A4359" s="25">
        <v>44806.64583333333</v>
      </c>
      <c r="B4359" s="25">
        <v>1478.0</v>
      </c>
      <c r="C4359" s="25">
        <v>1478.0</v>
      </c>
      <c r="D4359" s="25">
        <v>1448.0</v>
      </c>
      <c r="E4359" s="25">
        <v>1453.0</v>
      </c>
      <c r="F4359" s="25">
        <v>5175653.0</v>
      </c>
    </row>
    <row r="4360">
      <c r="A4360" s="25">
        <v>44809.64583333333</v>
      </c>
      <c r="B4360" s="25">
        <v>1451.0</v>
      </c>
      <c r="C4360" s="25">
        <v>1467.0</v>
      </c>
      <c r="D4360" s="25">
        <v>1446.35</v>
      </c>
      <c r="E4360" s="25">
        <v>1461.3</v>
      </c>
      <c r="F4360" s="25">
        <v>3669352.0</v>
      </c>
    </row>
    <row r="4361">
      <c r="A4361" s="25">
        <v>44810.64583333333</v>
      </c>
      <c r="B4361" s="25">
        <v>1461.3</v>
      </c>
      <c r="C4361" s="25">
        <v>1470.0</v>
      </c>
      <c r="D4361" s="25">
        <v>1445.45</v>
      </c>
      <c r="E4361" s="25">
        <v>1455.1</v>
      </c>
      <c r="F4361" s="25">
        <v>3428442.0</v>
      </c>
    </row>
    <row r="4362">
      <c r="A4362" s="25">
        <v>44811.64583333333</v>
      </c>
      <c r="B4362" s="25">
        <v>1440.0</v>
      </c>
      <c r="C4362" s="25">
        <v>1465.75</v>
      </c>
      <c r="D4362" s="25">
        <v>1438.05</v>
      </c>
      <c r="E4362" s="25">
        <v>1457.65</v>
      </c>
      <c r="F4362" s="25">
        <v>3600574.0</v>
      </c>
    </row>
    <row r="4363">
      <c r="A4363" s="25">
        <v>44812.64583333333</v>
      </c>
      <c r="B4363" s="25">
        <v>1475.0</v>
      </c>
      <c r="C4363" s="25">
        <v>1481.1</v>
      </c>
      <c r="D4363" s="25">
        <v>1463.6</v>
      </c>
      <c r="E4363" s="25">
        <v>1475.9</v>
      </c>
      <c r="F4363" s="25">
        <v>4061475.0</v>
      </c>
    </row>
    <row r="4364">
      <c r="A4364" s="25">
        <v>44813.64583333333</v>
      </c>
      <c r="B4364" s="25">
        <v>1488.0</v>
      </c>
      <c r="C4364" s="25">
        <v>1520.0</v>
      </c>
      <c r="D4364" s="25">
        <v>1480.0</v>
      </c>
      <c r="E4364" s="25">
        <v>1511.65</v>
      </c>
      <c r="F4364" s="25">
        <v>4816910.0</v>
      </c>
    </row>
    <row r="4365">
      <c r="A4365" s="25">
        <v>44816.64583333333</v>
      </c>
      <c r="B4365" s="25">
        <v>1525.8</v>
      </c>
      <c r="C4365" s="25">
        <v>1545.9</v>
      </c>
      <c r="D4365" s="25">
        <v>1521.15</v>
      </c>
      <c r="E4365" s="25">
        <v>1536.2</v>
      </c>
      <c r="F4365" s="25">
        <v>5494819.0</v>
      </c>
    </row>
    <row r="4366">
      <c r="A4366" s="25">
        <v>44817.64583333333</v>
      </c>
      <c r="B4366" s="25">
        <v>1551.9</v>
      </c>
      <c r="C4366" s="25">
        <v>1553.0</v>
      </c>
      <c r="D4366" s="25">
        <v>1541.3</v>
      </c>
      <c r="E4366" s="25">
        <v>1544.95</v>
      </c>
      <c r="F4366" s="25">
        <v>4947158.0</v>
      </c>
    </row>
    <row r="4367">
      <c r="A4367" s="25">
        <v>44818.64583333333</v>
      </c>
      <c r="B4367" s="25">
        <v>1497.0</v>
      </c>
      <c r="C4367" s="25">
        <v>1498.95</v>
      </c>
      <c r="D4367" s="25">
        <v>1472.0</v>
      </c>
      <c r="E4367" s="25">
        <v>1475.4</v>
      </c>
      <c r="F4367" s="25">
        <v>1.4332197E7</v>
      </c>
    </row>
    <row r="4368">
      <c r="A4368" s="25">
        <v>44819.64583333333</v>
      </c>
      <c r="B4368" s="25">
        <v>1475.0</v>
      </c>
      <c r="C4368" s="25">
        <v>1475.2</v>
      </c>
      <c r="D4368" s="25">
        <v>1429.05</v>
      </c>
      <c r="E4368" s="25">
        <v>1432.8</v>
      </c>
      <c r="F4368" s="25">
        <v>1.27841E7</v>
      </c>
    </row>
    <row r="4369">
      <c r="A4369" s="25">
        <v>44820.64583333333</v>
      </c>
      <c r="B4369" s="25">
        <v>1425.0</v>
      </c>
      <c r="C4369" s="25">
        <v>1425.0</v>
      </c>
      <c r="D4369" s="25">
        <v>1368.35</v>
      </c>
      <c r="E4369" s="25">
        <v>1377.05</v>
      </c>
      <c r="F4369" s="25">
        <v>2.0464045E7</v>
      </c>
    </row>
    <row r="4370">
      <c r="A4370" s="25">
        <v>44823.64583333333</v>
      </c>
      <c r="B4370" s="25">
        <v>1392.0</v>
      </c>
      <c r="C4370" s="25">
        <v>1406.0</v>
      </c>
      <c r="D4370" s="25">
        <v>1380.6</v>
      </c>
      <c r="E4370" s="25">
        <v>1390.3</v>
      </c>
      <c r="F4370" s="25">
        <v>6595241.0</v>
      </c>
    </row>
    <row r="4371">
      <c r="A4371" s="25">
        <v>44824.64583333333</v>
      </c>
      <c r="B4371" s="25">
        <v>1407.95</v>
      </c>
      <c r="C4371" s="25">
        <v>1413.55</v>
      </c>
      <c r="D4371" s="25">
        <v>1385.1</v>
      </c>
      <c r="E4371" s="25">
        <v>1388.55</v>
      </c>
      <c r="F4371" s="25">
        <v>7219797.0</v>
      </c>
    </row>
    <row r="4372">
      <c r="A4372" s="25">
        <v>44825.64583333333</v>
      </c>
      <c r="B4372" s="25">
        <v>1379.9</v>
      </c>
      <c r="C4372" s="25">
        <v>1388.8</v>
      </c>
      <c r="D4372" s="25">
        <v>1368.4</v>
      </c>
      <c r="E4372" s="25">
        <v>1377.25</v>
      </c>
      <c r="F4372" s="25">
        <v>7917054.0</v>
      </c>
    </row>
    <row r="4373">
      <c r="A4373" s="25">
        <v>44826.64583333333</v>
      </c>
      <c r="B4373" s="25">
        <v>1366.35</v>
      </c>
      <c r="C4373" s="25">
        <v>1383.95</v>
      </c>
      <c r="D4373" s="25">
        <v>1360.0</v>
      </c>
      <c r="E4373" s="25">
        <v>1367.95</v>
      </c>
      <c r="F4373" s="25">
        <v>9168498.0</v>
      </c>
    </row>
    <row r="4374">
      <c r="A4374" s="25">
        <v>44827.64583333333</v>
      </c>
      <c r="B4374" s="25">
        <v>1367.5</v>
      </c>
      <c r="C4374" s="25">
        <v>1394.8</v>
      </c>
      <c r="D4374" s="25">
        <v>1362.0</v>
      </c>
      <c r="E4374" s="25">
        <v>1365.45</v>
      </c>
      <c r="F4374" s="25">
        <v>1.04262E7</v>
      </c>
    </row>
    <row r="4375">
      <c r="A4375" s="25">
        <v>44830.64583333333</v>
      </c>
      <c r="B4375" s="25">
        <v>1360.0</v>
      </c>
      <c r="C4375" s="25">
        <v>1399.45</v>
      </c>
      <c r="D4375" s="25">
        <v>1355.0</v>
      </c>
      <c r="E4375" s="25">
        <v>1380.25</v>
      </c>
      <c r="F4375" s="25">
        <v>9414587.0</v>
      </c>
    </row>
    <row r="4376">
      <c r="A4376" s="25">
        <v>44831.64583333333</v>
      </c>
      <c r="B4376" s="25">
        <v>1393.45</v>
      </c>
      <c r="C4376" s="25">
        <v>1406.5</v>
      </c>
      <c r="D4376" s="25">
        <v>1378.0</v>
      </c>
      <c r="E4376" s="25">
        <v>1393.55</v>
      </c>
      <c r="F4376" s="25">
        <v>8561254.0</v>
      </c>
    </row>
    <row r="4377">
      <c r="A4377" s="25">
        <v>44832.64583333333</v>
      </c>
      <c r="B4377" s="25">
        <v>1379.0</v>
      </c>
      <c r="C4377" s="25">
        <v>1405.85</v>
      </c>
      <c r="D4377" s="25">
        <v>1377.0</v>
      </c>
      <c r="E4377" s="25">
        <v>1394.7</v>
      </c>
      <c r="F4377" s="25">
        <v>7022098.0</v>
      </c>
    </row>
    <row r="4378">
      <c r="A4378" s="25">
        <v>44833.64583333333</v>
      </c>
      <c r="B4378" s="25">
        <v>1404.9</v>
      </c>
      <c r="C4378" s="25">
        <v>1409.85</v>
      </c>
      <c r="D4378" s="25">
        <v>1393.0</v>
      </c>
      <c r="E4378" s="25">
        <v>1398.65</v>
      </c>
      <c r="F4378" s="25">
        <v>6119965.0</v>
      </c>
    </row>
    <row r="4379">
      <c r="A4379" s="25">
        <v>44834.64583333333</v>
      </c>
      <c r="B4379" s="25">
        <v>1388.95</v>
      </c>
      <c r="C4379" s="25">
        <v>1419.3</v>
      </c>
      <c r="D4379" s="25">
        <v>1376.0</v>
      </c>
      <c r="E4379" s="25">
        <v>1413.45</v>
      </c>
      <c r="F4379" s="25">
        <v>8120130.0</v>
      </c>
    </row>
    <row r="4380">
      <c r="A4380" s="25">
        <v>44837.64583333333</v>
      </c>
      <c r="B4380" s="25">
        <v>1412.0</v>
      </c>
      <c r="C4380" s="25">
        <v>1412.0</v>
      </c>
      <c r="D4380" s="25">
        <v>1386.0</v>
      </c>
      <c r="E4380" s="25">
        <v>1393.75</v>
      </c>
      <c r="F4380" s="25">
        <v>4943169.0</v>
      </c>
    </row>
    <row r="4381">
      <c r="A4381" s="25">
        <v>44838.64583333333</v>
      </c>
      <c r="B4381" s="25">
        <v>1419.7</v>
      </c>
      <c r="C4381" s="25">
        <v>1432.25</v>
      </c>
      <c r="D4381" s="25">
        <v>1414.0</v>
      </c>
      <c r="E4381" s="25">
        <v>1429.4</v>
      </c>
      <c r="F4381" s="25">
        <v>6631341.0</v>
      </c>
    </row>
    <row r="4382">
      <c r="A4382" s="25">
        <v>44840.64583333333</v>
      </c>
      <c r="B4382" s="25">
        <v>1445.0</v>
      </c>
      <c r="C4382" s="25">
        <v>1459.8</v>
      </c>
      <c r="D4382" s="25">
        <v>1444.1</v>
      </c>
      <c r="E4382" s="25">
        <v>1455.15</v>
      </c>
      <c r="F4382" s="25">
        <v>6180672.0</v>
      </c>
    </row>
    <row r="4383">
      <c r="A4383" s="25">
        <v>44841.64583333333</v>
      </c>
      <c r="B4383" s="25">
        <v>1446.35</v>
      </c>
      <c r="C4383" s="25">
        <v>1457.85</v>
      </c>
      <c r="D4383" s="25">
        <v>1440.15</v>
      </c>
      <c r="E4383" s="25">
        <v>1451.2</v>
      </c>
      <c r="F4383" s="25">
        <v>3994466.0</v>
      </c>
    </row>
    <row r="4384">
      <c r="A4384" s="25">
        <v>44844.64583333333</v>
      </c>
      <c r="B4384" s="25">
        <v>1426.35</v>
      </c>
      <c r="C4384" s="25">
        <v>1465.0</v>
      </c>
      <c r="D4384" s="25">
        <v>1426.35</v>
      </c>
      <c r="E4384" s="25">
        <v>1462.65</v>
      </c>
      <c r="F4384" s="25">
        <v>5274677.0</v>
      </c>
    </row>
    <row r="4385">
      <c r="A4385" s="25">
        <v>44845.64583333333</v>
      </c>
      <c r="B4385" s="25">
        <v>1462.65</v>
      </c>
      <c r="C4385" s="25">
        <v>1479.65</v>
      </c>
      <c r="D4385" s="25">
        <v>1420.1</v>
      </c>
      <c r="E4385" s="25">
        <v>1423.8</v>
      </c>
      <c r="F4385" s="25">
        <v>1.2824774E7</v>
      </c>
    </row>
    <row r="4386">
      <c r="A4386" s="25">
        <v>44846.64583333333</v>
      </c>
      <c r="B4386" s="25">
        <v>1437.0</v>
      </c>
      <c r="C4386" s="25">
        <v>1441.1</v>
      </c>
      <c r="D4386" s="25">
        <v>1413.55</v>
      </c>
      <c r="E4386" s="25">
        <v>1428.7</v>
      </c>
      <c r="F4386" s="25">
        <v>5481467.0</v>
      </c>
    </row>
    <row r="4387">
      <c r="A4387" s="25">
        <v>44847.64583333333</v>
      </c>
      <c r="B4387" s="25">
        <v>1431.0</v>
      </c>
      <c r="C4387" s="25">
        <v>1437.95</v>
      </c>
      <c r="D4387" s="25">
        <v>1415.0</v>
      </c>
      <c r="E4387" s="25">
        <v>1419.9</v>
      </c>
      <c r="F4387" s="25">
        <v>4821514.0</v>
      </c>
    </row>
    <row r="4388">
      <c r="A4388" s="25">
        <v>44848.64583333333</v>
      </c>
      <c r="B4388" s="25">
        <v>1485.0</v>
      </c>
      <c r="C4388" s="25">
        <v>1494.0</v>
      </c>
      <c r="D4388" s="25">
        <v>1467.25</v>
      </c>
      <c r="E4388" s="25">
        <v>1474.25</v>
      </c>
      <c r="F4388" s="25">
        <v>1.4990688E7</v>
      </c>
    </row>
    <row r="4389">
      <c r="A4389" s="25">
        <v>44851.64583333333</v>
      </c>
      <c r="B4389" s="25">
        <v>1476.9</v>
      </c>
      <c r="C4389" s="25">
        <v>1495.0</v>
      </c>
      <c r="D4389" s="25">
        <v>1475.5</v>
      </c>
      <c r="E4389" s="25">
        <v>1489.95</v>
      </c>
      <c r="F4389" s="25">
        <v>4286396.0</v>
      </c>
    </row>
    <row r="4390">
      <c r="A4390" s="25">
        <v>44852.64583333333</v>
      </c>
      <c r="B4390" s="25">
        <v>1510.0</v>
      </c>
      <c r="C4390" s="25">
        <v>1510.95</v>
      </c>
      <c r="D4390" s="25">
        <v>1497.25</v>
      </c>
      <c r="E4390" s="25">
        <v>1503.7</v>
      </c>
      <c r="F4390" s="25">
        <v>4692004.0</v>
      </c>
    </row>
    <row r="4391">
      <c r="A4391" s="25">
        <v>44853.64583333333</v>
      </c>
      <c r="B4391" s="25">
        <v>1504.0</v>
      </c>
      <c r="C4391" s="25">
        <v>1504.95</v>
      </c>
      <c r="D4391" s="25">
        <v>1481.3</v>
      </c>
      <c r="E4391" s="25">
        <v>1485.45</v>
      </c>
      <c r="F4391" s="25">
        <v>3553171.0</v>
      </c>
    </row>
    <row r="4392">
      <c r="A4392" s="25">
        <v>44854.64583333333</v>
      </c>
      <c r="B4392" s="25">
        <v>1475.0</v>
      </c>
      <c r="C4392" s="25">
        <v>1504.0</v>
      </c>
      <c r="D4392" s="25">
        <v>1474.2</v>
      </c>
      <c r="E4392" s="25">
        <v>1500.9</v>
      </c>
      <c r="F4392" s="25">
        <v>4583939.0</v>
      </c>
    </row>
    <row r="4393">
      <c r="A4393" s="25">
        <v>44855.64583333333</v>
      </c>
      <c r="B4393" s="25">
        <v>1500.3</v>
      </c>
      <c r="C4393" s="25">
        <v>1506.0</v>
      </c>
      <c r="D4393" s="25">
        <v>1491.35</v>
      </c>
      <c r="E4393" s="25">
        <v>1500.5</v>
      </c>
      <c r="F4393" s="25">
        <v>3594485.0</v>
      </c>
    </row>
    <row r="4394">
      <c r="A4394" s="25">
        <v>44859.64583333333</v>
      </c>
      <c r="B4394" s="25">
        <v>1528.1</v>
      </c>
      <c r="C4394" s="25">
        <v>1532.9</v>
      </c>
      <c r="D4394" s="25">
        <v>1521.05</v>
      </c>
      <c r="E4394" s="25">
        <v>1526.3</v>
      </c>
      <c r="F4394" s="25">
        <v>3914341.0</v>
      </c>
    </row>
    <row r="4395">
      <c r="A4395" s="25">
        <v>44861.64583333333</v>
      </c>
      <c r="B4395" s="25">
        <v>1530.8</v>
      </c>
      <c r="C4395" s="25">
        <v>1534.9</v>
      </c>
      <c r="D4395" s="25">
        <v>1512.5</v>
      </c>
      <c r="E4395" s="25">
        <v>1523.95</v>
      </c>
      <c r="F4395" s="25">
        <v>6760137.0</v>
      </c>
    </row>
    <row r="4396">
      <c r="A4396" s="25">
        <v>44862.64583333333</v>
      </c>
      <c r="B4396" s="25">
        <v>1526.0</v>
      </c>
      <c r="C4396" s="25">
        <v>1527.95</v>
      </c>
      <c r="D4396" s="25">
        <v>1507.0</v>
      </c>
      <c r="E4396" s="25">
        <v>1513.25</v>
      </c>
      <c r="F4396" s="25">
        <v>3053981.0</v>
      </c>
    </row>
    <row r="4397">
      <c r="A4397" s="25">
        <v>44865.64583333333</v>
      </c>
      <c r="B4397" s="25">
        <v>1530.25</v>
      </c>
      <c r="C4397" s="25">
        <v>1546.4</v>
      </c>
      <c r="D4397" s="25">
        <v>1530.25</v>
      </c>
      <c r="E4397" s="25">
        <v>1537.65</v>
      </c>
      <c r="F4397" s="25">
        <v>4542336.0</v>
      </c>
    </row>
    <row r="4398">
      <c r="A4398" s="25">
        <v>44866.64583333333</v>
      </c>
      <c r="B4398" s="25">
        <v>1553.05</v>
      </c>
      <c r="C4398" s="25">
        <v>1575.0</v>
      </c>
      <c r="D4398" s="25">
        <v>1547.1</v>
      </c>
      <c r="E4398" s="25">
        <v>1573.0</v>
      </c>
      <c r="F4398" s="25">
        <v>4542692.0</v>
      </c>
    </row>
    <row r="4399">
      <c r="A4399" s="25">
        <v>44867.64583333333</v>
      </c>
      <c r="B4399" s="25">
        <v>1572.0</v>
      </c>
      <c r="C4399" s="25">
        <v>1572.75</v>
      </c>
      <c r="D4399" s="25">
        <v>1545.0</v>
      </c>
      <c r="E4399" s="25">
        <v>1553.3</v>
      </c>
      <c r="F4399" s="25">
        <v>2938906.0</v>
      </c>
    </row>
    <row r="4400">
      <c r="A4400" s="25">
        <v>44868.64583333333</v>
      </c>
      <c r="B4400" s="25">
        <v>1538.75</v>
      </c>
      <c r="C4400" s="25">
        <v>1543.9</v>
      </c>
      <c r="D4400" s="25">
        <v>1521.65</v>
      </c>
      <c r="E4400" s="25">
        <v>1530.75</v>
      </c>
      <c r="F4400" s="25">
        <v>3174027.0</v>
      </c>
    </row>
    <row r="4401">
      <c r="A4401" s="25">
        <v>44869.64583333333</v>
      </c>
      <c r="B4401" s="25">
        <v>1520.45</v>
      </c>
      <c r="C4401" s="25">
        <v>1520.45</v>
      </c>
      <c r="D4401" s="25">
        <v>1501.15</v>
      </c>
      <c r="E4401" s="25">
        <v>1514.0</v>
      </c>
      <c r="F4401" s="25">
        <v>4509682.0</v>
      </c>
    </row>
    <row r="4402">
      <c r="A4402" s="25">
        <v>44872.64583333333</v>
      </c>
      <c r="B4402" s="25">
        <v>1521.4</v>
      </c>
      <c r="C4402" s="25">
        <v>1527.9</v>
      </c>
      <c r="D4402" s="25">
        <v>1491.1</v>
      </c>
      <c r="E4402" s="25">
        <v>1507.45</v>
      </c>
      <c r="F4402" s="25">
        <v>4898592.0</v>
      </c>
    </row>
    <row r="4403">
      <c r="A4403" s="25">
        <v>44874.64583333333</v>
      </c>
      <c r="B4403" s="25">
        <v>1529.0</v>
      </c>
      <c r="C4403" s="25">
        <v>1529.0</v>
      </c>
      <c r="D4403" s="25">
        <v>1501.1</v>
      </c>
      <c r="E4403" s="25">
        <v>1511.2</v>
      </c>
      <c r="F4403" s="25">
        <v>3334755.0</v>
      </c>
    </row>
    <row r="4404">
      <c r="A4404" s="25">
        <v>44875.64583333333</v>
      </c>
      <c r="B4404" s="25">
        <v>1485.0</v>
      </c>
      <c r="C4404" s="25">
        <v>1512.0</v>
      </c>
      <c r="D4404" s="25">
        <v>1485.0</v>
      </c>
      <c r="E4404" s="25">
        <v>1501.95</v>
      </c>
      <c r="F4404" s="25">
        <v>3435763.0</v>
      </c>
    </row>
    <row r="4405">
      <c r="A4405" s="25">
        <v>44876.64583333333</v>
      </c>
      <c r="B4405" s="25">
        <v>1546.65</v>
      </c>
      <c r="C4405" s="25">
        <v>1573.5</v>
      </c>
      <c r="D4405" s="25">
        <v>1546.65</v>
      </c>
      <c r="E4405" s="25">
        <v>1570.1</v>
      </c>
      <c r="F4405" s="25">
        <v>7214098.0</v>
      </c>
    </row>
    <row r="4406">
      <c r="A4406" s="25">
        <v>44879.64583333333</v>
      </c>
      <c r="B4406" s="25">
        <v>1575.15</v>
      </c>
      <c r="C4406" s="25">
        <v>1591.4</v>
      </c>
      <c r="D4406" s="25">
        <v>1568.45</v>
      </c>
      <c r="E4406" s="25">
        <v>1585.3</v>
      </c>
      <c r="F4406" s="25">
        <v>4908813.0</v>
      </c>
    </row>
    <row r="4407">
      <c r="A4407" s="25">
        <v>44880.64583333333</v>
      </c>
      <c r="B4407" s="25">
        <v>1577.85</v>
      </c>
      <c r="C4407" s="25">
        <v>1597.85</v>
      </c>
      <c r="D4407" s="25">
        <v>1572.75</v>
      </c>
      <c r="E4407" s="25">
        <v>1594.0</v>
      </c>
      <c r="F4407" s="25">
        <v>3497614.0</v>
      </c>
    </row>
    <row r="4408">
      <c r="A4408" s="25">
        <v>44881.64583333333</v>
      </c>
      <c r="B4408" s="25">
        <v>1597.15</v>
      </c>
      <c r="C4408" s="25">
        <v>1609.0</v>
      </c>
      <c r="D4408" s="25">
        <v>1593.5</v>
      </c>
      <c r="E4408" s="25">
        <v>1602.8</v>
      </c>
      <c r="F4408" s="25">
        <v>4497697.0</v>
      </c>
    </row>
    <row r="4409">
      <c r="A4409" s="25">
        <v>44882.64583333333</v>
      </c>
      <c r="B4409" s="25">
        <v>1597.2</v>
      </c>
      <c r="C4409" s="25">
        <v>1602.8</v>
      </c>
      <c r="D4409" s="25">
        <v>1582.95</v>
      </c>
      <c r="E4409" s="25">
        <v>1587.4</v>
      </c>
      <c r="F4409" s="25">
        <v>3469515.0</v>
      </c>
    </row>
    <row r="4410">
      <c r="A4410" s="25">
        <v>44883.64583333333</v>
      </c>
      <c r="B4410" s="25">
        <v>1591.7</v>
      </c>
      <c r="C4410" s="25">
        <v>1598.0</v>
      </c>
      <c r="D4410" s="25">
        <v>1575.5</v>
      </c>
      <c r="E4410" s="25">
        <v>1593.4</v>
      </c>
      <c r="F4410" s="25">
        <v>3126064.0</v>
      </c>
    </row>
    <row r="4411">
      <c r="A4411" s="25">
        <v>44886.64583333333</v>
      </c>
      <c r="B4411" s="25">
        <v>1582.1</v>
      </c>
      <c r="C4411" s="25">
        <v>1587.85</v>
      </c>
      <c r="D4411" s="25">
        <v>1564.05</v>
      </c>
      <c r="E4411" s="25">
        <v>1568.2</v>
      </c>
      <c r="F4411" s="25">
        <v>3071764.0</v>
      </c>
    </row>
    <row r="4412">
      <c r="A4412" s="25">
        <v>44887.64583333333</v>
      </c>
      <c r="B4412" s="25">
        <v>1569.0</v>
      </c>
      <c r="C4412" s="25">
        <v>1588.0</v>
      </c>
      <c r="D4412" s="25">
        <v>1562.0</v>
      </c>
      <c r="E4412" s="25">
        <v>1585.05</v>
      </c>
      <c r="F4412" s="25">
        <v>3399329.0</v>
      </c>
    </row>
    <row r="4413">
      <c r="A4413" s="25">
        <v>44888.64583333333</v>
      </c>
      <c r="B4413" s="25">
        <v>1588.9</v>
      </c>
      <c r="C4413" s="25">
        <v>1592.0</v>
      </c>
      <c r="D4413" s="25">
        <v>1579.3</v>
      </c>
      <c r="E4413" s="25">
        <v>1583.15</v>
      </c>
      <c r="F4413" s="25">
        <v>3245067.0</v>
      </c>
    </row>
    <row r="4414">
      <c r="A4414" s="25">
        <v>44889.64583333333</v>
      </c>
      <c r="B4414" s="25">
        <v>1589.0</v>
      </c>
      <c r="C4414" s="25">
        <v>1636.0</v>
      </c>
      <c r="D4414" s="25">
        <v>1584.75</v>
      </c>
      <c r="E4414" s="25">
        <v>1629.8</v>
      </c>
      <c r="F4414" s="25">
        <v>5282215.0</v>
      </c>
    </row>
    <row r="4415">
      <c r="A4415" s="25">
        <v>44890.64583333333</v>
      </c>
      <c r="B4415" s="25">
        <v>1631.4</v>
      </c>
      <c r="C4415" s="25">
        <v>1644.0</v>
      </c>
      <c r="D4415" s="25">
        <v>1613.8</v>
      </c>
      <c r="E4415" s="25">
        <v>1635.65</v>
      </c>
      <c r="F4415" s="25">
        <v>4563255.0</v>
      </c>
    </row>
    <row r="4416">
      <c r="A4416" s="25">
        <v>44893.64583333333</v>
      </c>
      <c r="B4416" s="25">
        <v>1628.0</v>
      </c>
      <c r="C4416" s="25">
        <v>1653.5</v>
      </c>
      <c r="D4416" s="25">
        <v>1620.0</v>
      </c>
      <c r="E4416" s="25">
        <v>1623.4</v>
      </c>
      <c r="F4416" s="25">
        <v>3825766.0</v>
      </c>
    </row>
    <row r="4417">
      <c r="A4417" s="25">
        <v>44894.64583333333</v>
      </c>
      <c r="B4417" s="25">
        <v>1621.2</v>
      </c>
      <c r="C4417" s="25">
        <v>1638.75</v>
      </c>
      <c r="D4417" s="25">
        <v>1615.05</v>
      </c>
      <c r="E4417" s="25">
        <v>1629.05</v>
      </c>
      <c r="F4417" s="25">
        <v>3131710.0</v>
      </c>
    </row>
    <row r="4418">
      <c r="A4418" s="25">
        <v>44895.64583333333</v>
      </c>
      <c r="B4418" s="25">
        <v>1619.95</v>
      </c>
      <c r="C4418" s="25">
        <v>1645.75</v>
      </c>
      <c r="D4418" s="25">
        <v>1613.15</v>
      </c>
      <c r="E4418" s="25">
        <v>1634.95</v>
      </c>
      <c r="F4418" s="25">
        <v>1.1868134E7</v>
      </c>
    </row>
    <row r="4419">
      <c r="A4419" s="25">
        <v>44896.64583333333</v>
      </c>
      <c r="B4419" s="25">
        <v>1656.2</v>
      </c>
      <c r="C4419" s="25">
        <v>1672.6</v>
      </c>
      <c r="D4419" s="25">
        <v>1652.3</v>
      </c>
      <c r="E4419" s="25">
        <v>1657.1</v>
      </c>
      <c r="F4419" s="25">
        <v>5407928.0</v>
      </c>
    </row>
    <row r="4420">
      <c r="A4420" s="25">
        <v>44897.64583333333</v>
      </c>
      <c r="B4420" s="25">
        <v>1656.0</v>
      </c>
      <c r="C4420" s="25">
        <v>1661.8</v>
      </c>
      <c r="D4420" s="25">
        <v>1633.95</v>
      </c>
      <c r="E4420" s="25">
        <v>1637.9</v>
      </c>
      <c r="F4420" s="25">
        <v>4283343.0</v>
      </c>
    </row>
    <row r="4421">
      <c r="A4421" s="25">
        <v>44900.64583333333</v>
      </c>
      <c r="B4421" s="25">
        <v>1638.0</v>
      </c>
      <c r="C4421" s="25">
        <v>1644.85</v>
      </c>
      <c r="D4421" s="25">
        <v>1623.3</v>
      </c>
      <c r="E4421" s="25">
        <v>1639.75</v>
      </c>
      <c r="F4421" s="25">
        <v>3824966.0</v>
      </c>
    </row>
    <row r="4422">
      <c r="A4422" s="25">
        <v>44901.64583333333</v>
      </c>
      <c r="B4422" s="25">
        <v>1625.0</v>
      </c>
      <c r="C4422" s="25">
        <v>1626.0</v>
      </c>
      <c r="D4422" s="25">
        <v>1607.55</v>
      </c>
      <c r="E4422" s="25">
        <v>1612.9</v>
      </c>
      <c r="F4422" s="25">
        <v>4822398.0</v>
      </c>
    </row>
    <row r="4423">
      <c r="A4423" s="25">
        <v>44902.64583333333</v>
      </c>
      <c r="B4423" s="25">
        <v>1608.0</v>
      </c>
      <c r="C4423" s="25">
        <v>1623.8</v>
      </c>
      <c r="D4423" s="25">
        <v>1596.7</v>
      </c>
      <c r="E4423" s="25">
        <v>1605.5</v>
      </c>
      <c r="F4423" s="25">
        <v>4898087.0</v>
      </c>
    </row>
    <row r="4424">
      <c r="A4424" s="25">
        <v>44903.64583333333</v>
      </c>
      <c r="B4424" s="25">
        <v>1605.5</v>
      </c>
      <c r="C4424" s="25">
        <v>1623.9</v>
      </c>
      <c r="D4424" s="25">
        <v>1598.5</v>
      </c>
      <c r="E4424" s="25">
        <v>1620.15</v>
      </c>
      <c r="F4424" s="25">
        <v>4206837.0</v>
      </c>
    </row>
    <row r="4425">
      <c r="A4425" s="25">
        <v>44904.64583333333</v>
      </c>
      <c r="B4425" s="25">
        <v>1628.0</v>
      </c>
      <c r="C4425" s="25">
        <v>1628.0</v>
      </c>
      <c r="D4425" s="25">
        <v>1561.1</v>
      </c>
      <c r="E4425" s="25">
        <v>1569.3</v>
      </c>
      <c r="F4425" s="25">
        <v>8880658.0</v>
      </c>
    </row>
    <row r="4426">
      <c r="A4426" s="25">
        <v>44907.64583333333</v>
      </c>
      <c r="B4426" s="25">
        <v>1550.0</v>
      </c>
      <c r="C4426" s="25">
        <v>1565.95</v>
      </c>
      <c r="D4426" s="25">
        <v>1530.05</v>
      </c>
      <c r="E4426" s="25">
        <v>1547.2</v>
      </c>
      <c r="F4426" s="25">
        <v>8037679.0</v>
      </c>
    </row>
    <row r="4427">
      <c r="A4427" s="25">
        <v>44908.64583333333</v>
      </c>
      <c r="B4427" s="25">
        <v>1547.2</v>
      </c>
      <c r="C4427" s="25">
        <v>1577.5</v>
      </c>
      <c r="D4427" s="25">
        <v>1541.15</v>
      </c>
      <c r="E4427" s="25">
        <v>1572.15</v>
      </c>
      <c r="F4427" s="25">
        <v>6135067.0</v>
      </c>
    </row>
    <row r="4428">
      <c r="A4428" s="25">
        <v>44909.64583333333</v>
      </c>
      <c r="B4428" s="25">
        <v>1582.0</v>
      </c>
      <c r="C4428" s="25">
        <v>1588.5</v>
      </c>
      <c r="D4428" s="25">
        <v>1573.0</v>
      </c>
      <c r="E4428" s="25">
        <v>1579.4</v>
      </c>
      <c r="F4428" s="25">
        <v>4976020.0</v>
      </c>
    </row>
    <row r="4429">
      <c r="A4429" s="25">
        <v>44910.64583333333</v>
      </c>
      <c r="B4429" s="25">
        <v>1569.3</v>
      </c>
      <c r="C4429" s="25">
        <v>1570.0</v>
      </c>
      <c r="D4429" s="25">
        <v>1535.25</v>
      </c>
      <c r="E4429" s="25">
        <v>1540.5</v>
      </c>
      <c r="F4429" s="25">
        <v>6443866.0</v>
      </c>
    </row>
    <row r="4430">
      <c r="A4430" s="25">
        <v>44911.64583333333</v>
      </c>
      <c r="B4430" s="25">
        <v>1525.0</v>
      </c>
      <c r="C4430" s="25">
        <v>1549.5</v>
      </c>
      <c r="D4430" s="25">
        <v>1512.05</v>
      </c>
      <c r="E4430" s="25">
        <v>1522.2</v>
      </c>
      <c r="F4430" s="25">
        <v>9630453.0</v>
      </c>
    </row>
    <row r="4431">
      <c r="A4431" s="25">
        <v>44914.64583333333</v>
      </c>
      <c r="B4431" s="25">
        <v>1507.95</v>
      </c>
      <c r="C4431" s="25">
        <v>1516.9</v>
      </c>
      <c r="D4431" s="25">
        <v>1495.05</v>
      </c>
      <c r="E4431" s="25">
        <v>1507.35</v>
      </c>
      <c r="F4431" s="25">
        <v>6222740.0</v>
      </c>
    </row>
    <row r="4432">
      <c r="A4432" s="25">
        <v>44915.64583333333</v>
      </c>
      <c r="B4432" s="25">
        <v>1501.0</v>
      </c>
      <c r="C4432" s="25">
        <v>1516.0</v>
      </c>
      <c r="D4432" s="25">
        <v>1482.45</v>
      </c>
      <c r="E4432" s="25">
        <v>1507.3</v>
      </c>
      <c r="F4432" s="25">
        <v>7396259.0</v>
      </c>
    </row>
    <row r="4433">
      <c r="A4433" s="25">
        <v>44916.64583333333</v>
      </c>
      <c r="B4433" s="25">
        <v>1515.0</v>
      </c>
      <c r="C4433" s="25">
        <v>1521.0</v>
      </c>
      <c r="D4433" s="25">
        <v>1502.35</v>
      </c>
      <c r="E4433" s="25">
        <v>1509.55</v>
      </c>
      <c r="F4433" s="25">
        <v>6236361.0</v>
      </c>
    </row>
    <row r="4434">
      <c r="A4434" s="25">
        <v>44917.64583333333</v>
      </c>
      <c r="B4434" s="25">
        <v>1521.5</v>
      </c>
      <c r="C4434" s="25">
        <v>1529.95</v>
      </c>
      <c r="D4434" s="25">
        <v>1511.75</v>
      </c>
      <c r="E4434" s="25">
        <v>1522.05</v>
      </c>
      <c r="F4434" s="25">
        <v>6302640.0</v>
      </c>
    </row>
    <row r="4435">
      <c r="A4435" s="25">
        <v>44918.64583333333</v>
      </c>
      <c r="B4435" s="25">
        <v>1508.7</v>
      </c>
      <c r="C4435" s="25">
        <v>1509.9</v>
      </c>
      <c r="D4435" s="25">
        <v>1493.0</v>
      </c>
      <c r="E4435" s="25">
        <v>1497.1</v>
      </c>
      <c r="F4435" s="25">
        <v>6283822.0</v>
      </c>
    </row>
    <row r="4436">
      <c r="A4436" s="25">
        <v>44921.64583333333</v>
      </c>
      <c r="B4436" s="25">
        <v>1500.5</v>
      </c>
      <c r="C4436" s="25">
        <v>1509.9</v>
      </c>
      <c r="D4436" s="25">
        <v>1496.35</v>
      </c>
      <c r="E4436" s="25">
        <v>1502.4</v>
      </c>
      <c r="F4436" s="25">
        <v>4115459.0</v>
      </c>
    </row>
    <row r="4437">
      <c r="A4437" s="25">
        <v>44922.64583333333</v>
      </c>
      <c r="B4437" s="25">
        <v>1509.95</v>
      </c>
      <c r="C4437" s="25">
        <v>1521.45</v>
      </c>
      <c r="D4437" s="25">
        <v>1497.5</v>
      </c>
      <c r="E4437" s="25">
        <v>1514.85</v>
      </c>
      <c r="F4437" s="25">
        <v>4860076.0</v>
      </c>
    </row>
    <row r="4438">
      <c r="A4438" s="25">
        <v>44923.64583333333</v>
      </c>
      <c r="B4438" s="25">
        <v>1505.1</v>
      </c>
      <c r="C4438" s="25">
        <v>1524.95</v>
      </c>
      <c r="D4438" s="25">
        <v>1498.5</v>
      </c>
      <c r="E4438" s="25">
        <v>1510.15</v>
      </c>
      <c r="F4438" s="25">
        <v>5029860.0</v>
      </c>
    </row>
    <row r="4439">
      <c r="A4439" s="25">
        <v>44924.64583333333</v>
      </c>
      <c r="B4439" s="25">
        <v>1504.0</v>
      </c>
      <c r="C4439" s="25">
        <v>1521.3</v>
      </c>
      <c r="D4439" s="25">
        <v>1501.0</v>
      </c>
      <c r="E4439" s="25">
        <v>1517.55</v>
      </c>
      <c r="F4439" s="25">
        <v>4624745.0</v>
      </c>
    </row>
    <row r="4440">
      <c r="A4440" s="25">
        <v>44925.64583333333</v>
      </c>
      <c r="B4440" s="25">
        <v>1528.0</v>
      </c>
      <c r="C4440" s="25">
        <v>1530.4</v>
      </c>
      <c r="D4440" s="25">
        <v>1504.05</v>
      </c>
      <c r="E4440" s="25">
        <v>1508.2</v>
      </c>
      <c r="F4440" s="25">
        <v>5060544.0</v>
      </c>
    </row>
    <row r="4441">
      <c r="A4441" s="25">
        <v>44928.64583333333</v>
      </c>
      <c r="B4441" s="25">
        <v>1514.0</v>
      </c>
      <c r="C4441" s="25">
        <v>1526.5</v>
      </c>
      <c r="D4441" s="25">
        <v>1504.05</v>
      </c>
      <c r="E4441" s="25">
        <v>1524.0</v>
      </c>
      <c r="F4441" s="25">
        <v>3801140.0</v>
      </c>
    </row>
    <row r="4442">
      <c r="A4442" s="25">
        <v>44929.64583333333</v>
      </c>
      <c r="B4442" s="25">
        <v>1519.85</v>
      </c>
      <c r="C4442" s="25">
        <v>1532.65</v>
      </c>
      <c r="D4442" s="25">
        <v>1515.1</v>
      </c>
      <c r="E4442" s="25">
        <v>1522.55</v>
      </c>
      <c r="F4442" s="25">
        <v>4551130.0</v>
      </c>
    </row>
    <row r="4443">
      <c r="A4443" s="25">
        <v>44930.64583333333</v>
      </c>
      <c r="B4443" s="25">
        <v>1521.0</v>
      </c>
      <c r="C4443" s="25">
        <v>1521.0</v>
      </c>
      <c r="D4443" s="25">
        <v>1491.1</v>
      </c>
      <c r="E4443" s="25">
        <v>1494.8</v>
      </c>
      <c r="F4443" s="25">
        <v>7059590.0</v>
      </c>
    </row>
    <row r="4444">
      <c r="A4444" s="25">
        <v>44931.64583333333</v>
      </c>
      <c r="B4444" s="25">
        <v>1505.9</v>
      </c>
      <c r="C4444" s="25">
        <v>1505.9</v>
      </c>
      <c r="D4444" s="25">
        <v>1469.25</v>
      </c>
      <c r="E4444" s="25">
        <v>1475.2</v>
      </c>
      <c r="F4444" s="25">
        <v>9868404.0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113</v>
      </c>
      <c r="B1" s="12" t="s">
        <v>102</v>
      </c>
      <c r="C1" s="12" t="s">
        <v>103</v>
      </c>
      <c r="D1" s="6" t="s">
        <v>104</v>
      </c>
      <c r="E1" s="21" t="s">
        <v>105</v>
      </c>
    </row>
    <row r="2">
      <c r="A2" s="19" t="s">
        <v>67</v>
      </c>
      <c r="B2" s="8">
        <v>31567.0</v>
      </c>
      <c r="C2" s="8">
        <v>31567.0</v>
      </c>
      <c r="D2" s="11">
        <v>14.86</v>
      </c>
      <c r="E2" s="8">
        <v>6253.0</v>
      </c>
    </row>
    <row r="3">
      <c r="A3" s="19" t="s">
        <v>68</v>
      </c>
      <c r="B3" s="8">
        <v>29527.0</v>
      </c>
      <c r="C3" s="8">
        <v>29527.0</v>
      </c>
      <c r="D3" s="11">
        <v>11.65</v>
      </c>
      <c r="E3" s="8">
        <v>4901.0</v>
      </c>
    </row>
    <row r="4">
      <c r="A4" s="19" t="s">
        <v>28</v>
      </c>
      <c r="B4" s="8">
        <v>27426.0</v>
      </c>
      <c r="C4" s="8">
        <v>27426.0</v>
      </c>
      <c r="D4" s="11">
        <v>12.31</v>
      </c>
      <c r="E4" s="8">
        <v>5177.0</v>
      </c>
    </row>
    <row r="5">
      <c r="A5" s="19" t="s">
        <v>69</v>
      </c>
      <c r="B5" s="8">
        <v>27337.0</v>
      </c>
      <c r="C5" s="8">
        <v>27337.0</v>
      </c>
      <c r="D5" s="11">
        <v>13.96</v>
      </c>
      <c r="E5" s="8">
        <v>5870.0</v>
      </c>
    </row>
    <row r="6">
      <c r="A6" s="19" t="s">
        <v>70</v>
      </c>
      <c r="B6" s="8">
        <v>25462.0</v>
      </c>
      <c r="C6" s="8">
        <v>25462.0</v>
      </c>
      <c r="D6" s="11">
        <v>12.93</v>
      </c>
      <c r="E6" s="8">
        <v>5463.0</v>
      </c>
    </row>
    <row r="7">
      <c r="A7" s="19" t="s">
        <v>71</v>
      </c>
      <c r="B7" s="8">
        <v>23714.0</v>
      </c>
      <c r="C7" s="8">
        <v>23714.0</v>
      </c>
      <c r="D7" s="11">
        <v>11.08</v>
      </c>
      <c r="E7" s="8">
        <v>4723.0</v>
      </c>
    </row>
    <row r="8">
      <c r="A8" s="19" t="s">
        <v>29</v>
      </c>
      <c r="B8" s="8">
        <v>22497.0</v>
      </c>
      <c r="C8" s="8">
        <v>22497.0</v>
      </c>
      <c r="D8" s="11">
        <v>10.47</v>
      </c>
      <c r="E8" s="8">
        <v>4459.0</v>
      </c>
    </row>
    <row r="9">
      <c r="A9" s="19" t="s">
        <v>72</v>
      </c>
      <c r="B9" s="8">
        <v>22043.0</v>
      </c>
      <c r="C9" s="8">
        <v>22043.0</v>
      </c>
      <c r="D9" s="11">
        <v>11.93</v>
      </c>
      <c r="E9" s="8">
        <v>5083.0</v>
      </c>
    </row>
    <row r="10">
      <c r="A10" s="19" t="s">
        <v>73</v>
      </c>
      <c r="B10" s="8">
        <v>21046.0</v>
      </c>
      <c r="C10" s="8">
        <v>21046.0</v>
      </c>
      <c r="D10" s="11">
        <v>10.56</v>
      </c>
      <c r="E10" s="8">
        <v>4497.0</v>
      </c>
    </row>
    <row r="11">
      <c r="A11" s="19" t="s">
        <v>74</v>
      </c>
      <c r="B11" s="8">
        <v>20325.0</v>
      </c>
      <c r="C11" s="8">
        <v>20325.0</v>
      </c>
      <c r="D11" s="11">
        <v>9.41</v>
      </c>
      <c r="E11" s="8">
        <v>4008.0</v>
      </c>
    </row>
    <row r="12">
      <c r="A12" s="19" t="s">
        <v>30</v>
      </c>
      <c r="B12" s="8">
        <v>20187.0</v>
      </c>
      <c r="C12" s="8">
        <v>20187.0</v>
      </c>
      <c r="D12" s="11">
        <v>9.55</v>
      </c>
      <c r="E12" s="8">
        <v>4069.0</v>
      </c>
    </row>
    <row r="13">
      <c r="A13" s="19" t="s">
        <v>75</v>
      </c>
      <c r="B13" s="8">
        <v>20064.0</v>
      </c>
      <c r="C13" s="8">
        <v>20064.0</v>
      </c>
      <c r="D13" s="11">
        <v>9.57</v>
      </c>
      <c r="E13" s="8">
        <v>4076.0</v>
      </c>
    </row>
    <row r="14">
      <c r="A14" s="19" t="s">
        <v>76</v>
      </c>
      <c r="B14" s="8">
        <v>19666.0</v>
      </c>
      <c r="C14" s="8">
        <v>19666.0</v>
      </c>
      <c r="D14" s="11">
        <v>8.97</v>
      </c>
      <c r="E14" s="8">
        <v>3829.0</v>
      </c>
    </row>
    <row r="15">
      <c r="A15" s="19" t="s">
        <v>77</v>
      </c>
      <c r="B15" s="8">
        <v>19131.0</v>
      </c>
      <c r="C15" s="8">
        <v>19131.0</v>
      </c>
      <c r="D15" s="11">
        <v>8.26</v>
      </c>
      <c r="E15" s="8">
        <v>3569.0</v>
      </c>
    </row>
    <row r="16">
      <c r="A16" s="19" t="s">
        <v>31</v>
      </c>
      <c r="B16" s="8">
        <v>18935.0</v>
      </c>
      <c r="C16" s="8">
        <v>18935.0</v>
      </c>
      <c r="D16" s="11">
        <v>8.75</v>
      </c>
      <c r="E16" s="8">
        <v>3820.0</v>
      </c>
    </row>
    <row r="17">
      <c r="A17" s="19" t="s">
        <v>78</v>
      </c>
      <c r="B17" s="8">
        <v>18819.0</v>
      </c>
      <c r="C17" s="8">
        <v>18819.0</v>
      </c>
      <c r="D17" s="11">
        <v>8.01</v>
      </c>
      <c r="E17" s="8">
        <v>3501.0</v>
      </c>
    </row>
    <row r="18">
      <c r="A18" s="19" t="s">
        <v>79</v>
      </c>
      <c r="B18" s="8">
        <v>18297.0</v>
      </c>
      <c r="C18" s="8">
        <v>18297.0</v>
      </c>
      <c r="D18" s="11">
        <v>8.88</v>
      </c>
      <c r="E18" s="8">
        <v>3879.0</v>
      </c>
    </row>
    <row r="19">
      <c r="A19" s="19" t="s">
        <v>80</v>
      </c>
      <c r="B19" s="8">
        <v>17056.0</v>
      </c>
      <c r="C19" s="8">
        <v>17056.0</v>
      </c>
      <c r="D19" s="11">
        <v>16.04</v>
      </c>
      <c r="E19" s="8">
        <v>3503.0</v>
      </c>
    </row>
    <row r="20">
      <c r="A20" s="19" t="s">
        <v>32</v>
      </c>
      <c r="B20" s="8">
        <v>15984.0</v>
      </c>
      <c r="C20" s="8">
        <v>15984.0</v>
      </c>
      <c r="D20" s="11">
        <v>14.45</v>
      </c>
      <c r="E20" s="8">
        <v>3157.0</v>
      </c>
    </row>
    <row r="21">
      <c r="A21" s="19" t="s">
        <v>81</v>
      </c>
      <c r="B21" s="8">
        <v>15631.0</v>
      </c>
      <c r="C21" s="8">
        <v>15631.0</v>
      </c>
      <c r="D21" s="11">
        <v>26.27</v>
      </c>
      <c r="E21" s="8">
        <v>6004.0</v>
      </c>
    </row>
    <row r="22">
      <c r="A22" s="19" t="s">
        <v>82</v>
      </c>
      <c r="B22" s="8">
        <v>15356.0</v>
      </c>
      <c r="C22" s="8">
        <v>15356.0</v>
      </c>
      <c r="D22" s="8">
        <v>3579.0</v>
      </c>
      <c r="E22" s="11">
        <v>15.58</v>
      </c>
    </row>
    <row r="23">
      <c r="A23" s="19" t="s">
        <v>83</v>
      </c>
      <c r="B23" s="8">
        <v>14971.0</v>
      </c>
      <c r="C23" s="8">
        <v>14971.0</v>
      </c>
      <c r="D23" s="8">
        <v>3415.0</v>
      </c>
      <c r="E23" s="11">
        <v>14.87</v>
      </c>
    </row>
    <row r="24">
      <c r="A24" s="19" t="s">
        <v>33</v>
      </c>
      <c r="B24" s="8">
        <v>14920.0</v>
      </c>
      <c r="C24" s="8">
        <v>14920.0</v>
      </c>
      <c r="D24" s="8">
        <v>3562.0</v>
      </c>
      <c r="E24" s="11">
        <v>15.51</v>
      </c>
    </row>
    <row r="25">
      <c r="A25" s="19" t="s">
        <v>84</v>
      </c>
      <c r="B25" s="8">
        <v>14949.0</v>
      </c>
      <c r="C25" s="8">
        <v>14949.0</v>
      </c>
      <c r="D25" s="8">
        <v>3599.0</v>
      </c>
      <c r="E25" s="11">
        <v>15.67</v>
      </c>
    </row>
    <row r="26">
      <c r="A26" s="19" t="s">
        <v>85</v>
      </c>
      <c r="B26" s="8">
        <v>15000.0</v>
      </c>
      <c r="C26" s="8">
        <v>15000.0</v>
      </c>
      <c r="D26" s="8">
        <v>3476.0</v>
      </c>
      <c r="E26" s="11">
        <v>15.13</v>
      </c>
    </row>
    <row r="27">
      <c r="A27" s="19" t="s">
        <v>86</v>
      </c>
      <c r="B27" s="8">
        <v>14420.0</v>
      </c>
      <c r="C27" s="8">
        <v>14420.0</v>
      </c>
      <c r="D27" s="8">
        <v>3180.0</v>
      </c>
      <c r="E27" s="11">
        <v>13.85</v>
      </c>
    </row>
    <row r="28">
      <c r="A28" s="19" t="s">
        <v>34</v>
      </c>
      <c r="B28" s="8">
        <v>14158.0</v>
      </c>
      <c r="C28" s="8">
        <v>14158.0</v>
      </c>
      <c r="D28" s="8">
        <v>3391.0</v>
      </c>
      <c r="E28" s="11">
        <v>14.76</v>
      </c>
    </row>
    <row r="29">
      <c r="A29" s="19" t="s">
        <v>87</v>
      </c>
      <c r="B29" s="8">
        <v>13562.0</v>
      </c>
      <c r="C29" s="8">
        <v>13562.0</v>
      </c>
      <c r="D29" s="8">
        <v>3163.0</v>
      </c>
      <c r="E29" s="11">
        <v>13.77</v>
      </c>
    </row>
    <row r="30">
      <c r="A30" s="19" t="s">
        <v>88</v>
      </c>
      <c r="B30" s="8">
        <v>13525.0</v>
      </c>
      <c r="C30" s="8">
        <v>13525.0</v>
      </c>
      <c r="D30" s="8">
        <v>3248.0</v>
      </c>
      <c r="E30" s="11">
        <v>14.14</v>
      </c>
    </row>
    <row r="31">
      <c r="A31" s="19" t="s">
        <v>89</v>
      </c>
      <c r="B31" s="8">
        <v>12738.0</v>
      </c>
      <c r="C31" s="8">
        <v>12738.0</v>
      </c>
      <c r="D31" s="8">
        <v>2891.0</v>
      </c>
      <c r="E31" s="11">
        <v>12.59</v>
      </c>
    </row>
    <row r="32">
      <c r="A32" s="19" t="s">
        <v>35</v>
      </c>
      <c r="B32" s="8">
        <v>11926.0</v>
      </c>
      <c r="C32" s="8">
        <v>11926.0</v>
      </c>
      <c r="D32" s="11">
        <v>26.33</v>
      </c>
      <c r="E32" s="8">
        <v>3024.0</v>
      </c>
    </row>
    <row r="33">
      <c r="A33" s="19" t="s">
        <v>90</v>
      </c>
      <c r="B33" s="8">
        <v>12192.0</v>
      </c>
      <c r="C33" s="8">
        <v>12192.0</v>
      </c>
      <c r="D33" s="11">
        <v>26.73</v>
      </c>
      <c r="E33" s="8">
        <v>3055.0</v>
      </c>
    </row>
    <row r="34">
      <c r="A34" s="19" t="s">
        <v>91</v>
      </c>
      <c r="B34" s="8">
        <v>11863.0</v>
      </c>
      <c r="C34" s="8">
        <v>11863.0</v>
      </c>
      <c r="D34" s="11">
        <v>51.68</v>
      </c>
      <c r="E34" s="8">
        <v>3365.0</v>
      </c>
    </row>
    <row r="35">
      <c r="A35" s="19" t="s">
        <v>92</v>
      </c>
      <c r="B35" s="8">
        <v>11319.0</v>
      </c>
      <c r="C35" s="8">
        <v>11319.0</v>
      </c>
      <c r="D35" s="11">
        <v>47.6</v>
      </c>
      <c r="E35" s="8">
        <v>2720.0</v>
      </c>
    </row>
    <row r="36">
      <c r="A36" s="19" t="s">
        <v>36</v>
      </c>
      <c r="B36" s="8">
        <v>11366.0</v>
      </c>
      <c r="C36" s="8">
        <v>11366.0</v>
      </c>
      <c r="D36" s="11">
        <v>50.44</v>
      </c>
      <c r="E36" s="8">
        <v>2883.0</v>
      </c>
    </row>
    <row r="37">
      <c r="A37" s="19" t="s">
        <v>93</v>
      </c>
      <c r="B37" s="8">
        <v>11534.0</v>
      </c>
      <c r="C37" s="8">
        <v>11534.0</v>
      </c>
      <c r="D37" s="8">
        <v>2735.0</v>
      </c>
      <c r="E37" s="8">
        <v>47.87</v>
      </c>
    </row>
    <row r="38">
      <c r="A38" s="19" t="s">
        <v>94</v>
      </c>
      <c r="B38" s="8">
        <v>11482.0</v>
      </c>
      <c r="C38" s="8">
        <v>11482.0</v>
      </c>
      <c r="D38" s="8">
        <v>2326.0</v>
      </c>
      <c r="E38" s="8">
        <v>40.5</v>
      </c>
    </row>
    <row r="39">
      <c r="A39" s="19" t="s">
        <v>95</v>
      </c>
      <c r="B39" s="8">
        <v>9959.0</v>
      </c>
      <c r="C39" s="8">
        <v>9959.0</v>
      </c>
      <c r="D39" s="8">
        <v>2250.0</v>
      </c>
      <c r="E39" s="8">
        <v>39.19</v>
      </c>
    </row>
    <row r="40">
      <c r="A40" s="19" t="s">
        <v>37</v>
      </c>
      <c r="B40" s="8">
        <v>9329.0</v>
      </c>
      <c r="C40" s="8">
        <v>9329.0</v>
      </c>
      <c r="D40" s="8">
        <v>2305.0</v>
      </c>
      <c r="E40" s="8">
        <v>40.14</v>
      </c>
    </row>
    <row r="41">
      <c r="A41" s="19" t="s">
        <v>96</v>
      </c>
      <c r="B41" s="8">
        <v>9398.0</v>
      </c>
      <c r="C41" s="8">
        <v>9398.0</v>
      </c>
      <c r="D41" s="8">
        <v>2265.0</v>
      </c>
      <c r="E41" s="8">
        <v>39.46</v>
      </c>
    </row>
    <row r="42">
      <c r="A42" s="19" t="s">
        <v>97</v>
      </c>
      <c r="B42" s="8">
        <v>9129.0</v>
      </c>
      <c r="C42" s="8">
        <v>9129.0</v>
      </c>
      <c r="D42" s="8">
        <v>2342.0</v>
      </c>
      <c r="E42" s="8">
        <v>39.57</v>
      </c>
    </row>
    <row r="43">
      <c r="A43" s="19" t="s">
        <v>98</v>
      </c>
      <c r="B43" s="8">
        <v>8909.0</v>
      </c>
      <c r="C43" s="8">
        <v>8909.0</v>
      </c>
      <c r="D43" s="8">
        <v>2204.0</v>
      </c>
      <c r="E43" s="8">
        <v>38.38</v>
      </c>
    </row>
    <row r="44">
      <c r="A44" s="19" t="s">
        <v>99</v>
      </c>
      <c r="B44" s="8">
        <v>8183.0</v>
      </c>
      <c r="C44" s="8">
        <v>8183.0</v>
      </c>
      <c r="D44" s="8">
        <v>2759.0</v>
      </c>
      <c r="E44" s="8">
        <v>39.61</v>
      </c>
    </row>
    <row r="45">
      <c r="A45" s="19" t="s">
        <v>100</v>
      </c>
      <c r="B45" s="8">
        <v>8696.0</v>
      </c>
      <c r="C45" s="8">
        <v>8696.0</v>
      </c>
      <c r="D45" s="8">
        <v>2235.0</v>
      </c>
      <c r="E45" s="8">
        <v>38.92</v>
      </c>
    </row>
    <row r="46">
      <c r="A46" s="19" t="s">
        <v>101</v>
      </c>
      <c r="B46" s="8">
        <v>7470.0</v>
      </c>
      <c r="C46" s="8">
        <v>7470.0</v>
      </c>
      <c r="D46" s="8">
        <v>1822.0</v>
      </c>
      <c r="E46" s="8">
        <v>31.73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2" t="s">
        <v>38</v>
      </c>
      <c r="C1" s="12" t="s">
        <v>39</v>
      </c>
      <c r="D1" s="12" t="s">
        <v>40</v>
      </c>
      <c r="E1" s="12" t="s">
        <v>41</v>
      </c>
      <c r="F1" s="12" t="s">
        <v>42</v>
      </c>
      <c r="G1" s="12" t="s">
        <v>43</v>
      </c>
      <c r="H1" s="12" t="s">
        <v>44</v>
      </c>
      <c r="I1" s="12" t="s">
        <v>45</v>
      </c>
      <c r="J1" s="12" t="s">
        <v>46</v>
      </c>
      <c r="K1" s="12" t="s">
        <v>47</v>
      </c>
      <c r="L1" s="12" t="s">
        <v>48</v>
      </c>
      <c r="M1" s="12" t="s">
        <v>49</v>
      </c>
      <c r="N1" s="12" t="s">
        <v>50</v>
      </c>
      <c r="O1" s="12" t="s">
        <v>51</v>
      </c>
      <c r="P1" s="12" t="s">
        <v>52</v>
      </c>
      <c r="Q1" s="12" t="s">
        <v>53</v>
      </c>
      <c r="R1" s="12" t="s">
        <v>54</v>
      </c>
      <c r="S1" s="12" t="s">
        <v>55</v>
      </c>
      <c r="T1" s="12" t="s">
        <v>56</v>
      </c>
      <c r="U1" s="12" t="s">
        <v>58</v>
      </c>
      <c r="V1" s="12" t="s">
        <v>59</v>
      </c>
      <c r="W1" s="12" t="s">
        <v>60</v>
      </c>
      <c r="X1" s="12" t="s">
        <v>61</v>
      </c>
      <c r="Y1" s="12" t="s">
        <v>62</v>
      </c>
      <c r="Z1" s="12" t="s">
        <v>63</v>
      </c>
      <c r="AA1" s="12" t="s">
        <v>64</v>
      </c>
      <c r="AB1" s="12" t="s">
        <v>65</v>
      </c>
    </row>
    <row r="2">
      <c r="A2" s="19" t="s">
        <v>28</v>
      </c>
      <c r="B2" s="11">
        <v>31.0</v>
      </c>
      <c r="C2" s="11">
        <v>66.15</v>
      </c>
      <c r="D2" s="11">
        <v>247.08</v>
      </c>
      <c r="E2" s="11">
        <v>26.77</v>
      </c>
      <c r="F2" s="11">
        <v>23.7</v>
      </c>
      <c r="G2" s="11">
        <v>24.43</v>
      </c>
      <c r="H2" s="11">
        <v>22.08</v>
      </c>
      <c r="I2" s="11">
        <v>22.08</v>
      </c>
      <c r="J2" s="11">
        <v>20.43</v>
      </c>
      <c r="K2" s="11">
        <v>19.81</v>
      </c>
      <c r="L2" s="11">
        <v>41.29</v>
      </c>
      <c r="M2" s="11">
        <v>30.9</v>
      </c>
      <c r="N2" s="11">
        <v>30.9</v>
      </c>
      <c r="O2" s="11">
        <v>163.31</v>
      </c>
      <c r="P2" s="11">
        <v>163.31</v>
      </c>
      <c r="Q2" s="11">
        <v>41.66</v>
      </c>
      <c r="R2" s="11">
        <v>1.85</v>
      </c>
      <c r="S2" s="11">
        <v>1.82</v>
      </c>
      <c r="T2" s="11" t="s">
        <v>57</v>
      </c>
      <c r="U2" s="11">
        <v>1.51</v>
      </c>
      <c r="V2" s="11">
        <v>1.48</v>
      </c>
      <c r="W2" s="11">
        <v>59.8</v>
      </c>
      <c r="X2" s="11">
        <v>53.66</v>
      </c>
      <c r="Y2" s="11">
        <v>40.2</v>
      </c>
      <c r="Z2" s="11">
        <v>46.34</v>
      </c>
      <c r="AA2" s="11">
        <v>50.48</v>
      </c>
      <c r="AB2" s="11">
        <v>163.31</v>
      </c>
    </row>
    <row r="3">
      <c r="A3" s="19" t="s">
        <v>29</v>
      </c>
      <c r="B3" s="11">
        <v>27.0</v>
      </c>
      <c r="C3" s="11">
        <v>57.4</v>
      </c>
      <c r="D3" s="11">
        <v>201.64</v>
      </c>
      <c r="E3" s="11">
        <v>28.46</v>
      </c>
      <c r="F3" s="11">
        <v>25.04</v>
      </c>
      <c r="G3" s="11">
        <v>25.76</v>
      </c>
      <c r="H3" s="11">
        <v>23.04</v>
      </c>
      <c r="I3" s="11">
        <v>23.04</v>
      </c>
      <c r="J3" s="11">
        <v>21.0</v>
      </c>
      <c r="K3" s="11">
        <v>20.42</v>
      </c>
      <c r="L3" s="11">
        <v>34.39</v>
      </c>
      <c r="M3" s="11">
        <v>25.36</v>
      </c>
      <c r="N3" s="11">
        <v>25.36</v>
      </c>
      <c r="O3" s="11">
        <v>167.01</v>
      </c>
      <c r="P3" s="11">
        <v>167.01</v>
      </c>
      <c r="Q3" s="11">
        <v>34.57</v>
      </c>
      <c r="R3" s="11">
        <v>2.42</v>
      </c>
      <c r="S3" s="11">
        <v>2.38</v>
      </c>
      <c r="T3" s="11" t="s">
        <v>57</v>
      </c>
      <c r="U3" s="11">
        <v>1.21</v>
      </c>
      <c r="V3" s="11">
        <v>1.28</v>
      </c>
      <c r="W3" s="11">
        <v>50.74</v>
      </c>
      <c r="X3" s="11">
        <v>44.96</v>
      </c>
      <c r="Y3" s="11">
        <v>49.26</v>
      </c>
      <c r="Z3" s="11">
        <v>55.04</v>
      </c>
      <c r="AA3" s="11">
        <v>42.36</v>
      </c>
      <c r="AB3" s="11">
        <v>167.01</v>
      </c>
    </row>
    <row r="4">
      <c r="A4" s="19" t="s">
        <v>30</v>
      </c>
      <c r="B4" s="11">
        <v>17.5</v>
      </c>
      <c r="C4" s="11">
        <v>45.99</v>
      </c>
      <c r="D4" s="11">
        <v>181.46</v>
      </c>
      <c r="E4" s="11">
        <v>25.34</v>
      </c>
      <c r="F4" s="11">
        <v>21.88</v>
      </c>
      <c r="G4" s="11">
        <v>22.63</v>
      </c>
      <c r="H4" s="11">
        <v>21.63</v>
      </c>
      <c r="I4" s="11">
        <v>21.63</v>
      </c>
      <c r="J4" s="11">
        <v>19.66</v>
      </c>
      <c r="K4" s="11">
        <v>19.01</v>
      </c>
      <c r="L4" s="11">
        <v>33.08</v>
      </c>
      <c r="M4" s="11">
        <v>25.09</v>
      </c>
      <c r="N4" s="11">
        <v>25.09</v>
      </c>
      <c r="O4" s="11">
        <v>142.18</v>
      </c>
      <c r="P4" s="11">
        <v>142.18</v>
      </c>
      <c r="Q4" s="11">
        <v>33.24</v>
      </c>
      <c r="R4" s="11">
        <v>2.56</v>
      </c>
      <c r="S4" s="11">
        <v>2.49</v>
      </c>
      <c r="T4" s="11" t="s">
        <v>57</v>
      </c>
      <c r="U4" s="11">
        <v>1.27</v>
      </c>
      <c r="V4" s="11">
        <v>1.27</v>
      </c>
      <c r="W4" s="11">
        <v>61.46</v>
      </c>
      <c r="X4" s="11">
        <v>54.01</v>
      </c>
      <c r="Y4" s="11">
        <v>38.54</v>
      </c>
      <c r="Z4" s="11">
        <v>45.99</v>
      </c>
      <c r="AA4" s="11">
        <v>35.68</v>
      </c>
      <c r="AB4" s="11">
        <v>142.18</v>
      </c>
    </row>
    <row r="5">
      <c r="A5" s="19" t="s">
        <v>31</v>
      </c>
      <c r="B5" s="11">
        <v>21.5</v>
      </c>
      <c r="C5" s="11">
        <v>42.87</v>
      </c>
      <c r="D5" s="11">
        <v>167.82</v>
      </c>
      <c r="E5" s="11">
        <v>25.54</v>
      </c>
      <c r="F5" s="11">
        <v>22.47</v>
      </c>
      <c r="G5" s="11">
        <v>23.35</v>
      </c>
      <c r="H5" s="11">
        <v>21.46</v>
      </c>
      <c r="I5" s="11">
        <v>21.46</v>
      </c>
      <c r="J5" s="11">
        <v>20.11</v>
      </c>
      <c r="K5" s="11">
        <v>19.35</v>
      </c>
      <c r="L5" s="11">
        <v>31.77</v>
      </c>
      <c r="M5" s="11">
        <v>23.44</v>
      </c>
      <c r="N5" s="11">
        <v>23.44</v>
      </c>
      <c r="O5" s="11">
        <v>143.96</v>
      </c>
      <c r="P5" s="11">
        <v>143.96</v>
      </c>
      <c r="Q5" s="11">
        <v>31.77</v>
      </c>
      <c r="R5" s="11">
        <v>3.03</v>
      </c>
      <c r="S5" s="11">
        <v>2.96</v>
      </c>
      <c r="T5" s="11" t="s">
        <v>57</v>
      </c>
      <c r="U5" s="11">
        <v>1.17</v>
      </c>
      <c r="V5" s="11">
        <v>1.16</v>
      </c>
      <c r="W5" s="11">
        <v>93.64</v>
      </c>
      <c r="X5" s="11">
        <v>84.46</v>
      </c>
      <c r="Y5" s="11">
        <v>6.36</v>
      </c>
      <c r="Z5" s="11">
        <v>15.54</v>
      </c>
      <c r="AA5" s="11">
        <v>33.75</v>
      </c>
      <c r="AB5" s="11">
        <v>143.96</v>
      </c>
    </row>
    <row r="6">
      <c r="A6" s="19" t="s">
        <v>32</v>
      </c>
      <c r="B6" s="11">
        <v>43.5</v>
      </c>
      <c r="C6" s="11">
        <v>79.19</v>
      </c>
      <c r="D6" s="11">
        <v>283.6</v>
      </c>
      <c r="E6" s="11">
        <v>27.92</v>
      </c>
      <c r="F6" s="11">
        <v>24.08</v>
      </c>
      <c r="G6" s="11">
        <v>25.65</v>
      </c>
      <c r="H6" s="11">
        <v>26.62</v>
      </c>
      <c r="I6" s="11">
        <v>26.62</v>
      </c>
      <c r="J6" s="11">
        <v>26.08</v>
      </c>
      <c r="K6" s="11">
        <v>24.49</v>
      </c>
      <c r="L6" s="11">
        <v>31.35</v>
      </c>
      <c r="M6" s="11">
        <v>25.44</v>
      </c>
      <c r="N6" s="11">
        <v>25.44</v>
      </c>
      <c r="O6" s="11">
        <v>290.74</v>
      </c>
      <c r="P6" s="11">
        <v>290.74</v>
      </c>
      <c r="Q6" s="11">
        <v>31.35</v>
      </c>
      <c r="R6" s="11">
        <v>3.83</v>
      </c>
      <c r="S6" s="11">
        <v>3.74</v>
      </c>
      <c r="T6" s="11" t="s">
        <v>57</v>
      </c>
      <c r="U6" s="11">
        <v>0.98</v>
      </c>
      <c r="V6" s="11">
        <v>0.94</v>
      </c>
      <c r="W6" s="11">
        <v>46.42</v>
      </c>
      <c r="X6" s="11">
        <v>42.7</v>
      </c>
      <c r="Y6" s="11">
        <v>53.58</v>
      </c>
      <c r="Z6" s="11">
        <v>57.3</v>
      </c>
      <c r="AA6" s="11">
        <v>73.97</v>
      </c>
      <c r="AB6" s="11">
        <v>290.74</v>
      </c>
    </row>
    <row r="7">
      <c r="A7" s="19" t="s">
        <v>33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11">
        <v>60.16</v>
      </c>
      <c r="AB7" s="11">
        <v>296.12</v>
      </c>
    </row>
    <row r="8">
      <c r="A8" s="19" t="s">
        <v>34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11">
        <v>55.26</v>
      </c>
      <c r="AB8" s="11">
        <v>265.93</v>
      </c>
    </row>
    <row r="9">
      <c r="A9" s="19" t="s">
        <v>35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11">
        <v>105.91</v>
      </c>
      <c r="AB9" s="11">
        <v>418.54</v>
      </c>
    </row>
    <row r="10">
      <c r="A10" s="19" t="s">
        <v>36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11">
        <v>178.4</v>
      </c>
      <c r="AB10" s="11">
        <v>736.64</v>
      </c>
    </row>
    <row r="11">
      <c r="A11" s="19" t="s">
        <v>37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11">
        <v>158.75</v>
      </c>
      <c r="AB11" s="11">
        <v>627.95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" t="s">
        <v>113</v>
      </c>
      <c r="B1" s="6" t="s">
        <v>114</v>
      </c>
      <c r="C1" s="6" t="s">
        <v>115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17</v>
      </c>
      <c r="S1" s="6" t="s">
        <v>18</v>
      </c>
      <c r="T1" s="6" t="s">
        <v>19</v>
      </c>
      <c r="U1" s="12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16" t="s">
        <v>54</v>
      </c>
      <c r="AA1" s="6"/>
    </row>
    <row r="2">
      <c r="A2" s="30">
        <v>44621.0</v>
      </c>
      <c r="B2" s="7">
        <v>107164.0</v>
      </c>
      <c r="C2" s="7">
        <f t="shared" ref="C2:C20" si="1">$B2-$D2</f>
        <v>28495</v>
      </c>
      <c r="D2" s="7">
        <v>78669.0</v>
      </c>
      <c r="E2" s="7">
        <v>28495.0</v>
      </c>
      <c r="F2" s="7">
        <v>21235.0</v>
      </c>
      <c r="G2" s="10">
        <v>50.27</v>
      </c>
      <c r="H2" s="10">
        <v>50.21</v>
      </c>
      <c r="I2" s="8">
        <v>12700.0</v>
      </c>
      <c r="J2" s="11">
        <v>620.0</v>
      </c>
      <c r="K2" s="8">
        <v>2103.0</v>
      </c>
      <c r="L2" s="8">
        <v>69306.0</v>
      </c>
      <c r="M2" s="7">
        <v>5105.0</v>
      </c>
      <c r="N2" s="7">
        <v>24976.0</v>
      </c>
      <c r="O2" s="7">
        <v>99387.0</v>
      </c>
      <c r="P2" s="7">
        <v>15349.0</v>
      </c>
      <c r="Q2" s="7">
        <f t="shared" ref="Q2:Q19" si="2">P2-P3</f>
        <v>-156</v>
      </c>
      <c r="R2" s="7">
        <v>46950.0</v>
      </c>
      <c r="S2" s="7">
        <v>52437.0</v>
      </c>
      <c r="T2" s="7">
        <v>99387.0</v>
      </c>
      <c r="U2" s="8">
        <v>21235.0</v>
      </c>
      <c r="V2" s="7">
        <v>22096.0</v>
      </c>
      <c r="W2" s="7">
        <v>-3150.0</v>
      </c>
      <c r="X2" s="7">
        <v>-24275.0</v>
      </c>
      <c r="Y2" s="8">
        <v>2429.0</v>
      </c>
      <c r="Z2" s="25">
        <f t="shared" ref="Z2:Z20" si="3">S2/N2</f>
        <v>2.099495516</v>
      </c>
    </row>
    <row r="3">
      <c r="A3" s="30">
        <v>44256.0</v>
      </c>
      <c r="B3" s="7">
        <v>88379.0</v>
      </c>
      <c r="C3" s="7">
        <f t="shared" si="1"/>
        <v>24477</v>
      </c>
      <c r="D3" s="7">
        <v>63902.0</v>
      </c>
      <c r="E3" s="7">
        <v>24477.0</v>
      </c>
      <c r="F3" s="7">
        <v>18048.0</v>
      </c>
      <c r="G3" s="10">
        <v>42.37</v>
      </c>
      <c r="H3" s="10">
        <v>42.33</v>
      </c>
      <c r="I3" s="8">
        <v>9158.0</v>
      </c>
      <c r="J3" s="11">
        <v>540.0</v>
      </c>
      <c r="K3" s="8">
        <v>2130.0</v>
      </c>
      <c r="L3" s="8">
        <v>71531.0</v>
      </c>
      <c r="M3" s="7">
        <v>4786.0</v>
      </c>
      <c r="N3" s="7">
        <v>17622.0</v>
      </c>
      <c r="O3" s="7">
        <v>93939.0</v>
      </c>
      <c r="P3" s="7">
        <v>15505.0</v>
      </c>
      <c r="Q3" s="7">
        <f t="shared" si="2"/>
        <v>586</v>
      </c>
      <c r="R3" s="7">
        <v>45657.0</v>
      </c>
      <c r="S3" s="7">
        <v>48282.0</v>
      </c>
      <c r="T3" s="7">
        <v>93939.0</v>
      </c>
      <c r="U3" s="8">
        <v>18048.0</v>
      </c>
      <c r="V3" s="7">
        <v>19902.0</v>
      </c>
      <c r="W3" s="7">
        <v>-6309.0</v>
      </c>
      <c r="X3" s="7">
        <v>-9566.0</v>
      </c>
      <c r="Y3" s="8">
        <v>2321.0</v>
      </c>
      <c r="Z3" s="25">
        <f t="shared" si="3"/>
        <v>2.739870616</v>
      </c>
    </row>
    <row r="4">
      <c r="A4" s="30">
        <v>43891.0</v>
      </c>
      <c r="B4" s="7">
        <v>81747.0</v>
      </c>
      <c r="C4" s="7">
        <f t="shared" si="1"/>
        <v>20477</v>
      </c>
      <c r="D4" s="7">
        <v>61270.0</v>
      </c>
      <c r="E4" s="7">
        <v>20477.0</v>
      </c>
      <c r="F4" s="7">
        <v>15543.0</v>
      </c>
      <c r="G4" s="10">
        <v>36.34</v>
      </c>
      <c r="H4" s="10">
        <v>36.32</v>
      </c>
      <c r="I4" s="8">
        <v>9553.0</v>
      </c>
      <c r="J4" s="11">
        <v>350.0</v>
      </c>
      <c r="K4" s="8">
        <v>2129.0</v>
      </c>
      <c r="L4" s="8">
        <v>62234.0</v>
      </c>
      <c r="M4" s="7">
        <v>3587.0</v>
      </c>
      <c r="N4" s="7">
        <v>15220.0</v>
      </c>
      <c r="O4" s="7">
        <v>81041.0</v>
      </c>
      <c r="P4" s="7">
        <v>14919.0</v>
      </c>
      <c r="Q4" s="7">
        <f t="shared" si="2"/>
        <v>3210</v>
      </c>
      <c r="R4" s="7">
        <v>37221.0</v>
      </c>
      <c r="S4" s="7">
        <v>43820.0</v>
      </c>
      <c r="T4" s="7">
        <v>81041.0</v>
      </c>
      <c r="U4" s="15">
        <v>14702.0</v>
      </c>
      <c r="V4" s="9">
        <v>13989.0</v>
      </c>
      <c r="W4" s="9">
        <v>-587.0</v>
      </c>
      <c r="X4" s="9">
        <v>-14571.0</v>
      </c>
      <c r="Y4" s="8">
        <v>2144.0</v>
      </c>
      <c r="Z4" s="25">
        <f t="shared" si="3"/>
        <v>2.879106439</v>
      </c>
    </row>
    <row r="5">
      <c r="A5" s="30">
        <v>43525.0</v>
      </c>
      <c r="B5" s="7">
        <v>75959.0</v>
      </c>
      <c r="C5" s="7">
        <f t="shared" si="1"/>
        <v>19927</v>
      </c>
      <c r="D5" s="7">
        <v>56032.0</v>
      </c>
      <c r="E5" s="7">
        <v>19927.0</v>
      </c>
      <c r="F5" s="7">
        <v>14702.0</v>
      </c>
      <c r="G5" s="10">
        <v>33.66</v>
      </c>
      <c r="H5" s="10">
        <v>33.64</v>
      </c>
      <c r="I5" s="8">
        <v>13768.0</v>
      </c>
      <c r="J5" s="11">
        <v>430.0</v>
      </c>
      <c r="K5" s="8">
        <v>2178.0</v>
      </c>
      <c r="L5" s="8">
        <v>62711.0</v>
      </c>
      <c r="M5" s="10">
        <v>789.0</v>
      </c>
      <c r="N5" s="7">
        <v>15430.0</v>
      </c>
      <c r="O5" s="7">
        <v>78930.0</v>
      </c>
      <c r="P5" s="7">
        <v>11709.0</v>
      </c>
      <c r="Q5" s="7">
        <f t="shared" si="2"/>
        <v>1110</v>
      </c>
      <c r="R5" s="7">
        <v>32707.0</v>
      </c>
      <c r="S5" s="7">
        <v>46223.0</v>
      </c>
      <c r="T5" s="7">
        <v>78930.0</v>
      </c>
      <c r="U5" s="15">
        <v>16155.0</v>
      </c>
      <c r="V5" s="9">
        <v>12475.0</v>
      </c>
      <c r="W5" s="9">
        <v>5684.0</v>
      </c>
      <c r="X5" s="9">
        <v>-20536.0</v>
      </c>
      <c r="Y5" s="8">
        <v>1599.0</v>
      </c>
      <c r="Z5" s="25">
        <f t="shared" si="3"/>
        <v>2.995657809</v>
      </c>
    </row>
    <row r="6">
      <c r="A6" s="30">
        <v>43160.0</v>
      </c>
      <c r="B6" s="7">
        <v>65960.0</v>
      </c>
      <c r="C6" s="7">
        <f t="shared" si="1"/>
        <v>19908</v>
      </c>
      <c r="D6" s="7">
        <v>46052.0</v>
      </c>
      <c r="E6" s="7">
        <v>19908.0</v>
      </c>
      <c r="F6" s="7">
        <v>16155.0</v>
      </c>
      <c r="G6" s="10">
        <v>71.28</v>
      </c>
      <c r="H6" s="10">
        <v>71.25</v>
      </c>
      <c r="I6" s="8">
        <v>5623.0</v>
      </c>
      <c r="J6" s="11">
        <v>870.0</v>
      </c>
      <c r="K6" s="8">
        <v>1092.0</v>
      </c>
      <c r="L6" s="8">
        <v>63502.0</v>
      </c>
      <c r="M6" s="10">
        <v>713.0</v>
      </c>
      <c r="N6" s="7">
        <v>11662.0</v>
      </c>
      <c r="O6" s="7">
        <v>75877.0</v>
      </c>
      <c r="P6" s="7">
        <v>10599.0</v>
      </c>
      <c r="Q6" s="7">
        <f t="shared" si="2"/>
        <v>747</v>
      </c>
      <c r="R6" s="7">
        <v>31787.0</v>
      </c>
      <c r="S6" s="7">
        <v>44090.0</v>
      </c>
      <c r="T6" s="7">
        <v>75877.0</v>
      </c>
      <c r="U6" s="15">
        <v>16155.0</v>
      </c>
      <c r="V6" s="9">
        <v>12475.0</v>
      </c>
      <c r="W6" s="9">
        <v>5684.0</v>
      </c>
      <c r="X6" s="9">
        <v>-20536.0</v>
      </c>
      <c r="Y6" s="8">
        <v>1408.0</v>
      </c>
      <c r="Z6" s="25">
        <f t="shared" si="3"/>
        <v>3.780655119</v>
      </c>
    </row>
    <row r="7">
      <c r="A7" s="30">
        <v>42795.0</v>
      </c>
      <c r="B7" s="8">
        <v>62351.0</v>
      </c>
      <c r="C7" s="7">
        <f t="shared" si="1"/>
        <v>18938</v>
      </c>
      <c r="D7" s="8">
        <v>43413.0</v>
      </c>
      <c r="E7" s="7">
        <v>18938.0</v>
      </c>
      <c r="F7" s="7">
        <v>13818.0</v>
      </c>
      <c r="G7" s="10">
        <v>60.16</v>
      </c>
      <c r="H7" s="10">
        <v>60.15</v>
      </c>
      <c r="I7" s="7">
        <v>6980.0</v>
      </c>
      <c r="J7" s="10">
        <v>515.0</v>
      </c>
      <c r="K7" s="7">
        <v>1148.0</v>
      </c>
      <c r="L7" s="7">
        <v>68017.0</v>
      </c>
      <c r="M7" s="10">
        <v>82.0</v>
      </c>
      <c r="N7" s="8">
        <v>11786.0</v>
      </c>
      <c r="O7" s="8">
        <v>79885.0</v>
      </c>
      <c r="P7" s="8">
        <v>9852.0</v>
      </c>
      <c r="Q7" s="7">
        <f t="shared" si="2"/>
        <v>670</v>
      </c>
      <c r="R7" s="8">
        <v>32203.0</v>
      </c>
      <c r="S7" s="8">
        <v>47682.0</v>
      </c>
      <c r="T7" s="8">
        <v>79885.0</v>
      </c>
      <c r="U7" s="15">
        <v>13818.0</v>
      </c>
      <c r="V7" s="9">
        <v>10478.0</v>
      </c>
      <c r="W7" s="9">
        <v>-13494.0</v>
      </c>
      <c r="X7" s="9">
        <v>-6968.0</v>
      </c>
      <c r="Y7" s="8">
        <v>1331.0</v>
      </c>
      <c r="Z7" s="25">
        <f t="shared" si="3"/>
        <v>4.045647378</v>
      </c>
    </row>
    <row r="8">
      <c r="A8" s="30">
        <v>42430.0</v>
      </c>
      <c r="B8" s="8">
        <v>56989.0</v>
      </c>
      <c r="C8" s="7">
        <f t="shared" si="1"/>
        <v>17600</v>
      </c>
      <c r="D8" s="8">
        <v>39389.0</v>
      </c>
      <c r="E8" s="7">
        <v>17600.0</v>
      </c>
      <c r="F8" s="7">
        <v>12693.0</v>
      </c>
      <c r="G8" s="10">
        <v>55.26</v>
      </c>
      <c r="H8" s="10">
        <v>55.26</v>
      </c>
      <c r="I8" s="7">
        <v>5570.0</v>
      </c>
      <c r="J8" s="10">
        <v>485.0</v>
      </c>
      <c r="K8" s="7">
        <v>1148.0</v>
      </c>
      <c r="L8" s="7">
        <v>61082.0</v>
      </c>
      <c r="M8" s="10">
        <v>62.0</v>
      </c>
      <c r="N8" s="8">
        <v>11588.0</v>
      </c>
      <c r="O8" s="8">
        <v>72732.0</v>
      </c>
      <c r="P8" s="8">
        <v>9182.0</v>
      </c>
      <c r="Q8" s="7">
        <f t="shared" si="2"/>
        <v>1066</v>
      </c>
      <c r="R8" s="8">
        <v>26635.0</v>
      </c>
      <c r="S8" s="8">
        <v>46097.0</v>
      </c>
      <c r="T8" s="8">
        <v>72732.0</v>
      </c>
      <c r="U8" s="8">
        <v>12693.0</v>
      </c>
      <c r="V8" s="8">
        <v>9578.0</v>
      </c>
      <c r="W8" s="8">
        <v>-1207.0</v>
      </c>
      <c r="X8" s="8">
        <v>-6908.0</v>
      </c>
      <c r="Y8" s="8">
        <v>1115.0</v>
      </c>
      <c r="Z8" s="25">
        <f t="shared" si="3"/>
        <v>3.977994477</v>
      </c>
    </row>
    <row r="9">
      <c r="A9" s="30">
        <v>42064.0</v>
      </c>
      <c r="B9" s="8">
        <v>50637.0</v>
      </c>
      <c r="C9" s="7">
        <f t="shared" si="1"/>
        <v>16386</v>
      </c>
      <c r="D9" s="8">
        <v>34251.0</v>
      </c>
      <c r="E9" s="7">
        <v>16386.0</v>
      </c>
      <c r="F9" s="7">
        <v>12164.0</v>
      </c>
      <c r="G9" s="10">
        <v>105.91</v>
      </c>
      <c r="H9" s="10">
        <v>105.91</v>
      </c>
      <c r="I9" s="7">
        <v>5111.0</v>
      </c>
      <c r="J9" s="7">
        <v>1190.0</v>
      </c>
      <c r="K9" s="10">
        <v>574.0</v>
      </c>
      <c r="L9" s="7">
        <v>48068.0</v>
      </c>
      <c r="M9" s="10">
        <v>30.0</v>
      </c>
      <c r="N9" s="8">
        <v>13715.0</v>
      </c>
      <c r="O9" s="8">
        <v>61813.0</v>
      </c>
      <c r="P9" s="8">
        <v>8116.0</v>
      </c>
      <c r="Q9" s="7">
        <f t="shared" si="2"/>
        <v>1430</v>
      </c>
      <c r="R9" s="8">
        <v>19061.0</v>
      </c>
      <c r="S9" s="8">
        <v>42752.0</v>
      </c>
      <c r="T9" s="8">
        <v>61813.0</v>
      </c>
      <c r="U9" s="8">
        <v>16798.0</v>
      </c>
      <c r="V9" s="8">
        <v>7955.0</v>
      </c>
      <c r="W9" s="11">
        <v>665.0</v>
      </c>
      <c r="X9" s="8">
        <v>-4961.0</v>
      </c>
      <c r="Y9" s="8">
        <v>913.0</v>
      </c>
      <c r="Z9" s="25">
        <f t="shared" si="3"/>
        <v>3.117170981</v>
      </c>
    </row>
    <row r="10">
      <c r="A10" s="30">
        <v>41699.0</v>
      </c>
      <c r="B10" s="8">
        <v>46917.0</v>
      </c>
      <c r="C10" s="7">
        <f t="shared" si="1"/>
        <v>14002</v>
      </c>
      <c r="D10" s="8">
        <v>32915.0</v>
      </c>
      <c r="E10" s="7">
        <v>14002.0</v>
      </c>
      <c r="F10" s="7">
        <v>10194.0</v>
      </c>
      <c r="G10" s="10">
        <v>178.39</v>
      </c>
      <c r="H10" s="10">
        <v>178.39</v>
      </c>
      <c r="I10" s="7">
        <v>3618.0</v>
      </c>
      <c r="J10" s="7">
        <v>1260.0</v>
      </c>
      <c r="K10" s="10">
        <v>286.0</v>
      </c>
      <c r="L10" s="7">
        <v>42092.0</v>
      </c>
      <c r="M10" s="10">
        <v>364.0</v>
      </c>
      <c r="N10" s="8">
        <v>10256.0</v>
      </c>
      <c r="O10" s="8">
        <v>52712.0</v>
      </c>
      <c r="P10" s="8">
        <v>6686.0</v>
      </c>
      <c r="Q10" s="7">
        <f t="shared" si="2"/>
        <v>1098</v>
      </c>
      <c r="R10" s="8">
        <v>13475.0</v>
      </c>
      <c r="S10" s="8">
        <v>39237.0</v>
      </c>
      <c r="T10" s="8">
        <v>52712.0</v>
      </c>
      <c r="U10" s="8">
        <v>14002.0</v>
      </c>
      <c r="V10" s="8">
        <v>9148.0</v>
      </c>
      <c r="W10" s="8">
        <v>-2307.0</v>
      </c>
      <c r="X10" s="8">
        <v>-3177.0</v>
      </c>
      <c r="Y10" s="8">
        <v>1101.0</v>
      </c>
      <c r="Z10" s="25">
        <f t="shared" si="3"/>
        <v>3.82576053</v>
      </c>
    </row>
    <row r="11">
      <c r="A11" s="30">
        <v>41334.0</v>
      </c>
      <c r="B11" s="8">
        <v>38980.0</v>
      </c>
      <c r="C11" s="7">
        <f t="shared" si="1"/>
        <v>12274</v>
      </c>
      <c r="D11" s="8">
        <v>26706.0</v>
      </c>
      <c r="E11" s="7">
        <v>12274.0</v>
      </c>
      <c r="F11" s="7">
        <v>9116.0</v>
      </c>
      <c r="G11" s="10">
        <v>158.76</v>
      </c>
      <c r="H11" s="10">
        <v>158.76</v>
      </c>
      <c r="I11" s="7">
        <v>2412.0</v>
      </c>
      <c r="J11" s="10">
        <v>840.0</v>
      </c>
      <c r="K11" s="10">
        <v>287.0</v>
      </c>
      <c r="L11" s="7">
        <v>36059.0</v>
      </c>
      <c r="M11" s="10">
        <v>176.0</v>
      </c>
      <c r="N11" s="8">
        <v>6793.0</v>
      </c>
      <c r="O11" s="8">
        <v>43028.0</v>
      </c>
      <c r="P11" s="8">
        <v>5588.0</v>
      </c>
      <c r="Q11" s="7">
        <f t="shared" si="2"/>
        <v>939</v>
      </c>
      <c r="R11" s="8">
        <v>10290.0</v>
      </c>
      <c r="S11" s="8">
        <v>32738.0</v>
      </c>
      <c r="T11" s="8">
        <v>43028.0</v>
      </c>
      <c r="U11" s="8">
        <v>12274.0</v>
      </c>
      <c r="V11" s="8">
        <v>6942.0</v>
      </c>
      <c r="W11" s="8">
        <v>-2824.0</v>
      </c>
      <c r="X11" s="8">
        <v>-3319.0</v>
      </c>
      <c r="Y11" s="8">
        <v>956.0</v>
      </c>
      <c r="Z11" s="25">
        <f t="shared" si="3"/>
        <v>4.819372884</v>
      </c>
    </row>
    <row r="12">
      <c r="A12" s="30">
        <v>40969.0</v>
      </c>
      <c r="B12" s="7">
        <v>33083.0</v>
      </c>
      <c r="C12" s="7">
        <f t="shared" si="1"/>
        <v>11096</v>
      </c>
      <c r="D12" s="7">
        <v>21987.0</v>
      </c>
      <c r="E12" s="7">
        <v>11096.0</v>
      </c>
      <c r="F12" s="7">
        <v>8470.0</v>
      </c>
      <c r="G12" s="10">
        <v>147.51</v>
      </c>
      <c r="H12" s="10">
        <v>147.5</v>
      </c>
      <c r="I12" s="7">
        <v>2699.0</v>
      </c>
      <c r="J12" s="10">
        <v>940.0</v>
      </c>
      <c r="K12" s="11">
        <v>287.0</v>
      </c>
      <c r="L12" s="8">
        <v>29757.0</v>
      </c>
      <c r="M12" s="11">
        <v>0.0</v>
      </c>
      <c r="N12" s="8">
        <v>6058.0</v>
      </c>
      <c r="O12" s="8">
        <v>35815.0</v>
      </c>
      <c r="P12" s="8">
        <v>4649.0</v>
      </c>
      <c r="Q12" s="7">
        <f t="shared" si="2"/>
        <v>344</v>
      </c>
      <c r="R12" s="8">
        <v>6247.0</v>
      </c>
      <c r="S12" s="8">
        <v>29568.0</v>
      </c>
      <c r="T12" s="8">
        <v>35815.0</v>
      </c>
      <c r="U12" s="8">
        <v>11096.0</v>
      </c>
      <c r="V12" s="8">
        <v>5955.0</v>
      </c>
      <c r="W12" s="11">
        <v>565.0</v>
      </c>
      <c r="X12" s="8">
        <v>-2298.0</v>
      </c>
      <c r="Y12" s="8">
        <v>794.0</v>
      </c>
      <c r="Z12" s="25">
        <f t="shared" si="3"/>
        <v>4.880818752</v>
      </c>
    </row>
    <row r="13">
      <c r="A13" s="30">
        <v>40603.0</v>
      </c>
      <c r="B13" s="7">
        <v>26532.0</v>
      </c>
      <c r="C13" s="7">
        <f t="shared" si="1"/>
        <v>8821</v>
      </c>
      <c r="D13" s="7">
        <v>17711.0</v>
      </c>
      <c r="E13" s="7">
        <v>8821.0</v>
      </c>
      <c r="F13" s="7">
        <v>6443.0</v>
      </c>
      <c r="G13" s="10">
        <v>112.26</v>
      </c>
      <c r="H13" s="10">
        <v>122.22</v>
      </c>
      <c r="I13" s="7">
        <v>3445.0</v>
      </c>
      <c r="J13" s="7">
        <v>1200.0</v>
      </c>
      <c r="K13" s="11">
        <v>287.0</v>
      </c>
      <c r="L13" s="8">
        <v>24501.0</v>
      </c>
      <c r="M13" s="11">
        <v>0.0</v>
      </c>
      <c r="N13" s="8">
        <v>4353.0</v>
      </c>
      <c r="O13" s="8">
        <v>28854.0</v>
      </c>
      <c r="P13" s="8">
        <v>4305.0</v>
      </c>
      <c r="Q13" s="7">
        <f t="shared" si="2"/>
        <v>117</v>
      </c>
      <c r="R13" s="8">
        <v>5860.0</v>
      </c>
      <c r="S13" s="8">
        <v>22994.0</v>
      </c>
      <c r="T13" s="8">
        <v>28854.0</v>
      </c>
      <c r="U13" s="7">
        <v>8821.0</v>
      </c>
      <c r="V13" s="8">
        <v>4270.0</v>
      </c>
      <c r="W13" s="8">
        <v>3235.0</v>
      </c>
      <c r="X13" s="8">
        <v>-3642.0</v>
      </c>
      <c r="Y13" s="8">
        <v>740.0</v>
      </c>
      <c r="Z13" s="25">
        <f t="shared" si="3"/>
        <v>5.282334023</v>
      </c>
    </row>
    <row r="14">
      <c r="A14" s="30">
        <v>40238.0</v>
      </c>
      <c r="B14" s="7">
        <v>22107.0</v>
      </c>
      <c r="C14" s="7">
        <f t="shared" si="1"/>
        <v>7520</v>
      </c>
      <c r="D14" s="7">
        <v>14587.0</v>
      </c>
      <c r="E14" s="7">
        <v>7520.0</v>
      </c>
      <c r="F14" s="7">
        <v>5803.0</v>
      </c>
      <c r="G14" s="10">
        <v>101.1</v>
      </c>
      <c r="H14" s="10">
        <v>101.1</v>
      </c>
      <c r="I14" s="7">
        <v>1434.0</v>
      </c>
      <c r="J14" s="10">
        <v>500.0</v>
      </c>
      <c r="K14" s="11">
        <v>287.0</v>
      </c>
      <c r="L14" s="8">
        <v>22036.0</v>
      </c>
      <c r="M14" s="11">
        <v>232.0</v>
      </c>
      <c r="N14" s="8">
        <v>3798.0</v>
      </c>
      <c r="O14" s="8">
        <v>26066.0</v>
      </c>
      <c r="P14" s="8">
        <v>4188.0</v>
      </c>
      <c r="Q14" s="7">
        <f t="shared" si="2"/>
        <v>-226</v>
      </c>
      <c r="R14" s="8">
        <v>9137.0</v>
      </c>
      <c r="S14" s="8">
        <v>16929.0</v>
      </c>
      <c r="T14" s="8">
        <v>26066.0</v>
      </c>
      <c r="U14" s="7">
        <v>7472.0</v>
      </c>
      <c r="V14" s="8">
        <v>5876.0</v>
      </c>
      <c r="W14" s="8">
        <v>-3314.0</v>
      </c>
      <c r="X14" s="8">
        <v>-1486.0</v>
      </c>
      <c r="Y14" s="8">
        <v>807.0</v>
      </c>
      <c r="Z14" s="25">
        <f t="shared" si="3"/>
        <v>4.457345972</v>
      </c>
    </row>
    <row r="15">
      <c r="A15" s="30">
        <v>39873.0</v>
      </c>
      <c r="B15" s="7">
        <v>20766.0</v>
      </c>
      <c r="C15" s="7">
        <f t="shared" si="1"/>
        <v>6714</v>
      </c>
      <c r="D15" s="7">
        <v>14052.0</v>
      </c>
      <c r="E15" s="7">
        <v>6714.0</v>
      </c>
      <c r="F15" s="7">
        <v>5818.0</v>
      </c>
      <c r="G15" s="10">
        <v>101.71</v>
      </c>
      <c r="H15" s="10">
        <v>101.71</v>
      </c>
      <c r="I15" s="7">
        <v>1345.0</v>
      </c>
      <c r="J15" s="10">
        <v>470.0</v>
      </c>
      <c r="K15" s="11">
        <v>286.0</v>
      </c>
      <c r="L15" s="8">
        <v>17809.0</v>
      </c>
      <c r="M15" s="11">
        <v>37.0</v>
      </c>
      <c r="N15" s="8">
        <v>3305.0</v>
      </c>
      <c r="O15" s="8">
        <v>21151.0</v>
      </c>
      <c r="P15" s="8">
        <v>4414.0</v>
      </c>
      <c r="Q15" s="7">
        <f t="shared" si="2"/>
        <v>483</v>
      </c>
      <c r="R15" s="8">
        <v>5558.0</v>
      </c>
      <c r="S15" s="8">
        <v>15593.0</v>
      </c>
      <c r="T15" s="8">
        <v>21151.0</v>
      </c>
      <c r="U15" s="7">
        <v>6714.0</v>
      </c>
      <c r="V15" s="8">
        <v>5152.0</v>
      </c>
      <c r="W15" s="11">
        <v>-195.0</v>
      </c>
      <c r="X15" s="8">
        <v>-2430.0</v>
      </c>
      <c r="Y15" s="8">
        <v>694.0</v>
      </c>
      <c r="Z15" s="25">
        <f t="shared" si="3"/>
        <v>4.718003026</v>
      </c>
    </row>
    <row r="16">
      <c r="A16" s="30">
        <v>39508.0</v>
      </c>
      <c r="B16" s="7">
        <v>16331.0</v>
      </c>
      <c r="C16" s="7">
        <f t="shared" si="1"/>
        <v>5100</v>
      </c>
      <c r="D16" s="7">
        <v>11231.0</v>
      </c>
      <c r="E16" s="7">
        <v>5100.0</v>
      </c>
      <c r="F16" s="7">
        <v>4470.0</v>
      </c>
      <c r="G16" s="10">
        <v>78.15</v>
      </c>
      <c r="H16" s="10">
        <v>78.15</v>
      </c>
      <c r="I16" s="7">
        <v>1902.0</v>
      </c>
      <c r="J16" s="10">
        <v>665.0</v>
      </c>
      <c r="K16" s="11">
        <v>286.0</v>
      </c>
      <c r="L16" s="8">
        <v>13490.0</v>
      </c>
      <c r="M16" s="11">
        <v>0.0</v>
      </c>
      <c r="N16" s="8">
        <v>3731.0</v>
      </c>
      <c r="O16" s="8">
        <v>17221.0</v>
      </c>
      <c r="P16" s="8">
        <v>3931.0</v>
      </c>
      <c r="Q16" s="7">
        <f t="shared" si="2"/>
        <v>824</v>
      </c>
      <c r="R16" s="8">
        <v>4994.0</v>
      </c>
      <c r="S16" s="8">
        <v>12227.0</v>
      </c>
      <c r="T16" s="8">
        <v>17221.0</v>
      </c>
      <c r="U16" s="7">
        <v>5100.0</v>
      </c>
      <c r="V16" s="8">
        <v>3816.0</v>
      </c>
      <c r="W16" s="11">
        <v>-978.0</v>
      </c>
      <c r="X16" s="11">
        <v>-777.0</v>
      </c>
      <c r="Y16" s="11">
        <v>546.0</v>
      </c>
      <c r="Z16" s="25">
        <f t="shared" si="3"/>
        <v>3.277137497</v>
      </c>
    </row>
    <row r="17">
      <c r="A17" s="30">
        <v>39142.0</v>
      </c>
      <c r="B17" s="7">
        <v>13528.0</v>
      </c>
      <c r="C17" s="7">
        <f t="shared" si="1"/>
        <v>4135</v>
      </c>
      <c r="D17" s="7">
        <v>9393.0</v>
      </c>
      <c r="E17" s="7">
        <v>4135.0</v>
      </c>
      <c r="F17" s="7">
        <v>3778.0</v>
      </c>
      <c r="G17" s="11">
        <v>66.05</v>
      </c>
      <c r="H17" s="11">
        <v>66.05</v>
      </c>
      <c r="I17" s="10">
        <v>649.0</v>
      </c>
      <c r="J17" s="10">
        <v>230.0</v>
      </c>
      <c r="K17" s="11">
        <v>286.0</v>
      </c>
      <c r="L17" s="8">
        <v>11162.0</v>
      </c>
      <c r="M17" s="11">
        <v>0.0</v>
      </c>
      <c r="N17" s="8">
        <v>1824.0</v>
      </c>
      <c r="O17" s="8">
        <v>12986.0</v>
      </c>
      <c r="P17" s="8">
        <v>3107.0</v>
      </c>
      <c r="Q17" s="7">
        <f t="shared" si="2"/>
        <v>974</v>
      </c>
      <c r="R17" s="8">
        <v>4025.0</v>
      </c>
      <c r="S17" s="8">
        <v>8961.0</v>
      </c>
      <c r="T17" s="8">
        <v>12986.0</v>
      </c>
      <c r="U17" s="7">
        <v>4129.0</v>
      </c>
      <c r="V17" s="8">
        <v>3256.0</v>
      </c>
      <c r="W17" s="8">
        <v>-1065.0</v>
      </c>
      <c r="X17" s="11">
        <v>-316.0</v>
      </c>
      <c r="Y17" s="11">
        <v>469.0</v>
      </c>
      <c r="Z17" s="25">
        <f t="shared" si="3"/>
        <v>4.912828947</v>
      </c>
    </row>
    <row r="18">
      <c r="A18" s="30">
        <v>38777.0</v>
      </c>
      <c r="B18" s="7">
        <v>9172.0</v>
      </c>
      <c r="C18" s="7">
        <f t="shared" si="1"/>
        <v>2724</v>
      </c>
      <c r="D18" s="7">
        <v>6448.0</v>
      </c>
      <c r="E18" s="7">
        <v>2724.0</v>
      </c>
      <c r="F18" s="7">
        <v>2421.0</v>
      </c>
      <c r="G18" s="11">
        <v>87.72</v>
      </c>
      <c r="H18" s="11">
        <v>87.72</v>
      </c>
      <c r="I18" s="7">
        <v>1238.0</v>
      </c>
      <c r="J18" s="10">
        <v>900.0</v>
      </c>
      <c r="K18" s="11">
        <v>138.0</v>
      </c>
      <c r="L18" s="8">
        <v>6897.0</v>
      </c>
      <c r="M18" s="11">
        <v>0.0</v>
      </c>
      <c r="N18" s="8">
        <v>2217.0</v>
      </c>
      <c r="O18" s="8">
        <v>9114.0</v>
      </c>
      <c r="P18" s="8">
        <v>2133.0</v>
      </c>
      <c r="Q18" s="7">
        <f t="shared" si="2"/>
        <v>638.58</v>
      </c>
      <c r="R18" s="8">
        <v>3065.0</v>
      </c>
      <c r="S18" s="8">
        <v>6049.0</v>
      </c>
      <c r="T18" s="8">
        <v>9114.0</v>
      </c>
      <c r="U18" s="8">
        <v>2724.0</v>
      </c>
      <c r="V18" s="8">
        <v>2237.0</v>
      </c>
      <c r="W18" s="11">
        <v>-392.0</v>
      </c>
      <c r="X18" s="10">
        <v>244.0</v>
      </c>
      <c r="Y18" s="11">
        <v>409.0</v>
      </c>
      <c r="Z18" s="25">
        <f t="shared" si="3"/>
        <v>2.728461885</v>
      </c>
    </row>
    <row r="19">
      <c r="A19" s="30">
        <v>38412.0</v>
      </c>
      <c r="B19" s="7">
        <v>6987.26</v>
      </c>
      <c r="C19" s="7">
        <f t="shared" si="1"/>
        <v>2184.49</v>
      </c>
      <c r="D19" s="7">
        <v>4802.77</v>
      </c>
      <c r="E19" s="7">
        <v>2184.49</v>
      </c>
      <c r="F19" s="7">
        <v>1899.79</v>
      </c>
      <c r="G19" s="11">
        <v>70.21</v>
      </c>
      <c r="H19" s="11">
        <v>70.21</v>
      </c>
      <c r="I19" s="10">
        <v>309.8</v>
      </c>
      <c r="J19" s="10">
        <v>230.0</v>
      </c>
      <c r="K19" s="11">
        <v>135.29</v>
      </c>
      <c r="L19" s="8">
        <v>5241.73</v>
      </c>
      <c r="M19" s="11">
        <v>0.0</v>
      </c>
      <c r="N19" s="8">
        <v>1346.04</v>
      </c>
      <c r="O19" s="8">
        <v>6587.77</v>
      </c>
      <c r="P19" s="8">
        <v>1494.42</v>
      </c>
      <c r="Q19" s="7">
        <f t="shared" si="2"/>
        <v>524.12</v>
      </c>
      <c r="R19" s="8">
        <v>2857.15</v>
      </c>
      <c r="S19" s="8">
        <v>3730.62</v>
      </c>
      <c r="T19" s="8">
        <v>6587.77</v>
      </c>
      <c r="U19" s="8">
        <v>2184.49</v>
      </c>
      <c r="V19" s="8">
        <v>1359.7</v>
      </c>
      <c r="W19" s="11">
        <v>-939.88</v>
      </c>
      <c r="X19" s="10">
        <v>-580.1</v>
      </c>
      <c r="Y19" s="11">
        <v>268.22</v>
      </c>
      <c r="Z19" s="25">
        <f t="shared" si="3"/>
        <v>2.771552108</v>
      </c>
    </row>
    <row r="20">
      <c r="A20" s="30">
        <v>38047.0</v>
      </c>
      <c r="B20" s="7">
        <v>4878.61</v>
      </c>
      <c r="C20" s="7">
        <f t="shared" si="1"/>
        <v>1470.47</v>
      </c>
      <c r="D20" s="7">
        <v>3408.14</v>
      </c>
      <c r="E20" s="7">
        <v>1470.47</v>
      </c>
      <c r="F20" s="7">
        <v>1243.47</v>
      </c>
      <c r="G20" s="11">
        <v>186.6</v>
      </c>
      <c r="H20" s="11">
        <v>186.6</v>
      </c>
      <c r="I20" s="10">
        <v>862.46</v>
      </c>
      <c r="J20" s="7">
        <v>2590.0</v>
      </c>
      <c r="K20" s="11">
        <v>33.32</v>
      </c>
      <c r="L20" s="8">
        <v>3253.43</v>
      </c>
      <c r="M20" s="11">
        <v>0.0</v>
      </c>
      <c r="N20" s="8">
        <v>1883.52</v>
      </c>
      <c r="O20" s="8">
        <v>5136.95</v>
      </c>
      <c r="P20" s="11">
        <v>970.3</v>
      </c>
      <c r="Q20" s="7" t="s">
        <v>16</v>
      </c>
      <c r="R20" s="8">
        <v>2033.31</v>
      </c>
      <c r="S20" s="8">
        <v>3103.64</v>
      </c>
      <c r="T20" s="8">
        <v>5136.95</v>
      </c>
      <c r="U20" s="8">
        <v>1470.47</v>
      </c>
      <c r="V20" s="8">
        <v>1633.97</v>
      </c>
      <c r="W20" s="8">
        <v>-1332.01</v>
      </c>
      <c r="X20" s="10">
        <v>-94.48</v>
      </c>
      <c r="Y20" s="11">
        <v>230.9</v>
      </c>
      <c r="Z20" s="25">
        <f t="shared" si="3"/>
        <v>1.647787122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5.0"/>
    <col customWidth="1" min="21" max="21" width="20.63"/>
  </cols>
  <sheetData>
    <row r="1">
      <c r="A1" s="28" t="s">
        <v>113</v>
      </c>
      <c r="B1" s="31">
        <v>44621.0</v>
      </c>
      <c r="C1" s="31">
        <v>44256.0</v>
      </c>
      <c r="D1" s="31">
        <v>43891.0</v>
      </c>
      <c r="E1" s="31">
        <v>43525.0</v>
      </c>
      <c r="F1" s="31">
        <v>43160.0</v>
      </c>
      <c r="G1" s="31">
        <v>42795.0</v>
      </c>
      <c r="H1" s="31">
        <v>42430.0</v>
      </c>
      <c r="I1" s="31">
        <v>42064.0</v>
      </c>
      <c r="J1" s="31">
        <v>41699.0</v>
      </c>
      <c r="K1" s="31">
        <v>41334.0</v>
      </c>
      <c r="L1" s="31">
        <v>40969.0</v>
      </c>
      <c r="M1" s="31">
        <v>40603.0</v>
      </c>
      <c r="N1" s="31">
        <v>40238.0</v>
      </c>
      <c r="O1" s="31">
        <v>39873.0</v>
      </c>
      <c r="P1" s="31">
        <v>39508.0</v>
      </c>
      <c r="Q1" s="31">
        <v>39142.0</v>
      </c>
      <c r="R1" s="31">
        <v>38777.0</v>
      </c>
      <c r="S1" s="31">
        <v>38412.0</v>
      </c>
      <c r="T1" s="31">
        <v>38047.0</v>
      </c>
    </row>
    <row r="2">
      <c r="A2" s="10" t="s">
        <v>114</v>
      </c>
      <c r="B2" s="32">
        <v>167827.0</v>
      </c>
      <c r="C2" s="32">
        <v>141363.0</v>
      </c>
      <c r="D2" s="32">
        <v>139388.0</v>
      </c>
      <c r="E2" s="32">
        <v>130797.0</v>
      </c>
      <c r="F2" s="32">
        <v>103159.0</v>
      </c>
      <c r="G2" s="32">
        <v>97261.0</v>
      </c>
      <c r="H2" s="32">
        <v>89621.0</v>
      </c>
      <c r="I2" s="32">
        <v>78044.79</v>
      </c>
      <c r="J2" s="32">
        <v>67787.64</v>
      </c>
      <c r="K2" s="32">
        <v>50656.53</v>
      </c>
      <c r="L2" s="32">
        <v>41543.72</v>
      </c>
      <c r="M2" s="32">
        <v>29770.14</v>
      </c>
      <c r="N2" s="32">
        <v>23226.55</v>
      </c>
      <c r="O2" s="32">
        <v>21945.68</v>
      </c>
      <c r="P2" s="32">
        <v>18974.17</v>
      </c>
      <c r="Q2" s="32">
        <v>15156.01</v>
      </c>
      <c r="R2" s="32">
        <v>11229.31</v>
      </c>
      <c r="S2" s="32">
        <v>8094.92</v>
      </c>
      <c r="T2" s="32">
        <v>17.74</v>
      </c>
    </row>
    <row r="3">
      <c r="A3" s="10" t="s">
        <v>115</v>
      </c>
      <c r="B3" s="7">
        <f t="shared" ref="B3:T3" si="1">B$2-B$4</f>
        <v>49723</v>
      </c>
      <c r="C3" s="7">
        <f t="shared" si="1"/>
        <v>42120</v>
      </c>
      <c r="D3" s="7">
        <f t="shared" si="1"/>
        <v>41991</v>
      </c>
      <c r="E3" s="7">
        <f t="shared" si="1"/>
        <v>40705</v>
      </c>
      <c r="F3" s="7">
        <f t="shared" si="1"/>
        <v>31931</v>
      </c>
      <c r="G3" s="7">
        <f t="shared" si="1"/>
        <v>30066</v>
      </c>
      <c r="H3" s="7">
        <f t="shared" si="1"/>
        <v>29339</v>
      </c>
      <c r="I3" s="7">
        <f t="shared" si="1"/>
        <v>24021.59</v>
      </c>
      <c r="J3" s="7">
        <f t="shared" si="1"/>
        <v>23544.47</v>
      </c>
      <c r="K3" s="7">
        <f t="shared" si="1"/>
        <v>15703.18</v>
      </c>
      <c r="L3" s="7">
        <f t="shared" si="1"/>
        <v>13366.33</v>
      </c>
      <c r="M3" s="7">
        <f t="shared" si="1"/>
        <v>8700.43</v>
      </c>
      <c r="N3" s="7">
        <f t="shared" si="1"/>
        <v>6370.38</v>
      </c>
      <c r="O3" s="7">
        <f t="shared" si="1"/>
        <v>5139.69</v>
      </c>
      <c r="P3" s="7">
        <f t="shared" si="1"/>
        <v>5003.86</v>
      </c>
      <c r="Q3" s="7">
        <f t="shared" si="1"/>
        <v>4170.68</v>
      </c>
      <c r="R3" s="7">
        <f t="shared" si="1"/>
        <v>3074.35</v>
      </c>
      <c r="S3" s="7">
        <f t="shared" si="1"/>
        <v>2308.65</v>
      </c>
      <c r="T3" s="7">
        <f t="shared" si="1"/>
        <v>16.67</v>
      </c>
    </row>
    <row r="4">
      <c r="A4" s="10" t="s">
        <v>2</v>
      </c>
      <c r="B4" s="32">
        <v>118104.0</v>
      </c>
      <c r="C4" s="32">
        <v>99243.0</v>
      </c>
      <c r="D4" s="32">
        <v>97397.0</v>
      </c>
      <c r="E4" s="32">
        <v>90092.0</v>
      </c>
      <c r="F4" s="32">
        <v>71228.0</v>
      </c>
      <c r="G4" s="32">
        <v>67195.0</v>
      </c>
      <c r="H4" s="32">
        <v>60282.0</v>
      </c>
      <c r="I4" s="32">
        <v>54023.2</v>
      </c>
      <c r="J4" s="32">
        <v>44243.17</v>
      </c>
      <c r="K4" s="32">
        <v>34953.35</v>
      </c>
      <c r="L4" s="32">
        <v>28177.39</v>
      </c>
      <c r="M4" s="32">
        <v>21069.71</v>
      </c>
      <c r="N4" s="32">
        <v>16856.17</v>
      </c>
      <c r="O4" s="32">
        <v>16805.99</v>
      </c>
      <c r="P4" s="32">
        <v>13970.31</v>
      </c>
      <c r="Q4" s="32">
        <v>10985.33</v>
      </c>
      <c r="R4" s="32">
        <v>8154.96</v>
      </c>
      <c r="S4" s="32">
        <v>5786.27</v>
      </c>
      <c r="T4" s="32">
        <v>1.07</v>
      </c>
    </row>
    <row r="5">
      <c r="A5" s="10" t="s">
        <v>3</v>
      </c>
      <c r="B5" s="32">
        <v>49723.0</v>
      </c>
      <c r="C5" s="32">
        <v>42120.0</v>
      </c>
      <c r="D5" s="32">
        <v>41991.0</v>
      </c>
      <c r="E5" s="32">
        <v>40705.0</v>
      </c>
      <c r="F5" s="32">
        <v>31931.0</v>
      </c>
      <c r="G5" s="32">
        <v>30066.0</v>
      </c>
      <c r="H5" s="32">
        <v>29339.0</v>
      </c>
      <c r="I5" s="32">
        <v>24021.59</v>
      </c>
      <c r="J5" s="32">
        <v>23544.47</v>
      </c>
      <c r="K5" s="32">
        <v>15703.18</v>
      </c>
      <c r="L5" s="32">
        <v>13366.33</v>
      </c>
      <c r="M5" s="32">
        <v>8700.43</v>
      </c>
      <c r="N5" s="32">
        <v>6370.38</v>
      </c>
      <c r="O5" s="32">
        <v>5139.69</v>
      </c>
      <c r="P5" s="32">
        <v>5003.86</v>
      </c>
      <c r="Q5" s="32">
        <v>4170.68</v>
      </c>
      <c r="R5" s="32">
        <v>3074.35</v>
      </c>
      <c r="S5" s="32">
        <v>2308.65</v>
      </c>
      <c r="T5" s="32">
        <v>16.67</v>
      </c>
    </row>
    <row r="6">
      <c r="A6" s="10" t="s">
        <v>4</v>
      </c>
      <c r="B6" s="32">
        <v>38187.0</v>
      </c>
      <c r="C6" s="32">
        <v>30960.0</v>
      </c>
      <c r="D6" s="32">
        <v>33260.0</v>
      </c>
      <c r="E6" s="32">
        <v>30065.0</v>
      </c>
      <c r="F6" s="32">
        <v>25241.0</v>
      </c>
      <c r="G6" s="32">
        <v>23653.0</v>
      </c>
      <c r="H6" s="32">
        <v>23075.0</v>
      </c>
      <c r="I6" s="32">
        <v>19256.96</v>
      </c>
      <c r="J6" s="32">
        <v>18474.92</v>
      </c>
      <c r="K6" s="32">
        <v>12786.34</v>
      </c>
      <c r="L6" s="32">
        <v>10975.98</v>
      </c>
      <c r="M6" s="32">
        <v>7569.99</v>
      </c>
      <c r="N6" s="32">
        <v>5618.51</v>
      </c>
      <c r="O6" s="32">
        <v>4696.21</v>
      </c>
      <c r="P6" s="32">
        <v>4508.76</v>
      </c>
      <c r="Q6" s="32">
        <v>3757.29</v>
      </c>
      <c r="R6" s="32">
        <v>2716.87</v>
      </c>
      <c r="S6" s="32">
        <v>1831.42</v>
      </c>
      <c r="T6" s="32">
        <v>15.18</v>
      </c>
    </row>
    <row r="7">
      <c r="A7" s="10" t="s">
        <v>5</v>
      </c>
      <c r="B7" s="33">
        <v>103.24</v>
      </c>
      <c r="C7" s="33">
        <v>82.78</v>
      </c>
      <c r="D7" s="33">
        <v>88.64</v>
      </c>
      <c r="E7" s="33">
        <v>79.34</v>
      </c>
      <c r="F7" s="33">
        <v>131.15</v>
      </c>
      <c r="G7" s="33">
        <v>120.04</v>
      </c>
      <c r="H7" s="33">
        <v>117.11</v>
      </c>
      <c r="I7" s="33">
        <v>98.31</v>
      </c>
      <c r="J7" s="33">
        <v>94.15</v>
      </c>
      <c r="K7" s="33">
        <v>65.22</v>
      </c>
      <c r="L7" s="33">
        <v>55.95</v>
      </c>
      <c r="M7" s="33">
        <v>38.61</v>
      </c>
      <c r="N7" s="33">
        <v>28.71</v>
      </c>
      <c r="O7" s="33">
        <v>47.99</v>
      </c>
      <c r="P7" s="33">
        <v>46.07</v>
      </c>
      <c r="Q7" s="33">
        <v>38.39</v>
      </c>
      <c r="R7" s="33">
        <v>55.53</v>
      </c>
      <c r="S7" s="33">
        <v>38.15</v>
      </c>
      <c r="T7" s="33">
        <v>4.17</v>
      </c>
    </row>
    <row r="8">
      <c r="A8" s="10" t="s">
        <v>6</v>
      </c>
      <c r="B8" s="33">
        <v>103.24</v>
      </c>
      <c r="C8" s="33">
        <v>82.78</v>
      </c>
      <c r="D8" s="33">
        <v>88.64</v>
      </c>
      <c r="E8" s="33">
        <v>79.34</v>
      </c>
      <c r="F8" s="33">
        <v>131.15</v>
      </c>
      <c r="G8" s="33">
        <v>120.04</v>
      </c>
      <c r="H8" s="33">
        <v>117.11</v>
      </c>
      <c r="I8" s="33">
        <v>98.31</v>
      </c>
      <c r="J8" s="33">
        <v>94.15</v>
      </c>
      <c r="K8" s="33">
        <v>65.22</v>
      </c>
      <c r="L8" s="33">
        <v>55.95</v>
      </c>
      <c r="M8" s="33">
        <v>38.61</v>
      </c>
      <c r="N8" s="33">
        <v>28.71</v>
      </c>
      <c r="O8" s="33">
        <v>47.99</v>
      </c>
      <c r="P8" s="33">
        <v>46.07</v>
      </c>
      <c r="Q8" s="33">
        <v>38.39</v>
      </c>
      <c r="R8" s="33">
        <v>55.53</v>
      </c>
      <c r="S8" s="33">
        <v>38.15</v>
      </c>
      <c r="T8" s="33">
        <v>4.17</v>
      </c>
    </row>
    <row r="9">
      <c r="A9" s="34" t="s">
        <v>9</v>
      </c>
      <c r="B9" s="32">
        <v>366.0</v>
      </c>
      <c r="C9" s="32">
        <v>370.0</v>
      </c>
      <c r="D9" s="32">
        <v>375.0</v>
      </c>
      <c r="E9" s="32">
        <v>375.0</v>
      </c>
      <c r="F9" s="32">
        <v>191.0</v>
      </c>
      <c r="G9" s="32">
        <v>197.0</v>
      </c>
      <c r="H9" s="32">
        <v>197.0</v>
      </c>
      <c r="I9" s="35">
        <v>195.87</v>
      </c>
      <c r="J9" s="35">
        <v>195.87</v>
      </c>
      <c r="K9" s="35">
        <v>295.72</v>
      </c>
      <c r="L9" s="35">
        <v>295.72</v>
      </c>
      <c r="M9" s="35">
        <v>295.72</v>
      </c>
      <c r="N9" s="35">
        <v>295.72</v>
      </c>
      <c r="O9" s="35">
        <v>197.86</v>
      </c>
      <c r="P9" s="35">
        <v>197.86</v>
      </c>
      <c r="Q9" s="35">
        <v>97.86</v>
      </c>
      <c r="R9" s="35">
        <v>48.93</v>
      </c>
      <c r="S9" s="35">
        <v>48.01</v>
      </c>
      <c r="T9" s="35">
        <v>36.44</v>
      </c>
    </row>
    <row r="10">
      <c r="A10" s="34" t="s">
        <v>10</v>
      </c>
      <c r="B10" s="32">
        <v>77173.0</v>
      </c>
      <c r="C10" s="32">
        <v>74794.0</v>
      </c>
      <c r="D10" s="32">
        <v>74368.0</v>
      </c>
      <c r="E10" s="32">
        <v>78898.0</v>
      </c>
      <c r="F10" s="32">
        <v>75866.0</v>
      </c>
      <c r="G10" s="32">
        <v>78022.0</v>
      </c>
      <c r="H10" s="32">
        <v>65013.0</v>
      </c>
      <c r="I10" s="32">
        <v>45416.44</v>
      </c>
      <c r="J10" s="32">
        <v>44051.88</v>
      </c>
      <c r="K10" s="32">
        <v>32562.25</v>
      </c>
      <c r="L10" s="32">
        <v>24856.63</v>
      </c>
      <c r="M10" s="32">
        <v>19579.49</v>
      </c>
      <c r="N10" s="32">
        <v>15116.62</v>
      </c>
      <c r="O10" s="32">
        <v>13446.25</v>
      </c>
      <c r="P10" s="32">
        <v>11004.81</v>
      </c>
      <c r="Q10" s="32">
        <v>8058.99</v>
      </c>
      <c r="R10" s="32">
        <v>5609.33</v>
      </c>
      <c r="S10" s="32">
        <v>3321.05</v>
      </c>
      <c r="T10" s="32">
        <v>47.08</v>
      </c>
    </row>
    <row r="11">
      <c r="A11" s="10" t="s">
        <v>11</v>
      </c>
      <c r="B11" s="32">
        <v>6189.0</v>
      </c>
      <c r="C11" s="32">
        <v>6062.0</v>
      </c>
      <c r="D11" s="32">
        <v>6581.0</v>
      </c>
      <c r="E11" s="32">
        <v>1706.0</v>
      </c>
      <c r="F11" s="32">
        <v>1132.0</v>
      </c>
      <c r="G11" s="32">
        <v>1035.0</v>
      </c>
      <c r="H11" s="32">
        <v>1095.0</v>
      </c>
      <c r="I11" s="32">
        <v>1185.23</v>
      </c>
      <c r="J11" s="32">
        <v>1286.61</v>
      </c>
      <c r="K11" s="35">
        <v>772.98</v>
      </c>
      <c r="L11" s="35">
        <v>566.7</v>
      </c>
      <c r="M11" s="35">
        <v>311.73</v>
      </c>
      <c r="N11" s="35">
        <v>75.84</v>
      </c>
      <c r="O11" s="35">
        <v>141.97</v>
      </c>
      <c r="P11" s="35">
        <v>130.36</v>
      </c>
      <c r="Q11" s="35">
        <v>69.59</v>
      </c>
      <c r="R11" s="35">
        <v>76.32</v>
      </c>
      <c r="S11" s="35">
        <v>78.88</v>
      </c>
      <c r="T11" s="35">
        <v>0.98</v>
      </c>
    </row>
    <row r="12">
      <c r="A12" s="10" t="s">
        <v>12</v>
      </c>
      <c r="B12" s="32">
        <v>37901.0</v>
      </c>
      <c r="C12" s="32">
        <v>28525.0</v>
      </c>
      <c r="D12" s="32">
        <v>24026.0</v>
      </c>
      <c r="E12" s="32">
        <v>18896.0</v>
      </c>
      <c r="F12" s="32">
        <v>14058.0</v>
      </c>
      <c r="G12" s="32">
        <v>10701.0</v>
      </c>
      <c r="H12" s="32">
        <v>11309.0</v>
      </c>
      <c r="I12" s="32">
        <v>16463.63</v>
      </c>
      <c r="J12" s="32">
        <v>12265.7</v>
      </c>
      <c r="K12" s="32">
        <v>9676.91</v>
      </c>
      <c r="L12" s="32">
        <v>8835.48</v>
      </c>
      <c r="M12" s="32">
        <v>6151.59</v>
      </c>
      <c r="N12" s="32">
        <v>7239.25</v>
      </c>
      <c r="O12" s="32">
        <v>4952.81</v>
      </c>
      <c r="P12" s="32">
        <v>3600.89</v>
      </c>
      <c r="Q12" s="32">
        <v>2636.66</v>
      </c>
      <c r="R12" s="32">
        <v>1738.96</v>
      </c>
      <c r="S12" s="32">
        <v>1352.87</v>
      </c>
      <c r="T12" s="32">
        <v>607.15</v>
      </c>
    </row>
    <row r="13">
      <c r="A13" s="10" t="s">
        <v>13</v>
      </c>
      <c r="B13" s="32">
        <v>121263.0</v>
      </c>
      <c r="C13" s="32">
        <v>109381.0</v>
      </c>
      <c r="D13" s="32">
        <v>104975.0</v>
      </c>
      <c r="E13" s="32">
        <v>99500.0</v>
      </c>
      <c r="F13" s="32">
        <v>91056.0</v>
      </c>
      <c r="G13" s="32">
        <v>89758.0</v>
      </c>
      <c r="H13" s="32">
        <v>77417.0</v>
      </c>
      <c r="I13" s="32">
        <v>63065.3</v>
      </c>
      <c r="J13" s="32">
        <v>57604.19</v>
      </c>
      <c r="K13" s="32">
        <v>43012.14</v>
      </c>
      <c r="L13" s="32">
        <v>34258.81</v>
      </c>
      <c r="M13" s="32">
        <v>26042.81</v>
      </c>
      <c r="N13" s="32">
        <v>22431.71</v>
      </c>
      <c r="O13" s="32">
        <v>18541.03</v>
      </c>
      <c r="P13" s="32">
        <v>14736.06</v>
      </c>
      <c r="Q13" s="32">
        <v>10765.24</v>
      </c>
      <c r="R13" s="32">
        <v>7424.61</v>
      </c>
      <c r="S13" s="32">
        <v>4752.8</v>
      </c>
      <c r="T13" s="32">
        <v>655.21</v>
      </c>
    </row>
    <row r="14">
      <c r="A14" s="10" t="s">
        <v>14</v>
      </c>
      <c r="B14" s="32">
        <v>17670.0</v>
      </c>
      <c r="C14" s="32">
        <v>16920.0</v>
      </c>
      <c r="D14" s="32">
        <v>16903.0</v>
      </c>
      <c r="E14" s="32">
        <v>10495.0</v>
      </c>
      <c r="F14" s="32">
        <v>10678.0</v>
      </c>
      <c r="G14" s="32">
        <v>10708.0</v>
      </c>
      <c r="H14" s="32">
        <v>10720.0</v>
      </c>
      <c r="I14" s="32">
        <v>10703.23</v>
      </c>
      <c r="J14" s="32">
        <v>8976.72</v>
      </c>
      <c r="K14" s="32">
        <v>6868.13</v>
      </c>
      <c r="L14" s="32">
        <v>5463.44</v>
      </c>
      <c r="M14" s="32">
        <v>4495.04</v>
      </c>
      <c r="N14" s="32">
        <v>3701.24</v>
      </c>
      <c r="O14" s="32">
        <v>3354.21</v>
      </c>
      <c r="P14" s="32">
        <v>2830.27</v>
      </c>
      <c r="Q14" s="32">
        <v>2218.46</v>
      </c>
      <c r="R14" s="32">
        <v>1449.78</v>
      </c>
      <c r="S14" s="32">
        <v>1028.44</v>
      </c>
      <c r="T14" s="35">
        <v>225.55</v>
      </c>
    </row>
    <row r="15">
      <c r="A15" s="10" t="s">
        <v>15</v>
      </c>
      <c r="B15" s="7">
        <f t="shared" ref="B15:S15" si="2">B14-C14</f>
        <v>750</v>
      </c>
      <c r="C15" s="7">
        <f t="shared" si="2"/>
        <v>17</v>
      </c>
      <c r="D15" s="7">
        <f t="shared" si="2"/>
        <v>6408</v>
      </c>
      <c r="E15" s="7">
        <f t="shared" si="2"/>
        <v>-183</v>
      </c>
      <c r="F15" s="7">
        <f t="shared" si="2"/>
        <v>-30</v>
      </c>
      <c r="G15" s="7">
        <f t="shared" si="2"/>
        <v>-12</v>
      </c>
      <c r="H15" s="7">
        <f t="shared" si="2"/>
        <v>16.77</v>
      </c>
      <c r="I15" s="7">
        <f t="shared" si="2"/>
        <v>1726.51</v>
      </c>
      <c r="J15" s="7">
        <f t="shared" si="2"/>
        <v>2108.59</v>
      </c>
      <c r="K15" s="7">
        <f t="shared" si="2"/>
        <v>1404.69</v>
      </c>
      <c r="L15" s="7">
        <f t="shared" si="2"/>
        <v>968.4</v>
      </c>
      <c r="M15" s="7">
        <f t="shared" si="2"/>
        <v>793.8</v>
      </c>
      <c r="N15" s="7">
        <f t="shared" si="2"/>
        <v>347.03</v>
      </c>
      <c r="O15" s="7">
        <f t="shared" si="2"/>
        <v>523.94</v>
      </c>
      <c r="P15" s="7">
        <f t="shared" si="2"/>
        <v>611.81</v>
      </c>
      <c r="Q15" s="7">
        <f t="shared" si="2"/>
        <v>768.68</v>
      </c>
      <c r="R15" s="7">
        <f t="shared" si="2"/>
        <v>421.34</v>
      </c>
      <c r="S15" s="7">
        <f t="shared" si="2"/>
        <v>802.89</v>
      </c>
      <c r="T15" s="7" t="s">
        <v>16</v>
      </c>
    </row>
    <row r="16">
      <c r="A16" s="10" t="s">
        <v>17</v>
      </c>
      <c r="B16" s="32">
        <v>27071.0</v>
      </c>
      <c r="C16" s="32">
        <v>26221.0</v>
      </c>
      <c r="D16" s="32">
        <v>25781.0</v>
      </c>
      <c r="E16" s="32">
        <v>20468.0</v>
      </c>
      <c r="F16" s="32">
        <v>22834.0</v>
      </c>
      <c r="G16" s="32">
        <v>21316.0</v>
      </c>
      <c r="H16" s="32">
        <v>24040.0</v>
      </c>
      <c r="I16" s="32">
        <v>22635.16</v>
      </c>
      <c r="J16" s="32">
        <v>22769.38</v>
      </c>
      <c r="K16" s="32">
        <v>19503.5</v>
      </c>
      <c r="L16" s="32">
        <v>17723.02</v>
      </c>
      <c r="M16" s="32">
        <v>15472.33</v>
      </c>
      <c r="N16" s="32">
        <v>11647.76</v>
      </c>
      <c r="O16" s="32">
        <v>9293.89</v>
      </c>
      <c r="P16" s="32">
        <v>7406.49</v>
      </c>
      <c r="Q16" s="32">
        <v>5508.11</v>
      </c>
      <c r="R16" s="32">
        <v>3441.76</v>
      </c>
      <c r="S16" s="32">
        <v>2437.69</v>
      </c>
      <c r="T16" s="32">
        <v>642.94</v>
      </c>
    </row>
    <row r="17">
      <c r="A17" s="10" t="s">
        <v>18</v>
      </c>
      <c r="B17" s="32">
        <v>94192.0</v>
      </c>
      <c r="C17" s="32">
        <v>83160.0</v>
      </c>
      <c r="D17" s="32">
        <v>79194.0</v>
      </c>
      <c r="E17" s="32">
        <v>79032.0</v>
      </c>
      <c r="F17" s="32">
        <v>68222.0</v>
      </c>
      <c r="G17" s="32">
        <v>68442.0</v>
      </c>
      <c r="H17" s="32">
        <v>53377.0</v>
      </c>
      <c r="I17" s="32">
        <v>40430.14</v>
      </c>
      <c r="J17" s="32">
        <v>34834.81</v>
      </c>
      <c r="K17" s="32">
        <v>23508.64</v>
      </c>
      <c r="L17" s="32">
        <v>16535.79</v>
      </c>
      <c r="M17" s="32">
        <v>10570.48</v>
      </c>
      <c r="N17" s="32">
        <v>10783.95</v>
      </c>
      <c r="O17" s="32">
        <v>9247.14</v>
      </c>
      <c r="P17" s="32">
        <v>7329.57</v>
      </c>
      <c r="Q17" s="32">
        <v>5257.13</v>
      </c>
      <c r="R17" s="32">
        <v>3982.85</v>
      </c>
      <c r="S17" s="32">
        <v>2315.11</v>
      </c>
      <c r="T17" s="32">
        <v>12.27</v>
      </c>
    </row>
    <row r="18">
      <c r="A18" s="10" t="s">
        <v>19</v>
      </c>
      <c r="B18" s="32">
        <v>121263.0</v>
      </c>
      <c r="C18" s="32">
        <v>109381.0</v>
      </c>
      <c r="D18" s="32">
        <v>104975.0</v>
      </c>
      <c r="E18" s="32">
        <v>99500.0</v>
      </c>
      <c r="F18" s="32">
        <v>91056.0</v>
      </c>
      <c r="G18" s="32">
        <v>89758.0</v>
      </c>
      <c r="H18" s="32">
        <v>77417.0</v>
      </c>
      <c r="I18" s="32">
        <v>63065.3</v>
      </c>
      <c r="J18" s="32">
        <v>57604.19</v>
      </c>
      <c r="K18" s="32">
        <v>43012.14</v>
      </c>
      <c r="L18" s="32">
        <v>34258.81</v>
      </c>
      <c r="M18" s="32">
        <v>26042.81</v>
      </c>
      <c r="N18" s="32">
        <v>22431.71</v>
      </c>
      <c r="O18" s="32">
        <v>18541.03</v>
      </c>
      <c r="P18" s="32">
        <v>14736.06</v>
      </c>
      <c r="Q18" s="32">
        <v>10765.24</v>
      </c>
      <c r="R18" s="32">
        <v>7424.61</v>
      </c>
      <c r="S18" s="32">
        <v>4752.8</v>
      </c>
      <c r="T18" s="32">
        <v>655.21</v>
      </c>
    </row>
    <row r="19">
      <c r="A19" s="34" t="s">
        <v>21</v>
      </c>
      <c r="B19" s="36">
        <v>38187.0</v>
      </c>
      <c r="C19" s="32">
        <v>30960.0</v>
      </c>
      <c r="D19" s="36">
        <v>33260.0</v>
      </c>
      <c r="E19" s="32">
        <v>30065.0</v>
      </c>
      <c r="F19" s="32">
        <v>25241.0</v>
      </c>
      <c r="G19" s="36">
        <v>23653.0</v>
      </c>
      <c r="H19" s="32">
        <v>29339.0</v>
      </c>
      <c r="I19" s="32">
        <v>24549.97</v>
      </c>
      <c r="J19" s="32">
        <v>23544.47</v>
      </c>
      <c r="K19" s="32">
        <v>15703.18</v>
      </c>
      <c r="L19" s="32">
        <v>13366.33</v>
      </c>
      <c r="M19" s="32">
        <v>8700.43</v>
      </c>
      <c r="N19" s="32">
        <v>6370.38</v>
      </c>
      <c r="O19" s="32">
        <v>5139.68</v>
      </c>
      <c r="P19" s="32">
        <v>5003.86</v>
      </c>
      <c r="Q19" s="32">
        <v>4170.68</v>
      </c>
      <c r="R19" s="32">
        <v>3074.35</v>
      </c>
      <c r="S19" s="32">
        <v>2308.65</v>
      </c>
      <c r="T19" s="32">
        <v>3.22</v>
      </c>
    </row>
    <row r="20">
      <c r="A20" s="10" t="s">
        <v>22</v>
      </c>
      <c r="B20" s="37">
        <v>36127.0</v>
      </c>
      <c r="C20" s="38">
        <v>33822.0</v>
      </c>
      <c r="D20" s="37">
        <v>26603.0</v>
      </c>
      <c r="E20" s="38">
        <v>23998.0</v>
      </c>
      <c r="F20" s="37">
        <v>21587.0</v>
      </c>
      <c r="G20" s="37">
        <v>23132.0</v>
      </c>
      <c r="H20" s="38">
        <v>17986.0</v>
      </c>
      <c r="I20" s="38">
        <v>16319.89</v>
      </c>
      <c r="J20" s="38">
        <v>12941.93</v>
      </c>
      <c r="K20" s="38">
        <v>9156.95</v>
      </c>
      <c r="L20" s="38">
        <v>3174.63</v>
      </c>
      <c r="M20" s="38">
        <v>5719.88</v>
      </c>
      <c r="N20" s="38">
        <v>6264.74</v>
      </c>
      <c r="O20" s="38">
        <v>4874.12</v>
      </c>
      <c r="P20" s="38">
        <v>3827.91</v>
      </c>
      <c r="Q20" s="38">
        <v>3551.26</v>
      </c>
      <c r="R20" s="38">
        <v>2344.42</v>
      </c>
      <c r="S20" s="38">
        <v>1978.99</v>
      </c>
      <c r="T20" s="38">
        <v>0.64</v>
      </c>
    </row>
    <row r="21">
      <c r="A21" s="10" t="s">
        <v>23</v>
      </c>
      <c r="B21" s="37">
        <v>3642.0</v>
      </c>
      <c r="C21" s="37">
        <v>-4576.0</v>
      </c>
      <c r="D21" s="37">
        <v>12829.0</v>
      </c>
      <c r="E21" s="37">
        <v>5883.0</v>
      </c>
      <c r="F21" s="37">
        <v>5634.0</v>
      </c>
      <c r="G21" s="37">
        <v>-15782.0</v>
      </c>
      <c r="H21" s="38">
        <v>-4518.0</v>
      </c>
      <c r="I21" s="33">
        <v>611.01</v>
      </c>
      <c r="J21" s="38">
        <v>-7189.32</v>
      </c>
      <c r="K21" s="38">
        <v>-3482.98</v>
      </c>
      <c r="L21" s="33">
        <v>433.36</v>
      </c>
      <c r="M21" s="38">
        <v>-841.76</v>
      </c>
      <c r="N21" s="38">
        <v>-4556.64</v>
      </c>
      <c r="O21" s="38">
        <v>-3162.22</v>
      </c>
      <c r="P21" s="38">
        <v>-2404.9</v>
      </c>
      <c r="Q21" s="38">
        <v>-2076.42</v>
      </c>
      <c r="R21" s="38">
        <v>-1464.97</v>
      </c>
      <c r="S21" s="38">
        <v>-2813.85</v>
      </c>
      <c r="T21" s="38">
        <v>-374.5</v>
      </c>
    </row>
    <row r="22">
      <c r="A22" s="10" t="s">
        <v>24</v>
      </c>
      <c r="B22" s="37">
        <v>-32797.0</v>
      </c>
      <c r="C22" s="38">
        <v>-32023.0</v>
      </c>
      <c r="D22" s="37">
        <v>-39045.0</v>
      </c>
      <c r="E22" s="37">
        <v>-27825.0</v>
      </c>
      <c r="F22" s="38">
        <v>-26827.0</v>
      </c>
      <c r="G22" s="37">
        <v>-10891.0</v>
      </c>
      <c r="H22" s="38">
        <v>-9586.0</v>
      </c>
      <c r="I22" s="38">
        <v>-16914.2</v>
      </c>
      <c r="J22" s="38">
        <v>-5684.32</v>
      </c>
      <c r="K22" s="38">
        <v>-5655.8</v>
      </c>
      <c r="L22" s="38">
        <v>-3897.22</v>
      </c>
      <c r="M22" s="38">
        <v>-4605.61</v>
      </c>
      <c r="N22" s="38">
        <v>-1969.65</v>
      </c>
      <c r="O22" s="38">
        <v>-1588.25</v>
      </c>
      <c r="P22" s="38">
        <v>-1424.77</v>
      </c>
      <c r="Q22" s="38">
        <v>-1075.35</v>
      </c>
      <c r="R22" s="33">
        <v>-882.3</v>
      </c>
      <c r="S22" s="33">
        <v>953.35</v>
      </c>
      <c r="T22" s="33">
        <v>374.98</v>
      </c>
    </row>
    <row r="23">
      <c r="A23" s="10" t="s">
        <v>25</v>
      </c>
      <c r="B23" s="39">
        <v>3522.0</v>
      </c>
      <c r="C23" s="39">
        <v>3053.0</v>
      </c>
      <c r="D23" s="39">
        <v>2701.0</v>
      </c>
      <c r="E23" s="39">
        <v>1716.0</v>
      </c>
      <c r="F23" s="39">
        <v>1647.0</v>
      </c>
      <c r="G23" s="39">
        <v>1575.0</v>
      </c>
      <c r="H23" s="39">
        <v>1459.0</v>
      </c>
      <c r="I23" s="39">
        <v>1393.77</v>
      </c>
      <c r="J23" s="39">
        <v>1080.55</v>
      </c>
      <c r="K23" s="39">
        <v>802.86</v>
      </c>
      <c r="L23" s="39">
        <v>688.17</v>
      </c>
      <c r="M23" s="39">
        <v>537.82</v>
      </c>
      <c r="N23" s="39">
        <v>469.35</v>
      </c>
      <c r="O23" s="39">
        <v>417.46</v>
      </c>
      <c r="P23" s="40">
        <v>458.7</v>
      </c>
      <c r="Q23" s="40">
        <v>343.41</v>
      </c>
      <c r="R23" s="40">
        <v>257.38</v>
      </c>
      <c r="S23" s="40">
        <v>133.22</v>
      </c>
      <c r="T23" s="41"/>
    </row>
    <row r="26">
      <c r="B26" s="39">
        <v>3522.0</v>
      </c>
    </row>
    <row r="27">
      <c r="B27" s="39">
        <v>3053.0</v>
      </c>
    </row>
    <row r="28">
      <c r="B28" s="39">
        <v>2701.0</v>
      </c>
    </row>
    <row r="29">
      <c r="B29" s="39">
        <v>1716.0</v>
      </c>
    </row>
    <row r="30">
      <c r="B30" s="39">
        <v>1647.0</v>
      </c>
    </row>
    <row r="31">
      <c r="B31" s="39">
        <v>1575.0</v>
      </c>
    </row>
    <row r="32">
      <c r="B32" s="39">
        <v>1459.0</v>
      </c>
    </row>
    <row r="33">
      <c r="B33" s="39">
        <v>1393.77</v>
      </c>
    </row>
    <row r="34">
      <c r="B34" s="39">
        <v>1080.55</v>
      </c>
    </row>
    <row r="35">
      <c r="B35" s="39">
        <v>802.86</v>
      </c>
    </row>
    <row r="36">
      <c r="B36" s="39">
        <v>688.17</v>
      </c>
    </row>
    <row r="37">
      <c r="B37" s="39">
        <v>537.82</v>
      </c>
    </row>
    <row r="38">
      <c r="B38" s="39">
        <v>469.35</v>
      </c>
    </row>
    <row r="39">
      <c r="B39" s="39">
        <v>417.46</v>
      </c>
    </row>
    <row r="40">
      <c r="B40" s="40">
        <v>458.7</v>
      </c>
    </row>
    <row r="41">
      <c r="B41" s="40">
        <v>343.41</v>
      </c>
    </row>
    <row r="42">
      <c r="B42" s="40">
        <v>257.38</v>
      </c>
    </row>
    <row r="43">
      <c r="B43" s="40">
        <v>133.22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28" t="s">
        <v>113</v>
      </c>
      <c r="B1" s="42" t="s">
        <v>114</v>
      </c>
      <c r="C1" s="42" t="s">
        <v>115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34" t="s">
        <v>9</v>
      </c>
      <c r="J1" s="34" t="s">
        <v>10</v>
      </c>
      <c r="K1" s="10" t="s">
        <v>11</v>
      </c>
      <c r="L1" s="10" t="s">
        <v>12</v>
      </c>
      <c r="M1" s="10" t="s">
        <v>13</v>
      </c>
      <c r="N1" s="10" t="s">
        <v>14</v>
      </c>
      <c r="O1" s="10" t="s">
        <v>15</v>
      </c>
      <c r="P1" s="10" t="s">
        <v>17</v>
      </c>
      <c r="Q1" s="10" t="s">
        <v>18</v>
      </c>
      <c r="R1" s="10" t="s">
        <v>19</v>
      </c>
      <c r="S1" s="34" t="s">
        <v>21</v>
      </c>
      <c r="T1" s="10" t="s">
        <v>22</v>
      </c>
      <c r="U1" s="10" t="s">
        <v>23</v>
      </c>
      <c r="V1" s="10" t="s">
        <v>24</v>
      </c>
      <c r="W1" s="10" t="s">
        <v>25</v>
      </c>
      <c r="X1" s="28" t="s">
        <v>54</v>
      </c>
    </row>
    <row r="2">
      <c r="A2" s="31">
        <v>44621.0</v>
      </c>
      <c r="B2" s="32">
        <v>167827.0</v>
      </c>
      <c r="C2" s="7">
        <f t="shared" ref="C2:C20" si="1">$B2-$D2</f>
        <v>49723</v>
      </c>
      <c r="D2" s="32">
        <v>118104.0</v>
      </c>
      <c r="E2" s="32">
        <v>49723.0</v>
      </c>
      <c r="F2" s="32">
        <v>38187.0</v>
      </c>
      <c r="G2" s="33">
        <v>103.24</v>
      </c>
      <c r="H2" s="33">
        <v>103.24</v>
      </c>
      <c r="I2" s="32">
        <v>366.0</v>
      </c>
      <c r="J2" s="32">
        <v>77173.0</v>
      </c>
      <c r="K2" s="32">
        <v>6189.0</v>
      </c>
      <c r="L2" s="32">
        <v>37901.0</v>
      </c>
      <c r="M2" s="32">
        <v>121263.0</v>
      </c>
      <c r="N2" s="32">
        <v>17670.0</v>
      </c>
      <c r="O2" s="7">
        <f t="shared" ref="O2:O19" si="2">N2-N3</f>
        <v>750</v>
      </c>
      <c r="P2" s="32">
        <v>27071.0</v>
      </c>
      <c r="Q2" s="32">
        <v>94192.0</v>
      </c>
      <c r="R2" s="32">
        <v>121263.0</v>
      </c>
      <c r="S2" s="36">
        <v>38187.0</v>
      </c>
      <c r="T2" s="37">
        <v>36127.0</v>
      </c>
      <c r="U2" s="37">
        <v>3642.0</v>
      </c>
      <c r="V2" s="37">
        <v>-32797.0</v>
      </c>
      <c r="W2" s="39">
        <v>3522.0</v>
      </c>
      <c r="X2" s="25">
        <f t="shared" ref="X2:X20" si="3">Q2/L2</f>
        <v>2.485211472</v>
      </c>
    </row>
    <row r="3">
      <c r="A3" s="31">
        <v>44256.0</v>
      </c>
      <c r="B3" s="32">
        <v>141363.0</v>
      </c>
      <c r="C3" s="7">
        <f t="shared" si="1"/>
        <v>42120</v>
      </c>
      <c r="D3" s="32">
        <v>99243.0</v>
      </c>
      <c r="E3" s="32">
        <v>42120.0</v>
      </c>
      <c r="F3" s="32">
        <v>30960.0</v>
      </c>
      <c r="G3" s="33">
        <v>82.78</v>
      </c>
      <c r="H3" s="33">
        <v>82.78</v>
      </c>
      <c r="I3" s="32">
        <v>370.0</v>
      </c>
      <c r="J3" s="32">
        <v>74794.0</v>
      </c>
      <c r="K3" s="32">
        <v>6062.0</v>
      </c>
      <c r="L3" s="32">
        <v>28525.0</v>
      </c>
      <c r="M3" s="32">
        <v>109381.0</v>
      </c>
      <c r="N3" s="32">
        <v>16920.0</v>
      </c>
      <c r="O3" s="7">
        <f t="shared" si="2"/>
        <v>17</v>
      </c>
      <c r="P3" s="32">
        <v>26221.0</v>
      </c>
      <c r="Q3" s="32">
        <v>83160.0</v>
      </c>
      <c r="R3" s="32">
        <v>109381.0</v>
      </c>
      <c r="S3" s="32">
        <v>30960.0</v>
      </c>
      <c r="T3" s="38">
        <v>33822.0</v>
      </c>
      <c r="U3" s="37">
        <v>-4576.0</v>
      </c>
      <c r="V3" s="38">
        <v>-32023.0</v>
      </c>
      <c r="W3" s="39">
        <v>3053.0</v>
      </c>
      <c r="X3" s="25">
        <f t="shared" si="3"/>
        <v>2.915337423</v>
      </c>
    </row>
    <row r="4">
      <c r="A4" s="31">
        <v>43891.0</v>
      </c>
      <c r="B4" s="32">
        <v>139388.0</v>
      </c>
      <c r="C4" s="7">
        <f t="shared" si="1"/>
        <v>41991</v>
      </c>
      <c r="D4" s="32">
        <v>97397.0</v>
      </c>
      <c r="E4" s="32">
        <v>41991.0</v>
      </c>
      <c r="F4" s="32">
        <v>33260.0</v>
      </c>
      <c r="G4" s="33">
        <v>88.64</v>
      </c>
      <c r="H4" s="33">
        <v>88.64</v>
      </c>
      <c r="I4" s="32">
        <v>375.0</v>
      </c>
      <c r="J4" s="32">
        <v>74368.0</v>
      </c>
      <c r="K4" s="32">
        <v>6581.0</v>
      </c>
      <c r="L4" s="32">
        <v>24026.0</v>
      </c>
      <c r="M4" s="32">
        <v>104975.0</v>
      </c>
      <c r="N4" s="32">
        <v>16903.0</v>
      </c>
      <c r="O4" s="7">
        <f t="shared" si="2"/>
        <v>6408</v>
      </c>
      <c r="P4" s="32">
        <v>25781.0</v>
      </c>
      <c r="Q4" s="32">
        <v>79194.0</v>
      </c>
      <c r="R4" s="32">
        <v>104975.0</v>
      </c>
      <c r="S4" s="36">
        <v>33260.0</v>
      </c>
      <c r="T4" s="37">
        <v>26603.0</v>
      </c>
      <c r="U4" s="37">
        <v>12829.0</v>
      </c>
      <c r="V4" s="37">
        <v>-39045.0</v>
      </c>
      <c r="W4" s="39">
        <v>2701.0</v>
      </c>
      <c r="X4" s="25">
        <f t="shared" si="3"/>
        <v>3.296179139</v>
      </c>
    </row>
    <row r="5">
      <c r="A5" s="31">
        <v>43525.0</v>
      </c>
      <c r="B5" s="32">
        <v>130797.0</v>
      </c>
      <c r="C5" s="7">
        <f t="shared" si="1"/>
        <v>40705</v>
      </c>
      <c r="D5" s="32">
        <v>90092.0</v>
      </c>
      <c r="E5" s="32">
        <v>40705.0</v>
      </c>
      <c r="F5" s="32">
        <v>30065.0</v>
      </c>
      <c r="G5" s="33">
        <v>79.34</v>
      </c>
      <c r="H5" s="33">
        <v>79.34</v>
      </c>
      <c r="I5" s="32">
        <v>375.0</v>
      </c>
      <c r="J5" s="32">
        <v>78898.0</v>
      </c>
      <c r="K5" s="32">
        <v>1706.0</v>
      </c>
      <c r="L5" s="32">
        <v>18896.0</v>
      </c>
      <c r="M5" s="32">
        <v>99500.0</v>
      </c>
      <c r="N5" s="32">
        <v>10495.0</v>
      </c>
      <c r="O5" s="7">
        <f t="shared" si="2"/>
        <v>-183</v>
      </c>
      <c r="P5" s="32">
        <v>20468.0</v>
      </c>
      <c r="Q5" s="32">
        <v>79032.0</v>
      </c>
      <c r="R5" s="32">
        <v>99500.0</v>
      </c>
      <c r="S5" s="32">
        <v>30065.0</v>
      </c>
      <c r="T5" s="38">
        <v>23998.0</v>
      </c>
      <c r="U5" s="37">
        <v>5883.0</v>
      </c>
      <c r="V5" s="37">
        <v>-27825.0</v>
      </c>
      <c r="W5" s="39">
        <v>1716.0</v>
      </c>
      <c r="X5" s="25">
        <f t="shared" si="3"/>
        <v>4.182472481</v>
      </c>
    </row>
    <row r="6">
      <c r="A6" s="31">
        <v>43160.0</v>
      </c>
      <c r="B6" s="32">
        <v>103159.0</v>
      </c>
      <c r="C6" s="7">
        <f t="shared" si="1"/>
        <v>31931</v>
      </c>
      <c r="D6" s="32">
        <v>71228.0</v>
      </c>
      <c r="E6" s="32">
        <v>31931.0</v>
      </c>
      <c r="F6" s="32">
        <v>25241.0</v>
      </c>
      <c r="G6" s="33">
        <v>131.15</v>
      </c>
      <c r="H6" s="33">
        <v>131.15</v>
      </c>
      <c r="I6" s="32">
        <v>191.0</v>
      </c>
      <c r="J6" s="32">
        <v>75866.0</v>
      </c>
      <c r="K6" s="32">
        <v>1132.0</v>
      </c>
      <c r="L6" s="32">
        <v>14058.0</v>
      </c>
      <c r="M6" s="32">
        <v>91056.0</v>
      </c>
      <c r="N6" s="32">
        <v>10678.0</v>
      </c>
      <c r="O6" s="7">
        <f t="shared" si="2"/>
        <v>-30</v>
      </c>
      <c r="P6" s="32">
        <v>22834.0</v>
      </c>
      <c r="Q6" s="32">
        <v>68222.0</v>
      </c>
      <c r="R6" s="32">
        <v>91056.0</v>
      </c>
      <c r="S6" s="32">
        <v>25241.0</v>
      </c>
      <c r="T6" s="37">
        <v>21587.0</v>
      </c>
      <c r="U6" s="37">
        <v>5634.0</v>
      </c>
      <c r="V6" s="38">
        <v>-26827.0</v>
      </c>
      <c r="W6" s="39">
        <v>1647.0</v>
      </c>
      <c r="X6" s="25">
        <f t="shared" si="3"/>
        <v>4.852895149</v>
      </c>
    </row>
    <row r="7">
      <c r="A7" s="31">
        <v>42795.0</v>
      </c>
      <c r="B7" s="32">
        <v>97261.0</v>
      </c>
      <c r="C7" s="7">
        <f t="shared" si="1"/>
        <v>30066</v>
      </c>
      <c r="D7" s="32">
        <v>67195.0</v>
      </c>
      <c r="E7" s="32">
        <v>30066.0</v>
      </c>
      <c r="F7" s="32">
        <v>23653.0</v>
      </c>
      <c r="G7" s="33">
        <v>120.04</v>
      </c>
      <c r="H7" s="33">
        <v>120.04</v>
      </c>
      <c r="I7" s="32">
        <v>197.0</v>
      </c>
      <c r="J7" s="32">
        <v>78022.0</v>
      </c>
      <c r="K7" s="32">
        <v>1035.0</v>
      </c>
      <c r="L7" s="32">
        <v>10701.0</v>
      </c>
      <c r="M7" s="32">
        <v>89758.0</v>
      </c>
      <c r="N7" s="32">
        <v>10708.0</v>
      </c>
      <c r="O7" s="7">
        <f t="shared" si="2"/>
        <v>-12</v>
      </c>
      <c r="P7" s="32">
        <v>21316.0</v>
      </c>
      <c r="Q7" s="32">
        <v>68442.0</v>
      </c>
      <c r="R7" s="32">
        <v>89758.0</v>
      </c>
      <c r="S7" s="36">
        <v>23653.0</v>
      </c>
      <c r="T7" s="37">
        <v>23132.0</v>
      </c>
      <c r="U7" s="37">
        <v>-15782.0</v>
      </c>
      <c r="V7" s="37">
        <v>-10891.0</v>
      </c>
      <c r="W7" s="39">
        <v>1575.0</v>
      </c>
      <c r="X7" s="25">
        <f t="shared" si="3"/>
        <v>6.395850855</v>
      </c>
    </row>
    <row r="8">
      <c r="A8" s="31">
        <v>42430.0</v>
      </c>
      <c r="B8" s="32">
        <v>89621.0</v>
      </c>
      <c r="C8" s="7">
        <f t="shared" si="1"/>
        <v>29339</v>
      </c>
      <c r="D8" s="32">
        <v>60282.0</v>
      </c>
      <c r="E8" s="32">
        <v>29339.0</v>
      </c>
      <c r="F8" s="32">
        <v>23075.0</v>
      </c>
      <c r="G8" s="33">
        <v>117.11</v>
      </c>
      <c r="H8" s="33">
        <v>117.11</v>
      </c>
      <c r="I8" s="32">
        <v>197.0</v>
      </c>
      <c r="J8" s="32">
        <v>65013.0</v>
      </c>
      <c r="K8" s="32">
        <v>1095.0</v>
      </c>
      <c r="L8" s="32">
        <v>11309.0</v>
      </c>
      <c r="M8" s="32">
        <v>77417.0</v>
      </c>
      <c r="N8" s="32">
        <v>10720.0</v>
      </c>
      <c r="O8" s="7">
        <f t="shared" si="2"/>
        <v>16.77</v>
      </c>
      <c r="P8" s="32">
        <v>24040.0</v>
      </c>
      <c r="Q8" s="32">
        <v>53377.0</v>
      </c>
      <c r="R8" s="32">
        <v>77417.0</v>
      </c>
      <c r="S8" s="32">
        <v>29339.0</v>
      </c>
      <c r="T8" s="38">
        <v>17986.0</v>
      </c>
      <c r="U8" s="38">
        <v>-4518.0</v>
      </c>
      <c r="V8" s="38">
        <v>-9586.0</v>
      </c>
      <c r="W8" s="39">
        <v>1459.0</v>
      </c>
      <c r="X8" s="25">
        <f t="shared" si="3"/>
        <v>4.719869131</v>
      </c>
    </row>
    <row r="9">
      <c r="A9" s="31">
        <v>42064.0</v>
      </c>
      <c r="B9" s="32">
        <v>78044.79</v>
      </c>
      <c r="C9" s="7">
        <f t="shared" si="1"/>
        <v>24021.59</v>
      </c>
      <c r="D9" s="32">
        <v>54023.2</v>
      </c>
      <c r="E9" s="32">
        <v>24021.59</v>
      </c>
      <c r="F9" s="32">
        <v>19256.96</v>
      </c>
      <c r="G9" s="33">
        <v>98.31</v>
      </c>
      <c r="H9" s="33">
        <v>98.31</v>
      </c>
      <c r="I9" s="35">
        <v>195.87</v>
      </c>
      <c r="J9" s="32">
        <v>45416.44</v>
      </c>
      <c r="K9" s="32">
        <v>1185.23</v>
      </c>
      <c r="L9" s="32">
        <v>16463.63</v>
      </c>
      <c r="M9" s="32">
        <v>63065.3</v>
      </c>
      <c r="N9" s="32">
        <v>10703.23</v>
      </c>
      <c r="O9" s="7">
        <f t="shared" si="2"/>
        <v>1726.51</v>
      </c>
      <c r="P9" s="32">
        <v>22635.16</v>
      </c>
      <c r="Q9" s="32">
        <v>40430.14</v>
      </c>
      <c r="R9" s="32">
        <v>63065.3</v>
      </c>
      <c r="S9" s="32">
        <v>24549.97</v>
      </c>
      <c r="T9" s="38">
        <v>16319.89</v>
      </c>
      <c r="U9" s="33">
        <v>611.01</v>
      </c>
      <c r="V9" s="38">
        <v>-16914.2</v>
      </c>
      <c r="W9" s="39">
        <v>1393.77</v>
      </c>
      <c r="X9" s="25">
        <f t="shared" si="3"/>
        <v>2.455724527</v>
      </c>
    </row>
    <row r="10">
      <c r="A10" s="31">
        <v>41699.0</v>
      </c>
      <c r="B10" s="32">
        <v>67787.64</v>
      </c>
      <c r="C10" s="7">
        <f t="shared" si="1"/>
        <v>23544.47</v>
      </c>
      <c r="D10" s="32">
        <v>44243.17</v>
      </c>
      <c r="E10" s="32">
        <v>23544.47</v>
      </c>
      <c r="F10" s="32">
        <v>18474.92</v>
      </c>
      <c r="G10" s="33">
        <v>94.15</v>
      </c>
      <c r="H10" s="33">
        <v>94.15</v>
      </c>
      <c r="I10" s="35">
        <v>195.87</v>
      </c>
      <c r="J10" s="32">
        <v>44051.88</v>
      </c>
      <c r="K10" s="32">
        <v>1286.61</v>
      </c>
      <c r="L10" s="32">
        <v>12265.7</v>
      </c>
      <c r="M10" s="32">
        <v>57604.19</v>
      </c>
      <c r="N10" s="32">
        <v>8976.72</v>
      </c>
      <c r="O10" s="7">
        <f t="shared" si="2"/>
        <v>2108.59</v>
      </c>
      <c r="P10" s="32">
        <v>22769.38</v>
      </c>
      <c r="Q10" s="32">
        <v>34834.81</v>
      </c>
      <c r="R10" s="32">
        <v>57604.19</v>
      </c>
      <c r="S10" s="32">
        <v>23544.47</v>
      </c>
      <c r="T10" s="38">
        <v>12941.93</v>
      </c>
      <c r="U10" s="38">
        <v>-7189.32</v>
      </c>
      <c r="V10" s="38">
        <v>-5684.32</v>
      </c>
      <c r="W10" s="39">
        <v>1080.55</v>
      </c>
      <c r="X10" s="25">
        <f t="shared" si="3"/>
        <v>2.840018099</v>
      </c>
    </row>
    <row r="11">
      <c r="A11" s="31">
        <v>41334.0</v>
      </c>
      <c r="B11" s="32">
        <v>50656.53</v>
      </c>
      <c r="C11" s="7">
        <f t="shared" si="1"/>
        <v>15703.18</v>
      </c>
      <c r="D11" s="32">
        <v>34953.35</v>
      </c>
      <c r="E11" s="32">
        <v>15703.18</v>
      </c>
      <c r="F11" s="32">
        <v>12786.34</v>
      </c>
      <c r="G11" s="33">
        <v>65.22</v>
      </c>
      <c r="H11" s="33">
        <v>65.22</v>
      </c>
      <c r="I11" s="35">
        <v>295.72</v>
      </c>
      <c r="J11" s="32">
        <v>32562.25</v>
      </c>
      <c r="K11" s="35">
        <v>772.98</v>
      </c>
      <c r="L11" s="32">
        <v>9676.91</v>
      </c>
      <c r="M11" s="32">
        <v>43012.14</v>
      </c>
      <c r="N11" s="32">
        <v>6868.13</v>
      </c>
      <c r="O11" s="7">
        <f t="shared" si="2"/>
        <v>1404.69</v>
      </c>
      <c r="P11" s="32">
        <v>19503.5</v>
      </c>
      <c r="Q11" s="32">
        <v>23508.64</v>
      </c>
      <c r="R11" s="32">
        <v>43012.14</v>
      </c>
      <c r="S11" s="32">
        <v>15703.18</v>
      </c>
      <c r="T11" s="38">
        <v>9156.95</v>
      </c>
      <c r="U11" s="38">
        <v>-3482.98</v>
      </c>
      <c r="V11" s="38">
        <v>-5655.8</v>
      </c>
      <c r="W11" s="39">
        <v>802.86</v>
      </c>
      <c r="X11" s="25">
        <f t="shared" si="3"/>
        <v>2.429353998</v>
      </c>
    </row>
    <row r="12">
      <c r="A12" s="31">
        <v>40969.0</v>
      </c>
      <c r="B12" s="32">
        <v>41543.72</v>
      </c>
      <c r="C12" s="7">
        <f t="shared" si="1"/>
        <v>13366.33</v>
      </c>
      <c r="D12" s="32">
        <v>28177.39</v>
      </c>
      <c r="E12" s="32">
        <v>13366.33</v>
      </c>
      <c r="F12" s="32">
        <v>10975.98</v>
      </c>
      <c r="G12" s="33">
        <v>55.95</v>
      </c>
      <c r="H12" s="33">
        <v>55.95</v>
      </c>
      <c r="I12" s="35">
        <v>295.72</v>
      </c>
      <c r="J12" s="32">
        <v>24856.63</v>
      </c>
      <c r="K12" s="35">
        <v>566.7</v>
      </c>
      <c r="L12" s="32">
        <v>8835.48</v>
      </c>
      <c r="M12" s="32">
        <v>34258.81</v>
      </c>
      <c r="N12" s="32">
        <v>5463.44</v>
      </c>
      <c r="O12" s="7">
        <f t="shared" si="2"/>
        <v>968.4</v>
      </c>
      <c r="P12" s="32">
        <v>17723.02</v>
      </c>
      <c r="Q12" s="32">
        <v>16535.79</v>
      </c>
      <c r="R12" s="32">
        <v>34258.81</v>
      </c>
      <c r="S12" s="32">
        <v>13366.33</v>
      </c>
      <c r="T12" s="38">
        <v>3174.63</v>
      </c>
      <c r="U12" s="33">
        <v>433.36</v>
      </c>
      <c r="V12" s="38">
        <v>-3897.22</v>
      </c>
      <c r="W12" s="39">
        <v>688.17</v>
      </c>
      <c r="X12" s="25">
        <f t="shared" si="3"/>
        <v>1.871521411</v>
      </c>
    </row>
    <row r="13">
      <c r="A13" s="31">
        <v>40603.0</v>
      </c>
      <c r="B13" s="32">
        <v>29770.14</v>
      </c>
      <c r="C13" s="7">
        <f t="shared" si="1"/>
        <v>8700.43</v>
      </c>
      <c r="D13" s="32">
        <v>21069.71</v>
      </c>
      <c r="E13" s="32">
        <v>8700.43</v>
      </c>
      <c r="F13" s="32">
        <v>7569.99</v>
      </c>
      <c r="G13" s="33">
        <v>38.61</v>
      </c>
      <c r="H13" s="33">
        <v>38.61</v>
      </c>
      <c r="I13" s="35">
        <v>295.72</v>
      </c>
      <c r="J13" s="32">
        <v>19579.49</v>
      </c>
      <c r="K13" s="35">
        <v>311.73</v>
      </c>
      <c r="L13" s="32">
        <v>6151.59</v>
      </c>
      <c r="M13" s="32">
        <v>26042.81</v>
      </c>
      <c r="N13" s="32">
        <v>4495.04</v>
      </c>
      <c r="O13" s="7">
        <f t="shared" si="2"/>
        <v>793.8</v>
      </c>
      <c r="P13" s="32">
        <v>15472.33</v>
      </c>
      <c r="Q13" s="32">
        <v>10570.48</v>
      </c>
      <c r="R13" s="32">
        <v>26042.81</v>
      </c>
      <c r="S13" s="32">
        <v>8700.43</v>
      </c>
      <c r="T13" s="38">
        <v>5719.88</v>
      </c>
      <c r="U13" s="38">
        <v>-841.76</v>
      </c>
      <c r="V13" s="38">
        <v>-4605.61</v>
      </c>
      <c r="W13" s="39">
        <v>537.82</v>
      </c>
      <c r="X13" s="25">
        <f t="shared" si="3"/>
        <v>1.718332984</v>
      </c>
    </row>
    <row r="14">
      <c r="A14" s="31">
        <v>40238.0</v>
      </c>
      <c r="B14" s="32">
        <v>23226.55</v>
      </c>
      <c r="C14" s="7">
        <f t="shared" si="1"/>
        <v>6370.38</v>
      </c>
      <c r="D14" s="32">
        <v>16856.17</v>
      </c>
      <c r="E14" s="32">
        <v>6370.38</v>
      </c>
      <c r="F14" s="32">
        <v>5618.51</v>
      </c>
      <c r="G14" s="33">
        <v>28.71</v>
      </c>
      <c r="H14" s="33">
        <v>28.71</v>
      </c>
      <c r="I14" s="35">
        <v>295.72</v>
      </c>
      <c r="J14" s="32">
        <v>15116.62</v>
      </c>
      <c r="K14" s="35">
        <v>75.84</v>
      </c>
      <c r="L14" s="32">
        <v>7239.25</v>
      </c>
      <c r="M14" s="32">
        <v>22431.71</v>
      </c>
      <c r="N14" s="32">
        <v>3701.24</v>
      </c>
      <c r="O14" s="7">
        <f t="shared" si="2"/>
        <v>347.03</v>
      </c>
      <c r="P14" s="32">
        <v>11647.76</v>
      </c>
      <c r="Q14" s="32">
        <v>10783.95</v>
      </c>
      <c r="R14" s="32">
        <v>22431.71</v>
      </c>
      <c r="S14" s="32">
        <v>6370.38</v>
      </c>
      <c r="T14" s="38">
        <v>6264.74</v>
      </c>
      <c r="U14" s="38">
        <v>-4556.64</v>
      </c>
      <c r="V14" s="38">
        <v>-1969.65</v>
      </c>
      <c r="W14" s="39">
        <v>469.35</v>
      </c>
      <c r="X14" s="25">
        <f t="shared" si="3"/>
        <v>1.489650171</v>
      </c>
    </row>
    <row r="15">
      <c r="A15" s="31">
        <v>39873.0</v>
      </c>
      <c r="B15" s="32">
        <v>21945.68</v>
      </c>
      <c r="C15" s="7">
        <f t="shared" si="1"/>
        <v>5139.69</v>
      </c>
      <c r="D15" s="32">
        <v>16805.99</v>
      </c>
      <c r="E15" s="32">
        <v>5139.69</v>
      </c>
      <c r="F15" s="32">
        <v>4696.21</v>
      </c>
      <c r="G15" s="33">
        <v>47.99</v>
      </c>
      <c r="H15" s="33">
        <v>47.99</v>
      </c>
      <c r="I15" s="35">
        <v>197.86</v>
      </c>
      <c r="J15" s="32">
        <v>13446.25</v>
      </c>
      <c r="K15" s="35">
        <v>141.97</v>
      </c>
      <c r="L15" s="32">
        <v>4952.81</v>
      </c>
      <c r="M15" s="32">
        <v>18541.03</v>
      </c>
      <c r="N15" s="32">
        <v>3354.21</v>
      </c>
      <c r="O15" s="7">
        <f t="shared" si="2"/>
        <v>523.94</v>
      </c>
      <c r="P15" s="32">
        <v>9293.89</v>
      </c>
      <c r="Q15" s="32">
        <v>9247.14</v>
      </c>
      <c r="R15" s="32">
        <v>18541.03</v>
      </c>
      <c r="S15" s="32">
        <v>5139.68</v>
      </c>
      <c r="T15" s="38">
        <v>4874.12</v>
      </c>
      <c r="U15" s="38">
        <v>-3162.22</v>
      </c>
      <c r="V15" s="38">
        <v>-1588.25</v>
      </c>
      <c r="W15" s="39">
        <v>417.46</v>
      </c>
      <c r="X15" s="25">
        <f t="shared" si="3"/>
        <v>1.86704921</v>
      </c>
    </row>
    <row r="16">
      <c r="A16" s="31">
        <v>39508.0</v>
      </c>
      <c r="B16" s="32">
        <v>18974.17</v>
      </c>
      <c r="C16" s="7">
        <f t="shared" si="1"/>
        <v>5003.86</v>
      </c>
      <c r="D16" s="32">
        <v>13970.31</v>
      </c>
      <c r="E16" s="32">
        <v>5003.86</v>
      </c>
      <c r="F16" s="32">
        <v>4508.76</v>
      </c>
      <c r="G16" s="33">
        <v>46.07</v>
      </c>
      <c r="H16" s="33">
        <v>46.07</v>
      </c>
      <c r="I16" s="35">
        <v>197.86</v>
      </c>
      <c r="J16" s="32">
        <v>11004.81</v>
      </c>
      <c r="K16" s="35">
        <v>130.36</v>
      </c>
      <c r="L16" s="32">
        <v>3600.89</v>
      </c>
      <c r="M16" s="32">
        <v>14736.06</v>
      </c>
      <c r="N16" s="32">
        <v>2830.27</v>
      </c>
      <c r="O16" s="7">
        <f t="shared" si="2"/>
        <v>611.81</v>
      </c>
      <c r="P16" s="32">
        <v>7406.49</v>
      </c>
      <c r="Q16" s="32">
        <v>7329.57</v>
      </c>
      <c r="R16" s="32">
        <v>14736.06</v>
      </c>
      <c r="S16" s="32">
        <v>5003.86</v>
      </c>
      <c r="T16" s="38">
        <v>3827.91</v>
      </c>
      <c r="U16" s="38">
        <v>-2404.9</v>
      </c>
      <c r="V16" s="38">
        <v>-1424.77</v>
      </c>
      <c r="W16" s="40">
        <v>458.7</v>
      </c>
      <c r="X16" s="25">
        <f t="shared" si="3"/>
        <v>2.035488449</v>
      </c>
    </row>
    <row r="17">
      <c r="A17" s="31">
        <v>39142.0</v>
      </c>
      <c r="B17" s="32">
        <v>15156.01</v>
      </c>
      <c r="C17" s="7">
        <f t="shared" si="1"/>
        <v>4170.68</v>
      </c>
      <c r="D17" s="32">
        <v>10985.33</v>
      </c>
      <c r="E17" s="32">
        <v>4170.68</v>
      </c>
      <c r="F17" s="32">
        <v>3757.29</v>
      </c>
      <c r="G17" s="33">
        <v>38.39</v>
      </c>
      <c r="H17" s="33">
        <v>38.39</v>
      </c>
      <c r="I17" s="35">
        <v>97.86</v>
      </c>
      <c r="J17" s="32">
        <v>8058.99</v>
      </c>
      <c r="K17" s="35">
        <v>69.59</v>
      </c>
      <c r="L17" s="32">
        <v>2636.66</v>
      </c>
      <c r="M17" s="32">
        <v>10765.24</v>
      </c>
      <c r="N17" s="32">
        <v>2218.46</v>
      </c>
      <c r="O17" s="7">
        <f t="shared" si="2"/>
        <v>768.68</v>
      </c>
      <c r="P17" s="32">
        <v>5508.11</v>
      </c>
      <c r="Q17" s="32">
        <v>5257.13</v>
      </c>
      <c r="R17" s="32">
        <v>10765.24</v>
      </c>
      <c r="S17" s="32">
        <v>4170.68</v>
      </c>
      <c r="T17" s="38">
        <v>3551.26</v>
      </c>
      <c r="U17" s="38">
        <v>-2076.42</v>
      </c>
      <c r="V17" s="38">
        <v>-1075.35</v>
      </c>
      <c r="W17" s="40">
        <v>343.41</v>
      </c>
      <c r="X17" s="25">
        <f t="shared" si="3"/>
        <v>1.993859656</v>
      </c>
    </row>
    <row r="18">
      <c r="A18" s="31">
        <v>38777.0</v>
      </c>
      <c r="B18" s="32">
        <v>11229.31</v>
      </c>
      <c r="C18" s="7">
        <f t="shared" si="1"/>
        <v>3074.35</v>
      </c>
      <c r="D18" s="32">
        <v>8154.96</v>
      </c>
      <c r="E18" s="32">
        <v>3074.35</v>
      </c>
      <c r="F18" s="32">
        <v>2716.87</v>
      </c>
      <c r="G18" s="33">
        <v>55.53</v>
      </c>
      <c r="H18" s="33">
        <v>55.53</v>
      </c>
      <c r="I18" s="35">
        <v>48.93</v>
      </c>
      <c r="J18" s="32">
        <v>5609.33</v>
      </c>
      <c r="K18" s="35">
        <v>76.32</v>
      </c>
      <c r="L18" s="32">
        <v>1738.96</v>
      </c>
      <c r="M18" s="32">
        <v>7424.61</v>
      </c>
      <c r="N18" s="32">
        <v>1449.78</v>
      </c>
      <c r="O18" s="7">
        <f t="shared" si="2"/>
        <v>421.34</v>
      </c>
      <c r="P18" s="32">
        <v>3441.76</v>
      </c>
      <c r="Q18" s="32">
        <v>3982.85</v>
      </c>
      <c r="R18" s="32">
        <v>7424.61</v>
      </c>
      <c r="S18" s="32">
        <v>3074.35</v>
      </c>
      <c r="T18" s="38">
        <v>2344.42</v>
      </c>
      <c r="U18" s="38">
        <v>-1464.97</v>
      </c>
      <c r="V18" s="33">
        <v>-882.3</v>
      </c>
      <c r="W18" s="40">
        <v>257.38</v>
      </c>
      <c r="X18" s="25">
        <f t="shared" si="3"/>
        <v>2.290363206</v>
      </c>
    </row>
    <row r="19">
      <c r="A19" s="31">
        <v>38412.0</v>
      </c>
      <c r="B19" s="32">
        <v>8094.92</v>
      </c>
      <c r="C19" s="7">
        <f t="shared" si="1"/>
        <v>2308.65</v>
      </c>
      <c r="D19" s="32">
        <v>5786.27</v>
      </c>
      <c r="E19" s="32">
        <v>2308.65</v>
      </c>
      <c r="F19" s="32">
        <v>1831.42</v>
      </c>
      <c r="G19" s="33">
        <v>38.15</v>
      </c>
      <c r="H19" s="33">
        <v>38.15</v>
      </c>
      <c r="I19" s="35">
        <v>48.01</v>
      </c>
      <c r="J19" s="32">
        <v>3321.05</v>
      </c>
      <c r="K19" s="35">
        <v>78.88</v>
      </c>
      <c r="L19" s="32">
        <v>1352.87</v>
      </c>
      <c r="M19" s="32">
        <v>4752.8</v>
      </c>
      <c r="N19" s="32">
        <v>1028.44</v>
      </c>
      <c r="O19" s="7">
        <f t="shared" si="2"/>
        <v>802.89</v>
      </c>
      <c r="P19" s="32">
        <v>2437.69</v>
      </c>
      <c r="Q19" s="32">
        <v>2315.11</v>
      </c>
      <c r="R19" s="32">
        <v>4752.8</v>
      </c>
      <c r="S19" s="32">
        <v>2308.65</v>
      </c>
      <c r="T19" s="38">
        <v>1978.99</v>
      </c>
      <c r="U19" s="38">
        <v>-2813.85</v>
      </c>
      <c r="V19" s="33">
        <v>953.35</v>
      </c>
      <c r="W19" s="40">
        <v>133.22</v>
      </c>
      <c r="X19" s="25">
        <f t="shared" si="3"/>
        <v>1.711258288</v>
      </c>
    </row>
    <row r="20">
      <c r="A20" s="31">
        <v>38047.0</v>
      </c>
      <c r="B20" s="32">
        <v>17.74</v>
      </c>
      <c r="C20" s="7">
        <f t="shared" si="1"/>
        <v>16.67</v>
      </c>
      <c r="D20" s="32">
        <v>1.07</v>
      </c>
      <c r="E20" s="32">
        <v>16.67</v>
      </c>
      <c r="F20" s="32">
        <v>15.18</v>
      </c>
      <c r="G20" s="33">
        <v>4.17</v>
      </c>
      <c r="H20" s="33">
        <v>4.17</v>
      </c>
      <c r="I20" s="35">
        <v>36.44</v>
      </c>
      <c r="J20" s="32">
        <v>47.08</v>
      </c>
      <c r="K20" s="35">
        <v>0.98</v>
      </c>
      <c r="L20" s="32">
        <v>607.15</v>
      </c>
      <c r="M20" s="32">
        <v>655.21</v>
      </c>
      <c r="N20" s="35">
        <v>225.55</v>
      </c>
      <c r="O20" s="7" t="s">
        <v>16</v>
      </c>
      <c r="P20" s="32">
        <v>642.94</v>
      </c>
      <c r="Q20" s="32">
        <v>12.27</v>
      </c>
      <c r="R20" s="32">
        <v>655.21</v>
      </c>
      <c r="S20" s="32">
        <v>3.22</v>
      </c>
      <c r="T20" s="38">
        <v>0.64</v>
      </c>
      <c r="U20" s="38">
        <v>-374.5</v>
      </c>
      <c r="V20" s="33">
        <v>374.98</v>
      </c>
      <c r="X20" s="25">
        <f t="shared" si="3"/>
        <v>0.02020917401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3" max="3" width="39.75"/>
    <col customWidth="1" min="4" max="4" width="29.13"/>
  </cols>
  <sheetData>
    <row r="1">
      <c r="A1" s="29" t="s">
        <v>113</v>
      </c>
      <c r="B1" s="29" t="s">
        <v>116</v>
      </c>
      <c r="C1" s="43" t="s">
        <v>117</v>
      </c>
      <c r="D1" s="44" t="s">
        <v>27</v>
      </c>
      <c r="E1" s="29" t="s">
        <v>118</v>
      </c>
      <c r="F1" s="29" t="s">
        <v>119</v>
      </c>
      <c r="G1" s="29" t="s">
        <v>120</v>
      </c>
    </row>
    <row r="2">
      <c r="A2" s="45">
        <f>Infosys_main!A2</f>
        <v>44621</v>
      </c>
      <c r="B2" s="25">
        <f>Infosys_main!N2/Infosys_main!L2</f>
        <v>0.3603728393</v>
      </c>
      <c r="C2" s="46">
        <f>Infosys_main!Q2+Infosys_main!Y2</f>
        <v>2273</v>
      </c>
      <c r="D2" s="46">
        <f>Infosys_main!V2-C2</f>
        <v>19823</v>
      </c>
      <c r="E2" s="25">
        <f>Infosys_main!C2/Infosys_main!L2</f>
        <v>0.411147664</v>
      </c>
      <c r="F2" s="28">
        <v>34.8</v>
      </c>
      <c r="G2" s="47">
        <v>33786.0</v>
      </c>
    </row>
    <row r="3">
      <c r="A3" s="45">
        <f>Infosys_main!A3</f>
        <v>44256</v>
      </c>
      <c r="B3" s="25">
        <f>Infosys_main!N3/Infosys_main!L3</f>
        <v>0.2463547273</v>
      </c>
      <c r="C3" s="46">
        <f>Infosys_main!Q3+Infosys_main!Y3</f>
        <v>2907</v>
      </c>
      <c r="D3" s="46">
        <f>Infosys_main!V3-C3</f>
        <v>16995</v>
      </c>
      <c r="E3" s="25">
        <f>Infosys_main!C3/Infosys_main!L3</f>
        <v>0.3421873034</v>
      </c>
      <c r="F3" s="28">
        <v>29.47</v>
      </c>
      <c r="G3" s="47">
        <v>30090.0</v>
      </c>
    </row>
    <row r="4">
      <c r="A4" s="45">
        <f>Infosys_main!A4</f>
        <v>43891</v>
      </c>
      <c r="B4" s="25">
        <f>Infosys_main!N4/Infosys_main!L4</f>
        <v>0.244560851</v>
      </c>
      <c r="C4" s="46">
        <f>Infosys_main!Q4+Infosys_main!Y4</f>
        <v>5354</v>
      </c>
      <c r="D4" s="46">
        <f>Infosys_main!V4-C4</f>
        <v>8635</v>
      </c>
      <c r="E4" s="25">
        <f>Infosys_main!C4/Infosys_main!L4</f>
        <v>0.3290323617</v>
      </c>
      <c r="F4" s="28">
        <v>13.99</v>
      </c>
      <c r="G4" s="47">
        <v>25070.0</v>
      </c>
    </row>
    <row r="5">
      <c r="A5" s="45">
        <f>Infosys_main!A5</f>
        <v>43525</v>
      </c>
      <c r="B5" s="25">
        <f>Infosys_main!N5/Infosys_main!L5</f>
        <v>0.2460493374</v>
      </c>
      <c r="C5" s="46">
        <f>Infosys_main!Q5+Infosys_main!Y5</f>
        <v>2709</v>
      </c>
      <c r="D5" s="46">
        <f>Infosys_main!V5-C5</f>
        <v>9766</v>
      </c>
      <c r="E5" s="25">
        <f>Infosys_main!C5/Infosys_main!L5</f>
        <v>0.3177592448</v>
      </c>
      <c r="F5" s="28">
        <v>19.75</v>
      </c>
      <c r="G5" s="47">
        <v>23052.0</v>
      </c>
    </row>
    <row r="6">
      <c r="A6" s="45">
        <f>Infosys_main!A6</f>
        <v>43160</v>
      </c>
      <c r="B6" s="25">
        <f>Infosys_main!N6/Infosys_main!L6</f>
        <v>0.1836477591</v>
      </c>
      <c r="C6" s="46">
        <f>Infosys_main!Q6+Infosys_main!Y6</f>
        <v>2155</v>
      </c>
      <c r="D6" s="46">
        <f>Infosys_main!V6-C6</f>
        <v>10320</v>
      </c>
      <c r="E6" s="25">
        <f>Infosys_main!C6/Infosys_main!L6</f>
        <v>0.3135019369</v>
      </c>
      <c r="F6" s="28">
        <v>14.22</v>
      </c>
      <c r="G6" s="47">
        <v>22133.0</v>
      </c>
    </row>
    <row r="7">
      <c r="A7" s="45">
        <f>Infosys_main!A7</f>
        <v>42795</v>
      </c>
      <c r="B7" s="25">
        <f>Infosys_main!N7/Infosys_main!L7</f>
        <v>0.1732802094</v>
      </c>
      <c r="C7" s="46">
        <f>Infosys_main!Q7+Infosys_main!Y7</f>
        <v>2001</v>
      </c>
      <c r="D7" s="46">
        <f>Infosys_main!V7-C7</f>
        <v>8477</v>
      </c>
      <c r="E7" s="25">
        <f>Infosys_main!C7/Infosys_main!L7</f>
        <v>0.2784303924</v>
      </c>
      <c r="F7" s="28">
        <v>14.32</v>
      </c>
      <c r="G7" s="47">
        <v>21654.0</v>
      </c>
    </row>
    <row r="8">
      <c r="A8" s="45">
        <f>Infosys_main!A8</f>
        <v>42430</v>
      </c>
      <c r="B8" s="25">
        <f>Infosys_main!N8/Infosys_main!L8</f>
        <v>0.1897121902</v>
      </c>
      <c r="C8" s="46">
        <f>Infosys_main!Q8+Infosys_main!Y8</f>
        <v>2181</v>
      </c>
      <c r="D8" s="46">
        <f>Infosys_main!V8-C8</f>
        <v>7397</v>
      </c>
      <c r="E8" s="25">
        <f>Infosys_main!C8/Infosys_main!L8</f>
        <v>0.2881372581</v>
      </c>
      <c r="F8" s="28">
        <v>17.62</v>
      </c>
      <c r="G8" s="47">
        <v>20199.0</v>
      </c>
    </row>
    <row r="9">
      <c r="A9" s="45">
        <f>Infosys_main!A9</f>
        <v>42064</v>
      </c>
      <c r="B9" s="25">
        <f>Infosys_main!N9/Infosys_main!L9</f>
        <v>0.2853249563</v>
      </c>
      <c r="C9" s="46">
        <f>Infosys_main!Q9+Infosys_main!Y9</f>
        <v>2343</v>
      </c>
      <c r="D9" s="46">
        <f>Infosys_main!V9-C9</f>
        <v>5612</v>
      </c>
      <c r="E9" s="25">
        <f>Infosys_main!C9/Infosys_main!L9</f>
        <v>0.3408920696</v>
      </c>
      <c r="F9" s="28">
        <v>16.19</v>
      </c>
      <c r="G9" s="47">
        <v>18313.0</v>
      </c>
    </row>
    <row r="10">
      <c r="A10" s="45">
        <f>Infosys_main!A10</f>
        <v>41699</v>
      </c>
      <c r="B10" s="25">
        <f>Infosys_main!N10/Infosys_main!L10</f>
        <v>0.2436567519</v>
      </c>
      <c r="C10" s="46">
        <f>Infosys_main!Q10+Infosys_main!Y10</f>
        <v>2199</v>
      </c>
      <c r="D10" s="46">
        <f>Infosys_main!V10-C10</f>
        <v>6949</v>
      </c>
      <c r="E10" s="25">
        <f>Infosys_main!C10/Infosys_main!L10</f>
        <v>0.3326522855</v>
      </c>
      <c r="F10" s="28">
        <v>14.12</v>
      </c>
      <c r="G10" s="47">
        <v>16054.0</v>
      </c>
    </row>
    <row r="11">
      <c r="A11" s="45">
        <f>Infosys_main!A11</f>
        <v>41334</v>
      </c>
      <c r="B11" s="25">
        <f>Infosys_main!N11/Infosys_main!L11</f>
        <v>0.1883857012</v>
      </c>
      <c r="C11" s="46">
        <f>Infosys_main!Q11+Infosys_main!Y11</f>
        <v>1895</v>
      </c>
      <c r="D11" s="46">
        <f>Infosys_main!V11-C11</f>
        <v>5047</v>
      </c>
      <c r="E11" s="25">
        <f>Infosys_main!C11/Infosys_main!L11</f>
        <v>0.3403865886</v>
      </c>
      <c r="F11" s="28">
        <v>13.99</v>
      </c>
    </row>
    <row r="12">
      <c r="A12" s="45">
        <f>Infosys_main!A12</f>
        <v>40969</v>
      </c>
      <c r="B12" s="25">
        <f>Infosys_main!N12/Infosys_main!L12</f>
        <v>0.2035823504</v>
      </c>
      <c r="C12" s="46">
        <f>Infosys_main!Q12+Infosys_main!Y12</f>
        <v>1138</v>
      </c>
      <c r="D12" s="46">
        <f>Infosys_main!V12-C12</f>
        <v>4817</v>
      </c>
      <c r="E12" s="25">
        <f>Infosys_main!C12/Infosys_main!L12</f>
        <v>0.3728870518</v>
      </c>
      <c r="F12" s="28">
        <v>14.59</v>
      </c>
    </row>
    <row r="13">
      <c r="A13" s="45">
        <f>Infosys_main!A13</f>
        <v>40603</v>
      </c>
      <c r="B13" s="25">
        <f>Infosys_main!N13/Infosys_main!L13</f>
        <v>0.1776662177</v>
      </c>
      <c r="C13" s="46">
        <f>Infosys_main!Q13+Infosys_main!Y13</f>
        <v>857</v>
      </c>
      <c r="D13" s="46">
        <f>Infosys_main!V13-C13</f>
        <v>3413</v>
      </c>
      <c r="E13" s="25">
        <f>Infosys_main!C13/Infosys_main!L13</f>
        <v>0.3600261214</v>
      </c>
      <c r="F13" s="28">
        <v>20.82</v>
      </c>
    </row>
    <row r="14">
      <c r="A14" s="45">
        <f>Infosys_main!A14</f>
        <v>40238</v>
      </c>
      <c r="B14" s="25">
        <f>Infosys_main!N14/Infosys_main!L14</f>
        <v>0.1723543293</v>
      </c>
      <c r="C14" s="46">
        <f>Infosys_main!Q14+Infosys_main!Y14</f>
        <v>581</v>
      </c>
      <c r="D14" s="46">
        <f>Infosys_main!V14-C14</f>
        <v>5295</v>
      </c>
      <c r="E14" s="25">
        <f>Infosys_main!C14/Infosys_main!L14</f>
        <v>0.3412597568</v>
      </c>
    </row>
    <row r="15">
      <c r="A15" s="45">
        <f>Infosys_main!A15</f>
        <v>39873</v>
      </c>
      <c r="B15" s="25">
        <f>Infosys_main!N15/Infosys_main!L15</f>
        <v>0.1855803246</v>
      </c>
      <c r="C15" s="46">
        <f>Infosys_main!Q15+Infosys_main!Y15</f>
        <v>1177</v>
      </c>
      <c r="D15" s="46">
        <f>Infosys_main!V15-C15</f>
        <v>3975</v>
      </c>
      <c r="E15" s="25">
        <f>Infosys_main!C15/Infosys_main!L15</f>
        <v>0.3770003931</v>
      </c>
    </row>
    <row r="16">
      <c r="A16" s="45">
        <f>Infosys_main!A16</f>
        <v>39508</v>
      </c>
      <c r="B16" s="25">
        <f>Infosys_main!N16/Infosys_main!L16</f>
        <v>0.2765752409</v>
      </c>
      <c r="C16" s="46">
        <f>Infosys_main!Q16+Infosys_main!Y16</f>
        <v>1370</v>
      </c>
      <c r="D16" s="46">
        <f>Infosys_main!V16-C16</f>
        <v>2446</v>
      </c>
      <c r="E16" s="25">
        <f>Infosys_main!C16/Infosys_main!L16</f>
        <v>0.3780578206</v>
      </c>
    </row>
    <row r="17">
      <c r="A17" s="45">
        <f>Infosys_main!A17</f>
        <v>39142</v>
      </c>
      <c r="B17" s="25">
        <f>Infosys_main!N17/Infosys_main!L17</f>
        <v>0.163411575</v>
      </c>
      <c r="C17" s="46">
        <f>Infosys_main!Q17+Infosys_main!Y17</f>
        <v>1443</v>
      </c>
      <c r="D17" s="46">
        <f>Infosys_main!V17-C17</f>
        <v>1813</v>
      </c>
      <c r="E17" s="25">
        <f>Infosys_main!C17/Infosys_main!L17</f>
        <v>0.3704533238</v>
      </c>
    </row>
    <row r="18">
      <c r="A18" s="45">
        <f>Infosys_main!A18</f>
        <v>38777</v>
      </c>
      <c r="B18" s="25">
        <f>Infosys_main!N18/Infosys_main!L18</f>
        <v>0.3214441061</v>
      </c>
      <c r="C18" s="46">
        <f>Infosys_main!Q18+Infosys_main!Y18</f>
        <v>1047.58</v>
      </c>
      <c r="D18" s="46">
        <f>Infosys_main!V18-C18</f>
        <v>1189.42</v>
      </c>
      <c r="E18" s="25">
        <f>Infosys_main!C18/Infosys_main!L18</f>
        <v>0.394954328</v>
      </c>
    </row>
    <row r="19">
      <c r="A19" s="45">
        <f>Infosys_main!A19</f>
        <v>38412</v>
      </c>
      <c r="B19" s="25">
        <f>Infosys_main!N19/Infosys_main!L19</f>
        <v>0.2567930817</v>
      </c>
      <c r="C19" s="46">
        <f>Infosys_main!Q19+Infosys_main!Y19</f>
        <v>792.34</v>
      </c>
      <c r="D19" s="46">
        <f>Infosys_main!V19-C19</f>
        <v>567.36</v>
      </c>
      <c r="E19" s="25">
        <f>Infosys_main!C19/Infosys_main!L19</f>
        <v>0.4167498135</v>
      </c>
    </row>
    <row r="20">
      <c r="A20" s="45">
        <f>Infosys_main!A20</f>
        <v>38047</v>
      </c>
      <c r="B20" s="25">
        <f>Infosys_main!N20/Infosys_main!L20</f>
        <v>0.5789336178</v>
      </c>
      <c r="C20" s="28" t="s">
        <v>16</v>
      </c>
      <c r="D20" s="28" t="s">
        <v>16</v>
      </c>
      <c r="E20" s="25">
        <f>Infosys_main!C20/Infosys_main!L20</f>
        <v>0.4519752999</v>
      </c>
    </row>
    <row r="26">
      <c r="I26" s="48"/>
      <c r="J26" s="48"/>
      <c r="K26" s="48"/>
      <c r="L26" s="47"/>
      <c r="M26" s="47"/>
      <c r="N26" s="47"/>
      <c r="O26" s="47"/>
      <c r="P26" s="47"/>
    </row>
    <row r="27">
      <c r="I27" s="48"/>
      <c r="J27" s="48"/>
      <c r="K27" s="48"/>
      <c r="L27" s="48"/>
      <c r="M27" s="48"/>
      <c r="N27" s="48"/>
      <c r="O27" s="48"/>
      <c r="P27" s="48"/>
    </row>
    <row r="28">
      <c r="I28" s="48"/>
      <c r="J28" s="48"/>
      <c r="K28" s="48"/>
      <c r="L28" s="48"/>
      <c r="M28" s="48"/>
      <c r="N28" s="48"/>
      <c r="O28" s="48"/>
      <c r="P28" s="48"/>
    </row>
    <row r="29">
      <c r="I29" s="48"/>
      <c r="J29" s="48"/>
      <c r="K29" s="48"/>
      <c r="L29" s="48"/>
      <c r="M29" s="48"/>
      <c r="N29" s="48"/>
      <c r="O29" s="48"/>
      <c r="P29" s="48"/>
    </row>
    <row r="30">
      <c r="I30" s="48"/>
      <c r="J30" s="48"/>
      <c r="K30" s="48"/>
    </row>
    <row r="31">
      <c r="I31" s="48"/>
      <c r="J31" s="48"/>
      <c r="K31" s="48"/>
    </row>
    <row r="32">
      <c r="I32" s="48"/>
      <c r="J32" s="48"/>
      <c r="K32" s="48"/>
    </row>
    <row r="33">
      <c r="I33" s="48"/>
      <c r="J33" s="48"/>
      <c r="K33" s="48"/>
    </row>
    <row r="34">
      <c r="I34" s="48"/>
      <c r="J34" s="48"/>
      <c r="K34" s="4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3" max="3" width="39.75"/>
    <col customWidth="1" min="4" max="4" width="29.13"/>
  </cols>
  <sheetData>
    <row r="1">
      <c r="A1" s="29" t="s">
        <v>113</v>
      </c>
      <c r="B1" s="29" t="s">
        <v>116</v>
      </c>
      <c r="C1" s="43" t="s">
        <v>117</v>
      </c>
      <c r="D1" s="44" t="s">
        <v>27</v>
      </c>
      <c r="E1" s="29" t="s">
        <v>118</v>
      </c>
      <c r="F1" s="29" t="s">
        <v>119</v>
      </c>
      <c r="G1" s="29" t="s">
        <v>120</v>
      </c>
    </row>
    <row r="2">
      <c r="A2" s="45">
        <f>Infosys_main!A2</f>
        <v>44621</v>
      </c>
      <c r="B2" s="25">
        <f>TCS!L2/TCS!J2</f>
        <v>0.4911173597</v>
      </c>
      <c r="C2" s="46">
        <f>TCS!O2+TCS!W2</f>
        <v>4272</v>
      </c>
      <c r="D2" s="46">
        <f>TCS!T2-C2</f>
        <v>31855</v>
      </c>
      <c r="E2" s="25">
        <f>TCS!C2/TCS!J2</f>
        <v>0.6443056509</v>
      </c>
      <c r="F2" s="28">
        <v>31.5298</v>
      </c>
      <c r="G2" s="25">
        <v>57075.0</v>
      </c>
    </row>
    <row r="3">
      <c r="A3" s="45">
        <f>Infosys_main!A3</f>
        <v>44256</v>
      </c>
      <c r="B3" s="25">
        <f>TCS!L3/TCS!J3</f>
        <v>0.3813808594</v>
      </c>
      <c r="C3" s="46">
        <f>TCS!O3+TCS!W3</f>
        <v>3070</v>
      </c>
      <c r="D3" s="46">
        <f>TCS!T3-C3</f>
        <v>30752</v>
      </c>
      <c r="E3" s="25">
        <f>TCS!C3/TCS!J3</f>
        <v>0.5631467765</v>
      </c>
      <c r="F3" s="28">
        <v>38.567</v>
      </c>
      <c r="G3" s="25">
        <v>48462.0</v>
      </c>
    </row>
    <row r="4">
      <c r="A4" s="45">
        <f>Infosys_main!A4</f>
        <v>43891</v>
      </c>
      <c r="B4" s="25">
        <f>TCS!L4/TCS!J4</f>
        <v>0.323069062</v>
      </c>
      <c r="C4" s="46">
        <f>TCS!O4+TCS!W4</f>
        <v>9109</v>
      </c>
      <c r="D4" s="46">
        <f>TCS!T4-C4</f>
        <v>17494</v>
      </c>
      <c r="E4" s="25">
        <f>TCS!C4/TCS!J4</f>
        <v>0.5646380164</v>
      </c>
      <c r="F4" s="28">
        <v>24.159</v>
      </c>
      <c r="G4" s="25">
        <v>46701.0</v>
      </c>
    </row>
    <row r="5">
      <c r="A5" s="45">
        <f>Infosys_main!A5</f>
        <v>43525</v>
      </c>
      <c r="B5" s="25">
        <f>TCS!L5/TCS!J5</f>
        <v>0.2394991001</v>
      </c>
      <c r="C5" s="46">
        <f>TCS!O5+TCS!W5</f>
        <v>1533</v>
      </c>
      <c r="D5" s="46">
        <f>TCS!T5-C5</f>
        <v>22465</v>
      </c>
      <c r="E5" s="25">
        <f>TCS!C5/TCS!J5</f>
        <v>0.5159192882</v>
      </c>
      <c r="F5" s="28">
        <v>26.2846</v>
      </c>
      <c r="G5" s="25">
        <v>43817.0</v>
      </c>
    </row>
    <row r="6">
      <c r="A6" s="45">
        <f>Infosys_main!A6</f>
        <v>43160</v>
      </c>
      <c r="B6" s="25">
        <f>TCS!L6/TCS!J6</f>
        <v>0.1853003981</v>
      </c>
      <c r="C6" s="46">
        <f>TCS!O6+TCS!W6</f>
        <v>1617</v>
      </c>
      <c r="D6" s="46">
        <f>TCS!T6-C6</f>
        <v>19970</v>
      </c>
      <c r="E6" s="25">
        <f>TCS!C6/TCS!J6</f>
        <v>0.4208868268</v>
      </c>
      <c r="F6" s="28">
        <v>26.9886</v>
      </c>
      <c r="G6" s="49">
        <v>36158.0</v>
      </c>
    </row>
    <row r="7">
      <c r="A7" s="45">
        <f>Infosys_main!A7</f>
        <v>42795</v>
      </c>
      <c r="B7" s="25">
        <f>TCS!L7/TCS!J7</f>
        <v>0.1371536233</v>
      </c>
      <c r="C7" s="46">
        <f>TCS!O7+TCS!W7</f>
        <v>1563</v>
      </c>
      <c r="D7" s="46">
        <f>TCS!T7-C7</f>
        <v>21569</v>
      </c>
      <c r="E7" s="25">
        <f>TCS!C7/TCS!J7</f>
        <v>0.3853528492</v>
      </c>
      <c r="F7" s="28">
        <v>17.3603</v>
      </c>
      <c r="G7" s="25">
        <v>36532.0</v>
      </c>
    </row>
    <row r="8">
      <c r="A8" s="45">
        <f>Infosys_main!A8</f>
        <v>42430</v>
      </c>
      <c r="B8" s="25">
        <f>TCS!L8/TCS!J8</f>
        <v>0.1739498254</v>
      </c>
      <c r="C8" s="46">
        <f>TCS!O8+TCS!W8</f>
        <v>1475.77</v>
      </c>
      <c r="D8" s="46">
        <f>TCS!T8-C8</f>
        <v>16510.23</v>
      </c>
      <c r="E8" s="25">
        <f>TCS!C8/TCS!J8</f>
        <v>0.451278975</v>
      </c>
      <c r="F8" s="28">
        <v>20.3229</v>
      </c>
      <c r="G8" s="25">
        <v>33761.0</v>
      </c>
    </row>
    <row r="9">
      <c r="A9" s="45">
        <f>Infosys_main!A9</f>
        <v>42064</v>
      </c>
      <c r="B9" s="25">
        <f>TCS!L9/TCS!J9</f>
        <v>0.3625037541</v>
      </c>
      <c r="C9" s="46">
        <f>TCS!O9+TCS!W9</f>
        <v>3120.28</v>
      </c>
      <c r="D9" s="46">
        <f>TCS!T9-C9</f>
        <v>13199.61</v>
      </c>
      <c r="E9" s="25">
        <f>TCS!C9/TCS!J9</f>
        <v>0.5289183829</v>
      </c>
      <c r="F9" s="28">
        <v>24.6771</v>
      </c>
      <c r="G9" s="25">
        <v>28201.37</v>
      </c>
    </row>
    <row r="10">
      <c r="A10" s="45">
        <f>Infosys_main!A10</f>
        <v>41699</v>
      </c>
      <c r="B10" s="25">
        <f>TCS!L10/TCS!J10</f>
        <v>0.2784376058</v>
      </c>
      <c r="C10" s="46">
        <f>TCS!O10+TCS!W10</f>
        <v>3189.14</v>
      </c>
      <c r="D10" s="46">
        <f>TCS!T10-C10</f>
        <v>9752.79</v>
      </c>
      <c r="E10" s="25">
        <f>TCS!C10/TCS!J10</f>
        <v>0.5344714005</v>
      </c>
      <c r="F10" s="28">
        <v>23.9743</v>
      </c>
      <c r="G10" s="25">
        <v>26789.53</v>
      </c>
    </row>
    <row r="11">
      <c r="A11" s="45">
        <f>Infosys_main!A11</f>
        <v>41334</v>
      </c>
      <c r="B11" s="25">
        <f>TCS!L11/TCS!J11</f>
        <v>0.2971818594</v>
      </c>
      <c r="C11" s="46">
        <f>TCS!O11+TCS!W11</f>
        <v>2207.55</v>
      </c>
      <c r="D11" s="46">
        <f>TCS!T11-C11</f>
        <v>6949.4</v>
      </c>
      <c r="E11" s="25">
        <f>TCS!C11/TCS!J11</f>
        <v>0.4822510729</v>
      </c>
      <c r="F11" s="28">
        <v>20.6444</v>
      </c>
    </row>
    <row r="12">
      <c r="A12" s="45">
        <f>Infosys_main!A12</f>
        <v>40969</v>
      </c>
      <c r="B12" s="25">
        <f>TCS!L12/TCS!J12</f>
        <v>0.3554576787</v>
      </c>
      <c r="C12" s="46">
        <f>TCS!O12+TCS!W12</f>
        <v>1656.57</v>
      </c>
      <c r="D12" s="46">
        <f>TCS!T12-C12</f>
        <v>1518.06</v>
      </c>
      <c r="E12" s="25">
        <f>TCS!C12/TCS!J12</f>
        <v>0.5377370142</v>
      </c>
      <c r="F12" s="28">
        <v>23.2361</v>
      </c>
    </row>
    <row r="13">
      <c r="A13" s="45">
        <f>Infosys_main!A13</f>
        <v>40603</v>
      </c>
      <c r="B13" s="25">
        <f>TCS!L13/TCS!J13</f>
        <v>0.3141854052</v>
      </c>
      <c r="C13" s="46">
        <f>TCS!O13+TCS!W13</f>
        <v>1331.62</v>
      </c>
      <c r="D13" s="46">
        <f>TCS!T13-C13</f>
        <v>4388.26</v>
      </c>
      <c r="E13" s="25">
        <f>TCS!C13/TCS!J13</f>
        <v>0.4443644855</v>
      </c>
      <c r="F13" s="28">
        <v>24.71</v>
      </c>
    </row>
    <row r="14">
      <c r="A14" s="45">
        <f>Infosys_main!A14</f>
        <v>40238</v>
      </c>
      <c r="B14" s="25">
        <f>TCS!L14/TCS!J14</f>
        <v>0.4788934299</v>
      </c>
      <c r="C14" s="46">
        <f>TCS!O14+TCS!W14</f>
        <v>816.38</v>
      </c>
      <c r="D14" s="46">
        <f>TCS!T14-C14</f>
        <v>5448.36</v>
      </c>
      <c r="E14" s="25">
        <f>TCS!C14/TCS!J14</f>
        <v>0.4214156339</v>
      </c>
    </row>
    <row r="15">
      <c r="A15" s="45">
        <f>Infosys_main!A15</f>
        <v>39873</v>
      </c>
      <c r="B15" s="25">
        <f>TCS!L15/TCS!J15</f>
        <v>0.3683413591</v>
      </c>
      <c r="C15" s="46">
        <f>TCS!O15+TCS!W15</f>
        <v>941.4</v>
      </c>
      <c r="D15" s="46">
        <f>TCS!T15-C15</f>
        <v>3932.72</v>
      </c>
      <c r="E15" s="25">
        <f>TCS!C15/TCS!J15</f>
        <v>0.3822396579</v>
      </c>
    </row>
    <row r="16">
      <c r="A16" s="45">
        <f>Infosys_main!A16</f>
        <v>39508</v>
      </c>
      <c r="B16" s="25">
        <f>TCS!L16/TCS!J16</f>
        <v>0.3272105561</v>
      </c>
      <c r="C16" s="46">
        <f>TCS!O16+TCS!W16</f>
        <v>1070.51</v>
      </c>
      <c r="D16" s="46">
        <f>TCS!T16-C16</f>
        <v>2757.4</v>
      </c>
      <c r="E16" s="25">
        <f>TCS!C16/TCS!J16</f>
        <v>0.4546975368</v>
      </c>
    </row>
    <row r="17">
      <c r="A17" s="45">
        <f>Infosys_main!A17</f>
        <v>39142</v>
      </c>
      <c r="B17" s="25">
        <f>TCS!L17/TCS!J17</f>
        <v>0.32717003</v>
      </c>
      <c r="C17" s="46">
        <f>TCS!O17+TCS!W17</f>
        <v>1112.09</v>
      </c>
      <c r="D17" s="46">
        <f>TCS!T17-C17</f>
        <v>2439.17</v>
      </c>
      <c r="E17" s="25">
        <f>TCS!C17/TCS!J17</f>
        <v>0.5175189447</v>
      </c>
    </row>
    <row r="18">
      <c r="A18" s="45">
        <f>Infosys_main!A18</f>
        <v>38777</v>
      </c>
      <c r="B18" s="25">
        <f>TCS!L18/TCS!J18</f>
        <v>0.3100120692</v>
      </c>
      <c r="C18" s="46">
        <f>TCS!O18+TCS!W18</f>
        <v>678.72</v>
      </c>
      <c r="D18" s="46">
        <f>TCS!T18-C18</f>
        <v>1665.7</v>
      </c>
      <c r="E18" s="25">
        <f>TCS!C18/TCS!J18</f>
        <v>0.5480779344</v>
      </c>
    </row>
    <row r="19">
      <c r="A19" s="45">
        <f>Infosys_main!A19</f>
        <v>38412</v>
      </c>
      <c r="B19" s="25">
        <f>TCS!L19/TCS!J19</f>
        <v>0.4073621294</v>
      </c>
      <c r="C19" s="46">
        <f>TCS!O19+TCS!W19</f>
        <v>936.11</v>
      </c>
      <c r="D19" s="46">
        <f>TCS!T19-C19</f>
        <v>1042.88</v>
      </c>
      <c r="E19" s="25">
        <f>TCS!C19/TCS!J19</f>
        <v>0.6951566523</v>
      </c>
    </row>
    <row r="20">
      <c r="A20" s="45">
        <f>Infosys_main!A20</f>
        <v>38047</v>
      </c>
      <c r="B20" s="25">
        <f>TCS!L20/TCS!J20</f>
        <v>12.89613424</v>
      </c>
      <c r="C20" s="28" t="s">
        <v>16</v>
      </c>
      <c r="D20" s="28" t="s">
        <v>16</v>
      </c>
      <c r="E20" s="25">
        <f>TCS!C20/TCS!J20</f>
        <v>0.3540781648</v>
      </c>
    </row>
    <row r="24">
      <c r="J24" s="48"/>
      <c r="K24" s="48"/>
      <c r="L24" s="48"/>
      <c r="M24" s="48"/>
      <c r="N24" s="47">
        <v>43817.0</v>
      </c>
      <c r="O24" s="47">
        <v>46701.0</v>
      </c>
      <c r="P24" s="47">
        <v>48462.0</v>
      </c>
      <c r="Q24" s="47">
        <v>57075.0</v>
      </c>
    </row>
    <row r="25">
      <c r="J25" s="48"/>
      <c r="K25" s="48"/>
      <c r="L25" s="48"/>
      <c r="M25" s="48"/>
      <c r="N25" s="48"/>
      <c r="O25" s="48"/>
      <c r="P25" s="48"/>
      <c r="Q25" s="48"/>
    </row>
    <row r="26">
      <c r="J26" s="48"/>
      <c r="K26" s="48"/>
      <c r="L26" s="48"/>
      <c r="M26" s="48"/>
      <c r="N26" s="48"/>
      <c r="O26" s="48"/>
      <c r="P26" s="48"/>
      <c r="Q26" s="48"/>
    </row>
    <row r="27">
      <c r="J27" s="48"/>
      <c r="K27" s="48"/>
      <c r="L27" s="48"/>
      <c r="M27" s="48"/>
      <c r="N27" s="48"/>
      <c r="O27" s="48"/>
      <c r="P27" s="48"/>
      <c r="Q27" s="48"/>
    </row>
    <row r="28">
      <c r="J28" s="48"/>
      <c r="K28" s="48"/>
      <c r="L28" s="48"/>
      <c r="M28" s="48"/>
      <c r="N28" s="48"/>
      <c r="O28" s="48"/>
      <c r="P28" s="48"/>
      <c r="Q28" s="48"/>
    </row>
    <row r="29">
      <c r="J29" s="48"/>
      <c r="K29" s="48"/>
      <c r="L29" s="48"/>
      <c r="M29" s="48"/>
      <c r="N29" s="48"/>
      <c r="O29" s="48"/>
      <c r="P29" s="48"/>
      <c r="Q29" s="48"/>
    </row>
    <row r="30">
      <c r="J30" s="48"/>
      <c r="K30" s="48"/>
      <c r="L30" s="48"/>
      <c r="M30" s="48"/>
      <c r="N30" s="48"/>
      <c r="O30" s="48"/>
      <c r="P30" s="48"/>
      <c r="Q30" s="48"/>
    </row>
    <row r="31">
      <c r="J31" s="48"/>
      <c r="K31" s="48"/>
      <c r="L31" s="48"/>
      <c r="M31" s="48"/>
      <c r="N31" s="48"/>
      <c r="O31" s="48"/>
      <c r="P31" s="48"/>
      <c r="Q31" s="48"/>
    </row>
    <row r="32">
      <c r="J32" s="48"/>
      <c r="K32" s="48"/>
      <c r="L32" s="48"/>
      <c r="M32" s="48"/>
      <c r="N32" s="48"/>
      <c r="O32" s="48"/>
      <c r="P32" s="48"/>
      <c r="Q32" s="48"/>
    </row>
    <row r="33">
      <c r="I33" s="48"/>
      <c r="J33" s="48"/>
      <c r="K33" s="48"/>
      <c r="L33" s="48"/>
      <c r="M33" s="48"/>
      <c r="N33" s="48"/>
      <c r="O33" s="48"/>
      <c r="P33" s="48"/>
      <c r="Q33" s="48"/>
    </row>
    <row r="34">
      <c r="I34" s="48"/>
      <c r="J34" s="48"/>
      <c r="K34" s="48"/>
      <c r="L34" s="48"/>
      <c r="M34" s="48"/>
      <c r="N34" s="48"/>
      <c r="O34" s="48"/>
      <c r="P34" s="48"/>
      <c r="Q34" s="48"/>
    </row>
    <row r="35">
      <c r="I35" s="48"/>
      <c r="J35" s="48"/>
      <c r="K35" s="48"/>
      <c r="L35" s="48"/>
      <c r="M35" s="48"/>
      <c r="N35" s="48"/>
      <c r="O35" s="48"/>
      <c r="P35" s="48"/>
      <c r="Q35" s="48"/>
    </row>
  </sheetData>
  <drawing r:id="rId1"/>
</worksheet>
</file>